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ml.chart+xml" PartName="/xl/charts/chart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P plots" r:id="rId3" sheetId="1"/>
  </sheets>
  <calcPr fullCalcOnLoad="true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charts/chart1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pl-PL"/>
              <a:t>Tiny Gp</a:t>
            </a:r>
            <a:endParaRPr lang="en-US" sz="1100"/>
          </a:p>
        </c:rich>
      </c:tx>
      <c:layout/>
      <c:overlay val="false"/>
    </c:title>
    <c:plotArea>
      <c:layout/>
      <c:lineChart>
        <c:ser>
          <c:idx val="0"/>
          <c:order val="0"/>
          <c:spPr>
            <a:ln w="285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'GP plots'!$A$1:$A$20000</c:f>
              <c:numCache>
                <c:ptCount val="20000"/>
                <c:pt idx="0">
                  <c:v>-100.0</c:v>
                </c:pt>
                <c:pt idx="1">
                  <c:v>-99.99</c:v>
                </c:pt>
                <c:pt idx="2">
                  <c:v>-99.98</c:v>
                </c:pt>
                <c:pt idx="3">
                  <c:v>-99.97</c:v>
                </c:pt>
                <c:pt idx="4">
                  <c:v>-99.96</c:v>
                </c:pt>
                <c:pt idx="5">
                  <c:v>-99.95</c:v>
                </c:pt>
                <c:pt idx="6">
                  <c:v>-99.94</c:v>
                </c:pt>
                <c:pt idx="7">
                  <c:v>-99.93</c:v>
                </c:pt>
                <c:pt idx="8">
                  <c:v>-99.92</c:v>
                </c:pt>
                <c:pt idx="9">
                  <c:v>-99.91</c:v>
                </c:pt>
                <c:pt idx="10">
                  <c:v>-99.9</c:v>
                </c:pt>
                <c:pt idx="11">
                  <c:v>-99.89</c:v>
                </c:pt>
                <c:pt idx="12">
                  <c:v>-99.88</c:v>
                </c:pt>
                <c:pt idx="13">
                  <c:v>-99.87</c:v>
                </c:pt>
                <c:pt idx="14">
                  <c:v>-99.86</c:v>
                </c:pt>
                <c:pt idx="15">
                  <c:v>-99.85</c:v>
                </c:pt>
                <c:pt idx="16">
                  <c:v>-99.84</c:v>
                </c:pt>
                <c:pt idx="17">
                  <c:v>-99.83</c:v>
                </c:pt>
                <c:pt idx="18">
                  <c:v>-99.82</c:v>
                </c:pt>
                <c:pt idx="19">
                  <c:v>-99.81</c:v>
                </c:pt>
                <c:pt idx="20">
                  <c:v>-99.8</c:v>
                </c:pt>
                <c:pt idx="21">
                  <c:v>-99.79</c:v>
                </c:pt>
                <c:pt idx="22">
                  <c:v>-99.78</c:v>
                </c:pt>
                <c:pt idx="23">
                  <c:v>-99.77</c:v>
                </c:pt>
                <c:pt idx="24">
                  <c:v>-99.76</c:v>
                </c:pt>
                <c:pt idx="25">
                  <c:v>-99.75</c:v>
                </c:pt>
                <c:pt idx="26">
                  <c:v>-99.74</c:v>
                </c:pt>
                <c:pt idx="27">
                  <c:v>-99.73</c:v>
                </c:pt>
                <c:pt idx="28">
                  <c:v>-99.72</c:v>
                </c:pt>
                <c:pt idx="29">
                  <c:v>-99.71</c:v>
                </c:pt>
                <c:pt idx="30">
                  <c:v>-99.7</c:v>
                </c:pt>
                <c:pt idx="31">
                  <c:v>-99.69</c:v>
                </c:pt>
                <c:pt idx="32">
                  <c:v>-99.68</c:v>
                </c:pt>
                <c:pt idx="33">
                  <c:v>-99.67</c:v>
                </c:pt>
                <c:pt idx="34">
                  <c:v>-99.66</c:v>
                </c:pt>
                <c:pt idx="35">
                  <c:v>-99.65</c:v>
                </c:pt>
                <c:pt idx="36">
                  <c:v>-99.64</c:v>
                </c:pt>
                <c:pt idx="37">
                  <c:v>-99.63</c:v>
                </c:pt>
                <c:pt idx="38">
                  <c:v>-99.62</c:v>
                </c:pt>
                <c:pt idx="39">
                  <c:v>-99.61</c:v>
                </c:pt>
                <c:pt idx="40">
                  <c:v>-99.6</c:v>
                </c:pt>
                <c:pt idx="41">
                  <c:v>-99.59</c:v>
                </c:pt>
                <c:pt idx="42">
                  <c:v>-99.58</c:v>
                </c:pt>
                <c:pt idx="43">
                  <c:v>-99.57</c:v>
                </c:pt>
                <c:pt idx="44">
                  <c:v>-99.56</c:v>
                </c:pt>
                <c:pt idx="45">
                  <c:v>-99.55</c:v>
                </c:pt>
                <c:pt idx="46">
                  <c:v>-99.54</c:v>
                </c:pt>
                <c:pt idx="47">
                  <c:v>-99.53</c:v>
                </c:pt>
                <c:pt idx="48">
                  <c:v>-99.52</c:v>
                </c:pt>
                <c:pt idx="49">
                  <c:v>-99.51</c:v>
                </c:pt>
                <c:pt idx="50">
                  <c:v>-99.5</c:v>
                </c:pt>
                <c:pt idx="51">
                  <c:v>-99.49</c:v>
                </c:pt>
                <c:pt idx="52">
                  <c:v>-99.48</c:v>
                </c:pt>
                <c:pt idx="53">
                  <c:v>-99.47</c:v>
                </c:pt>
                <c:pt idx="54">
                  <c:v>-99.46</c:v>
                </c:pt>
                <c:pt idx="55">
                  <c:v>-99.45</c:v>
                </c:pt>
                <c:pt idx="56">
                  <c:v>-99.44</c:v>
                </c:pt>
                <c:pt idx="57">
                  <c:v>-99.43</c:v>
                </c:pt>
                <c:pt idx="58">
                  <c:v>-99.42</c:v>
                </c:pt>
                <c:pt idx="59">
                  <c:v>-99.41</c:v>
                </c:pt>
                <c:pt idx="60">
                  <c:v>-99.4</c:v>
                </c:pt>
                <c:pt idx="61">
                  <c:v>-99.39</c:v>
                </c:pt>
                <c:pt idx="62">
                  <c:v>-99.38</c:v>
                </c:pt>
                <c:pt idx="63">
                  <c:v>-99.37</c:v>
                </c:pt>
                <c:pt idx="64">
                  <c:v>-99.36</c:v>
                </c:pt>
                <c:pt idx="65">
                  <c:v>-99.35</c:v>
                </c:pt>
                <c:pt idx="66">
                  <c:v>-99.34</c:v>
                </c:pt>
                <c:pt idx="67">
                  <c:v>-99.33</c:v>
                </c:pt>
                <c:pt idx="68">
                  <c:v>-99.32</c:v>
                </c:pt>
                <c:pt idx="69">
                  <c:v>-99.31</c:v>
                </c:pt>
                <c:pt idx="70">
                  <c:v>-99.3</c:v>
                </c:pt>
                <c:pt idx="71">
                  <c:v>-99.29</c:v>
                </c:pt>
                <c:pt idx="72">
                  <c:v>-99.28</c:v>
                </c:pt>
                <c:pt idx="73">
                  <c:v>-99.27</c:v>
                </c:pt>
                <c:pt idx="74">
                  <c:v>-99.26</c:v>
                </c:pt>
                <c:pt idx="75">
                  <c:v>-99.25</c:v>
                </c:pt>
                <c:pt idx="76">
                  <c:v>-99.24</c:v>
                </c:pt>
                <c:pt idx="77">
                  <c:v>-99.23</c:v>
                </c:pt>
                <c:pt idx="78">
                  <c:v>-99.22</c:v>
                </c:pt>
                <c:pt idx="79">
                  <c:v>-99.21</c:v>
                </c:pt>
                <c:pt idx="80">
                  <c:v>-99.2</c:v>
                </c:pt>
                <c:pt idx="81">
                  <c:v>-99.19</c:v>
                </c:pt>
                <c:pt idx="82">
                  <c:v>-99.18</c:v>
                </c:pt>
                <c:pt idx="83">
                  <c:v>-99.17</c:v>
                </c:pt>
                <c:pt idx="84">
                  <c:v>-99.16</c:v>
                </c:pt>
                <c:pt idx="85">
                  <c:v>-99.15</c:v>
                </c:pt>
                <c:pt idx="86">
                  <c:v>-99.14</c:v>
                </c:pt>
                <c:pt idx="87">
                  <c:v>-99.13</c:v>
                </c:pt>
                <c:pt idx="88">
                  <c:v>-99.12</c:v>
                </c:pt>
                <c:pt idx="89">
                  <c:v>-99.11</c:v>
                </c:pt>
                <c:pt idx="90">
                  <c:v>-99.1</c:v>
                </c:pt>
                <c:pt idx="91">
                  <c:v>-99.09</c:v>
                </c:pt>
                <c:pt idx="92">
                  <c:v>-99.08</c:v>
                </c:pt>
                <c:pt idx="93">
                  <c:v>-99.07</c:v>
                </c:pt>
                <c:pt idx="94">
                  <c:v>-99.06</c:v>
                </c:pt>
                <c:pt idx="95">
                  <c:v>-99.05</c:v>
                </c:pt>
                <c:pt idx="96">
                  <c:v>-99.04</c:v>
                </c:pt>
                <c:pt idx="97">
                  <c:v>-99.03</c:v>
                </c:pt>
                <c:pt idx="98">
                  <c:v>-99.02</c:v>
                </c:pt>
                <c:pt idx="99">
                  <c:v>-99.01</c:v>
                </c:pt>
                <c:pt idx="100">
                  <c:v>-99.0</c:v>
                </c:pt>
                <c:pt idx="101">
                  <c:v>-98.99</c:v>
                </c:pt>
                <c:pt idx="102">
                  <c:v>-98.98</c:v>
                </c:pt>
                <c:pt idx="103">
                  <c:v>-98.97</c:v>
                </c:pt>
                <c:pt idx="104">
                  <c:v>-98.96</c:v>
                </c:pt>
                <c:pt idx="105">
                  <c:v>-98.95</c:v>
                </c:pt>
                <c:pt idx="106">
                  <c:v>-98.94</c:v>
                </c:pt>
                <c:pt idx="107">
                  <c:v>-98.93</c:v>
                </c:pt>
                <c:pt idx="108">
                  <c:v>-98.92</c:v>
                </c:pt>
                <c:pt idx="109">
                  <c:v>-98.91</c:v>
                </c:pt>
                <c:pt idx="110">
                  <c:v>-98.9</c:v>
                </c:pt>
                <c:pt idx="111">
                  <c:v>-98.89</c:v>
                </c:pt>
                <c:pt idx="112">
                  <c:v>-98.88</c:v>
                </c:pt>
                <c:pt idx="113">
                  <c:v>-98.87</c:v>
                </c:pt>
                <c:pt idx="114">
                  <c:v>-98.86</c:v>
                </c:pt>
                <c:pt idx="115">
                  <c:v>-98.85</c:v>
                </c:pt>
                <c:pt idx="116">
                  <c:v>-98.84</c:v>
                </c:pt>
                <c:pt idx="117">
                  <c:v>-98.83</c:v>
                </c:pt>
                <c:pt idx="118">
                  <c:v>-98.82</c:v>
                </c:pt>
                <c:pt idx="119">
                  <c:v>-98.81</c:v>
                </c:pt>
                <c:pt idx="120">
                  <c:v>-98.8</c:v>
                </c:pt>
                <c:pt idx="121">
                  <c:v>-98.79</c:v>
                </c:pt>
                <c:pt idx="122">
                  <c:v>-98.78</c:v>
                </c:pt>
                <c:pt idx="123">
                  <c:v>-98.77</c:v>
                </c:pt>
                <c:pt idx="124">
                  <c:v>-98.76</c:v>
                </c:pt>
                <c:pt idx="125">
                  <c:v>-98.75</c:v>
                </c:pt>
                <c:pt idx="126">
                  <c:v>-98.74</c:v>
                </c:pt>
                <c:pt idx="127">
                  <c:v>-98.73</c:v>
                </c:pt>
                <c:pt idx="128">
                  <c:v>-98.72</c:v>
                </c:pt>
                <c:pt idx="129">
                  <c:v>-98.71</c:v>
                </c:pt>
                <c:pt idx="130">
                  <c:v>-98.7</c:v>
                </c:pt>
                <c:pt idx="131">
                  <c:v>-98.69</c:v>
                </c:pt>
                <c:pt idx="132">
                  <c:v>-98.68</c:v>
                </c:pt>
                <c:pt idx="133">
                  <c:v>-98.67</c:v>
                </c:pt>
                <c:pt idx="134">
                  <c:v>-98.66</c:v>
                </c:pt>
                <c:pt idx="135">
                  <c:v>-98.65</c:v>
                </c:pt>
                <c:pt idx="136">
                  <c:v>-98.64</c:v>
                </c:pt>
                <c:pt idx="137">
                  <c:v>-98.63</c:v>
                </c:pt>
                <c:pt idx="138">
                  <c:v>-98.62</c:v>
                </c:pt>
                <c:pt idx="139">
                  <c:v>-98.61</c:v>
                </c:pt>
                <c:pt idx="140">
                  <c:v>-98.6</c:v>
                </c:pt>
                <c:pt idx="141">
                  <c:v>-98.59</c:v>
                </c:pt>
                <c:pt idx="142">
                  <c:v>-98.58</c:v>
                </c:pt>
                <c:pt idx="143">
                  <c:v>-98.57</c:v>
                </c:pt>
                <c:pt idx="144">
                  <c:v>-98.56</c:v>
                </c:pt>
                <c:pt idx="145">
                  <c:v>-98.55</c:v>
                </c:pt>
                <c:pt idx="146">
                  <c:v>-98.54</c:v>
                </c:pt>
                <c:pt idx="147">
                  <c:v>-98.53</c:v>
                </c:pt>
                <c:pt idx="148">
                  <c:v>-98.52</c:v>
                </c:pt>
                <c:pt idx="149">
                  <c:v>-98.51</c:v>
                </c:pt>
                <c:pt idx="150">
                  <c:v>-98.5</c:v>
                </c:pt>
                <c:pt idx="151">
                  <c:v>-98.49</c:v>
                </c:pt>
                <c:pt idx="152">
                  <c:v>-98.48</c:v>
                </c:pt>
                <c:pt idx="153">
                  <c:v>-98.47</c:v>
                </c:pt>
                <c:pt idx="154">
                  <c:v>-98.46</c:v>
                </c:pt>
                <c:pt idx="155">
                  <c:v>-98.45</c:v>
                </c:pt>
                <c:pt idx="156">
                  <c:v>-98.44</c:v>
                </c:pt>
                <c:pt idx="157">
                  <c:v>-98.43</c:v>
                </c:pt>
                <c:pt idx="158">
                  <c:v>-98.42</c:v>
                </c:pt>
                <c:pt idx="159">
                  <c:v>-98.41</c:v>
                </c:pt>
                <c:pt idx="160">
                  <c:v>-98.4</c:v>
                </c:pt>
                <c:pt idx="161">
                  <c:v>-98.39</c:v>
                </c:pt>
                <c:pt idx="162">
                  <c:v>-98.38</c:v>
                </c:pt>
                <c:pt idx="163">
                  <c:v>-98.37</c:v>
                </c:pt>
                <c:pt idx="164">
                  <c:v>-98.36</c:v>
                </c:pt>
                <c:pt idx="165">
                  <c:v>-98.35</c:v>
                </c:pt>
                <c:pt idx="166">
                  <c:v>-98.34</c:v>
                </c:pt>
                <c:pt idx="167">
                  <c:v>-98.33</c:v>
                </c:pt>
                <c:pt idx="168">
                  <c:v>-98.32</c:v>
                </c:pt>
                <c:pt idx="169">
                  <c:v>-98.31</c:v>
                </c:pt>
                <c:pt idx="170">
                  <c:v>-98.3</c:v>
                </c:pt>
                <c:pt idx="171">
                  <c:v>-98.29</c:v>
                </c:pt>
                <c:pt idx="172">
                  <c:v>-98.28</c:v>
                </c:pt>
                <c:pt idx="173">
                  <c:v>-98.27</c:v>
                </c:pt>
                <c:pt idx="174">
                  <c:v>-98.26</c:v>
                </c:pt>
                <c:pt idx="175">
                  <c:v>-98.25</c:v>
                </c:pt>
                <c:pt idx="176">
                  <c:v>-98.24</c:v>
                </c:pt>
                <c:pt idx="177">
                  <c:v>-98.23</c:v>
                </c:pt>
                <c:pt idx="178">
                  <c:v>-98.22</c:v>
                </c:pt>
                <c:pt idx="179">
                  <c:v>-98.21</c:v>
                </c:pt>
                <c:pt idx="180">
                  <c:v>-98.2</c:v>
                </c:pt>
                <c:pt idx="181">
                  <c:v>-98.19</c:v>
                </c:pt>
                <c:pt idx="182">
                  <c:v>-98.18</c:v>
                </c:pt>
                <c:pt idx="183">
                  <c:v>-98.17</c:v>
                </c:pt>
                <c:pt idx="184">
                  <c:v>-98.16</c:v>
                </c:pt>
                <c:pt idx="185">
                  <c:v>-98.15</c:v>
                </c:pt>
                <c:pt idx="186">
                  <c:v>-98.14</c:v>
                </c:pt>
                <c:pt idx="187">
                  <c:v>-98.13</c:v>
                </c:pt>
                <c:pt idx="188">
                  <c:v>-98.12</c:v>
                </c:pt>
                <c:pt idx="189">
                  <c:v>-98.11</c:v>
                </c:pt>
                <c:pt idx="190">
                  <c:v>-98.1</c:v>
                </c:pt>
                <c:pt idx="191">
                  <c:v>-98.09</c:v>
                </c:pt>
                <c:pt idx="192">
                  <c:v>-98.08</c:v>
                </c:pt>
                <c:pt idx="193">
                  <c:v>-98.07</c:v>
                </c:pt>
                <c:pt idx="194">
                  <c:v>-98.06</c:v>
                </c:pt>
                <c:pt idx="195">
                  <c:v>-98.05</c:v>
                </c:pt>
                <c:pt idx="196">
                  <c:v>-98.04</c:v>
                </c:pt>
                <c:pt idx="197">
                  <c:v>-98.03</c:v>
                </c:pt>
                <c:pt idx="198">
                  <c:v>-98.02</c:v>
                </c:pt>
                <c:pt idx="199">
                  <c:v>-98.01</c:v>
                </c:pt>
                <c:pt idx="200">
                  <c:v>-98.0</c:v>
                </c:pt>
                <c:pt idx="201">
                  <c:v>-97.99</c:v>
                </c:pt>
                <c:pt idx="202">
                  <c:v>-97.98</c:v>
                </c:pt>
                <c:pt idx="203">
                  <c:v>-97.97</c:v>
                </c:pt>
                <c:pt idx="204">
                  <c:v>-97.96</c:v>
                </c:pt>
                <c:pt idx="205">
                  <c:v>-97.95</c:v>
                </c:pt>
                <c:pt idx="206">
                  <c:v>-97.94</c:v>
                </c:pt>
                <c:pt idx="207">
                  <c:v>-97.93</c:v>
                </c:pt>
                <c:pt idx="208">
                  <c:v>-97.92</c:v>
                </c:pt>
                <c:pt idx="209">
                  <c:v>-97.91</c:v>
                </c:pt>
                <c:pt idx="210">
                  <c:v>-97.9</c:v>
                </c:pt>
                <c:pt idx="211">
                  <c:v>-97.89</c:v>
                </c:pt>
                <c:pt idx="212">
                  <c:v>-97.88</c:v>
                </c:pt>
                <c:pt idx="213">
                  <c:v>-97.87</c:v>
                </c:pt>
                <c:pt idx="214">
                  <c:v>-97.86</c:v>
                </c:pt>
                <c:pt idx="215">
                  <c:v>-97.85</c:v>
                </c:pt>
                <c:pt idx="216">
                  <c:v>-97.84</c:v>
                </c:pt>
                <c:pt idx="217">
                  <c:v>-97.83</c:v>
                </c:pt>
                <c:pt idx="218">
                  <c:v>-97.82</c:v>
                </c:pt>
                <c:pt idx="219">
                  <c:v>-97.81</c:v>
                </c:pt>
                <c:pt idx="220">
                  <c:v>-97.8</c:v>
                </c:pt>
                <c:pt idx="221">
                  <c:v>-97.79</c:v>
                </c:pt>
                <c:pt idx="222">
                  <c:v>-97.78</c:v>
                </c:pt>
                <c:pt idx="223">
                  <c:v>-97.77</c:v>
                </c:pt>
                <c:pt idx="224">
                  <c:v>-97.76</c:v>
                </c:pt>
                <c:pt idx="225">
                  <c:v>-97.75</c:v>
                </c:pt>
                <c:pt idx="226">
                  <c:v>-97.74</c:v>
                </c:pt>
                <c:pt idx="227">
                  <c:v>-97.73</c:v>
                </c:pt>
                <c:pt idx="228">
                  <c:v>-97.72</c:v>
                </c:pt>
                <c:pt idx="229">
                  <c:v>-97.71</c:v>
                </c:pt>
                <c:pt idx="230">
                  <c:v>-97.7</c:v>
                </c:pt>
                <c:pt idx="231">
                  <c:v>-97.69</c:v>
                </c:pt>
                <c:pt idx="232">
                  <c:v>-97.68</c:v>
                </c:pt>
                <c:pt idx="233">
                  <c:v>-97.67</c:v>
                </c:pt>
                <c:pt idx="234">
                  <c:v>-97.66</c:v>
                </c:pt>
                <c:pt idx="235">
                  <c:v>-97.65</c:v>
                </c:pt>
                <c:pt idx="236">
                  <c:v>-97.64</c:v>
                </c:pt>
                <c:pt idx="237">
                  <c:v>-97.63</c:v>
                </c:pt>
                <c:pt idx="238">
                  <c:v>-97.62</c:v>
                </c:pt>
                <c:pt idx="239">
                  <c:v>-97.61</c:v>
                </c:pt>
                <c:pt idx="240">
                  <c:v>-97.6</c:v>
                </c:pt>
                <c:pt idx="241">
                  <c:v>-97.59</c:v>
                </c:pt>
                <c:pt idx="242">
                  <c:v>-97.58</c:v>
                </c:pt>
                <c:pt idx="243">
                  <c:v>-97.57</c:v>
                </c:pt>
                <c:pt idx="244">
                  <c:v>-97.56</c:v>
                </c:pt>
                <c:pt idx="245">
                  <c:v>-97.55</c:v>
                </c:pt>
                <c:pt idx="246">
                  <c:v>-97.54</c:v>
                </c:pt>
                <c:pt idx="247">
                  <c:v>-97.53</c:v>
                </c:pt>
                <c:pt idx="248">
                  <c:v>-97.52</c:v>
                </c:pt>
                <c:pt idx="249">
                  <c:v>-97.51</c:v>
                </c:pt>
                <c:pt idx="250">
                  <c:v>-97.5</c:v>
                </c:pt>
                <c:pt idx="251">
                  <c:v>-97.49</c:v>
                </c:pt>
                <c:pt idx="252">
                  <c:v>-97.48</c:v>
                </c:pt>
                <c:pt idx="253">
                  <c:v>-97.47</c:v>
                </c:pt>
                <c:pt idx="254">
                  <c:v>-97.46</c:v>
                </c:pt>
                <c:pt idx="255">
                  <c:v>-97.45</c:v>
                </c:pt>
                <c:pt idx="256">
                  <c:v>-97.44</c:v>
                </c:pt>
                <c:pt idx="257">
                  <c:v>-97.43</c:v>
                </c:pt>
                <c:pt idx="258">
                  <c:v>-97.42</c:v>
                </c:pt>
                <c:pt idx="259">
                  <c:v>-97.41</c:v>
                </c:pt>
                <c:pt idx="260">
                  <c:v>-97.4</c:v>
                </c:pt>
                <c:pt idx="261">
                  <c:v>-97.39</c:v>
                </c:pt>
                <c:pt idx="262">
                  <c:v>-97.38</c:v>
                </c:pt>
                <c:pt idx="263">
                  <c:v>-97.37</c:v>
                </c:pt>
                <c:pt idx="264">
                  <c:v>-97.36</c:v>
                </c:pt>
                <c:pt idx="265">
                  <c:v>-97.35</c:v>
                </c:pt>
                <c:pt idx="266">
                  <c:v>-97.34</c:v>
                </c:pt>
                <c:pt idx="267">
                  <c:v>-97.33</c:v>
                </c:pt>
                <c:pt idx="268">
                  <c:v>-97.32</c:v>
                </c:pt>
                <c:pt idx="269">
                  <c:v>-97.31</c:v>
                </c:pt>
                <c:pt idx="270">
                  <c:v>-97.3</c:v>
                </c:pt>
                <c:pt idx="271">
                  <c:v>-97.29</c:v>
                </c:pt>
                <c:pt idx="272">
                  <c:v>-97.28</c:v>
                </c:pt>
                <c:pt idx="273">
                  <c:v>-97.27</c:v>
                </c:pt>
                <c:pt idx="274">
                  <c:v>-97.26</c:v>
                </c:pt>
                <c:pt idx="275">
                  <c:v>-97.25</c:v>
                </c:pt>
                <c:pt idx="276">
                  <c:v>-97.24</c:v>
                </c:pt>
                <c:pt idx="277">
                  <c:v>-97.23</c:v>
                </c:pt>
                <c:pt idx="278">
                  <c:v>-97.22</c:v>
                </c:pt>
                <c:pt idx="279">
                  <c:v>-97.21</c:v>
                </c:pt>
                <c:pt idx="280">
                  <c:v>-97.2</c:v>
                </c:pt>
                <c:pt idx="281">
                  <c:v>-97.19</c:v>
                </c:pt>
                <c:pt idx="282">
                  <c:v>-97.18</c:v>
                </c:pt>
                <c:pt idx="283">
                  <c:v>-97.17</c:v>
                </c:pt>
                <c:pt idx="284">
                  <c:v>-97.16</c:v>
                </c:pt>
                <c:pt idx="285">
                  <c:v>-97.15</c:v>
                </c:pt>
                <c:pt idx="286">
                  <c:v>-97.14</c:v>
                </c:pt>
                <c:pt idx="287">
                  <c:v>-97.13</c:v>
                </c:pt>
                <c:pt idx="288">
                  <c:v>-97.12</c:v>
                </c:pt>
                <c:pt idx="289">
                  <c:v>-97.11</c:v>
                </c:pt>
                <c:pt idx="290">
                  <c:v>-97.1</c:v>
                </c:pt>
                <c:pt idx="291">
                  <c:v>-97.09</c:v>
                </c:pt>
                <c:pt idx="292">
                  <c:v>-97.08</c:v>
                </c:pt>
                <c:pt idx="293">
                  <c:v>-97.07</c:v>
                </c:pt>
                <c:pt idx="294">
                  <c:v>-97.06</c:v>
                </c:pt>
                <c:pt idx="295">
                  <c:v>-97.05</c:v>
                </c:pt>
                <c:pt idx="296">
                  <c:v>-97.04</c:v>
                </c:pt>
                <c:pt idx="297">
                  <c:v>-97.03</c:v>
                </c:pt>
                <c:pt idx="298">
                  <c:v>-97.02</c:v>
                </c:pt>
                <c:pt idx="299">
                  <c:v>-97.01</c:v>
                </c:pt>
                <c:pt idx="300">
                  <c:v>-97.0</c:v>
                </c:pt>
                <c:pt idx="301">
                  <c:v>-96.99</c:v>
                </c:pt>
                <c:pt idx="302">
                  <c:v>-96.98</c:v>
                </c:pt>
                <c:pt idx="303">
                  <c:v>-96.97</c:v>
                </c:pt>
                <c:pt idx="304">
                  <c:v>-96.96</c:v>
                </c:pt>
                <c:pt idx="305">
                  <c:v>-96.95</c:v>
                </c:pt>
                <c:pt idx="306">
                  <c:v>-96.94</c:v>
                </c:pt>
                <c:pt idx="307">
                  <c:v>-96.93</c:v>
                </c:pt>
                <c:pt idx="308">
                  <c:v>-96.92</c:v>
                </c:pt>
                <c:pt idx="309">
                  <c:v>-96.91</c:v>
                </c:pt>
                <c:pt idx="310">
                  <c:v>-96.9</c:v>
                </c:pt>
                <c:pt idx="311">
                  <c:v>-96.89</c:v>
                </c:pt>
                <c:pt idx="312">
                  <c:v>-96.88</c:v>
                </c:pt>
                <c:pt idx="313">
                  <c:v>-96.87</c:v>
                </c:pt>
                <c:pt idx="314">
                  <c:v>-96.86</c:v>
                </c:pt>
                <c:pt idx="315">
                  <c:v>-96.85</c:v>
                </c:pt>
                <c:pt idx="316">
                  <c:v>-96.84</c:v>
                </c:pt>
                <c:pt idx="317">
                  <c:v>-96.83</c:v>
                </c:pt>
                <c:pt idx="318">
                  <c:v>-96.82</c:v>
                </c:pt>
                <c:pt idx="319">
                  <c:v>-96.81</c:v>
                </c:pt>
                <c:pt idx="320">
                  <c:v>-96.8</c:v>
                </c:pt>
                <c:pt idx="321">
                  <c:v>-96.79</c:v>
                </c:pt>
                <c:pt idx="322">
                  <c:v>-96.78</c:v>
                </c:pt>
                <c:pt idx="323">
                  <c:v>-96.77</c:v>
                </c:pt>
                <c:pt idx="324">
                  <c:v>-96.76</c:v>
                </c:pt>
                <c:pt idx="325">
                  <c:v>-96.75</c:v>
                </c:pt>
                <c:pt idx="326">
                  <c:v>-96.74</c:v>
                </c:pt>
                <c:pt idx="327">
                  <c:v>-96.73</c:v>
                </c:pt>
                <c:pt idx="328">
                  <c:v>-96.72</c:v>
                </c:pt>
                <c:pt idx="329">
                  <c:v>-96.71</c:v>
                </c:pt>
                <c:pt idx="330">
                  <c:v>-96.7</c:v>
                </c:pt>
                <c:pt idx="331">
                  <c:v>-96.69</c:v>
                </c:pt>
                <c:pt idx="332">
                  <c:v>-96.68</c:v>
                </c:pt>
                <c:pt idx="333">
                  <c:v>-96.67</c:v>
                </c:pt>
                <c:pt idx="334">
                  <c:v>-96.66</c:v>
                </c:pt>
                <c:pt idx="335">
                  <c:v>-96.65</c:v>
                </c:pt>
                <c:pt idx="336">
                  <c:v>-96.64</c:v>
                </c:pt>
                <c:pt idx="337">
                  <c:v>-96.63</c:v>
                </c:pt>
                <c:pt idx="338">
                  <c:v>-96.62</c:v>
                </c:pt>
                <c:pt idx="339">
                  <c:v>-96.61</c:v>
                </c:pt>
                <c:pt idx="340">
                  <c:v>-96.6</c:v>
                </c:pt>
                <c:pt idx="341">
                  <c:v>-96.59</c:v>
                </c:pt>
                <c:pt idx="342">
                  <c:v>-96.58</c:v>
                </c:pt>
                <c:pt idx="343">
                  <c:v>-96.57</c:v>
                </c:pt>
                <c:pt idx="344">
                  <c:v>-96.56</c:v>
                </c:pt>
                <c:pt idx="345">
                  <c:v>-96.55</c:v>
                </c:pt>
                <c:pt idx="346">
                  <c:v>-96.54</c:v>
                </c:pt>
                <c:pt idx="347">
                  <c:v>-96.53</c:v>
                </c:pt>
                <c:pt idx="348">
                  <c:v>-96.52</c:v>
                </c:pt>
                <c:pt idx="349">
                  <c:v>-96.51</c:v>
                </c:pt>
                <c:pt idx="350">
                  <c:v>-96.5</c:v>
                </c:pt>
                <c:pt idx="351">
                  <c:v>-96.49</c:v>
                </c:pt>
                <c:pt idx="352">
                  <c:v>-96.48</c:v>
                </c:pt>
                <c:pt idx="353">
                  <c:v>-96.47</c:v>
                </c:pt>
                <c:pt idx="354">
                  <c:v>-96.46</c:v>
                </c:pt>
                <c:pt idx="355">
                  <c:v>-96.45</c:v>
                </c:pt>
                <c:pt idx="356">
                  <c:v>-96.44</c:v>
                </c:pt>
                <c:pt idx="357">
                  <c:v>-96.43</c:v>
                </c:pt>
                <c:pt idx="358">
                  <c:v>-96.42</c:v>
                </c:pt>
                <c:pt idx="359">
                  <c:v>-96.41</c:v>
                </c:pt>
                <c:pt idx="360">
                  <c:v>-96.4</c:v>
                </c:pt>
                <c:pt idx="361">
                  <c:v>-96.39</c:v>
                </c:pt>
                <c:pt idx="362">
                  <c:v>-96.38</c:v>
                </c:pt>
                <c:pt idx="363">
                  <c:v>-96.37</c:v>
                </c:pt>
                <c:pt idx="364">
                  <c:v>-96.36</c:v>
                </c:pt>
                <c:pt idx="365">
                  <c:v>-96.35</c:v>
                </c:pt>
                <c:pt idx="366">
                  <c:v>-96.34</c:v>
                </c:pt>
                <c:pt idx="367">
                  <c:v>-96.33</c:v>
                </c:pt>
                <c:pt idx="368">
                  <c:v>-96.32</c:v>
                </c:pt>
                <c:pt idx="369">
                  <c:v>-96.31</c:v>
                </c:pt>
                <c:pt idx="370">
                  <c:v>-96.3</c:v>
                </c:pt>
                <c:pt idx="371">
                  <c:v>-96.29</c:v>
                </c:pt>
                <c:pt idx="372">
                  <c:v>-96.28</c:v>
                </c:pt>
                <c:pt idx="373">
                  <c:v>-96.27</c:v>
                </c:pt>
                <c:pt idx="374">
                  <c:v>-96.26</c:v>
                </c:pt>
                <c:pt idx="375">
                  <c:v>-96.25</c:v>
                </c:pt>
                <c:pt idx="376">
                  <c:v>-96.24</c:v>
                </c:pt>
                <c:pt idx="377">
                  <c:v>-96.23</c:v>
                </c:pt>
                <c:pt idx="378">
                  <c:v>-96.22</c:v>
                </c:pt>
                <c:pt idx="379">
                  <c:v>-96.21</c:v>
                </c:pt>
                <c:pt idx="380">
                  <c:v>-96.2</c:v>
                </c:pt>
                <c:pt idx="381">
                  <c:v>-96.19</c:v>
                </c:pt>
                <c:pt idx="382">
                  <c:v>-96.18</c:v>
                </c:pt>
                <c:pt idx="383">
                  <c:v>-96.17</c:v>
                </c:pt>
                <c:pt idx="384">
                  <c:v>-96.16</c:v>
                </c:pt>
                <c:pt idx="385">
                  <c:v>-96.15</c:v>
                </c:pt>
                <c:pt idx="386">
                  <c:v>-96.14</c:v>
                </c:pt>
                <c:pt idx="387">
                  <c:v>-96.13</c:v>
                </c:pt>
                <c:pt idx="388">
                  <c:v>-96.12</c:v>
                </c:pt>
                <c:pt idx="389">
                  <c:v>-96.11</c:v>
                </c:pt>
                <c:pt idx="390">
                  <c:v>-96.1</c:v>
                </c:pt>
                <c:pt idx="391">
                  <c:v>-96.09</c:v>
                </c:pt>
                <c:pt idx="392">
                  <c:v>-96.08</c:v>
                </c:pt>
                <c:pt idx="393">
                  <c:v>-96.07</c:v>
                </c:pt>
                <c:pt idx="394">
                  <c:v>-96.06</c:v>
                </c:pt>
                <c:pt idx="395">
                  <c:v>-96.05</c:v>
                </c:pt>
                <c:pt idx="396">
                  <c:v>-96.04</c:v>
                </c:pt>
                <c:pt idx="397">
                  <c:v>-96.03</c:v>
                </c:pt>
                <c:pt idx="398">
                  <c:v>-96.02</c:v>
                </c:pt>
                <c:pt idx="399">
                  <c:v>-96.01</c:v>
                </c:pt>
                <c:pt idx="400">
                  <c:v>-96.0</c:v>
                </c:pt>
                <c:pt idx="401">
                  <c:v>-95.99</c:v>
                </c:pt>
                <c:pt idx="402">
                  <c:v>-95.98</c:v>
                </c:pt>
                <c:pt idx="403">
                  <c:v>-95.97</c:v>
                </c:pt>
                <c:pt idx="404">
                  <c:v>-95.96</c:v>
                </c:pt>
                <c:pt idx="405">
                  <c:v>-95.95</c:v>
                </c:pt>
                <c:pt idx="406">
                  <c:v>-95.94</c:v>
                </c:pt>
                <c:pt idx="407">
                  <c:v>-95.93</c:v>
                </c:pt>
                <c:pt idx="408">
                  <c:v>-95.92</c:v>
                </c:pt>
                <c:pt idx="409">
                  <c:v>-95.91</c:v>
                </c:pt>
                <c:pt idx="410">
                  <c:v>-95.9</c:v>
                </c:pt>
                <c:pt idx="411">
                  <c:v>-95.89</c:v>
                </c:pt>
                <c:pt idx="412">
                  <c:v>-95.88</c:v>
                </c:pt>
                <c:pt idx="413">
                  <c:v>-95.87</c:v>
                </c:pt>
                <c:pt idx="414">
                  <c:v>-95.86</c:v>
                </c:pt>
                <c:pt idx="415">
                  <c:v>-95.85</c:v>
                </c:pt>
                <c:pt idx="416">
                  <c:v>-95.84</c:v>
                </c:pt>
                <c:pt idx="417">
                  <c:v>-95.83</c:v>
                </c:pt>
                <c:pt idx="418">
                  <c:v>-95.82</c:v>
                </c:pt>
                <c:pt idx="419">
                  <c:v>-95.81</c:v>
                </c:pt>
                <c:pt idx="420">
                  <c:v>-95.8</c:v>
                </c:pt>
                <c:pt idx="421">
                  <c:v>-95.79</c:v>
                </c:pt>
                <c:pt idx="422">
                  <c:v>-95.78</c:v>
                </c:pt>
                <c:pt idx="423">
                  <c:v>-95.77</c:v>
                </c:pt>
                <c:pt idx="424">
                  <c:v>-95.76</c:v>
                </c:pt>
                <c:pt idx="425">
                  <c:v>-95.75</c:v>
                </c:pt>
                <c:pt idx="426">
                  <c:v>-95.74</c:v>
                </c:pt>
                <c:pt idx="427">
                  <c:v>-95.73</c:v>
                </c:pt>
                <c:pt idx="428">
                  <c:v>-95.72</c:v>
                </c:pt>
                <c:pt idx="429">
                  <c:v>-95.71</c:v>
                </c:pt>
                <c:pt idx="430">
                  <c:v>-95.7</c:v>
                </c:pt>
                <c:pt idx="431">
                  <c:v>-95.69</c:v>
                </c:pt>
                <c:pt idx="432">
                  <c:v>-95.68</c:v>
                </c:pt>
                <c:pt idx="433">
                  <c:v>-95.67</c:v>
                </c:pt>
                <c:pt idx="434">
                  <c:v>-95.66</c:v>
                </c:pt>
                <c:pt idx="435">
                  <c:v>-95.65</c:v>
                </c:pt>
                <c:pt idx="436">
                  <c:v>-95.64</c:v>
                </c:pt>
                <c:pt idx="437">
                  <c:v>-95.63</c:v>
                </c:pt>
                <c:pt idx="438">
                  <c:v>-95.62</c:v>
                </c:pt>
                <c:pt idx="439">
                  <c:v>-95.61</c:v>
                </c:pt>
                <c:pt idx="440">
                  <c:v>-95.6</c:v>
                </c:pt>
                <c:pt idx="441">
                  <c:v>-95.59</c:v>
                </c:pt>
                <c:pt idx="442">
                  <c:v>-95.58</c:v>
                </c:pt>
                <c:pt idx="443">
                  <c:v>-95.57</c:v>
                </c:pt>
                <c:pt idx="444">
                  <c:v>-95.56</c:v>
                </c:pt>
                <c:pt idx="445">
                  <c:v>-95.55</c:v>
                </c:pt>
                <c:pt idx="446">
                  <c:v>-95.54</c:v>
                </c:pt>
                <c:pt idx="447">
                  <c:v>-95.53</c:v>
                </c:pt>
                <c:pt idx="448">
                  <c:v>-95.52</c:v>
                </c:pt>
                <c:pt idx="449">
                  <c:v>-95.51</c:v>
                </c:pt>
                <c:pt idx="450">
                  <c:v>-95.5</c:v>
                </c:pt>
                <c:pt idx="451">
                  <c:v>-95.49</c:v>
                </c:pt>
                <c:pt idx="452">
                  <c:v>-95.48</c:v>
                </c:pt>
                <c:pt idx="453">
                  <c:v>-95.47</c:v>
                </c:pt>
                <c:pt idx="454">
                  <c:v>-95.46</c:v>
                </c:pt>
                <c:pt idx="455">
                  <c:v>-95.45</c:v>
                </c:pt>
                <c:pt idx="456">
                  <c:v>-95.44</c:v>
                </c:pt>
                <c:pt idx="457">
                  <c:v>-95.43</c:v>
                </c:pt>
                <c:pt idx="458">
                  <c:v>-95.42</c:v>
                </c:pt>
                <c:pt idx="459">
                  <c:v>-95.41</c:v>
                </c:pt>
                <c:pt idx="460">
                  <c:v>-95.4</c:v>
                </c:pt>
                <c:pt idx="461">
                  <c:v>-95.39</c:v>
                </c:pt>
                <c:pt idx="462">
                  <c:v>-95.38</c:v>
                </c:pt>
                <c:pt idx="463">
                  <c:v>-95.37</c:v>
                </c:pt>
                <c:pt idx="464">
                  <c:v>-95.36</c:v>
                </c:pt>
                <c:pt idx="465">
                  <c:v>-95.35</c:v>
                </c:pt>
                <c:pt idx="466">
                  <c:v>-95.34</c:v>
                </c:pt>
                <c:pt idx="467">
                  <c:v>-95.33</c:v>
                </c:pt>
                <c:pt idx="468">
                  <c:v>-95.32</c:v>
                </c:pt>
                <c:pt idx="469">
                  <c:v>-95.31</c:v>
                </c:pt>
                <c:pt idx="470">
                  <c:v>-95.3</c:v>
                </c:pt>
                <c:pt idx="471">
                  <c:v>-95.29</c:v>
                </c:pt>
                <c:pt idx="472">
                  <c:v>-95.28</c:v>
                </c:pt>
                <c:pt idx="473">
                  <c:v>-95.27</c:v>
                </c:pt>
                <c:pt idx="474">
                  <c:v>-95.26</c:v>
                </c:pt>
                <c:pt idx="475">
                  <c:v>-95.25</c:v>
                </c:pt>
                <c:pt idx="476">
                  <c:v>-95.24</c:v>
                </c:pt>
                <c:pt idx="477">
                  <c:v>-95.23</c:v>
                </c:pt>
                <c:pt idx="478">
                  <c:v>-95.22</c:v>
                </c:pt>
                <c:pt idx="479">
                  <c:v>-95.21</c:v>
                </c:pt>
                <c:pt idx="480">
                  <c:v>-95.2</c:v>
                </c:pt>
                <c:pt idx="481">
                  <c:v>-95.19</c:v>
                </c:pt>
                <c:pt idx="482">
                  <c:v>-95.18</c:v>
                </c:pt>
                <c:pt idx="483">
                  <c:v>-95.17</c:v>
                </c:pt>
                <c:pt idx="484">
                  <c:v>-95.16</c:v>
                </c:pt>
                <c:pt idx="485">
                  <c:v>-95.15</c:v>
                </c:pt>
                <c:pt idx="486">
                  <c:v>-95.14</c:v>
                </c:pt>
                <c:pt idx="487">
                  <c:v>-95.13</c:v>
                </c:pt>
                <c:pt idx="488">
                  <c:v>-95.12</c:v>
                </c:pt>
                <c:pt idx="489">
                  <c:v>-95.11</c:v>
                </c:pt>
                <c:pt idx="490">
                  <c:v>-95.1</c:v>
                </c:pt>
                <c:pt idx="491">
                  <c:v>-95.09</c:v>
                </c:pt>
                <c:pt idx="492">
                  <c:v>-95.08</c:v>
                </c:pt>
                <c:pt idx="493">
                  <c:v>-95.07</c:v>
                </c:pt>
                <c:pt idx="494">
                  <c:v>-95.06</c:v>
                </c:pt>
                <c:pt idx="495">
                  <c:v>-95.05</c:v>
                </c:pt>
                <c:pt idx="496">
                  <c:v>-95.04</c:v>
                </c:pt>
                <c:pt idx="497">
                  <c:v>-95.03</c:v>
                </c:pt>
                <c:pt idx="498">
                  <c:v>-95.02</c:v>
                </c:pt>
                <c:pt idx="499">
                  <c:v>-95.01</c:v>
                </c:pt>
                <c:pt idx="500">
                  <c:v>-95.0</c:v>
                </c:pt>
                <c:pt idx="501">
                  <c:v>-94.99</c:v>
                </c:pt>
                <c:pt idx="502">
                  <c:v>-94.98</c:v>
                </c:pt>
                <c:pt idx="503">
                  <c:v>-94.97</c:v>
                </c:pt>
                <c:pt idx="504">
                  <c:v>-94.96</c:v>
                </c:pt>
                <c:pt idx="505">
                  <c:v>-94.95</c:v>
                </c:pt>
                <c:pt idx="506">
                  <c:v>-94.94</c:v>
                </c:pt>
                <c:pt idx="507">
                  <c:v>-94.93</c:v>
                </c:pt>
                <c:pt idx="508">
                  <c:v>-94.92</c:v>
                </c:pt>
                <c:pt idx="509">
                  <c:v>-94.91</c:v>
                </c:pt>
                <c:pt idx="510">
                  <c:v>-94.9</c:v>
                </c:pt>
                <c:pt idx="511">
                  <c:v>-94.89</c:v>
                </c:pt>
                <c:pt idx="512">
                  <c:v>-94.88</c:v>
                </c:pt>
                <c:pt idx="513">
                  <c:v>-94.87</c:v>
                </c:pt>
                <c:pt idx="514">
                  <c:v>-94.86</c:v>
                </c:pt>
                <c:pt idx="515">
                  <c:v>-94.85</c:v>
                </c:pt>
                <c:pt idx="516">
                  <c:v>-94.84</c:v>
                </c:pt>
                <c:pt idx="517">
                  <c:v>-94.83</c:v>
                </c:pt>
                <c:pt idx="518">
                  <c:v>-94.82</c:v>
                </c:pt>
                <c:pt idx="519">
                  <c:v>-94.81</c:v>
                </c:pt>
                <c:pt idx="520">
                  <c:v>-94.8</c:v>
                </c:pt>
                <c:pt idx="521">
                  <c:v>-94.79</c:v>
                </c:pt>
                <c:pt idx="522">
                  <c:v>-94.78</c:v>
                </c:pt>
                <c:pt idx="523">
                  <c:v>-94.77</c:v>
                </c:pt>
                <c:pt idx="524">
                  <c:v>-94.76</c:v>
                </c:pt>
                <c:pt idx="525">
                  <c:v>-94.75</c:v>
                </c:pt>
                <c:pt idx="526">
                  <c:v>-94.74</c:v>
                </c:pt>
                <c:pt idx="527">
                  <c:v>-94.73</c:v>
                </c:pt>
                <c:pt idx="528">
                  <c:v>-94.72</c:v>
                </c:pt>
                <c:pt idx="529">
                  <c:v>-94.71</c:v>
                </c:pt>
                <c:pt idx="530">
                  <c:v>-94.7</c:v>
                </c:pt>
                <c:pt idx="531">
                  <c:v>-94.69</c:v>
                </c:pt>
                <c:pt idx="532">
                  <c:v>-94.68</c:v>
                </c:pt>
                <c:pt idx="533">
                  <c:v>-94.67</c:v>
                </c:pt>
                <c:pt idx="534">
                  <c:v>-94.66</c:v>
                </c:pt>
                <c:pt idx="535">
                  <c:v>-94.65</c:v>
                </c:pt>
                <c:pt idx="536">
                  <c:v>-94.64</c:v>
                </c:pt>
                <c:pt idx="537">
                  <c:v>-94.63</c:v>
                </c:pt>
                <c:pt idx="538">
                  <c:v>-94.62</c:v>
                </c:pt>
                <c:pt idx="539">
                  <c:v>-94.61</c:v>
                </c:pt>
                <c:pt idx="540">
                  <c:v>-94.6</c:v>
                </c:pt>
                <c:pt idx="541">
                  <c:v>-94.59</c:v>
                </c:pt>
                <c:pt idx="542">
                  <c:v>-94.58</c:v>
                </c:pt>
                <c:pt idx="543">
                  <c:v>-94.57</c:v>
                </c:pt>
                <c:pt idx="544">
                  <c:v>-94.56</c:v>
                </c:pt>
                <c:pt idx="545">
                  <c:v>-94.55</c:v>
                </c:pt>
                <c:pt idx="546">
                  <c:v>-94.54</c:v>
                </c:pt>
                <c:pt idx="547">
                  <c:v>-94.53</c:v>
                </c:pt>
                <c:pt idx="548">
                  <c:v>-94.52</c:v>
                </c:pt>
                <c:pt idx="549">
                  <c:v>-94.51</c:v>
                </c:pt>
                <c:pt idx="550">
                  <c:v>-94.5</c:v>
                </c:pt>
                <c:pt idx="551">
                  <c:v>-94.49</c:v>
                </c:pt>
                <c:pt idx="552">
                  <c:v>-94.48</c:v>
                </c:pt>
                <c:pt idx="553">
                  <c:v>-94.47</c:v>
                </c:pt>
                <c:pt idx="554">
                  <c:v>-94.46</c:v>
                </c:pt>
                <c:pt idx="555">
                  <c:v>-94.45</c:v>
                </c:pt>
                <c:pt idx="556">
                  <c:v>-94.44</c:v>
                </c:pt>
                <c:pt idx="557">
                  <c:v>-94.43</c:v>
                </c:pt>
                <c:pt idx="558">
                  <c:v>-94.42</c:v>
                </c:pt>
                <c:pt idx="559">
                  <c:v>-94.41</c:v>
                </c:pt>
                <c:pt idx="560">
                  <c:v>-94.4</c:v>
                </c:pt>
                <c:pt idx="561">
                  <c:v>-94.39</c:v>
                </c:pt>
                <c:pt idx="562">
                  <c:v>-94.38</c:v>
                </c:pt>
                <c:pt idx="563">
                  <c:v>-94.37</c:v>
                </c:pt>
                <c:pt idx="564">
                  <c:v>-94.36</c:v>
                </c:pt>
                <c:pt idx="565">
                  <c:v>-94.35</c:v>
                </c:pt>
                <c:pt idx="566">
                  <c:v>-94.34</c:v>
                </c:pt>
                <c:pt idx="567">
                  <c:v>-94.33</c:v>
                </c:pt>
                <c:pt idx="568">
                  <c:v>-94.32</c:v>
                </c:pt>
                <c:pt idx="569">
                  <c:v>-94.31</c:v>
                </c:pt>
                <c:pt idx="570">
                  <c:v>-94.3</c:v>
                </c:pt>
                <c:pt idx="571">
                  <c:v>-94.29</c:v>
                </c:pt>
                <c:pt idx="572">
                  <c:v>-94.28</c:v>
                </c:pt>
                <c:pt idx="573">
                  <c:v>-94.27</c:v>
                </c:pt>
                <c:pt idx="574">
                  <c:v>-94.26</c:v>
                </c:pt>
                <c:pt idx="575">
                  <c:v>-94.25</c:v>
                </c:pt>
                <c:pt idx="576">
                  <c:v>-94.24</c:v>
                </c:pt>
                <c:pt idx="577">
                  <c:v>-94.23</c:v>
                </c:pt>
                <c:pt idx="578">
                  <c:v>-94.22</c:v>
                </c:pt>
                <c:pt idx="579">
                  <c:v>-94.21</c:v>
                </c:pt>
                <c:pt idx="580">
                  <c:v>-94.2</c:v>
                </c:pt>
                <c:pt idx="581">
                  <c:v>-94.19</c:v>
                </c:pt>
                <c:pt idx="582">
                  <c:v>-94.18</c:v>
                </c:pt>
                <c:pt idx="583">
                  <c:v>-94.17</c:v>
                </c:pt>
                <c:pt idx="584">
                  <c:v>-94.16</c:v>
                </c:pt>
                <c:pt idx="585">
                  <c:v>-94.15</c:v>
                </c:pt>
                <c:pt idx="586">
                  <c:v>-94.14</c:v>
                </c:pt>
                <c:pt idx="587">
                  <c:v>-94.13</c:v>
                </c:pt>
                <c:pt idx="588">
                  <c:v>-94.12</c:v>
                </c:pt>
                <c:pt idx="589">
                  <c:v>-94.11</c:v>
                </c:pt>
                <c:pt idx="590">
                  <c:v>-94.1</c:v>
                </c:pt>
                <c:pt idx="591">
                  <c:v>-94.09</c:v>
                </c:pt>
                <c:pt idx="592">
                  <c:v>-94.08</c:v>
                </c:pt>
                <c:pt idx="593">
                  <c:v>-94.07</c:v>
                </c:pt>
                <c:pt idx="594">
                  <c:v>-94.06</c:v>
                </c:pt>
                <c:pt idx="595">
                  <c:v>-94.05</c:v>
                </c:pt>
                <c:pt idx="596">
                  <c:v>-94.04</c:v>
                </c:pt>
                <c:pt idx="597">
                  <c:v>-94.03</c:v>
                </c:pt>
                <c:pt idx="598">
                  <c:v>-94.02</c:v>
                </c:pt>
                <c:pt idx="599">
                  <c:v>-94.01</c:v>
                </c:pt>
                <c:pt idx="600">
                  <c:v>-94.0</c:v>
                </c:pt>
                <c:pt idx="601">
                  <c:v>-93.99</c:v>
                </c:pt>
                <c:pt idx="602">
                  <c:v>-93.98</c:v>
                </c:pt>
                <c:pt idx="603">
                  <c:v>-93.97</c:v>
                </c:pt>
                <c:pt idx="604">
                  <c:v>-93.96</c:v>
                </c:pt>
                <c:pt idx="605">
                  <c:v>-93.95</c:v>
                </c:pt>
                <c:pt idx="606">
                  <c:v>-93.94</c:v>
                </c:pt>
                <c:pt idx="607">
                  <c:v>-93.93</c:v>
                </c:pt>
                <c:pt idx="608">
                  <c:v>-93.92</c:v>
                </c:pt>
                <c:pt idx="609">
                  <c:v>-93.91</c:v>
                </c:pt>
                <c:pt idx="610">
                  <c:v>-93.9</c:v>
                </c:pt>
                <c:pt idx="611">
                  <c:v>-93.89</c:v>
                </c:pt>
                <c:pt idx="612">
                  <c:v>-93.88</c:v>
                </c:pt>
                <c:pt idx="613">
                  <c:v>-93.87</c:v>
                </c:pt>
                <c:pt idx="614">
                  <c:v>-93.86</c:v>
                </c:pt>
                <c:pt idx="615">
                  <c:v>-93.85</c:v>
                </c:pt>
                <c:pt idx="616">
                  <c:v>-93.84</c:v>
                </c:pt>
                <c:pt idx="617">
                  <c:v>-93.83</c:v>
                </c:pt>
                <c:pt idx="618">
                  <c:v>-93.82</c:v>
                </c:pt>
                <c:pt idx="619">
                  <c:v>-93.81</c:v>
                </c:pt>
                <c:pt idx="620">
                  <c:v>-93.8</c:v>
                </c:pt>
                <c:pt idx="621">
                  <c:v>-93.79</c:v>
                </c:pt>
                <c:pt idx="622">
                  <c:v>-93.78</c:v>
                </c:pt>
                <c:pt idx="623">
                  <c:v>-93.77</c:v>
                </c:pt>
                <c:pt idx="624">
                  <c:v>-93.76</c:v>
                </c:pt>
                <c:pt idx="625">
                  <c:v>-93.75</c:v>
                </c:pt>
                <c:pt idx="626">
                  <c:v>-93.74</c:v>
                </c:pt>
                <c:pt idx="627">
                  <c:v>-93.73</c:v>
                </c:pt>
                <c:pt idx="628">
                  <c:v>-93.72</c:v>
                </c:pt>
                <c:pt idx="629">
                  <c:v>-93.71</c:v>
                </c:pt>
                <c:pt idx="630">
                  <c:v>-93.7</c:v>
                </c:pt>
                <c:pt idx="631">
                  <c:v>-93.69</c:v>
                </c:pt>
                <c:pt idx="632">
                  <c:v>-93.68</c:v>
                </c:pt>
                <c:pt idx="633">
                  <c:v>-93.67</c:v>
                </c:pt>
                <c:pt idx="634">
                  <c:v>-93.66</c:v>
                </c:pt>
                <c:pt idx="635">
                  <c:v>-93.65</c:v>
                </c:pt>
                <c:pt idx="636">
                  <c:v>-93.64</c:v>
                </c:pt>
                <c:pt idx="637">
                  <c:v>-93.63</c:v>
                </c:pt>
                <c:pt idx="638">
                  <c:v>-93.62</c:v>
                </c:pt>
                <c:pt idx="639">
                  <c:v>-93.61</c:v>
                </c:pt>
                <c:pt idx="640">
                  <c:v>-93.6</c:v>
                </c:pt>
                <c:pt idx="641">
                  <c:v>-93.59</c:v>
                </c:pt>
                <c:pt idx="642">
                  <c:v>-93.58</c:v>
                </c:pt>
                <c:pt idx="643">
                  <c:v>-93.57</c:v>
                </c:pt>
                <c:pt idx="644">
                  <c:v>-93.56</c:v>
                </c:pt>
                <c:pt idx="645">
                  <c:v>-93.55</c:v>
                </c:pt>
                <c:pt idx="646">
                  <c:v>-93.54</c:v>
                </c:pt>
                <c:pt idx="647">
                  <c:v>-93.53</c:v>
                </c:pt>
                <c:pt idx="648">
                  <c:v>-93.52</c:v>
                </c:pt>
                <c:pt idx="649">
                  <c:v>-93.51</c:v>
                </c:pt>
                <c:pt idx="650">
                  <c:v>-93.5</c:v>
                </c:pt>
                <c:pt idx="651">
                  <c:v>-93.49</c:v>
                </c:pt>
                <c:pt idx="652">
                  <c:v>-93.48</c:v>
                </c:pt>
                <c:pt idx="653">
                  <c:v>-93.47</c:v>
                </c:pt>
                <c:pt idx="654">
                  <c:v>-93.46</c:v>
                </c:pt>
                <c:pt idx="655">
                  <c:v>-93.45</c:v>
                </c:pt>
                <c:pt idx="656">
                  <c:v>-93.44</c:v>
                </c:pt>
                <c:pt idx="657">
                  <c:v>-93.43</c:v>
                </c:pt>
                <c:pt idx="658">
                  <c:v>-93.42</c:v>
                </c:pt>
                <c:pt idx="659">
                  <c:v>-93.41</c:v>
                </c:pt>
                <c:pt idx="660">
                  <c:v>-93.4</c:v>
                </c:pt>
                <c:pt idx="661">
                  <c:v>-93.39</c:v>
                </c:pt>
                <c:pt idx="662">
                  <c:v>-93.38</c:v>
                </c:pt>
                <c:pt idx="663">
                  <c:v>-93.37</c:v>
                </c:pt>
                <c:pt idx="664">
                  <c:v>-93.36</c:v>
                </c:pt>
                <c:pt idx="665">
                  <c:v>-93.35</c:v>
                </c:pt>
                <c:pt idx="666">
                  <c:v>-93.34</c:v>
                </c:pt>
                <c:pt idx="667">
                  <c:v>-93.33</c:v>
                </c:pt>
                <c:pt idx="668">
                  <c:v>-93.32</c:v>
                </c:pt>
                <c:pt idx="669">
                  <c:v>-93.31</c:v>
                </c:pt>
                <c:pt idx="670">
                  <c:v>-93.3</c:v>
                </c:pt>
                <c:pt idx="671">
                  <c:v>-93.29</c:v>
                </c:pt>
                <c:pt idx="672">
                  <c:v>-93.28</c:v>
                </c:pt>
                <c:pt idx="673">
                  <c:v>-93.27</c:v>
                </c:pt>
                <c:pt idx="674">
                  <c:v>-93.26</c:v>
                </c:pt>
                <c:pt idx="675">
                  <c:v>-93.25</c:v>
                </c:pt>
                <c:pt idx="676">
                  <c:v>-93.24</c:v>
                </c:pt>
                <c:pt idx="677">
                  <c:v>-93.23</c:v>
                </c:pt>
                <c:pt idx="678">
                  <c:v>-93.22</c:v>
                </c:pt>
                <c:pt idx="679">
                  <c:v>-93.21</c:v>
                </c:pt>
                <c:pt idx="680">
                  <c:v>-93.2</c:v>
                </c:pt>
                <c:pt idx="681">
                  <c:v>-93.19</c:v>
                </c:pt>
                <c:pt idx="682">
                  <c:v>-93.18</c:v>
                </c:pt>
                <c:pt idx="683">
                  <c:v>-93.17</c:v>
                </c:pt>
                <c:pt idx="684">
                  <c:v>-93.16</c:v>
                </c:pt>
                <c:pt idx="685">
                  <c:v>-93.15</c:v>
                </c:pt>
                <c:pt idx="686">
                  <c:v>-93.14</c:v>
                </c:pt>
                <c:pt idx="687">
                  <c:v>-93.13</c:v>
                </c:pt>
                <c:pt idx="688">
                  <c:v>-93.12</c:v>
                </c:pt>
                <c:pt idx="689">
                  <c:v>-93.11</c:v>
                </c:pt>
                <c:pt idx="690">
                  <c:v>-93.1</c:v>
                </c:pt>
                <c:pt idx="691">
                  <c:v>-93.09</c:v>
                </c:pt>
                <c:pt idx="692">
                  <c:v>-93.08</c:v>
                </c:pt>
                <c:pt idx="693">
                  <c:v>-93.07</c:v>
                </c:pt>
                <c:pt idx="694">
                  <c:v>-93.06</c:v>
                </c:pt>
                <c:pt idx="695">
                  <c:v>-93.05</c:v>
                </c:pt>
                <c:pt idx="696">
                  <c:v>-93.04</c:v>
                </c:pt>
                <c:pt idx="697">
                  <c:v>-93.03</c:v>
                </c:pt>
                <c:pt idx="698">
                  <c:v>-93.02</c:v>
                </c:pt>
                <c:pt idx="699">
                  <c:v>-93.01</c:v>
                </c:pt>
                <c:pt idx="700">
                  <c:v>-93.0</c:v>
                </c:pt>
                <c:pt idx="701">
                  <c:v>-92.99</c:v>
                </c:pt>
                <c:pt idx="702">
                  <c:v>-92.98</c:v>
                </c:pt>
                <c:pt idx="703">
                  <c:v>-92.97</c:v>
                </c:pt>
                <c:pt idx="704">
                  <c:v>-92.96</c:v>
                </c:pt>
                <c:pt idx="705">
                  <c:v>-92.95</c:v>
                </c:pt>
                <c:pt idx="706">
                  <c:v>-92.94</c:v>
                </c:pt>
                <c:pt idx="707">
                  <c:v>-92.93</c:v>
                </c:pt>
                <c:pt idx="708">
                  <c:v>-92.92</c:v>
                </c:pt>
                <c:pt idx="709">
                  <c:v>-92.91</c:v>
                </c:pt>
                <c:pt idx="710">
                  <c:v>-92.9</c:v>
                </c:pt>
                <c:pt idx="711">
                  <c:v>-92.89</c:v>
                </c:pt>
                <c:pt idx="712">
                  <c:v>-92.88</c:v>
                </c:pt>
                <c:pt idx="713">
                  <c:v>-92.87</c:v>
                </c:pt>
                <c:pt idx="714">
                  <c:v>-92.86</c:v>
                </c:pt>
                <c:pt idx="715">
                  <c:v>-92.85</c:v>
                </c:pt>
                <c:pt idx="716">
                  <c:v>-92.84</c:v>
                </c:pt>
                <c:pt idx="717">
                  <c:v>-92.83</c:v>
                </c:pt>
                <c:pt idx="718">
                  <c:v>-92.82</c:v>
                </c:pt>
                <c:pt idx="719">
                  <c:v>-92.81</c:v>
                </c:pt>
                <c:pt idx="720">
                  <c:v>-92.8</c:v>
                </c:pt>
                <c:pt idx="721">
                  <c:v>-92.79</c:v>
                </c:pt>
                <c:pt idx="722">
                  <c:v>-92.78</c:v>
                </c:pt>
                <c:pt idx="723">
                  <c:v>-92.77</c:v>
                </c:pt>
                <c:pt idx="724">
                  <c:v>-92.76</c:v>
                </c:pt>
                <c:pt idx="725">
                  <c:v>-92.75</c:v>
                </c:pt>
                <c:pt idx="726">
                  <c:v>-92.74</c:v>
                </c:pt>
                <c:pt idx="727">
                  <c:v>-92.73</c:v>
                </c:pt>
                <c:pt idx="728">
                  <c:v>-92.72</c:v>
                </c:pt>
                <c:pt idx="729">
                  <c:v>-92.71</c:v>
                </c:pt>
                <c:pt idx="730">
                  <c:v>-92.7</c:v>
                </c:pt>
                <c:pt idx="731">
                  <c:v>-92.69</c:v>
                </c:pt>
                <c:pt idx="732">
                  <c:v>-92.68</c:v>
                </c:pt>
                <c:pt idx="733">
                  <c:v>-92.67</c:v>
                </c:pt>
                <c:pt idx="734">
                  <c:v>-92.66</c:v>
                </c:pt>
                <c:pt idx="735">
                  <c:v>-92.65</c:v>
                </c:pt>
                <c:pt idx="736">
                  <c:v>-92.64</c:v>
                </c:pt>
                <c:pt idx="737">
                  <c:v>-92.63</c:v>
                </c:pt>
                <c:pt idx="738">
                  <c:v>-92.62</c:v>
                </c:pt>
                <c:pt idx="739">
                  <c:v>-92.61</c:v>
                </c:pt>
                <c:pt idx="740">
                  <c:v>-92.6</c:v>
                </c:pt>
                <c:pt idx="741">
                  <c:v>-92.59</c:v>
                </c:pt>
                <c:pt idx="742">
                  <c:v>-92.58</c:v>
                </c:pt>
                <c:pt idx="743">
                  <c:v>-92.57</c:v>
                </c:pt>
                <c:pt idx="744">
                  <c:v>-92.56</c:v>
                </c:pt>
                <c:pt idx="745">
                  <c:v>-92.55</c:v>
                </c:pt>
                <c:pt idx="746">
                  <c:v>-92.54</c:v>
                </c:pt>
                <c:pt idx="747">
                  <c:v>-92.53</c:v>
                </c:pt>
                <c:pt idx="748">
                  <c:v>-92.52</c:v>
                </c:pt>
                <c:pt idx="749">
                  <c:v>-92.51</c:v>
                </c:pt>
                <c:pt idx="750">
                  <c:v>-92.5</c:v>
                </c:pt>
                <c:pt idx="751">
                  <c:v>-92.49</c:v>
                </c:pt>
                <c:pt idx="752">
                  <c:v>-92.48</c:v>
                </c:pt>
                <c:pt idx="753">
                  <c:v>-92.47</c:v>
                </c:pt>
                <c:pt idx="754">
                  <c:v>-92.46</c:v>
                </c:pt>
                <c:pt idx="755">
                  <c:v>-92.45</c:v>
                </c:pt>
                <c:pt idx="756">
                  <c:v>-92.44</c:v>
                </c:pt>
                <c:pt idx="757">
                  <c:v>-92.43</c:v>
                </c:pt>
                <c:pt idx="758">
                  <c:v>-92.42</c:v>
                </c:pt>
                <c:pt idx="759">
                  <c:v>-92.41</c:v>
                </c:pt>
                <c:pt idx="760">
                  <c:v>-92.4</c:v>
                </c:pt>
                <c:pt idx="761">
                  <c:v>-92.39</c:v>
                </c:pt>
                <c:pt idx="762">
                  <c:v>-92.38</c:v>
                </c:pt>
                <c:pt idx="763">
                  <c:v>-92.37</c:v>
                </c:pt>
                <c:pt idx="764">
                  <c:v>-92.36</c:v>
                </c:pt>
                <c:pt idx="765">
                  <c:v>-92.35</c:v>
                </c:pt>
                <c:pt idx="766">
                  <c:v>-92.34</c:v>
                </c:pt>
                <c:pt idx="767">
                  <c:v>-92.33</c:v>
                </c:pt>
                <c:pt idx="768">
                  <c:v>-92.32</c:v>
                </c:pt>
                <c:pt idx="769">
                  <c:v>-92.31</c:v>
                </c:pt>
                <c:pt idx="770">
                  <c:v>-92.3</c:v>
                </c:pt>
                <c:pt idx="771">
                  <c:v>-92.29</c:v>
                </c:pt>
                <c:pt idx="772">
                  <c:v>-92.28</c:v>
                </c:pt>
                <c:pt idx="773">
                  <c:v>-92.27</c:v>
                </c:pt>
                <c:pt idx="774">
                  <c:v>-92.26</c:v>
                </c:pt>
                <c:pt idx="775">
                  <c:v>-92.25</c:v>
                </c:pt>
                <c:pt idx="776">
                  <c:v>-92.24</c:v>
                </c:pt>
                <c:pt idx="777">
                  <c:v>-92.23</c:v>
                </c:pt>
                <c:pt idx="778">
                  <c:v>-92.22</c:v>
                </c:pt>
                <c:pt idx="779">
                  <c:v>-92.21</c:v>
                </c:pt>
                <c:pt idx="780">
                  <c:v>-92.2</c:v>
                </c:pt>
                <c:pt idx="781">
                  <c:v>-92.19</c:v>
                </c:pt>
                <c:pt idx="782">
                  <c:v>-92.18</c:v>
                </c:pt>
                <c:pt idx="783">
                  <c:v>-92.17</c:v>
                </c:pt>
                <c:pt idx="784">
                  <c:v>-92.16</c:v>
                </c:pt>
                <c:pt idx="785">
                  <c:v>-92.15</c:v>
                </c:pt>
                <c:pt idx="786">
                  <c:v>-92.14</c:v>
                </c:pt>
                <c:pt idx="787">
                  <c:v>-92.13</c:v>
                </c:pt>
                <c:pt idx="788">
                  <c:v>-92.12</c:v>
                </c:pt>
                <c:pt idx="789">
                  <c:v>-92.11</c:v>
                </c:pt>
                <c:pt idx="790">
                  <c:v>-92.1</c:v>
                </c:pt>
                <c:pt idx="791">
                  <c:v>-92.09</c:v>
                </c:pt>
                <c:pt idx="792">
                  <c:v>-92.08</c:v>
                </c:pt>
                <c:pt idx="793">
                  <c:v>-92.07</c:v>
                </c:pt>
                <c:pt idx="794">
                  <c:v>-92.06</c:v>
                </c:pt>
                <c:pt idx="795">
                  <c:v>-92.05</c:v>
                </c:pt>
                <c:pt idx="796">
                  <c:v>-92.04</c:v>
                </c:pt>
                <c:pt idx="797">
                  <c:v>-92.03</c:v>
                </c:pt>
                <c:pt idx="798">
                  <c:v>-92.02</c:v>
                </c:pt>
                <c:pt idx="799">
                  <c:v>-92.01</c:v>
                </c:pt>
                <c:pt idx="800">
                  <c:v>-92.0</c:v>
                </c:pt>
                <c:pt idx="801">
                  <c:v>-91.99</c:v>
                </c:pt>
                <c:pt idx="802">
                  <c:v>-91.98</c:v>
                </c:pt>
                <c:pt idx="803">
                  <c:v>-91.97</c:v>
                </c:pt>
                <c:pt idx="804">
                  <c:v>-91.96</c:v>
                </c:pt>
                <c:pt idx="805">
                  <c:v>-91.95</c:v>
                </c:pt>
                <c:pt idx="806">
                  <c:v>-91.94</c:v>
                </c:pt>
                <c:pt idx="807">
                  <c:v>-91.93</c:v>
                </c:pt>
                <c:pt idx="808">
                  <c:v>-91.92</c:v>
                </c:pt>
                <c:pt idx="809">
                  <c:v>-91.91</c:v>
                </c:pt>
                <c:pt idx="810">
                  <c:v>-91.9</c:v>
                </c:pt>
                <c:pt idx="811">
                  <c:v>-91.89</c:v>
                </c:pt>
                <c:pt idx="812">
                  <c:v>-91.88</c:v>
                </c:pt>
                <c:pt idx="813">
                  <c:v>-91.87</c:v>
                </c:pt>
                <c:pt idx="814">
                  <c:v>-91.86</c:v>
                </c:pt>
                <c:pt idx="815">
                  <c:v>-91.85</c:v>
                </c:pt>
                <c:pt idx="816">
                  <c:v>-91.84</c:v>
                </c:pt>
                <c:pt idx="817">
                  <c:v>-91.83</c:v>
                </c:pt>
                <c:pt idx="818">
                  <c:v>-91.82</c:v>
                </c:pt>
                <c:pt idx="819">
                  <c:v>-91.81</c:v>
                </c:pt>
                <c:pt idx="820">
                  <c:v>-91.8</c:v>
                </c:pt>
                <c:pt idx="821">
                  <c:v>-91.79</c:v>
                </c:pt>
                <c:pt idx="822">
                  <c:v>-91.78</c:v>
                </c:pt>
                <c:pt idx="823">
                  <c:v>-91.77</c:v>
                </c:pt>
                <c:pt idx="824">
                  <c:v>-91.76</c:v>
                </c:pt>
                <c:pt idx="825">
                  <c:v>-91.75</c:v>
                </c:pt>
                <c:pt idx="826">
                  <c:v>-91.74</c:v>
                </c:pt>
                <c:pt idx="827">
                  <c:v>-91.73</c:v>
                </c:pt>
                <c:pt idx="828">
                  <c:v>-91.72</c:v>
                </c:pt>
                <c:pt idx="829">
                  <c:v>-91.71</c:v>
                </c:pt>
                <c:pt idx="830">
                  <c:v>-91.7</c:v>
                </c:pt>
                <c:pt idx="831">
                  <c:v>-91.69</c:v>
                </c:pt>
                <c:pt idx="832">
                  <c:v>-91.68</c:v>
                </c:pt>
                <c:pt idx="833">
                  <c:v>-91.67</c:v>
                </c:pt>
                <c:pt idx="834">
                  <c:v>-91.66</c:v>
                </c:pt>
                <c:pt idx="835">
                  <c:v>-91.65</c:v>
                </c:pt>
                <c:pt idx="836">
                  <c:v>-91.64</c:v>
                </c:pt>
                <c:pt idx="837">
                  <c:v>-91.63</c:v>
                </c:pt>
                <c:pt idx="838">
                  <c:v>-91.62</c:v>
                </c:pt>
                <c:pt idx="839">
                  <c:v>-91.61</c:v>
                </c:pt>
                <c:pt idx="840">
                  <c:v>-91.6</c:v>
                </c:pt>
                <c:pt idx="841">
                  <c:v>-91.59</c:v>
                </c:pt>
                <c:pt idx="842">
                  <c:v>-91.58</c:v>
                </c:pt>
                <c:pt idx="843">
                  <c:v>-91.57</c:v>
                </c:pt>
                <c:pt idx="844">
                  <c:v>-91.56</c:v>
                </c:pt>
                <c:pt idx="845">
                  <c:v>-91.55</c:v>
                </c:pt>
                <c:pt idx="846">
                  <c:v>-91.54</c:v>
                </c:pt>
                <c:pt idx="847">
                  <c:v>-91.53</c:v>
                </c:pt>
                <c:pt idx="848">
                  <c:v>-91.52</c:v>
                </c:pt>
                <c:pt idx="849">
                  <c:v>-91.51</c:v>
                </c:pt>
                <c:pt idx="850">
                  <c:v>-91.5</c:v>
                </c:pt>
                <c:pt idx="851">
                  <c:v>-91.49</c:v>
                </c:pt>
                <c:pt idx="852">
                  <c:v>-91.48</c:v>
                </c:pt>
                <c:pt idx="853">
                  <c:v>-91.47</c:v>
                </c:pt>
                <c:pt idx="854">
                  <c:v>-91.46</c:v>
                </c:pt>
                <c:pt idx="855">
                  <c:v>-91.45</c:v>
                </c:pt>
                <c:pt idx="856">
                  <c:v>-91.44</c:v>
                </c:pt>
                <c:pt idx="857">
                  <c:v>-91.43</c:v>
                </c:pt>
                <c:pt idx="858">
                  <c:v>-91.42</c:v>
                </c:pt>
                <c:pt idx="859">
                  <c:v>-91.41</c:v>
                </c:pt>
                <c:pt idx="860">
                  <c:v>-91.4</c:v>
                </c:pt>
                <c:pt idx="861">
                  <c:v>-91.39</c:v>
                </c:pt>
                <c:pt idx="862">
                  <c:v>-91.38</c:v>
                </c:pt>
                <c:pt idx="863">
                  <c:v>-91.37</c:v>
                </c:pt>
                <c:pt idx="864">
                  <c:v>-91.36</c:v>
                </c:pt>
                <c:pt idx="865">
                  <c:v>-91.35</c:v>
                </c:pt>
                <c:pt idx="866">
                  <c:v>-91.34</c:v>
                </c:pt>
                <c:pt idx="867">
                  <c:v>-91.33</c:v>
                </c:pt>
                <c:pt idx="868">
                  <c:v>-91.32</c:v>
                </c:pt>
                <c:pt idx="869">
                  <c:v>-91.31</c:v>
                </c:pt>
                <c:pt idx="870">
                  <c:v>-91.3</c:v>
                </c:pt>
                <c:pt idx="871">
                  <c:v>-91.29</c:v>
                </c:pt>
                <c:pt idx="872">
                  <c:v>-91.28</c:v>
                </c:pt>
                <c:pt idx="873">
                  <c:v>-91.27</c:v>
                </c:pt>
                <c:pt idx="874">
                  <c:v>-91.26</c:v>
                </c:pt>
                <c:pt idx="875">
                  <c:v>-91.25</c:v>
                </c:pt>
                <c:pt idx="876">
                  <c:v>-91.24</c:v>
                </c:pt>
                <c:pt idx="877">
                  <c:v>-91.23</c:v>
                </c:pt>
                <c:pt idx="878">
                  <c:v>-91.22</c:v>
                </c:pt>
                <c:pt idx="879">
                  <c:v>-91.21</c:v>
                </c:pt>
                <c:pt idx="880">
                  <c:v>-91.2</c:v>
                </c:pt>
                <c:pt idx="881">
                  <c:v>-91.19</c:v>
                </c:pt>
                <c:pt idx="882">
                  <c:v>-91.18</c:v>
                </c:pt>
                <c:pt idx="883">
                  <c:v>-91.17</c:v>
                </c:pt>
                <c:pt idx="884">
                  <c:v>-91.16</c:v>
                </c:pt>
                <c:pt idx="885">
                  <c:v>-91.15</c:v>
                </c:pt>
                <c:pt idx="886">
                  <c:v>-91.14</c:v>
                </c:pt>
                <c:pt idx="887">
                  <c:v>-91.13</c:v>
                </c:pt>
                <c:pt idx="888">
                  <c:v>-91.12</c:v>
                </c:pt>
                <c:pt idx="889">
                  <c:v>-91.11</c:v>
                </c:pt>
                <c:pt idx="890">
                  <c:v>-91.1</c:v>
                </c:pt>
                <c:pt idx="891">
                  <c:v>-91.09</c:v>
                </c:pt>
                <c:pt idx="892">
                  <c:v>-91.08</c:v>
                </c:pt>
                <c:pt idx="893">
                  <c:v>-91.07</c:v>
                </c:pt>
                <c:pt idx="894">
                  <c:v>-91.06</c:v>
                </c:pt>
                <c:pt idx="895">
                  <c:v>-91.05</c:v>
                </c:pt>
                <c:pt idx="896">
                  <c:v>-91.04</c:v>
                </c:pt>
                <c:pt idx="897">
                  <c:v>-91.03</c:v>
                </c:pt>
                <c:pt idx="898">
                  <c:v>-91.02</c:v>
                </c:pt>
                <c:pt idx="899">
                  <c:v>-91.01</c:v>
                </c:pt>
                <c:pt idx="900">
                  <c:v>-91.0</c:v>
                </c:pt>
                <c:pt idx="901">
                  <c:v>-90.99</c:v>
                </c:pt>
                <c:pt idx="902">
                  <c:v>-90.98</c:v>
                </c:pt>
                <c:pt idx="903">
                  <c:v>-90.97</c:v>
                </c:pt>
                <c:pt idx="904">
                  <c:v>-90.96</c:v>
                </c:pt>
                <c:pt idx="905">
                  <c:v>-90.95</c:v>
                </c:pt>
                <c:pt idx="906">
                  <c:v>-90.94</c:v>
                </c:pt>
                <c:pt idx="907">
                  <c:v>-90.93</c:v>
                </c:pt>
                <c:pt idx="908">
                  <c:v>-90.92</c:v>
                </c:pt>
                <c:pt idx="909">
                  <c:v>-90.91</c:v>
                </c:pt>
                <c:pt idx="910">
                  <c:v>-90.9</c:v>
                </c:pt>
                <c:pt idx="911">
                  <c:v>-90.89</c:v>
                </c:pt>
                <c:pt idx="912">
                  <c:v>-90.88</c:v>
                </c:pt>
                <c:pt idx="913">
                  <c:v>-90.87</c:v>
                </c:pt>
                <c:pt idx="914">
                  <c:v>-90.86</c:v>
                </c:pt>
                <c:pt idx="915">
                  <c:v>-90.85</c:v>
                </c:pt>
                <c:pt idx="916">
                  <c:v>-90.84</c:v>
                </c:pt>
                <c:pt idx="917">
                  <c:v>-90.83</c:v>
                </c:pt>
                <c:pt idx="918">
                  <c:v>-90.82</c:v>
                </c:pt>
                <c:pt idx="919">
                  <c:v>-90.81</c:v>
                </c:pt>
                <c:pt idx="920">
                  <c:v>-90.8</c:v>
                </c:pt>
                <c:pt idx="921">
                  <c:v>-90.79</c:v>
                </c:pt>
                <c:pt idx="922">
                  <c:v>-90.78</c:v>
                </c:pt>
                <c:pt idx="923">
                  <c:v>-90.77</c:v>
                </c:pt>
                <c:pt idx="924">
                  <c:v>-90.76</c:v>
                </c:pt>
                <c:pt idx="925">
                  <c:v>-90.75</c:v>
                </c:pt>
                <c:pt idx="926">
                  <c:v>-90.74</c:v>
                </c:pt>
                <c:pt idx="927">
                  <c:v>-90.73</c:v>
                </c:pt>
                <c:pt idx="928">
                  <c:v>-90.72</c:v>
                </c:pt>
                <c:pt idx="929">
                  <c:v>-90.71</c:v>
                </c:pt>
                <c:pt idx="930">
                  <c:v>-90.7</c:v>
                </c:pt>
                <c:pt idx="931">
                  <c:v>-90.69</c:v>
                </c:pt>
                <c:pt idx="932">
                  <c:v>-90.68</c:v>
                </c:pt>
                <c:pt idx="933">
                  <c:v>-90.67</c:v>
                </c:pt>
                <c:pt idx="934">
                  <c:v>-90.66</c:v>
                </c:pt>
                <c:pt idx="935">
                  <c:v>-90.65</c:v>
                </c:pt>
                <c:pt idx="936">
                  <c:v>-90.64</c:v>
                </c:pt>
                <c:pt idx="937">
                  <c:v>-90.63</c:v>
                </c:pt>
                <c:pt idx="938">
                  <c:v>-90.62</c:v>
                </c:pt>
                <c:pt idx="939">
                  <c:v>-90.61</c:v>
                </c:pt>
                <c:pt idx="940">
                  <c:v>-90.6</c:v>
                </c:pt>
                <c:pt idx="941">
                  <c:v>-90.59</c:v>
                </c:pt>
                <c:pt idx="942">
                  <c:v>-90.58</c:v>
                </c:pt>
                <c:pt idx="943">
                  <c:v>-90.57</c:v>
                </c:pt>
                <c:pt idx="944">
                  <c:v>-90.56</c:v>
                </c:pt>
                <c:pt idx="945">
                  <c:v>-90.55</c:v>
                </c:pt>
                <c:pt idx="946">
                  <c:v>-90.54</c:v>
                </c:pt>
                <c:pt idx="947">
                  <c:v>-90.53</c:v>
                </c:pt>
                <c:pt idx="948">
                  <c:v>-90.52</c:v>
                </c:pt>
                <c:pt idx="949">
                  <c:v>-90.51</c:v>
                </c:pt>
                <c:pt idx="950">
                  <c:v>-90.5</c:v>
                </c:pt>
                <c:pt idx="951">
                  <c:v>-90.49</c:v>
                </c:pt>
                <c:pt idx="952">
                  <c:v>-90.48</c:v>
                </c:pt>
                <c:pt idx="953">
                  <c:v>-90.47</c:v>
                </c:pt>
                <c:pt idx="954">
                  <c:v>-90.46</c:v>
                </c:pt>
                <c:pt idx="955">
                  <c:v>-90.45</c:v>
                </c:pt>
                <c:pt idx="956">
                  <c:v>-90.44</c:v>
                </c:pt>
                <c:pt idx="957">
                  <c:v>-90.43</c:v>
                </c:pt>
                <c:pt idx="958">
                  <c:v>-90.42</c:v>
                </c:pt>
                <c:pt idx="959">
                  <c:v>-90.41</c:v>
                </c:pt>
                <c:pt idx="960">
                  <c:v>-90.4</c:v>
                </c:pt>
                <c:pt idx="961">
                  <c:v>-90.39</c:v>
                </c:pt>
                <c:pt idx="962">
                  <c:v>-90.38</c:v>
                </c:pt>
                <c:pt idx="963">
                  <c:v>-90.37</c:v>
                </c:pt>
                <c:pt idx="964">
                  <c:v>-90.36</c:v>
                </c:pt>
                <c:pt idx="965">
                  <c:v>-90.35</c:v>
                </c:pt>
                <c:pt idx="966">
                  <c:v>-90.34</c:v>
                </c:pt>
                <c:pt idx="967">
                  <c:v>-90.33</c:v>
                </c:pt>
                <c:pt idx="968">
                  <c:v>-90.32</c:v>
                </c:pt>
                <c:pt idx="969">
                  <c:v>-90.31</c:v>
                </c:pt>
                <c:pt idx="970">
                  <c:v>-90.3</c:v>
                </c:pt>
                <c:pt idx="971">
                  <c:v>-90.29</c:v>
                </c:pt>
                <c:pt idx="972">
                  <c:v>-90.28</c:v>
                </c:pt>
                <c:pt idx="973">
                  <c:v>-90.27</c:v>
                </c:pt>
                <c:pt idx="974">
                  <c:v>-90.26</c:v>
                </c:pt>
                <c:pt idx="975">
                  <c:v>-90.25</c:v>
                </c:pt>
                <c:pt idx="976">
                  <c:v>-90.24</c:v>
                </c:pt>
                <c:pt idx="977">
                  <c:v>-90.23</c:v>
                </c:pt>
                <c:pt idx="978">
                  <c:v>-90.22</c:v>
                </c:pt>
                <c:pt idx="979">
                  <c:v>-90.21</c:v>
                </c:pt>
                <c:pt idx="980">
                  <c:v>-90.2</c:v>
                </c:pt>
                <c:pt idx="981">
                  <c:v>-90.19</c:v>
                </c:pt>
                <c:pt idx="982">
                  <c:v>-90.18</c:v>
                </c:pt>
                <c:pt idx="983">
                  <c:v>-90.17</c:v>
                </c:pt>
                <c:pt idx="984">
                  <c:v>-90.16</c:v>
                </c:pt>
                <c:pt idx="985">
                  <c:v>-90.15</c:v>
                </c:pt>
                <c:pt idx="986">
                  <c:v>-90.14</c:v>
                </c:pt>
                <c:pt idx="987">
                  <c:v>-90.13</c:v>
                </c:pt>
                <c:pt idx="988">
                  <c:v>-90.12</c:v>
                </c:pt>
                <c:pt idx="989">
                  <c:v>-90.11</c:v>
                </c:pt>
                <c:pt idx="990">
                  <c:v>-90.1</c:v>
                </c:pt>
                <c:pt idx="991">
                  <c:v>-90.09</c:v>
                </c:pt>
                <c:pt idx="992">
                  <c:v>-90.08</c:v>
                </c:pt>
                <c:pt idx="993">
                  <c:v>-90.07</c:v>
                </c:pt>
                <c:pt idx="994">
                  <c:v>-90.06</c:v>
                </c:pt>
                <c:pt idx="995">
                  <c:v>-90.05</c:v>
                </c:pt>
                <c:pt idx="996">
                  <c:v>-90.04</c:v>
                </c:pt>
                <c:pt idx="997">
                  <c:v>-90.03</c:v>
                </c:pt>
                <c:pt idx="998">
                  <c:v>-90.02</c:v>
                </c:pt>
                <c:pt idx="999">
                  <c:v>-90.01</c:v>
                </c:pt>
                <c:pt idx="1000">
                  <c:v>-90.0</c:v>
                </c:pt>
                <c:pt idx="1001">
                  <c:v>-89.99</c:v>
                </c:pt>
                <c:pt idx="1002">
                  <c:v>-89.98</c:v>
                </c:pt>
                <c:pt idx="1003">
                  <c:v>-89.97</c:v>
                </c:pt>
                <c:pt idx="1004">
                  <c:v>-89.96</c:v>
                </c:pt>
                <c:pt idx="1005">
                  <c:v>-89.95</c:v>
                </c:pt>
                <c:pt idx="1006">
                  <c:v>-89.94</c:v>
                </c:pt>
                <c:pt idx="1007">
                  <c:v>-89.93</c:v>
                </c:pt>
                <c:pt idx="1008">
                  <c:v>-89.92</c:v>
                </c:pt>
                <c:pt idx="1009">
                  <c:v>-89.91</c:v>
                </c:pt>
                <c:pt idx="1010">
                  <c:v>-89.9</c:v>
                </c:pt>
                <c:pt idx="1011">
                  <c:v>-89.89</c:v>
                </c:pt>
                <c:pt idx="1012">
                  <c:v>-89.88</c:v>
                </c:pt>
                <c:pt idx="1013">
                  <c:v>-89.87</c:v>
                </c:pt>
                <c:pt idx="1014">
                  <c:v>-89.86</c:v>
                </c:pt>
                <c:pt idx="1015">
                  <c:v>-89.85</c:v>
                </c:pt>
                <c:pt idx="1016">
                  <c:v>-89.84</c:v>
                </c:pt>
                <c:pt idx="1017">
                  <c:v>-89.83</c:v>
                </c:pt>
                <c:pt idx="1018">
                  <c:v>-89.82</c:v>
                </c:pt>
                <c:pt idx="1019">
                  <c:v>-89.81</c:v>
                </c:pt>
                <c:pt idx="1020">
                  <c:v>-89.8</c:v>
                </c:pt>
                <c:pt idx="1021">
                  <c:v>-89.79</c:v>
                </c:pt>
                <c:pt idx="1022">
                  <c:v>-89.78</c:v>
                </c:pt>
                <c:pt idx="1023">
                  <c:v>-89.77</c:v>
                </c:pt>
                <c:pt idx="1024">
                  <c:v>-89.76</c:v>
                </c:pt>
                <c:pt idx="1025">
                  <c:v>-89.75</c:v>
                </c:pt>
                <c:pt idx="1026">
                  <c:v>-89.74</c:v>
                </c:pt>
                <c:pt idx="1027">
                  <c:v>-89.73</c:v>
                </c:pt>
                <c:pt idx="1028">
                  <c:v>-89.72</c:v>
                </c:pt>
                <c:pt idx="1029">
                  <c:v>-89.71</c:v>
                </c:pt>
                <c:pt idx="1030">
                  <c:v>-89.7</c:v>
                </c:pt>
                <c:pt idx="1031">
                  <c:v>-89.69</c:v>
                </c:pt>
                <c:pt idx="1032">
                  <c:v>-89.68</c:v>
                </c:pt>
                <c:pt idx="1033">
                  <c:v>-89.67</c:v>
                </c:pt>
                <c:pt idx="1034">
                  <c:v>-89.66</c:v>
                </c:pt>
                <c:pt idx="1035">
                  <c:v>-89.65</c:v>
                </c:pt>
                <c:pt idx="1036">
                  <c:v>-89.64</c:v>
                </c:pt>
                <c:pt idx="1037">
                  <c:v>-89.63</c:v>
                </c:pt>
                <c:pt idx="1038">
                  <c:v>-89.62</c:v>
                </c:pt>
                <c:pt idx="1039">
                  <c:v>-89.61</c:v>
                </c:pt>
                <c:pt idx="1040">
                  <c:v>-89.6</c:v>
                </c:pt>
                <c:pt idx="1041">
                  <c:v>-89.59</c:v>
                </c:pt>
                <c:pt idx="1042">
                  <c:v>-89.58</c:v>
                </c:pt>
                <c:pt idx="1043">
                  <c:v>-89.57</c:v>
                </c:pt>
                <c:pt idx="1044">
                  <c:v>-89.56</c:v>
                </c:pt>
                <c:pt idx="1045">
                  <c:v>-89.55</c:v>
                </c:pt>
                <c:pt idx="1046">
                  <c:v>-89.54</c:v>
                </c:pt>
                <c:pt idx="1047">
                  <c:v>-89.53</c:v>
                </c:pt>
                <c:pt idx="1048">
                  <c:v>-89.52</c:v>
                </c:pt>
                <c:pt idx="1049">
                  <c:v>-89.51</c:v>
                </c:pt>
                <c:pt idx="1050">
                  <c:v>-89.5</c:v>
                </c:pt>
                <c:pt idx="1051">
                  <c:v>-89.49</c:v>
                </c:pt>
                <c:pt idx="1052">
                  <c:v>-89.48</c:v>
                </c:pt>
                <c:pt idx="1053">
                  <c:v>-89.47</c:v>
                </c:pt>
                <c:pt idx="1054">
                  <c:v>-89.46</c:v>
                </c:pt>
                <c:pt idx="1055">
                  <c:v>-89.45</c:v>
                </c:pt>
                <c:pt idx="1056">
                  <c:v>-89.44</c:v>
                </c:pt>
                <c:pt idx="1057">
                  <c:v>-89.43</c:v>
                </c:pt>
                <c:pt idx="1058">
                  <c:v>-89.42</c:v>
                </c:pt>
                <c:pt idx="1059">
                  <c:v>-89.41</c:v>
                </c:pt>
                <c:pt idx="1060">
                  <c:v>-89.4</c:v>
                </c:pt>
                <c:pt idx="1061">
                  <c:v>-89.39</c:v>
                </c:pt>
                <c:pt idx="1062">
                  <c:v>-89.38</c:v>
                </c:pt>
                <c:pt idx="1063">
                  <c:v>-89.37</c:v>
                </c:pt>
                <c:pt idx="1064">
                  <c:v>-89.36</c:v>
                </c:pt>
                <c:pt idx="1065">
                  <c:v>-89.35</c:v>
                </c:pt>
                <c:pt idx="1066">
                  <c:v>-89.34</c:v>
                </c:pt>
                <c:pt idx="1067">
                  <c:v>-89.33</c:v>
                </c:pt>
                <c:pt idx="1068">
                  <c:v>-89.32</c:v>
                </c:pt>
                <c:pt idx="1069">
                  <c:v>-89.31</c:v>
                </c:pt>
                <c:pt idx="1070">
                  <c:v>-89.3</c:v>
                </c:pt>
                <c:pt idx="1071">
                  <c:v>-89.29</c:v>
                </c:pt>
                <c:pt idx="1072">
                  <c:v>-89.28</c:v>
                </c:pt>
                <c:pt idx="1073">
                  <c:v>-89.27</c:v>
                </c:pt>
                <c:pt idx="1074">
                  <c:v>-89.26</c:v>
                </c:pt>
                <c:pt idx="1075">
                  <c:v>-89.25</c:v>
                </c:pt>
                <c:pt idx="1076">
                  <c:v>-89.24</c:v>
                </c:pt>
                <c:pt idx="1077">
                  <c:v>-89.23</c:v>
                </c:pt>
                <c:pt idx="1078">
                  <c:v>-89.22</c:v>
                </c:pt>
                <c:pt idx="1079">
                  <c:v>-89.21</c:v>
                </c:pt>
                <c:pt idx="1080">
                  <c:v>-89.2</c:v>
                </c:pt>
                <c:pt idx="1081">
                  <c:v>-89.19</c:v>
                </c:pt>
                <c:pt idx="1082">
                  <c:v>-89.18</c:v>
                </c:pt>
                <c:pt idx="1083">
                  <c:v>-89.17</c:v>
                </c:pt>
                <c:pt idx="1084">
                  <c:v>-89.16</c:v>
                </c:pt>
                <c:pt idx="1085">
                  <c:v>-89.15</c:v>
                </c:pt>
                <c:pt idx="1086">
                  <c:v>-89.14</c:v>
                </c:pt>
                <c:pt idx="1087">
                  <c:v>-89.13</c:v>
                </c:pt>
                <c:pt idx="1088">
                  <c:v>-89.12</c:v>
                </c:pt>
                <c:pt idx="1089">
                  <c:v>-89.11</c:v>
                </c:pt>
                <c:pt idx="1090">
                  <c:v>-89.1</c:v>
                </c:pt>
                <c:pt idx="1091">
                  <c:v>-89.09</c:v>
                </c:pt>
                <c:pt idx="1092">
                  <c:v>-89.08</c:v>
                </c:pt>
                <c:pt idx="1093">
                  <c:v>-89.07</c:v>
                </c:pt>
                <c:pt idx="1094">
                  <c:v>-89.06</c:v>
                </c:pt>
                <c:pt idx="1095">
                  <c:v>-89.05</c:v>
                </c:pt>
                <c:pt idx="1096">
                  <c:v>-89.04</c:v>
                </c:pt>
                <c:pt idx="1097">
                  <c:v>-89.03</c:v>
                </c:pt>
                <c:pt idx="1098">
                  <c:v>-89.02</c:v>
                </c:pt>
                <c:pt idx="1099">
                  <c:v>-89.01</c:v>
                </c:pt>
                <c:pt idx="1100">
                  <c:v>-89.0</c:v>
                </c:pt>
                <c:pt idx="1101">
                  <c:v>-88.99</c:v>
                </c:pt>
                <c:pt idx="1102">
                  <c:v>-88.98</c:v>
                </c:pt>
                <c:pt idx="1103">
                  <c:v>-88.97</c:v>
                </c:pt>
                <c:pt idx="1104">
                  <c:v>-88.96</c:v>
                </c:pt>
                <c:pt idx="1105">
                  <c:v>-88.95</c:v>
                </c:pt>
                <c:pt idx="1106">
                  <c:v>-88.94</c:v>
                </c:pt>
                <c:pt idx="1107">
                  <c:v>-88.93</c:v>
                </c:pt>
                <c:pt idx="1108">
                  <c:v>-88.92</c:v>
                </c:pt>
                <c:pt idx="1109">
                  <c:v>-88.91</c:v>
                </c:pt>
                <c:pt idx="1110">
                  <c:v>-88.9</c:v>
                </c:pt>
                <c:pt idx="1111">
                  <c:v>-88.89</c:v>
                </c:pt>
                <c:pt idx="1112">
                  <c:v>-88.88</c:v>
                </c:pt>
                <c:pt idx="1113">
                  <c:v>-88.87</c:v>
                </c:pt>
                <c:pt idx="1114">
                  <c:v>-88.86</c:v>
                </c:pt>
                <c:pt idx="1115">
                  <c:v>-88.85</c:v>
                </c:pt>
                <c:pt idx="1116">
                  <c:v>-88.84</c:v>
                </c:pt>
                <c:pt idx="1117">
                  <c:v>-88.83</c:v>
                </c:pt>
                <c:pt idx="1118">
                  <c:v>-88.82</c:v>
                </c:pt>
                <c:pt idx="1119">
                  <c:v>-88.81</c:v>
                </c:pt>
                <c:pt idx="1120">
                  <c:v>-88.8</c:v>
                </c:pt>
                <c:pt idx="1121">
                  <c:v>-88.79</c:v>
                </c:pt>
                <c:pt idx="1122">
                  <c:v>-88.78</c:v>
                </c:pt>
                <c:pt idx="1123">
                  <c:v>-88.77</c:v>
                </c:pt>
                <c:pt idx="1124">
                  <c:v>-88.76</c:v>
                </c:pt>
                <c:pt idx="1125">
                  <c:v>-88.75</c:v>
                </c:pt>
                <c:pt idx="1126">
                  <c:v>-88.74</c:v>
                </c:pt>
                <c:pt idx="1127">
                  <c:v>-88.73</c:v>
                </c:pt>
                <c:pt idx="1128">
                  <c:v>-88.72</c:v>
                </c:pt>
                <c:pt idx="1129">
                  <c:v>-88.71</c:v>
                </c:pt>
                <c:pt idx="1130">
                  <c:v>-88.7</c:v>
                </c:pt>
                <c:pt idx="1131">
                  <c:v>-88.69</c:v>
                </c:pt>
                <c:pt idx="1132">
                  <c:v>-88.68</c:v>
                </c:pt>
                <c:pt idx="1133">
                  <c:v>-88.67</c:v>
                </c:pt>
                <c:pt idx="1134">
                  <c:v>-88.66</c:v>
                </c:pt>
                <c:pt idx="1135">
                  <c:v>-88.65</c:v>
                </c:pt>
                <c:pt idx="1136">
                  <c:v>-88.64</c:v>
                </c:pt>
                <c:pt idx="1137">
                  <c:v>-88.63</c:v>
                </c:pt>
                <c:pt idx="1138">
                  <c:v>-88.62</c:v>
                </c:pt>
                <c:pt idx="1139">
                  <c:v>-88.61</c:v>
                </c:pt>
                <c:pt idx="1140">
                  <c:v>-88.6</c:v>
                </c:pt>
                <c:pt idx="1141">
                  <c:v>-88.59</c:v>
                </c:pt>
                <c:pt idx="1142">
                  <c:v>-88.58</c:v>
                </c:pt>
                <c:pt idx="1143">
                  <c:v>-88.57</c:v>
                </c:pt>
                <c:pt idx="1144">
                  <c:v>-88.56</c:v>
                </c:pt>
                <c:pt idx="1145">
                  <c:v>-88.55</c:v>
                </c:pt>
                <c:pt idx="1146">
                  <c:v>-88.54</c:v>
                </c:pt>
                <c:pt idx="1147">
                  <c:v>-88.53</c:v>
                </c:pt>
                <c:pt idx="1148">
                  <c:v>-88.52</c:v>
                </c:pt>
                <c:pt idx="1149">
                  <c:v>-88.51</c:v>
                </c:pt>
                <c:pt idx="1150">
                  <c:v>-88.5</c:v>
                </c:pt>
                <c:pt idx="1151">
                  <c:v>-88.49</c:v>
                </c:pt>
                <c:pt idx="1152">
                  <c:v>-88.48</c:v>
                </c:pt>
                <c:pt idx="1153">
                  <c:v>-88.47</c:v>
                </c:pt>
                <c:pt idx="1154">
                  <c:v>-88.46</c:v>
                </c:pt>
                <c:pt idx="1155">
                  <c:v>-88.45</c:v>
                </c:pt>
                <c:pt idx="1156">
                  <c:v>-88.44</c:v>
                </c:pt>
                <c:pt idx="1157">
                  <c:v>-88.43</c:v>
                </c:pt>
                <c:pt idx="1158">
                  <c:v>-88.42</c:v>
                </c:pt>
                <c:pt idx="1159">
                  <c:v>-88.41</c:v>
                </c:pt>
                <c:pt idx="1160">
                  <c:v>-88.4</c:v>
                </c:pt>
                <c:pt idx="1161">
                  <c:v>-88.39</c:v>
                </c:pt>
                <c:pt idx="1162">
                  <c:v>-88.38</c:v>
                </c:pt>
                <c:pt idx="1163">
                  <c:v>-88.37</c:v>
                </c:pt>
                <c:pt idx="1164">
                  <c:v>-88.36</c:v>
                </c:pt>
                <c:pt idx="1165">
                  <c:v>-88.35</c:v>
                </c:pt>
                <c:pt idx="1166">
                  <c:v>-88.34</c:v>
                </c:pt>
                <c:pt idx="1167">
                  <c:v>-88.33</c:v>
                </c:pt>
                <c:pt idx="1168">
                  <c:v>-88.32</c:v>
                </c:pt>
                <c:pt idx="1169">
                  <c:v>-88.31</c:v>
                </c:pt>
                <c:pt idx="1170">
                  <c:v>-88.3</c:v>
                </c:pt>
                <c:pt idx="1171">
                  <c:v>-88.29</c:v>
                </c:pt>
                <c:pt idx="1172">
                  <c:v>-88.28</c:v>
                </c:pt>
                <c:pt idx="1173">
                  <c:v>-88.27</c:v>
                </c:pt>
                <c:pt idx="1174">
                  <c:v>-88.26</c:v>
                </c:pt>
                <c:pt idx="1175">
                  <c:v>-88.25</c:v>
                </c:pt>
                <c:pt idx="1176">
                  <c:v>-88.24</c:v>
                </c:pt>
                <c:pt idx="1177">
                  <c:v>-88.23</c:v>
                </c:pt>
                <c:pt idx="1178">
                  <c:v>-88.22</c:v>
                </c:pt>
                <c:pt idx="1179">
                  <c:v>-88.21</c:v>
                </c:pt>
                <c:pt idx="1180">
                  <c:v>-88.2</c:v>
                </c:pt>
                <c:pt idx="1181">
                  <c:v>-88.19</c:v>
                </c:pt>
                <c:pt idx="1182">
                  <c:v>-88.18</c:v>
                </c:pt>
                <c:pt idx="1183">
                  <c:v>-88.17</c:v>
                </c:pt>
                <c:pt idx="1184">
                  <c:v>-88.16</c:v>
                </c:pt>
                <c:pt idx="1185">
                  <c:v>-88.15</c:v>
                </c:pt>
                <c:pt idx="1186">
                  <c:v>-88.14</c:v>
                </c:pt>
                <c:pt idx="1187">
                  <c:v>-88.13</c:v>
                </c:pt>
                <c:pt idx="1188">
                  <c:v>-88.12</c:v>
                </c:pt>
                <c:pt idx="1189">
                  <c:v>-88.11</c:v>
                </c:pt>
                <c:pt idx="1190">
                  <c:v>-88.1</c:v>
                </c:pt>
                <c:pt idx="1191">
                  <c:v>-88.09</c:v>
                </c:pt>
                <c:pt idx="1192">
                  <c:v>-88.08</c:v>
                </c:pt>
                <c:pt idx="1193">
                  <c:v>-88.07</c:v>
                </c:pt>
                <c:pt idx="1194">
                  <c:v>-88.06</c:v>
                </c:pt>
                <c:pt idx="1195">
                  <c:v>-88.05</c:v>
                </c:pt>
                <c:pt idx="1196">
                  <c:v>-88.04</c:v>
                </c:pt>
                <c:pt idx="1197">
                  <c:v>-88.03</c:v>
                </c:pt>
                <c:pt idx="1198">
                  <c:v>-88.02</c:v>
                </c:pt>
                <c:pt idx="1199">
                  <c:v>-88.01</c:v>
                </c:pt>
                <c:pt idx="1200">
                  <c:v>-88.0</c:v>
                </c:pt>
                <c:pt idx="1201">
                  <c:v>-87.99</c:v>
                </c:pt>
                <c:pt idx="1202">
                  <c:v>-87.98</c:v>
                </c:pt>
                <c:pt idx="1203">
                  <c:v>-87.97</c:v>
                </c:pt>
                <c:pt idx="1204">
                  <c:v>-87.96</c:v>
                </c:pt>
                <c:pt idx="1205">
                  <c:v>-87.95</c:v>
                </c:pt>
                <c:pt idx="1206">
                  <c:v>-87.94</c:v>
                </c:pt>
                <c:pt idx="1207">
                  <c:v>-87.93</c:v>
                </c:pt>
                <c:pt idx="1208">
                  <c:v>-87.92</c:v>
                </c:pt>
                <c:pt idx="1209">
                  <c:v>-87.91</c:v>
                </c:pt>
                <c:pt idx="1210">
                  <c:v>-87.9</c:v>
                </c:pt>
                <c:pt idx="1211">
                  <c:v>-87.89</c:v>
                </c:pt>
                <c:pt idx="1212">
                  <c:v>-87.88</c:v>
                </c:pt>
                <c:pt idx="1213">
                  <c:v>-87.87</c:v>
                </c:pt>
                <c:pt idx="1214">
                  <c:v>-87.86</c:v>
                </c:pt>
                <c:pt idx="1215">
                  <c:v>-87.85</c:v>
                </c:pt>
                <c:pt idx="1216">
                  <c:v>-87.84</c:v>
                </c:pt>
                <c:pt idx="1217">
                  <c:v>-87.83</c:v>
                </c:pt>
                <c:pt idx="1218">
                  <c:v>-87.82</c:v>
                </c:pt>
                <c:pt idx="1219">
                  <c:v>-87.81</c:v>
                </c:pt>
                <c:pt idx="1220">
                  <c:v>-87.8</c:v>
                </c:pt>
                <c:pt idx="1221">
                  <c:v>-87.79</c:v>
                </c:pt>
                <c:pt idx="1222">
                  <c:v>-87.78</c:v>
                </c:pt>
                <c:pt idx="1223">
                  <c:v>-87.77</c:v>
                </c:pt>
                <c:pt idx="1224">
                  <c:v>-87.76</c:v>
                </c:pt>
                <c:pt idx="1225">
                  <c:v>-87.75</c:v>
                </c:pt>
                <c:pt idx="1226">
                  <c:v>-87.74</c:v>
                </c:pt>
                <c:pt idx="1227">
                  <c:v>-87.73</c:v>
                </c:pt>
                <c:pt idx="1228">
                  <c:v>-87.72</c:v>
                </c:pt>
                <c:pt idx="1229">
                  <c:v>-87.71</c:v>
                </c:pt>
                <c:pt idx="1230">
                  <c:v>-87.7</c:v>
                </c:pt>
                <c:pt idx="1231">
                  <c:v>-87.69</c:v>
                </c:pt>
                <c:pt idx="1232">
                  <c:v>-87.68</c:v>
                </c:pt>
                <c:pt idx="1233">
                  <c:v>-87.67</c:v>
                </c:pt>
                <c:pt idx="1234">
                  <c:v>-87.66</c:v>
                </c:pt>
                <c:pt idx="1235">
                  <c:v>-87.65</c:v>
                </c:pt>
                <c:pt idx="1236">
                  <c:v>-87.64</c:v>
                </c:pt>
                <c:pt idx="1237">
                  <c:v>-87.63</c:v>
                </c:pt>
                <c:pt idx="1238">
                  <c:v>-87.62</c:v>
                </c:pt>
                <c:pt idx="1239">
                  <c:v>-87.61</c:v>
                </c:pt>
                <c:pt idx="1240">
                  <c:v>-87.6</c:v>
                </c:pt>
                <c:pt idx="1241">
                  <c:v>-87.59</c:v>
                </c:pt>
                <c:pt idx="1242">
                  <c:v>-87.58</c:v>
                </c:pt>
                <c:pt idx="1243">
                  <c:v>-87.57</c:v>
                </c:pt>
                <c:pt idx="1244">
                  <c:v>-87.56</c:v>
                </c:pt>
                <c:pt idx="1245">
                  <c:v>-87.55</c:v>
                </c:pt>
                <c:pt idx="1246">
                  <c:v>-87.54</c:v>
                </c:pt>
                <c:pt idx="1247">
                  <c:v>-87.53</c:v>
                </c:pt>
                <c:pt idx="1248">
                  <c:v>-87.52</c:v>
                </c:pt>
                <c:pt idx="1249">
                  <c:v>-87.51</c:v>
                </c:pt>
                <c:pt idx="1250">
                  <c:v>-87.5</c:v>
                </c:pt>
                <c:pt idx="1251">
                  <c:v>-87.49</c:v>
                </c:pt>
                <c:pt idx="1252">
                  <c:v>-87.48</c:v>
                </c:pt>
                <c:pt idx="1253">
                  <c:v>-87.47</c:v>
                </c:pt>
                <c:pt idx="1254">
                  <c:v>-87.46</c:v>
                </c:pt>
                <c:pt idx="1255">
                  <c:v>-87.45</c:v>
                </c:pt>
                <c:pt idx="1256">
                  <c:v>-87.44</c:v>
                </c:pt>
                <c:pt idx="1257">
                  <c:v>-87.43</c:v>
                </c:pt>
                <c:pt idx="1258">
                  <c:v>-87.42</c:v>
                </c:pt>
                <c:pt idx="1259">
                  <c:v>-87.41</c:v>
                </c:pt>
                <c:pt idx="1260">
                  <c:v>-87.4</c:v>
                </c:pt>
                <c:pt idx="1261">
                  <c:v>-87.39</c:v>
                </c:pt>
                <c:pt idx="1262">
                  <c:v>-87.38</c:v>
                </c:pt>
                <c:pt idx="1263">
                  <c:v>-87.37</c:v>
                </c:pt>
                <c:pt idx="1264">
                  <c:v>-87.36</c:v>
                </c:pt>
                <c:pt idx="1265">
                  <c:v>-87.35</c:v>
                </c:pt>
                <c:pt idx="1266">
                  <c:v>-87.34</c:v>
                </c:pt>
                <c:pt idx="1267">
                  <c:v>-87.33</c:v>
                </c:pt>
                <c:pt idx="1268">
                  <c:v>-87.32</c:v>
                </c:pt>
                <c:pt idx="1269">
                  <c:v>-87.31</c:v>
                </c:pt>
                <c:pt idx="1270">
                  <c:v>-87.3</c:v>
                </c:pt>
                <c:pt idx="1271">
                  <c:v>-87.29</c:v>
                </c:pt>
                <c:pt idx="1272">
                  <c:v>-87.28</c:v>
                </c:pt>
                <c:pt idx="1273">
                  <c:v>-87.27</c:v>
                </c:pt>
                <c:pt idx="1274">
                  <c:v>-87.26</c:v>
                </c:pt>
                <c:pt idx="1275">
                  <c:v>-87.25</c:v>
                </c:pt>
                <c:pt idx="1276">
                  <c:v>-87.24</c:v>
                </c:pt>
                <c:pt idx="1277">
                  <c:v>-87.23</c:v>
                </c:pt>
                <c:pt idx="1278">
                  <c:v>-87.22</c:v>
                </c:pt>
                <c:pt idx="1279">
                  <c:v>-87.21</c:v>
                </c:pt>
                <c:pt idx="1280">
                  <c:v>-87.2</c:v>
                </c:pt>
                <c:pt idx="1281">
                  <c:v>-87.19</c:v>
                </c:pt>
                <c:pt idx="1282">
                  <c:v>-87.18</c:v>
                </c:pt>
                <c:pt idx="1283">
                  <c:v>-87.17</c:v>
                </c:pt>
                <c:pt idx="1284">
                  <c:v>-87.16</c:v>
                </c:pt>
                <c:pt idx="1285">
                  <c:v>-87.15</c:v>
                </c:pt>
                <c:pt idx="1286">
                  <c:v>-87.14</c:v>
                </c:pt>
                <c:pt idx="1287">
                  <c:v>-87.13</c:v>
                </c:pt>
                <c:pt idx="1288">
                  <c:v>-87.12</c:v>
                </c:pt>
                <c:pt idx="1289">
                  <c:v>-87.11</c:v>
                </c:pt>
                <c:pt idx="1290">
                  <c:v>-87.1</c:v>
                </c:pt>
                <c:pt idx="1291">
                  <c:v>-87.09</c:v>
                </c:pt>
                <c:pt idx="1292">
                  <c:v>-87.08</c:v>
                </c:pt>
                <c:pt idx="1293">
                  <c:v>-87.07</c:v>
                </c:pt>
                <c:pt idx="1294">
                  <c:v>-87.06</c:v>
                </c:pt>
                <c:pt idx="1295">
                  <c:v>-87.05</c:v>
                </c:pt>
                <c:pt idx="1296">
                  <c:v>-87.04</c:v>
                </c:pt>
                <c:pt idx="1297">
                  <c:v>-87.03</c:v>
                </c:pt>
                <c:pt idx="1298">
                  <c:v>-87.02</c:v>
                </c:pt>
                <c:pt idx="1299">
                  <c:v>-87.01</c:v>
                </c:pt>
                <c:pt idx="1300">
                  <c:v>-87.0</c:v>
                </c:pt>
                <c:pt idx="1301">
                  <c:v>-86.99</c:v>
                </c:pt>
                <c:pt idx="1302">
                  <c:v>-86.98</c:v>
                </c:pt>
                <c:pt idx="1303">
                  <c:v>-86.97</c:v>
                </c:pt>
                <c:pt idx="1304">
                  <c:v>-86.96</c:v>
                </c:pt>
                <c:pt idx="1305">
                  <c:v>-86.95</c:v>
                </c:pt>
                <c:pt idx="1306">
                  <c:v>-86.94</c:v>
                </c:pt>
                <c:pt idx="1307">
                  <c:v>-86.93</c:v>
                </c:pt>
                <c:pt idx="1308">
                  <c:v>-86.92</c:v>
                </c:pt>
                <c:pt idx="1309">
                  <c:v>-86.91</c:v>
                </c:pt>
                <c:pt idx="1310">
                  <c:v>-86.9</c:v>
                </c:pt>
                <c:pt idx="1311">
                  <c:v>-86.89</c:v>
                </c:pt>
                <c:pt idx="1312">
                  <c:v>-86.88</c:v>
                </c:pt>
                <c:pt idx="1313">
                  <c:v>-86.87</c:v>
                </c:pt>
                <c:pt idx="1314">
                  <c:v>-86.86</c:v>
                </c:pt>
                <c:pt idx="1315">
                  <c:v>-86.85</c:v>
                </c:pt>
                <c:pt idx="1316">
                  <c:v>-86.84</c:v>
                </c:pt>
                <c:pt idx="1317">
                  <c:v>-86.83</c:v>
                </c:pt>
                <c:pt idx="1318">
                  <c:v>-86.82</c:v>
                </c:pt>
                <c:pt idx="1319">
                  <c:v>-86.81</c:v>
                </c:pt>
                <c:pt idx="1320">
                  <c:v>-86.8</c:v>
                </c:pt>
                <c:pt idx="1321">
                  <c:v>-86.79</c:v>
                </c:pt>
                <c:pt idx="1322">
                  <c:v>-86.78</c:v>
                </c:pt>
                <c:pt idx="1323">
                  <c:v>-86.77</c:v>
                </c:pt>
                <c:pt idx="1324">
                  <c:v>-86.76</c:v>
                </c:pt>
                <c:pt idx="1325">
                  <c:v>-86.75</c:v>
                </c:pt>
                <c:pt idx="1326">
                  <c:v>-86.74</c:v>
                </c:pt>
                <c:pt idx="1327">
                  <c:v>-86.73</c:v>
                </c:pt>
                <c:pt idx="1328">
                  <c:v>-86.72</c:v>
                </c:pt>
                <c:pt idx="1329">
                  <c:v>-86.71</c:v>
                </c:pt>
                <c:pt idx="1330">
                  <c:v>-86.7</c:v>
                </c:pt>
                <c:pt idx="1331">
                  <c:v>-86.69</c:v>
                </c:pt>
                <c:pt idx="1332">
                  <c:v>-86.68</c:v>
                </c:pt>
                <c:pt idx="1333">
                  <c:v>-86.67</c:v>
                </c:pt>
                <c:pt idx="1334">
                  <c:v>-86.66</c:v>
                </c:pt>
                <c:pt idx="1335">
                  <c:v>-86.65</c:v>
                </c:pt>
                <c:pt idx="1336">
                  <c:v>-86.64</c:v>
                </c:pt>
                <c:pt idx="1337">
                  <c:v>-86.63</c:v>
                </c:pt>
                <c:pt idx="1338">
                  <c:v>-86.62</c:v>
                </c:pt>
                <c:pt idx="1339">
                  <c:v>-86.61</c:v>
                </c:pt>
                <c:pt idx="1340">
                  <c:v>-86.6</c:v>
                </c:pt>
                <c:pt idx="1341">
                  <c:v>-86.59</c:v>
                </c:pt>
                <c:pt idx="1342">
                  <c:v>-86.58</c:v>
                </c:pt>
                <c:pt idx="1343">
                  <c:v>-86.57</c:v>
                </c:pt>
                <c:pt idx="1344">
                  <c:v>-86.56</c:v>
                </c:pt>
                <c:pt idx="1345">
                  <c:v>-86.55</c:v>
                </c:pt>
                <c:pt idx="1346">
                  <c:v>-86.54</c:v>
                </c:pt>
                <c:pt idx="1347">
                  <c:v>-86.53</c:v>
                </c:pt>
                <c:pt idx="1348">
                  <c:v>-86.52</c:v>
                </c:pt>
                <c:pt idx="1349">
                  <c:v>-86.51</c:v>
                </c:pt>
                <c:pt idx="1350">
                  <c:v>-86.5</c:v>
                </c:pt>
                <c:pt idx="1351">
                  <c:v>-86.49</c:v>
                </c:pt>
                <c:pt idx="1352">
                  <c:v>-86.48</c:v>
                </c:pt>
                <c:pt idx="1353">
                  <c:v>-86.47</c:v>
                </c:pt>
                <c:pt idx="1354">
                  <c:v>-86.46</c:v>
                </c:pt>
                <c:pt idx="1355">
                  <c:v>-86.45</c:v>
                </c:pt>
                <c:pt idx="1356">
                  <c:v>-86.44</c:v>
                </c:pt>
                <c:pt idx="1357">
                  <c:v>-86.43</c:v>
                </c:pt>
                <c:pt idx="1358">
                  <c:v>-86.42</c:v>
                </c:pt>
                <c:pt idx="1359">
                  <c:v>-86.41</c:v>
                </c:pt>
                <c:pt idx="1360">
                  <c:v>-86.4</c:v>
                </c:pt>
                <c:pt idx="1361">
                  <c:v>-86.39</c:v>
                </c:pt>
                <c:pt idx="1362">
                  <c:v>-86.38</c:v>
                </c:pt>
                <c:pt idx="1363">
                  <c:v>-86.37</c:v>
                </c:pt>
                <c:pt idx="1364">
                  <c:v>-86.36</c:v>
                </c:pt>
                <c:pt idx="1365">
                  <c:v>-86.35</c:v>
                </c:pt>
                <c:pt idx="1366">
                  <c:v>-86.34</c:v>
                </c:pt>
                <c:pt idx="1367">
                  <c:v>-86.33</c:v>
                </c:pt>
                <c:pt idx="1368">
                  <c:v>-86.32</c:v>
                </c:pt>
                <c:pt idx="1369">
                  <c:v>-86.31</c:v>
                </c:pt>
                <c:pt idx="1370">
                  <c:v>-86.3</c:v>
                </c:pt>
                <c:pt idx="1371">
                  <c:v>-86.29</c:v>
                </c:pt>
                <c:pt idx="1372">
                  <c:v>-86.28</c:v>
                </c:pt>
                <c:pt idx="1373">
                  <c:v>-86.27</c:v>
                </c:pt>
                <c:pt idx="1374">
                  <c:v>-86.26</c:v>
                </c:pt>
                <c:pt idx="1375">
                  <c:v>-86.25</c:v>
                </c:pt>
                <c:pt idx="1376">
                  <c:v>-86.24</c:v>
                </c:pt>
                <c:pt idx="1377">
                  <c:v>-86.23</c:v>
                </c:pt>
                <c:pt idx="1378">
                  <c:v>-86.22</c:v>
                </c:pt>
                <c:pt idx="1379">
                  <c:v>-86.21</c:v>
                </c:pt>
                <c:pt idx="1380">
                  <c:v>-86.2</c:v>
                </c:pt>
                <c:pt idx="1381">
                  <c:v>-86.19</c:v>
                </c:pt>
                <c:pt idx="1382">
                  <c:v>-86.18</c:v>
                </c:pt>
                <c:pt idx="1383">
                  <c:v>-86.17</c:v>
                </c:pt>
                <c:pt idx="1384">
                  <c:v>-86.16</c:v>
                </c:pt>
                <c:pt idx="1385">
                  <c:v>-86.15</c:v>
                </c:pt>
                <c:pt idx="1386">
                  <c:v>-86.14</c:v>
                </c:pt>
                <c:pt idx="1387">
                  <c:v>-86.13</c:v>
                </c:pt>
                <c:pt idx="1388">
                  <c:v>-86.12</c:v>
                </c:pt>
                <c:pt idx="1389">
                  <c:v>-86.11</c:v>
                </c:pt>
                <c:pt idx="1390">
                  <c:v>-86.1</c:v>
                </c:pt>
                <c:pt idx="1391">
                  <c:v>-86.09</c:v>
                </c:pt>
                <c:pt idx="1392">
                  <c:v>-86.08</c:v>
                </c:pt>
                <c:pt idx="1393">
                  <c:v>-86.07</c:v>
                </c:pt>
                <c:pt idx="1394">
                  <c:v>-86.06</c:v>
                </c:pt>
                <c:pt idx="1395">
                  <c:v>-86.05</c:v>
                </c:pt>
                <c:pt idx="1396">
                  <c:v>-86.04</c:v>
                </c:pt>
                <c:pt idx="1397">
                  <c:v>-86.03</c:v>
                </c:pt>
                <c:pt idx="1398">
                  <c:v>-86.02</c:v>
                </c:pt>
                <c:pt idx="1399">
                  <c:v>-86.01</c:v>
                </c:pt>
                <c:pt idx="1400">
                  <c:v>-86.0</c:v>
                </c:pt>
                <c:pt idx="1401">
                  <c:v>-85.99</c:v>
                </c:pt>
                <c:pt idx="1402">
                  <c:v>-85.98</c:v>
                </c:pt>
                <c:pt idx="1403">
                  <c:v>-85.97</c:v>
                </c:pt>
                <c:pt idx="1404">
                  <c:v>-85.96</c:v>
                </c:pt>
                <c:pt idx="1405">
                  <c:v>-85.95</c:v>
                </c:pt>
                <c:pt idx="1406">
                  <c:v>-85.94</c:v>
                </c:pt>
                <c:pt idx="1407">
                  <c:v>-85.93</c:v>
                </c:pt>
                <c:pt idx="1408">
                  <c:v>-85.92</c:v>
                </c:pt>
                <c:pt idx="1409">
                  <c:v>-85.91</c:v>
                </c:pt>
                <c:pt idx="1410">
                  <c:v>-85.9</c:v>
                </c:pt>
                <c:pt idx="1411">
                  <c:v>-85.89</c:v>
                </c:pt>
                <c:pt idx="1412">
                  <c:v>-85.88</c:v>
                </c:pt>
                <c:pt idx="1413">
                  <c:v>-85.87</c:v>
                </c:pt>
                <c:pt idx="1414">
                  <c:v>-85.86</c:v>
                </c:pt>
                <c:pt idx="1415">
                  <c:v>-85.85</c:v>
                </c:pt>
                <c:pt idx="1416">
                  <c:v>-85.84</c:v>
                </c:pt>
                <c:pt idx="1417">
                  <c:v>-85.83</c:v>
                </c:pt>
                <c:pt idx="1418">
                  <c:v>-85.82</c:v>
                </c:pt>
                <c:pt idx="1419">
                  <c:v>-85.81</c:v>
                </c:pt>
                <c:pt idx="1420">
                  <c:v>-85.8</c:v>
                </c:pt>
                <c:pt idx="1421">
                  <c:v>-85.79</c:v>
                </c:pt>
                <c:pt idx="1422">
                  <c:v>-85.78</c:v>
                </c:pt>
                <c:pt idx="1423">
                  <c:v>-85.77</c:v>
                </c:pt>
                <c:pt idx="1424">
                  <c:v>-85.76</c:v>
                </c:pt>
                <c:pt idx="1425">
                  <c:v>-85.75</c:v>
                </c:pt>
                <c:pt idx="1426">
                  <c:v>-85.74</c:v>
                </c:pt>
                <c:pt idx="1427">
                  <c:v>-85.73</c:v>
                </c:pt>
                <c:pt idx="1428">
                  <c:v>-85.72</c:v>
                </c:pt>
                <c:pt idx="1429">
                  <c:v>-85.71</c:v>
                </c:pt>
                <c:pt idx="1430">
                  <c:v>-85.7</c:v>
                </c:pt>
                <c:pt idx="1431">
                  <c:v>-85.69</c:v>
                </c:pt>
                <c:pt idx="1432">
                  <c:v>-85.68</c:v>
                </c:pt>
                <c:pt idx="1433">
                  <c:v>-85.67</c:v>
                </c:pt>
                <c:pt idx="1434">
                  <c:v>-85.66</c:v>
                </c:pt>
                <c:pt idx="1435">
                  <c:v>-85.65</c:v>
                </c:pt>
                <c:pt idx="1436">
                  <c:v>-85.64</c:v>
                </c:pt>
                <c:pt idx="1437">
                  <c:v>-85.63</c:v>
                </c:pt>
                <c:pt idx="1438">
                  <c:v>-85.62</c:v>
                </c:pt>
                <c:pt idx="1439">
                  <c:v>-85.61</c:v>
                </c:pt>
                <c:pt idx="1440">
                  <c:v>-85.6</c:v>
                </c:pt>
                <c:pt idx="1441">
                  <c:v>-85.59</c:v>
                </c:pt>
                <c:pt idx="1442">
                  <c:v>-85.58</c:v>
                </c:pt>
                <c:pt idx="1443">
                  <c:v>-85.57</c:v>
                </c:pt>
                <c:pt idx="1444">
                  <c:v>-85.56</c:v>
                </c:pt>
                <c:pt idx="1445">
                  <c:v>-85.55</c:v>
                </c:pt>
                <c:pt idx="1446">
                  <c:v>-85.54</c:v>
                </c:pt>
                <c:pt idx="1447">
                  <c:v>-85.53</c:v>
                </c:pt>
                <c:pt idx="1448">
                  <c:v>-85.52</c:v>
                </c:pt>
                <c:pt idx="1449">
                  <c:v>-85.51</c:v>
                </c:pt>
                <c:pt idx="1450">
                  <c:v>-85.5</c:v>
                </c:pt>
                <c:pt idx="1451">
                  <c:v>-85.49</c:v>
                </c:pt>
                <c:pt idx="1452">
                  <c:v>-85.48</c:v>
                </c:pt>
                <c:pt idx="1453">
                  <c:v>-85.47</c:v>
                </c:pt>
                <c:pt idx="1454">
                  <c:v>-85.46</c:v>
                </c:pt>
                <c:pt idx="1455">
                  <c:v>-85.45</c:v>
                </c:pt>
                <c:pt idx="1456">
                  <c:v>-85.44</c:v>
                </c:pt>
                <c:pt idx="1457">
                  <c:v>-85.43</c:v>
                </c:pt>
                <c:pt idx="1458">
                  <c:v>-85.42</c:v>
                </c:pt>
                <c:pt idx="1459">
                  <c:v>-85.41</c:v>
                </c:pt>
                <c:pt idx="1460">
                  <c:v>-85.4</c:v>
                </c:pt>
                <c:pt idx="1461">
                  <c:v>-85.39</c:v>
                </c:pt>
                <c:pt idx="1462">
                  <c:v>-85.38</c:v>
                </c:pt>
                <c:pt idx="1463">
                  <c:v>-85.37</c:v>
                </c:pt>
                <c:pt idx="1464">
                  <c:v>-85.36</c:v>
                </c:pt>
                <c:pt idx="1465">
                  <c:v>-85.35</c:v>
                </c:pt>
                <c:pt idx="1466">
                  <c:v>-85.34</c:v>
                </c:pt>
                <c:pt idx="1467">
                  <c:v>-85.33</c:v>
                </c:pt>
                <c:pt idx="1468">
                  <c:v>-85.32</c:v>
                </c:pt>
                <c:pt idx="1469">
                  <c:v>-85.31</c:v>
                </c:pt>
                <c:pt idx="1470">
                  <c:v>-85.3</c:v>
                </c:pt>
                <c:pt idx="1471">
                  <c:v>-85.29</c:v>
                </c:pt>
                <c:pt idx="1472">
                  <c:v>-85.28</c:v>
                </c:pt>
                <c:pt idx="1473">
                  <c:v>-85.27</c:v>
                </c:pt>
                <c:pt idx="1474">
                  <c:v>-85.26</c:v>
                </c:pt>
                <c:pt idx="1475">
                  <c:v>-85.25</c:v>
                </c:pt>
                <c:pt idx="1476">
                  <c:v>-85.24</c:v>
                </c:pt>
                <c:pt idx="1477">
                  <c:v>-85.23</c:v>
                </c:pt>
                <c:pt idx="1478">
                  <c:v>-85.22</c:v>
                </c:pt>
                <c:pt idx="1479">
                  <c:v>-85.21</c:v>
                </c:pt>
                <c:pt idx="1480">
                  <c:v>-85.2</c:v>
                </c:pt>
                <c:pt idx="1481">
                  <c:v>-85.19</c:v>
                </c:pt>
                <c:pt idx="1482">
                  <c:v>-85.18</c:v>
                </c:pt>
                <c:pt idx="1483">
                  <c:v>-85.17</c:v>
                </c:pt>
                <c:pt idx="1484">
                  <c:v>-85.16</c:v>
                </c:pt>
                <c:pt idx="1485">
                  <c:v>-85.15</c:v>
                </c:pt>
                <c:pt idx="1486">
                  <c:v>-85.14</c:v>
                </c:pt>
                <c:pt idx="1487">
                  <c:v>-85.13</c:v>
                </c:pt>
                <c:pt idx="1488">
                  <c:v>-85.12</c:v>
                </c:pt>
                <c:pt idx="1489">
                  <c:v>-85.11</c:v>
                </c:pt>
                <c:pt idx="1490">
                  <c:v>-85.1</c:v>
                </c:pt>
                <c:pt idx="1491">
                  <c:v>-85.09</c:v>
                </c:pt>
                <c:pt idx="1492">
                  <c:v>-85.08</c:v>
                </c:pt>
                <c:pt idx="1493">
                  <c:v>-85.07</c:v>
                </c:pt>
                <c:pt idx="1494">
                  <c:v>-85.06</c:v>
                </c:pt>
                <c:pt idx="1495">
                  <c:v>-85.05</c:v>
                </c:pt>
                <c:pt idx="1496">
                  <c:v>-85.04</c:v>
                </c:pt>
                <c:pt idx="1497">
                  <c:v>-85.03</c:v>
                </c:pt>
                <c:pt idx="1498">
                  <c:v>-85.02</c:v>
                </c:pt>
                <c:pt idx="1499">
                  <c:v>-85.01</c:v>
                </c:pt>
                <c:pt idx="1500">
                  <c:v>-85.0</c:v>
                </c:pt>
                <c:pt idx="1501">
                  <c:v>-84.99</c:v>
                </c:pt>
                <c:pt idx="1502">
                  <c:v>-84.98</c:v>
                </c:pt>
                <c:pt idx="1503">
                  <c:v>-84.97</c:v>
                </c:pt>
                <c:pt idx="1504">
                  <c:v>-84.96</c:v>
                </c:pt>
                <c:pt idx="1505">
                  <c:v>-84.95</c:v>
                </c:pt>
                <c:pt idx="1506">
                  <c:v>-84.94</c:v>
                </c:pt>
                <c:pt idx="1507">
                  <c:v>-84.93</c:v>
                </c:pt>
                <c:pt idx="1508">
                  <c:v>-84.92</c:v>
                </c:pt>
                <c:pt idx="1509">
                  <c:v>-84.91</c:v>
                </c:pt>
                <c:pt idx="1510">
                  <c:v>-84.9</c:v>
                </c:pt>
                <c:pt idx="1511">
                  <c:v>-84.89</c:v>
                </c:pt>
                <c:pt idx="1512">
                  <c:v>-84.88</c:v>
                </c:pt>
                <c:pt idx="1513">
                  <c:v>-84.87</c:v>
                </c:pt>
                <c:pt idx="1514">
                  <c:v>-84.86</c:v>
                </c:pt>
                <c:pt idx="1515">
                  <c:v>-84.85</c:v>
                </c:pt>
                <c:pt idx="1516">
                  <c:v>-84.84</c:v>
                </c:pt>
                <c:pt idx="1517">
                  <c:v>-84.83</c:v>
                </c:pt>
                <c:pt idx="1518">
                  <c:v>-84.82</c:v>
                </c:pt>
                <c:pt idx="1519">
                  <c:v>-84.81</c:v>
                </c:pt>
                <c:pt idx="1520">
                  <c:v>-84.8</c:v>
                </c:pt>
                <c:pt idx="1521">
                  <c:v>-84.79</c:v>
                </c:pt>
                <c:pt idx="1522">
                  <c:v>-84.78</c:v>
                </c:pt>
                <c:pt idx="1523">
                  <c:v>-84.77</c:v>
                </c:pt>
                <c:pt idx="1524">
                  <c:v>-84.76</c:v>
                </c:pt>
                <c:pt idx="1525">
                  <c:v>-84.75</c:v>
                </c:pt>
                <c:pt idx="1526">
                  <c:v>-84.74</c:v>
                </c:pt>
                <c:pt idx="1527">
                  <c:v>-84.73</c:v>
                </c:pt>
                <c:pt idx="1528">
                  <c:v>-84.72</c:v>
                </c:pt>
                <c:pt idx="1529">
                  <c:v>-84.71</c:v>
                </c:pt>
                <c:pt idx="1530">
                  <c:v>-84.7</c:v>
                </c:pt>
                <c:pt idx="1531">
                  <c:v>-84.69</c:v>
                </c:pt>
                <c:pt idx="1532">
                  <c:v>-84.68</c:v>
                </c:pt>
                <c:pt idx="1533">
                  <c:v>-84.67</c:v>
                </c:pt>
                <c:pt idx="1534">
                  <c:v>-84.66</c:v>
                </c:pt>
                <c:pt idx="1535">
                  <c:v>-84.65</c:v>
                </c:pt>
                <c:pt idx="1536">
                  <c:v>-84.64</c:v>
                </c:pt>
                <c:pt idx="1537">
                  <c:v>-84.63</c:v>
                </c:pt>
                <c:pt idx="1538">
                  <c:v>-84.62</c:v>
                </c:pt>
                <c:pt idx="1539">
                  <c:v>-84.61</c:v>
                </c:pt>
                <c:pt idx="1540">
                  <c:v>-84.6</c:v>
                </c:pt>
                <c:pt idx="1541">
                  <c:v>-84.59</c:v>
                </c:pt>
                <c:pt idx="1542">
                  <c:v>-84.58</c:v>
                </c:pt>
                <c:pt idx="1543">
                  <c:v>-84.57</c:v>
                </c:pt>
                <c:pt idx="1544">
                  <c:v>-84.56</c:v>
                </c:pt>
                <c:pt idx="1545">
                  <c:v>-84.55</c:v>
                </c:pt>
                <c:pt idx="1546">
                  <c:v>-84.54</c:v>
                </c:pt>
                <c:pt idx="1547">
                  <c:v>-84.53</c:v>
                </c:pt>
                <c:pt idx="1548">
                  <c:v>-84.52</c:v>
                </c:pt>
                <c:pt idx="1549">
                  <c:v>-84.51</c:v>
                </c:pt>
                <c:pt idx="1550">
                  <c:v>-84.5</c:v>
                </c:pt>
                <c:pt idx="1551">
                  <c:v>-84.49</c:v>
                </c:pt>
                <c:pt idx="1552">
                  <c:v>-84.48</c:v>
                </c:pt>
                <c:pt idx="1553">
                  <c:v>-84.47</c:v>
                </c:pt>
                <c:pt idx="1554">
                  <c:v>-84.46</c:v>
                </c:pt>
                <c:pt idx="1555">
                  <c:v>-84.45</c:v>
                </c:pt>
                <c:pt idx="1556">
                  <c:v>-84.44</c:v>
                </c:pt>
                <c:pt idx="1557">
                  <c:v>-84.43</c:v>
                </c:pt>
                <c:pt idx="1558">
                  <c:v>-84.42</c:v>
                </c:pt>
                <c:pt idx="1559">
                  <c:v>-84.41</c:v>
                </c:pt>
                <c:pt idx="1560">
                  <c:v>-84.4</c:v>
                </c:pt>
                <c:pt idx="1561">
                  <c:v>-84.39</c:v>
                </c:pt>
                <c:pt idx="1562">
                  <c:v>-84.38</c:v>
                </c:pt>
                <c:pt idx="1563">
                  <c:v>-84.37</c:v>
                </c:pt>
                <c:pt idx="1564">
                  <c:v>-84.36</c:v>
                </c:pt>
                <c:pt idx="1565">
                  <c:v>-84.35</c:v>
                </c:pt>
                <c:pt idx="1566">
                  <c:v>-84.34</c:v>
                </c:pt>
                <c:pt idx="1567">
                  <c:v>-84.33</c:v>
                </c:pt>
                <c:pt idx="1568">
                  <c:v>-84.32</c:v>
                </c:pt>
                <c:pt idx="1569">
                  <c:v>-84.31</c:v>
                </c:pt>
                <c:pt idx="1570">
                  <c:v>-84.3</c:v>
                </c:pt>
                <c:pt idx="1571">
                  <c:v>-84.29</c:v>
                </c:pt>
                <c:pt idx="1572">
                  <c:v>-84.28</c:v>
                </c:pt>
                <c:pt idx="1573">
                  <c:v>-84.27</c:v>
                </c:pt>
                <c:pt idx="1574">
                  <c:v>-84.26</c:v>
                </c:pt>
                <c:pt idx="1575">
                  <c:v>-84.25</c:v>
                </c:pt>
                <c:pt idx="1576">
                  <c:v>-84.24</c:v>
                </c:pt>
                <c:pt idx="1577">
                  <c:v>-84.23</c:v>
                </c:pt>
                <c:pt idx="1578">
                  <c:v>-84.22</c:v>
                </c:pt>
                <c:pt idx="1579">
                  <c:v>-84.21</c:v>
                </c:pt>
                <c:pt idx="1580">
                  <c:v>-84.2</c:v>
                </c:pt>
                <c:pt idx="1581">
                  <c:v>-84.19</c:v>
                </c:pt>
                <c:pt idx="1582">
                  <c:v>-84.18</c:v>
                </c:pt>
                <c:pt idx="1583">
                  <c:v>-84.17</c:v>
                </c:pt>
                <c:pt idx="1584">
                  <c:v>-84.16</c:v>
                </c:pt>
                <c:pt idx="1585">
                  <c:v>-84.15</c:v>
                </c:pt>
                <c:pt idx="1586">
                  <c:v>-84.14</c:v>
                </c:pt>
                <c:pt idx="1587">
                  <c:v>-84.13</c:v>
                </c:pt>
                <c:pt idx="1588">
                  <c:v>-84.12</c:v>
                </c:pt>
                <c:pt idx="1589">
                  <c:v>-84.11</c:v>
                </c:pt>
                <c:pt idx="1590">
                  <c:v>-84.1</c:v>
                </c:pt>
                <c:pt idx="1591">
                  <c:v>-84.09</c:v>
                </c:pt>
                <c:pt idx="1592">
                  <c:v>-84.08</c:v>
                </c:pt>
                <c:pt idx="1593">
                  <c:v>-84.07</c:v>
                </c:pt>
                <c:pt idx="1594">
                  <c:v>-84.06</c:v>
                </c:pt>
                <c:pt idx="1595">
                  <c:v>-84.05</c:v>
                </c:pt>
                <c:pt idx="1596">
                  <c:v>-84.04</c:v>
                </c:pt>
                <c:pt idx="1597">
                  <c:v>-84.03</c:v>
                </c:pt>
                <c:pt idx="1598">
                  <c:v>-84.02</c:v>
                </c:pt>
                <c:pt idx="1599">
                  <c:v>-84.01</c:v>
                </c:pt>
                <c:pt idx="1600">
                  <c:v>-84.0</c:v>
                </c:pt>
                <c:pt idx="1601">
                  <c:v>-83.99</c:v>
                </c:pt>
                <c:pt idx="1602">
                  <c:v>-83.98</c:v>
                </c:pt>
                <c:pt idx="1603">
                  <c:v>-83.97</c:v>
                </c:pt>
                <c:pt idx="1604">
                  <c:v>-83.96</c:v>
                </c:pt>
                <c:pt idx="1605">
                  <c:v>-83.95</c:v>
                </c:pt>
                <c:pt idx="1606">
                  <c:v>-83.94</c:v>
                </c:pt>
                <c:pt idx="1607">
                  <c:v>-83.93</c:v>
                </c:pt>
                <c:pt idx="1608">
                  <c:v>-83.92</c:v>
                </c:pt>
                <c:pt idx="1609">
                  <c:v>-83.91</c:v>
                </c:pt>
                <c:pt idx="1610">
                  <c:v>-83.9</c:v>
                </c:pt>
                <c:pt idx="1611">
                  <c:v>-83.89</c:v>
                </c:pt>
                <c:pt idx="1612">
                  <c:v>-83.88</c:v>
                </c:pt>
                <c:pt idx="1613">
                  <c:v>-83.87</c:v>
                </c:pt>
                <c:pt idx="1614">
                  <c:v>-83.86</c:v>
                </c:pt>
                <c:pt idx="1615">
                  <c:v>-83.85</c:v>
                </c:pt>
                <c:pt idx="1616">
                  <c:v>-83.84</c:v>
                </c:pt>
                <c:pt idx="1617">
                  <c:v>-83.83</c:v>
                </c:pt>
                <c:pt idx="1618">
                  <c:v>-83.82</c:v>
                </c:pt>
                <c:pt idx="1619">
                  <c:v>-83.81</c:v>
                </c:pt>
                <c:pt idx="1620">
                  <c:v>-83.8</c:v>
                </c:pt>
                <c:pt idx="1621">
                  <c:v>-83.79</c:v>
                </c:pt>
                <c:pt idx="1622">
                  <c:v>-83.78</c:v>
                </c:pt>
                <c:pt idx="1623">
                  <c:v>-83.77</c:v>
                </c:pt>
                <c:pt idx="1624">
                  <c:v>-83.76</c:v>
                </c:pt>
                <c:pt idx="1625">
                  <c:v>-83.75</c:v>
                </c:pt>
                <c:pt idx="1626">
                  <c:v>-83.74</c:v>
                </c:pt>
                <c:pt idx="1627">
                  <c:v>-83.73</c:v>
                </c:pt>
                <c:pt idx="1628">
                  <c:v>-83.72</c:v>
                </c:pt>
                <c:pt idx="1629">
                  <c:v>-83.71</c:v>
                </c:pt>
                <c:pt idx="1630">
                  <c:v>-83.7</c:v>
                </c:pt>
                <c:pt idx="1631">
                  <c:v>-83.69</c:v>
                </c:pt>
                <c:pt idx="1632">
                  <c:v>-83.68</c:v>
                </c:pt>
                <c:pt idx="1633">
                  <c:v>-83.67</c:v>
                </c:pt>
                <c:pt idx="1634">
                  <c:v>-83.66</c:v>
                </c:pt>
                <c:pt idx="1635">
                  <c:v>-83.65</c:v>
                </c:pt>
                <c:pt idx="1636">
                  <c:v>-83.64</c:v>
                </c:pt>
                <c:pt idx="1637">
                  <c:v>-83.63</c:v>
                </c:pt>
                <c:pt idx="1638">
                  <c:v>-83.62</c:v>
                </c:pt>
                <c:pt idx="1639">
                  <c:v>-83.61</c:v>
                </c:pt>
                <c:pt idx="1640">
                  <c:v>-83.6</c:v>
                </c:pt>
                <c:pt idx="1641">
                  <c:v>-83.59</c:v>
                </c:pt>
                <c:pt idx="1642">
                  <c:v>-83.58</c:v>
                </c:pt>
                <c:pt idx="1643">
                  <c:v>-83.57</c:v>
                </c:pt>
                <c:pt idx="1644">
                  <c:v>-83.56</c:v>
                </c:pt>
                <c:pt idx="1645">
                  <c:v>-83.55</c:v>
                </c:pt>
                <c:pt idx="1646">
                  <c:v>-83.54</c:v>
                </c:pt>
                <c:pt idx="1647">
                  <c:v>-83.53</c:v>
                </c:pt>
                <c:pt idx="1648">
                  <c:v>-83.52</c:v>
                </c:pt>
                <c:pt idx="1649">
                  <c:v>-83.51</c:v>
                </c:pt>
                <c:pt idx="1650">
                  <c:v>-83.5</c:v>
                </c:pt>
                <c:pt idx="1651">
                  <c:v>-83.49</c:v>
                </c:pt>
                <c:pt idx="1652">
                  <c:v>-83.48</c:v>
                </c:pt>
                <c:pt idx="1653">
                  <c:v>-83.47</c:v>
                </c:pt>
                <c:pt idx="1654">
                  <c:v>-83.46</c:v>
                </c:pt>
                <c:pt idx="1655">
                  <c:v>-83.45</c:v>
                </c:pt>
                <c:pt idx="1656">
                  <c:v>-83.44</c:v>
                </c:pt>
                <c:pt idx="1657">
                  <c:v>-83.43</c:v>
                </c:pt>
                <c:pt idx="1658">
                  <c:v>-83.42</c:v>
                </c:pt>
                <c:pt idx="1659">
                  <c:v>-83.41</c:v>
                </c:pt>
                <c:pt idx="1660">
                  <c:v>-83.4</c:v>
                </c:pt>
                <c:pt idx="1661">
                  <c:v>-83.39</c:v>
                </c:pt>
                <c:pt idx="1662">
                  <c:v>-83.38</c:v>
                </c:pt>
                <c:pt idx="1663">
                  <c:v>-83.37</c:v>
                </c:pt>
                <c:pt idx="1664">
                  <c:v>-83.36</c:v>
                </c:pt>
                <c:pt idx="1665">
                  <c:v>-83.35</c:v>
                </c:pt>
                <c:pt idx="1666">
                  <c:v>-83.34</c:v>
                </c:pt>
                <c:pt idx="1667">
                  <c:v>-83.33</c:v>
                </c:pt>
                <c:pt idx="1668">
                  <c:v>-83.32</c:v>
                </c:pt>
                <c:pt idx="1669">
                  <c:v>-83.31</c:v>
                </c:pt>
                <c:pt idx="1670">
                  <c:v>-83.3</c:v>
                </c:pt>
                <c:pt idx="1671">
                  <c:v>-83.29</c:v>
                </c:pt>
                <c:pt idx="1672">
                  <c:v>-83.28</c:v>
                </c:pt>
                <c:pt idx="1673">
                  <c:v>-83.27</c:v>
                </c:pt>
                <c:pt idx="1674">
                  <c:v>-83.26</c:v>
                </c:pt>
                <c:pt idx="1675">
                  <c:v>-83.25</c:v>
                </c:pt>
                <c:pt idx="1676">
                  <c:v>-83.24</c:v>
                </c:pt>
                <c:pt idx="1677">
                  <c:v>-83.23</c:v>
                </c:pt>
                <c:pt idx="1678">
                  <c:v>-83.22</c:v>
                </c:pt>
                <c:pt idx="1679">
                  <c:v>-83.21</c:v>
                </c:pt>
                <c:pt idx="1680">
                  <c:v>-83.2</c:v>
                </c:pt>
                <c:pt idx="1681">
                  <c:v>-83.19</c:v>
                </c:pt>
                <c:pt idx="1682">
                  <c:v>-83.18</c:v>
                </c:pt>
                <c:pt idx="1683">
                  <c:v>-83.17</c:v>
                </c:pt>
                <c:pt idx="1684">
                  <c:v>-83.16</c:v>
                </c:pt>
                <c:pt idx="1685">
                  <c:v>-83.15</c:v>
                </c:pt>
                <c:pt idx="1686">
                  <c:v>-83.14</c:v>
                </c:pt>
                <c:pt idx="1687">
                  <c:v>-83.13</c:v>
                </c:pt>
                <c:pt idx="1688">
                  <c:v>-83.12</c:v>
                </c:pt>
                <c:pt idx="1689">
                  <c:v>-83.11</c:v>
                </c:pt>
                <c:pt idx="1690">
                  <c:v>-83.1</c:v>
                </c:pt>
                <c:pt idx="1691">
                  <c:v>-83.09</c:v>
                </c:pt>
                <c:pt idx="1692">
                  <c:v>-83.08</c:v>
                </c:pt>
                <c:pt idx="1693">
                  <c:v>-83.07</c:v>
                </c:pt>
                <c:pt idx="1694">
                  <c:v>-83.06</c:v>
                </c:pt>
                <c:pt idx="1695">
                  <c:v>-83.05</c:v>
                </c:pt>
                <c:pt idx="1696">
                  <c:v>-83.04</c:v>
                </c:pt>
                <c:pt idx="1697">
                  <c:v>-83.03</c:v>
                </c:pt>
                <c:pt idx="1698">
                  <c:v>-83.02</c:v>
                </c:pt>
                <c:pt idx="1699">
                  <c:v>-83.01</c:v>
                </c:pt>
                <c:pt idx="1700">
                  <c:v>-83.0</c:v>
                </c:pt>
                <c:pt idx="1701">
                  <c:v>-82.99</c:v>
                </c:pt>
                <c:pt idx="1702">
                  <c:v>-82.98</c:v>
                </c:pt>
                <c:pt idx="1703">
                  <c:v>-82.97</c:v>
                </c:pt>
                <c:pt idx="1704">
                  <c:v>-82.96</c:v>
                </c:pt>
                <c:pt idx="1705">
                  <c:v>-82.95</c:v>
                </c:pt>
                <c:pt idx="1706">
                  <c:v>-82.94</c:v>
                </c:pt>
                <c:pt idx="1707">
                  <c:v>-82.93</c:v>
                </c:pt>
                <c:pt idx="1708">
                  <c:v>-82.92</c:v>
                </c:pt>
                <c:pt idx="1709">
                  <c:v>-82.91</c:v>
                </c:pt>
                <c:pt idx="1710">
                  <c:v>-82.9</c:v>
                </c:pt>
                <c:pt idx="1711">
                  <c:v>-82.89</c:v>
                </c:pt>
                <c:pt idx="1712">
                  <c:v>-82.88</c:v>
                </c:pt>
                <c:pt idx="1713">
                  <c:v>-82.87</c:v>
                </c:pt>
                <c:pt idx="1714">
                  <c:v>-82.86</c:v>
                </c:pt>
                <c:pt idx="1715">
                  <c:v>-82.85</c:v>
                </c:pt>
                <c:pt idx="1716">
                  <c:v>-82.84</c:v>
                </c:pt>
                <c:pt idx="1717">
                  <c:v>-82.83</c:v>
                </c:pt>
                <c:pt idx="1718">
                  <c:v>-82.82</c:v>
                </c:pt>
                <c:pt idx="1719">
                  <c:v>-82.81</c:v>
                </c:pt>
                <c:pt idx="1720">
                  <c:v>-82.8</c:v>
                </c:pt>
                <c:pt idx="1721">
                  <c:v>-82.79</c:v>
                </c:pt>
                <c:pt idx="1722">
                  <c:v>-82.78</c:v>
                </c:pt>
                <c:pt idx="1723">
                  <c:v>-82.77</c:v>
                </c:pt>
                <c:pt idx="1724">
                  <c:v>-82.76</c:v>
                </c:pt>
                <c:pt idx="1725">
                  <c:v>-82.75</c:v>
                </c:pt>
                <c:pt idx="1726">
                  <c:v>-82.74</c:v>
                </c:pt>
                <c:pt idx="1727">
                  <c:v>-82.73</c:v>
                </c:pt>
                <c:pt idx="1728">
                  <c:v>-82.72</c:v>
                </c:pt>
                <c:pt idx="1729">
                  <c:v>-82.71</c:v>
                </c:pt>
                <c:pt idx="1730">
                  <c:v>-82.7</c:v>
                </c:pt>
                <c:pt idx="1731">
                  <c:v>-82.69</c:v>
                </c:pt>
                <c:pt idx="1732">
                  <c:v>-82.68</c:v>
                </c:pt>
                <c:pt idx="1733">
                  <c:v>-82.67</c:v>
                </c:pt>
                <c:pt idx="1734">
                  <c:v>-82.66</c:v>
                </c:pt>
                <c:pt idx="1735">
                  <c:v>-82.65</c:v>
                </c:pt>
                <c:pt idx="1736">
                  <c:v>-82.64</c:v>
                </c:pt>
                <c:pt idx="1737">
                  <c:v>-82.63</c:v>
                </c:pt>
                <c:pt idx="1738">
                  <c:v>-82.62</c:v>
                </c:pt>
                <c:pt idx="1739">
                  <c:v>-82.61</c:v>
                </c:pt>
                <c:pt idx="1740">
                  <c:v>-82.6</c:v>
                </c:pt>
                <c:pt idx="1741">
                  <c:v>-82.59</c:v>
                </c:pt>
                <c:pt idx="1742">
                  <c:v>-82.58</c:v>
                </c:pt>
                <c:pt idx="1743">
                  <c:v>-82.57</c:v>
                </c:pt>
                <c:pt idx="1744">
                  <c:v>-82.56</c:v>
                </c:pt>
                <c:pt idx="1745">
                  <c:v>-82.55</c:v>
                </c:pt>
                <c:pt idx="1746">
                  <c:v>-82.54</c:v>
                </c:pt>
                <c:pt idx="1747">
                  <c:v>-82.53</c:v>
                </c:pt>
                <c:pt idx="1748">
                  <c:v>-82.52</c:v>
                </c:pt>
                <c:pt idx="1749">
                  <c:v>-82.51</c:v>
                </c:pt>
                <c:pt idx="1750">
                  <c:v>-82.5</c:v>
                </c:pt>
                <c:pt idx="1751">
                  <c:v>-82.49</c:v>
                </c:pt>
                <c:pt idx="1752">
                  <c:v>-82.48</c:v>
                </c:pt>
                <c:pt idx="1753">
                  <c:v>-82.47</c:v>
                </c:pt>
                <c:pt idx="1754">
                  <c:v>-82.46</c:v>
                </c:pt>
                <c:pt idx="1755">
                  <c:v>-82.45</c:v>
                </c:pt>
                <c:pt idx="1756">
                  <c:v>-82.44</c:v>
                </c:pt>
                <c:pt idx="1757">
                  <c:v>-82.43</c:v>
                </c:pt>
                <c:pt idx="1758">
                  <c:v>-82.42</c:v>
                </c:pt>
                <c:pt idx="1759">
                  <c:v>-82.41</c:v>
                </c:pt>
                <c:pt idx="1760">
                  <c:v>-82.4</c:v>
                </c:pt>
                <c:pt idx="1761">
                  <c:v>-82.39</c:v>
                </c:pt>
                <c:pt idx="1762">
                  <c:v>-82.38</c:v>
                </c:pt>
                <c:pt idx="1763">
                  <c:v>-82.37</c:v>
                </c:pt>
                <c:pt idx="1764">
                  <c:v>-82.36</c:v>
                </c:pt>
                <c:pt idx="1765">
                  <c:v>-82.35</c:v>
                </c:pt>
                <c:pt idx="1766">
                  <c:v>-82.34</c:v>
                </c:pt>
                <c:pt idx="1767">
                  <c:v>-82.33</c:v>
                </c:pt>
                <c:pt idx="1768">
                  <c:v>-82.32</c:v>
                </c:pt>
                <c:pt idx="1769">
                  <c:v>-82.31</c:v>
                </c:pt>
                <c:pt idx="1770">
                  <c:v>-82.3</c:v>
                </c:pt>
                <c:pt idx="1771">
                  <c:v>-82.29</c:v>
                </c:pt>
                <c:pt idx="1772">
                  <c:v>-82.28</c:v>
                </c:pt>
                <c:pt idx="1773">
                  <c:v>-82.27</c:v>
                </c:pt>
                <c:pt idx="1774">
                  <c:v>-82.26</c:v>
                </c:pt>
                <c:pt idx="1775">
                  <c:v>-82.25</c:v>
                </c:pt>
                <c:pt idx="1776">
                  <c:v>-82.24</c:v>
                </c:pt>
                <c:pt idx="1777">
                  <c:v>-82.23</c:v>
                </c:pt>
                <c:pt idx="1778">
                  <c:v>-82.22</c:v>
                </c:pt>
                <c:pt idx="1779">
                  <c:v>-82.21</c:v>
                </c:pt>
                <c:pt idx="1780">
                  <c:v>-82.2</c:v>
                </c:pt>
                <c:pt idx="1781">
                  <c:v>-82.19</c:v>
                </c:pt>
                <c:pt idx="1782">
                  <c:v>-82.18</c:v>
                </c:pt>
                <c:pt idx="1783">
                  <c:v>-82.17</c:v>
                </c:pt>
                <c:pt idx="1784">
                  <c:v>-82.16</c:v>
                </c:pt>
                <c:pt idx="1785">
                  <c:v>-82.15</c:v>
                </c:pt>
                <c:pt idx="1786">
                  <c:v>-82.14</c:v>
                </c:pt>
                <c:pt idx="1787">
                  <c:v>-82.13</c:v>
                </c:pt>
                <c:pt idx="1788">
                  <c:v>-82.12</c:v>
                </c:pt>
                <c:pt idx="1789">
                  <c:v>-82.11</c:v>
                </c:pt>
                <c:pt idx="1790">
                  <c:v>-82.1</c:v>
                </c:pt>
                <c:pt idx="1791">
                  <c:v>-82.09</c:v>
                </c:pt>
                <c:pt idx="1792">
                  <c:v>-82.08</c:v>
                </c:pt>
                <c:pt idx="1793">
                  <c:v>-82.07</c:v>
                </c:pt>
                <c:pt idx="1794">
                  <c:v>-82.06</c:v>
                </c:pt>
                <c:pt idx="1795">
                  <c:v>-82.05</c:v>
                </c:pt>
                <c:pt idx="1796">
                  <c:v>-82.04</c:v>
                </c:pt>
                <c:pt idx="1797">
                  <c:v>-82.03</c:v>
                </c:pt>
                <c:pt idx="1798">
                  <c:v>-82.02</c:v>
                </c:pt>
                <c:pt idx="1799">
                  <c:v>-82.01</c:v>
                </c:pt>
                <c:pt idx="1800">
                  <c:v>-82.0</c:v>
                </c:pt>
                <c:pt idx="1801">
                  <c:v>-81.99</c:v>
                </c:pt>
                <c:pt idx="1802">
                  <c:v>-81.98</c:v>
                </c:pt>
                <c:pt idx="1803">
                  <c:v>-81.97</c:v>
                </c:pt>
                <c:pt idx="1804">
                  <c:v>-81.96</c:v>
                </c:pt>
                <c:pt idx="1805">
                  <c:v>-81.95</c:v>
                </c:pt>
                <c:pt idx="1806">
                  <c:v>-81.94</c:v>
                </c:pt>
                <c:pt idx="1807">
                  <c:v>-81.93</c:v>
                </c:pt>
                <c:pt idx="1808">
                  <c:v>-81.92</c:v>
                </c:pt>
                <c:pt idx="1809">
                  <c:v>-81.91</c:v>
                </c:pt>
                <c:pt idx="1810">
                  <c:v>-81.9</c:v>
                </c:pt>
                <c:pt idx="1811">
                  <c:v>-81.89</c:v>
                </c:pt>
                <c:pt idx="1812">
                  <c:v>-81.88</c:v>
                </c:pt>
                <c:pt idx="1813">
                  <c:v>-81.87</c:v>
                </c:pt>
                <c:pt idx="1814">
                  <c:v>-81.86</c:v>
                </c:pt>
                <c:pt idx="1815">
                  <c:v>-81.85</c:v>
                </c:pt>
                <c:pt idx="1816">
                  <c:v>-81.84</c:v>
                </c:pt>
                <c:pt idx="1817">
                  <c:v>-81.83</c:v>
                </c:pt>
                <c:pt idx="1818">
                  <c:v>-81.82</c:v>
                </c:pt>
                <c:pt idx="1819">
                  <c:v>-81.81</c:v>
                </c:pt>
                <c:pt idx="1820">
                  <c:v>-81.8</c:v>
                </c:pt>
                <c:pt idx="1821">
                  <c:v>-81.79</c:v>
                </c:pt>
                <c:pt idx="1822">
                  <c:v>-81.78</c:v>
                </c:pt>
                <c:pt idx="1823">
                  <c:v>-81.77</c:v>
                </c:pt>
                <c:pt idx="1824">
                  <c:v>-81.76</c:v>
                </c:pt>
                <c:pt idx="1825">
                  <c:v>-81.75</c:v>
                </c:pt>
                <c:pt idx="1826">
                  <c:v>-81.74</c:v>
                </c:pt>
                <c:pt idx="1827">
                  <c:v>-81.73</c:v>
                </c:pt>
                <c:pt idx="1828">
                  <c:v>-81.72</c:v>
                </c:pt>
                <c:pt idx="1829">
                  <c:v>-81.71</c:v>
                </c:pt>
                <c:pt idx="1830">
                  <c:v>-81.7</c:v>
                </c:pt>
                <c:pt idx="1831">
                  <c:v>-81.69</c:v>
                </c:pt>
                <c:pt idx="1832">
                  <c:v>-81.68</c:v>
                </c:pt>
                <c:pt idx="1833">
                  <c:v>-81.67</c:v>
                </c:pt>
                <c:pt idx="1834">
                  <c:v>-81.66</c:v>
                </c:pt>
                <c:pt idx="1835">
                  <c:v>-81.65</c:v>
                </c:pt>
                <c:pt idx="1836">
                  <c:v>-81.64</c:v>
                </c:pt>
                <c:pt idx="1837">
                  <c:v>-81.63</c:v>
                </c:pt>
                <c:pt idx="1838">
                  <c:v>-81.62</c:v>
                </c:pt>
                <c:pt idx="1839">
                  <c:v>-81.61</c:v>
                </c:pt>
                <c:pt idx="1840">
                  <c:v>-81.6</c:v>
                </c:pt>
                <c:pt idx="1841">
                  <c:v>-81.59</c:v>
                </c:pt>
                <c:pt idx="1842">
                  <c:v>-81.58</c:v>
                </c:pt>
                <c:pt idx="1843">
                  <c:v>-81.57</c:v>
                </c:pt>
                <c:pt idx="1844">
                  <c:v>-81.56</c:v>
                </c:pt>
                <c:pt idx="1845">
                  <c:v>-81.55</c:v>
                </c:pt>
                <c:pt idx="1846">
                  <c:v>-81.54</c:v>
                </c:pt>
                <c:pt idx="1847">
                  <c:v>-81.53</c:v>
                </c:pt>
                <c:pt idx="1848">
                  <c:v>-81.52</c:v>
                </c:pt>
                <c:pt idx="1849">
                  <c:v>-81.51</c:v>
                </c:pt>
                <c:pt idx="1850">
                  <c:v>-81.5</c:v>
                </c:pt>
                <c:pt idx="1851">
                  <c:v>-81.49</c:v>
                </c:pt>
                <c:pt idx="1852">
                  <c:v>-81.48</c:v>
                </c:pt>
                <c:pt idx="1853">
                  <c:v>-81.47</c:v>
                </c:pt>
                <c:pt idx="1854">
                  <c:v>-81.46</c:v>
                </c:pt>
                <c:pt idx="1855">
                  <c:v>-81.45</c:v>
                </c:pt>
                <c:pt idx="1856">
                  <c:v>-81.44</c:v>
                </c:pt>
                <c:pt idx="1857">
                  <c:v>-81.43</c:v>
                </c:pt>
                <c:pt idx="1858">
                  <c:v>-81.42</c:v>
                </c:pt>
                <c:pt idx="1859">
                  <c:v>-81.41</c:v>
                </c:pt>
                <c:pt idx="1860">
                  <c:v>-81.4</c:v>
                </c:pt>
                <c:pt idx="1861">
                  <c:v>-81.39</c:v>
                </c:pt>
                <c:pt idx="1862">
                  <c:v>-81.38</c:v>
                </c:pt>
                <c:pt idx="1863">
                  <c:v>-81.37</c:v>
                </c:pt>
                <c:pt idx="1864">
                  <c:v>-81.36</c:v>
                </c:pt>
                <c:pt idx="1865">
                  <c:v>-81.35</c:v>
                </c:pt>
                <c:pt idx="1866">
                  <c:v>-81.34</c:v>
                </c:pt>
                <c:pt idx="1867">
                  <c:v>-81.33</c:v>
                </c:pt>
                <c:pt idx="1868">
                  <c:v>-81.32</c:v>
                </c:pt>
                <c:pt idx="1869">
                  <c:v>-81.31</c:v>
                </c:pt>
                <c:pt idx="1870">
                  <c:v>-81.3</c:v>
                </c:pt>
                <c:pt idx="1871">
                  <c:v>-81.29</c:v>
                </c:pt>
                <c:pt idx="1872">
                  <c:v>-81.28</c:v>
                </c:pt>
                <c:pt idx="1873">
                  <c:v>-81.27</c:v>
                </c:pt>
                <c:pt idx="1874">
                  <c:v>-81.26</c:v>
                </c:pt>
                <c:pt idx="1875">
                  <c:v>-81.25</c:v>
                </c:pt>
                <c:pt idx="1876">
                  <c:v>-81.24</c:v>
                </c:pt>
                <c:pt idx="1877">
                  <c:v>-81.23</c:v>
                </c:pt>
                <c:pt idx="1878">
                  <c:v>-81.22</c:v>
                </c:pt>
                <c:pt idx="1879">
                  <c:v>-81.21</c:v>
                </c:pt>
                <c:pt idx="1880">
                  <c:v>-81.2</c:v>
                </c:pt>
                <c:pt idx="1881">
                  <c:v>-81.19</c:v>
                </c:pt>
                <c:pt idx="1882">
                  <c:v>-81.18</c:v>
                </c:pt>
                <c:pt idx="1883">
                  <c:v>-81.17</c:v>
                </c:pt>
                <c:pt idx="1884">
                  <c:v>-81.16</c:v>
                </c:pt>
                <c:pt idx="1885">
                  <c:v>-81.15</c:v>
                </c:pt>
                <c:pt idx="1886">
                  <c:v>-81.14</c:v>
                </c:pt>
                <c:pt idx="1887">
                  <c:v>-81.13</c:v>
                </c:pt>
                <c:pt idx="1888">
                  <c:v>-81.12</c:v>
                </c:pt>
                <c:pt idx="1889">
                  <c:v>-81.11</c:v>
                </c:pt>
                <c:pt idx="1890">
                  <c:v>-81.1</c:v>
                </c:pt>
                <c:pt idx="1891">
                  <c:v>-81.09</c:v>
                </c:pt>
                <c:pt idx="1892">
                  <c:v>-81.08</c:v>
                </c:pt>
                <c:pt idx="1893">
                  <c:v>-81.07</c:v>
                </c:pt>
                <c:pt idx="1894">
                  <c:v>-81.06</c:v>
                </c:pt>
                <c:pt idx="1895">
                  <c:v>-81.05</c:v>
                </c:pt>
                <c:pt idx="1896">
                  <c:v>-81.04</c:v>
                </c:pt>
                <c:pt idx="1897">
                  <c:v>-81.03</c:v>
                </c:pt>
                <c:pt idx="1898">
                  <c:v>-81.02</c:v>
                </c:pt>
                <c:pt idx="1899">
                  <c:v>-81.01</c:v>
                </c:pt>
                <c:pt idx="1900">
                  <c:v>-81.0</c:v>
                </c:pt>
                <c:pt idx="1901">
                  <c:v>-80.99</c:v>
                </c:pt>
                <c:pt idx="1902">
                  <c:v>-80.98</c:v>
                </c:pt>
                <c:pt idx="1903">
                  <c:v>-80.97</c:v>
                </c:pt>
                <c:pt idx="1904">
                  <c:v>-80.96</c:v>
                </c:pt>
                <c:pt idx="1905">
                  <c:v>-80.95</c:v>
                </c:pt>
                <c:pt idx="1906">
                  <c:v>-80.94</c:v>
                </c:pt>
                <c:pt idx="1907">
                  <c:v>-80.93</c:v>
                </c:pt>
                <c:pt idx="1908">
                  <c:v>-80.92</c:v>
                </c:pt>
                <c:pt idx="1909">
                  <c:v>-80.91</c:v>
                </c:pt>
                <c:pt idx="1910">
                  <c:v>-80.9</c:v>
                </c:pt>
                <c:pt idx="1911">
                  <c:v>-80.89</c:v>
                </c:pt>
                <c:pt idx="1912">
                  <c:v>-80.88</c:v>
                </c:pt>
                <c:pt idx="1913">
                  <c:v>-80.87</c:v>
                </c:pt>
                <c:pt idx="1914">
                  <c:v>-80.86</c:v>
                </c:pt>
                <c:pt idx="1915">
                  <c:v>-80.85</c:v>
                </c:pt>
                <c:pt idx="1916">
                  <c:v>-80.84</c:v>
                </c:pt>
                <c:pt idx="1917">
                  <c:v>-80.83</c:v>
                </c:pt>
                <c:pt idx="1918">
                  <c:v>-80.82</c:v>
                </c:pt>
                <c:pt idx="1919">
                  <c:v>-80.81</c:v>
                </c:pt>
                <c:pt idx="1920">
                  <c:v>-80.8</c:v>
                </c:pt>
                <c:pt idx="1921">
                  <c:v>-80.79</c:v>
                </c:pt>
                <c:pt idx="1922">
                  <c:v>-80.78</c:v>
                </c:pt>
                <c:pt idx="1923">
                  <c:v>-80.77</c:v>
                </c:pt>
                <c:pt idx="1924">
                  <c:v>-80.76</c:v>
                </c:pt>
                <c:pt idx="1925">
                  <c:v>-80.75</c:v>
                </c:pt>
                <c:pt idx="1926">
                  <c:v>-80.74</c:v>
                </c:pt>
                <c:pt idx="1927">
                  <c:v>-80.73</c:v>
                </c:pt>
                <c:pt idx="1928">
                  <c:v>-80.72</c:v>
                </c:pt>
                <c:pt idx="1929">
                  <c:v>-80.71</c:v>
                </c:pt>
                <c:pt idx="1930">
                  <c:v>-80.7</c:v>
                </c:pt>
                <c:pt idx="1931">
                  <c:v>-80.69</c:v>
                </c:pt>
                <c:pt idx="1932">
                  <c:v>-80.68</c:v>
                </c:pt>
                <c:pt idx="1933">
                  <c:v>-80.67</c:v>
                </c:pt>
                <c:pt idx="1934">
                  <c:v>-80.66</c:v>
                </c:pt>
                <c:pt idx="1935">
                  <c:v>-80.65</c:v>
                </c:pt>
                <c:pt idx="1936">
                  <c:v>-80.64</c:v>
                </c:pt>
                <c:pt idx="1937">
                  <c:v>-80.63</c:v>
                </c:pt>
                <c:pt idx="1938">
                  <c:v>-80.62</c:v>
                </c:pt>
                <c:pt idx="1939">
                  <c:v>-80.61</c:v>
                </c:pt>
                <c:pt idx="1940">
                  <c:v>-80.6</c:v>
                </c:pt>
                <c:pt idx="1941">
                  <c:v>-80.59</c:v>
                </c:pt>
                <c:pt idx="1942">
                  <c:v>-80.58</c:v>
                </c:pt>
                <c:pt idx="1943">
                  <c:v>-80.57</c:v>
                </c:pt>
                <c:pt idx="1944">
                  <c:v>-80.56</c:v>
                </c:pt>
                <c:pt idx="1945">
                  <c:v>-80.55</c:v>
                </c:pt>
                <c:pt idx="1946">
                  <c:v>-80.54</c:v>
                </c:pt>
                <c:pt idx="1947">
                  <c:v>-80.53</c:v>
                </c:pt>
                <c:pt idx="1948">
                  <c:v>-80.52</c:v>
                </c:pt>
                <c:pt idx="1949">
                  <c:v>-80.51</c:v>
                </c:pt>
                <c:pt idx="1950">
                  <c:v>-80.5</c:v>
                </c:pt>
                <c:pt idx="1951">
                  <c:v>-80.49</c:v>
                </c:pt>
                <c:pt idx="1952">
                  <c:v>-80.48</c:v>
                </c:pt>
                <c:pt idx="1953">
                  <c:v>-80.47</c:v>
                </c:pt>
                <c:pt idx="1954">
                  <c:v>-80.46</c:v>
                </c:pt>
                <c:pt idx="1955">
                  <c:v>-80.45</c:v>
                </c:pt>
                <c:pt idx="1956">
                  <c:v>-80.44</c:v>
                </c:pt>
                <c:pt idx="1957">
                  <c:v>-80.43</c:v>
                </c:pt>
                <c:pt idx="1958">
                  <c:v>-80.42</c:v>
                </c:pt>
                <c:pt idx="1959">
                  <c:v>-80.41</c:v>
                </c:pt>
                <c:pt idx="1960">
                  <c:v>-80.4</c:v>
                </c:pt>
                <c:pt idx="1961">
                  <c:v>-80.39</c:v>
                </c:pt>
                <c:pt idx="1962">
                  <c:v>-80.38</c:v>
                </c:pt>
                <c:pt idx="1963">
                  <c:v>-80.37</c:v>
                </c:pt>
                <c:pt idx="1964">
                  <c:v>-80.36</c:v>
                </c:pt>
                <c:pt idx="1965">
                  <c:v>-80.35</c:v>
                </c:pt>
                <c:pt idx="1966">
                  <c:v>-80.34</c:v>
                </c:pt>
                <c:pt idx="1967">
                  <c:v>-80.33</c:v>
                </c:pt>
                <c:pt idx="1968">
                  <c:v>-80.32</c:v>
                </c:pt>
                <c:pt idx="1969">
                  <c:v>-80.31</c:v>
                </c:pt>
                <c:pt idx="1970">
                  <c:v>-80.3</c:v>
                </c:pt>
                <c:pt idx="1971">
                  <c:v>-80.29</c:v>
                </c:pt>
                <c:pt idx="1972">
                  <c:v>-80.28</c:v>
                </c:pt>
                <c:pt idx="1973">
                  <c:v>-80.27</c:v>
                </c:pt>
                <c:pt idx="1974">
                  <c:v>-80.26</c:v>
                </c:pt>
                <c:pt idx="1975">
                  <c:v>-80.25</c:v>
                </c:pt>
                <c:pt idx="1976">
                  <c:v>-80.24</c:v>
                </c:pt>
                <c:pt idx="1977">
                  <c:v>-80.23</c:v>
                </c:pt>
                <c:pt idx="1978">
                  <c:v>-80.22</c:v>
                </c:pt>
                <c:pt idx="1979">
                  <c:v>-80.21</c:v>
                </c:pt>
                <c:pt idx="1980">
                  <c:v>-80.2</c:v>
                </c:pt>
                <c:pt idx="1981">
                  <c:v>-80.19</c:v>
                </c:pt>
                <c:pt idx="1982">
                  <c:v>-80.18</c:v>
                </c:pt>
                <c:pt idx="1983">
                  <c:v>-80.17</c:v>
                </c:pt>
                <c:pt idx="1984">
                  <c:v>-80.16</c:v>
                </c:pt>
                <c:pt idx="1985">
                  <c:v>-80.15</c:v>
                </c:pt>
                <c:pt idx="1986">
                  <c:v>-80.14</c:v>
                </c:pt>
                <c:pt idx="1987">
                  <c:v>-80.13</c:v>
                </c:pt>
                <c:pt idx="1988">
                  <c:v>-80.12</c:v>
                </c:pt>
                <c:pt idx="1989">
                  <c:v>-80.11</c:v>
                </c:pt>
                <c:pt idx="1990">
                  <c:v>-80.1</c:v>
                </c:pt>
                <c:pt idx="1991">
                  <c:v>-80.09</c:v>
                </c:pt>
                <c:pt idx="1992">
                  <c:v>-80.08</c:v>
                </c:pt>
                <c:pt idx="1993">
                  <c:v>-80.07</c:v>
                </c:pt>
                <c:pt idx="1994">
                  <c:v>-80.06</c:v>
                </c:pt>
                <c:pt idx="1995">
                  <c:v>-80.05</c:v>
                </c:pt>
                <c:pt idx="1996">
                  <c:v>-80.04</c:v>
                </c:pt>
                <c:pt idx="1997">
                  <c:v>-80.03</c:v>
                </c:pt>
                <c:pt idx="1998">
                  <c:v>-80.02</c:v>
                </c:pt>
                <c:pt idx="1999">
                  <c:v>-80.01</c:v>
                </c:pt>
                <c:pt idx="2000">
                  <c:v>-80.0</c:v>
                </c:pt>
                <c:pt idx="2001">
                  <c:v>-79.99</c:v>
                </c:pt>
                <c:pt idx="2002">
                  <c:v>-79.98</c:v>
                </c:pt>
                <c:pt idx="2003">
                  <c:v>-79.97</c:v>
                </c:pt>
                <c:pt idx="2004">
                  <c:v>-79.96</c:v>
                </c:pt>
                <c:pt idx="2005">
                  <c:v>-79.95</c:v>
                </c:pt>
                <c:pt idx="2006">
                  <c:v>-79.94</c:v>
                </c:pt>
                <c:pt idx="2007">
                  <c:v>-79.93</c:v>
                </c:pt>
                <c:pt idx="2008">
                  <c:v>-79.92</c:v>
                </c:pt>
                <c:pt idx="2009">
                  <c:v>-79.91</c:v>
                </c:pt>
                <c:pt idx="2010">
                  <c:v>-79.9</c:v>
                </c:pt>
                <c:pt idx="2011">
                  <c:v>-79.89</c:v>
                </c:pt>
                <c:pt idx="2012">
                  <c:v>-79.88</c:v>
                </c:pt>
                <c:pt idx="2013">
                  <c:v>-79.87</c:v>
                </c:pt>
                <c:pt idx="2014">
                  <c:v>-79.86</c:v>
                </c:pt>
                <c:pt idx="2015">
                  <c:v>-79.85</c:v>
                </c:pt>
                <c:pt idx="2016">
                  <c:v>-79.84</c:v>
                </c:pt>
                <c:pt idx="2017">
                  <c:v>-79.83</c:v>
                </c:pt>
                <c:pt idx="2018">
                  <c:v>-79.82</c:v>
                </c:pt>
                <c:pt idx="2019">
                  <c:v>-79.81</c:v>
                </c:pt>
                <c:pt idx="2020">
                  <c:v>-79.8</c:v>
                </c:pt>
                <c:pt idx="2021">
                  <c:v>-79.79</c:v>
                </c:pt>
                <c:pt idx="2022">
                  <c:v>-79.78</c:v>
                </c:pt>
                <c:pt idx="2023">
                  <c:v>-79.77</c:v>
                </c:pt>
                <c:pt idx="2024">
                  <c:v>-79.76</c:v>
                </c:pt>
                <c:pt idx="2025">
                  <c:v>-79.75</c:v>
                </c:pt>
                <c:pt idx="2026">
                  <c:v>-79.74</c:v>
                </c:pt>
                <c:pt idx="2027">
                  <c:v>-79.73</c:v>
                </c:pt>
                <c:pt idx="2028">
                  <c:v>-79.72</c:v>
                </c:pt>
                <c:pt idx="2029">
                  <c:v>-79.71</c:v>
                </c:pt>
                <c:pt idx="2030">
                  <c:v>-79.7</c:v>
                </c:pt>
                <c:pt idx="2031">
                  <c:v>-79.69</c:v>
                </c:pt>
                <c:pt idx="2032">
                  <c:v>-79.68</c:v>
                </c:pt>
                <c:pt idx="2033">
                  <c:v>-79.67</c:v>
                </c:pt>
                <c:pt idx="2034">
                  <c:v>-79.66</c:v>
                </c:pt>
                <c:pt idx="2035">
                  <c:v>-79.65</c:v>
                </c:pt>
                <c:pt idx="2036">
                  <c:v>-79.64</c:v>
                </c:pt>
                <c:pt idx="2037">
                  <c:v>-79.63</c:v>
                </c:pt>
                <c:pt idx="2038">
                  <c:v>-79.62</c:v>
                </c:pt>
                <c:pt idx="2039">
                  <c:v>-79.61</c:v>
                </c:pt>
                <c:pt idx="2040">
                  <c:v>-79.6</c:v>
                </c:pt>
                <c:pt idx="2041">
                  <c:v>-79.59</c:v>
                </c:pt>
                <c:pt idx="2042">
                  <c:v>-79.58</c:v>
                </c:pt>
                <c:pt idx="2043">
                  <c:v>-79.57</c:v>
                </c:pt>
                <c:pt idx="2044">
                  <c:v>-79.56</c:v>
                </c:pt>
                <c:pt idx="2045">
                  <c:v>-79.55</c:v>
                </c:pt>
                <c:pt idx="2046">
                  <c:v>-79.54</c:v>
                </c:pt>
                <c:pt idx="2047">
                  <c:v>-79.53</c:v>
                </c:pt>
                <c:pt idx="2048">
                  <c:v>-79.52</c:v>
                </c:pt>
                <c:pt idx="2049">
                  <c:v>-79.51</c:v>
                </c:pt>
                <c:pt idx="2050">
                  <c:v>-79.5</c:v>
                </c:pt>
                <c:pt idx="2051">
                  <c:v>-79.49</c:v>
                </c:pt>
                <c:pt idx="2052">
                  <c:v>-79.48</c:v>
                </c:pt>
                <c:pt idx="2053">
                  <c:v>-79.47</c:v>
                </c:pt>
                <c:pt idx="2054">
                  <c:v>-79.46</c:v>
                </c:pt>
                <c:pt idx="2055">
                  <c:v>-79.45</c:v>
                </c:pt>
                <c:pt idx="2056">
                  <c:v>-79.44</c:v>
                </c:pt>
                <c:pt idx="2057">
                  <c:v>-79.43</c:v>
                </c:pt>
                <c:pt idx="2058">
                  <c:v>-79.42</c:v>
                </c:pt>
                <c:pt idx="2059">
                  <c:v>-79.41</c:v>
                </c:pt>
                <c:pt idx="2060">
                  <c:v>-79.4</c:v>
                </c:pt>
                <c:pt idx="2061">
                  <c:v>-79.39</c:v>
                </c:pt>
                <c:pt idx="2062">
                  <c:v>-79.38</c:v>
                </c:pt>
                <c:pt idx="2063">
                  <c:v>-79.37</c:v>
                </c:pt>
                <c:pt idx="2064">
                  <c:v>-79.36</c:v>
                </c:pt>
                <c:pt idx="2065">
                  <c:v>-79.35</c:v>
                </c:pt>
                <c:pt idx="2066">
                  <c:v>-79.34</c:v>
                </c:pt>
                <c:pt idx="2067">
                  <c:v>-79.33</c:v>
                </c:pt>
                <c:pt idx="2068">
                  <c:v>-79.32</c:v>
                </c:pt>
                <c:pt idx="2069">
                  <c:v>-79.31</c:v>
                </c:pt>
                <c:pt idx="2070">
                  <c:v>-79.3</c:v>
                </c:pt>
                <c:pt idx="2071">
                  <c:v>-79.29</c:v>
                </c:pt>
                <c:pt idx="2072">
                  <c:v>-79.28</c:v>
                </c:pt>
                <c:pt idx="2073">
                  <c:v>-79.27</c:v>
                </c:pt>
                <c:pt idx="2074">
                  <c:v>-79.26</c:v>
                </c:pt>
                <c:pt idx="2075">
                  <c:v>-79.25</c:v>
                </c:pt>
                <c:pt idx="2076">
                  <c:v>-79.24</c:v>
                </c:pt>
                <c:pt idx="2077">
                  <c:v>-79.23</c:v>
                </c:pt>
                <c:pt idx="2078">
                  <c:v>-79.22</c:v>
                </c:pt>
                <c:pt idx="2079">
                  <c:v>-79.21</c:v>
                </c:pt>
                <c:pt idx="2080">
                  <c:v>-79.2</c:v>
                </c:pt>
                <c:pt idx="2081">
                  <c:v>-79.19</c:v>
                </c:pt>
                <c:pt idx="2082">
                  <c:v>-79.18</c:v>
                </c:pt>
                <c:pt idx="2083">
                  <c:v>-79.17</c:v>
                </c:pt>
                <c:pt idx="2084">
                  <c:v>-79.16</c:v>
                </c:pt>
                <c:pt idx="2085">
                  <c:v>-79.15</c:v>
                </c:pt>
                <c:pt idx="2086">
                  <c:v>-79.14</c:v>
                </c:pt>
                <c:pt idx="2087">
                  <c:v>-79.13</c:v>
                </c:pt>
                <c:pt idx="2088">
                  <c:v>-79.12</c:v>
                </c:pt>
                <c:pt idx="2089">
                  <c:v>-79.11</c:v>
                </c:pt>
                <c:pt idx="2090">
                  <c:v>-79.1</c:v>
                </c:pt>
                <c:pt idx="2091">
                  <c:v>-79.09</c:v>
                </c:pt>
                <c:pt idx="2092">
                  <c:v>-79.08</c:v>
                </c:pt>
                <c:pt idx="2093">
                  <c:v>-79.07</c:v>
                </c:pt>
                <c:pt idx="2094">
                  <c:v>-79.06</c:v>
                </c:pt>
                <c:pt idx="2095">
                  <c:v>-79.05</c:v>
                </c:pt>
                <c:pt idx="2096">
                  <c:v>-79.04</c:v>
                </c:pt>
                <c:pt idx="2097">
                  <c:v>-79.03</c:v>
                </c:pt>
                <c:pt idx="2098">
                  <c:v>-79.02</c:v>
                </c:pt>
                <c:pt idx="2099">
                  <c:v>-79.01</c:v>
                </c:pt>
                <c:pt idx="2100">
                  <c:v>-79.0</c:v>
                </c:pt>
                <c:pt idx="2101">
                  <c:v>-78.99</c:v>
                </c:pt>
                <c:pt idx="2102">
                  <c:v>-78.98</c:v>
                </c:pt>
                <c:pt idx="2103">
                  <c:v>-78.97</c:v>
                </c:pt>
                <c:pt idx="2104">
                  <c:v>-78.96</c:v>
                </c:pt>
                <c:pt idx="2105">
                  <c:v>-78.95</c:v>
                </c:pt>
                <c:pt idx="2106">
                  <c:v>-78.94</c:v>
                </c:pt>
                <c:pt idx="2107">
                  <c:v>-78.93</c:v>
                </c:pt>
                <c:pt idx="2108">
                  <c:v>-78.92</c:v>
                </c:pt>
                <c:pt idx="2109">
                  <c:v>-78.91</c:v>
                </c:pt>
                <c:pt idx="2110">
                  <c:v>-78.9</c:v>
                </c:pt>
                <c:pt idx="2111">
                  <c:v>-78.89</c:v>
                </c:pt>
                <c:pt idx="2112">
                  <c:v>-78.88</c:v>
                </c:pt>
                <c:pt idx="2113">
                  <c:v>-78.87</c:v>
                </c:pt>
                <c:pt idx="2114">
                  <c:v>-78.86</c:v>
                </c:pt>
                <c:pt idx="2115">
                  <c:v>-78.85</c:v>
                </c:pt>
                <c:pt idx="2116">
                  <c:v>-78.84</c:v>
                </c:pt>
                <c:pt idx="2117">
                  <c:v>-78.83</c:v>
                </c:pt>
                <c:pt idx="2118">
                  <c:v>-78.82</c:v>
                </c:pt>
                <c:pt idx="2119">
                  <c:v>-78.81</c:v>
                </c:pt>
                <c:pt idx="2120">
                  <c:v>-78.8</c:v>
                </c:pt>
                <c:pt idx="2121">
                  <c:v>-78.79</c:v>
                </c:pt>
                <c:pt idx="2122">
                  <c:v>-78.78</c:v>
                </c:pt>
                <c:pt idx="2123">
                  <c:v>-78.77</c:v>
                </c:pt>
                <c:pt idx="2124">
                  <c:v>-78.76</c:v>
                </c:pt>
                <c:pt idx="2125">
                  <c:v>-78.75</c:v>
                </c:pt>
                <c:pt idx="2126">
                  <c:v>-78.74</c:v>
                </c:pt>
                <c:pt idx="2127">
                  <c:v>-78.73</c:v>
                </c:pt>
                <c:pt idx="2128">
                  <c:v>-78.72</c:v>
                </c:pt>
                <c:pt idx="2129">
                  <c:v>-78.71</c:v>
                </c:pt>
                <c:pt idx="2130">
                  <c:v>-78.7</c:v>
                </c:pt>
                <c:pt idx="2131">
                  <c:v>-78.69</c:v>
                </c:pt>
                <c:pt idx="2132">
                  <c:v>-78.68</c:v>
                </c:pt>
                <c:pt idx="2133">
                  <c:v>-78.67</c:v>
                </c:pt>
                <c:pt idx="2134">
                  <c:v>-78.66</c:v>
                </c:pt>
                <c:pt idx="2135">
                  <c:v>-78.65</c:v>
                </c:pt>
                <c:pt idx="2136">
                  <c:v>-78.64</c:v>
                </c:pt>
                <c:pt idx="2137">
                  <c:v>-78.63</c:v>
                </c:pt>
                <c:pt idx="2138">
                  <c:v>-78.62</c:v>
                </c:pt>
                <c:pt idx="2139">
                  <c:v>-78.61</c:v>
                </c:pt>
                <c:pt idx="2140">
                  <c:v>-78.6</c:v>
                </c:pt>
                <c:pt idx="2141">
                  <c:v>-78.59</c:v>
                </c:pt>
                <c:pt idx="2142">
                  <c:v>-78.58</c:v>
                </c:pt>
                <c:pt idx="2143">
                  <c:v>-78.57</c:v>
                </c:pt>
                <c:pt idx="2144">
                  <c:v>-78.56</c:v>
                </c:pt>
                <c:pt idx="2145">
                  <c:v>-78.55</c:v>
                </c:pt>
                <c:pt idx="2146">
                  <c:v>-78.54</c:v>
                </c:pt>
                <c:pt idx="2147">
                  <c:v>-78.53</c:v>
                </c:pt>
                <c:pt idx="2148">
                  <c:v>-78.52</c:v>
                </c:pt>
                <c:pt idx="2149">
                  <c:v>-78.51</c:v>
                </c:pt>
                <c:pt idx="2150">
                  <c:v>-78.5</c:v>
                </c:pt>
                <c:pt idx="2151">
                  <c:v>-78.49</c:v>
                </c:pt>
                <c:pt idx="2152">
                  <c:v>-78.48</c:v>
                </c:pt>
                <c:pt idx="2153">
                  <c:v>-78.47</c:v>
                </c:pt>
                <c:pt idx="2154">
                  <c:v>-78.46</c:v>
                </c:pt>
                <c:pt idx="2155">
                  <c:v>-78.45</c:v>
                </c:pt>
                <c:pt idx="2156">
                  <c:v>-78.44</c:v>
                </c:pt>
                <c:pt idx="2157">
                  <c:v>-78.43</c:v>
                </c:pt>
                <c:pt idx="2158">
                  <c:v>-78.42</c:v>
                </c:pt>
                <c:pt idx="2159">
                  <c:v>-78.41</c:v>
                </c:pt>
                <c:pt idx="2160">
                  <c:v>-78.4</c:v>
                </c:pt>
                <c:pt idx="2161">
                  <c:v>-78.39</c:v>
                </c:pt>
                <c:pt idx="2162">
                  <c:v>-78.38</c:v>
                </c:pt>
                <c:pt idx="2163">
                  <c:v>-78.37</c:v>
                </c:pt>
                <c:pt idx="2164">
                  <c:v>-78.36</c:v>
                </c:pt>
                <c:pt idx="2165">
                  <c:v>-78.35</c:v>
                </c:pt>
                <c:pt idx="2166">
                  <c:v>-78.34</c:v>
                </c:pt>
                <c:pt idx="2167">
                  <c:v>-78.33</c:v>
                </c:pt>
                <c:pt idx="2168">
                  <c:v>-78.32</c:v>
                </c:pt>
                <c:pt idx="2169">
                  <c:v>-78.31</c:v>
                </c:pt>
                <c:pt idx="2170">
                  <c:v>-78.3</c:v>
                </c:pt>
                <c:pt idx="2171">
                  <c:v>-78.29</c:v>
                </c:pt>
                <c:pt idx="2172">
                  <c:v>-78.28</c:v>
                </c:pt>
                <c:pt idx="2173">
                  <c:v>-78.27</c:v>
                </c:pt>
                <c:pt idx="2174">
                  <c:v>-78.26</c:v>
                </c:pt>
                <c:pt idx="2175">
                  <c:v>-78.25</c:v>
                </c:pt>
                <c:pt idx="2176">
                  <c:v>-78.24</c:v>
                </c:pt>
                <c:pt idx="2177">
                  <c:v>-78.23</c:v>
                </c:pt>
                <c:pt idx="2178">
                  <c:v>-78.22</c:v>
                </c:pt>
                <c:pt idx="2179">
                  <c:v>-78.21</c:v>
                </c:pt>
                <c:pt idx="2180">
                  <c:v>-78.2</c:v>
                </c:pt>
                <c:pt idx="2181">
                  <c:v>-78.19</c:v>
                </c:pt>
                <c:pt idx="2182">
                  <c:v>-78.18</c:v>
                </c:pt>
                <c:pt idx="2183">
                  <c:v>-78.17</c:v>
                </c:pt>
                <c:pt idx="2184">
                  <c:v>-78.16</c:v>
                </c:pt>
                <c:pt idx="2185">
                  <c:v>-78.15</c:v>
                </c:pt>
                <c:pt idx="2186">
                  <c:v>-78.14</c:v>
                </c:pt>
                <c:pt idx="2187">
                  <c:v>-78.13</c:v>
                </c:pt>
                <c:pt idx="2188">
                  <c:v>-78.12</c:v>
                </c:pt>
                <c:pt idx="2189">
                  <c:v>-78.11</c:v>
                </c:pt>
                <c:pt idx="2190">
                  <c:v>-78.1</c:v>
                </c:pt>
                <c:pt idx="2191">
                  <c:v>-78.09</c:v>
                </c:pt>
                <c:pt idx="2192">
                  <c:v>-78.08</c:v>
                </c:pt>
                <c:pt idx="2193">
                  <c:v>-78.07</c:v>
                </c:pt>
                <c:pt idx="2194">
                  <c:v>-78.06</c:v>
                </c:pt>
                <c:pt idx="2195">
                  <c:v>-78.05</c:v>
                </c:pt>
                <c:pt idx="2196">
                  <c:v>-78.04</c:v>
                </c:pt>
                <c:pt idx="2197">
                  <c:v>-78.03</c:v>
                </c:pt>
                <c:pt idx="2198">
                  <c:v>-78.02</c:v>
                </c:pt>
                <c:pt idx="2199">
                  <c:v>-78.01</c:v>
                </c:pt>
                <c:pt idx="2200">
                  <c:v>-78.0</c:v>
                </c:pt>
                <c:pt idx="2201">
                  <c:v>-77.99</c:v>
                </c:pt>
                <c:pt idx="2202">
                  <c:v>-77.98</c:v>
                </c:pt>
                <c:pt idx="2203">
                  <c:v>-77.97</c:v>
                </c:pt>
                <c:pt idx="2204">
                  <c:v>-77.96</c:v>
                </c:pt>
                <c:pt idx="2205">
                  <c:v>-77.95</c:v>
                </c:pt>
                <c:pt idx="2206">
                  <c:v>-77.94</c:v>
                </c:pt>
                <c:pt idx="2207">
                  <c:v>-77.93</c:v>
                </c:pt>
                <c:pt idx="2208">
                  <c:v>-77.92</c:v>
                </c:pt>
                <c:pt idx="2209">
                  <c:v>-77.91</c:v>
                </c:pt>
                <c:pt idx="2210">
                  <c:v>-77.9</c:v>
                </c:pt>
                <c:pt idx="2211">
                  <c:v>-77.89</c:v>
                </c:pt>
                <c:pt idx="2212">
                  <c:v>-77.88</c:v>
                </c:pt>
                <c:pt idx="2213">
                  <c:v>-77.87</c:v>
                </c:pt>
                <c:pt idx="2214">
                  <c:v>-77.86</c:v>
                </c:pt>
                <c:pt idx="2215">
                  <c:v>-77.85</c:v>
                </c:pt>
                <c:pt idx="2216">
                  <c:v>-77.84</c:v>
                </c:pt>
                <c:pt idx="2217">
                  <c:v>-77.83</c:v>
                </c:pt>
                <c:pt idx="2218">
                  <c:v>-77.82</c:v>
                </c:pt>
                <c:pt idx="2219">
                  <c:v>-77.81</c:v>
                </c:pt>
                <c:pt idx="2220">
                  <c:v>-77.8</c:v>
                </c:pt>
                <c:pt idx="2221">
                  <c:v>-77.79</c:v>
                </c:pt>
                <c:pt idx="2222">
                  <c:v>-77.78</c:v>
                </c:pt>
                <c:pt idx="2223">
                  <c:v>-77.77</c:v>
                </c:pt>
                <c:pt idx="2224">
                  <c:v>-77.76</c:v>
                </c:pt>
                <c:pt idx="2225">
                  <c:v>-77.75</c:v>
                </c:pt>
                <c:pt idx="2226">
                  <c:v>-77.74</c:v>
                </c:pt>
                <c:pt idx="2227">
                  <c:v>-77.73</c:v>
                </c:pt>
                <c:pt idx="2228">
                  <c:v>-77.72</c:v>
                </c:pt>
                <c:pt idx="2229">
                  <c:v>-77.71</c:v>
                </c:pt>
                <c:pt idx="2230">
                  <c:v>-77.7</c:v>
                </c:pt>
                <c:pt idx="2231">
                  <c:v>-77.69</c:v>
                </c:pt>
                <c:pt idx="2232">
                  <c:v>-77.68</c:v>
                </c:pt>
                <c:pt idx="2233">
                  <c:v>-77.67</c:v>
                </c:pt>
                <c:pt idx="2234">
                  <c:v>-77.66</c:v>
                </c:pt>
                <c:pt idx="2235">
                  <c:v>-77.65</c:v>
                </c:pt>
                <c:pt idx="2236">
                  <c:v>-77.64</c:v>
                </c:pt>
                <c:pt idx="2237">
                  <c:v>-77.63</c:v>
                </c:pt>
                <c:pt idx="2238">
                  <c:v>-77.62</c:v>
                </c:pt>
                <c:pt idx="2239">
                  <c:v>-77.61</c:v>
                </c:pt>
                <c:pt idx="2240">
                  <c:v>-77.6</c:v>
                </c:pt>
                <c:pt idx="2241">
                  <c:v>-77.59</c:v>
                </c:pt>
                <c:pt idx="2242">
                  <c:v>-77.58</c:v>
                </c:pt>
                <c:pt idx="2243">
                  <c:v>-77.57</c:v>
                </c:pt>
                <c:pt idx="2244">
                  <c:v>-77.56</c:v>
                </c:pt>
                <c:pt idx="2245">
                  <c:v>-77.55</c:v>
                </c:pt>
                <c:pt idx="2246">
                  <c:v>-77.54</c:v>
                </c:pt>
                <c:pt idx="2247">
                  <c:v>-77.53</c:v>
                </c:pt>
                <c:pt idx="2248">
                  <c:v>-77.52</c:v>
                </c:pt>
                <c:pt idx="2249">
                  <c:v>-77.51</c:v>
                </c:pt>
                <c:pt idx="2250">
                  <c:v>-77.5</c:v>
                </c:pt>
                <c:pt idx="2251">
                  <c:v>-77.49</c:v>
                </c:pt>
                <c:pt idx="2252">
                  <c:v>-77.48</c:v>
                </c:pt>
                <c:pt idx="2253">
                  <c:v>-77.47</c:v>
                </c:pt>
                <c:pt idx="2254">
                  <c:v>-77.46</c:v>
                </c:pt>
                <c:pt idx="2255">
                  <c:v>-77.45</c:v>
                </c:pt>
                <c:pt idx="2256">
                  <c:v>-77.44</c:v>
                </c:pt>
                <c:pt idx="2257">
                  <c:v>-77.43</c:v>
                </c:pt>
                <c:pt idx="2258">
                  <c:v>-77.42</c:v>
                </c:pt>
                <c:pt idx="2259">
                  <c:v>-77.41</c:v>
                </c:pt>
                <c:pt idx="2260">
                  <c:v>-77.4</c:v>
                </c:pt>
                <c:pt idx="2261">
                  <c:v>-77.39</c:v>
                </c:pt>
                <c:pt idx="2262">
                  <c:v>-77.38</c:v>
                </c:pt>
                <c:pt idx="2263">
                  <c:v>-77.37</c:v>
                </c:pt>
                <c:pt idx="2264">
                  <c:v>-77.36</c:v>
                </c:pt>
                <c:pt idx="2265">
                  <c:v>-77.35</c:v>
                </c:pt>
                <c:pt idx="2266">
                  <c:v>-77.34</c:v>
                </c:pt>
                <c:pt idx="2267">
                  <c:v>-77.33</c:v>
                </c:pt>
                <c:pt idx="2268">
                  <c:v>-77.32</c:v>
                </c:pt>
                <c:pt idx="2269">
                  <c:v>-77.31</c:v>
                </c:pt>
                <c:pt idx="2270">
                  <c:v>-77.3</c:v>
                </c:pt>
                <c:pt idx="2271">
                  <c:v>-77.29</c:v>
                </c:pt>
                <c:pt idx="2272">
                  <c:v>-77.28</c:v>
                </c:pt>
                <c:pt idx="2273">
                  <c:v>-77.27</c:v>
                </c:pt>
                <c:pt idx="2274">
                  <c:v>-77.26</c:v>
                </c:pt>
                <c:pt idx="2275">
                  <c:v>-77.25</c:v>
                </c:pt>
                <c:pt idx="2276">
                  <c:v>-77.24</c:v>
                </c:pt>
                <c:pt idx="2277">
                  <c:v>-77.23</c:v>
                </c:pt>
                <c:pt idx="2278">
                  <c:v>-77.22</c:v>
                </c:pt>
                <c:pt idx="2279">
                  <c:v>-77.21</c:v>
                </c:pt>
                <c:pt idx="2280">
                  <c:v>-77.2</c:v>
                </c:pt>
                <c:pt idx="2281">
                  <c:v>-77.19</c:v>
                </c:pt>
                <c:pt idx="2282">
                  <c:v>-77.18</c:v>
                </c:pt>
                <c:pt idx="2283">
                  <c:v>-77.17</c:v>
                </c:pt>
                <c:pt idx="2284">
                  <c:v>-77.16</c:v>
                </c:pt>
                <c:pt idx="2285">
                  <c:v>-77.15</c:v>
                </c:pt>
                <c:pt idx="2286">
                  <c:v>-77.14</c:v>
                </c:pt>
                <c:pt idx="2287">
                  <c:v>-77.13</c:v>
                </c:pt>
                <c:pt idx="2288">
                  <c:v>-77.12</c:v>
                </c:pt>
                <c:pt idx="2289">
                  <c:v>-77.11</c:v>
                </c:pt>
                <c:pt idx="2290">
                  <c:v>-77.1</c:v>
                </c:pt>
                <c:pt idx="2291">
                  <c:v>-77.09</c:v>
                </c:pt>
                <c:pt idx="2292">
                  <c:v>-77.08</c:v>
                </c:pt>
                <c:pt idx="2293">
                  <c:v>-77.07</c:v>
                </c:pt>
                <c:pt idx="2294">
                  <c:v>-77.06</c:v>
                </c:pt>
                <c:pt idx="2295">
                  <c:v>-77.05</c:v>
                </c:pt>
                <c:pt idx="2296">
                  <c:v>-77.04</c:v>
                </c:pt>
                <c:pt idx="2297">
                  <c:v>-77.03</c:v>
                </c:pt>
                <c:pt idx="2298">
                  <c:v>-77.02</c:v>
                </c:pt>
                <c:pt idx="2299">
                  <c:v>-77.01</c:v>
                </c:pt>
                <c:pt idx="2300">
                  <c:v>-77.0</c:v>
                </c:pt>
                <c:pt idx="2301">
                  <c:v>-76.99</c:v>
                </c:pt>
                <c:pt idx="2302">
                  <c:v>-76.98</c:v>
                </c:pt>
                <c:pt idx="2303">
                  <c:v>-76.97</c:v>
                </c:pt>
                <c:pt idx="2304">
                  <c:v>-76.96</c:v>
                </c:pt>
                <c:pt idx="2305">
                  <c:v>-76.95</c:v>
                </c:pt>
                <c:pt idx="2306">
                  <c:v>-76.94</c:v>
                </c:pt>
                <c:pt idx="2307">
                  <c:v>-76.93</c:v>
                </c:pt>
                <c:pt idx="2308">
                  <c:v>-76.92</c:v>
                </c:pt>
                <c:pt idx="2309">
                  <c:v>-76.91</c:v>
                </c:pt>
                <c:pt idx="2310">
                  <c:v>-76.9</c:v>
                </c:pt>
                <c:pt idx="2311">
                  <c:v>-76.89</c:v>
                </c:pt>
                <c:pt idx="2312">
                  <c:v>-76.88</c:v>
                </c:pt>
                <c:pt idx="2313">
                  <c:v>-76.87</c:v>
                </c:pt>
                <c:pt idx="2314">
                  <c:v>-76.86</c:v>
                </c:pt>
                <c:pt idx="2315">
                  <c:v>-76.85</c:v>
                </c:pt>
                <c:pt idx="2316">
                  <c:v>-76.84</c:v>
                </c:pt>
                <c:pt idx="2317">
                  <c:v>-76.83</c:v>
                </c:pt>
                <c:pt idx="2318">
                  <c:v>-76.82</c:v>
                </c:pt>
                <c:pt idx="2319">
                  <c:v>-76.81</c:v>
                </c:pt>
                <c:pt idx="2320">
                  <c:v>-76.8</c:v>
                </c:pt>
                <c:pt idx="2321">
                  <c:v>-76.79</c:v>
                </c:pt>
                <c:pt idx="2322">
                  <c:v>-76.78</c:v>
                </c:pt>
                <c:pt idx="2323">
                  <c:v>-76.77</c:v>
                </c:pt>
                <c:pt idx="2324">
                  <c:v>-76.76</c:v>
                </c:pt>
                <c:pt idx="2325">
                  <c:v>-76.75</c:v>
                </c:pt>
                <c:pt idx="2326">
                  <c:v>-76.74</c:v>
                </c:pt>
                <c:pt idx="2327">
                  <c:v>-76.73</c:v>
                </c:pt>
                <c:pt idx="2328">
                  <c:v>-76.72</c:v>
                </c:pt>
                <c:pt idx="2329">
                  <c:v>-76.71</c:v>
                </c:pt>
                <c:pt idx="2330">
                  <c:v>-76.7</c:v>
                </c:pt>
                <c:pt idx="2331">
                  <c:v>-76.69</c:v>
                </c:pt>
                <c:pt idx="2332">
                  <c:v>-76.68</c:v>
                </c:pt>
                <c:pt idx="2333">
                  <c:v>-76.67</c:v>
                </c:pt>
                <c:pt idx="2334">
                  <c:v>-76.66</c:v>
                </c:pt>
                <c:pt idx="2335">
                  <c:v>-76.65</c:v>
                </c:pt>
                <c:pt idx="2336">
                  <c:v>-76.64</c:v>
                </c:pt>
                <c:pt idx="2337">
                  <c:v>-76.63</c:v>
                </c:pt>
                <c:pt idx="2338">
                  <c:v>-76.62</c:v>
                </c:pt>
                <c:pt idx="2339">
                  <c:v>-76.61</c:v>
                </c:pt>
                <c:pt idx="2340">
                  <c:v>-76.6</c:v>
                </c:pt>
                <c:pt idx="2341">
                  <c:v>-76.59</c:v>
                </c:pt>
                <c:pt idx="2342">
                  <c:v>-76.58</c:v>
                </c:pt>
                <c:pt idx="2343">
                  <c:v>-76.57</c:v>
                </c:pt>
                <c:pt idx="2344">
                  <c:v>-76.56</c:v>
                </c:pt>
                <c:pt idx="2345">
                  <c:v>-76.55</c:v>
                </c:pt>
                <c:pt idx="2346">
                  <c:v>-76.54</c:v>
                </c:pt>
                <c:pt idx="2347">
                  <c:v>-76.53</c:v>
                </c:pt>
                <c:pt idx="2348">
                  <c:v>-76.52</c:v>
                </c:pt>
                <c:pt idx="2349">
                  <c:v>-76.51</c:v>
                </c:pt>
                <c:pt idx="2350">
                  <c:v>-76.5</c:v>
                </c:pt>
                <c:pt idx="2351">
                  <c:v>-76.49</c:v>
                </c:pt>
                <c:pt idx="2352">
                  <c:v>-76.48</c:v>
                </c:pt>
                <c:pt idx="2353">
                  <c:v>-76.47</c:v>
                </c:pt>
                <c:pt idx="2354">
                  <c:v>-76.46</c:v>
                </c:pt>
                <c:pt idx="2355">
                  <c:v>-76.45</c:v>
                </c:pt>
                <c:pt idx="2356">
                  <c:v>-76.44</c:v>
                </c:pt>
                <c:pt idx="2357">
                  <c:v>-76.43</c:v>
                </c:pt>
                <c:pt idx="2358">
                  <c:v>-76.42</c:v>
                </c:pt>
                <c:pt idx="2359">
                  <c:v>-76.41</c:v>
                </c:pt>
                <c:pt idx="2360">
                  <c:v>-76.4</c:v>
                </c:pt>
                <c:pt idx="2361">
                  <c:v>-76.39</c:v>
                </c:pt>
                <c:pt idx="2362">
                  <c:v>-76.38</c:v>
                </c:pt>
                <c:pt idx="2363">
                  <c:v>-76.37</c:v>
                </c:pt>
                <c:pt idx="2364">
                  <c:v>-76.36</c:v>
                </c:pt>
                <c:pt idx="2365">
                  <c:v>-76.35</c:v>
                </c:pt>
                <c:pt idx="2366">
                  <c:v>-76.34</c:v>
                </c:pt>
                <c:pt idx="2367">
                  <c:v>-76.33</c:v>
                </c:pt>
                <c:pt idx="2368">
                  <c:v>-76.32</c:v>
                </c:pt>
                <c:pt idx="2369">
                  <c:v>-76.31</c:v>
                </c:pt>
                <c:pt idx="2370">
                  <c:v>-76.3</c:v>
                </c:pt>
                <c:pt idx="2371">
                  <c:v>-76.29</c:v>
                </c:pt>
                <c:pt idx="2372">
                  <c:v>-76.28</c:v>
                </c:pt>
                <c:pt idx="2373">
                  <c:v>-76.27</c:v>
                </c:pt>
                <c:pt idx="2374">
                  <c:v>-76.26</c:v>
                </c:pt>
                <c:pt idx="2375">
                  <c:v>-76.25</c:v>
                </c:pt>
                <c:pt idx="2376">
                  <c:v>-76.24</c:v>
                </c:pt>
                <c:pt idx="2377">
                  <c:v>-76.23</c:v>
                </c:pt>
                <c:pt idx="2378">
                  <c:v>-76.22</c:v>
                </c:pt>
                <c:pt idx="2379">
                  <c:v>-76.21</c:v>
                </c:pt>
                <c:pt idx="2380">
                  <c:v>-76.2</c:v>
                </c:pt>
                <c:pt idx="2381">
                  <c:v>-76.19</c:v>
                </c:pt>
                <c:pt idx="2382">
                  <c:v>-76.18</c:v>
                </c:pt>
                <c:pt idx="2383">
                  <c:v>-76.17</c:v>
                </c:pt>
                <c:pt idx="2384">
                  <c:v>-76.16</c:v>
                </c:pt>
                <c:pt idx="2385">
                  <c:v>-76.15</c:v>
                </c:pt>
                <c:pt idx="2386">
                  <c:v>-76.14</c:v>
                </c:pt>
                <c:pt idx="2387">
                  <c:v>-76.13</c:v>
                </c:pt>
                <c:pt idx="2388">
                  <c:v>-76.12</c:v>
                </c:pt>
                <c:pt idx="2389">
                  <c:v>-76.11</c:v>
                </c:pt>
                <c:pt idx="2390">
                  <c:v>-76.1</c:v>
                </c:pt>
                <c:pt idx="2391">
                  <c:v>-76.09</c:v>
                </c:pt>
                <c:pt idx="2392">
                  <c:v>-76.08</c:v>
                </c:pt>
                <c:pt idx="2393">
                  <c:v>-76.07</c:v>
                </c:pt>
                <c:pt idx="2394">
                  <c:v>-76.06</c:v>
                </c:pt>
                <c:pt idx="2395">
                  <c:v>-76.05</c:v>
                </c:pt>
                <c:pt idx="2396">
                  <c:v>-76.04</c:v>
                </c:pt>
                <c:pt idx="2397">
                  <c:v>-76.03</c:v>
                </c:pt>
                <c:pt idx="2398">
                  <c:v>-76.02</c:v>
                </c:pt>
                <c:pt idx="2399">
                  <c:v>-76.01</c:v>
                </c:pt>
                <c:pt idx="2400">
                  <c:v>-76.0</c:v>
                </c:pt>
                <c:pt idx="2401">
                  <c:v>-75.99</c:v>
                </c:pt>
                <c:pt idx="2402">
                  <c:v>-75.98</c:v>
                </c:pt>
                <c:pt idx="2403">
                  <c:v>-75.97</c:v>
                </c:pt>
                <c:pt idx="2404">
                  <c:v>-75.96</c:v>
                </c:pt>
                <c:pt idx="2405">
                  <c:v>-75.95</c:v>
                </c:pt>
                <c:pt idx="2406">
                  <c:v>-75.94</c:v>
                </c:pt>
                <c:pt idx="2407">
                  <c:v>-75.93</c:v>
                </c:pt>
                <c:pt idx="2408">
                  <c:v>-75.92</c:v>
                </c:pt>
                <c:pt idx="2409">
                  <c:v>-75.91</c:v>
                </c:pt>
                <c:pt idx="2410">
                  <c:v>-75.9</c:v>
                </c:pt>
                <c:pt idx="2411">
                  <c:v>-75.89</c:v>
                </c:pt>
                <c:pt idx="2412">
                  <c:v>-75.88</c:v>
                </c:pt>
                <c:pt idx="2413">
                  <c:v>-75.87</c:v>
                </c:pt>
                <c:pt idx="2414">
                  <c:v>-75.86</c:v>
                </c:pt>
                <c:pt idx="2415">
                  <c:v>-75.85</c:v>
                </c:pt>
                <c:pt idx="2416">
                  <c:v>-75.84</c:v>
                </c:pt>
                <c:pt idx="2417">
                  <c:v>-75.83</c:v>
                </c:pt>
                <c:pt idx="2418">
                  <c:v>-75.82</c:v>
                </c:pt>
                <c:pt idx="2419">
                  <c:v>-75.81</c:v>
                </c:pt>
                <c:pt idx="2420">
                  <c:v>-75.8</c:v>
                </c:pt>
                <c:pt idx="2421">
                  <c:v>-75.79</c:v>
                </c:pt>
                <c:pt idx="2422">
                  <c:v>-75.78</c:v>
                </c:pt>
                <c:pt idx="2423">
                  <c:v>-75.77</c:v>
                </c:pt>
                <c:pt idx="2424">
                  <c:v>-75.76</c:v>
                </c:pt>
                <c:pt idx="2425">
                  <c:v>-75.75</c:v>
                </c:pt>
                <c:pt idx="2426">
                  <c:v>-75.74</c:v>
                </c:pt>
                <c:pt idx="2427">
                  <c:v>-75.73</c:v>
                </c:pt>
                <c:pt idx="2428">
                  <c:v>-75.72</c:v>
                </c:pt>
                <c:pt idx="2429">
                  <c:v>-75.71</c:v>
                </c:pt>
                <c:pt idx="2430">
                  <c:v>-75.7</c:v>
                </c:pt>
                <c:pt idx="2431">
                  <c:v>-75.69</c:v>
                </c:pt>
                <c:pt idx="2432">
                  <c:v>-75.68</c:v>
                </c:pt>
                <c:pt idx="2433">
                  <c:v>-75.67</c:v>
                </c:pt>
                <c:pt idx="2434">
                  <c:v>-75.66</c:v>
                </c:pt>
                <c:pt idx="2435">
                  <c:v>-75.65</c:v>
                </c:pt>
                <c:pt idx="2436">
                  <c:v>-75.64</c:v>
                </c:pt>
                <c:pt idx="2437">
                  <c:v>-75.63</c:v>
                </c:pt>
                <c:pt idx="2438">
                  <c:v>-75.62</c:v>
                </c:pt>
                <c:pt idx="2439">
                  <c:v>-75.61</c:v>
                </c:pt>
                <c:pt idx="2440">
                  <c:v>-75.6</c:v>
                </c:pt>
                <c:pt idx="2441">
                  <c:v>-75.59</c:v>
                </c:pt>
                <c:pt idx="2442">
                  <c:v>-75.58</c:v>
                </c:pt>
                <c:pt idx="2443">
                  <c:v>-75.57</c:v>
                </c:pt>
                <c:pt idx="2444">
                  <c:v>-75.56</c:v>
                </c:pt>
                <c:pt idx="2445">
                  <c:v>-75.55</c:v>
                </c:pt>
                <c:pt idx="2446">
                  <c:v>-75.54</c:v>
                </c:pt>
                <c:pt idx="2447">
                  <c:v>-75.53</c:v>
                </c:pt>
                <c:pt idx="2448">
                  <c:v>-75.52</c:v>
                </c:pt>
                <c:pt idx="2449">
                  <c:v>-75.51</c:v>
                </c:pt>
                <c:pt idx="2450">
                  <c:v>-75.5</c:v>
                </c:pt>
                <c:pt idx="2451">
                  <c:v>-75.49</c:v>
                </c:pt>
                <c:pt idx="2452">
                  <c:v>-75.48</c:v>
                </c:pt>
                <c:pt idx="2453">
                  <c:v>-75.47</c:v>
                </c:pt>
                <c:pt idx="2454">
                  <c:v>-75.46</c:v>
                </c:pt>
                <c:pt idx="2455">
                  <c:v>-75.45</c:v>
                </c:pt>
                <c:pt idx="2456">
                  <c:v>-75.44</c:v>
                </c:pt>
                <c:pt idx="2457">
                  <c:v>-75.43</c:v>
                </c:pt>
                <c:pt idx="2458">
                  <c:v>-75.42</c:v>
                </c:pt>
                <c:pt idx="2459">
                  <c:v>-75.41</c:v>
                </c:pt>
                <c:pt idx="2460">
                  <c:v>-75.4</c:v>
                </c:pt>
                <c:pt idx="2461">
                  <c:v>-75.39</c:v>
                </c:pt>
                <c:pt idx="2462">
                  <c:v>-75.38</c:v>
                </c:pt>
                <c:pt idx="2463">
                  <c:v>-75.37</c:v>
                </c:pt>
                <c:pt idx="2464">
                  <c:v>-75.36</c:v>
                </c:pt>
                <c:pt idx="2465">
                  <c:v>-75.35</c:v>
                </c:pt>
                <c:pt idx="2466">
                  <c:v>-75.34</c:v>
                </c:pt>
                <c:pt idx="2467">
                  <c:v>-75.33</c:v>
                </c:pt>
                <c:pt idx="2468">
                  <c:v>-75.32</c:v>
                </c:pt>
                <c:pt idx="2469">
                  <c:v>-75.31</c:v>
                </c:pt>
                <c:pt idx="2470">
                  <c:v>-75.3</c:v>
                </c:pt>
                <c:pt idx="2471">
                  <c:v>-75.29</c:v>
                </c:pt>
                <c:pt idx="2472">
                  <c:v>-75.28</c:v>
                </c:pt>
                <c:pt idx="2473">
                  <c:v>-75.27</c:v>
                </c:pt>
                <c:pt idx="2474">
                  <c:v>-75.26</c:v>
                </c:pt>
                <c:pt idx="2475">
                  <c:v>-75.25</c:v>
                </c:pt>
                <c:pt idx="2476">
                  <c:v>-75.24</c:v>
                </c:pt>
                <c:pt idx="2477">
                  <c:v>-75.23</c:v>
                </c:pt>
                <c:pt idx="2478">
                  <c:v>-75.22</c:v>
                </c:pt>
                <c:pt idx="2479">
                  <c:v>-75.21</c:v>
                </c:pt>
                <c:pt idx="2480">
                  <c:v>-75.2</c:v>
                </c:pt>
                <c:pt idx="2481">
                  <c:v>-75.19</c:v>
                </c:pt>
                <c:pt idx="2482">
                  <c:v>-75.18</c:v>
                </c:pt>
                <c:pt idx="2483">
                  <c:v>-75.17</c:v>
                </c:pt>
                <c:pt idx="2484">
                  <c:v>-75.16</c:v>
                </c:pt>
                <c:pt idx="2485">
                  <c:v>-75.15</c:v>
                </c:pt>
                <c:pt idx="2486">
                  <c:v>-75.14</c:v>
                </c:pt>
                <c:pt idx="2487">
                  <c:v>-75.13</c:v>
                </c:pt>
                <c:pt idx="2488">
                  <c:v>-75.12</c:v>
                </c:pt>
                <c:pt idx="2489">
                  <c:v>-75.11</c:v>
                </c:pt>
                <c:pt idx="2490">
                  <c:v>-75.1</c:v>
                </c:pt>
                <c:pt idx="2491">
                  <c:v>-75.09</c:v>
                </c:pt>
                <c:pt idx="2492">
                  <c:v>-75.08</c:v>
                </c:pt>
                <c:pt idx="2493">
                  <c:v>-75.07</c:v>
                </c:pt>
                <c:pt idx="2494">
                  <c:v>-75.06</c:v>
                </c:pt>
                <c:pt idx="2495">
                  <c:v>-75.05</c:v>
                </c:pt>
                <c:pt idx="2496">
                  <c:v>-75.04</c:v>
                </c:pt>
                <c:pt idx="2497">
                  <c:v>-75.03</c:v>
                </c:pt>
                <c:pt idx="2498">
                  <c:v>-75.02</c:v>
                </c:pt>
                <c:pt idx="2499">
                  <c:v>-75.01</c:v>
                </c:pt>
                <c:pt idx="2500">
                  <c:v>-75.0</c:v>
                </c:pt>
                <c:pt idx="2501">
                  <c:v>-74.99</c:v>
                </c:pt>
                <c:pt idx="2502">
                  <c:v>-74.98</c:v>
                </c:pt>
                <c:pt idx="2503">
                  <c:v>-74.97</c:v>
                </c:pt>
                <c:pt idx="2504">
                  <c:v>-74.96</c:v>
                </c:pt>
                <c:pt idx="2505">
                  <c:v>-74.95</c:v>
                </c:pt>
                <c:pt idx="2506">
                  <c:v>-74.94</c:v>
                </c:pt>
                <c:pt idx="2507">
                  <c:v>-74.93</c:v>
                </c:pt>
                <c:pt idx="2508">
                  <c:v>-74.92</c:v>
                </c:pt>
                <c:pt idx="2509">
                  <c:v>-74.91</c:v>
                </c:pt>
                <c:pt idx="2510">
                  <c:v>-74.9</c:v>
                </c:pt>
                <c:pt idx="2511">
                  <c:v>-74.89</c:v>
                </c:pt>
                <c:pt idx="2512">
                  <c:v>-74.88</c:v>
                </c:pt>
                <c:pt idx="2513">
                  <c:v>-74.87</c:v>
                </c:pt>
                <c:pt idx="2514">
                  <c:v>-74.86</c:v>
                </c:pt>
                <c:pt idx="2515">
                  <c:v>-74.85</c:v>
                </c:pt>
                <c:pt idx="2516">
                  <c:v>-74.84</c:v>
                </c:pt>
                <c:pt idx="2517">
                  <c:v>-74.83</c:v>
                </c:pt>
                <c:pt idx="2518">
                  <c:v>-74.82</c:v>
                </c:pt>
                <c:pt idx="2519">
                  <c:v>-74.81</c:v>
                </c:pt>
                <c:pt idx="2520">
                  <c:v>-74.8</c:v>
                </c:pt>
                <c:pt idx="2521">
                  <c:v>-74.79</c:v>
                </c:pt>
                <c:pt idx="2522">
                  <c:v>-74.78</c:v>
                </c:pt>
                <c:pt idx="2523">
                  <c:v>-74.77</c:v>
                </c:pt>
                <c:pt idx="2524">
                  <c:v>-74.76</c:v>
                </c:pt>
                <c:pt idx="2525">
                  <c:v>-74.75</c:v>
                </c:pt>
                <c:pt idx="2526">
                  <c:v>-74.74</c:v>
                </c:pt>
                <c:pt idx="2527">
                  <c:v>-74.73</c:v>
                </c:pt>
                <c:pt idx="2528">
                  <c:v>-74.72</c:v>
                </c:pt>
                <c:pt idx="2529">
                  <c:v>-74.71</c:v>
                </c:pt>
                <c:pt idx="2530">
                  <c:v>-74.7</c:v>
                </c:pt>
                <c:pt idx="2531">
                  <c:v>-74.69</c:v>
                </c:pt>
                <c:pt idx="2532">
                  <c:v>-74.68</c:v>
                </c:pt>
                <c:pt idx="2533">
                  <c:v>-74.67</c:v>
                </c:pt>
                <c:pt idx="2534">
                  <c:v>-74.66</c:v>
                </c:pt>
                <c:pt idx="2535">
                  <c:v>-74.65</c:v>
                </c:pt>
                <c:pt idx="2536">
                  <c:v>-74.64</c:v>
                </c:pt>
                <c:pt idx="2537">
                  <c:v>-74.63</c:v>
                </c:pt>
                <c:pt idx="2538">
                  <c:v>-74.62</c:v>
                </c:pt>
                <c:pt idx="2539">
                  <c:v>-74.61</c:v>
                </c:pt>
                <c:pt idx="2540">
                  <c:v>-74.6</c:v>
                </c:pt>
                <c:pt idx="2541">
                  <c:v>-74.59</c:v>
                </c:pt>
                <c:pt idx="2542">
                  <c:v>-74.58</c:v>
                </c:pt>
                <c:pt idx="2543">
                  <c:v>-74.57</c:v>
                </c:pt>
                <c:pt idx="2544">
                  <c:v>-74.56</c:v>
                </c:pt>
                <c:pt idx="2545">
                  <c:v>-74.55</c:v>
                </c:pt>
                <c:pt idx="2546">
                  <c:v>-74.54</c:v>
                </c:pt>
                <c:pt idx="2547">
                  <c:v>-74.53</c:v>
                </c:pt>
                <c:pt idx="2548">
                  <c:v>-74.52</c:v>
                </c:pt>
                <c:pt idx="2549">
                  <c:v>-74.51</c:v>
                </c:pt>
                <c:pt idx="2550">
                  <c:v>-74.5</c:v>
                </c:pt>
                <c:pt idx="2551">
                  <c:v>-74.49</c:v>
                </c:pt>
                <c:pt idx="2552">
                  <c:v>-74.48</c:v>
                </c:pt>
                <c:pt idx="2553">
                  <c:v>-74.47</c:v>
                </c:pt>
                <c:pt idx="2554">
                  <c:v>-74.46</c:v>
                </c:pt>
                <c:pt idx="2555">
                  <c:v>-74.45</c:v>
                </c:pt>
                <c:pt idx="2556">
                  <c:v>-74.44</c:v>
                </c:pt>
                <c:pt idx="2557">
                  <c:v>-74.43</c:v>
                </c:pt>
                <c:pt idx="2558">
                  <c:v>-74.42</c:v>
                </c:pt>
                <c:pt idx="2559">
                  <c:v>-74.41</c:v>
                </c:pt>
                <c:pt idx="2560">
                  <c:v>-74.4</c:v>
                </c:pt>
                <c:pt idx="2561">
                  <c:v>-74.39</c:v>
                </c:pt>
                <c:pt idx="2562">
                  <c:v>-74.38</c:v>
                </c:pt>
                <c:pt idx="2563">
                  <c:v>-74.37</c:v>
                </c:pt>
                <c:pt idx="2564">
                  <c:v>-74.36</c:v>
                </c:pt>
                <c:pt idx="2565">
                  <c:v>-74.35</c:v>
                </c:pt>
                <c:pt idx="2566">
                  <c:v>-74.34</c:v>
                </c:pt>
                <c:pt idx="2567">
                  <c:v>-74.33</c:v>
                </c:pt>
                <c:pt idx="2568">
                  <c:v>-74.32</c:v>
                </c:pt>
                <c:pt idx="2569">
                  <c:v>-74.31</c:v>
                </c:pt>
                <c:pt idx="2570">
                  <c:v>-74.3</c:v>
                </c:pt>
                <c:pt idx="2571">
                  <c:v>-74.29</c:v>
                </c:pt>
                <c:pt idx="2572">
                  <c:v>-74.28</c:v>
                </c:pt>
                <c:pt idx="2573">
                  <c:v>-74.27</c:v>
                </c:pt>
                <c:pt idx="2574">
                  <c:v>-74.26</c:v>
                </c:pt>
                <c:pt idx="2575">
                  <c:v>-74.25</c:v>
                </c:pt>
                <c:pt idx="2576">
                  <c:v>-74.24</c:v>
                </c:pt>
                <c:pt idx="2577">
                  <c:v>-74.23</c:v>
                </c:pt>
                <c:pt idx="2578">
                  <c:v>-74.22</c:v>
                </c:pt>
                <c:pt idx="2579">
                  <c:v>-74.21</c:v>
                </c:pt>
                <c:pt idx="2580">
                  <c:v>-74.2</c:v>
                </c:pt>
                <c:pt idx="2581">
                  <c:v>-74.19</c:v>
                </c:pt>
                <c:pt idx="2582">
                  <c:v>-74.18</c:v>
                </c:pt>
                <c:pt idx="2583">
                  <c:v>-74.17</c:v>
                </c:pt>
                <c:pt idx="2584">
                  <c:v>-74.16</c:v>
                </c:pt>
                <c:pt idx="2585">
                  <c:v>-74.15</c:v>
                </c:pt>
                <c:pt idx="2586">
                  <c:v>-74.14</c:v>
                </c:pt>
                <c:pt idx="2587">
                  <c:v>-74.13</c:v>
                </c:pt>
                <c:pt idx="2588">
                  <c:v>-74.12</c:v>
                </c:pt>
                <c:pt idx="2589">
                  <c:v>-74.11</c:v>
                </c:pt>
                <c:pt idx="2590">
                  <c:v>-74.1</c:v>
                </c:pt>
                <c:pt idx="2591">
                  <c:v>-74.09</c:v>
                </c:pt>
                <c:pt idx="2592">
                  <c:v>-74.08</c:v>
                </c:pt>
                <c:pt idx="2593">
                  <c:v>-74.07</c:v>
                </c:pt>
                <c:pt idx="2594">
                  <c:v>-74.06</c:v>
                </c:pt>
                <c:pt idx="2595">
                  <c:v>-74.05</c:v>
                </c:pt>
                <c:pt idx="2596">
                  <c:v>-74.04</c:v>
                </c:pt>
                <c:pt idx="2597">
                  <c:v>-74.03</c:v>
                </c:pt>
                <c:pt idx="2598">
                  <c:v>-74.02</c:v>
                </c:pt>
                <c:pt idx="2599">
                  <c:v>-74.01</c:v>
                </c:pt>
                <c:pt idx="2600">
                  <c:v>-74.0</c:v>
                </c:pt>
                <c:pt idx="2601">
                  <c:v>-73.99</c:v>
                </c:pt>
                <c:pt idx="2602">
                  <c:v>-73.98</c:v>
                </c:pt>
                <c:pt idx="2603">
                  <c:v>-73.97</c:v>
                </c:pt>
                <c:pt idx="2604">
                  <c:v>-73.96</c:v>
                </c:pt>
                <c:pt idx="2605">
                  <c:v>-73.95</c:v>
                </c:pt>
                <c:pt idx="2606">
                  <c:v>-73.94</c:v>
                </c:pt>
                <c:pt idx="2607">
                  <c:v>-73.93</c:v>
                </c:pt>
                <c:pt idx="2608">
                  <c:v>-73.92</c:v>
                </c:pt>
                <c:pt idx="2609">
                  <c:v>-73.91</c:v>
                </c:pt>
                <c:pt idx="2610">
                  <c:v>-73.9</c:v>
                </c:pt>
                <c:pt idx="2611">
                  <c:v>-73.89</c:v>
                </c:pt>
                <c:pt idx="2612">
                  <c:v>-73.88</c:v>
                </c:pt>
                <c:pt idx="2613">
                  <c:v>-73.87</c:v>
                </c:pt>
                <c:pt idx="2614">
                  <c:v>-73.86</c:v>
                </c:pt>
                <c:pt idx="2615">
                  <c:v>-73.85</c:v>
                </c:pt>
                <c:pt idx="2616">
                  <c:v>-73.84</c:v>
                </c:pt>
                <c:pt idx="2617">
                  <c:v>-73.83</c:v>
                </c:pt>
                <c:pt idx="2618">
                  <c:v>-73.82</c:v>
                </c:pt>
                <c:pt idx="2619">
                  <c:v>-73.81</c:v>
                </c:pt>
                <c:pt idx="2620">
                  <c:v>-73.8</c:v>
                </c:pt>
                <c:pt idx="2621">
                  <c:v>-73.79</c:v>
                </c:pt>
                <c:pt idx="2622">
                  <c:v>-73.78</c:v>
                </c:pt>
                <c:pt idx="2623">
                  <c:v>-73.77</c:v>
                </c:pt>
                <c:pt idx="2624">
                  <c:v>-73.76</c:v>
                </c:pt>
                <c:pt idx="2625">
                  <c:v>-73.75</c:v>
                </c:pt>
                <c:pt idx="2626">
                  <c:v>-73.74</c:v>
                </c:pt>
                <c:pt idx="2627">
                  <c:v>-73.73</c:v>
                </c:pt>
                <c:pt idx="2628">
                  <c:v>-73.72</c:v>
                </c:pt>
                <c:pt idx="2629">
                  <c:v>-73.71</c:v>
                </c:pt>
                <c:pt idx="2630">
                  <c:v>-73.7</c:v>
                </c:pt>
                <c:pt idx="2631">
                  <c:v>-73.69</c:v>
                </c:pt>
                <c:pt idx="2632">
                  <c:v>-73.68</c:v>
                </c:pt>
                <c:pt idx="2633">
                  <c:v>-73.67</c:v>
                </c:pt>
                <c:pt idx="2634">
                  <c:v>-73.66</c:v>
                </c:pt>
                <c:pt idx="2635">
                  <c:v>-73.65</c:v>
                </c:pt>
                <c:pt idx="2636">
                  <c:v>-73.64</c:v>
                </c:pt>
                <c:pt idx="2637">
                  <c:v>-73.63</c:v>
                </c:pt>
                <c:pt idx="2638">
                  <c:v>-73.62</c:v>
                </c:pt>
                <c:pt idx="2639">
                  <c:v>-73.61</c:v>
                </c:pt>
                <c:pt idx="2640">
                  <c:v>-73.6</c:v>
                </c:pt>
                <c:pt idx="2641">
                  <c:v>-73.59</c:v>
                </c:pt>
                <c:pt idx="2642">
                  <c:v>-73.58</c:v>
                </c:pt>
                <c:pt idx="2643">
                  <c:v>-73.57</c:v>
                </c:pt>
                <c:pt idx="2644">
                  <c:v>-73.56</c:v>
                </c:pt>
                <c:pt idx="2645">
                  <c:v>-73.55</c:v>
                </c:pt>
                <c:pt idx="2646">
                  <c:v>-73.54</c:v>
                </c:pt>
                <c:pt idx="2647">
                  <c:v>-73.53</c:v>
                </c:pt>
                <c:pt idx="2648">
                  <c:v>-73.52</c:v>
                </c:pt>
                <c:pt idx="2649">
                  <c:v>-73.51</c:v>
                </c:pt>
                <c:pt idx="2650">
                  <c:v>-73.5</c:v>
                </c:pt>
                <c:pt idx="2651">
                  <c:v>-73.49</c:v>
                </c:pt>
                <c:pt idx="2652">
                  <c:v>-73.48</c:v>
                </c:pt>
                <c:pt idx="2653">
                  <c:v>-73.47</c:v>
                </c:pt>
                <c:pt idx="2654">
                  <c:v>-73.46</c:v>
                </c:pt>
                <c:pt idx="2655">
                  <c:v>-73.45</c:v>
                </c:pt>
                <c:pt idx="2656">
                  <c:v>-73.44</c:v>
                </c:pt>
                <c:pt idx="2657">
                  <c:v>-73.43</c:v>
                </c:pt>
                <c:pt idx="2658">
                  <c:v>-73.42</c:v>
                </c:pt>
                <c:pt idx="2659">
                  <c:v>-73.41</c:v>
                </c:pt>
                <c:pt idx="2660">
                  <c:v>-73.4</c:v>
                </c:pt>
                <c:pt idx="2661">
                  <c:v>-73.39</c:v>
                </c:pt>
                <c:pt idx="2662">
                  <c:v>-73.38</c:v>
                </c:pt>
                <c:pt idx="2663">
                  <c:v>-73.37</c:v>
                </c:pt>
                <c:pt idx="2664">
                  <c:v>-73.36</c:v>
                </c:pt>
                <c:pt idx="2665">
                  <c:v>-73.35</c:v>
                </c:pt>
                <c:pt idx="2666">
                  <c:v>-73.34</c:v>
                </c:pt>
                <c:pt idx="2667">
                  <c:v>-73.33</c:v>
                </c:pt>
                <c:pt idx="2668">
                  <c:v>-73.32</c:v>
                </c:pt>
                <c:pt idx="2669">
                  <c:v>-73.31</c:v>
                </c:pt>
                <c:pt idx="2670">
                  <c:v>-73.3</c:v>
                </c:pt>
                <c:pt idx="2671">
                  <c:v>-73.29</c:v>
                </c:pt>
                <c:pt idx="2672">
                  <c:v>-73.28</c:v>
                </c:pt>
                <c:pt idx="2673">
                  <c:v>-73.27</c:v>
                </c:pt>
                <c:pt idx="2674">
                  <c:v>-73.26</c:v>
                </c:pt>
                <c:pt idx="2675">
                  <c:v>-73.25</c:v>
                </c:pt>
                <c:pt idx="2676">
                  <c:v>-73.24</c:v>
                </c:pt>
                <c:pt idx="2677">
                  <c:v>-73.23</c:v>
                </c:pt>
                <c:pt idx="2678">
                  <c:v>-73.22</c:v>
                </c:pt>
                <c:pt idx="2679">
                  <c:v>-73.21</c:v>
                </c:pt>
                <c:pt idx="2680">
                  <c:v>-73.2</c:v>
                </c:pt>
                <c:pt idx="2681">
                  <c:v>-73.19</c:v>
                </c:pt>
                <c:pt idx="2682">
                  <c:v>-73.18</c:v>
                </c:pt>
                <c:pt idx="2683">
                  <c:v>-73.17</c:v>
                </c:pt>
                <c:pt idx="2684">
                  <c:v>-73.16</c:v>
                </c:pt>
                <c:pt idx="2685">
                  <c:v>-73.15</c:v>
                </c:pt>
                <c:pt idx="2686">
                  <c:v>-73.14</c:v>
                </c:pt>
                <c:pt idx="2687">
                  <c:v>-73.13</c:v>
                </c:pt>
                <c:pt idx="2688">
                  <c:v>-73.12</c:v>
                </c:pt>
                <c:pt idx="2689">
                  <c:v>-73.11</c:v>
                </c:pt>
                <c:pt idx="2690">
                  <c:v>-73.1</c:v>
                </c:pt>
                <c:pt idx="2691">
                  <c:v>-73.09</c:v>
                </c:pt>
                <c:pt idx="2692">
                  <c:v>-73.08</c:v>
                </c:pt>
                <c:pt idx="2693">
                  <c:v>-73.07</c:v>
                </c:pt>
                <c:pt idx="2694">
                  <c:v>-73.06</c:v>
                </c:pt>
                <c:pt idx="2695">
                  <c:v>-73.05</c:v>
                </c:pt>
                <c:pt idx="2696">
                  <c:v>-73.04</c:v>
                </c:pt>
                <c:pt idx="2697">
                  <c:v>-73.03</c:v>
                </c:pt>
                <c:pt idx="2698">
                  <c:v>-73.02</c:v>
                </c:pt>
                <c:pt idx="2699">
                  <c:v>-73.01</c:v>
                </c:pt>
                <c:pt idx="2700">
                  <c:v>-73.0</c:v>
                </c:pt>
                <c:pt idx="2701">
                  <c:v>-72.99</c:v>
                </c:pt>
                <c:pt idx="2702">
                  <c:v>-72.98</c:v>
                </c:pt>
                <c:pt idx="2703">
                  <c:v>-72.97</c:v>
                </c:pt>
                <c:pt idx="2704">
                  <c:v>-72.96</c:v>
                </c:pt>
                <c:pt idx="2705">
                  <c:v>-72.95</c:v>
                </c:pt>
                <c:pt idx="2706">
                  <c:v>-72.94</c:v>
                </c:pt>
                <c:pt idx="2707">
                  <c:v>-72.93</c:v>
                </c:pt>
                <c:pt idx="2708">
                  <c:v>-72.92</c:v>
                </c:pt>
                <c:pt idx="2709">
                  <c:v>-72.91</c:v>
                </c:pt>
                <c:pt idx="2710">
                  <c:v>-72.9</c:v>
                </c:pt>
                <c:pt idx="2711">
                  <c:v>-72.89</c:v>
                </c:pt>
                <c:pt idx="2712">
                  <c:v>-72.88</c:v>
                </c:pt>
                <c:pt idx="2713">
                  <c:v>-72.87</c:v>
                </c:pt>
                <c:pt idx="2714">
                  <c:v>-72.86</c:v>
                </c:pt>
                <c:pt idx="2715">
                  <c:v>-72.85</c:v>
                </c:pt>
                <c:pt idx="2716">
                  <c:v>-72.84</c:v>
                </c:pt>
                <c:pt idx="2717">
                  <c:v>-72.83</c:v>
                </c:pt>
                <c:pt idx="2718">
                  <c:v>-72.82</c:v>
                </c:pt>
                <c:pt idx="2719">
                  <c:v>-72.81</c:v>
                </c:pt>
                <c:pt idx="2720">
                  <c:v>-72.8</c:v>
                </c:pt>
                <c:pt idx="2721">
                  <c:v>-72.79</c:v>
                </c:pt>
                <c:pt idx="2722">
                  <c:v>-72.78</c:v>
                </c:pt>
                <c:pt idx="2723">
                  <c:v>-72.77</c:v>
                </c:pt>
                <c:pt idx="2724">
                  <c:v>-72.76</c:v>
                </c:pt>
                <c:pt idx="2725">
                  <c:v>-72.75</c:v>
                </c:pt>
                <c:pt idx="2726">
                  <c:v>-72.74</c:v>
                </c:pt>
                <c:pt idx="2727">
                  <c:v>-72.73</c:v>
                </c:pt>
                <c:pt idx="2728">
                  <c:v>-72.72</c:v>
                </c:pt>
                <c:pt idx="2729">
                  <c:v>-72.71</c:v>
                </c:pt>
                <c:pt idx="2730">
                  <c:v>-72.7</c:v>
                </c:pt>
                <c:pt idx="2731">
                  <c:v>-72.69</c:v>
                </c:pt>
                <c:pt idx="2732">
                  <c:v>-72.68</c:v>
                </c:pt>
                <c:pt idx="2733">
                  <c:v>-72.67</c:v>
                </c:pt>
                <c:pt idx="2734">
                  <c:v>-72.66</c:v>
                </c:pt>
                <c:pt idx="2735">
                  <c:v>-72.65</c:v>
                </c:pt>
                <c:pt idx="2736">
                  <c:v>-72.64</c:v>
                </c:pt>
                <c:pt idx="2737">
                  <c:v>-72.63</c:v>
                </c:pt>
                <c:pt idx="2738">
                  <c:v>-72.62</c:v>
                </c:pt>
                <c:pt idx="2739">
                  <c:v>-72.61</c:v>
                </c:pt>
                <c:pt idx="2740">
                  <c:v>-72.6</c:v>
                </c:pt>
                <c:pt idx="2741">
                  <c:v>-72.59</c:v>
                </c:pt>
                <c:pt idx="2742">
                  <c:v>-72.58</c:v>
                </c:pt>
                <c:pt idx="2743">
                  <c:v>-72.57</c:v>
                </c:pt>
                <c:pt idx="2744">
                  <c:v>-72.56</c:v>
                </c:pt>
                <c:pt idx="2745">
                  <c:v>-72.55</c:v>
                </c:pt>
                <c:pt idx="2746">
                  <c:v>-72.54</c:v>
                </c:pt>
                <c:pt idx="2747">
                  <c:v>-72.53</c:v>
                </c:pt>
                <c:pt idx="2748">
                  <c:v>-72.52</c:v>
                </c:pt>
                <c:pt idx="2749">
                  <c:v>-72.51</c:v>
                </c:pt>
                <c:pt idx="2750">
                  <c:v>-72.5</c:v>
                </c:pt>
                <c:pt idx="2751">
                  <c:v>-72.49</c:v>
                </c:pt>
                <c:pt idx="2752">
                  <c:v>-72.48</c:v>
                </c:pt>
                <c:pt idx="2753">
                  <c:v>-72.47</c:v>
                </c:pt>
                <c:pt idx="2754">
                  <c:v>-72.46</c:v>
                </c:pt>
                <c:pt idx="2755">
                  <c:v>-72.45</c:v>
                </c:pt>
                <c:pt idx="2756">
                  <c:v>-72.44</c:v>
                </c:pt>
                <c:pt idx="2757">
                  <c:v>-72.43</c:v>
                </c:pt>
                <c:pt idx="2758">
                  <c:v>-72.42</c:v>
                </c:pt>
                <c:pt idx="2759">
                  <c:v>-72.41</c:v>
                </c:pt>
                <c:pt idx="2760">
                  <c:v>-72.4</c:v>
                </c:pt>
                <c:pt idx="2761">
                  <c:v>-72.39</c:v>
                </c:pt>
                <c:pt idx="2762">
                  <c:v>-72.38</c:v>
                </c:pt>
                <c:pt idx="2763">
                  <c:v>-72.37</c:v>
                </c:pt>
                <c:pt idx="2764">
                  <c:v>-72.36</c:v>
                </c:pt>
                <c:pt idx="2765">
                  <c:v>-72.35</c:v>
                </c:pt>
                <c:pt idx="2766">
                  <c:v>-72.34</c:v>
                </c:pt>
                <c:pt idx="2767">
                  <c:v>-72.33</c:v>
                </c:pt>
                <c:pt idx="2768">
                  <c:v>-72.32</c:v>
                </c:pt>
                <c:pt idx="2769">
                  <c:v>-72.31</c:v>
                </c:pt>
                <c:pt idx="2770">
                  <c:v>-72.3</c:v>
                </c:pt>
                <c:pt idx="2771">
                  <c:v>-72.29</c:v>
                </c:pt>
                <c:pt idx="2772">
                  <c:v>-72.28</c:v>
                </c:pt>
                <c:pt idx="2773">
                  <c:v>-72.27</c:v>
                </c:pt>
                <c:pt idx="2774">
                  <c:v>-72.26</c:v>
                </c:pt>
                <c:pt idx="2775">
                  <c:v>-72.25</c:v>
                </c:pt>
                <c:pt idx="2776">
                  <c:v>-72.24</c:v>
                </c:pt>
                <c:pt idx="2777">
                  <c:v>-72.23</c:v>
                </c:pt>
                <c:pt idx="2778">
                  <c:v>-72.22</c:v>
                </c:pt>
                <c:pt idx="2779">
                  <c:v>-72.21</c:v>
                </c:pt>
                <c:pt idx="2780">
                  <c:v>-72.2</c:v>
                </c:pt>
                <c:pt idx="2781">
                  <c:v>-72.19</c:v>
                </c:pt>
                <c:pt idx="2782">
                  <c:v>-72.18</c:v>
                </c:pt>
                <c:pt idx="2783">
                  <c:v>-72.17</c:v>
                </c:pt>
                <c:pt idx="2784">
                  <c:v>-72.16</c:v>
                </c:pt>
                <c:pt idx="2785">
                  <c:v>-72.15</c:v>
                </c:pt>
                <c:pt idx="2786">
                  <c:v>-72.14</c:v>
                </c:pt>
                <c:pt idx="2787">
                  <c:v>-72.13</c:v>
                </c:pt>
                <c:pt idx="2788">
                  <c:v>-72.12</c:v>
                </c:pt>
                <c:pt idx="2789">
                  <c:v>-72.11</c:v>
                </c:pt>
                <c:pt idx="2790">
                  <c:v>-72.1</c:v>
                </c:pt>
                <c:pt idx="2791">
                  <c:v>-72.09</c:v>
                </c:pt>
                <c:pt idx="2792">
                  <c:v>-72.08</c:v>
                </c:pt>
                <c:pt idx="2793">
                  <c:v>-72.07</c:v>
                </c:pt>
                <c:pt idx="2794">
                  <c:v>-72.06</c:v>
                </c:pt>
                <c:pt idx="2795">
                  <c:v>-72.05</c:v>
                </c:pt>
                <c:pt idx="2796">
                  <c:v>-72.04</c:v>
                </c:pt>
                <c:pt idx="2797">
                  <c:v>-72.03</c:v>
                </c:pt>
                <c:pt idx="2798">
                  <c:v>-72.02</c:v>
                </c:pt>
                <c:pt idx="2799">
                  <c:v>-72.01</c:v>
                </c:pt>
                <c:pt idx="2800">
                  <c:v>-72.0</c:v>
                </c:pt>
                <c:pt idx="2801">
                  <c:v>-71.99</c:v>
                </c:pt>
                <c:pt idx="2802">
                  <c:v>-71.98</c:v>
                </c:pt>
                <c:pt idx="2803">
                  <c:v>-71.97</c:v>
                </c:pt>
                <c:pt idx="2804">
                  <c:v>-71.96</c:v>
                </c:pt>
                <c:pt idx="2805">
                  <c:v>-71.95</c:v>
                </c:pt>
                <c:pt idx="2806">
                  <c:v>-71.94</c:v>
                </c:pt>
                <c:pt idx="2807">
                  <c:v>-71.93</c:v>
                </c:pt>
                <c:pt idx="2808">
                  <c:v>-71.92</c:v>
                </c:pt>
                <c:pt idx="2809">
                  <c:v>-71.91</c:v>
                </c:pt>
                <c:pt idx="2810">
                  <c:v>-71.9</c:v>
                </c:pt>
                <c:pt idx="2811">
                  <c:v>-71.89</c:v>
                </c:pt>
                <c:pt idx="2812">
                  <c:v>-71.88</c:v>
                </c:pt>
                <c:pt idx="2813">
                  <c:v>-71.87</c:v>
                </c:pt>
                <c:pt idx="2814">
                  <c:v>-71.86</c:v>
                </c:pt>
                <c:pt idx="2815">
                  <c:v>-71.85</c:v>
                </c:pt>
                <c:pt idx="2816">
                  <c:v>-71.84</c:v>
                </c:pt>
                <c:pt idx="2817">
                  <c:v>-71.83</c:v>
                </c:pt>
                <c:pt idx="2818">
                  <c:v>-71.82</c:v>
                </c:pt>
                <c:pt idx="2819">
                  <c:v>-71.81</c:v>
                </c:pt>
                <c:pt idx="2820">
                  <c:v>-71.8</c:v>
                </c:pt>
                <c:pt idx="2821">
                  <c:v>-71.79</c:v>
                </c:pt>
                <c:pt idx="2822">
                  <c:v>-71.78</c:v>
                </c:pt>
                <c:pt idx="2823">
                  <c:v>-71.77</c:v>
                </c:pt>
                <c:pt idx="2824">
                  <c:v>-71.76</c:v>
                </c:pt>
                <c:pt idx="2825">
                  <c:v>-71.75</c:v>
                </c:pt>
                <c:pt idx="2826">
                  <c:v>-71.74</c:v>
                </c:pt>
                <c:pt idx="2827">
                  <c:v>-71.73</c:v>
                </c:pt>
                <c:pt idx="2828">
                  <c:v>-71.72</c:v>
                </c:pt>
                <c:pt idx="2829">
                  <c:v>-71.71</c:v>
                </c:pt>
                <c:pt idx="2830">
                  <c:v>-71.7</c:v>
                </c:pt>
                <c:pt idx="2831">
                  <c:v>-71.69</c:v>
                </c:pt>
                <c:pt idx="2832">
                  <c:v>-71.68</c:v>
                </c:pt>
                <c:pt idx="2833">
                  <c:v>-71.67</c:v>
                </c:pt>
                <c:pt idx="2834">
                  <c:v>-71.66</c:v>
                </c:pt>
                <c:pt idx="2835">
                  <c:v>-71.65</c:v>
                </c:pt>
                <c:pt idx="2836">
                  <c:v>-71.64</c:v>
                </c:pt>
                <c:pt idx="2837">
                  <c:v>-71.63</c:v>
                </c:pt>
                <c:pt idx="2838">
                  <c:v>-71.62</c:v>
                </c:pt>
                <c:pt idx="2839">
                  <c:v>-71.61</c:v>
                </c:pt>
                <c:pt idx="2840">
                  <c:v>-71.6</c:v>
                </c:pt>
                <c:pt idx="2841">
                  <c:v>-71.59</c:v>
                </c:pt>
                <c:pt idx="2842">
                  <c:v>-71.58</c:v>
                </c:pt>
                <c:pt idx="2843">
                  <c:v>-71.57</c:v>
                </c:pt>
                <c:pt idx="2844">
                  <c:v>-71.56</c:v>
                </c:pt>
                <c:pt idx="2845">
                  <c:v>-71.55</c:v>
                </c:pt>
                <c:pt idx="2846">
                  <c:v>-71.54</c:v>
                </c:pt>
                <c:pt idx="2847">
                  <c:v>-71.53</c:v>
                </c:pt>
                <c:pt idx="2848">
                  <c:v>-71.52</c:v>
                </c:pt>
                <c:pt idx="2849">
                  <c:v>-71.51</c:v>
                </c:pt>
                <c:pt idx="2850">
                  <c:v>-71.5</c:v>
                </c:pt>
                <c:pt idx="2851">
                  <c:v>-71.49</c:v>
                </c:pt>
                <c:pt idx="2852">
                  <c:v>-71.48</c:v>
                </c:pt>
                <c:pt idx="2853">
                  <c:v>-71.47</c:v>
                </c:pt>
                <c:pt idx="2854">
                  <c:v>-71.46</c:v>
                </c:pt>
                <c:pt idx="2855">
                  <c:v>-71.45</c:v>
                </c:pt>
                <c:pt idx="2856">
                  <c:v>-71.44</c:v>
                </c:pt>
                <c:pt idx="2857">
                  <c:v>-71.43</c:v>
                </c:pt>
                <c:pt idx="2858">
                  <c:v>-71.42</c:v>
                </c:pt>
                <c:pt idx="2859">
                  <c:v>-71.41</c:v>
                </c:pt>
                <c:pt idx="2860">
                  <c:v>-71.4</c:v>
                </c:pt>
                <c:pt idx="2861">
                  <c:v>-71.39</c:v>
                </c:pt>
                <c:pt idx="2862">
                  <c:v>-71.38</c:v>
                </c:pt>
                <c:pt idx="2863">
                  <c:v>-71.37</c:v>
                </c:pt>
                <c:pt idx="2864">
                  <c:v>-71.36</c:v>
                </c:pt>
                <c:pt idx="2865">
                  <c:v>-71.35</c:v>
                </c:pt>
                <c:pt idx="2866">
                  <c:v>-71.34</c:v>
                </c:pt>
                <c:pt idx="2867">
                  <c:v>-71.33</c:v>
                </c:pt>
                <c:pt idx="2868">
                  <c:v>-71.32</c:v>
                </c:pt>
                <c:pt idx="2869">
                  <c:v>-71.31</c:v>
                </c:pt>
                <c:pt idx="2870">
                  <c:v>-71.3</c:v>
                </c:pt>
                <c:pt idx="2871">
                  <c:v>-71.29</c:v>
                </c:pt>
                <c:pt idx="2872">
                  <c:v>-71.28</c:v>
                </c:pt>
                <c:pt idx="2873">
                  <c:v>-71.27</c:v>
                </c:pt>
                <c:pt idx="2874">
                  <c:v>-71.26</c:v>
                </c:pt>
                <c:pt idx="2875">
                  <c:v>-71.25</c:v>
                </c:pt>
                <c:pt idx="2876">
                  <c:v>-71.24</c:v>
                </c:pt>
                <c:pt idx="2877">
                  <c:v>-71.23</c:v>
                </c:pt>
                <c:pt idx="2878">
                  <c:v>-71.22</c:v>
                </c:pt>
                <c:pt idx="2879">
                  <c:v>-71.21</c:v>
                </c:pt>
                <c:pt idx="2880">
                  <c:v>-71.2</c:v>
                </c:pt>
                <c:pt idx="2881">
                  <c:v>-71.19</c:v>
                </c:pt>
                <c:pt idx="2882">
                  <c:v>-71.18</c:v>
                </c:pt>
                <c:pt idx="2883">
                  <c:v>-71.17</c:v>
                </c:pt>
                <c:pt idx="2884">
                  <c:v>-71.16</c:v>
                </c:pt>
                <c:pt idx="2885">
                  <c:v>-71.15</c:v>
                </c:pt>
                <c:pt idx="2886">
                  <c:v>-71.14</c:v>
                </c:pt>
                <c:pt idx="2887">
                  <c:v>-71.13</c:v>
                </c:pt>
                <c:pt idx="2888">
                  <c:v>-71.12</c:v>
                </c:pt>
                <c:pt idx="2889">
                  <c:v>-71.11</c:v>
                </c:pt>
                <c:pt idx="2890">
                  <c:v>-71.1</c:v>
                </c:pt>
                <c:pt idx="2891">
                  <c:v>-71.09</c:v>
                </c:pt>
                <c:pt idx="2892">
                  <c:v>-71.08</c:v>
                </c:pt>
                <c:pt idx="2893">
                  <c:v>-71.07</c:v>
                </c:pt>
                <c:pt idx="2894">
                  <c:v>-71.06</c:v>
                </c:pt>
                <c:pt idx="2895">
                  <c:v>-71.05</c:v>
                </c:pt>
                <c:pt idx="2896">
                  <c:v>-71.04</c:v>
                </c:pt>
                <c:pt idx="2897">
                  <c:v>-71.03</c:v>
                </c:pt>
                <c:pt idx="2898">
                  <c:v>-71.02</c:v>
                </c:pt>
                <c:pt idx="2899">
                  <c:v>-71.01</c:v>
                </c:pt>
                <c:pt idx="2900">
                  <c:v>-71.0</c:v>
                </c:pt>
                <c:pt idx="2901">
                  <c:v>-70.99</c:v>
                </c:pt>
                <c:pt idx="2902">
                  <c:v>-70.98</c:v>
                </c:pt>
                <c:pt idx="2903">
                  <c:v>-70.97</c:v>
                </c:pt>
                <c:pt idx="2904">
                  <c:v>-70.96</c:v>
                </c:pt>
                <c:pt idx="2905">
                  <c:v>-70.95</c:v>
                </c:pt>
                <c:pt idx="2906">
                  <c:v>-70.94</c:v>
                </c:pt>
                <c:pt idx="2907">
                  <c:v>-70.93</c:v>
                </c:pt>
                <c:pt idx="2908">
                  <c:v>-70.92</c:v>
                </c:pt>
                <c:pt idx="2909">
                  <c:v>-70.91</c:v>
                </c:pt>
                <c:pt idx="2910">
                  <c:v>-70.9</c:v>
                </c:pt>
                <c:pt idx="2911">
                  <c:v>-70.89</c:v>
                </c:pt>
                <c:pt idx="2912">
                  <c:v>-70.88</c:v>
                </c:pt>
                <c:pt idx="2913">
                  <c:v>-70.87</c:v>
                </c:pt>
                <c:pt idx="2914">
                  <c:v>-70.86</c:v>
                </c:pt>
                <c:pt idx="2915">
                  <c:v>-70.85</c:v>
                </c:pt>
                <c:pt idx="2916">
                  <c:v>-70.84</c:v>
                </c:pt>
                <c:pt idx="2917">
                  <c:v>-70.83</c:v>
                </c:pt>
                <c:pt idx="2918">
                  <c:v>-70.82</c:v>
                </c:pt>
                <c:pt idx="2919">
                  <c:v>-70.81</c:v>
                </c:pt>
                <c:pt idx="2920">
                  <c:v>-70.8</c:v>
                </c:pt>
                <c:pt idx="2921">
                  <c:v>-70.79</c:v>
                </c:pt>
                <c:pt idx="2922">
                  <c:v>-70.78</c:v>
                </c:pt>
                <c:pt idx="2923">
                  <c:v>-70.77</c:v>
                </c:pt>
                <c:pt idx="2924">
                  <c:v>-70.76</c:v>
                </c:pt>
                <c:pt idx="2925">
                  <c:v>-70.75</c:v>
                </c:pt>
                <c:pt idx="2926">
                  <c:v>-70.74</c:v>
                </c:pt>
                <c:pt idx="2927">
                  <c:v>-70.73</c:v>
                </c:pt>
                <c:pt idx="2928">
                  <c:v>-70.72</c:v>
                </c:pt>
                <c:pt idx="2929">
                  <c:v>-70.71</c:v>
                </c:pt>
                <c:pt idx="2930">
                  <c:v>-70.7</c:v>
                </c:pt>
                <c:pt idx="2931">
                  <c:v>-70.69</c:v>
                </c:pt>
                <c:pt idx="2932">
                  <c:v>-70.68</c:v>
                </c:pt>
                <c:pt idx="2933">
                  <c:v>-70.67</c:v>
                </c:pt>
                <c:pt idx="2934">
                  <c:v>-70.66</c:v>
                </c:pt>
                <c:pt idx="2935">
                  <c:v>-70.65</c:v>
                </c:pt>
                <c:pt idx="2936">
                  <c:v>-70.64</c:v>
                </c:pt>
                <c:pt idx="2937">
                  <c:v>-70.63</c:v>
                </c:pt>
                <c:pt idx="2938">
                  <c:v>-70.62</c:v>
                </c:pt>
                <c:pt idx="2939">
                  <c:v>-70.61</c:v>
                </c:pt>
                <c:pt idx="2940">
                  <c:v>-70.6</c:v>
                </c:pt>
                <c:pt idx="2941">
                  <c:v>-70.59</c:v>
                </c:pt>
                <c:pt idx="2942">
                  <c:v>-70.58</c:v>
                </c:pt>
                <c:pt idx="2943">
                  <c:v>-70.57</c:v>
                </c:pt>
                <c:pt idx="2944">
                  <c:v>-70.56</c:v>
                </c:pt>
                <c:pt idx="2945">
                  <c:v>-70.55</c:v>
                </c:pt>
                <c:pt idx="2946">
                  <c:v>-70.54</c:v>
                </c:pt>
                <c:pt idx="2947">
                  <c:v>-70.53</c:v>
                </c:pt>
                <c:pt idx="2948">
                  <c:v>-70.52</c:v>
                </c:pt>
                <c:pt idx="2949">
                  <c:v>-70.51</c:v>
                </c:pt>
                <c:pt idx="2950">
                  <c:v>-70.5</c:v>
                </c:pt>
                <c:pt idx="2951">
                  <c:v>-70.49</c:v>
                </c:pt>
                <c:pt idx="2952">
                  <c:v>-70.48</c:v>
                </c:pt>
                <c:pt idx="2953">
                  <c:v>-70.47</c:v>
                </c:pt>
                <c:pt idx="2954">
                  <c:v>-70.46</c:v>
                </c:pt>
                <c:pt idx="2955">
                  <c:v>-70.45</c:v>
                </c:pt>
                <c:pt idx="2956">
                  <c:v>-70.44</c:v>
                </c:pt>
                <c:pt idx="2957">
                  <c:v>-70.43</c:v>
                </c:pt>
                <c:pt idx="2958">
                  <c:v>-70.42</c:v>
                </c:pt>
                <c:pt idx="2959">
                  <c:v>-70.41</c:v>
                </c:pt>
                <c:pt idx="2960">
                  <c:v>-70.4</c:v>
                </c:pt>
                <c:pt idx="2961">
                  <c:v>-70.39</c:v>
                </c:pt>
                <c:pt idx="2962">
                  <c:v>-70.38</c:v>
                </c:pt>
                <c:pt idx="2963">
                  <c:v>-70.37</c:v>
                </c:pt>
                <c:pt idx="2964">
                  <c:v>-70.36</c:v>
                </c:pt>
                <c:pt idx="2965">
                  <c:v>-70.35</c:v>
                </c:pt>
                <c:pt idx="2966">
                  <c:v>-70.34</c:v>
                </c:pt>
                <c:pt idx="2967">
                  <c:v>-70.33</c:v>
                </c:pt>
                <c:pt idx="2968">
                  <c:v>-70.32</c:v>
                </c:pt>
                <c:pt idx="2969">
                  <c:v>-70.31</c:v>
                </c:pt>
                <c:pt idx="2970">
                  <c:v>-70.3</c:v>
                </c:pt>
                <c:pt idx="2971">
                  <c:v>-70.29</c:v>
                </c:pt>
                <c:pt idx="2972">
                  <c:v>-70.28</c:v>
                </c:pt>
                <c:pt idx="2973">
                  <c:v>-70.27</c:v>
                </c:pt>
                <c:pt idx="2974">
                  <c:v>-70.26</c:v>
                </c:pt>
                <c:pt idx="2975">
                  <c:v>-70.25</c:v>
                </c:pt>
                <c:pt idx="2976">
                  <c:v>-70.24</c:v>
                </c:pt>
                <c:pt idx="2977">
                  <c:v>-70.23</c:v>
                </c:pt>
                <c:pt idx="2978">
                  <c:v>-70.22</c:v>
                </c:pt>
                <c:pt idx="2979">
                  <c:v>-70.21</c:v>
                </c:pt>
                <c:pt idx="2980">
                  <c:v>-70.2</c:v>
                </c:pt>
                <c:pt idx="2981">
                  <c:v>-70.19</c:v>
                </c:pt>
                <c:pt idx="2982">
                  <c:v>-70.18</c:v>
                </c:pt>
                <c:pt idx="2983">
                  <c:v>-70.17</c:v>
                </c:pt>
                <c:pt idx="2984">
                  <c:v>-70.16</c:v>
                </c:pt>
                <c:pt idx="2985">
                  <c:v>-70.15</c:v>
                </c:pt>
                <c:pt idx="2986">
                  <c:v>-70.14</c:v>
                </c:pt>
                <c:pt idx="2987">
                  <c:v>-70.13</c:v>
                </c:pt>
                <c:pt idx="2988">
                  <c:v>-70.12</c:v>
                </c:pt>
                <c:pt idx="2989">
                  <c:v>-70.11</c:v>
                </c:pt>
                <c:pt idx="2990">
                  <c:v>-70.1</c:v>
                </c:pt>
                <c:pt idx="2991">
                  <c:v>-70.09</c:v>
                </c:pt>
                <c:pt idx="2992">
                  <c:v>-70.08</c:v>
                </c:pt>
                <c:pt idx="2993">
                  <c:v>-70.07</c:v>
                </c:pt>
                <c:pt idx="2994">
                  <c:v>-70.06</c:v>
                </c:pt>
                <c:pt idx="2995">
                  <c:v>-70.05</c:v>
                </c:pt>
                <c:pt idx="2996">
                  <c:v>-70.04</c:v>
                </c:pt>
                <c:pt idx="2997">
                  <c:v>-70.03</c:v>
                </c:pt>
                <c:pt idx="2998">
                  <c:v>-70.02</c:v>
                </c:pt>
                <c:pt idx="2999">
                  <c:v>-70.01</c:v>
                </c:pt>
                <c:pt idx="3000">
                  <c:v>-70.0</c:v>
                </c:pt>
                <c:pt idx="3001">
                  <c:v>-69.99</c:v>
                </c:pt>
                <c:pt idx="3002">
                  <c:v>-69.98</c:v>
                </c:pt>
                <c:pt idx="3003">
                  <c:v>-69.97</c:v>
                </c:pt>
                <c:pt idx="3004">
                  <c:v>-69.96</c:v>
                </c:pt>
                <c:pt idx="3005">
                  <c:v>-69.95</c:v>
                </c:pt>
                <c:pt idx="3006">
                  <c:v>-69.94</c:v>
                </c:pt>
                <c:pt idx="3007">
                  <c:v>-69.93</c:v>
                </c:pt>
                <c:pt idx="3008">
                  <c:v>-69.92</c:v>
                </c:pt>
                <c:pt idx="3009">
                  <c:v>-69.91</c:v>
                </c:pt>
                <c:pt idx="3010">
                  <c:v>-69.9</c:v>
                </c:pt>
                <c:pt idx="3011">
                  <c:v>-69.89</c:v>
                </c:pt>
                <c:pt idx="3012">
                  <c:v>-69.88</c:v>
                </c:pt>
                <c:pt idx="3013">
                  <c:v>-69.87</c:v>
                </c:pt>
                <c:pt idx="3014">
                  <c:v>-69.86</c:v>
                </c:pt>
                <c:pt idx="3015">
                  <c:v>-69.85</c:v>
                </c:pt>
                <c:pt idx="3016">
                  <c:v>-69.84</c:v>
                </c:pt>
                <c:pt idx="3017">
                  <c:v>-69.83</c:v>
                </c:pt>
                <c:pt idx="3018">
                  <c:v>-69.82</c:v>
                </c:pt>
                <c:pt idx="3019">
                  <c:v>-69.81</c:v>
                </c:pt>
                <c:pt idx="3020">
                  <c:v>-69.8</c:v>
                </c:pt>
                <c:pt idx="3021">
                  <c:v>-69.79</c:v>
                </c:pt>
                <c:pt idx="3022">
                  <c:v>-69.78</c:v>
                </c:pt>
                <c:pt idx="3023">
                  <c:v>-69.77</c:v>
                </c:pt>
                <c:pt idx="3024">
                  <c:v>-69.76</c:v>
                </c:pt>
                <c:pt idx="3025">
                  <c:v>-69.75</c:v>
                </c:pt>
                <c:pt idx="3026">
                  <c:v>-69.74</c:v>
                </c:pt>
                <c:pt idx="3027">
                  <c:v>-69.73</c:v>
                </c:pt>
                <c:pt idx="3028">
                  <c:v>-69.72</c:v>
                </c:pt>
                <c:pt idx="3029">
                  <c:v>-69.71</c:v>
                </c:pt>
                <c:pt idx="3030">
                  <c:v>-69.7</c:v>
                </c:pt>
                <c:pt idx="3031">
                  <c:v>-69.69</c:v>
                </c:pt>
                <c:pt idx="3032">
                  <c:v>-69.68</c:v>
                </c:pt>
                <c:pt idx="3033">
                  <c:v>-69.67</c:v>
                </c:pt>
                <c:pt idx="3034">
                  <c:v>-69.66</c:v>
                </c:pt>
                <c:pt idx="3035">
                  <c:v>-69.65</c:v>
                </c:pt>
                <c:pt idx="3036">
                  <c:v>-69.64</c:v>
                </c:pt>
                <c:pt idx="3037">
                  <c:v>-69.63</c:v>
                </c:pt>
                <c:pt idx="3038">
                  <c:v>-69.62</c:v>
                </c:pt>
                <c:pt idx="3039">
                  <c:v>-69.61</c:v>
                </c:pt>
                <c:pt idx="3040">
                  <c:v>-69.6</c:v>
                </c:pt>
                <c:pt idx="3041">
                  <c:v>-69.59</c:v>
                </c:pt>
                <c:pt idx="3042">
                  <c:v>-69.58</c:v>
                </c:pt>
                <c:pt idx="3043">
                  <c:v>-69.57</c:v>
                </c:pt>
                <c:pt idx="3044">
                  <c:v>-69.56</c:v>
                </c:pt>
                <c:pt idx="3045">
                  <c:v>-69.55</c:v>
                </c:pt>
                <c:pt idx="3046">
                  <c:v>-69.54</c:v>
                </c:pt>
                <c:pt idx="3047">
                  <c:v>-69.53</c:v>
                </c:pt>
                <c:pt idx="3048">
                  <c:v>-69.52</c:v>
                </c:pt>
                <c:pt idx="3049">
                  <c:v>-69.51</c:v>
                </c:pt>
                <c:pt idx="3050">
                  <c:v>-69.5</c:v>
                </c:pt>
                <c:pt idx="3051">
                  <c:v>-69.49</c:v>
                </c:pt>
                <c:pt idx="3052">
                  <c:v>-69.48</c:v>
                </c:pt>
                <c:pt idx="3053">
                  <c:v>-69.47</c:v>
                </c:pt>
                <c:pt idx="3054">
                  <c:v>-69.46</c:v>
                </c:pt>
                <c:pt idx="3055">
                  <c:v>-69.45</c:v>
                </c:pt>
                <c:pt idx="3056">
                  <c:v>-69.44</c:v>
                </c:pt>
                <c:pt idx="3057">
                  <c:v>-69.43</c:v>
                </c:pt>
                <c:pt idx="3058">
                  <c:v>-69.42</c:v>
                </c:pt>
                <c:pt idx="3059">
                  <c:v>-69.41</c:v>
                </c:pt>
                <c:pt idx="3060">
                  <c:v>-69.4</c:v>
                </c:pt>
                <c:pt idx="3061">
                  <c:v>-69.39</c:v>
                </c:pt>
                <c:pt idx="3062">
                  <c:v>-69.38</c:v>
                </c:pt>
                <c:pt idx="3063">
                  <c:v>-69.37</c:v>
                </c:pt>
                <c:pt idx="3064">
                  <c:v>-69.36</c:v>
                </c:pt>
                <c:pt idx="3065">
                  <c:v>-69.35</c:v>
                </c:pt>
                <c:pt idx="3066">
                  <c:v>-69.34</c:v>
                </c:pt>
                <c:pt idx="3067">
                  <c:v>-69.33</c:v>
                </c:pt>
                <c:pt idx="3068">
                  <c:v>-69.32</c:v>
                </c:pt>
                <c:pt idx="3069">
                  <c:v>-69.31</c:v>
                </c:pt>
                <c:pt idx="3070">
                  <c:v>-69.3</c:v>
                </c:pt>
                <c:pt idx="3071">
                  <c:v>-69.29</c:v>
                </c:pt>
                <c:pt idx="3072">
                  <c:v>-69.28</c:v>
                </c:pt>
                <c:pt idx="3073">
                  <c:v>-69.27</c:v>
                </c:pt>
                <c:pt idx="3074">
                  <c:v>-69.26</c:v>
                </c:pt>
                <c:pt idx="3075">
                  <c:v>-69.25</c:v>
                </c:pt>
                <c:pt idx="3076">
                  <c:v>-69.24</c:v>
                </c:pt>
                <c:pt idx="3077">
                  <c:v>-69.23</c:v>
                </c:pt>
                <c:pt idx="3078">
                  <c:v>-69.22</c:v>
                </c:pt>
                <c:pt idx="3079">
                  <c:v>-69.21</c:v>
                </c:pt>
                <c:pt idx="3080">
                  <c:v>-69.2</c:v>
                </c:pt>
                <c:pt idx="3081">
                  <c:v>-69.19</c:v>
                </c:pt>
                <c:pt idx="3082">
                  <c:v>-69.18</c:v>
                </c:pt>
                <c:pt idx="3083">
                  <c:v>-69.17</c:v>
                </c:pt>
                <c:pt idx="3084">
                  <c:v>-69.16</c:v>
                </c:pt>
                <c:pt idx="3085">
                  <c:v>-69.15</c:v>
                </c:pt>
                <c:pt idx="3086">
                  <c:v>-69.14</c:v>
                </c:pt>
                <c:pt idx="3087">
                  <c:v>-69.13</c:v>
                </c:pt>
                <c:pt idx="3088">
                  <c:v>-69.12</c:v>
                </c:pt>
                <c:pt idx="3089">
                  <c:v>-69.11</c:v>
                </c:pt>
                <c:pt idx="3090">
                  <c:v>-69.1</c:v>
                </c:pt>
                <c:pt idx="3091">
                  <c:v>-69.09</c:v>
                </c:pt>
                <c:pt idx="3092">
                  <c:v>-69.08</c:v>
                </c:pt>
                <c:pt idx="3093">
                  <c:v>-69.07</c:v>
                </c:pt>
                <c:pt idx="3094">
                  <c:v>-69.06</c:v>
                </c:pt>
                <c:pt idx="3095">
                  <c:v>-69.05</c:v>
                </c:pt>
                <c:pt idx="3096">
                  <c:v>-69.04</c:v>
                </c:pt>
                <c:pt idx="3097">
                  <c:v>-69.03</c:v>
                </c:pt>
                <c:pt idx="3098">
                  <c:v>-69.02</c:v>
                </c:pt>
                <c:pt idx="3099">
                  <c:v>-69.01</c:v>
                </c:pt>
                <c:pt idx="3100">
                  <c:v>-69.0</c:v>
                </c:pt>
                <c:pt idx="3101">
                  <c:v>-68.99</c:v>
                </c:pt>
                <c:pt idx="3102">
                  <c:v>-68.98</c:v>
                </c:pt>
                <c:pt idx="3103">
                  <c:v>-68.97</c:v>
                </c:pt>
                <c:pt idx="3104">
                  <c:v>-68.96</c:v>
                </c:pt>
                <c:pt idx="3105">
                  <c:v>-68.95</c:v>
                </c:pt>
                <c:pt idx="3106">
                  <c:v>-68.94</c:v>
                </c:pt>
                <c:pt idx="3107">
                  <c:v>-68.93</c:v>
                </c:pt>
                <c:pt idx="3108">
                  <c:v>-68.92</c:v>
                </c:pt>
                <c:pt idx="3109">
                  <c:v>-68.91</c:v>
                </c:pt>
                <c:pt idx="3110">
                  <c:v>-68.9</c:v>
                </c:pt>
                <c:pt idx="3111">
                  <c:v>-68.89</c:v>
                </c:pt>
                <c:pt idx="3112">
                  <c:v>-68.88</c:v>
                </c:pt>
                <c:pt idx="3113">
                  <c:v>-68.87</c:v>
                </c:pt>
                <c:pt idx="3114">
                  <c:v>-68.86</c:v>
                </c:pt>
                <c:pt idx="3115">
                  <c:v>-68.85</c:v>
                </c:pt>
                <c:pt idx="3116">
                  <c:v>-68.84</c:v>
                </c:pt>
                <c:pt idx="3117">
                  <c:v>-68.83</c:v>
                </c:pt>
                <c:pt idx="3118">
                  <c:v>-68.82</c:v>
                </c:pt>
                <c:pt idx="3119">
                  <c:v>-68.81</c:v>
                </c:pt>
                <c:pt idx="3120">
                  <c:v>-68.8</c:v>
                </c:pt>
                <c:pt idx="3121">
                  <c:v>-68.79</c:v>
                </c:pt>
                <c:pt idx="3122">
                  <c:v>-68.78</c:v>
                </c:pt>
                <c:pt idx="3123">
                  <c:v>-68.77</c:v>
                </c:pt>
                <c:pt idx="3124">
                  <c:v>-68.76</c:v>
                </c:pt>
                <c:pt idx="3125">
                  <c:v>-68.75</c:v>
                </c:pt>
                <c:pt idx="3126">
                  <c:v>-68.74</c:v>
                </c:pt>
                <c:pt idx="3127">
                  <c:v>-68.73</c:v>
                </c:pt>
                <c:pt idx="3128">
                  <c:v>-68.72</c:v>
                </c:pt>
                <c:pt idx="3129">
                  <c:v>-68.71</c:v>
                </c:pt>
                <c:pt idx="3130">
                  <c:v>-68.7</c:v>
                </c:pt>
                <c:pt idx="3131">
                  <c:v>-68.69</c:v>
                </c:pt>
                <c:pt idx="3132">
                  <c:v>-68.68</c:v>
                </c:pt>
                <c:pt idx="3133">
                  <c:v>-68.67</c:v>
                </c:pt>
                <c:pt idx="3134">
                  <c:v>-68.66</c:v>
                </c:pt>
                <c:pt idx="3135">
                  <c:v>-68.65</c:v>
                </c:pt>
                <c:pt idx="3136">
                  <c:v>-68.64</c:v>
                </c:pt>
                <c:pt idx="3137">
                  <c:v>-68.63</c:v>
                </c:pt>
                <c:pt idx="3138">
                  <c:v>-68.62</c:v>
                </c:pt>
                <c:pt idx="3139">
                  <c:v>-68.61</c:v>
                </c:pt>
                <c:pt idx="3140">
                  <c:v>-68.6</c:v>
                </c:pt>
                <c:pt idx="3141">
                  <c:v>-68.59</c:v>
                </c:pt>
                <c:pt idx="3142">
                  <c:v>-68.58</c:v>
                </c:pt>
                <c:pt idx="3143">
                  <c:v>-68.57</c:v>
                </c:pt>
                <c:pt idx="3144">
                  <c:v>-68.56</c:v>
                </c:pt>
                <c:pt idx="3145">
                  <c:v>-68.55</c:v>
                </c:pt>
                <c:pt idx="3146">
                  <c:v>-68.54</c:v>
                </c:pt>
                <c:pt idx="3147">
                  <c:v>-68.53</c:v>
                </c:pt>
                <c:pt idx="3148">
                  <c:v>-68.52</c:v>
                </c:pt>
                <c:pt idx="3149">
                  <c:v>-68.51</c:v>
                </c:pt>
                <c:pt idx="3150">
                  <c:v>-68.5</c:v>
                </c:pt>
                <c:pt idx="3151">
                  <c:v>-68.49</c:v>
                </c:pt>
                <c:pt idx="3152">
                  <c:v>-68.48</c:v>
                </c:pt>
                <c:pt idx="3153">
                  <c:v>-68.47</c:v>
                </c:pt>
                <c:pt idx="3154">
                  <c:v>-68.46</c:v>
                </c:pt>
                <c:pt idx="3155">
                  <c:v>-68.45</c:v>
                </c:pt>
                <c:pt idx="3156">
                  <c:v>-68.44</c:v>
                </c:pt>
                <c:pt idx="3157">
                  <c:v>-68.43</c:v>
                </c:pt>
                <c:pt idx="3158">
                  <c:v>-68.42</c:v>
                </c:pt>
                <c:pt idx="3159">
                  <c:v>-68.41</c:v>
                </c:pt>
                <c:pt idx="3160">
                  <c:v>-68.4</c:v>
                </c:pt>
                <c:pt idx="3161">
                  <c:v>-68.39</c:v>
                </c:pt>
                <c:pt idx="3162">
                  <c:v>-68.38</c:v>
                </c:pt>
                <c:pt idx="3163">
                  <c:v>-68.37</c:v>
                </c:pt>
                <c:pt idx="3164">
                  <c:v>-68.36</c:v>
                </c:pt>
                <c:pt idx="3165">
                  <c:v>-68.35</c:v>
                </c:pt>
                <c:pt idx="3166">
                  <c:v>-68.34</c:v>
                </c:pt>
                <c:pt idx="3167">
                  <c:v>-68.33</c:v>
                </c:pt>
                <c:pt idx="3168">
                  <c:v>-68.32</c:v>
                </c:pt>
                <c:pt idx="3169">
                  <c:v>-68.31</c:v>
                </c:pt>
                <c:pt idx="3170">
                  <c:v>-68.3</c:v>
                </c:pt>
                <c:pt idx="3171">
                  <c:v>-68.29</c:v>
                </c:pt>
                <c:pt idx="3172">
                  <c:v>-68.28</c:v>
                </c:pt>
                <c:pt idx="3173">
                  <c:v>-68.27</c:v>
                </c:pt>
                <c:pt idx="3174">
                  <c:v>-68.26</c:v>
                </c:pt>
                <c:pt idx="3175">
                  <c:v>-68.25</c:v>
                </c:pt>
                <c:pt idx="3176">
                  <c:v>-68.24</c:v>
                </c:pt>
                <c:pt idx="3177">
                  <c:v>-68.23</c:v>
                </c:pt>
                <c:pt idx="3178">
                  <c:v>-68.22</c:v>
                </c:pt>
                <c:pt idx="3179">
                  <c:v>-68.21</c:v>
                </c:pt>
                <c:pt idx="3180">
                  <c:v>-68.2</c:v>
                </c:pt>
                <c:pt idx="3181">
                  <c:v>-68.19</c:v>
                </c:pt>
                <c:pt idx="3182">
                  <c:v>-68.18</c:v>
                </c:pt>
                <c:pt idx="3183">
                  <c:v>-68.17</c:v>
                </c:pt>
                <c:pt idx="3184">
                  <c:v>-68.16</c:v>
                </c:pt>
                <c:pt idx="3185">
                  <c:v>-68.15</c:v>
                </c:pt>
                <c:pt idx="3186">
                  <c:v>-68.14</c:v>
                </c:pt>
                <c:pt idx="3187">
                  <c:v>-68.13</c:v>
                </c:pt>
                <c:pt idx="3188">
                  <c:v>-68.12</c:v>
                </c:pt>
                <c:pt idx="3189">
                  <c:v>-68.11</c:v>
                </c:pt>
                <c:pt idx="3190">
                  <c:v>-68.1</c:v>
                </c:pt>
                <c:pt idx="3191">
                  <c:v>-68.09</c:v>
                </c:pt>
                <c:pt idx="3192">
                  <c:v>-68.08</c:v>
                </c:pt>
                <c:pt idx="3193">
                  <c:v>-68.07</c:v>
                </c:pt>
                <c:pt idx="3194">
                  <c:v>-68.06</c:v>
                </c:pt>
                <c:pt idx="3195">
                  <c:v>-68.05</c:v>
                </c:pt>
                <c:pt idx="3196">
                  <c:v>-68.04</c:v>
                </c:pt>
                <c:pt idx="3197">
                  <c:v>-68.03</c:v>
                </c:pt>
                <c:pt idx="3198">
                  <c:v>-68.02</c:v>
                </c:pt>
                <c:pt idx="3199">
                  <c:v>-68.01</c:v>
                </c:pt>
                <c:pt idx="3200">
                  <c:v>-68.0</c:v>
                </c:pt>
                <c:pt idx="3201">
                  <c:v>-67.99</c:v>
                </c:pt>
                <c:pt idx="3202">
                  <c:v>-67.98</c:v>
                </c:pt>
                <c:pt idx="3203">
                  <c:v>-67.97</c:v>
                </c:pt>
                <c:pt idx="3204">
                  <c:v>-67.96</c:v>
                </c:pt>
                <c:pt idx="3205">
                  <c:v>-67.95</c:v>
                </c:pt>
                <c:pt idx="3206">
                  <c:v>-67.94</c:v>
                </c:pt>
                <c:pt idx="3207">
                  <c:v>-67.93</c:v>
                </c:pt>
                <c:pt idx="3208">
                  <c:v>-67.92</c:v>
                </c:pt>
                <c:pt idx="3209">
                  <c:v>-67.91</c:v>
                </c:pt>
                <c:pt idx="3210">
                  <c:v>-67.9</c:v>
                </c:pt>
                <c:pt idx="3211">
                  <c:v>-67.89</c:v>
                </c:pt>
                <c:pt idx="3212">
                  <c:v>-67.88</c:v>
                </c:pt>
                <c:pt idx="3213">
                  <c:v>-67.87</c:v>
                </c:pt>
                <c:pt idx="3214">
                  <c:v>-67.86</c:v>
                </c:pt>
                <c:pt idx="3215">
                  <c:v>-67.85</c:v>
                </c:pt>
                <c:pt idx="3216">
                  <c:v>-67.84</c:v>
                </c:pt>
                <c:pt idx="3217">
                  <c:v>-67.83</c:v>
                </c:pt>
                <c:pt idx="3218">
                  <c:v>-67.82</c:v>
                </c:pt>
                <c:pt idx="3219">
                  <c:v>-67.81</c:v>
                </c:pt>
                <c:pt idx="3220">
                  <c:v>-67.8</c:v>
                </c:pt>
                <c:pt idx="3221">
                  <c:v>-67.79</c:v>
                </c:pt>
                <c:pt idx="3222">
                  <c:v>-67.78</c:v>
                </c:pt>
                <c:pt idx="3223">
                  <c:v>-67.77</c:v>
                </c:pt>
                <c:pt idx="3224">
                  <c:v>-67.76</c:v>
                </c:pt>
                <c:pt idx="3225">
                  <c:v>-67.75</c:v>
                </c:pt>
                <c:pt idx="3226">
                  <c:v>-67.74</c:v>
                </c:pt>
                <c:pt idx="3227">
                  <c:v>-67.73</c:v>
                </c:pt>
                <c:pt idx="3228">
                  <c:v>-67.72</c:v>
                </c:pt>
                <c:pt idx="3229">
                  <c:v>-67.71</c:v>
                </c:pt>
                <c:pt idx="3230">
                  <c:v>-67.7</c:v>
                </c:pt>
                <c:pt idx="3231">
                  <c:v>-67.69</c:v>
                </c:pt>
                <c:pt idx="3232">
                  <c:v>-67.68</c:v>
                </c:pt>
                <c:pt idx="3233">
                  <c:v>-67.67</c:v>
                </c:pt>
                <c:pt idx="3234">
                  <c:v>-67.66</c:v>
                </c:pt>
                <c:pt idx="3235">
                  <c:v>-67.65</c:v>
                </c:pt>
                <c:pt idx="3236">
                  <c:v>-67.64</c:v>
                </c:pt>
                <c:pt idx="3237">
                  <c:v>-67.63</c:v>
                </c:pt>
                <c:pt idx="3238">
                  <c:v>-67.62</c:v>
                </c:pt>
                <c:pt idx="3239">
                  <c:v>-67.61</c:v>
                </c:pt>
                <c:pt idx="3240">
                  <c:v>-67.6</c:v>
                </c:pt>
                <c:pt idx="3241">
                  <c:v>-67.59</c:v>
                </c:pt>
                <c:pt idx="3242">
                  <c:v>-67.58</c:v>
                </c:pt>
                <c:pt idx="3243">
                  <c:v>-67.57</c:v>
                </c:pt>
                <c:pt idx="3244">
                  <c:v>-67.56</c:v>
                </c:pt>
                <c:pt idx="3245">
                  <c:v>-67.55</c:v>
                </c:pt>
                <c:pt idx="3246">
                  <c:v>-67.54</c:v>
                </c:pt>
                <c:pt idx="3247">
                  <c:v>-67.53</c:v>
                </c:pt>
                <c:pt idx="3248">
                  <c:v>-67.52</c:v>
                </c:pt>
                <c:pt idx="3249">
                  <c:v>-67.51</c:v>
                </c:pt>
                <c:pt idx="3250">
                  <c:v>-67.5</c:v>
                </c:pt>
                <c:pt idx="3251">
                  <c:v>-67.49</c:v>
                </c:pt>
                <c:pt idx="3252">
                  <c:v>-67.48</c:v>
                </c:pt>
                <c:pt idx="3253">
                  <c:v>-67.47</c:v>
                </c:pt>
                <c:pt idx="3254">
                  <c:v>-67.46</c:v>
                </c:pt>
                <c:pt idx="3255">
                  <c:v>-67.45</c:v>
                </c:pt>
                <c:pt idx="3256">
                  <c:v>-67.44</c:v>
                </c:pt>
                <c:pt idx="3257">
                  <c:v>-67.43</c:v>
                </c:pt>
                <c:pt idx="3258">
                  <c:v>-67.42</c:v>
                </c:pt>
                <c:pt idx="3259">
                  <c:v>-67.41</c:v>
                </c:pt>
                <c:pt idx="3260">
                  <c:v>-67.4</c:v>
                </c:pt>
                <c:pt idx="3261">
                  <c:v>-67.39</c:v>
                </c:pt>
                <c:pt idx="3262">
                  <c:v>-67.38</c:v>
                </c:pt>
                <c:pt idx="3263">
                  <c:v>-67.37</c:v>
                </c:pt>
                <c:pt idx="3264">
                  <c:v>-67.36</c:v>
                </c:pt>
                <c:pt idx="3265">
                  <c:v>-67.35</c:v>
                </c:pt>
                <c:pt idx="3266">
                  <c:v>-67.34</c:v>
                </c:pt>
                <c:pt idx="3267">
                  <c:v>-67.33</c:v>
                </c:pt>
                <c:pt idx="3268">
                  <c:v>-67.32</c:v>
                </c:pt>
                <c:pt idx="3269">
                  <c:v>-67.31</c:v>
                </c:pt>
                <c:pt idx="3270">
                  <c:v>-67.3</c:v>
                </c:pt>
                <c:pt idx="3271">
                  <c:v>-67.29</c:v>
                </c:pt>
                <c:pt idx="3272">
                  <c:v>-67.28</c:v>
                </c:pt>
                <c:pt idx="3273">
                  <c:v>-67.27</c:v>
                </c:pt>
                <c:pt idx="3274">
                  <c:v>-67.26</c:v>
                </c:pt>
                <c:pt idx="3275">
                  <c:v>-67.25</c:v>
                </c:pt>
                <c:pt idx="3276">
                  <c:v>-67.24</c:v>
                </c:pt>
                <c:pt idx="3277">
                  <c:v>-67.23</c:v>
                </c:pt>
                <c:pt idx="3278">
                  <c:v>-67.22</c:v>
                </c:pt>
                <c:pt idx="3279">
                  <c:v>-67.21</c:v>
                </c:pt>
                <c:pt idx="3280">
                  <c:v>-67.2</c:v>
                </c:pt>
                <c:pt idx="3281">
                  <c:v>-67.19</c:v>
                </c:pt>
                <c:pt idx="3282">
                  <c:v>-67.18</c:v>
                </c:pt>
                <c:pt idx="3283">
                  <c:v>-67.17</c:v>
                </c:pt>
                <c:pt idx="3284">
                  <c:v>-67.16</c:v>
                </c:pt>
                <c:pt idx="3285">
                  <c:v>-67.15</c:v>
                </c:pt>
                <c:pt idx="3286">
                  <c:v>-67.14</c:v>
                </c:pt>
                <c:pt idx="3287">
                  <c:v>-67.13</c:v>
                </c:pt>
                <c:pt idx="3288">
                  <c:v>-67.12</c:v>
                </c:pt>
                <c:pt idx="3289">
                  <c:v>-67.11</c:v>
                </c:pt>
                <c:pt idx="3290">
                  <c:v>-67.1</c:v>
                </c:pt>
                <c:pt idx="3291">
                  <c:v>-67.09</c:v>
                </c:pt>
                <c:pt idx="3292">
                  <c:v>-67.08</c:v>
                </c:pt>
                <c:pt idx="3293">
                  <c:v>-67.07</c:v>
                </c:pt>
                <c:pt idx="3294">
                  <c:v>-67.06</c:v>
                </c:pt>
                <c:pt idx="3295">
                  <c:v>-67.05</c:v>
                </c:pt>
                <c:pt idx="3296">
                  <c:v>-67.04</c:v>
                </c:pt>
                <c:pt idx="3297">
                  <c:v>-67.03</c:v>
                </c:pt>
                <c:pt idx="3298">
                  <c:v>-67.02</c:v>
                </c:pt>
                <c:pt idx="3299">
                  <c:v>-67.01</c:v>
                </c:pt>
                <c:pt idx="3300">
                  <c:v>-67.0</c:v>
                </c:pt>
                <c:pt idx="3301">
                  <c:v>-66.99</c:v>
                </c:pt>
                <c:pt idx="3302">
                  <c:v>-66.98</c:v>
                </c:pt>
                <c:pt idx="3303">
                  <c:v>-66.97</c:v>
                </c:pt>
                <c:pt idx="3304">
                  <c:v>-66.96</c:v>
                </c:pt>
                <c:pt idx="3305">
                  <c:v>-66.95</c:v>
                </c:pt>
                <c:pt idx="3306">
                  <c:v>-66.94</c:v>
                </c:pt>
                <c:pt idx="3307">
                  <c:v>-66.93</c:v>
                </c:pt>
                <c:pt idx="3308">
                  <c:v>-66.92</c:v>
                </c:pt>
                <c:pt idx="3309">
                  <c:v>-66.91</c:v>
                </c:pt>
                <c:pt idx="3310">
                  <c:v>-66.9</c:v>
                </c:pt>
                <c:pt idx="3311">
                  <c:v>-66.89</c:v>
                </c:pt>
                <c:pt idx="3312">
                  <c:v>-66.88</c:v>
                </c:pt>
                <c:pt idx="3313">
                  <c:v>-66.87</c:v>
                </c:pt>
                <c:pt idx="3314">
                  <c:v>-66.86</c:v>
                </c:pt>
                <c:pt idx="3315">
                  <c:v>-66.85</c:v>
                </c:pt>
                <c:pt idx="3316">
                  <c:v>-66.84</c:v>
                </c:pt>
                <c:pt idx="3317">
                  <c:v>-66.83</c:v>
                </c:pt>
                <c:pt idx="3318">
                  <c:v>-66.82</c:v>
                </c:pt>
                <c:pt idx="3319">
                  <c:v>-66.81</c:v>
                </c:pt>
                <c:pt idx="3320">
                  <c:v>-66.8</c:v>
                </c:pt>
                <c:pt idx="3321">
                  <c:v>-66.79</c:v>
                </c:pt>
                <c:pt idx="3322">
                  <c:v>-66.78</c:v>
                </c:pt>
                <c:pt idx="3323">
                  <c:v>-66.77</c:v>
                </c:pt>
                <c:pt idx="3324">
                  <c:v>-66.76</c:v>
                </c:pt>
                <c:pt idx="3325">
                  <c:v>-66.75</c:v>
                </c:pt>
                <c:pt idx="3326">
                  <c:v>-66.74</c:v>
                </c:pt>
                <c:pt idx="3327">
                  <c:v>-66.73</c:v>
                </c:pt>
                <c:pt idx="3328">
                  <c:v>-66.72</c:v>
                </c:pt>
                <c:pt idx="3329">
                  <c:v>-66.71</c:v>
                </c:pt>
                <c:pt idx="3330">
                  <c:v>-66.7</c:v>
                </c:pt>
                <c:pt idx="3331">
                  <c:v>-66.69</c:v>
                </c:pt>
                <c:pt idx="3332">
                  <c:v>-66.68</c:v>
                </c:pt>
                <c:pt idx="3333">
                  <c:v>-66.67</c:v>
                </c:pt>
                <c:pt idx="3334">
                  <c:v>-66.66</c:v>
                </c:pt>
                <c:pt idx="3335">
                  <c:v>-66.65</c:v>
                </c:pt>
                <c:pt idx="3336">
                  <c:v>-66.64</c:v>
                </c:pt>
                <c:pt idx="3337">
                  <c:v>-66.63</c:v>
                </c:pt>
                <c:pt idx="3338">
                  <c:v>-66.62</c:v>
                </c:pt>
                <c:pt idx="3339">
                  <c:v>-66.61</c:v>
                </c:pt>
                <c:pt idx="3340">
                  <c:v>-66.6</c:v>
                </c:pt>
                <c:pt idx="3341">
                  <c:v>-66.59</c:v>
                </c:pt>
                <c:pt idx="3342">
                  <c:v>-66.58</c:v>
                </c:pt>
                <c:pt idx="3343">
                  <c:v>-66.57</c:v>
                </c:pt>
                <c:pt idx="3344">
                  <c:v>-66.56</c:v>
                </c:pt>
                <c:pt idx="3345">
                  <c:v>-66.55</c:v>
                </c:pt>
                <c:pt idx="3346">
                  <c:v>-66.54</c:v>
                </c:pt>
                <c:pt idx="3347">
                  <c:v>-66.53</c:v>
                </c:pt>
                <c:pt idx="3348">
                  <c:v>-66.52</c:v>
                </c:pt>
                <c:pt idx="3349">
                  <c:v>-66.51</c:v>
                </c:pt>
                <c:pt idx="3350">
                  <c:v>-66.5</c:v>
                </c:pt>
                <c:pt idx="3351">
                  <c:v>-66.49</c:v>
                </c:pt>
                <c:pt idx="3352">
                  <c:v>-66.48</c:v>
                </c:pt>
                <c:pt idx="3353">
                  <c:v>-66.47</c:v>
                </c:pt>
                <c:pt idx="3354">
                  <c:v>-66.46</c:v>
                </c:pt>
                <c:pt idx="3355">
                  <c:v>-66.45</c:v>
                </c:pt>
                <c:pt idx="3356">
                  <c:v>-66.44</c:v>
                </c:pt>
                <c:pt idx="3357">
                  <c:v>-66.43</c:v>
                </c:pt>
                <c:pt idx="3358">
                  <c:v>-66.42</c:v>
                </c:pt>
                <c:pt idx="3359">
                  <c:v>-66.41</c:v>
                </c:pt>
                <c:pt idx="3360">
                  <c:v>-66.4</c:v>
                </c:pt>
                <c:pt idx="3361">
                  <c:v>-66.39</c:v>
                </c:pt>
                <c:pt idx="3362">
                  <c:v>-66.38</c:v>
                </c:pt>
                <c:pt idx="3363">
                  <c:v>-66.37</c:v>
                </c:pt>
                <c:pt idx="3364">
                  <c:v>-66.36</c:v>
                </c:pt>
                <c:pt idx="3365">
                  <c:v>-66.35</c:v>
                </c:pt>
                <c:pt idx="3366">
                  <c:v>-66.34</c:v>
                </c:pt>
                <c:pt idx="3367">
                  <c:v>-66.33</c:v>
                </c:pt>
                <c:pt idx="3368">
                  <c:v>-66.32</c:v>
                </c:pt>
                <c:pt idx="3369">
                  <c:v>-66.31</c:v>
                </c:pt>
                <c:pt idx="3370">
                  <c:v>-66.3</c:v>
                </c:pt>
                <c:pt idx="3371">
                  <c:v>-66.29</c:v>
                </c:pt>
                <c:pt idx="3372">
                  <c:v>-66.28</c:v>
                </c:pt>
                <c:pt idx="3373">
                  <c:v>-66.27</c:v>
                </c:pt>
                <c:pt idx="3374">
                  <c:v>-66.26</c:v>
                </c:pt>
                <c:pt idx="3375">
                  <c:v>-66.25</c:v>
                </c:pt>
                <c:pt idx="3376">
                  <c:v>-66.24</c:v>
                </c:pt>
                <c:pt idx="3377">
                  <c:v>-66.23</c:v>
                </c:pt>
                <c:pt idx="3378">
                  <c:v>-66.22</c:v>
                </c:pt>
                <c:pt idx="3379">
                  <c:v>-66.21</c:v>
                </c:pt>
                <c:pt idx="3380">
                  <c:v>-66.2</c:v>
                </c:pt>
                <c:pt idx="3381">
                  <c:v>-66.19</c:v>
                </c:pt>
                <c:pt idx="3382">
                  <c:v>-66.18</c:v>
                </c:pt>
                <c:pt idx="3383">
                  <c:v>-66.17</c:v>
                </c:pt>
                <c:pt idx="3384">
                  <c:v>-66.16</c:v>
                </c:pt>
                <c:pt idx="3385">
                  <c:v>-66.15</c:v>
                </c:pt>
                <c:pt idx="3386">
                  <c:v>-66.14</c:v>
                </c:pt>
                <c:pt idx="3387">
                  <c:v>-66.13</c:v>
                </c:pt>
                <c:pt idx="3388">
                  <c:v>-66.12</c:v>
                </c:pt>
                <c:pt idx="3389">
                  <c:v>-66.11</c:v>
                </c:pt>
                <c:pt idx="3390">
                  <c:v>-66.1</c:v>
                </c:pt>
                <c:pt idx="3391">
                  <c:v>-66.09</c:v>
                </c:pt>
                <c:pt idx="3392">
                  <c:v>-66.08</c:v>
                </c:pt>
                <c:pt idx="3393">
                  <c:v>-66.07</c:v>
                </c:pt>
                <c:pt idx="3394">
                  <c:v>-66.06</c:v>
                </c:pt>
                <c:pt idx="3395">
                  <c:v>-66.05</c:v>
                </c:pt>
                <c:pt idx="3396">
                  <c:v>-66.04</c:v>
                </c:pt>
                <c:pt idx="3397">
                  <c:v>-66.03</c:v>
                </c:pt>
                <c:pt idx="3398">
                  <c:v>-66.02</c:v>
                </c:pt>
                <c:pt idx="3399">
                  <c:v>-66.01</c:v>
                </c:pt>
                <c:pt idx="3400">
                  <c:v>-66.0</c:v>
                </c:pt>
                <c:pt idx="3401">
                  <c:v>-65.99</c:v>
                </c:pt>
                <c:pt idx="3402">
                  <c:v>-65.98</c:v>
                </c:pt>
                <c:pt idx="3403">
                  <c:v>-65.97</c:v>
                </c:pt>
                <c:pt idx="3404">
                  <c:v>-65.96</c:v>
                </c:pt>
                <c:pt idx="3405">
                  <c:v>-65.95</c:v>
                </c:pt>
                <c:pt idx="3406">
                  <c:v>-65.94</c:v>
                </c:pt>
                <c:pt idx="3407">
                  <c:v>-65.93</c:v>
                </c:pt>
                <c:pt idx="3408">
                  <c:v>-65.92</c:v>
                </c:pt>
                <c:pt idx="3409">
                  <c:v>-65.91</c:v>
                </c:pt>
                <c:pt idx="3410">
                  <c:v>-65.9</c:v>
                </c:pt>
                <c:pt idx="3411">
                  <c:v>-65.89</c:v>
                </c:pt>
                <c:pt idx="3412">
                  <c:v>-65.88</c:v>
                </c:pt>
                <c:pt idx="3413">
                  <c:v>-65.87</c:v>
                </c:pt>
                <c:pt idx="3414">
                  <c:v>-65.86</c:v>
                </c:pt>
                <c:pt idx="3415">
                  <c:v>-65.85</c:v>
                </c:pt>
                <c:pt idx="3416">
                  <c:v>-65.84</c:v>
                </c:pt>
                <c:pt idx="3417">
                  <c:v>-65.83</c:v>
                </c:pt>
                <c:pt idx="3418">
                  <c:v>-65.82</c:v>
                </c:pt>
                <c:pt idx="3419">
                  <c:v>-65.81</c:v>
                </c:pt>
                <c:pt idx="3420">
                  <c:v>-65.8</c:v>
                </c:pt>
                <c:pt idx="3421">
                  <c:v>-65.79</c:v>
                </c:pt>
                <c:pt idx="3422">
                  <c:v>-65.78</c:v>
                </c:pt>
                <c:pt idx="3423">
                  <c:v>-65.77</c:v>
                </c:pt>
                <c:pt idx="3424">
                  <c:v>-65.76</c:v>
                </c:pt>
                <c:pt idx="3425">
                  <c:v>-65.75</c:v>
                </c:pt>
                <c:pt idx="3426">
                  <c:v>-65.74</c:v>
                </c:pt>
                <c:pt idx="3427">
                  <c:v>-65.73</c:v>
                </c:pt>
                <c:pt idx="3428">
                  <c:v>-65.72</c:v>
                </c:pt>
                <c:pt idx="3429">
                  <c:v>-65.71</c:v>
                </c:pt>
                <c:pt idx="3430">
                  <c:v>-65.7</c:v>
                </c:pt>
                <c:pt idx="3431">
                  <c:v>-65.69</c:v>
                </c:pt>
                <c:pt idx="3432">
                  <c:v>-65.68</c:v>
                </c:pt>
                <c:pt idx="3433">
                  <c:v>-65.67</c:v>
                </c:pt>
                <c:pt idx="3434">
                  <c:v>-65.66</c:v>
                </c:pt>
                <c:pt idx="3435">
                  <c:v>-65.65</c:v>
                </c:pt>
                <c:pt idx="3436">
                  <c:v>-65.64</c:v>
                </c:pt>
                <c:pt idx="3437">
                  <c:v>-65.63</c:v>
                </c:pt>
                <c:pt idx="3438">
                  <c:v>-65.62</c:v>
                </c:pt>
                <c:pt idx="3439">
                  <c:v>-65.61</c:v>
                </c:pt>
                <c:pt idx="3440">
                  <c:v>-65.6</c:v>
                </c:pt>
                <c:pt idx="3441">
                  <c:v>-65.59</c:v>
                </c:pt>
                <c:pt idx="3442">
                  <c:v>-65.58</c:v>
                </c:pt>
                <c:pt idx="3443">
                  <c:v>-65.57</c:v>
                </c:pt>
                <c:pt idx="3444">
                  <c:v>-65.56</c:v>
                </c:pt>
                <c:pt idx="3445">
                  <c:v>-65.55</c:v>
                </c:pt>
                <c:pt idx="3446">
                  <c:v>-65.54</c:v>
                </c:pt>
                <c:pt idx="3447">
                  <c:v>-65.53</c:v>
                </c:pt>
                <c:pt idx="3448">
                  <c:v>-65.52</c:v>
                </c:pt>
                <c:pt idx="3449">
                  <c:v>-65.51</c:v>
                </c:pt>
                <c:pt idx="3450">
                  <c:v>-65.5</c:v>
                </c:pt>
                <c:pt idx="3451">
                  <c:v>-65.49</c:v>
                </c:pt>
                <c:pt idx="3452">
                  <c:v>-65.48</c:v>
                </c:pt>
                <c:pt idx="3453">
                  <c:v>-65.47</c:v>
                </c:pt>
                <c:pt idx="3454">
                  <c:v>-65.46</c:v>
                </c:pt>
                <c:pt idx="3455">
                  <c:v>-65.45</c:v>
                </c:pt>
                <c:pt idx="3456">
                  <c:v>-65.44</c:v>
                </c:pt>
                <c:pt idx="3457">
                  <c:v>-65.43</c:v>
                </c:pt>
                <c:pt idx="3458">
                  <c:v>-65.42</c:v>
                </c:pt>
                <c:pt idx="3459">
                  <c:v>-65.41</c:v>
                </c:pt>
                <c:pt idx="3460">
                  <c:v>-65.4</c:v>
                </c:pt>
                <c:pt idx="3461">
                  <c:v>-65.39</c:v>
                </c:pt>
                <c:pt idx="3462">
                  <c:v>-65.38</c:v>
                </c:pt>
                <c:pt idx="3463">
                  <c:v>-65.37</c:v>
                </c:pt>
                <c:pt idx="3464">
                  <c:v>-65.36</c:v>
                </c:pt>
                <c:pt idx="3465">
                  <c:v>-65.35</c:v>
                </c:pt>
                <c:pt idx="3466">
                  <c:v>-65.34</c:v>
                </c:pt>
                <c:pt idx="3467">
                  <c:v>-65.33</c:v>
                </c:pt>
                <c:pt idx="3468">
                  <c:v>-65.32</c:v>
                </c:pt>
                <c:pt idx="3469">
                  <c:v>-65.31</c:v>
                </c:pt>
                <c:pt idx="3470">
                  <c:v>-65.3</c:v>
                </c:pt>
                <c:pt idx="3471">
                  <c:v>-65.29</c:v>
                </c:pt>
                <c:pt idx="3472">
                  <c:v>-65.28</c:v>
                </c:pt>
                <c:pt idx="3473">
                  <c:v>-65.27</c:v>
                </c:pt>
                <c:pt idx="3474">
                  <c:v>-65.26</c:v>
                </c:pt>
                <c:pt idx="3475">
                  <c:v>-65.25</c:v>
                </c:pt>
                <c:pt idx="3476">
                  <c:v>-65.24</c:v>
                </c:pt>
                <c:pt idx="3477">
                  <c:v>-65.23</c:v>
                </c:pt>
                <c:pt idx="3478">
                  <c:v>-65.22</c:v>
                </c:pt>
                <c:pt idx="3479">
                  <c:v>-65.21</c:v>
                </c:pt>
                <c:pt idx="3480">
                  <c:v>-65.2</c:v>
                </c:pt>
                <c:pt idx="3481">
                  <c:v>-65.19</c:v>
                </c:pt>
                <c:pt idx="3482">
                  <c:v>-65.18</c:v>
                </c:pt>
                <c:pt idx="3483">
                  <c:v>-65.17</c:v>
                </c:pt>
                <c:pt idx="3484">
                  <c:v>-65.16</c:v>
                </c:pt>
                <c:pt idx="3485">
                  <c:v>-65.15</c:v>
                </c:pt>
                <c:pt idx="3486">
                  <c:v>-65.14</c:v>
                </c:pt>
                <c:pt idx="3487">
                  <c:v>-65.13</c:v>
                </c:pt>
                <c:pt idx="3488">
                  <c:v>-65.12</c:v>
                </c:pt>
                <c:pt idx="3489">
                  <c:v>-65.11</c:v>
                </c:pt>
                <c:pt idx="3490">
                  <c:v>-65.1</c:v>
                </c:pt>
                <c:pt idx="3491">
                  <c:v>-65.09</c:v>
                </c:pt>
                <c:pt idx="3492">
                  <c:v>-65.08</c:v>
                </c:pt>
                <c:pt idx="3493">
                  <c:v>-65.07</c:v>
                </c:pt>
                <c:pt idx="3494">
                  <c:v>-65.06</c:v>
                </c:pt>
                <c:pt idx="3495">
                  <c:v>-65.05</c:v>
                </c:pt>
                <c:pt idx="3496">
                  <c:v>-65.04</c:v>
                </c:pt>
                <c:pt idx="3497">
                  <c:v>-65.03</c:v>
                </c:pt>
                <c:pt idx="3498">
                  <c:v>-65.02</c:v>
                </c:pt>
                <c:pt idx="3499">
                  <c:v>-65.01</c:v>
                </c:pt>
                <c:pt idx="3500">
                  <c:v>-65.0</c:v>
                </c:pt>
                <c:pt idx="3501">
                  <c:v>-64.99</c:v>
                </c:pt>
                <c:pt idx="3502">
                  <c:v>-64.98</c:v>
                </c:pt>
                <c:pt idx="3503">
                  <c:v>-64.97</c:v>
                </c:pt>
                <c:pt idx="3504">
                  <c:v>-64.96</c:v>
                </c:pt>
                <c:pt idx="3505">
                  <c:v>-64.95</c:v>
                </c:pt>
                <c:pt idx="3506">
                  <c:v>-64.94</c:v>
                </c:pt>
                <c:pt idx="3507">
                  <c:v>-64.93</c:v>
                </c:pt>
                <c:pt idx="3508">
                  <c:v>-64.92</c:v>
                </c:pt>
                <c:pt idx="3509">
                  <c:v>-64.91</c:v>
                </c:pt>
                <c:pt idx="3510">
                  <c:v>-64.9</c:v>
                </c:pt>
                <c:pt idx="3511">
                  <c:v>-64.89</c:v>
                </c:pt>
                <c:pt idx="3512">
                  <c:v>-64.88</c:v>
                </c:pt>
                <c:pt idx="3513">
                  <c:v>-64.87</c:v>
                </c:pt>
                <c:pt idx="3514">
                  <c:v>-64.86</c:v>
                </c:pt>
                <c:pt idx="3515">
                  <c:v>-64.85</c:v>
                </c:pt>
                <c:pt idx="3516">
                  <c:v>-64.84</c:v>
                </c:pt>
                <c:pt idx="3517">
                  <c:v>-64.83</c:v>
                </c:pt>
                <c:pt idx="3518">
                  <c:v>-64.82</c:v>
                </c:pt>
                <c:pt idx="3519">
                  <c:v>-64.81</c:v>
                </c:pt>
                <c:pt idx="3520">
                  <c:v>-64.8</c:v>
                </c:pt>
                <c:pt idx="3521">
                  <c:v>-64.79</c:v>
                </c:pt>
                <c:pt idx="3522">
                  <c:v>-64.78</c:v>
                </c:pt>
                <c:pt idx="3523">
                  <c:v>-64.77</c:v>
                </c:pt>
                <c:pt idx="3524">
                  <c:v>-64.76</c:v>
                </c:pt>
                <c:pt idx="3525">
                  <c:v>-64.75</c:v>
                </c:pt>
                <c:pt idx="3526">
                  <c:v>-64.74</c:v>
                </c:pt>
                <c:pt idx="3527">
                  <c:v>-64.73</c:v>
                </c:pt>
                <c:pt idx="3528">
                  <c:v>-64.72</c:v>
                </c:pt>
                <c:pt idx="3529">
                  <c:v>-64.71</c:v>
                </c:pt>
                <c:pt idx="3530">
                  <c:v>-64.7</c:v>
                </c:pt>
                <c:pt idx="3531">
                  <c:v>-64.69</c:v>
                </c:pt>
                <c:pt idx="3532">
                  <c:v>-64.68</c:v>
                </c:pt>
                <c:pt idx="3533">
                  <c:v>-64.67</c:v>
                </c:pt>
                <c:pt idx="3534">
                  <c:v>-64.66</c:v>
                </c:pt>
                <c:pt idx="3535">
                  <c:v>-64.65</c:v>
                </c:pt>
                <c:pt idx="3536">
                  <c:v>-64.64</c:v>
                </c:pt>
                <c:pt idx="3537">
                  <c:v>-64.63</c:v>
                </c:pt>
                <c:pt idx="3538">
                  <c:v>-64.62</c:v>
                </c:pt>
                <c:pt idx="3539">
                  <c:v>-64.61</c:v>
                </c:pt>
                <c:pt idx="3540">
                  <c:v>-64.6</c:v>
                </c:pt>
                <c:pt idx="3541">
                  <c:v>-64.59</c:v>
                </c:pt>
                <c:pt idx="3542">
                  <c:v>-64.58</c:v>
                </c:pt>
                <c:pt idx="3543">
                  <c:v>-64.57</c:v>
                </c:pt>
                <c:pt idx="3544">
                  <c:v>-64.56</c:v>
                </c:pt>
                <c:pt idx="3545">
                  <c:v>-64.55</c:v>
                </c:pt>
                <c:pt idx="3546">
                  <c:v>-64.54</c:v>
                </c:pt>
                <c:pt idx="3547">
                  <c:v>-64.53</c:v>
                </c:pt>
                <c:pt idx="3548">
                  <c:v>-64.52</c:v>
                </c:pt>
                <c:pt idx="3549">
                  <c:v>-64.51</c:v>
                </c:pt>
                <c:pt idx="3550">
                  <c:v>-64.5</c:v>
                </c:pt>
                <c:pt idx="3551">
                  <c:v>-64.49</c:v>
                </c:pt>
                <c:pt idx="3552">
                  <c:v>-64.48</c:v>
                </c:pt>
                <c:pt idx="3553">
                  <c:v>-64.47</c:v>
                </c:pt>
                <c:pt idx="3554">
                  <c:v>-64.46</c:v>
                </c:pt>
                <c:pt idx="3555">
                  <c:v>-64.45</c:v>
                </c:pt>
                <c:pt idx="3556">
                  <c:v>-64.44</c:v>
                </c:pt>
                <c:pt idx="3557">
                  <c:v>-64.43</c:v>
                </c:pt>
                <c:pt idx="3558">
                  <c:v>-64.42</c:v>
                </c:pt>
                <c:pt idx="3559">
                  <c:v>-64.41</c:v>
                </c:pt>
                <c:pt idx="3560">
                  <c:v>-64.4</c:v>
                </c:pt>
                <c:pt idx="3561">
                  <c:v>-64.39</c:v>
                </c:pt>
                <c:pt idx="3562">
                  <c:v>-64.38</c:v>
                </c:pt>
                <c:pt idx="3563">
                  <c:v>-64.37</c:v>
                </c:pt>
                <c:pt idx="3564">
                  <c:v>-64.36</c:v>
                </c:pt>
                <c:pt idx="3565">
                  <c:v>-64.35</c:v>
                </c:pt>
                <c:pt idx="3566">
                  <c:v>-64.34</c:v>
                </c:pt>
                <c:pt idx="3567">
                  <c:v>-64.33</c:v>
                </c:pt>
                <c:pt idx="3568">
                  <c:v>-64.32</c:v>
                </c:pt>
                <c:pt idx="3569">
                  <c:v>-64.31</c:v>
                </c:pt>
                <c:pt idx="3570">
                  <c:v>-64.3</c:v>
                </c:pt>
                <c:pt idx="3571">
                  <c:v>-64.29</c:v>
                </c:pt>
                <c:pt idx="3572">
                  <c:v>-64.28</c:v>
                </c:pt>
                <c:pt idx="3573">
                  <c:v>-64.27</c:v>
                </c:pt>
                <c:pt idx="3574">
                  <c:v>-64.26</c:v>
                </c:pt>
                <c:pt idx="3575">
                  <c:v>-64.25</c:v>
                </c:pt>
                <c:pt idx="3576">
                  <c:v>-64.24</c:v>
                </c:pt>
                <c:pt idx="3577">
                  <c:v>-64.23</c:v>
                </c:pt>
                <c:pt idx="3578">
                  <c:v>-64.22</c:v>
                </c:pt>
                <c:pt idx="3579">
                  <c:v>-64.21</c:v>
                </c:pt>
                <c:pt idx="3580">
                  <c:v>-64.2</c:v>
                </c:pt>
                <c:pt idx="3581">
                  <c:v>-64.19</c:v>
                </c:pt>
                <c:pt idx="3582">
                  <c:v>-64.18</c:v>
                </c:pt>
                <c:pt idx="3583">
                  <c:v>-64.17</c:v>
                </c:pt>
                <c:pt idx="3584">
                  <c:v>-64.16</c:v>
                </c:pt>
                <c:pt idx="3585">
                  <c:v>-64.15</c:v>
                </c:pt>
                <c:pt idx="3586">
                  <c:v>-64.14</c:v>
                </c:pt>
                <c:pt idx="3587">
                  <c:v>-64.13</c:v>
                </c:pt>
                <c:pt idx="3588">
                  <c:v>-64.12</c:v>
                </c:pt>
                <c:pt idx="3589">
                  <c:v>-64.11</c:v>
                </c:pt>
                <c:pt idx="3590">
                  <c:v>-64.1</c:v>
                </c:pt>
                <c:pt idx="3591">
                  <c:v>-64.09</c:v>
                </c:pt>
                <c:pt idx="3592">
                  <c:v>-64.08</c:v>
                </c:pt>
                <c:pt idx="3593">
                  <c:v>-64.07</c:v>
                </c:pt>
                <c:pt idx="3594">
                  <c:v>-64.06</c:v>
                </c:pt>
                <c:pt idx="3595">
                  <c:v>-64.05</c:v>
                </c:pt>
                <c:pt idx="3596">
                  <c:v>-64.04</c:v>
                </c:pt>
                <c:pt idx="3597">
                  <c:v>-64.03</c:v>
                </c:pt>
                <c:pt idx="3598">
                  <c:v>-64.02</c:v>
                </c:pt>
                <c:pt idx="3599">
                  <c:v>-64.01</c:v>
                </c:pt>
                <c:pt idx="3600">
                  <c:v>-64.0</c:v>
                </c:pt>
                <c:pt idx="3601">
                  <c:v>-63.99</c:v>
                </c:pt>
                <c:pt idx="3602">
                  <c:v>-63.98</c:v>
                </c:pt>
                <c:pt idx="3603">
                  <c:v>-63.97</c:v>
                </c:pt>
                <c:pt idx="3604">
                  <c:v>-63.96</c:v>
                </c:pt>
                <c:pt idx="3605">
                  <c:v>-63.95</c:v>
                </c:pt>
                <c:pt idx="3606">
                  <c:v>-63.94</c:v>
                </c:pt>
                <c:pt idx="3607">
                  <c:v>-63.93</c:v>
                </c:pt>
                <c:pt idx="3608">
                  <c:v>-63.92</c:v>
                </c:pt>
                <c:pt idx="3609">
                  <c:v>-63.91</c:v>
                </c:pt>
                <c:pt idx="3610">
                  <c:v>-63.9</c:v>
                </c:pt>
                <c:pt idx="3611">
                  <c:v>-63.89</c:v>
                </c:pt>
                <c:pt idx="3612">
                  <c:v>-63.88</c:v>
                </c:pt>
                <c:pt idx="3613">
                  <c:v>-63.87</c:v>
                </c:pt>
                <c:pt idx="3614">
                  <c:v>-63.86</c:v>
                </c:pt>
                <c:pt idx="3615">
                  <c:v>-63.85</c:v>
                </c:pt>
                <c:pt idx="3616">
                  <c:v>-63.84</c:v>
                </c:pt>
                <c:pt idx="3617">
                  <c:v>-63.83</c:v>
                </c:pt>
                <c:pt idx="3618">
                  <c:v>-63.82</c:v>
                </c:pt>
                <c:pt idx="3619">
                  <c:v>-63.81</c:v>
                </c:pt>
                <c:pt idx="3620">
                  <c:v>-63.8</c:v>
                </c:pt>
                <c:pt idx="3621">
                  <c:v>-63.79</c:v>
                </c:pt>
                <c:pt idx="3622">
                  <c:v>-63.78</c:v>
                </c:pt>
                <c:pt idx="3623">
                  <c:v>-63.77</c:v>
                </c:pt>
                <c:pt idx="3624">
                  <c:v>-63.76</c:v>
                </c:pt>
                <c:pt idx="3625">
                  <c:v>-63.75</c:v>
                </c:pt>
                <c:pt idx="3626">
                  <c:v>-63.74</c:v>
                </c:pt>
                <c:pt idx="3627">
                  <c:v>-63.73</c:v>
                </c:pt>
                <c:pt idx="3628">
                  <c:v>-63.72</c:v>
                </c:pt>
                <c:pt idx="3629">
                  <c:v>-63.71</c:v>
                </c:pt>
                <c:pt idx="3630">
                  <c:v>-63.7</c:v>
                </c:pt>
                <c:pt idx="3631">
                  <c:v>-63.69</c:v>
                </c:pt>
                <c:pt idx="3632">
                  <c:v>-63.68</c:v>
                </c:pt>
                <c:pt idx="3633">
                  <c:v>-63.67</c:v>
                </c:pt>
                <c:pt idx="3634">
                  <c:v>-63.66</c:v>
                </c:pt>
                <c:pt idx="3635">
                  <c:v>-63.65</c:v>
                </c:pt>
                <c:pt idx="3636">
                  <c:v>-63.64</c:v>
                </c:pt>
                <c:pt idx="3637">
                  <c:v>-63.63</c:v>
                </c:pt>
                <c:pt idx="3638">
                  <c:v>-63.62</c:v>
                </c:pt>
                <c:pt idx="3639">
                  <c:v>-63.61</c:v>
                </c:pt>
                <c:pt idx="3640">
                  <c:v>-63.6</c:v>
                </c:pt>
                <c:pt idx="3641">
                  <c:v>-63.59</c:v>
                </c:pt>
                <c:pt idx="3642">
                  <c:v>-63.58</c:v>
                </c:pt>
                <c:pt idx="3643">
                  <c:v>-63.57</c:v>
                </c:pt>
                <c:pt idx="3644">
                  <c:v>-63.56</c:v>
                </c:pt>
                <c:pt idx="3645">
                  <c:v>-63.55</c:v>
                </c:pt>
                <c:pt idx="3646">
                  <c:v>-63.54</c:v>
                </c:pt>
                <c:pt idx="3647">
                  <c:v>-63.53</c:v>
                </c:pt>
                <c:pt idx="3648">
                  <c:v>-63.52</c:v>
                </c:pt>
                <c:pt idx="3649">
                  <c:v>-63.51</c:v>
                </c:pt>
                <c:pt idx="3650">
                  <c:v>-63.5</c:v>
                </c:pt>
                <c:pt idx="3651">
                  <c:v>-63.49</c:v>
                </c:pt>
                <c:pt idx="3652">
                  <c:v>-63.48</c:v>
                </c:pt>
                <c:pt idx="3653">
                  <c:v>-63.47</c:v>
                </c:pt>
                <c:pt idx="3654">
                  <c:v>-63.46</c:v>
                </c:pt>
                <c:pt idx="3655">
                  <c:v>-63.45</c:v>
                </c:pt>
                <c:pt idx="3656">
                  <c:v>-63.44</c:v>
                </c:pt>
                <c:pt idx="3657">
                  <c:v>-63.43</c:v>
                </c:pt>
                <c:pt idx="3658">
                  <c:v>-63.42</c:v>
                </c:pt>
                <c:pt idx="3659">
                  <c:v>-63.41</c:v>
                </c:pt>
                <c:pt idx="3660">
                  <c:v>-63.4</c:v>
                </c:pt>
                <c:pt idx="3661">
                  <c:v>-63.39</c:v>
                </c:pt>
                <c:pt idx="3662">
                  <c:v>-63.38</c:v>
                </c:pt>
                <c:pt idx="3663">
                  <c:v>-63.37</c:v>
                </c:pt>
                <c:pt idx="3664">
                  <c:v>-63.36</c:v>
                </c:pt>
                <c:pt idx="3665">
                  <c:v>-63.35</c:v>
                </c:pt>
                <c:pt idx="3666">
                  <c:v>-63.34</c:v>
                </c:pt>
                <c:pt idx="3667">
                  <c:v>-63.33</c:v>
                </c:pt>
                <c:pt idx="3668">
                  <c:v>-63.32</c:v>
                </c:pt>
                <c:pt idx="3669">
                  <c:v>-63.31</c:v>
                </c:pt>
                <c:pt idx="3670">
                  <c:v>-63.3</c:v>
                </c:pt>
                <c:pt idx="3671">
                  <c:v>-63.29</c:v>
                </c:pt>
                <c:pt idx="3672">
                  <c:v>-63.28</c:v>
                </c:pt>
                <c:pt idx="3673">
                  <c:v>-63.27</c:v>
                </c:pt>
                <c:pt idx="3674">
                  <c:v>-63.26</c:v>
                </c:pt>
                <c:pt idx="3675">
                  <c:v>-63.25</c:v>
                </c:pt>
                <c:pt idx="3676">
                  <c:v>-63.24</c:v>
                </c:pt>
                <c:pt idx="3677">
                  <c:v>-63.23</c:v>
                </c:pt>
                <c:pt idx="3678">
                  <c:v>-63.22</c:v>
                </c:pt>
                <c:pt idx="3679">
                  <c:v>-63.21</c:v>
                </c:pt>
                <c:pt idx="3680">
                  <c:v>-63.2</c:v>
                </c:pt>
                <c:pt idx="3681">
                  <c:v>-63.19</c:v>
                </c:pt>
                <c:pt idx="3682">
                  <c:v>-63.18</c:v>
                </c:pt>
                <c:pt idx="3683">
                  <c:v>-63.17</c:v>
                </c:pt>
                <c:pt idx="3684">
                  <c:v>-63.16</c:v>
                </c:pt>
                <c:pt idx="3685">
                  <c:v>-63.15</c:v>
                </c:pt>
                <c:pt idx="3686">
                  <c:v>-63.14</c:v>
                </c:pt>
                <c:pt idx="3687">
                  <c:v>-63.13</c:v>
                </c:pt>
                <c:pt idx="3688">
                  <c:v>-63.12</c:v>
                </c:pt>
                <c:pt idx="3689">
                  <c:v>-63.11</c:v>
                </c:pt>
                <c:pt idx="3690">
                  <c:v>-63.1</c:v>
                </c:pt>
                <c:pt idx="3691">
                  <c:v>-63.09</c:v>
                </c:pt>
                <c:pt idx="3692">
                  <c:v>-63.08</c:v>
                </c:pt>
                <c:pt idx="3693">
                  <c:v>-63.07</c:v>
                </c:pt>
                <c:pt idx="3694">
                  <c:v>-63.06</c:v>
                </c:pt>
                <c:pt idx="3695">
                  <c:v>-63.05</c:v>
                </c:pt>
                <c:pt idx="3696">
                  <c:v>-63.04</c:v>
                </c:pt>
                <c:pt idx="3697">
                  <c:v>-63.03</c:v>
                </c:pt>
                <c:pt idx="3698">
                  <c:v>-63.02</c:v>
                </c:pt>
                <c:pt idx="3699">
                  <c:v>-63.01</c:v>
                </c:pt>
                <c:pt idx="3700">
                  <c:v>-63.0</c:v>
                </c:pt>
                <c:pt idx="3701">
                  <c:v>-62.99</c:v>
                </c:pt>
                <c:pt idx="3702">
                  <c:v>-62.98</c:v>
                </c:pt>
                <c:pt idx="3703">
                  <c:v>-62.97</c:v>
                </c:pt>
                <c:pt idx="3704">
                  <c:v>-62.96</c:v>
                </c:pt>
                <c:pt idx="3705">
                  <c:v>-62.95</c:v>
                </c:pt>
                <c:pt idx="3706">
                  <c:v>-62.94</c:v>
                </c:pt>
                <c:pt idx="3707">
                  <c:v>-62.93</c:v>
                </c:pt>
                <c:pt idx="3708">
                  <c:v>-62.92</c:v>
                </c:pt>
                <c:pt idx="3709">
                  <c:v>-62.91</c:v>
                </c:pt>
                <c:pt idx="3710">
                  <c:v>-62.9</c:v>
                </c:pt>
                <c:pt idx="3711">
                  <c:v>-62.89</c:v>
                </c:pt>
                <c:pt idx="3712">
                  <c:v>-62.88</c:v>
                </c:pt>
                <c:pt idx="3713">
                  <c:v>-62.87</c:v>
                </c:pt>
                <c:pt idx="3714">
                  <c:v>-62.86</c:v>
                </c:pt>
                <c:pt idx="3715">
                  <c:v>-62.85</c:v>
                </c:pt>
                <c:pt idx="3716">
                  <c:v>-62.84</c:v>
                </c:pt>
                <c:pt idx="3717">
                  <c:v>-62.83</c:v>
                </c:pt>
                <c:pt idx="3718">
                  <c:v>-62.82</c:v>
                </c:pt>
                <c:pt idx="3719">
                  <c:v>-62.81</c:v>
                </c:pt>
                <c:pt idx="3720">
                  <c:v>-62.8</c:v>
                </c:pt>
                <c:pt idx="3721">
                  <c:v>-62.79</c:v>
                </c:pt>
                <c:pt idx="3722">
                  <c:v>-62.78</c:v>
                </c:pt>
                <c:pt idx="3723">
                  <c:v>-62.77</c:v>
                </c:pt>
                <c:pt idx="3724">
                  <c:v>-62.76</c:v>
                </c:pt>
                <c:pt idx="3725">
                  <c:v>-62.75</c:v>
                </c:pt>
                <c:pt idx="3726">
                  <c:v>-62.74</c:v>
                </c:pt>
                <c:pt idx="3727">
                  <c:v>-62.73</c:v>
                </c:pt>
                <c:pt idx="3728">
                  <c:v>-62.72</c:v>
                </c:pt>
                <c:pt idx="3729">
                  <c:v>-62.71</c:v>
                </c:pt>
                <c:pt idx="3730">
                  <c:v>-62.7</c:v>
                </c:pt>
                <c:pt idx="3731">
                  <c:v>-62.69</c:v>
                </c:pt>
                <c:pt idx="3732">
                  <c:v>-62.68</c:v>
                </c:pt>
                <c:pt idx="3733">
                  <c:v>-62.67</c:v>
                </c:pt>
                <c:pt idx="3734">
                  <c:v>-62.66</c:v>
                </c:pt>
                <c:pt idx="3735">
                  <c:v>-62.65</c:v>
                </c:pt>
                <c:pt idx="3736">
                  <c:v>-62.64</c:v>
                </c:pt>
                <c:pt idx="3737">
                  <c:v>-62.63</c:v>
                </c:pt>
                <c:pt idx="3738">
                  <c:v>-62.62</c:v>
                </c:pt>
                <c:pt idx="3739">
                  <c:v>-62.61</c:v>
                </c:pt>
                <c:pt idx="3740">
                  <c:v>-62.6</c:v>
                </c:pt>
                <c:pt idx="3741">
                  <c:v>-62.59</c:v>
                </c:pt>
                <c:pt idx="3742">
                  <c:v>-62.58</c:v>
                </c:pt>
                <c:pt idx="3743">
                  <c:v>-62.57</c:v>
                </c:pt>
                <c:pt idx="3744">
                  <c:v>-62.56</c:v>
                </c:pt>
                <c:pt idx="3745">
                  <c:v>-62.55</c:v>
                </c:pt>
                <c:pt idx="3746">
                  <c:v>-62.54</c:v>
                </c:pt>
                <c:pt idx="3747">
                  <c:v>-62.53</c:v>
                </c:pt>
                <c:pt idx="3748">
                  <c:v>-62.52</c:v>
                </c:pt>
                <c:pt idx="3749">
                  <c:v>-62.51</c:v>
                </c:pt>
                <c:pt idx="3750">
                  <c:v>-62.5</c:v>
                </c:pt>
                <c:pt idx="3751">
                  <c:v>-62.49</c:v>
                </c:pt>
                <c:pt idx="3752">
                  <c:v>-62.48</c:v>
                </c:pt>
                <c:pt idx="3753">
                  <c:v>-62.47</c:v>
                </c:pt>
                <c:pt idx="3754">
                  <c:v>-62.46</c:v>
                </c:pt>
                <c:pt idx="3755">
                  <c:v>-62.45</c:v>
                </c:pt>
                <c:pt idx="3756">
                  <c:v>-62.44</c:v>
                </c:pt>
                <c:pt idx="3757">
                  <c:v>-62.43</c:v>
                </c:pt>
                <c:pt idx="3758">
                  <c:v>-62.42</c:v>
                </c:pt>
                <c:pt idx="3759">
                  <c:v>-62.41</c:v>
                </c:pt>
                <c:pt idx="3760">
                  <c:v>-62.4</c:v>
                </c:pt>
                <c:pt idx="3761">
                  <c:v>-62.39</c:v>
                </c:pt>
                <c:pt idx="3762">
                  <c:v>-62.38</c:v>
                </c:pt>
                <c:pt idx="3763">
                  <c:v>-62.37</c:v>
                </c:pt>
                <c:pt idx="3764">
                  <c:v>-62.36</c:v>
                </c:pt>
                <c:pt idx="3765">
                  <c:v>-62.35</c:v>
                </c:pt>
                <c:pt idx="3766">
                  <c:v>-62.34</c:v>
                </c:pt>
                <c:pt idx="3767">
                  <c:v>-62.33</c:v>
                </c:pt>
                <c:pt idx="3768">
                  <c:v>-62.32</c:v>
                </c:pt>
                <c:pt idx="3769">
                  <c:v>-62.31</c:v>
                </c:pt>
                <c:pt idx="3770">
                  <c:v>-62.3</c:v>
                </c:pt>
                <c:pt idx="3771">
                  <c:v>-62.29</c:v>
                </c:pt>
                <c:pt idx="3772">
                  <c:v>-62.28</c:v>
                </c:pt>
                <c:pt idx="3773">
                  <c:v>-62.27</c:v>
                </c:pt>
                <c:pt idx="3774">
                  <c:v>-62.26</c:v>
                </c:pt>
                <c:pt idx="3775">
                  <c:v>-62.25</c:v>
                </c:pt>
                <c:pt idx="3776">
                  <c:v>-62.24</c:v>
                </c:pt>
                <c:pt idx="3777">
                  <c:v>-62.23</c:v>
                </c:pt>
                <c:pt idx="3778">
                  <c:v>-62.22</c:v>
                </c:pt>
                <c:pt idx="3779">
                  <c:v>-62.21</c:v>
                </c:pt>
                <c:pt idx="3780">
                  <c:v>-62.2</c:v>
                </c:pt>
                <c:pt idx="3781">
                  <c:v>-62.19</c:v>
                </c:pt>
                <c:pt idx="3782">
                  <c:v>-62.18</c:v>
                </c:pt>
                <c:pt idx="3783">
                  <c:v>-62.17</c:v>
                </c:pt>
                <c:pt idx="3784">
                  <c:v>-62.16</c:v>
                </c:pt>
                <c:pt idx="3785">
                  <c:v>-62.15</c:v>
                </c:pt>
                <c:pt idx="3786">
                  <c:v>-62.14</c:v>
                </c:pt>
                <c:pt idx="3787">
                  <c:v>-62.13</c:v>
                </c:pt>
                <c:pt idx="3788">
                  <c:v>-62.12</c:v>
                </c:pt>
                <c:pt idx="3789">
                  <c:v>-62.11</c:v>
                </c:pt>
                <c:pt idx="3790">
                  <c:v>-62.1</c:v>
                </c:pt>
                <c:pt idx="3791">
                  <c:v>-62.09</c:v>
                </c:pt>
                <c:pt idx="3792">
                  <c:v>-62.08</c:v>
                </c:pt>
                <c:pt idx="3793">
                  <c:v>-62.07</c:v>
                </c:pt>
                <c:pt idx="3794">
                  <c:v>-62.06</c:v>
                </c:pt>
                <c:pt idx="3795">
                  <c:v>-62.05</c:v>
                </c:pt>
                <c:pt idx="3796">
                  <c:v>-62.04</c:v>
                </c:pt>
                <c:pt idx="3797">
                  <c:v>-62.03</c:v>
                </c:pt>
                <c:pt idx="3798">
                  <c:v>-62.02</c:v>
                </c:pt>
                <c:pt idx="3799">
                  <c:v>-62.01</c:v>
                </c:pt>
                <c:pt idx="3800">
                  <c:v>-62.0</c:v>
                </c:pt>
                <c:pt idx="3801">
                  <c:v>-61.99</c:v>
                </c:pt>
                <c:pt idx="3802">
                  <c:v>-61.98</c:v>
                </c:pt>
                <c:pt idx="3803">
                  <c:v>-61.97</c:v>
                </c:pt>
                <c:pt idx="3804">
                  <c:v>-61.96</c:v>
                </c:pt>
                <c:pt idx="3805">
                  <c:v>-61.95</c:v>
                </c:pt>
                <c:pt idx="3806">
                  <c:v>-61.94</c:v>
                </c:pt>
                <c:pt idx="3807">
                  <c:v>-61.93</c:v>
                </c:pt>
                <c:pt idx="3808">
                  <c:v>-61.92</c:v>
                </c:pt>
                <c:pt idx="3809">
                  <c:v>-61.91</c:v>
                </c:pt>
                <c:pt idx="3810">
                  <c:v>-61.9</c:v>
                </c:pt>
                <c:pt idx="3811">
                  <c:v>-61.89</c:v>
                </c:pt>
                <c:pt idx="3812">
                  <c:v>-61.88</c:v>
                </c:pt>
                <c:pt idx="3813">
                  <c:v>-61.87</c:v>
                </c:pt>
                <c:pt idx="3814">
                  <c:v>-61.86</c:v>
                </c:pt>
                <c:pt idx="3815">
                  <c:v>-61.85</c:v>
                </c:pt>
                <c:pt idx="3816">
                  <c:v>-61.84</c:v>
                </c:pt>
                <c:pt idx="3817">
                  <c:v>-61.83</c:v>
                </c:pt>
                <c:pt idx="3818">
                  <c:v>-61.82</c:v>
                </c:pt>
                <c:pt idx="3819">
                  <c:v>-61.81</c:v>
                </c:pt>
                <c:pt idx="3820">
                  <c:v>-61.8</c:v>
                </c:pt>
                <c:pt idx="3821">
                  <c:v>-61.79</c:v>
                </c:pt>
                <c:pt idx="3822">
                  <c:v>-61.78</c:v>
                </c:pt>
                <c:pt idx="3823">
                  <c:v>-61.77</c:v>
                </c:pt>
                <c:pt idx="3824">
                  <c:v>-61.76</c:v>
                </c:pt>
                <c:pt idx="3825">
                  <c:v>-61.75</c:v>
                </c:pt>
                <c:pt idx="3826">
                  <c:v>-61.74</c:v>
                </c:pt>
                <c:pt idx="3827">
                  <c:v>-61.73</c:v>
                </c:pt>
                <c:pt idx="3828">
                  <c:v>-61.72</c:v>
                </c:pt>
                <c:pt idx="3829">
                  <c:v>-61.71</c:v>
                </c:pt>
                <c:pt idx="3830">
                  <c:v>-61.7</c:v>
                </c:pt>
                <c:pt idx="3831">
                  <c:v>-61.69</c:v>
                </c:pt>
                <c:pt idx="3832">
                  <c:v>-61.68</c:v>
                </c:pt>
                <c:pt idx="3833">
                  <c:v>-61.67</c:v>
                </c:pt>
                <c:pt idx="3834">
                  <c:v>-61.66</c:v>
                </c:pt>
                <c:pt idx="3835">
                  <c:v>-61.65</c:v>
                </c:pt>
                <c:pt idx="3836">
                  <c:v>-61.64</c:v>
                </c:pt>
                <c:pt idx="3837">
                  <c:v>-61.63</c:v>
                </c:pt>
                <c:pt idx="3838">
                  <c:v>-61.62</c:v>
                </c:pt>
                <c:pt idx="3839">
                  <c:v>-61.61</c:v>
                </c:pt>
                <c:pt idx="3840">
                  <c:v>-61.6</c:v>
                </c:pt>
                <c:pt idx="3841">
                  <c:v>-61.59</c:v>
                </c:pt>
                <c:pt idx="3842">
                  <c:v>-61.58</c:v>
                </c:pt>
                <c:pt idx="3843">
                  <c:v>-61.57</c:v>
                </c:pt>
                <c:pt idx="3844">
                  <c:v>-61.56</c:v>
                </c:pt>
                <c:pt idx="3845">
                  <c:v>-61.55</c:v>
                </c:pt>
                <c:pt idx="3846">
                  <c:v>-61.54</c:v>
                </c:pt>
                <c:pt idx="3847">
                  <c:v>-61.53</c:v>
                </c:pt>
                <c:pt idx="3848">
                  <c:v>-61.52</c:v>
                </c:pt>
                <c:pt idx="3849">
                  <c:v>-61.51</c:v>
                </c:pt>
                <c:pt idx="3850">
                  <c:v>-61.5</c:v>
                </c:pt>
                <c:pt idx="3851">
                  <c:v>-61.49</c:v>
                </c:pt>
                <c:pt idx="3852">
                  <c:v>-61.48</c:v>
                </c:pt>
                <c:pt idx="3853">
                  <c:v>-61.47</c:v>
                </c:pt>
                <c:pt idx="3854">
                  <c:v>-61.46</c:v>
                </c:pt>
                <c:pt idx="3855">
                  <c:v>-61.45</c:v>
                </c:pt>
                <c:pt idx="3856">
                  <c:v>-61.44</c:v>
                </c:pt>
                <c:pt idx="3857">
                  <c:v>-61.43</c:v>
                </c:pt>
                <c:pt idx="3858">
                  <c:v>-61.42</c:v>
                </c:pt>
                <c:pt idx="3859">
                  <c:v>-61.41</c:v>
                </c:pt>
                <c:pt idx="3860">
                  <c:v>-61.4</c:v>
                </c:pt>
                <c:pt idx="3861">
                  <c:v>-61.39</c:v>
                </c:pt>
                <c:pt idx="3862">
                  <c:v>-61.38</c:v>
                </c:pt>
                <c:pt idx="3863">
                  <c:v>-61.37</c:v>
                </c:pt>
                <c:pt idx="3864">
                  <c:v>-61.36</c:v>
                </c:pt>
                <c:pt idx="3865">
                  <c:v>-61.35</c:v>
                </c:pt>
                <c:pt idx="3866">
                  <c:v>-61.34</c:v>
                </c:pt>
                <c:pt idx="3867">
                  <c:v>-61.33</c:v>
                </c:pt>
                <c:pt idx="3868">
                  <c:v>-61.32</c:v>
                </c:pt>
                <c:pt idx="3869">
                  <c:v>-61.31</c:v>
                </c:pt>
                <c:pt idx="3870">
                  <c:v>-61.3</c:v>
                </c:pt>
                <c:pt idx="3871">
                  <c:v>-61.29</c:v>
                </c:pt>
                <c:pt idx="3872">
                  <c:v>-61.28</c:v>
                </c:pt>
                <c:pt idx="3873">
                  <c:v>-61.27</c:v>
                </c:pt>
                <c:pt idx="3874">
                  <c:v>-61.26</c:v>
                </c:pt>
                <c:pt idx="3875">
                  <c:v>-61.25</c:v>
                </c:pt>
                <c:pt idx="3876">
                  <c:v>-61.24</c:v>
                </c:pt>
                <c:pt idx="3877">
                  <c:v>-61.23</c:v>
                </c:pt>
                <c:pt idx="3878">
                  <c:v>-61.22</c:v>
                </c:pt>
                <c:pt idx="3879">
                  <c:v>-61.21</c:v>
                </c:pt>
                <c:pt idx="3880">
                  <c:v>-61.2</c:v>
                </c:pt>
                <c:pt idx="3881">
                  <c:v>-61.19</c:v>
                </c:pt>
                <c:pt idx="3882">
                  <c:v>-61.18</c:v>
                </c:pt>
                <c:pt idx="3883">
                  <c:v>-61.17</c:v>
                </c:pt>
                <c:pt idx="3884">
                  <c:v>-61.16</c:v>
                </c:pt>
                <c:pt idx="3885">
                  <c:v>-61.15</c:v>
                </c:pt>
                <c:pt idx="3886">
                  <c:v>-61.14</c:v>
                </c:pt>
                <c:pt idx="3887">
                  <c:v>-61.13</c:v>
                </c:pt>
                <c:pt idx="3888">
                  <c:v>-61.12</c:v>
                </c:pt>
                <c:pt idx="3889">
                  <c:v>-61.11</c:v>
                </c:pt>
                <c:pt idx="3890">
                  <c:v>-61.1</c:v>
                </c:pt>
                <c:pt idx="3891">
                  <c:v>-61.09</c:v>
                </c:pt>
                <c:pt idx="3892">
                  <c:v>-61.08</c:v>
                </c:pt>
                <c:pt idx="3893">
                  <c:v>-61.07</c:v>
                </c:pt>
                <c:pt idx="3894">
                  <c:v>-61.06</c:v>
                </c:pt>
                <c:pt idx="3895">
                  <c:v>-61.05</c:v>
                </c:pt>
                <c:pt idx="3896">
                  <c:v>-61.04</c:v>
                </c:pt>
                <c:pt idx="3897">
                  <c:v>-61.03</c:v>
                </c:pt>
                <c:pt idx="3898">
                  <c:v>-61.02</c:v>
                </c:pt>
                <c:pt idx="3899">
                  <c:v>-61.01</c:v>
                </c:pt>
                <c:pt idx="3900">
                  <c:v>-61.0</c:v>
                </c:pt>
                <c:pt idx="3901">
                  <c:v>-60.99</c:v>
                </c:pt>
                <c:pt idx="3902">
                  <c:v>-60.98</c:v>
                </c:pt>
                <c:pt idx="3903">
                  <c:v>-60.97</c:v>
                </c:pt>
                <c:pt idx="3904">
                  <c:v>-60.96</c:v>
                </c:pt>
                <c:pt idx="3905">
                  <c:v>-60.95</c:v>
                </c:pt>
                <c:pt idx="3906">
                  <c:v>-60.94</c:v>
                </c:pt>
                <c:pt idx="3907">
                  <c:v>-60.93</c:v>
                </c:pt>
                <c:pt idx="3908">
                  <c:v>-60.92</c:v>
                </c:pt>
                <c:pt idx="3909">
                  <c:v>-60.91</c:v>
                </c:pt>
                <c:pt idx="3910">
                  <c:v>-60.9</c:v>
                </c:pt>
                <c:pt idx="3911">
                  <c:v>-60.89</c:v>
                </c:pt>
                <c:pt idx="3912">
                  <c:v>-60.88</c:v>
                </c:pt>
                <c:pt idx="3913">
                  <c:v>-60.87</c:v>
                </c:pt>
                <c:pt idx="3914">
                  <c:v>-60.86</c:v>
                </c:pt>
                <c:pt idx="3915">
                  <c:v>-60.85</c:v>
                </c:pt>
                <c:pt idx="3916">
                  <c:v>-60.84</c:v>
                </c:pt>
                <c:pt idx="3917">
                  <c:v>-60.83</c:v>
                </c:pt>
                <c:pt idx="3918">
                  <c:v>-60.82</c:v>
                </c:pt>
                <c:pt idx="3919">
                  <c:v>-60.81</c:v>
                </c:pt>
                <c:pt idx="3920">
                  <c:v>-60.8</c:v>
                </c:pt>
                <c:pt idx="3921">
                  <c:v>-60.79</c:v>
                </c:pt>
                <c:pt idx="3922">
                  <c:v>-60.78</c:v>
                </c:pt>
                <c:pt idx="3923">
                  <c:v>-60.77</c:v>
                </c:pt>
                <c:pt idx="3924">
                  <c:v>-60.76</c:v>
                </c:pt>
                <c:pt idx="3925">
                  <c:v>-60.75</c:v>
                </c:pt>
                <c:pt idx="3926">
                  <c:v>-60.74</c:v>
                </c:pt>
                <c:pt idx="3927">
                  <c:v>-60.73</c:v>
                </c:pt>
                <c:pt idx="3928">
                  <c:v>-60.72</c:v>
                </c:pt>
                <c:pt idx="3929">
                  <c:v>-60.71</c:v>
                </c:pt>
                <c:pt idx="3930">
                  <c:v>-60.7</c:v>
                </c:pt>
                <c:pt idx="3931">
                  <c:v>-60.69</c:v>
                </c:pt>
                <c:pt idx="3932">
                  <c:v>-60.68</c:v>
                </c:pt>
                <c:pt idx="3933">
                  <c:v>-60.67</c:v>
                </c:pt>
                <c:pt idx="3934">
                  <c:v>-60.66</c:v>
                </c:pt>
                <c:pt idx="3935">
                  <c:v>-60.65</c:v>
                </c:pt>
                <c:pt idx="3936">
                  <c:v>-60.64</c:v>
                </c:pt>
                <c:pt idx="3937">
                  <c:v>-60.63</c:v>
                </c:pt>
                <c:pt idx="3938">
                  <c:v>-60.62</c:v>
                </c:pt>
                <c:pt idx="3939">
                  <c:v>-60.61</c:v>
                </c:pt>
                <c:pt idx="3940">
                  <c:v>-60.6</c:v>
                </c:pt>
                <c:pt idx="3941">
                  <c:v>-60.59</c:v>
                </c:pt>
                <c:pt idx="3942">
                  <c:v>-60.58</c:v>
                </c:pt>
                <c:pt idx="3943">
                  <c:v>-60.57</c:v>
                </c:pt>
                <c:pt idx="3944">
                  <c:v>-60.56</c:v>
                </c:pt>
                <c:pt idx="3945">
                  <c:v>-60.55</c:v>
                </c:pt>
                <c:pt idx="3946">
                  <c:v>-60.54</c:v>
                </c:pt>
                <c:pt idx="3947">
                  <c:v>-60.53</c:v>
                </c:pt>
                <c:pt idx="3948">
                  <c:v>-60.52</c:v>
                </c:pt>
                <c:pt idx="3949">
                  <c:v>-60.51</c:v>
                </c:pt>
                <c:pt idx="3950">
                  <c:v>-60.5</c:v>
                </c:pt>
                <c:pt idx="3951">
                  <c:v>-60.49</c:v>
                </c:pt>
                <c:pt idx="3952">
                  <c:v>-60.48</c:v>
                </c:pt>
                <c:pt idx="3953">
                  <c:v>-60.47</c:v>
                </c:pt>
                <c:pt idx="3954">
                  <c:v>-60.46</c:v>
                </c:pt>
                <c:pt idx="3955">
                  <c:v>-60.45</c:v>
                </c:pt>
                <c:pt idx="3956">
                  <c:v>-60.44</c:v>
                </c:pt>
                <c:pt idx="3957">
                  <c:v>-60.43</c:v>
                </c:pt>
                <c:pt idx="3958">
                  <c:v>-60.42</c:v>
                </c:pt>
                <c:pt idx="3959">
                  <c:v>-60.41</c:v>
                </c:pt>
                <c:pt idx="3960">
                  <c:v>-60.4</c:v>
                </c:pt>
                <c:pt idx="3961">
                  <c:v>-60.39</c:v>
                </c:pt>
                <c:pt idx="3962">
                  <c:v>-60.38</c:v>
                </c:pt>
                <c:pt idx="3963">
                  <c:v>-60.37</c:v>
                </c:pt>
                <c:pt idx="3964">
                  <c:v>-60.36</c:v>
                </c:pt>
                <c:pt idx="3965">
                  <c:v>-60.35</c:v>
                </c:pt>
                <c:pt idx="3966">
                  <c:v>-60.34</c:v>
                </c:pt>
                <c:pt idx="3967">
                  <c:v>-60.33</c:v>
                </c:pt>
                <c:pt idx="3968">
                  <c:v>-60.32</c:v>
                </c:pt>
                <c:pt idx="3969">
                  <c:v>-60.31</c:v>
                </c:pt>
                <c:pt idx="3970">
                  <c:v>-60.3</c:v>
                </c:pt>
                <c:pt idx="3971">
                  <c:v>-60.29</c:v>
                </c:pt>
                <c:pt idx="3972">
                  <c:v>-60.28</c:v>
                </c:pt>
                <c:pt idx="3973">
                  <c:v>-60.27</c:v>
                </c:pt>
                <c:pt idx="3974">
                  <c:v>-60.26</c:v>
                </c:pt>
                <c:pt idx="3975">
                  <c:v>-60.25</c:v>
                </c:pt>
                <c:pt idx="3976">
                  <c:v>-60.24</c:v>
                </c:pt>
                <c:pt idx="3977">
                  <c:v>-60.23</c:v>
                </c:pt>
                <c:pt idx="3978">
                  <c:v>-60.22</c:v>
                </c:pt>
                <c:pt idx="3979">
                  <c:v>-60.21</c:v>
                </c:pt>
                <c:pt idx="3980">
                  <c:v>-60.2</c:v>
                </c:pt>
                <c:pt idx="3981">
                  <c:v>-60.19</c:v>
                </c:pt>
                <c:pt idx="3982">
                  <c:v>-60.18</c:v>
                </c:pt>
                <c:pt idx="3983">
                  <c:v>-60.17</c:v>
                </c:pt>
                <c:pt idx="3984">
                  <c:v>-60.16</c:v>
                </c:pt>
                <c:pt idx="3985">
                  <c:v>-60.15</c:v>
                </c:pt>
                <c:pt idx="3986">
                  <c:v>-60.14</c:v>
                </c:pt>
                <c:pt idx="3987">
                  <c:v>-60.13</c:v>
                </c:pt>
                <c:pt idx="3988">
                  <c:v>-60.12</c:v>
                </c:pt>
                <c:pt idx="3989">
                  <c:v>-60.11</c:v>
                </c:pt>
                <c:pt idx="3990">
                  <c:v>-60.1</c:v>
                </c:pt>
                <c:pt idx="3991">
                  <c:v>-60.09</c:v>
                </c:pt>
                <c:pt idx="3992">
                  <c:v>-60.08</c:v>
                </c:pt>
                <c:pt idx="3993">
                  <c:v>-60.07</c:v>
                </c:pt>
                <c:pt idx="3994">
                  <c:v>-60.06</c:v>
                </c:pt>
                <c:pt idx="3995">
                  <c:v>-60.05</c:v>
                </c:pt>
                <c:pt idx="3996">
                  <c:v>-60.04</c:v>
                </c:pt>
                <c:pt idx="3997">
                  <c:v>-60.03</c:v>
                </c:pt>
                <c:pt idx="3998">
                  <c:v>-60.02</c:v>
                </c:pt>
                <c:pt idx="3999">
                  <c:v>-60.01</c:v>
                </c:pt>
                <c:pt idx="4000">
                  <c:v>-60.0</c:v>
                </c:pt>
                <c:pt idx="4001">
                  <c:v>-59.99</c:v>
                </c:pt>
                <c:pt idx="4002">
                  <c:v>-59.98</c:v>
                </c:pt>
                <c:pt idx="4003">
                  <c:v>-59.97</c:v>
                </c:pt>
                <c:pt idx="4004">
                  <c:v>-59.96</c:v>
                </c:pt>
                <c:pt idx="4005">
                  <c:v>-59.95</c:v>
                </c:pt>
                <c:pt idx="4006">
                  <c:v>-59.94</c:v>
                </c:pt>
                <c:pt idx="4007">
                  <c:v>-59.93</c:v>
                </c:pt>
                <c:pt idx="4008">
                  <c:v>-59.92</c:v>
                </c:pt>
                <c:pt idx="4009">
                  <c:v>-59.91</c:v>
                </c:pt>
                <c:pt idx="4010">
                  <c:v>-59.9</c:v>
                </c:pt>
                <c:pt idx="4011">
                  <c:v>-59.89</c:v>
                </c:pt>
                <c:pt idx="4012">
                  <c:v>-59.88</c:v>
                </c:pt>
                <c:pt idx="4013">
                  <c:v>-59.87</c:v>
                </c:pt>
                <c:pt idx="4014">
                  <c:v>-59.86</c:v>
                </c:pt>
                <c:pt idx="4015">
                  <c:v>-59.85</c:v>
                </c:pt>
                <c:pt idx="4016">
                  <c:v>-59.84</c:v>
                </c:pt>
                <c:pt idx="4017">
                  <c:v>-59.83</c:v>
                </c:pt>
                <c:pt idx="4018">
                  <c:v>-59.82</c:v>
                </c:pt>
                <c:pt idx="4019">
                  <c:v>-59.81</c:v>
                </c:pt>
                <c:pt idx="4020">
                  <c:v>-59.8</c:v>
                </c:pt>
                <c:pt idx="4021">
                  <c:v>-59.79</c:v>
                </c:pt>
                <c:pt idx="4022">
                  <c:v>-59.78</c:v>
                </c:pt>
                <c:pt idx="4023">
                  <c:v>-59.77</c:v>
                </c:pt>
                <c:pt idx="4024">
                  <c:v>-59.76</c:v>
                </c:pt>
                <c:pt idx="4025">
                  <c:v>-59.75</c:v>
                </c:pt>
                <c:pt idx="4026">
                  <c:v>-59.74</c:v>
                </c:pt>
                <c:pt idx="4027">
                  <c:v>-59.73</c:v>
                </c:pt>
                <c:pt idx="4028">
                  <c:v>-59.72</c:v>
                </c:pt>
                <c:pt idx="4029">
                  <c:v>-59.71</c:v>
                </c:pt>
                <c:pt idx="4030">
                  <c:v>-59.7</c:v>
                </c:pt>
                <c:pt idx="4031">
                  <c:v>-59.69</c:v>
                </c:pt>
                <c:pt idx="4032">
                  <c:v>-59.68</c:v>
                </c:pt>
                <c:pt idx="4033">
                  <c:v>-59.67</c:v>
                </c:pt>
                <c:pt idx="4034">
                  <c:v>-59.66</c:v>
                </c:pt>
                <c:pt idx="4035">
                  <c:v>-59.65</c:v>
                </c:pt>
                <c:pt idx="4036">
                  <c:v>-59.64</c:v>
                </c:pt>
                <c:pt idx="4037">
                  <c:v>-59.63</c:v>
                </c:pt>
                <c:pt idx="4038">
                  <c:v>-59.62</c:v>
                </c:pt>
                <c:pt idx="4039">
                  <c:v>-59.61</c:v>
                </c:pt>
                <c:pt idx="4040">
                  <c:v>-59.6</c:v>
                </c:pt>
                <c:pt idx="4041">
                  <c:v>-59.59</c:v>
                </c:pt>
                <c:pt idx="4042">
                  <c:v>-59.58</c:v>
                </c:pt>
                <c:pt idx="4043">
                  <c:v>-59.57</c:v>
                </c:pt>
                <c:pt idx="4044">
                  <c:v>-59.56</c:v>
                </c:pt>
                <c:pt idx="4045">
                  <c:v>-59.55</c:v>
                </c:pt>
                <c:pt idx="4046">
                  <c:v>-59.54</c:v>
                </c:pt>
                <c:pt idx="4047">
                  <c:v>-59.53</c:v>
                </c:pt>
                <c:pt idx="4048">
                  <c:v>-59.52</c:v>
                </c:pt>
                <c:pt idx="4049">
                  <c:v>-59.51</c:v>
                </c:pt>
                <c:pt idx="4050">
                  <c:v>-59.5</c:v>
                </c:pt>
                <c:pt idx="4051">
                  <c:v>-59.49</c:v>
                </c:pt>
                <c:pt idx="4052">
                  <c:v>-59.48</c:v>
                </c:pt>
                <c:pt idx="4053">
                  <c:v>-59.47</c:v>
                </c:pt>
                <c:pt idx="4054">
                  <c:v>-59.46</c:v>
                </c:pt>
                <c:pt idx="4055">
                  <c:v>-59.45</c:v>
                </c:pt>
                <c:pt idx="4056">
                  <c:v>-59.44</c:v>
                </c:pt>
                <c:pt idx="4057">
                  <c:v>-59.43</c:v>
                </c:pt>
                <c:pt idx="4058">
                  <c:v>-59.42</c:v>
                </c:pt>
                <c:pt idx="4059">
                  <c:v>-59.41</c:v>
                </c:pt>
                <c:pt idx="4060">
                  <c:v>-59.4</c:v>
                </c:pt>
                <c:pt idx="4061">
                  <c:v>-59.39</c:v>
                </c:pt>
                <c:pt idx="4062">
                  <c:v>-59.38</c:v>
                </c:pt>
                <c:pt idx="4063">
                  <c:v>-59.37</c:v>
                </c:pt>
                <c:pt idx="4064">
                  <c:v>-59.36</c:v>
                </c:pt>
                <c:pt idx="4065">
                  <c:v>-59.35</c:v>
                </c:pt>
                <c:pt idx="4066">
                  <c:v>-59.34</c:v>
                </c:pt>
                <c:pt idx="4067">
                  <c:v>-59.33</c:v>
                </c:pt>
                <c:pt idx="4068">
                  <c:v>-59.32</c:v>
                </c:pt>
                <c:pt idx="4069">
                  <c:v>-59.31</c:v>
                </c:pt>
                <c:pt idx="4070">
                  <c:v>-59.3</c:v>
                </c:pt>
                <c:pt idx="4071">
                  <c:v>-59.29</c:v>
                </c:pt>
                <c:pt idx="4072">
                  <c:v>-59.28</c:v>
                </c:pt>
                <c:pt idx="4073">
                  <c:v>-59.27</c:v>
                </c:pt>
                <c:pt idx="4074">
                  <c:v>-59.26</c:v>
                </c:pt>
                <c:pt idx="4075">
                  <c:v>-59.25</c:v>
                </c:pt>
                <c:pt idx="4076">
                  <c:v>-59.24</c:v>
                </c:pt>
                <c:pt idx="4077">
                  <c:v>-59.23</c:v>
                </c:pt>
                <c:pt idx="4078">
                  <c:v>-59.22</c:v>
                </c:pt>
                <c:pt idx="4079">
                  <c:v>-59.21</c:v>
                </c:pt>
                <c:pt idx="4080">
                  <c:v>-59.2</c:v>
                </c:pt>
                <c:pt idx="4081">
                  <c:v>-59.19</c:v>
                </c:pt>
                <c:pt idx="4082">
                  <c:v>-59.18</c:v>
                </c:pt>
                <c:pt idx="4083">
                  <c:v>-59.17</c:v>
                </c:pt>
                <c:pt idx="4084">
                  <c:v>-59.16</c:v>
                </c:pt>
                <c:pt idx="4085">
                  <c:v>-59.15</c:v>
                </c:pt>
                <c:pt idx="4086">
                  <c:v>-59.14</c:v>
                </c:pt>
                <c:pt idx="4087">
                  <c:v>-59.13</c:v>
                </c:pt>
                <c:pt idx="4088">
                  <c:v>-59.12</c:v>
                </c:pt>
                <c:pt idx="4089">
                  <c:v>-59.11</c:v>
                </c:pt>
                <c:pt idx="4090">
                  <c:v>-59.1</c:v>
                </c:pt>
                <c:pt idx="4091">
                  <c:v>-59.09</c:v>
                </c:pt>
                <c:pt idx="4092">
                  <c:v>-59.08</c:v>
                </c:pt>
                <c:pt idx="4093">
                  <c:v>-59.07</c:v>
                </c:pt>
                <c:pt idx="4094">
                  <c:v>-59.06</c:v>
                </c:pt>
                <c:pt idx="4095">
                  <c:v>-59.05</c:v>
                </c:pt>
                <c:pt idx="4096">
                  <c:v>-59.04</c:v>
                </c:pt>
                <c:pt idx="4097">
                  <c:v>-59.03</c:v>
                </c:pt>
                <c:pt idx="4098">
                  <c:v>-59.02</c:v>
                </c:pt>
                <c:pt idx="4099">
                  <c:v>-59.01</c:v>
                </c:pt>
                <c:pt idx="4100">
                  <c:v>-59.0</c:v>
                </c:pt>
                <c:pt idx="4101">
                  <c:v>-58.99</c:v>
                </c:pt>
                <c:pt idx="4102">
                  <c:v>-58.98</c:v>
                </c:pt>
                <c:pt idx="4103">
                  <c:v>-58.97</c:v>
                </c:pt>
                <c:pt idx="4104">
                  <c:v>-58.96</c:v>
                </c:pt>
                <c:pt idx="4105">
                  <c:v>-58.95</c:v>
                </c:pt>
                <c:pt idx="4106">
                  <c:v>-58.94</c:v>
                </c:pt>
                <c:pt idx="4107">
                  <c:v>-58.93</c:v>
                </c:pt>
                <c:pt idx="4108">
                  <c:v>-58.92</c:v>
                </c:pt>
                <c:pt idx="4109">
                  <c:v>-58.91</c:v>
                </c:pt>
                <c:pt idx="4110">
                  <c:v>-58.9</c:v>
                </c:pt>
                <c:pt idx="4111">
                  <c:v>-58.89</c:v>
                </c:pt>
                <c:pt idx="4112">
                  <c:v>-58.88</c:v>
                </c:pt>
                <c:pt idx="4113">
                  <c:v>-58.87</c:v>
                </c:pt>
                <c:pt idx="4114">
                  <c:v>-58.86</c:v>
                </c:pt>
                <c:pt idx="4115">
                  <c:v>-58.85</c:v>
                </c:pt>
                <c:pt idx="4116">
                  <c:v>-58.84</c:v>
                </c:pt>
                <c:pt idx="4117">
                  <c:v>-58.83</c:v>
                </c:pt>
                <c:pt idx="4118">
                  <c:v>-58.82</c:v>
                </c:pt>
                <c:pt idx="4119">
                  <c:v>-58.81</c:v>
                </c:pt>
                <c:pt idx="4120">
                  <c:v>-58.8</c:v>
                </c:pt>
                <c:pt idx="4121">
                  <c:v>-58.79</c:v>
                </c:pt>
                <c:pt idx="4122">
                  <c:v>-58.78</c:v>
                </c:pt>
                <c:pt idx="4123">
                  <c:v>-58.77</c:v>
                </c:pt>
                <c:pt idx="4124">
                  <c:v>-58.76</c:v>
                </c:pt>
                <c:pt idx="4125">
                  <c:v>-58.75</c:v>
                </c:pt>
                <c:pt idx="4126">
                  <c:v>-58.74</c:v>
                </c:pt>
                <c:pt idx="4127">
                  <c:v>-58.73</c:v>
                </c:pt>
                <c:pt idx="4128">
                  <c:v>-58.72</c:v>
                </c:pt>
                <c:pt idx="4129">
                  <c:v>-58.71</c:v>
                </c:pt>
                <c:pt idx="4130">
                  <c:v>-58.7</c:v>
                </c:pt>
                <c:pt idx="4131">
                  <c:v>-58.69</c:v>
                </c:pt>
                <c:pt idx="4132">
                  <c:v>-58.68</c:v>
                </c:pt>
                <c:pt idx="4133">
                  <c:v>-58.67</c:v>
                </c:pt>
                <c:pt idx="4134">
                  <c:v>-58.66</c:v>
                </c:pt>
                <c:pt idx="4135">
                  <c:v>-58.65</c:v>
                </c:pt>
                <c:pt idx="4136">
                  <c:v>-58.64</c:v>
                </c:pt>
                <c:pt idx="4137">
                  <c:v>-58.63</c:v>
                </c:pt>
                <c:pt idx="4138">
                  <c:v>-58.62</c:v>
                </c:pt>
                <c:pt idx="4139">
                  <c:v>-58.61</c:v>
                </c:pt>
                <c:pt idx="4140">
                  <c:v>-58.6</c:v>
                </c:pt>
                <c:pt idx="4141">
                  <c:v>-58.59</c:v>
                </c:pt>
                <c:pt idx="4142">
                  <c:v>-58.58</c:v>
                </c:pt>
                <c:pt idx="4143">
                  <c:v>-58.57</c:v>
                </c:pt>
                <c:pt idx="4144">
                  <c:v>-58.56</c:v>
                </c:pt>
                <c:pt idx="4145">
                  <c:v>-58.55</c:v>
                </c:pt>
                <c:pt idx="4146">
                  <c:v>-58.54</c:v>
                </c:pt>
                <c:pt idx="4147">
                  <c:v>-58.53</c:v>
                </c:pt>
                <c:pt idx="4148">
                  <c:v>-58.52</c:v>
                </c:pt>
                <c:pt idx="4149">
                  <c:v>-58.51</c:v>
                </c:pt>
                <c:pt idx="4150">
                  <c:v>-58.5</c:v>
                </c:pt>
                <c:pt idx="4151">
                  <c:v>-58.49</c:v>
                </c:pt>
                <c:pt idx="4152">
                  <c:v>-58.48</c:v>
                </c:pt>
                <c:pt idx="4153">
                  <c:v>-58.47</c:v>
                </c:pt>
                <c:pt idx="4154">
                  <c:v>-58.46</c:v>
                </c:pt>
                <c:pt idx="4155">
                  <c:v>-58.45</c:v>
                </c:pt>
                <c:pt idx="4156">
                  <c:v>-58.44</c:v>
                </c:pt>
                <c:pt idx="4157">
                  <c:v>-58.43</c:v>
                </c:pt>
                <c:pt idx="4158">
                  <c:v>-58.42</c:v>
                </c:pt>
                <c:pt idx="4159">
                  <c:v>-58.41</c:v>
                </c:pt>
                <c:pt idx="4160">
                  <c:v>-58.4</c:v>
                </c:pt>
                <c:pt idx="4161">
                  <c:v>-58.39</c:v>
                </c:pt>
                <c:pt idx="4162">
                  <c:v>-58.38</c:v>
                </c:pt>
                <c:pt idx="4163">
                  <c:v>-58.37</c:v>
                </c:pt>
                <c:pt idx="4164">
                  <c:v>-58.36</c:v>
                </c:pt>
                <c:pt idx="4165">
                  <c:v>-58.35</c:v>
                </c:pt>
                <c:pt idx="4166">
                  <c:v>-58.34</c:v>
                </c:pt>
                <c:pt idx="4167">
                  <c:v>-58.33</c:v>
                </c:pt>
                <c:pt idx="4168">
                  <c:v>-58.32</c:v>
                </c:pt>
                <c:pt idx="4169">
                  <c:v>-58.31</c:v>
                </c:pt>
                <c:pt idx="4170">
                  <c:v>-58.3</c:v>
                </c:pt>
                <c:pt idx="4171">
                  <c:v>-58.29</c:v>
                </c:pt>
                <c:pt idx="4172">
                  <c:v>-58.28</c:v>
                </c:pt>
                <c:pt idx="4173">
                  <c:v>-58.27</c:v>
                </c:pt>
                <c:pt idx="4174">
                  <c:v>-58.26</c:v>
                </c:pt>
                <c:pt idx="4175">
                  <c:v>-58.25</c:v>
                </c:pt>
                <c:pt idx="4176">
                  <c:v>-58.24</c:v>
                </c:pt>
                <c:pt idx="4177">
                  <c:v>-58.23</c:v>
                </c:pt>
                <c:pt idx="4178">
                  <c:v>-58.22</c:v>
                </c:pt>
                <c:pt idx="4179">
                  <c:v>-58.21</c:v>
                </c:pt>
                <c:pt idx="4180">
                  <c:v>-58.2</c:v>
                </c:pt>
                <c:pt idx="4181">
                  <c:v>-58.19</c:v>
                </c:pt>
                <c:pt idx="4182">
                  <c:v>-58.18</c:v>
                </c:pt>
                <c:pt idx="4183">
                  <c:v>-58.17</c:v>
                </c:pt>
                <c:pt idx="4184">
                  <c:v>-58.16</c:v>
                </c:pt>
                <c:pt idx="4185">
                  <c:v>-58.15</c:v>
                </c:pt>
                <c:pt idx="4186">
                  <c:v>-58.14</c:v>
                </c:pt>
                <c:pt idx="4187">
                  <c:v>-58.13</c:v>
                </c:pt>
                <c:pt idx="4188">
                  <c:v>-58.12</c:v>
                </c:pt>
                <c:pt idx="4189">
                  <c:v>-58.11</c:v>
                </c:pt>
                <c:pt idx="4190">
                  <c:v>-58.1</c:v>
                </c:pt>
                <c:pt idx="4191">
                  <c:v>-58.09</c:v>
                </c:pt>
                <c:pt idx="4192">
                  <c:v>-58.08</c:v>
                </c:pt>
                <c:pt idx="4193">
                  <c:v>-58.07</c:v>
                </c:pt>
                <c:pt idx="4194">
                  <c:v>-58.06</c:v>
                </c:pt>
                <c:pt idx="4195">
                  <c:v>-58.05</c:v>
                </c:pt>
                <c:pt idx="4196">
                  <c:v>-58.04</c:v>
                </c:pt>
                <c:pt idx="4197">
                  <c:v>-58.03</c:v>
                </c:pt>
                <c:pt idx="4198">
                  <c:v>-58.02</c:v>
                </c:pt>
                <c:pt idx="4199">
                  <c:v>-58.01</c:v>
                </c:pt>
                <c:pt idx="4200">
                  <c:v>-58.0</c:v>
                </c:pt>
                <c:pt idx="4201">
                  <c:v>-57.99</c:v>
                </c:pt>
                <c:pt idx="4202">
                  <c:v>-57.98</c:v>
                </c:pt>
                <c:pt idx="4203">
                  <c:v>-57.97</c:v>
                </c:pt>
                <c:pt idx="4204">
                  <c:v>-57.96</c:v>
                </c:pt>
                <c:pt idx="4205">
                  <c:v>-57.95</c:v>
                </c:pt>
                <c:pt idx="4206">
                  <c:v>-57.94</c:v>
                </c:pt>
                <c:pt idx="4207">
                  <c:v>-57.93</c:v>
                </c:pt>
                <c:pt idx="4208">
                  <c:v>-57.92</c:v>
                </c:pt>
                <c:pt idx="4209">
                  <c:v>-57.91</c:v>
                </c:pt>
                <c:pt idx="4210">
                  <c:v>-57.9</c:v>
                </c:pt>
                <c:pt idx="4211">
                  <c:v>-57.89</c:v>
                </c:pt>
                <c:pt idx="4212">
                  <c:v>-57.88</c:v>
                </c:pt>
                <c:pt idx="4213">
                  <c:v>-57.87</c:v>
                </c:pt>
                <c:pt idx="4214">
                  <c:v>-57.86</c:v>
                </c:pt>
                <c:pt idx="4215">
                  <c:v>-57.85</c:v>
                </c:pt>
                <c:pt idx="4216">
                  <c:v>-57.84</c:v>
                </c:pt>
                <c:pt idx="4217">
                  <c:v>-57.83</c:v>
                </c:pt>
                <c:pt idx="4218">
                  <c:v>-57.82</c:v>
                </c:pt>
                <c:pt idx="4219">
                  <c:v>-57.81</c:v>
                </c:pt>
                <c:pt idx="4220">
                  <c:v>-57.8</c:v>
                </c:pt>
                <c:pt idx="4221">
                  <c:v>-57.79</c:v>
                </c:pt>
                <c:pt idx="4222">
                  <c:v>-57.78</c:v>
                </c:pt>
                <c:pt idx="4223">
                  <c:v>-57.77</c:v>
                </c:pt>
                <c:pt idx="4224">
                  <c:v>-57.76</c:v>
                </c:pt>
                <c:pt idx="4225">
                  <c:v>-57.75</c:v>
                </c:pt>
                <c:pt idx="4226">
                  <c:v>-57.74</c:v>
                </c:pt>
                <c:pt idx="4227">
                  <c:v>-57.73</c:v>
                </c:pt>
                <c:pt idx="4228">
                  <c:v>-57.72</c:v>
                </c:pt>
                <c:pt idx="4229">
                  <c:v>-57.71</c:v>
                </c:pt>
                <c:pt idx="4230">
                  <c:v>-57.7</c:v>
                </c:pt>
                <c:pt idx="4231">
                  <c:v>-57.69</c:v>
                </c:pt>
                <c:pt idx="4232">
                  <c:v>-57.68</c:v>
                </c:pt>
                <c:pt idx="4233">
                  <c:v>-57.67</c:v>
                </c:pt>
                <c:pt idx="4234">
                  <c:v>-57.66</c:v>
                </c:pt>
                <c:pt idx="4235">
                  <c:v>-57.65</c:v>
                </c:pt>
                <c:pt idx="4236">
                  <c:v>-57.64</c:v>
                </c:pt>
                <c:pt idx="4237">
                  <c:v>-57.63</c:v>
                </c:pt>
                <c:pt idx="4238">
                  <c:v>-57.62</c:v>
                </c:pt>
                <c:pt idx="4239">
                  <c:v>-57.61</c:v>
                </c:pt>
                <c:pt idx="4240">
                  <c:v>-57.6</c:v>
                </c:pt>
                <c:pt idx="4241">
                  <c:v>-57.59</c:v>
                </c:pt>
                <c:pt idx="4242">
                  <c:v>-57.58</c:v>
                </c:pt>
                <c:pt idx="4243">
                  <c:v>-57.57</c:v>
                </c:pt>
                <c:pt idx="4244">
                  <c:v>-57.56</c:v>
                </c:pt>
                <c:pt idx="4245">
                  <c:v>-57.55</c:v>
                </c:pt>
                <c:pt idx="4246">
                  <c:v>-57.54</c:v>
                </c:pt>
                <c:pt idx="4247">
                  <c:v>-57.53</c:v>
                </c:pt>
                <c:pt idx="4248">
                  <c:v>-57.52</c:v>
                </c:pt>
                <c:pt idx="4249">
                  <c:v>-57.51</c:v>
                </c:pt>
                <c:pt idx="4250">
                  <c:v>-57.5</c:v>
                </c:pt>
                <c:pt idx="4251">
                  <c:v>-57.49</c:v>
                </c:pt>
                <c:pt idx="4252">
                  <c:v>-57.48</c:v>
                </c:pt>
                <c:pt idx="4253">
                  <c:v>-57.47</c:v>
                </c:pt>
                <c:pt idx="4254">
                  <c:v>-57.46</c:v>
                </c:pt>
                <c:pt idx="4255">
                  <c:v>-57.45</c:v>
                </c:pt>
                <c:pt idx="4256">
                  <c:v>-57.44</c:v>
                </c:pt>
                <c:pt idx="4257">
                  <c:v>-57.43</c:v>
                </c:pt>
                <c:pt idx="4258">
                  <c:v>-57.42</c:v>
                </c:pt>
                <c:pt idx="4259">
                  <c:v>-57.41</c:v>
                </c:pt>
                <c:pt idx="4260">
                  <c:v>-57.4</c:v>
                </c:pt>
                <c:pt idx="4261">
                  <c:v>-57.39</c:v>
                </c:pt>
                <c:pt idx="4262">
                  <c:v>-57.38</c:v>
                </c:pt>
                <c:pt idx="4263">
                  <c:v>-57.37</c:v>
                </c:pt>
                <c:pt idx="4264">
                  <c:v>-57.36</c:v>
                </c:pt>
                <c:pt idx="4265">
                  <c:v>-57.35</c:v>
                </c:pt>
                <c:pt idx="4266">
                  <c:v>-57.34</c:v>
                </c:pt>
                <c:pt idx="4267">
                  <c:v>-57.33</c:v>
                </c:pt>
                <c:pt idx="4268">
                  <c:v>-57.32</c:v>
                </c:pt>
                <c:pt idx="4269">
                  <c:v>-57.31</c:v>
                </c:pt>
                <c:pt idx="4270">
                  <c:v>-57.3</c:v>
                </c:pt>
                <c:pt idx="4271">
                  <c:v>-57.29</c:v>
                </c:pt>
                <c:pt idx="4272">
                  <c:v>-57.28</c:v>
                </c:pt>
                <c:pt idx="4273">
                  <c:v>-57.27</c:v>
                </c:pt>
                <c:pt idx="4274">
                  <c:v>-57.26</c:v>
                </c:pt>
                <c:pt idx="4275">
                  <c:v>-57.25</c:v>
                </c:pt>
                <c:pt idx="4276">
                  <c:v>-57.24</c:v>
                </c:pt>
                <c:pt idx="4277">
                  <c:v>-57.23</c:v>
                </c:pt>
                <c:pt idx="4278">
                  <c:v>-57.22</c:v>
                </c:pt>
                <c:pt idx="4279">
                  <c:v>-57.21</c:v>
                </c:pt>
                <c:pt idx="4280">
                  <c:v>-57.2</c:v>
                </c:pt>
                <c:pt idx="4281">
                  <c:v>-57.19</c:v>
                </c:pt>
                <c:pt idx="4282">
                  <c:v>-57.18</c:v>
                </c:pt>
                <c:pt idx="4283">
                  <c:v>-57.17</c:v>
                </c:pt>
                <c:pt idx="4284">
                  <c:v>-57.16</c:v>
                </c:pt>
                <c:pt idx="4285">
                  <c:v>-57.15</c:v>
                </c:pt>
                <c:pt idx="4286">
                  <c:v>-57.14</c:v>
                </c:pt>
                <c:pt idx="4287">
                  <c:v>-57.13</c:v>
                </c:pt>
                <c:pt idx="4288">
                  <c:v>-57.12</c:v>
                </c:pt>
                <c:pt idx="4289">
                  <c:v>-57.11</c:v>
                </c:pt>
                <c:pt idx="4290">
                  <c:v>-57.1</c:v>
                </c:pt>
                <c:pt idx="4291">
                  <c:v>-57.09</c:v>
                </c:pt>
                <c:pt idx="4292">
                  <c:v>-57.08</c:v>
                </c:pt>
                <c:pt idx="4293">
                  <c:v>-57.07</c:v>
                </c:pt>
                <c:pt idx="4294">
                  <c:v>-57.06</c:v>
                </c:pt>
                <c:pt idx="4295">
                  <c:v>-57.05</c:v>
                </c:pt>
                <c:pt idx="4296">
                  <c:v>-57.04</c:v>
                </c:pt>
                <c:pt idx="4297">
                  <c:v>-57.03</c:v>
                </c:pt>
                <c:pt idx="4298">
                  <c:v>-57.02</c:v>
                </c:pt>
                <c:pt idx="4299">
                  <c:v>-57.01</c:v>
                </c:pt>
                <c:pt idx="4300">
                  <c:v>-57.0</c:v>
                </c:pt>
                <c:pt idx="4301">
                  <c:v>-56.99</c:v>
                </c:pt>
                <c:pt idx="4302">
                  <c:v>-56.98</c:v>
                </c:pt>
                <c:pt idx="4303">
                  <c:v>-56.97</c:v>
                </c:pt>
                <c:pt idx="4304">
                  <c:v>-56.96</c:v>
                </c:pt>
                <c:pt idx="4305">
                  <c:v>-56.95</c:v>
                </c:pt>
                <c:pt idx="4306">
                  <c:v>-56.94</c:v>
                </c:pt>
                <c:pt idx="4307">
                  <c:v>-56.93</c:v>
                </c:pt>
                <c:pt idx="4308">
                  <c:v>-56.92</c:v>
                </c:pt>
                <c:pt idx="4309">
                  <c:v>-56.91</c:v>
                </c:pt>
                <c:pt idx="4310">
                  <c:v>-56.9</c:v>
                </c:pt>
                <c:pt idx="4311">
                  <c:v>-56.89</c:v>
                </c:pt>
                <c:pt idx="4312">
                  <c:v>-56.88</c:v>
                </c:pt>
                <c:pt idx="4313">
                  <c:v>-56.87</c:v>
                </c:pt>
                <c:pt idx="4314">
                  <c:v>-56.86</c:v>
                </c:pt>
                <c:pt idx="4315">
                  <c:v>-56.85</c:v>
                </c:pt>
                <c:pt idx="4316">
                  <c:v>-56.84</c:v>
                </c:pt>
                <c:pt idx="4317">
                  <c:v>-56.83</c:v>
                </c:pt>
                <c:pt idx="4318">
                  <c:v>-56.82</c:v>
                </c:pt>
                <c:pt idx="4319">
                  <c:v>-56.81</c:v>
                </c:pt>
                <c:pt idx="4320">
                  <c:v>-56.8</c:v>
                </c:pt>
                <c:pt idx="4321">
                  <c:v>-56.79</c:v>
                </c:pt>
                <c:pt idx="4322">
                  <c:v>-56.78</c:v>
                </c:pt>
                <c:pt idx="4323">
                  <c:v>-56.77</c:v>
                </c:pt>
                <c:pt idx="4324">
                  <c:v>-56.76</c:v>
                </c:pt>
                <c:pt idx="4325">
                  <c:v>-56.75</c:v>
                </c:pt>
                <c:pt idx="4326">
                  <c:v>-56.74</c:v>
                </c:pt>
                <c:pt idx="4327">
                  <c:v>-56.73</c:v>
                </c:pt>
                <c:pt idx="4328">
                  <c:v>-56.72</c:v>
                </c:pt>
                <c:pt idx="4329">
                  <c:v>-56.71</c:v>
                </c:pt>
                <c:pt idx="4330">
                  <c:v>-56.7</c:v>
                </c:pt>
                <c:pt idx="4331">
                  <c:v>-56.69</c:v>
                </c:pt>
                <c:pt idx="4332">
                  <c:v>-56.68</c:v>
                </c:pt>
                <c:pt idx="4333">
                  <c:v>-56.67</c:v>
                </c:pt>
                <c:pt idx="4334">
                  <c:v>-56.66</c:v>
                </c:pt>
                <c:pt idx="4335">
                  <c:v>-56.65</c:v>
                </c:pt>
                <c:pt idx="4336">
                  <c:v>-56.64</c:v>
                </c:pt>
                <c:pt idx="4337">
                  <c:v>-56.63</c:v>
                </c:pt>
                <c:pt idx="4338">
                  <c:v>-56.62</c:v>
                </c:pt>
                <c:pt idx="4339">
                  <c:v>-56.61</c:v>
                </c:pt>
                <c:pt idx="4340">
                  <c:v>-56.6</c:v>
                </c:pt>
                <c:pt idx="4341">
                  <c:v>-56.59</c:v>
                </c:pt>
                <c:pt idx="4342">
                  <c:v>-56.58</c:v>
                </c:pt>
                <c:pt idx="4343">
                  <c:v>-56.57</c:v>
                </c:pt>
                <c:pt idx="4344">
                  <c:v>-56.56</c:v>
                </c:pt>
                <c:pt idx="4345">
                  <c:v>-56.55</c:v>
                </c:pt>
                <c:pt idx="4346">
                  <c:v>-56.54</c:v>
                </c:pt>
                <c:pt idx="4347">
                  <c:v>-56.53</c:v>
                </c:pt>
                <c:pt idx="4348">
                  <c:v>-56.52</c:v>
                </c:pt>
                <c:pt idx="4349">
                  <c:v>-56.51</c:v>
                </c:pt>
                <c:pt idx="4350">
                  <c:v>-56.5</c:v>
                </c:pt>
                <c:pt idx="4351">
                  <c:v>-56.49</c:v>
                </c:pt>
                <c:pt idx="4352">
                  <c:v>-56.48</c:v>
                </c:pt>
                <c:pt idx="4353">
                  <c:v>-56.47</c:v>
                </c:pt>
                <c:pt idx="4354">
                  <c:v>-56.46</c:v>
                </c:pt>
                <c:pt idx="4355">
                  <c:v>-56.45</c:v>
                </c:pt>
                <c:pt idx="4356">
                  <c:v>-56.44</c:v>
                </c:pt>
                <c:pt idx="4357">
                  <c:v>-56.43</c:v>
                </c:pt>
                <c:pt idx="4358">
                  <c:v>-56.42</c:v>
                </c:pt>
                <c:pt idx="4359">
                  <c:v>-56.41</c:v>
                </c:pt>
                <c:pt idx="4360">
                  <c:v>-56.4</c:v>
                </c:pt>
                <c:pt idx="4361">
                  <c:v>-56.39</c:v>
                </c:pt>
                <c:pt idx="4362">
                  <c:v>-56.38</c:v>
                </c:pt>
                <c:pt idx="4363">
                  <c:v>-56.37</c:v>
                </c:pt>
                <c:pt idx="4364">
                  <c:v>-56.36</c:v>
                </c:pt>
                <c:pt idx="4365">
                  <c:v>-56.35</c:v>
                </c:pt>
                <c:pt idx="4366">
                  <c:v>-56.34</c:v>
                </c:pt>
                <c:pt idx="4367">
                  <c:v>-56.33</c:v>
                </c:pt>
                <c:pt idx="4368">
                  <c:v>-56.32</c:v>
                </c:pt>
                <c:pt idx="4369">
                  <c:v>-56.31</c:v>
                </c:pt>
                <c:pt idx="4370">
                  <c:v>-56.3</c:v>
                </c:pt>
                <c:pt idx="4371">
                  <c:v>-56.29</c:v>
                </c:pt>
                <c:pt idx="4372">
                  <c:v>-56.28</c:v>
                </c:pt>
                <c:pt idx="4373">
                  <c:v>-56.27</c:v>
                </c:pt>
                <c:pt idx="4374">
                  <c:v>-56.26</c:v>
                </c:pt>
                <c:pt idx="4375">
                  <c:v>-56.25</c:v>
                </c:pt>
                <c:pt idx="4376">
                  <c:v>-56.24</c:v>
                </c:pt>
                <c:pt idx="4377">
                  <c:v>-56.23</c:v>
                </c:pt>
                <c:pt idx="4378">
                  <c:v>-56.22</c:v>
                </c:pt>
                <c:pt idx="4379">
                  <c:v>-56.21</c:v>
                </c:pt>
                <c:pt idx="4380">
                  <c:v>-56.2</c:v>
                </c:pt>
                <c:pt idx="4381">
                  <c:v>-56.19</c:v>
                </c:pt>
                <c:pt idx="4382">
                  <c:v>-56.18</c:v>
                </c:pt>
                <c:pt idx="4383">
                  <c:v>-56.17</c:v>
                </c:pt>
                <c:pt idx="4384">
                  <c:v>-56.16</c:v>
                </c:pt>
                <c:pt idx="4385">
                  <c:v>-56.15</c:v>
                </c:pt>
                <c:pt idx="4386">
                  <c:v>-56.14</c:v>
                </c:pt>
                <c:pt idx="4387">
                  <c:v>-56.13</c:v>
                </c:pt>
                <c:pt idx="4388">
                  <c:v>-56.12</c:v>
                </c:pt>
                <c:pt idx="4389">
                  <c:v>-56.11</c:v>
                </c:pt>
                <c:pt idx="4390">
                  <c:v>-56.1</c:v>
                </c:pt>
                <c:pt idx="4391">
                  <c:v>-56.09</c:v>
                </c:pt>
                <c:pt idx="4392">
                  <c:v>-56.08</c:v>
                </c:pt>
                <c:pt idx="4393">
                  <c:v>-56.07</c:v>
                </c:pt>
                <c:pt idx="4394">
                  <c:v>-56.06</c:v>
                </c:pt>
                <c:pt idx="4395">
                  <c:v>-56.05</c:v>
                </c:pt>
                <c:pt idx="4396">
                  <c:v>-56.04</c:v>
                </c:pt>
                <c:pt idx="4397">
                  <c:v>-56.03</c:v>
                </c:pt>
                <c:pt idx="4398">
                  <c:v>-56.02</c:v>
                </c:pt>
                <c:pt idx="4399">
                  <c:v>-56.01</c:v>
                </c:pt>
                <c:pt idx="4400">
                  <c:v>-56.0</c:v>
                </c:pt>
                <c:pt idx="4401">
                  <c:v>-55.99</c:v>
                </c:pt>
                <c:pt idx="4402">
                  <c:v>-55.98</c:v>
                </c:pt>
                <c:pt idx="4403">
                  <c:v>-55.97</c:v>
                </c:pt>
                <c:pt idx="4404">
                  <c:v>-55.96</c:v>
                </c:pt>
                <c:pt idx="4405">
                  <c:v>-55.95</c:v>
                </c:pt>
                <c:pt idx="4406">
                  <c:v>-55.94</c:v>
                </c:pt>
                <c:pt idx="4407">
                  <c:v>-55.93</c:v>
                </c:pt>
                <c:pt idx="4408">
                  <c:v>-55.92</c:v>
                </c:pt>
                <c:pt idx="4409">
                  <c:v>-55.91</c:v>
                </c:pt>
                <c:pt idx="4410">
                  <c:v>-55.9</c:v>
                </c:pt>
                <c:pt idx="4411">
                  <c:v>-55.89</c:v>
                </c:pt>
                <c:pt idx="4412">
                  <c:v>-55.88</c:v>
                </c:pt>
                <c:pt idx="4413">
                  <c:v>-55.87</c:v>
                </c:pt>
                <c:pt idx="4414">
                  <c:v>-55.86</c:v>
                </c:pt>
                <c:pt idx="4415">
                  <c:v>-55.85</c:v>
                </c:pt>
                <c:pt idx="4416">
                  <c:v>-55.84</c:v>
                </c:pt>
                <c:pt idx="4417">
                  <c:v>-55.83</c:v>
                </c:pt>
                <c:pt idx="4418">
                  <c:v>-55.82</c:v>
                </c:pt>
                <c:pt idx="4419">
                  <c:v>-55.81</c:v>
                </c:pt>
                <c:pt idx="4420">
                  <c:v>-55.8</c:v>
                </c:pt>
                <c:pt idx="4421">
                  <c:v>-55.79</c:v>
                </c:pt>
                <c:pt idx="4422">
                  <c:v>-55.78</c:v>
                </c:pt>
                <c:pt idx="4423">
                  <c:v>-55.77</c:v>
                </c:pt>
                <c:pt idx="4424">
                  <c:v>-55.76</c:v>
                </c:pt>
                <c:pt idx="4425">
                  <c:v>-55.75</c:v>
                </c:pt>
                <c:pt idx="4426">
                  <c:v>-55.74</c:v>
                </c:pt>
                <c:pt idx="4427">
                  <c:v>-55.73</c:v>
                </c:pt>
                <c:pt idx="4428">
                  <c:v>-55.72</c:v>
                </c:pt>
                <c:pt idx="4429">
                  <c:v>-55.71</c:v>
                </c:pt>
                <c:pt idx="4430">
                  <c:v>-55.7</c:v>
                </c:pt>
                <c:pt idx="4431">
                  <c:v>-55.69</c:v>
                </c:pt>
                <c:pt idx="4432">
                  <c:v>-55.68</c:v>
                </c:pt>
                <c:pt idx="4433">
                  <c:v>-55.67</c:v>
                </c:pt>
                <c:pt idx="4434">
                  <c:v>-55.66</c:v>
                </c:pt>
                <c:pt idx="4435">
                  <c:v>-55.65</c:v>
                </c:pt>
                <c:pt idx="4436">
                  <c:v>-55.64</c:v>
                </c:pt>
                <c:pt idx="4437">
                  <c:v>-55.63</c:v>
                </c:pt>
                <c:pt idx="4438">
                  <c:v>-55.62</c:v>
                </c:pt>
                <c:pt idx="4439">
                  <c:v>-55.61</c:v>
                </c:pt>
                <c:pt idx="4440">
                  <c:v>-55.6</c:v>
                </c:pt>
                <c:pt idx="4441">
                  <c:v>-55.59</c:v>
                </c:pt>
                <c:pt idx="4442">
                  <c:v>-55.58</c:v>
                </c:pt>
                <c:pt idx="4443">
                  <c:v>-55.57</c:v>
                </c:pt>
                <c:pt idx="4444">
                  <c:v>-55.56</c:v>
                </c:pt>
                <c:pt idx="4445">
                  <c:v>-55.55</c:v>
                </c:pt>
                <c:pt idx="4446">
                  <c:v>-55.54</c:v>
                </c:pt>
                <c:pt idx="4447">
                  <c:v>-55.53</c:v>
                </c:pt>
                <c:pt idx="4448">
                  <c:v>-55.52</c:v>
                </c:pt>
                <c:pt idx="4449">
                  <c:v>-55.51</c:v>
                </c:pt>
                <c:pt idx="4450">
                  <c:v>-55.5</c:v>
                </c:pt>
                <c:pt idx="4451">
                  <c:v>-55.49</c:v>
                </c:pt>
                <c:pt idx="4452">
                  <c:v>-55.48</c:v>
                </c:pt>
                <c:pt idx="4453">
                  <c:v>-55.47</c:v>
                </c:pt>
                <c:pt idx="4454">
                  <c:v>-55.46</c:v>
                </c:pt>
                <c:pt idx="4455">
                  <c:v>-55.45</c:v>
                </c:pt>
                <c:pt idx="4456">
                  <c:v>-55.44</c:v>
                </c:pt>
                <c:pt idx="4457">
                  <c:v>-55.43</c:v>
                </c:pt>
                <c:pt idx="4458">
                  <c:v>-55.42</c:v>
                </c:pt>
                <c:pt idx="4459">
                  <c:v>-55.41</c:v>
                </c:pt>
                <c:pt idx="4460">
                  <c:v>-55.4</c:v>
                </c:pt>
                <c:pt idx="4461">
                  <c:v>-55.39</c:v>
                </c:pt>
                <c:pt idx="4462">
                  <c:v>-55.38</c:v>
                </c:pt>
                <c:pt idx="4463">
                  <c:v>-55.37</c:v>
                </c:pt>
                <c:pt idx="4464">
                  <c:v>-55.36</c:v>
                </c:pt>
                <c:pt idx="4465">
                  <c:v>-55.35</c:v>
                </c:pt>
                <c:pt idx="4466">
                  <c:v>-55.34</c:v>
                </c:pt>
                <c:pt idx="4467">
                  <c:v>-55.33</c:v>
                </c:pt>
                <c:pt idx="4468">
                  <c:v>-55.32</c:v>
                </c:pt>
                <c:pt idx="4469">
                  <c:v>-55.31</c:v>
                </c:pt>
                <c:pt idx="4470">
                  <c:v>-55.3</c:v>
                </c:pt>
                <c:pt idx="4471">
                  <c:v>-55.29</c:v>
                </c:pt>
                <c:pt idx="4472">
                  <c:v>-55.28</c:v>
                </c:pt>
                <c:pt idx="4473">
                  <c:v>-55.27</c:v>
                </c:pt>
                <c:pt idx="4474">
                  <c:v>-55.26</c:v>
                </c:pt>
                <c:pt idx="4475">
                  <c:v>-55.25</c:v>
                </c:pt>
                <c:pt idx="4476">
                  <c:v>-55.24</c:v>
                </c:pt>
                <c:pt idx="4477">
                  <c:v>-55.23</c:v>
                </c:pt>
                <c:pt idx="4478">
                  <c:v>-55.22</c:v>
                </c:pt>
                <c:pt idx="4479">
                  <c:v>-55.21</c:v>
                </c:pt>
                <c:pt idx="4480">
                  <c:v>-55.2</c:v>
                </c:pt>
                <c:pt idx="4481">
                  <c:v>-55.19</c:v>
                </c:pt>
                <c:pt idx="4482">
                  <c:v>-55.18</c:v>
                </c:pt>
                <c:pt idx="4483">
                  <c:v>-55.17</c:v>
                </c:pt>
                <c:pt idx="4484">
                  <c:v>-55.16</c:v>
                </c:pt>
                <c:pt idx="4485">
                  <c:v>-55.15</c:v>
                </c:pt>
                <c:pt idx="4486">
                  <c:v>-55.14</c:v>
                </c:pt>
                <c:pt idx="4487">
                  <c:v>-55.13</c:v>
                </c:pt>
                <c:pt idx="4488">
                  <c:v>-55.12</c:v>
                </c:pt>
                <c:pt idx="4489">
                  <c:v>-55.11</c:v>
                </c:pt>
                <c:pt idx="4490">
                  <c:v>-55.1</c:v>
                </c:pt>
                <c:pt idx="4491">
                  <c:v>-55.09</c:v>
                </c:pt>
                <c:pt idx="4492">
                  <c:v>-55.08</c:v>
                </c:pt>
                <c:pt idx="4493">
                  <c:v>-55.07</c:v>
                </c:pt>
                <c:pt idx="4494">
                  <c:v>-55.06</c:v>
                </c:pt>
                <c:pt idx="4495">
                  <c:v>-55.05</c:v>
                </c:pt>
                <c:pt idx="4496">
                  <c:v>-55.04</c:v>
                </c:pt>
                <c:pt idx="4497">
                  <c:v>-55.03</c:v>
                </c:pt>
                <c:pt idx="4498">
                  <c:v>-55.02</c:v>
                </c:pt>
                <c:pt idx="4499">
                  <c:v>-55.01</c:v>
                </c:pt>
                <c:pt idx="4500">
                  <c:v>-55.0</c:v>
                </c:pt>
                <c:pt idx="4501">
                  <c:v>-54.99</c:v>
                </c:pt>
                <c:pt idx="4502">
                  <c:v>-54.98</c:v>
                </c:pt>
                <c:pt idx="4503">
                  <c:v>-54.97</c:v>
                </c:pt>
                <c:pt idx="4504">
                  <c:v>-54.96</c:v>
                </c:pt>
                <c:pt idx="4505">
                  <c:v>-54.95</c:v>
                </c:pt>
                <c:pt idx="4506">
                  <c:v>-54.94</c:v>
                </c:pt>
                <c:pt idx="4507">
                  <c:v>-54.93</c:v>
                </c:pt>
                <c:pt idx="4508">
                  <c:v>-54.92</c:v>
                </c:pt>
                <c:pt idx="4509">
                  <c:v>-54.91</c:v>
                </c:pt>
                <c:pt idx="4510">
                  <c:v>-54.9</c:v>
                </c:pt>
                <c:pt idx="4511">
                  <c:v>-54.89</c:v>
                </c:pt>
                <c:pt idx="4512">
                  <c:v>-54.88</c:v>
                </c:pt>
                <c:pt idx="4513">
                  <c:v>-54.87</c:v>
                </c:pt>
                <c:pt idx="4514">
                  <c:v>-54.86</c:v>
                </c:pt>
                <c:pt idx="4515">
                  <c:v>-54.85</c:v>
                </c:pt>
                <c:pt idx="4516">
                  <c:v>-54.84</c:v>
                </c:pt>
                <c:pt idx="4517">
                  <c:v>-54.83</c:v>
                </c:pt>
                <c:pt idx="4518">
                  <c:v>-54.82</c:v>
                </c:pt>
                <c:pt idx="4519">
                  <c:v>-54.81</c:v>
                </c:pt>
                <c:pt idx="4520">
                  <c:v>-54.8</c:v>
                </c:pt>
                <c:pt idx="4521">
                  <c:v>-54.79</c:v>
                </c:pt>
                <c:pt idx="4522">
                  <c:v>-54.78</c:v>
                </c:pt>
                <c:pt idx="4523">
                  <c:v>-54.77</c:v>
                </c:pt>
                <c:pt idx="4524">
                  <c:v>-54.76</c:v>
                </c:pt>
                <c:pt idx="4525">
                  <c:v>-54.75</c:v>
                </c:pt>
                <c:pt idx="4526">
                  <c:v>-54.74</c:v>
                </c:pt>
                <c:pt idx="4527">
                  <c:v>-54.73</c:v>
                </c:pt>
                <c:pt idx="4528">
                  <c:v>-54.72</c:v>
                </c:pt>
                <c:pt idx="4529">
                  <c:v>-54.71</c:v>
                </c:pt>
                <c:pt idx="4530">
                  <c:v>-54.7</c:v>
                </c:pt>
                <c:pt idx="4531">
                  <c:v>-54.69</c:v>
                </c:pt>
                <c:pt idx="4532">
                  <c:v>-54.68</c:v>
                </c:pt>
                <c:pt idx="4533">
                  <c:v>-54.67</c:v>
                </c:pt>
                <c:pt idx="4534">
                  <c:v>-54.66</c:v>
                </c:pt>
                <c:pt idx="4535">
                  <c:v>-54.65</c:v>
                </c:pt>
                <c:pt idx="4536">
                  <c:v>-54.64</c:v>
                </c:pt>
                <c:pt idx="4537">
                  <c:v>-54.63</c:v>
                </c:pt>
                <c:pt idx="4538">
                  <c:v>-54.62</c:v>
                </c:pt>
                <c:pt idx="4539">
                  <c:v>-54.61</c:v>
                </c:pt>
                <c:pt idx="4540">
                  <c:v>-54.6</c:v>
                </c:pt>
                <c:pt idx="4541">
                  <c:v>-54.59</c:v>
                </c:pt>
                <c:pt idx="4542">
                  <c:v>-54.58</c:v>
                </c:pt>
                <c:pt idx="4543">
                  <c:v>-54.57</c:v>
                </c:pt>
                <c:pt idx="4544">
                  <c:v>-54.56</c:v>
                </c:pt>
                <c:pt idx="4545">
                  <c:v>-54.55</c:v>
                </c:pt>
                <c:pt idx="4546">
                  <c:v>-54.54</c:v>
                </c:pt>
                <c:pt idx="4547">
                  <c:v>-54.53</c:v>
                </c:pt>
                <c:pt idx="4548">
                  <c:v>-54.52</c:v>
                </c:pt>
                <c:pt idx="4549">
                  <c:v>-54.51</c:v>
                </c:pt>
                <c:pt idx="4550">
                  <c:v>-54.5</c:v>
                </c:pt>
                <c:pt idx="4551">
                  <c:v>-54.49</c:v>
                </c:pt>
                <c:pt idx="4552">
                  <c:v>-54.48</c:v>
                </c:pt>
                <c:pt idx="4553">
                  <c:v>-54.47</c:v>
                </c:pt>
                <c:pt idx="4554">
                  <c:v>-54.46</c:v>
                </c:pt>
                <c:pt idx="4555">
                  <c:v>-54.45</c:v>
                </c:pt>
                <c:pt idx="4556">
                  <c:v>-54.44</c:v>
                </c:pt>
                <c:pt idx="4557">
                  <c:v>-54.43</c:v>
                </c:pt>
                <c:pt idx="4558">
                  <c:v>-54.42</c:v>
                </c:pt>
                <c:pt idx="4559">
                  <c:v>-54.41</c:v>
                </c:pt>
                <c:pt idx="4560">
                  <c:v>-54.4</c:v>
                </c:pt>
                <c:pt idx="4561">
                  <c:v>-54.39</c:v>
                </c:pt>
                <c:pt idx="4562">
                  <c:v>-54.38</c:v>
                </c:pt>
                <c:pt idx="4563">
                  <c:v>-54.37</c:v>
                </c:pt>
                <c:pt idx="4564">
                  <c:v>-54.36</c:v>
                </c:pt>
                <c:pt idx="4565">
                  <c:v>-54.35</c:v>
                </c:pt>
                <c:pt idx="4566">
                  <c:v>-54.34</c:v>
                </c:pt>
                <c:pt idx="4567">
                  <c:v>-54.33</c:v>
                </c:pt>
                <c:pt idx="4568">
                  <c:v>-54.32</c:v>
                </c:pt>
                <c:pt idx="4569">
                  <c:v>-54.31</c:v>
                </c:pt>
                <c:pt idx="4570">
                  <c:v>-54.3</c:v>
                </c:pt>
                <c:pt idx="4571">
                  <c:v>-54.29</c:v>
                </c:pt>
                <c:pt idx="4572">
                  <c:v>-54.28</c:v>
                </c:pt>
                <c:pt idx="4573">
                  <c:v>-54.27</c:v>
                </c:pt>
                <c:pt idx="4574">
                  <c:v>-54.26</c:v>
                </c:pt>
                <c:pt idx="4575">
                  <c:v>-54.25</c:v>
                </c:pt>
                <c:pt idx="4576">
                  <c:v>-54.24</c:v>
                </c:pt>
                <c:pt idx="4577">
                  <c:v>-54.23</c:v>
                </c:pt>
                <c:pt idx="4578">
                  <c:v>-54.22</c:v>
                </c:pt>
                <c:pt idx="4579">
                  <c:v>-54.21</c:v>
                </c:pt>
                <c:pt idx="4580">
                  <c:v>-54.2</c:v>
                </c:pt>
                <c:pt idx="4581">
                  <c:v>-54.19</c:v>
                </c:pt>
                <c:pt idx="4582">
                  <c:v>-54.18</c:v>
                </c:pt>
                <c:pt idx="4583">
                  <c:v>-54.17</c:v>
                </c:pt>
                <c:pt idx="4584">
                  <c:v>-54.16</c:v>
                </c:pt>
                <c:pt idx="4585">
                  <c:v>-54.15</c:v>
                </c:pt>
                <c:pt idx="4586">
                  <c:v>-54.14</c:v>
                </c:pt>
                <c:pt idx="4587">
                  <c:v>-54.13</c:v>
                </c:pt>
                <c:pt idx="4588">
                  <c:v>-54.12</c:v>
                </c:pt>
                <c:pt idx="4589">
                  <c:v>-54.11</c:v>
                </c:pt>
                <c:pt idx="4590">
                  <c:v>-54.1</c:v>
                </c:pt>
                <c:pt idx="4591">
                  <c:v>-54.09</c:v>
                </c:pt>
                <c:pt idx="4592">
                  <c:v>-54.08</c:v>
                </c:pt>
                <c:pt idx="4593">
                  <c:v>-54.07</c:v>
                </c:pt>
                <c:pt idx="4594">
                  <c:v>-54.06</c:v>
                </c:pt>
                <c:pt idx="4595">
                  <c:v>-54.05</c:v>
                </c:pt>
                <c:pt idx="4596">
                  <c:v>-54.04</c:v>
                </c:pt>
                <c:pt idx="4597">
                  <c:v>-54.03</c:v>
                </c:pt>
                <c:pt idx="4598">
                  <c:v>-54.02</c:v>
                </c:pt>
                <c:pt idx="4599">
                  <c:v>-54.01</c:v>
                </c:pt>
                <c:pt idx="4600">
                  <c:v>-54.0</c:v>
                </c:pt>
                <c:pt idx="4601">
                  <c:v>-53.99</c:v>
                </c:pt>
                <c:pt idx="4602">
                  <c:v>-53.98</c:v>
                </c:pt>
                <c:pt idx="4603">
                  <c:v>-53.97</c:v>
                </c:pt>
                <c:pt idx="4604">
                  <c:v>-53.96</c:v>
                </c:pt>
                <c:pt idx="4605">
                  <c:v>-53.95</c:v>
                </c:pt>
                <c:pt idx="4606">
                  <c:v>-53.94</c:v>
                </c:pt>
                <c:pt idx="4607">
                  <c:v>-53.93</c:v>
                </c:pt>
                <c:pt idx="4608">
                  <c:v>-53.92</c:v>
                </c:pt>
                <c:pt idx="4609">
                  <c:v>-53.91</c:v>
                </c:pt>
                <c:pt idx="4610">
                  <c:v>-53.9</c:v>
                </c:pt>
                <c:pt idx="4611">
                  <c:v>-53.89</c:v>
                </c:pt>
                <c:pt idx="4612">
                  <c:v>-53.88</c:v>
                </c:pt>
                <c:pt idx="4613">
                  <c:v>-53.87</c:v>
                </c:pt>
                <c:pt idx="4614">
                  <c:v>-53.86</c:v>
                </c:pt>
                <c:pt idx="4615">
                  <c:v>-53.85</c:v>
                </c:pt>
                <c:pt idx="4616">
                  <c:v>-53.84</c:v>
                </c:pt>
                <c:pt idx="4617">
                  <c:v>-53.83</c:v>
                </c:pt>
                <c:pt idx="4618">
                  <c:v>-53.82</c:v>
                </c:pt>
                <c:pt idx="4619">
                  <c:v>-53.81</c:v>
                </c:pt>
                <c:pt idx="4620">
                  <c:v>-53.8</c:v>
                </c:pt>
                <c:pt idx="4621">
                  <c:v>-53.79</c:v>
                </c:pt>
                <c:pt idx="4622">
                  <c:v>-53.78</c:v>
                </c:pt>
                <c:pt idx="4623">
                  <c:v>-53.77</c:v>
                </c:pt>
                <c:pt idx="4624">
                  <c:v>-53.76</c:v>
                </c:pt>
                <c:pt idx="4625">
                  <c:v>-53.75</c:v>
                </c:pt>
                <c:pt idx="4626">
                  <c:v>-53.74</c:v>
                </c:pt>
                <c:pt idx="4627">
                  <c:v>-53.73</c:v>
                </c:pt>
                <c:pt idx="4628">
                  <c:v>-53.72</c:v>
                </c:pt>
                <c:pt idx="4629">
                  <c:v>-53.71</c:v>
                </c:pt>
                <c:pt idx="4630">
                  <c:v>-53.7</c:v>
                </c:pt>
                <c:pt idx="4631">
                  <c:v>-53.69</c:v>
                </c:pt>
                <c:pt idx="4632">
                  <c:v>-53.68</c:v>
                </c:pt>
                <c:pt idx="4633">
                  <c:v>-53.67</c:v>
                </c:pt>
                <c:pt idx="4634">
                  <c:v>-53.66</c:v>
                </c:pt>
                <c:pt idx="4635">
                  <c:v>-53.65</c:v>
                </c:pt>
                <c:pt idx="4636">
                  <c:v>-53.64</c:v>
                </c:pt>
                <c:pt idx="4637">
                  <c:v>-53.63</c:v>
                </c:pt>
                <c:pt idx="4638">
                  <c:v>-53.62</c:v>
                </c:pt>
                <c:pt idx="4639">
                  <c:v>-53.61</c:v>
                </c:pt>
                <c:pt idx="4640">
                  <c:v>-53.6</c:v>
                </c:pt>
                <c:pt idx="4641">
                  <c:v>-53.59</c:v>
                </c:pt>
                <c:pt idx="4642">
                  <c:v>-53.58</c:v>
                </c:pt>
                <c:pt idx="4643">
                  <c:v>-53.57</c:v>
                </c:pt>
                <c:pt idx="4644">
                  <c:v>-53.56</c:v>
                </c:pt>
                <c:pt idx="4645">
                  <c:v>-53.55</c:v>
                </c:pt>
                <c:pt idx="4646">
                  <c:v>-53.54</c:v>
                </c:pt>
                <c:pt idx="4647">
                  <c:v>-53.53</c:v>
                </c:pt>
                <c:pt idx="4648">
                  <c:v>-53.52</c:v>
                </c:pt>
                <c:pt idx="4649">
                  <c:v>-53.51</c:v>
                </c:pt>
                <c:pt idx="4650">
                  <c:v>-53.5</c:v>
                </c:pt>
                <c:pt idx="4651">
                  <c:v>-53.49</c:v>
                </c:pt>
                <c:pt idx="4652">
                  <c:v>-53.48</c:v>
                </c:pt>
                <c:pt idx="4653">
                  <c:v>-53.47</c:v>
                </c:pt>
                <c:pt idx="4654">
                  <c:v>-53.46</c:v>
                </c:pt>
                <c:pt idx="4655">
                  <c:v>-53.45</c:v>
                </c:pt>
                <c:pt idx="4656">
                  <c:v>-53.44</c:v>
                </c:pt>
                <c:pt idx="4657">
                  <c:v>-53.43</c:v>
                </c:pt>
                <c:pt idx="4658">
                  <c:v>-53.42</c:v>
                </c:pt>
                <c:pt idx="4659">
                  <c:v>-53.41</c:v>
                </c:pt>
                <c:pt idx="4660">
                  <c:v>-53.4</c:v>
                </c:pt>
                <c:pt idx="4661">
                  <c:v>-53.39</c:v>
                </c:pt>
                <c:pt idx="4662">
                  <c:v>-53.38</c:v>
                </c:pt>
                <c:pt idx="4663">
                  <c:v>-53.37</c:v>
                </c:pt>
                <c:pt idx="4664">
                  <c:v>-53.36</c:v>
                </c:pt>
                <c:pt idx="4665">
                  <c:v>-53.35</c:v>
                </c:pt>
                <c:pt idx="4666">
                  <c:v>-53.34</c:v>
                </c:pt>
                <c:pt idx="4667">
                  <c:v>-53.33</c:v>
                </c:pt>
                <c:pt idx="4668">
                  <c:v>-53.32</c:v>
                </c:pt>
                <c:pt idx="4669">
                  <c:v>-53.31</c:v>
                </c:pt>
                <c:pt idx="4670">
                  <c:v>-53.3</c:v>
                </c:pt>
                <c:pt idx="4671">
                  <c:v>-53.29</c:v>
                </c:pt>
                <c:pt idx="4672">
                  <c:v>-53.28</c:v>
                </c:pt>
                <c:pt idx="4673">
                  <c:v>-53.27</c:v>
                </c:pt>
                <c:pt idx="4674">
                  <c:v>-53.26</c:v>
                </c:pt>
                <c:pt idx="4675">
                  <c:v>-53.25</c:v>
                </c:pt>
                <c:pt idx="4676">
                  <c:v>-53.24</c:v>
                </c:pt>
                <c:pt idx="4677">
                  <c:v>-53.23</c:v>
                </c:pt>
                <c:pt idx="4678">
                  <c:v>-53.22</c:v>
                </c:pt>
                <c:pt idx="4679">
                  <c:v>-53.21</c:v>
                </c:pt>
                <c:pt idx="4680">
                  <c:v>-53.2</c:v>
                </c:pt>
                <c:pt idx="4681">
                  <c:v>-53.19</c:v>
                </c:pt>
                <c:pt idx="4682">
                  <c:v>-53.18</c:v>
                </c:pt>
                <c:pt idx="4683">
                  <c:v>-53.17</c:v>
                </c:pt>
                <c:pt idx="4684">
                  <c:v>-53.16</c:v>
                </c:pt>
                <c:pt idx="4685">
                  <c:v>-53.15</c:v>
                </c:pt>
                <c:pt idx="4686">
                  <c:v>-53.14</c:v>
                </c:pt>
                <c:pt idx="4687">
                  <c:v>-53.13</c:v>
                </c:pt>
                <c:pt idx="4688">
                  <c:v>-53.12</c:v>
                </c:pt>
                <c:pt idx="4689">
                  <c:v>-53.11</c:v>
                </c:pt>
                <c:pt idx="4690">
                  <c:v>-53.1</c:v>
                </c:pt>
                <c:pt idx="4691">
                  <c:v>-53.09</c:v>
                </c:pt>
                <c:pt idx="4692">
                  <c:v>-53.08</c:v>
                </c:pt>
                <c:pt idx="4693">
                  <c:v>-53.07</c:v>
                </c:pt>
                <c:pt idx="4694">
                  <c:v>-53.06</c:v>
                </c:pt>
                <c:pt idx="4695">
                  <c:v>-53.05</c:v>
                </c:pt>
                <c:pt idx="4696">
                  <c:v>-53.04</c:v>
                </c:pt>
                <c:pt idx="4697">
                  <c:v>-53.03</c:v>
                </c:pt>
                <c:pt idx="4698">
                  <c:v>-53.02</c:v>
                </c:pt>
                <c:pt idx="4699">
                  <c:v>-53.01</c:v>
                </c:pt>
                <c:pt idx="4700">
                  <c:v>-53.0</c:v>
                </c:pt>
                <c:pt idx="4701">
                  <c:v>-52.99</c:v>
                </c:pt>
                <c:pt idx="4702">
                  <c:v>-52.98</c:v>
                </c:pt>
                <c:pt idx="4703">
                  <c:v>-52.97</c:v>
                </c:pt>
                <c:pt idx="4704">
                  <c:v>-52.96</c:v>
                </c:pt>
                <c:pt idx="4705">
                  <c:v>-52.95</c:v>
                </c:pt>
                <c:pt idx="4706">
                  <c:v>-52.94</c:v>
                </c:pt>
                <c:pt idx="4707">
                  <c:v>-52.93</c:v>
                </c:pt>
                <c:pt idx="4708">
                  <c:v>-52.92</c:v>
                </c:pt>
                <c:pt idx="4709">
                  <c:v>-52.91</c:v>
                </c:pt>
                <c:pt idx="4710">
                  <c:v>-52.9</c:v>
                </c:pt>
                <c:pt idx="4711">
                  <c:v>-52.89</c:v>
                </c:pt>
                <c:pt idx="4712">
                  <c:v>-52.88</c:v>
                </c:pt>
                <c:pt idx="4713">
                  <c:v>-52.87</c:v>
                </c:pt>
                <c:pt idx="4714">
                  <c:v>-52.86</c:v>
                </c:pt>
                <c:pt idx="4715">
                  <c:v>-52.85</c:v>
                </c:pt>
                <c:pt idx="4716">
                  <c:v>-52.84</c:v>
                </c:pt>
                <c:pt idx="4717">
                  <c:v>-52.83</c:v>
                </c:pt>
                <c:pt idx="4718">
                  <c:v>-52.82</c:v>
                </c:pt>
                <c:pt idx="4719">
                  <c:v>-52.81</c:v>
                </c:pt>
                <c:pt idx="4720">
                  <c:v>-52.8</c:v>
                </c:pt>
                <c:pt idx="4721">
                  <c:v>-52.79</c:v>
                </c:pt>
                <c:pt idx="4722">
                  <c:v>-52.78</c:v>
                </c:pt>
                <c:pt idx="4723">
                  <c:v>-52.77</c:v>
                </c:pt>
                <c:pt idx="4724">
                  <c:v>-52.76</c:v>
                </c:pt>
                <c:pt idx="4725">
                  <c:v>-52.75</c:v>
                </c:pt>
                <c:pt idx="4726">
                  <c:v>-52.74</c:v>
                </c:pt>
                <c:pt idx="4727">
                  <c:v>-52.73</c:v>
                </c:pt>
                <c:pt idx="4728">
                  <c:v>-52.72</c:v>
                </c:pt>
                <c:pt idx="4729">
                  <c:v>-52.71</c:v>
                </c:pt>
                <c:pt idx="4730">
                  <c:v>-52.7</c:v>
                </c:pt>
                <c:pt idx="4731">
                  <c:v>-52.69</c:v>
                </c:pt>
                <c:pt idx="4732">
                  <c:v>-52.68</c:v>
                </c:pt>
                <c:pt idx="4733">
                  <c:v>-52.67</c:v>
                </c:pt>
                <c:pt idx="4734">
                  <c:v>-52.66</c:v>
                </c:pt>
                <c:pt idx="4735">
                  <c:v>-52.65</c:v>
                </c:pt>
                <c:pt idx="4736">
                  <c:v>-52.64</c:v>
                </c:pt>
                <c:pt idx="4737">
                  <c:v>-52.63</c:v>
                </c:pt>
                <c:pt idx="4738">
                  <c:v>-52.62</c:v>
                </c:pt>
                <c:pt idx="4739">
                  <c:v>-52.61</c:v>
                </c:pt>
                <c:pt idx="4740">
                  <c:v>-52.6</c:v>
                </c:pt>
                <c:pt idx="4741">
                  <c:v>-52.59</c:v>
                </c:pt>
                <c:pt idx="4742">
                  <c:v>-52.58</c:v>
                </c:pt>
                <c:pt idx="4743">
                  <c:v>-52.57</c:v>
                </c:pt>
                <c:pt idx="4744">
                  <c:v>-52.56</c:v>
                </c:pt>
                <c:pt idx="4745">
                  <c:v>-52.55</c:v>
                </c:pt>
                <c:pt idx="4746">
                  <c:v>-52.54</c:v>
                </c:pt>
                <c:pt idx="4747">
                  <c:v>-52.53</c:v>
                </c:pt>
                <c:pt idx="4748">
                  <c:v>-52.52</c:v>
                </c:pt>
                <c:pt idx="4749">
                  <c:v>-52.51</c:v>
                </c:pt>
                <c:pt idx="4750">
                  <c:v>-52.5</c:v>
                </c:pt>
                <c:pt idx="4751">
                  <c:v>-52.49</c:v>
                </c:pt>
                <c:pt idx="4752">
                  <c:v>-52.48</c:v>
                </c:pt>
                <c:pt idx="4753">
                  <c:v>-52.47</c:v>
                </c:pt>
                <c:pt idx="4754">
                  <c:v>-52.46</c:v>
                </c:pt>
                <c:pt idx="4755">
                  <c:v>-52.45</c:v>
                </c:pt>
                <c:pt idx="4756">
                  <c:v>-52.44</c:v>
                </c:pt>
                <c:pt idx="4757">
                  <c:v>-52.43</c:v>
                </c:pt>
                <c:pt idx="4758">
                  <c:v>-52.42</c:v>
                </c:pt>
                <c:pt idx="4759">
                  <c:v>-52.41</c:v>
                </c:pt>
                <c:pt idx="4760">
                  <c:v>-52.4</c:v>
                </c:pt>
                <c:pt idx="4761">
                  <c:v>-52.39</c:v>
                </c:pt>
                <c:pt idx="4762">
                  <c:v>-52.38</c:v>
                </c:pt>
                <c:pt idx="4763">
                  <c:v>-52.37</c:v>
                </c:pt>
                <c:pt idx="4764">
                  <c:v>-52.36</c:v>
                </c:pt>
                <c:pt idx="4765">
                  <c:v>-52.35</c:v>
                </c:pt>
                <c:pt idx="4766">
                  <c:v>-52.34</c:v>
                </c:pt>
                <c:pt idx="4767">
                  <c:v>-52.33</c:v>
                </c:pt>
                <c:pt idx="4768">
                  <c:v>-52.32</c:v>
                </c:pt>
                <c:pt idx="4769">
                  <c:v>-52.31</c:v>
                </c:pt>
                <c:pt idx="4770">
                  <c:v>-52.3</c:v>
                </c:pt>
                <c:pt idx="4771">
                  <c:v>-52.29</c:v>
                </c:pt>
                <c:pt idx="4772">
                  <c:v>-52.28</c:v>
                </c:pt>
                <c:pt idx="4773">
                  <c:v>-52.27</c:v>
                </c:pt>
                <c:pt idx="4774">
                  <c:v>-52.26</c:v>
                </c:pt>
                <c:pt idx="4775">
                  <c:v>-52.25</c:v>
                </c:pt>
                <c:pt idx="4776">
                  <c:v>-52.24</c:v>
                </c:pt>
                <c:pt idx="4777">
                  <c:v>-52.23</c:v>
                </c:pt>
                <c:pt idx="4778">
                  <c:v>-52.22</c:v>
                </c:pt>
                <c:pt idx="4779">
                  <c:v>-52.21</c:v>
                </c:pt>
                <c:pt idx="4780">
                  <c:v>-52.2</c:v>
                </c:pt>
                <c:pt idx="4781">
                  <c:v>-52.19</c:v>
                </c:pt>
                <c:pt idx="4782">
                  <c:v>-52.18</c:v>
                </c:pt>
                <c:pt idx="4783">
                  <c:v>-52.17</c:v>
                </c:pt>
                <c:pt idx="4784">
                  <c:v>-52.16</c:v>
                </c:pt>
                <c:pt idx="4785">
                  <c:v>-52.15</c:v>
                </c:pt>
                <c:pt idx="4786">
                  <c:v>-52.14</c:v>
                </c:pt>
                <c:pt idx="4787">
                  <c:v>-52.13</c:v>
                </c:pt>
                <c:pt idx="4788">
                  <c:v>-52.12</c:v>
                </c:pt>
                <c:pt idx="4789">
                  <c:v>-52.11</c:v>
                </c:pt>
                <c:pt idx="4790">
                  <c:v>-52.1</c:v>
                </c:pt>
                <c:pt idx="4791">
                  <c:v>-52.09</c:v>
                </c:pt>
                <c:pt idx="4792">
                  <c:v>-52.08</c:v>
                </c:pt>
                <c:pt idx="4793">
                  <c:v>-52.07</c:v>
                </c:pt>
                <c:pt idx="4794">
                  <c:v>-52.06</c:v>
                </c:pt>
                <c:pt idx="4795">
                  <c:v>-52.05</c:v>
                </c:pt>
                <c:pt idx="4796">
                  <c:v>-52.04</c:v>
                </c:pt>
                <c:pt idx="4797">
                  <c:v>-52.03</c:v>
                </c:pt>
                <c:pt idx="4798">
                  <c:v>-52.02</c:v>
                </c:pt>
                <c:pt idx="4799">
                  <c:v>-52.01</c:v>
                </c:pt>
                <c:pt idx="4800">
                  <c:v>-52.0</c:v>
                </c:pt>
                <c:pt idx="4801">
                  <c:v>-51.99</c:v>
                </c:pt>
                <c:pt idx="4802">
                  <c:v>-51.98</c:v>
                </c:pt>
                <c:pt idx="4803">
                  <c:v>-51.97</c:v>
                </c:pt>
                <c:pt idx="4804">
                  <c:v>-51.96</c:v>
                </c:pt>
                <c:pt idx="4805">
                  <c:v>-51.95</c:v>
                </c:pt>
                <c:pt idx="4806">
                  <c:v>-51.94</c:v>
                </c:pt>
                <c:pt idx="4807">
                  <c:v>-51.93</c:v>
                </c:pt>
                <c:pt idx="4808">
                  <c:v>-51.92</c:v>
                </c:pt>
                <c:pt idx="4809">
                  <c:v>-51.91</c:v>
                </c:pt>
                <c:pt idx="4810">
                  <c:v>-51.9</c:v>
                </c:pt>
                <c:pt idx="4811">
                  <c:v>-51.89</c:v>
                </c:pt>
                <c:pt idx="4812">
                  <c:v>-51.88</c:v>
                </c:pt>
                <c:pt idx="4813">
                  <c:v>-51.87</c:v>
                </c:pt>
                <c:pt idx="4814">
                  <c:v>-51.86</c:v>
                </c:pt>
                <c:pt idx="4815">
                  <c:v>-51.85</c:v>
                </c:pt>
                <c:pt idx="4816">
                  <c:v>-51.84</c:v>
                </c:pt>
                <c:pt idx="4817">
                  <c:v>-51.83</c:v>
                </c:pt>
                <c:pt idx="4818">
                  <c:v>-51.82</c:v>
                </c:pt>
                <c:pt idx="4819">
                  <c:v>-51.81</c:v>
                </c:pt>
                <c:pt idx="4820">
                  <c:v>-51.8</c:v>
                </c:pt>
                <c:pt idx="4821">
                  <c:v>-51.79</c:v>
                </c:pt>
                <c:pt idx="4822">
                  <c:v>-51.78</c:v>
                </c:pt>
                <c:pt idx="4823">
                  <c:v>-51.77</c:v>
                </c:pt>
                <c:pt idx="4824">
                  <c:v>-51.76</c:v>
                </c:pt>
                <c:pt idx="4825">
                  <c:v>-51.75</c:v>
                </c:pt>
                <c:pt idx="4826">
                  <c:v>-51.74</c:v>
                </c:pt>
                <c:pt idx="4827">
                  <c:v>-51.73</c:v>
                </c:pt>
                <c:pt idx="4828">
                  <c:v>-51.72</c:v>
                </c:pt>
                <c:pt idx="4829">
                  <c:v>-51.71</c:v>
                </c:pt>
                <c:pt idx="4830">
                  <c:v>-51.7</c:v>
                </c:pt>
                <c:pt idx="4831">
                  <c:v>-51.69</c:v>
                </c:pt>
                <c:pt idx="4832">
                  <c:v>-51.68</c:v>
                </c:pt>
                <c:pt idx="4833">
                  <c:v>-51.67</c:v>
                </c:pt>
                <c:pt idx="4834">
                  <c:v>-51.66</c:v>
                </c:pt>
                <c:pt idx="4835">
                  <c:v>-51.65</c:v>
                </c:pt>
                <c:pt idx="4836">
                  <c:v>-51.64</c:v>
                </c:pt>
                <c:pt idx="4837">
                  <c:v>-51.63</c:v>
                </c:pt>
                <c:pt idx="4838">
                  <c:v>-51.62</c:v>
                </c:pt>
                <c:pt idx="4839">
                  <c:v>-51.61</c:v>
                </c:pt>
                <c:pt idx="4840">
                  <c:v>-51.6</c:v>
                </c:pt>
                <c:pt idx="4841">
                  <c:v>-51.59</c:v>
                </c:pt>
                <c:pt idx="4842">
                  <c:v>-51.58</c:v>
                </c:pt>
                <c:pt idx="4843">
                  <c:v>-51.57</c:v>
                </c:pt>
                <c:pt idx="4844">
                  <c:v>-51.56</c:v>
                </c:pt>
                <c:pt idx="4845">
                  <c:v>-51.55</c:v>
                </c:pt>
                <c:pt idx="4846">
                  <c:v>-51.54</c:v>
                </c:pt>
                <c:pt idx="4847">
                  <c:v>-51.53</c:v>
                </c:pt>
                <c:pt idx="4848">
                  <c:v>-51.52</c:v>
                </c:pt>
                <c:pt idx="4849">
                  <c:v>-51.51</c:v>
                </c:pt>
                <c:pt idx="4850">
                  <c:v>-51.5</c:v>
                </c:pt>
                <c:pt idx="4851">
                  <c:v>-51.49</c:v>
                </c:pt>
                <c:pt idx="4852">
                  <c:v>-51.48</c:v>
                </c:pt>
                <c:pt idx="4853">
                  <c:v>-51.47</c:v>
                </c:pt>
                <c:pt idx="4854">
                  <c:v>-51.46</c:v>
                </c:pt>
                <c:pt idx="4855">
                  <c:v>-51.45</c:v>
                </c:pt>
                <c:pt idx="4856">
                  <c:v>-51.44</c:v>
                </c:pt>
                <c:pt idx="4857">
                  <c:v>-51.43</c:v>
                </c:pt>
                <c:pt idx="4858">
                  <c:v>-51.42</c:v>
                </c:pt>
                <c:pt idx="4859">
                  <c:v>-51.41</c:v>
                </c:pt>
                <c:pt idx="4860">
                  <c:v>-51.4</c:v>
                </c:pt>
                <c:pt idx="4861">
                  <c:v>-51.39</c:v>
                </c:pt>
                <c:pt idx="4862">
                  <c:v>-51.38</c:v>
                </c:pt>
                <c:pt idx="4863">
                  <c:v>-51.37</c:v>
                </c:pt>
                <c:pt idx="4864">
                  <c:v>-51.36</c:v>
                </c:pt>
                <c:pt idx="4865">
                  <c:v>-51.35</c:v>
                </c:pt>
                <c:pt idx="4866">
                  <c:v>-51.34</c:v>
                </c:pt>
                <c:pt idx="4867">
                  <c:v>-51.33</c:v>
                </c:pt>
                <c:pt idx="4868">
                  <c:v>-51.32</c:v>
                </c:pt>
                <c:pt idx="4869">
                  <c:v>-51.31</c:v>
                </c:pt>
                <c:pt idx="4870">
                  <c:v>-51.3</c:v>
                </c:pt>
                <c:pt idx="4871">
                  <c:v>-51.29</c:v>
                </c:pt>
                <c:pt idx="4872">
                  <c:v>-51.28</c:v>
                </c:pt>
                <c:pt idx="4873">
                  <c:v>-51.27</c:v>
                </c:pt>
                <c:pt idx="4874">
                  <c:v>-51.26</c:v>
                </c:pt>
                <c:pt idx="4875">
                  <c:v>-51.25</c:v>
                </c:pt>
                <c:pt idx="4876">
                  <c:v>-51.24</c:v>
                </c:pt>
                <c:pt idx="4877">
                  <c:v>-51.23</c:v>
                </c:pt>
                <c:pt idx="4878">
                  <c:v>-51.22</c:v>
                </c:pt>
                <c:pt idx="4879">
                  <c:v>-51.21</c:v>
                </c:pt>
                <c:pt idx="4880">
                  <c:v>-51.2</c:v>
                </c:pt>
                <c:pt idx="4881">
                  <c:v>-51.19</c:v>
                </c:pt>
                <c:pt idx="4882">
                  <c:v>-51.18</c:v>
                </c:pt>
                <c:pt idx="4883">
                  <c:v>-51.17</c:v>
                </c:pt>
                <c:pt idx="4884">
                  <c:v>-51.16</c:v>
                </c:pt>
                <c:pt idx="4885">
                  <c:v>-51.15</c:v>
                </c:pt>
                <c:pt idx="4886">
                  <c:v>-51.14</c:v>
                </c:pt>
                <c:pt idx="4887">
                  <c:v>-51.13</c:v>
                </c:pt>
                <c:pt idx="4888">
                  <c:v>-51.12</c:v>
                </c:pt>
                <c:pt idx="4889">
                  <c:v>-51.11</c:v>
                </c:pt>
                <c:pt idx="4890">
                  <c:v>-51.1</c:v>
                </c:pt>
                <c:pt idx="4891">
                  <c:v>-51.09</c:v>
                </c:pt>
                <c:pt idx="4892">
                  <c:v>-51.08</c:v>
                </c:pt>
                <c:pt idx="4893">
                  <c:v>-51.07</c:v>
                </c:pt>
                <c:pt idx="4894">
                  <c:v>-51.06</c:v>
                </c:pt>
                <c:pt idx="4895">
                  <c:v>-51.05</c:v>
                </c:pt>
                <c:pt idx="4896">
                  <c:v>-51.04</c:v>
                </c:pt>
                <c:pt idx="4897">
                  <c:v>-51.03</c:v>
                </c:pt>
                <c:pt idx="4898">
                  <c:v>-51.02</c:v>
                </c:pt>
                <c:pt idx="4899">
                  <c:v>-51.01</c:v>
                </c:pt>
                <c:pt idx="4900">
                  <c:v>-51.0</c:v>
                </c:pt>
                <c:pt idx="4901">
                  <c:v>-50.99</c:v>
                </c:pt>
                <c:pt idx="4902">
                  <c:v>-50.98</c:v>
                </c:pt>
                <c:pt idx="4903">
                  <c:v>-50.97</c:v>
                </c:pt>
                <c:pt idx="4904">
                  <c:v>-50.96</c:v>
                </c:pt>
                <c:pt idx="4905">
                  <c:v>-50.95</c:v>
                </c:pt>
                <c:pt idx="4906">
                  <c:v>-50.94</c:v>
                </c:pt>
                <c:pt idx="4907">
                  <c:v>-50.93</c:v>
                </c:pt>
                <c:pt idx="4908">
                  <c:v>-50.92</c:v>
                </c:pt>
                <c:pt idx="4909">
                  <c:v>-50.91</c:v>
                </c:pt>
                <c:pt idx="4910">
                  <c:v>-50.9</c:v>
                </c:pt>
                <c:pt idx="4911">
                  <c:v>-50.89</c:v>
                </c:pt>
                <c:pt idx="4912">
                  <c:v>-50.88</c:v>
                </c:pt>
                <c:pt idx="4913">
                  <c:v>-50.87</c:v>
                </c:pt>
                <c:pt idx="4914">
                  <c:v>-50.86</c:v>
                </c:pt>
                <c:pt idx="4915">
                  <c:v>-50.85</c:v>
                </c:pt>
                <c:pt idx="4916">
                  <c:v>-50.84</c:v>
                </c:pt>
                <c:pt idx="4917">
                  <c:v>-50.83</c:v>
                </c:pt>
                <c:pt idx="4918">
                  <c:v>-50.82</c:v>
                </c:pt>
                <c:pt idx="4919">
                  <c:v>-50.81</c:v>
                </c:pt>
                <c:pt idx="4920">
                  <c:v>-50.8</c:v>
                </c:pt>
                <c:pt idx="4921">
                  <c:v>-50.79</c:v>
                </c:pt>
                <c:pt idx="4922">
                  <c:v>-50.78</c:v>
                </c:pt>
                <c:pt idx="4923">
                  <c:v>-50.77</c:v>
                </c:pt>
                <c:pt idx="4924">
                  <c:v>-50.76</c:v>
                </c:pt>
                <c:pt idx="4925">
                  <c:v>-50.75</c:v>
                </c:pt>
                <c:pt idx="4926">
                  <c:v>-50.74</c:v>
                </c:pt>
                <c:pt idx="4927">
                  <c:v>-50.73</c:v>
                </c:pt>
                <c:pt idx="4928">
                  <c:v>-50.72</c:v>
                </c:pt>
                <c:pt idx="4929">
                  <c:v>-50.71</c:v>
                </c:pt>
                <c:pt idx="4930">
                  <c:v>-50.7</c:v>
                </c:pt>
                <c:pt idx="4931">
                  <c:v>-50.69</c:v>
                </c:pt>
                <c:pt idx="4932">
                  <c:v>-50.68</c:v>
                </c:pt>
                <c:pt idx="4933">
                  <c:v>-50.67</c:v>
                </c:pt>
                <c:pt idx="4934">
                  <c:v>-50.66</c:v>
                </c:pt>
                <c:pt idx="4935">
                  <c:v>-50.65</c:v>
                </c:pt>
                <c:pt idx="4936">
                  <c:v>-50.64</c:v>
                </c:pt>
                <c:pt idx="4937">
                  <c:v>-50.63</c:v>
                </c:pt>
                <c:pt idx="4938">
                  <c:v>-50.62</c:v>
                </c:pt>
                <c:pt idx="4939">
                  <c:v>-50.61</c:v>
                </c:pt>
                <c:pt idx="4940">
                  <c:v>-50.6</c:v>
                </c:pt>
                <c:pt idx="4941">
                  <c:v>-50.59</c:v>
                </c:pt>
                <c:pt idx="4942">
                  <c:v>-50.58</c:v>
                </c:pt>
                <c:pt idx="4943">
                  <c:v>-50.57</c:v>
                </c:pt>
                <c:pt idx="4944">
                  <c:v>-50.56</c:v>
                </c:pt>
                <c:pt idx="4945">
                  <c:v>-50.55</c:v>
                </c:pt>
                <c:pt idx="4946">
                  <c:v>-50.54</c:v>
                </c:pt>
                <c:pt idx="4947">
                  <c:v>-50.53</c:v>
                </c:pt>
                <c:pt idx="4948">
                  <c:v>-50.52</c:v>
                </c:pt>
                <c:pt idx="4949">
                  <c:v>-50.51</c:v>
                </c:pt>
                <c:pt idx="4950">
                  <c:v>-50.5</c:v>
                </c:pt>
                <c:pt idx="4951">
                  <c:v>-50.49</c:v>
                </c:pt>
                <c:pt idx="4952">
                  <c:v>-50.48</c:v>
                </c:pt>
                <c:pt idx="4953">
                  <c:v>-50.47</c:v>
                </c:pt>
                <c:pt idx="4954">
                  <c:v>-50.46</c:v>
                </c:pt>
                <c:pt idx="4955">
                  <c:v>-50.45</c:v>
                </c:pt>
                <c:pt idx="4956">
                  <c:v>-50.44</c:v>
                </c:pt>
                <c:pt idx="4957">
                  <c:v>-50.43</c:v>
                </c:pt>
                <c:pt idx="4958">
                  <c:v>-50.42</c:v>
                </c:pt>
                <c:pt idx="4959">
                  <c:v>-50.41</c:v>
                </c:pt>
                <c:pt idx="4960">
                  <c:v>-50.4</c:v>
                </c:pt>
                <c:pt idx="4961">
                  <c:v>-50.39</c:v>
                </c:pt>
                <c:pt idx="4962">
                  <c:v>-50.38</c:v>
                </c:pt>
                <c:pt idx="4963">
                  <c:v>-50.37</c:v>
                </c:pt>
                <c:pt idx="4964">
                  <c:v>-50.36</c:v>
                </c:pt>
                <c:pt idx="4965">
                  <c:v>-50.35</c:v>
                </c:pt>
                <c:pt idx="4966">
                  <c:v>-50.34</c:v>
                </c:pt>
                <c:pt idx="4967">
                  <c:v>-50.33</c:v>
                </c:pt>
                <c:pt idx="4968">
                  <c:v>-50.32</c:v>
                </c:pt>
                <c:pt idx="4969">
                  <c:v>-50.31</c:v>
                </c:pt>
                <c:pt idx="4970">
                  <c:v>-50.3</c:v>
                </c:pt>
                <c:pt idx="4971">
                  <c:v>-50.29</c:v>
                </c:pt>
                <c:pt idx="4972">
                  <c:v>-50.28</c:v>
                </c:pt>
                <c:pt idx="4973">
                  <c:v>-50.27</c:v>
                </c:pt>
                <c:pt idx="4974">
                  <c:v>-50.26</c:v>
                </c:pt>
                <c:pt idx="4975">
                  <c:v>-50.25</c:v>
                </c:pt>
                <c:pt idx="4976">
                  <c:v>-50.24</c:v>
                </c:pt>
                <c:pt idx="4977">
                  <c:v>-50.23</c:v>
                </c:pt>
                <c:pt idx="4978">
                  <c:v>-50.22</c:v>
                </c:pt>
                <c:pt idx="4979">
                  <c:v>-50.21</c:v>
                </c:pt>
                <c:pt idx="4980">
                  <c:v>-50.2</c:v>
                </c:pt>
                <c:pt idx="4981">
                  <c:v>-50.19</c:v>
                </c:pt>
                <c:pt idx="4982">
                  <c:v>-50.18</c:v>
                </c:pt>
                <c:pt idx="4983">
                  <c:v>-50.17</c:v>
                </c:pt>
                <c:pt idx="4984">
                  <c:v>-50.16</c:v>
                </c:pt>
                <c:pt idx="4985">
                  <c:v>-50.15</c:v>
                </c:pt>
                <c:pt idx="4986">
                  <c:v>-50.14</c:v>
                </c:pt>
                <c:pt idx="4987">
                  <c:v>-50.13</c:v>
                </c:pt>
                <c:pt idx="4988">
                  <c:v>-50.12</c:v>
                </c:pt>
                <c:pt idx="4989">
                  <c:v>-50.11</c:v>
                </c:pt>
                <c:pt idx="4990">
                  <c:v>-50.1</c:v>
                </c:pt>
                <c:pt idx="4991">
                  <c:v>-50.09</c:v>
                </c:pt>
                <c:pt idx="4992">
                  <c:v>-50.08</c:v>
                </c:pt>
                <c:pt idx="4993">
                  <c:v>-50.07</c:v>
                </c:pt>
                <c:pt idx="4994">
                  <c:v>-50.06</c:v>
                </c:pt>
                <c:pt idx="4995">
                  <c:v>-50.05</c:v>
                </c:pt>
                <c:pt idx="4996">
                  <c:v>-50.04</c:v>
                </c:pt>
                <c:pt idx="4997">
                  <c:v>-50.03</c:v>
                </c:pt>
                <c:pt idx="4998">
                  <c:v>-50.02</c:v>
                </c:pt>
                <c:pt idx="4999">
                  <c:v>-50.01</c:v>
                </c:pt>
                <c:pt idx="5000">
                  <c:v>-50.0</c:v>
                </c:pt>
                <c:pt idx="5001">
                  <c:v>-49.99</c:v>
                </c:pt>
                <c:pt idx="5002">
                  <c:v>-49.98</c:v>
                </c:pt>
                <c:pt idx="5003">
                  <c:v>-49.97</c:v>
                </c:pt>
                <c:pt idx="5004">
                  <c:v>-49.96</c:v>
                </c:pt>
                <c:pt idx="5005">
                  <c:v>-49.95</c:v>
                </c:pt>
                <c:pt idx="5006">
                  <c:v>-49.94</c:v>
                </c:pt>
                <c:pt idx="5007">
                  <c:v>-49.93</c:v>
                </c:pt>
                <c:pt idx="5008">
                  <c:v>-49.92</c:v>
                </c:pt>
                <c:pt idx="5009">
                  <c:v>-49.91</c:v>
                </c:pt>
                <c:pt idx="5010">
                  <c:v>-49.9</c:v>
                </c:pt>
                <c:pt idx="5011">
                  <c:v>-49.89</c:v>
                </c:pt>
                <c:pt idx="5012">
                  <c:v>-49.88</c:v>
                </c:pt>
                <c:pt idx="5013">
                  <c:v>-49.87</c:v>
                </c:pt>
                <c:pt idx="5014">
                  <c:v>-49.86</c:v>
                </c:pt>
                <c:pt idx="5015">
                  <c:v>-49.85</c:v>
                </c:pt>
                <c:pt idx="5016">
                  <c:v>-49.84</c:v>
                </c:pt>
                <c:pt idx="5017">
                  <c:v>-49.83</c:v>
                </c:pt>
                <c:pt idx="5018">
                  <c:v>-49.82</c:v>
                </c:pt>
                <c:pt idx="5019">
                  <c:v>-49.81</c:v>
                </c:pt>
                <c:pt idx="5020">
                  <c:v>-49.8</c:v>
                </c:pt>
                <c:pt idx="5021">
                  <c:v>-49.79</c:v>
                </c:pt>
                <c:pt idx="5022">
                  <c:v>-49.78</c:v>
                </c:pt>
                <c:pt idx="5023">
                  <c:v>-49.77</c:v>
                </c:pt>
                <c:pt idx="5024">
                  <c:v>-49.76</c:v>
                </c:pt>
                <c:pt idx="5025">
                  <c:v>-49.75</c:v>
                </c:pt>
                <c:pt idx="5026">
                  <c:v>-49.74</c:v>
                </c:pt>
                <c:pt idx="5027">
                  <c:v>-49.73</c:v>
                </c:pt>
                <c:pt idx="5028">
                  <c:v>-49.72</c:v>
                </c:pt>
                <c:pt idx="5029">
                  <c:v>-49.71</c:v>
                </c:pt>
                <c:pt idx="5030">
                  <c:v>-49.7</c:v>
                </c:pt>
                <c:pt idx="5031">
                  <c:v>-49.69</c:v>
                </c:pt>
                <c:pt idx="5032">
                  <c:v>-49.68</c:v>
                </c:pt>
                <c:pt idx="5033">
                  <c:v>-49.67</c:v>
                </c:pt>
                <c:pt idx="5034">
                  <c:v>-49.66</c:v>
                </c:pt>
                <c:pt idx="5035">
                  <c:v>-49.65</c:v>
                </c:pt>
                <c:pt idx="5036">
                  <c:v>-49.64</c:v>
                </c:pt>
                <c:pt idx="5037">
                  <c:v>-49.63</c:v>
                </c:pt>
                <c:pt idx="5038">
                  <c:v>-49.62</c:v>
                </c:pt>
                <c:pt idx="5039">
                  <c:v>-49.61</c:v>
                </c:pt>
                <c:pt idx="5040">
                  <c:v>-49.6</c:v>
                </c:pt>
                <c:pt idx="5041">
                  <c:v>-49.59</c:v>
                </c:pt>
                <c:pt idx="5042">
                  <c:v>-49.58</c:v>
                </c:pt>
                <c:pt idx="5043">
                  <c:v>-49.57</c:v>
                </c:pt>
                <c:pt idx="5044">
                  <c:v>-49.56</c:v>
                </c:pt>
                <c:pt idx="5045">
                  <c:v>-49.55</c:v>
                </c:pt>
                <c:pt idx="5046">
                  <c:v>-49.54</c:v>
                </c:pt>
                <c:pt idx="5047">
                  <c:v>-49.53</c:v>
                </c:pt>
                <c:pt idx="5048">
                  <c:v>-49.52</c:v>
                </c:pt>
                <c:pt idx="5049">
                  <c:v>-49.51</c:v>
                </c:pt>
                <c:pt idx="5050">
                  <c:v>-49.5</c:v>
                </c:pt>
                <c:pt idx="5051">
                  <c:v>-49.49</c:v>
                </c:pt>
                <c:pt idx="5052">
                  <c:v>-49.48</c:v>
                </c:pt>
                <c:pt idx="5053">
                  <c:v>-49.47</c:v>
                </c:pt>
                <c:pt idx="5054">
                  <c:v>-49.46</c:v>
                </c:pt>
                <c:pt idx="5055">
                  <c:v>-49.45</c:v>
                </c:pt>
                <c:pt idx="5056">
                  <c:v>-49.44</c:v>
                </c:pt>
                <c:pt idx="5057">
                  <c:v>-49.43</c:v>
                </c:pt>
                <c:pt idx="5058">
                  <c:v>-49.42</c:v>
                </c:pt>
                <c:pt idx="5059">
                  <c:v>-49.41</c:v>
                </c:pt>
                <c:pt idx="5060">
                  <c:v>-49.4</c:v>
                </c:pt>
                <c:pt idx="5061">
                  <c:v>-49.39</c:v>
                </c:pt>
                <c:pt idx="5062">
                  <c:v>-49.38</c:v>
                </c:pt>
                <c:pt idx="5063">
                  <c:v>-49.37</c:v>
                </c:pt>
                <c:pt idx="5064">
                  <c:v>-49.36</c:v>
                </c:pt>
                <c:pt idx="5065">
                  <c:v>-49.35</c:v>
                </c:pt>
                <c:pt idx="5066">
                  <c:v>-49.34</c:v>
                </c:pt>
                <c:pt idx="5067">
                  <c:v>-49.33</c:v>
                </c:pt>
                <c:pt idx="5068">
                  <c:v>-49.32</c:v>
                </c:pt>
                <c:pt idx="5069">
                  <c:v>-49.31</c:v>
                </c:pt>
                <c:pt idx="5070">
                  <c:v>-49.3</c:v>
                </c:pt>
                <c:pt idx="5071">
                  <c:v>-49.29</c:v>
                </c:pt>
                <c:pt idx="5072">
                  <c:v>-49.28</c:v>
                </c:pt>
                <c:pt idx="5073">
                  <c:v>-49.27</c:v>
                </c:pt>
                <c:pt idx="5074">
                  <c:v>-49.26</c:v>
                </c:pt>
                <c:pt idx="5075">
                  <c:v>-49.25</c:v>
                </c:pt>
                <c:pt idx="5076">
                  <c:v>-49.24</c:v>
                </c:pt>
                <c:pt idx="5077">
                  <c:v>-49.23</c:v>
                </c:pt>
                <c:pt idx="5078">
                  <c:v>-49.22</c:v>
                </c:pt>
                <c:pt idx="5079">
                  <c:v>-49.21</c:v>
                </c:pt>
                <c:pt idx="5080">
                  <c:v>-49.2</c:v>
                </c:pt>
                <c:pt idx="5081">
                  <c:v>-49.19</c:v>
                </c:pt>
                <c:pt idx="5082">
                  <c:v>-49.18</c:v>
                </c:pt>
                <c:pt idx="5083">
                  <c:v>-49.17</c:v>
                </c:pt>
                <c:pt idx="5084">
                  <c:v>-49.16</c:v>
                </c:pt>
                <c:pt idx="5085">
                  <c:v>-49.15</c:v>
                </c:pt>
                <c:pt idx="5086">
                  <c:v>-49.14</c:v>
                </c:pt>
                <c:pt idx="5087">
                  <c:v>-49.13</c:v>
                </c:pt>
                <c:pt idx="5088">
                  <c:v>-49.12</c:v>
                </c:pt>
                <c:pt idx="5089">
                  <c:v>-49.11</c:v>
                </c:pt>
                <c:pt idx="5090">
                  <c:v>-49.1</c:v>
                </c:pt>
                <c:pt idx="5091">
                  <c:v>-49.09</c:v>
                </c:pt>
                <c:pt idx="5092">
                  <c:v>-49.08</c:v>
                </c:pt>
                <c:pt idx="5093">
                  <c:v>-49.07</c:v>
                </c:pt>
                <c:pt idx="5094">
                  <c:v>-49.06</c:v>
                </c:pt>
                <c:pt idx="5095">
                  <c:v>-49.05</c:v>
                </c:pt>
                <c:pt idx="5096">
                  <c:v>-49.04</c:v>
                </c:pt>
                <c:pt idx="5097">
                  <c:v>-49.03</c:v>
                </c:pt>
                <c:pt idx="5098">
                  <c:v>-49.02</c:v>
                </c:pt>
                <c:pt idx="5099">
                  <c:v>-49.01</c:v>
                </c:pt>
                <c:pt idx="5100">
                  <c:v>-49.0</c:v>
                </c:pt>
                <c:pt idx="5101">
                  <c:v>-48.99</c:v>
                </c:pt>
                <c:pt idx="5102">
                  <c:v>-48.98</c:v>
                </c:pt>
                <c:pt idx="5103">
                  <c:v>-48.97</c:v>
                </c:pt>
                <c:pt idx="5104">
                  <c:v>-48.96</c:v>
                </c:pt>
                <c:pt idx="5105">
                  <c:v>-48.95</c:v>
                </c:pt>
                <c:pt idx="5106">
                  <c:v>-48.94</c:v>
                </c:pt>
                <c:pt idx="5107">
                  <c:v>-48.93</c:v>
                </c:pt>
                <c:pt idx="5108">
                  <c:v>-48.92</c:v>
                </c:pt>
                <c:pt idx="5109">
                  <c:v>-48.91</c:v>
                </c:pt>
                <c:pt idx="5110">
                  <c:v>-48.9</c:v>
                </c:pt>
                <c:pt idx="5111">
                  <c:v>-48.89</c:v>
                </c:pt>
                <c:pt idx="5112">
                  <c:v>-48.88</c:v>
                </c:pt>
                <c:pt idx="5113">
                  <c:v>-48.87</c:v>
                </c:pt>
                <c:pt idx="5114">
                  <c:v>-48.86</c:v>
                </c:pt>
                <c:pt idx="5115">
                  <c:v>-48.85</c:v>
                </c:pt>
                <c:pt idx="5116">
                  <c:v>-48.84</c:v>
                </c:pt>
                <c:pt idx="5117">
                  <c:v>-48.83</c:v>
                </c:pt>
                <c:pt idx="5118">
                  <c:v>-48.82</c:v>
                </c:pt>
                <c:pt idx="5119">
                  <c:v>-48.81</c:v>
                </c:pt>
                <c:pt idx="5120">
                  <c:v>-48.8</c:v>
                </c:pt>
                <c:pt idx="5121">
                  <c:v>-48.79</c:v>
                </c:pt>
                <c:pt idx="5122">
                  <c:v>-48.78</c:v>
                </c:pt>
                <c:pt idx="5123">
                  <c:v>-48.77</c:v>
                </c:pt>
                <c:pt idx="5124">
                  <c:v>-48.76</c:v>
                </c:pt>
                <c:pt idx="5125">
                  <c:v>-48.75</c:v>
                </c:pt>
                <c:pt idx="5126">
                  <c:v>-48.74</c:v>
                </c:pt>
                <c:pt idx="5127">
                  <c:v>-48.73</c:v>
                </c:pt>
                <c:pt idx="5128">
                  <c:v>-48.72</c:v>
                </c:pt>
                <c:pt idx="5129">
                  <c:v>-48.71</c:v>
                </c:pt>
                <c:pt idx="5130">
                  <c:v>-48.7</c:v>
                </c:pt>
                <c:pt idx="5131">
                  <c:v>-48.69</c:v>
                </c:pt>
                <c:pt idx="5132">
                  <c:v>-48.68</c:v>
                </c:pt>
                <c:pt idx="5133">
                  <c:v>-48.67</c:v>
                </c:pt>
                <c:pt idx="5134">
                  <c:v>-48.66</c:v>
                </c:pt>
                <c:pt idx="5135">
                  <c:v>-48.65</c:v>
                </c:pt>
                <c:pt idx="5136">
                  <c:v>-48.64</c:v>
                </c:pt>
                <c:pt idx="5137">
                  <c:v>-48.63</c:v>
                </c:pt>
                <c:pt idx="5138">
                  <c:v>-48.62</c:v>
                </c:pt>
                <c:pt idx="5139">
                  <c:v>-48.61</c:v>
                </c:pt>
                <c:pt idx="5140">
                  <c:v>-48.6</c:v>
                </c:pt>
                <c:pt idx="5141">
                  <c:v>-48.59</c:v>
                </c:pt>
                <c:pt idx="5142">
                  <c:v>-48.58</c:v>
                </c:pt>
                <c:pt idx="5143">
                  <c:v>-48.57</c:v>
                </c:pt>
                <c:pt idx="5144">
                  <c:v>-48.56</c:v>
                </c:pt>
                <c:pt idx="5145">
                  <c:v>-48.55</c:v>
                </c:pt>
                <c:pt idx="5146">
                  <c:v>-48.54</c:v>
                </c:pt>
                <c:pt idx="5147">
                  <c:v>-48.53</c:v>
                </c:pt>
                <c:pt idx="5148">
                  <c:v>-48.52</c:v>
                </c:pt>
                <c:pt idx="5149">
                  <c:v>-48.51</c:v>
                </c:pt>
                <c:pt idx="5150">
                  <c:v>-48.5</c:v>
                </c:pt>
                <c:pt idx="5151">
                  <c:v>-48.49</c:v>
                </c:pt>
                <c:pt idx="5152">
                  <c:v>-48.48</c:v>
                </c:pt>
                <c:pt idx="5153">
                  <c:v>-48.47</c:v>
                </c:pt>
                <c:pt idx="5154">
                  <c:v>-48.46</c:v>
                </c:pt>
                <c:pt idx="5155">
                  <c:v>-48.45</c:v>
                </c:pt>
                <c:pt idx="5156">
                  <c:v>-48.44</c:v>
                </c:pt>
                <c:pt idx="5157">
                  <c:v>-48.43</c:v>
                </c:pt>
                <c:pt idx="5158">
                  <c:v>-48.42</c:v>
                </c:pt>
                <c:pt idx="5159">
                  <c:v>-48.41</c:v>
                </c:pt>
                <c:pt idx="5160">
                  <c:v>-48.4</c:v>
                </c:pt>
                <c:pt idx="5161">
                  <c:v>-48.39</c:v>
                </c:pt>
                <c:pt idx="5162">
                  <c:v>-48.38</c:v>
                </c:pt>
                <c:pt idx="5163">
                  <c:v>-48.37</c:v>
                </c:pt>
                <c:pt idx="5164">
                  <c:v>-48.36</c:v>
                </c:pt>
                <c:pt idx="5165">
                  <c:v>-48.35</c:v>
                </c:pt>
                <c:pt idx="5166">
                  <c:v>-48.34</c:v>
                </c:pt>
                <c:pt idx="5167">
                  <c:v>-48.33</c:v>
                </c:pt>
                <c:pt idx="5168">
                  <c:v>-48.32</c:v>
                </c:pt>
                <c:pt idx="5169">
                  <c:v>-48.31</c:v>
                </c:pt>
                <c:pt idx="5170">
                  <c:v>-48.3</c:v>
                </c:pt>
                <c:pt idx="5171">
                  <c:v>-48.29</c:v>
                </c:pt>
                <c:pt idx="5172">
                  <c:v>-48.28</c:v>
                </c:pt>
                <c:pt idx="5173">
                  <c:v>-48.27</c:v>
                </c:pt>
                <c:pt idx="5174">
                  <c:v>-48.26</c:v>
                </c:pt>
                <c:pt idx="5175">
                  <c:v>-48.25</c:v>
                </c:pt>
                <c:pt idx="5176">
                  <c:v>-48.24</c:v>
                </c:pt>
                <c:pt idx="5177">
                  <c:v>-48.23</c:v>
                </c:pt>
                <c:pt idx="5178">
                  <c:v>-48.22</c:v>
                </c:pt>
                <c:pt idx="5179">
                  <c:v>-48.21</c:v>
                </c:pt>
                <c:pt idx="5180">
                  <c:v>-48.2</c:v>
                </c:pt>
                <c:pt idx="5181">
                  <c:v>-48.19</c:v>
                </c:pt>
                <c:pt idx="5182">
                  <c:v>-48.18</c:v>
                </c:pt>
                <c:pt idx="5183">
                  <c:v>-48.17</c:v>
                </c:pt>
                <c:pt idx="5184">
                  <c:v>-48.16</c:v>
                </c:pt>
                <c:pt idx="5185">
                  <c:v>-48.15</c:v>
                </c:pt>
                <c:pt idx="5186">
                  <c:v>-48.14</c:v>
                </c:pt>
                <c:pt idx="5187">
                  <c:v>-48.13</c:v>
                </c:pt>
                <c:pt idx="5188">
                  <c:v>-48.12</c:v>
                </c:pt>
                <c:pt idx="5189">
                  <c:v>-48.11</c:v>
                </c:pt>
                <c:pt idx="5190">
                  <c:v>-48.1</c:v>
                </c:pt>
                <c:pt idx="5191">
                  <c:v>-48.09</c:v>
                </c:pt>
                <c:pt idx="5192">
                  <c:v>-48.08</c:v>
                </c:pt>
                <c:pt idx="5193">
                  <c:v>-48.07</c:v>
                </c:pt>
                <c:pt idx="5194">
                  <c:v>-48.06</c:v>
                </c:pt>
                <c:pt idx="5195">
                  <c:v>-48.05</c:v>
                </c:pt>
                <c:pt idx="5196">
                  <c:v>-48.04</c:v>
                </c:pt>
                <c:pt idx="5197">
                  <c:v>-48.03</c:v>
                </c:pt>
                <c:pt idx="5198">
                  <c:v>-48.02</c:v>
                </c:pt>
                <c:pt idx="5199">
                  <c:v>-48.01</c:v>
                </c:pt>
                <c:pt idx="5200">
                  <c:v>-48.0</c:v>
                </c:pt>
                <c:pt idx="5201">
                  <c:v>-47.99</c:v>
                </c:pt>
                <c:pt idx="5202">
                  <c:v>-47.98</c:v>
                </c:pt>
                <c:pt idx="5203">
                  <c:v>-47.97</c:v>
                </c:pt>
                <c:pt idx="5204">
                  <c:v>-47.96</c:v>
                </c:pt>
                <c:pt idx="5205">
                  <c:v>-47.95</c:v>
                </c:pt>
                <c:pt idx="5206">
                  <c:v>-47.94</c:v>
                </c:pt>
                <c:pt idx="5207">
                  <c:v>-47.93</c:v>
                </c:pt>
                <c:pt idx="5208">
                  <c:v>-47.92</c:v>
                </c:pt>
                <c:pt idx="5209">
                  <c:v>-47.91</c:v>
                </c:pt>
                <c:pt idx="5210">
                  <c:v>-47.9</c:v>
                </c:pt>
                <c:pt idx="5211">
                  <c:v>-47.89</c:v>
                </c:pt>
                <c:pt idx="5212">
                  <c:v>-47.88</c:v>
                </c:pt>
                <c:pt idx="5213">
                  <c:v>-47.87</c:v>
                </c:pt>
                <c:pt idx="5214">
                  <c:v>-47.86</c:v>
                </c:pt>
                <c:pt idx="5215">
                  <c:v>-47.85</c:v>
                </c:pt>
                <c:pt idx="5216">
                  <c:v>-47.84</c:v>
                </c:pt>
                <c:pt idx="5217">
                  <c:v>-47.83</c:v>
                </c:pt>
                <c:pt idx="5218">
                  <c:v>-47.82</c:v>
                </c:pt>
                <c:pt idx="5219">
                  <c:v>-47.81</c:v>
                </c:pt>
                <c:pt idx="5220">
                  <c:v>-47.8</c:v>
                </c:pt>
                <c:pt idx="5221">
                  <c:v>-47.79</c:v>
                </c:pt>
                <c:pt idx="5222">
                  <c:v>-47.78</c:v>
                </c:pt>
                <c:pt idx="5223">
                  <c:v>-47.77</c:v>
                </c:pt>
                <c:pt idx="5224">
                  <c:v>-47.76</c:v>
                </c:pt>
                <c:pt idx="5225">
                  <c:v>-47.75</c:v>
                </c:pt>
                <c:pt idx="5226">
                  <c:v>-47.74</c:v>
                </c:pt>
                <c:pt idx="5227">
                  <c:v>-47.73</c:v>
                </c:pt>
                <c:pt idx="5228">
                  <c:v>-47.72</c:v>
                </c:pt>
                <c:pt idx="5229">
                  <c:v>-47.71</c:v>
                </c:pt>
                <c:pt idx="5230">
                  <c:v>-47.7</c:v>
                </c:pt>
                <c:pt idx="5231">
                  <c:v>-47.69</c:v>
                </c:pt>
                <c:pt idx="5232">
                  <c:v>-47.68</c:v>
                </c:pt>
                <c:pt idx="5233">
                  <c:v>-47.67</c:v>
                </c:pt>
                <c:pt idx="5234">
                  <c:v>-47.66</c:v>
                </c:pt>
                <c:pt idx="5235">
                  <c:v>-47.65</c:v>
                </c:pt>
                <c:pt idx="5236">
                  <c:v>-47.64</c:v>
                </c:pt>
                <c:pt idx="5237">
                  <c:v>-47.63</c:v>
                </c:pt>
                <c:pt idx="5238">
                  <c:v>-47.62</c:v>
                </c:pt>
                <c:pt idx="5239">
                  <c:v>-47.61</c:v>
                </c:pt>
                <c:pt idx="5240">
                  <c:v>-47.6</c:v>
                </c:pt>
                <c:pt idx="5241">
                  <c:v>-47.59</c:v>
                </c:pt>
                <c:pt idx="5242">
                  <c:v>-47.58</c:v>
                </c:pt>
                <c:pt idx="5243">
                  <c:v>-47.57</c:v>
                </c:pt>
                <c:pt idx="5244">
                  <c:v>-47.56</c:v>
                </c:pt>
                <c:pt idx="5245">
                  <c:v>-47.55</c:v>
                </c:pt>
                <c:pt idx="5246">
                  <c:v>-47.54</c:v>
                </c:pt>
                <c:pt idx="5247">
                  <c:v>-47.53</c:v>
                </c:pt>
                <c:pt idx="5248">
                  <c:v>-47.52</c:v>
                </c:pt>
                <c:pt idx="5249">
                  <c:v>-47.51</c:v>
                </c:pt>
                <c:pt idx="5250">
                  <c:v>-47.5</c:v>
                </c:pt>
                <c:pt idx="5251">
                  <c:v>-47.49</c:v>
                </c:pt>
                <c:pt idx="5252">
                  <c:v>-47.48</c:v>
                </c:pt>
                <c:pt idx="5253">
                  <c:v>-47.47</c:v>
                </c:pt>
                <c:pt idx="5254">
                  <c:v>-47.46</c:v>
                </c:pt>
                <c:pt idx="5255">
                  <c:v>-47.45</c:v>
                </c:pt>
                <c:pt idx="5256">
                  <c:v>-47.44</c:v>
                </c:pt>
                <c:pt idx="5257">
                  <c:v>-47.43</c:v>
                </c:pt>
                <c:pt idx="5258">
                  <c:v>-47.42</c:v>
                </c:pt>
                <c:pt idx="5259">
                  <c:v>-47.41</c:v>
                </c:pt>
                <c:pt idx="5260">
                  <c:v>-47.4</c:v>
                </c:pt>
                <c:pt idx="5261">
                  <c:v>-47.39</c:v>
                </c:pt>
                <c:pt idx="5262">
                  <c:v>-47.38</c:v>
                </c:pt>
                <c:pt idx="5263">
                  <c:v>-47.37</c:v>
                </c:pt>
                <c:pt idx="5264">
                  <c:v>-47.36</c:v>
                </c:pt>
                <c:pt idx="5265">
                  <c:v>-47.35</c:v>
                </c:pt>
                <c:pt idx="5266">
                  <c:v>-47.34</c:v>
                </c:pt>
                <c:pt idx="5267">
                  <c:v>-47.33</c:v>
                </c:pt>
                <c:pt idx="5268">
                  <c:v>-47.32</c:v>
                </c:pt>
                <c:pt idx="5269">
                  <c:v>-47.31</c:v>
                </c:pt>
                <c:pt idx="5270">
                  <c:v>-47.3</c:v>
                </c:pt>
                <c:pt idx="5271">
                  <c:v>-47.29</c:v>
                </c:pt>
                <c:pt idx="5272">
                  <c:v>-47.28</c:v>
                </c:pt>
                <c:pt idx="5273">
                  <c:v>-47.27</c:v>
                </c:pt>
                <c:pt idx="5274">
                  <c:v>-47.26</c:v>
                </c:pt>
                <c:pt idx="5275">
                  <c:v>-47.25</c:v>
                </c:pt>
                <c:pt idx="5276">
                  <c:v>-47.24</c:v>
                </c:pt>
                <c:pt idx="5277">
                  <c:v>-47.23</c:v>
                </c:pt>
                <c:pt idx="5278">
                  <c:v>-47.22</c:v>
                </c:pt>
                <c:pt idx="5279">
                  <c:v>-47.21</c:v>
                </c:pt>
                <c:pt idx="5280">
                  <c:v>-47.2</c:v>
                </c:pt>
                <c:pt idx="5281">
                  <c:v>-47.19</c:v>
                </c:pt>
                <c:pt idx="5282">
                  <c:v>-47.18</c:v>
                </c:pt>
                <c:pt idx="5283">
                  <c:v>-47.17</c:v>
                </c:pt>
                <c:pt idx="5284">
                  <c:v>-47.16</c:v>
                </c:pt>
                <c:pt idx="5285">
                  <c:v>-47.15</c:v>
                </c:pt>
                <c:pt idx="5286">
                  <c:v>-47.14</c:v>
                </c:pt>
                <c:pt idx="5287">
                  <c:v>-47.13</c:v>
                </c:pt>
                <c:pt idx="5288">
                  <c:v>-47.12</c:v>
                </c:pt>
                <c:pt idx="5289">
                  <c:v>-47.11</c:v>
                </c:pt>
                <c:pt idx="5290">
                  <c:v>-47.1</c:v>
                </c:pt>
                <c:pt idx="5291">
                  <c:v>-47.09</c:v>
                </c:pt>
                <c:pt idx="5292">
                  <c:v>-47.08</c:v>
                </c:pt>
                <c:pt idx="5293">
                  <c:v>-47.07</c:v>
                </c:pt>
                <c:pt idx="5294">
                  <c:v>-47.06</c:v>
                </c:pt>
                <c:pt idx="5295">
                  <c:v>-47.05</c:v>
                </c:pt>
                <c:pt idx="5296">
                  <c:v>-47.04</c:v>
                </c:pt>
                <c:pt idx="5297">
                  <c:v>-47.03</c:v>
                </c:pt>
                <c:pt idx="5298">
                  <c:v>-47.02</c:v>
                </c:pt>
                <c:pt idx="5299">
                  <c:v>-47.01</c:v>
                </c:pt>
                <c:pt idx="5300">
                  <c:v>-47.0</c:v>
                </c:pt>
                <c:pt idx="5301">
                  <c:v>-46.99</c:v>
                </c:pt>
                <c:pt idx="5302">
                  <c:v>-46.98</c:v>
                </c:pt>
                <c:pt idx="5303">
                  <c:v>-46.97</c:v>
                </c:pt>
                <c:pt idx="5304">
                  <c:v>-46.96</c:v>
                </c:pt>
                <c:pt idx="5305">
                  <c:v>-46.95</c:v>
                </c:pt>
                <c:pt idx="5306">
                  <c:v>-46.94</c:v>
                </c:pt>
                <c:pt idx="5307">
                  <c:v>-46.93</c:v>
                </c:pt>
                <c:pt idx="5308">
                  <c:v>-46.92</c:v>
                </c:pt>
                <c:pt idx="5309">
                  <c:v>-46.91</c:v>
                </c:pt>
                <c:pt idx="5310">
                  <c:v>-46.9</c:v>
                </c:pt>
                <c:pt idx="5311">
                  <c:v>-46.89</c:v>
                </c:pt>
                <c:pt idx="5312">
                  <c:v>-46.88</c:v>
                </c:pt>
                <c:pt idx="5313">
                  <c:v>-46.87</c:v>
                </c:pt>
                <c:pt idx="5314">
                  <c:v>-46.86</c:v>
                </c:pt>
                <c:pt idx="5315">
                  <c:v>-46.85</c:v>
                </c:pt>
                <c:pt idx="5316">
                  <c:v>-46.84</c:v>
                </c:pt>
                <c:pt idx="5317">
                  <c:v>-46.83</c:v>
                </c:pt>
                <c:pt idx="5318">
                  <c:v>-46.82</c:v>
                </c:pt>
                <c:pt idx="5319">
                  <c:v>-46.81</c:v>
                </c:pt>
                <c:pt idx="5320">
                  <c:v>-46.8</c:v>
                </c:pt>
                <c:pt idx="5321">
                  <c:v>-46.79</c:v>
                </c:pt>
                <c:pt idx="5322">
                  <c:v>-46.78</c:v>
                </c:pt>
                <c:pt idx="5323">
                  <c:v>-46.77</c:v>
                </c:pt>
                <c:pt idx="5324">
                  <c:v>-46.76</c:v>
                </c:pt>
                <c:pt idx="5325">
                  <c:v>-46.75</c:v>
                </c:pt>
                <c:pt idx="5326">
                  <c:v>-46.74</c:v>
                </c:pt>
                <c:pt idx="5327">
                  <c:v>-46.73</c:v>
                </c:pt>
                <c:pt idx="5328">
                  <c:v>-46.72</c:v>
                </c:pt>
                <c:pt idx="5329">
                  <c:v>-46.71</c:v>
                </c:pt>
                <c:pt idx="5330">
                  <c:v>-46.7</c:v>
                </c:pt>
                <c:pt idx="5331">
                  <c:v>-46.69</c:v>
                </c:pt>
                <c:pt idx="5332">
                  <c:v>-46.68</c:v>
                </c:pt>
                <c:pt idx="5333">
                  <c:v>-46.67</c:v>
                </c:pt>
                <c:pt idx="5334">
                  <c:v>-46.66</c:v>
                </c:pt>
                <c:pt idx="5335">
                  <c:v>-46.65</c:v>
                </c:pt>
                <c:pt idx="5336">
                  <c:v>-46.64</c:v>
                </c:pt>
                <c:pt idx="5337">
                  <c:v>-46.63</c:v>
                </c:pt>
                <c:pt idx="5338">
                  <c:v>-46.62</c:v>
                </c:pt>
                <c:pt idx="5339">
                  <c:v>-46.61</c:v>
                </c:pt>
                <c:pt idx="5340">
                  <c:v>-46.6</c:v>
                </c:pt>
                <c:pt idx="5341">
                  <c:v>-46.59</c:v>
                </c:pt>
                <c:pt idx="5342">
                  <c:v>-46.58</c:v>
                </c:pt>
                <c:pt idx="5343">
                  <c:v>-46.57</c:v>
                </c:pt>
                <c:pt idx="5344">
                  <c:v>-46.56</c:v>
                </c:pt>
                <c:pt idx="5345">
                  <c:v>-46.55</c:v>
                </c:pt>
                <c:pt idx="5346">
                  <c:v>-46.54</c:v>
                </c:pt>
                <c:pt idx="5347">
                  <c:v>-46.53</c:v>
                </c:pt>
                <c:pt idx="5348">
                  <c:v>-46.52</c:v>
                </c:pt>
                <c:pt idx="5349">
                  <c:v>-46.51</c:v>
                </c:pt>
                <c:pt idx="5350">
                  <c:v>-46.5</c:v>
                </c:pt>
                <c:pt idx="5351">
                  <c:v>-46.49</c:v>
                </c:pt>
                <c:pt idx="5352">
                  <c:v>-46.48</c:v>
                </c:pt>
                <c:pt idx="5353">
                  <c:v>-46.47</c:v>
                </c:pt>
                <c:pt idx="5354">
                  <c:v>-46.46</c:v>
                </c:pt>
                <c:pt idx="5355">
                  <c:v>-46.45</c:v>
                </c:pt>
                <c:pt idx="5356">
                  <c:v>-46.44</c:v>
                </c:pt>
                <c:pt idx="5357">
                  <c:v>-46.43</c:v>
                </c:pt>
                <c:pt idx="5358">
                  <c:v>-46.42</c:v>
                </c:pt>
                <c:pt idx="5359">
                  <c:v>-46.41</c:v>
                </c:pt>
                <c:pt idx="5360">
                  <c:v>-46.4</c:v>
                </c:pt>
                <c:pt idx="5361">
                  <c:v>-46.39</c:v>
                </c:pt>
                <c:pt idx="5362">
                  <c:v>-46.38</c:v>
                </c:pt>
                <c:pt idx="5363">
                  <c:v>-46.37</c:v>
                </c:pt>
                <c:pt idx="5364">
                  <c:v>-46.36</c:v>
                </c:pt>
                <c:pt idx="5365">
                  <c:v>-46.35</c:v>
                </c:pt>
                <c:pt idx="5366">
                  <c:v>-46.34</c:v>
                </c:pt>
                <c:pt idx="5367">
                  <c:v>-46.33</c:v>
                </c:pt>
                <c:pt idx="5368">
                  <c:v>-46.32</c:v>
                </c:pt>
                <c:pt idx="5369">
                  <c:v>-46.31</c:v>
                </c:pt>
                <c:pt idx="5370">
                  <c:v>-46.3</c:v>
                </c:pt>
                <c:pt idx="5371">
                  <c:v>-46.29</c:v>
                </c:pt>
                <c:pt idx="5372">
                  <c:v>-46.28</c:v>
                </c:pt>
                <c:pt idx="5373">
                  <c:v>-46.27</c:v>
                </c:pt>
                <c:pt idx="5374">
                  <c:v>-46.26</c:v>
                </c:pt>
                <c:pt idx="5375">
                  <c:v>-46.25</c:v>
                </c:pt>
                <c:pt idx="5376">
                  <c:v>-46.24</c:v>
                </c:pt>
                <c:pt idx="5377">
                  <c:v>-46.23</c:v>
                </c:pt>
                <c:pt idx="5378">
                  <c:v>-46.22</c:v>
                </c:pt>
                <c:pt idx="5379">
                  <c:v>-46.21</c:v>
                </c:pt>
                <c:pt idx="5380">
                  <c:v>-46.2</c:v>
                </c:pt>
                <c:pt idx="5381">
                  <c:v>-46.19</c:v>
                </c:pt>
                <c:pt idx="5382">
                  <c:v>-46.18</c:v>
                </c:pt>
                <c:pt idx="5383">
                  <c:v>-46.17</c:v>
                </c:pt>
                <c:pt idx="5384">
                  <c:v>-46.16</c:v>
                </c:pt>
                <c:pt idx="5385">
                  <c:v>-46.15</c:v>
                </c:pt>
                <c:pt idx="5386">
                  <c:v>-46.14</c:v>
                </c:pt>
                <c:pt idx="5387">
                  <c:v>-46.13</c:v>
                </c:pt>
                <c:pt idx="5388">
                  <c:v>-46.12</c:v>
                </c:pt>
                <c:pt idx="5389">
                  <c:v>-46.11</c:v>
                </c:pt>
                <c:pt idx="5390">
                  <c:v>-46.1</c:v>
                </c:pt>
                <c:pt idx="5391">
                  <c:v>-46.09</c:v>
                </c:pt>
                <c:pt idx="5392">
                  <c:v>-46.08</c:v>
                </c:pt>
                <c:pt idx="5393">
                  <c:v>-46.07</c:v>
                </c:pt>
                <c:pt idx="5394">
                  <c:v>-46.06</c:v>
                </c:pt>
                <c:pt idx="5395">
                  <c:v>-46.05</c:v>
                </c:pt>
                <c:pt idx="5396">
                  <c:v>-46.04</c:v>
                </c:pt>
                <c:pt idx="5397">
                  <c:v>-46.03</c:v>
                </c:pt>
                <c:pt idx="5398">
                  <c:v>-46.02</c:v>
                </c:pt>
                <c:pt idx="5399">
                  <c:v>-46.01</c:v>
                </c:pt>
                <c:pt idx="5400">
                  <c:v>-46.0</c:v>
                </c:pt>
                <c:pt idx="5401">
                  <c:v>-45.99</c:v>
                </c:pt>
                <c:pt idx="5402">
                  <c:v>-45.98</c:v>
                </c:pt>
                <c:pt idx="5403">
                  <c:v>-45.97</c:v>
                </c:pt>
                <c:pt idx="5404">
                  <c:v>-45.96</c:v>
                </c:pt>
                <c:pt idx="5405">
                  <c:v>-45.95</c:v>
                </c:pt>
                <c:pt idx="5406">
                  <c:v>-45.94</c:v>
                </c:pt>
                <c:pt idx="5407">
                  <c:v>-45.93</c:v>
                </c:pt>
                <c:pt idx="5408">
                  <c:v>-45.92</c:v>
                </c:pt>
                <c:pt idx="5409">
                  <c:v>-45.91</c:v>
                </c:pt>
                <c:pt idx="5410">
                  <c:v>-45.9</c:v>
                </c:pt>
                <c:pt idx="5411">
                  <c:v>-45.89</c:v>
                </c:pt>
                <c:pt idx="5412">
                  <c:v>-45.88</c:v>
                </c:pt>
                <c:pt idx="5413">
                  <c:v>-45.87</c:v>
                </c:pt>
                <c:pt idx="5414">
                  <c:v>-45.86</c:v>
                </c:pt>
                <c:pt idx="5415">
                  <c:v>-45.85</c:v>
                </c:pt>
                <c:pt idx="5416">
                  <c:v>-45.84</c:v>
                </c:pt>
                <c:pt idx="5417">
                  <c:v>-45.83</c:v>
                </c:pt>
                <c:pt idx="5418">
                  <c:v>-45.82</c:v>
                </c:pt>
                <c:pt idx="5419">
                  <c:v>-45.81</c:v>
                </c:pt>
                <c:pt idx="5420">
                  <c:v>-45.8</c:v>
                </c:pt>
                <c:pt idx="5421">
                  <c:v>-45.79</c:v>
                </c:pt>
                <c:pt idx="5422">
                  <c:v>-45.78</c:v>
                </c:pt>
                <c:pt idx="5423">
                  <c:v>-45.77</c:v>
                </c:pt>
                <c:pt idx="5424">
                  <c:v>-45.76</c:v>
                </c:pt>
                <c:pt idx="5425">
                  <c:v>-45.75</c:v>
                </c:pt>
                <c:pt idx="5426">
                  <c:v>-45.74</c:v>
                </c:pt>
                <c:pt idx="5427">
                  <c:v>-45.73</c:v>
                </c:pt>
                <c:pt idx="5428">
                  <c:v>-45.72</c:v>
                </c:pt>
                <c:pt idx="5429">
                  <c:v>-45.71</c:v>
                </c:pt>
                <c:pt idx="5430">
                  <c:v>-45.7</c:v>
                </c:pt>
                <c:pt idx="5431">
                  <c:v>-45.69</c:v>
                </c:pt>
                <c:pt idx="5432">
                  <c:v>-45.68</c:v>
                </c:pt>
                <c:pt idx="5433">
                  <c:v>-45.67</c:v>
                </c:pt>
                <c:pt idx="5434">
                  <c:v>-45.66</c:v>
                </c:pt>
                <c:pt idx="5435">
                  <c:v>-45.65</c:v>
                </c:pt>
                <c:pt idx="5436">
                  <c:v>-45.64</c:v>
                </c:pt>
                <c:pt idx="5437">
                  <c:v>-45.63</c:v>
                </c:pt>
                <c:pt idx="5438">
                  <c:v>-45.62</c:v>
                </c:pt>
                <c:pt idx="5439">
                  <c:v>-45.61</c:v>
                </c:pt>
                <c:pt idx="5440">
                  <c:v>-45.6</c:v>
                </c:pt>
                <c:pt idx="5441">
                  <c:v>-45.59</c:v>
                </c:pt>
                <c:pt idx="5442">
                  <c:v>-45.58</c:v>
                </c:pt>
                <c:pt idx="5443">
                  <c:v>-45.57</c:v>
                </c:pt>
                <c:pt idx="5444">
                  <c:v>-45.56</c:v>
                </c:pt>
                <c:pt idx="5445">
                  <c:v>-45.55</c:v>
                </c:pt>
                <c:pt idx="5446">
                  <c:v>-45.54</c:v>
                </c:pt>
                <c:pt idx="5447">
                  <c:v>-45.53</c:v>
                </c:pt>
                <c:pt idx="5448">
                  <c:v>-45.52</c:v>
                </c:pt>
                <c:pt idx="5449">
                  <c:v>-45.51</c:v>
                </c:pt>
                <c:pt idx="5450">
                  <c:v>-45.5</c:v>
                </c:pt>
                <c:pt idx="5451">
                  <c:v>-45.49</c:v>
                </c:pt>
                <c:pt idx="5452">
                  <c:v>-45.48</c:v>
                </c:pt>
                <c:pt idx="5453">
                  <c:v>-45.47</c:v>
                </c:pt>
                <c:pt idx="5454">
                  <c:v>-45.46</c:v>
                </c:pt>
                <c:pt idx="5455">
                  <c:v>-45.45</c:v>
                </c:pt>
                <c:pt idx="5456">
                  <c:v>-45.44</c:v>
                </c:pt>
                <c:pt idx="5457">
                  <c:v>-45.43</c:v>
                </c:pt>
                <c:pt idx="5458">
                  <c:v>-45.42</c:v>
                </c:pt>
                <c:pt idx="5459">
                  <c:v>-45.41</c:v>
                </c:pt>
                <c:pt idx="5460">
                  <c:v>-45.4</c:v>
                </c:pt>
                <c:pt idx="5461">
                  <c:v>-45.39</c:v>
                </c:pt>
                <c:pt idx="5462">
                  <c:v>-45.38</c:v>
                </c:pt>
                <c:pt idx="5463">
                  <c:v>-45.37</c:v>
                </c:pt>
                <c:pt idx="5464">
                  <c:v>-45.36</c:v>
                </c:pt>
                <c:pt idx="5465">
                  <c:v>-45.35</c:v>
                </c:pt>
                <c:pt idx="5466">
                  <c:v>-45.34</c:v>
                </c:pt>
                <c:pt idx="5467">
                  <c:v>-45.33</c:v>
                </c:pt>
                <c:pt idx="5468">
                  <c:v>-45.32</c:v>
                </c:pt>
                <c:pt idx="5469">
                  <c:v>-45.31</c:v>
                </c:pt>
                <c:pt idx="5470">
                  <c:v>-45.3</c:v>
                </c:pt>
                <c:pt idx="5471">
                  <c:v>-45.29</c:v>
                </c:pt>
                <c:pt idx="5472">
                  <c:v>-45.28</c:v>
                </c:pt>
                <c:pt idx="5473">
                  <c:v>-45.27</c:v>
                </c:pt>
                <c:pt idx="5474">
                  <c:v>-45.26</c:v>
                </c:pt>
                <c:pt idx="5475">
                  <c:v>-45.25</c:v>
                </c:pt>
                <c:pt idx="5476">
                  <c:v>-45.24</c:v>
                </c:pt>
                <c:pt idx="5477">
                  <c:v>-45.23</c:v>
                </c:pt>
                <c:pt idx="5478">
                  <c:v>-45.22</c:v>
                </c:pt>
                <c:pt idx="5479">
                  <c:v>-45.21</c:v>
                </c:pt>
                <c:pt idx="5480">
                  <c:v>-45.2</c:v>
                </c:pt>
                <c:pt idx="5481">
                  <c:v>-45.19</c:v>
                </c:pt>
                <c:pt idx="5482">
                  <c:v>-45.18</c:v>
                </c:pt>
                <c:pt idx="5483">
                  <c:v>-45.17</c:v>
                </c:pt>
                <c:pt idx="5484">
                  <c:v>-45.16</c:v>
                </c:pt>
                <c:pt idx="5485">
                  <c:v>-45.15</c:v>
                </c:pt>
                <c:pt idx="5486">
                  <c:v>-45.14</c:v>
                </c:pt>
                <c:pt idx="5487">
                  <c:v>-45.13</c:v>
                </c:pt>
                <c:pt idx="5488">
                  <c:v>-45.12</c:v>
                </c:pt>
                <c:pt idx="5489">
                  <c:v>-45.11</c:v>
                </c:pt>
                <c:pt idx="5490">
                  <c:v>-45.1</c:v>
                </c:pt>
                <c:pt idx="5491">
                  <c:v>-45.09</c:v>
                </c:pt>
                <c:pt idx="5492">
                  <c:v>-45.08</c:v>
                </c:pt>
                <c:pt idx="5493">
                  <c:v>-45.07</c:v>
                </c:pt>
                <c:pt idx="5494">
                  <c:v>-45.06</c:v>
                </c:pt>
                <c:pt idx="5495">
                  <c:v>-45.05</c:v>
                </c:pt>
                <c:pt idx="5496">
                  <c:v>-45.04</c:v>
                </c:pt>
                <c:pt idx="5497">
                  <c:v>-45.03</c:v>
                </c:pt>
                <c:pt idx="5498">
                  <c:v>-45.02</c:v>
                </c:pt>
                <c:pt idx="5499">
                  <c:v>-45.01</c:v>
                </c:pt>
                <c:pt idx="5500">
                  <c:v>-45.0</c:v>
                </c:pt>
                <c:pt idx="5501">
                  <c:v>-44.99</c:v>
                </c:pt>
                <c:pt idx="5502">
                  <c:v>-44.98</c:v>
                </c:pt>
                <c:pt idx="5503">
                  <c:v>-44.97</c:v>
                </c:pt>
                <c:pt idx="5504">
                  <c:v>-44.96</c:v>
                </c:pt>
                <c:pt idx="5505">
                  <c:v>-44.95</c:v>
                </c:pt>
                <c:pt idx="5506">
                  <c:v>-44.94</c:v>
                </c:pt>
                <c:pt idx="5507">
                  <c:v>-44.93</c:v>
                </c:pt>
                <c:pt idx="5508">
                  <c:v>-44.92</c:v>
                </c:pt>
                <c:pt idx="5509">
                  <c:v>-44.91</c:v>
                </c:pt>
                <c:pt idx="5510">
                  <c:v>-44.9</c:v>
                </c:pt>
                <c:pt idx="5511">
                  <c:v>-44.89</c:v>
                </c:pt>
                <c:pt idx="5512">
                  <c:v>-44.88</c:v>
                </c:pt>
                <c:pt idx="5513">
                  <c:v>-44.87</c:v>
                </c:pt>
                <c:pt idx="5514">
                  <c:v>-44.86</c:v>
                </c:pt>
                <c:pt idx="5515">
                  <c:v>-44.85</c:v>
                </c:pt>
                <c:pt idx="5516">
                  <c:v>-44.84</c:v>
                </c:pt>
                <c:pt idx="5517">
                  <c:v>-44.83</c:v>
                </c:pt>
                <c:pt idx="5518">
                  <c:v>-44.82</c:v>
                </c:pt>
                <c:pt idx="5519">
                  <c:v>-44.81</c:v>
                </c:pt>
                <c:pt idx="5520">
                  <c:v>-44.8</c:v>
                </c:pt>
                <c:pt idx="5521">
                  <c:v>-44.79</c:v>
                </c:pt>
                <c:pt idx="5522">
                  <c:v>-44.78</c:v>
                </c:pt>
                <c:pt idx="5523">
                  <c:v>-44.77</c:v>
                </c:pt>
                <c:pt idx="5524">
                  <c:v>-44.76</c:v>
                </c:pt>
                <c:pt idx="5525">
                  <c:v>-44.75</c:v>
                </c:pt>
                <c:pt idx="5526">
                  <c:v>-44.74</c:v>
                </c:pt>
                <c:pt idx="5527">
                  <c:v>-44.73</c:v>
                </c:pt>
                <c:pt idx="5528">
                  <c:v>-44.72</c:v>
                </c:pt>
                <c:pt idx="5529">
                  <c:v>-44.71</c:v>
                </c:pt>
                <c:pt idx="5530">
                  <c:v>-44.7</c:v>
                </c:pt>
                <c:pt idx="5531">
                  <c:v>-44.69</c:v>
                </c:pt>
                <c:pt idx="5532">
                  <c:v>-44.68</c:v>
                </c:pt>
                <c:pt idx="5533">
                  <c:v>-44.67</c:v>
                </c:pt>
                <c:pt idx="5534">
                  <c:v>-44.66</c:v>
                </c:pt>
                <c:pt idx="5535">
                  <c:v>-44.65</c:v>
                </c:pt>
                <c:pt idx="5536">
                  <c:v>-44.64</c:v>
                </c:pt>
                <c:pt idx="5537">
                  <c:v>-44.63</c:v>
                </c:pt>
                <c:pt idx="5538">
                  <c:v>-44.62</c:v>
                </c:pt>
                <c:pt idx="5539">
                  <c:v>-44.61</c:v>
                </c:pt>
                <c:pt idx="5540">
                  <c:v>-44.6</c:v>
                </c:pt>
                <c:pt idx="5541">
                  <c:v>-44.59</c:v>
                </c:pt>
                <c:pt idx="5542">
                  <c:v>-44.58</c:v>
                </c:pt>
                <c:pt idx="5543">
                  <c:v>-44.57</c:v>
                </c:pt>
                <c:pt idx="5544">
                  <c:v>-44.56</c:v>
                </c:pt>
                <c:pt idx="5545">
                  <c:v>-44.55</c:v>
                </c:pt>
                <c:pt idx="5546">
                  <c:v>-44.54</c:v>
                </c:pt>
                <c:pt idx="5547">
                  <c:v>-44.53</c:v>
                </c:pt>
                <c:pt idx="5548">
                  <c:v>-44.52</c:v>
                </c:pt>
                <c:pt idx="5549">
                  <c:v>-44.51</c:v>
                </c:pt>
                <c:pt idx="5550">
                  <c:v>-44.5</c:v>
                </c:pt>
                <c:pt idx="5551">
                  <c:v>-44.49</c:v>
                </c:pt>
                <c:pt idx="5552">
                  <c:v>-44.48</c:v>
                </c:pt>
                <c:pt idx="5553">
                  <c:v>-44.47</c:v>
                </c:pt>
                <c:pt idx="5554">
                  <c:v>-44.46</c:v>
                </c:pt>
                <c:pt idx="5555">
                  <c:v>-44.45</c:v>
                </c:pt>
                <c:pt idx="5556">
                  <c:v>-44.44</c:v>
                </c:pt>
                <c:pt idx="5557">
                  <c:v>-44.43</c:v>
                </c:pt>
                <c:pt idx="5558">
                  <c:v>-44.42</c:v>
                </c:pt>
                <c:pt idx="5559">
                  <c:v>-44.41</c:v>
                </c:pt>
                <c:pt idx="5560">
                  <c:v>-44.4</c:v>
                </c:pt>
                <c:pt idx="5561">
                  <c:v>-44.39</c:v>
                </c:pt>
                <c:pt idx="5562">
                  <c:v>-44.38</c:v>
                </c:pt>
                <c:pt idx="5563">
                  <c:v>-44.37</c:v>
                </c:pt>
                <c:pt idx="5564">
                  <c:v>-44.36</c:v>
                </c:pt>
                <c:pt idx="5565">
                  <c:v>-44.35</c:v>
                </c:pt>
                <c:pt idx="5566">
                  <c:v>-44.34</c:v>
                </c:pt>
                <c:pt idx="5567">
                  <c:v>-44.33</c:v>
                </c:pt>
                <c:pt idx="5568">
                  <c:v>-44.32</c:v>
                </c:pt>
                <c:pt idx="5569">
                  <c:v>-44.31</c:v>
                </c:pt>
                <c:pt idx="5570">
                  <c:v>-44.3</c:v>
                </c:pt>
                <c:pt idx="5571">
                  <c:v>-44.29</c:v>
                </c:pt>
                <c:pt idx="5572">
                  <c:v>-44.28</c:v>
                </c:pt>
                <c:pt idx="5573">
                  <c:v>-44.27</c:v>
                </c:pt>
                <c:pt idx="5574">
                  <c:v>-44.26</c:v>
                </c:pt>
                <c:pt idx="5575">
                  <c:v>-44.25</c:v>
                </c:pt>
                <c:pt idx="5576">
                  <c:v>-44.24</c:v>
                </c:pt>
                <c:pt idx="5577">
                  <c:v>-44.23</c:v>
                </c:pt>
                <c:pt idx="5578">
                  <c:v>-44.22</c:v>
                </c:pt>
                <c:pt idx="5579">
                  <c:v>-44.21</c:v>
                </c:pt>
                <c:pt idx="5580">
                  <c:v>-44.2</c:v>
                </c:pt>
                <c:pt idx="5581">
                  <c:v>-44.19</c:v>
                </c:pt>
                <c:pt idx="5582">
                  <c:v>-44.18</c:v>
                </c:pt>
                <c:pt idx="5583">
                  <c:v>-44.17</c:v>
                </c:pt>
                <c:pt idx="5584">
                  <c:v>-44.16</c:v>
                </c:pt>
                <c:pt idx="5585">
                  <c:v>-44.15</c:v>
                </c:pt>
                <c:pt idx="5586">
                  <c:v>-44.14</c:v>
                </c:pt>
                <c:pt idx="5587">
                  <c:v>-44.13</c:v>
                </c:pt>
                <c:pt idx="5588">
                  <c:v>-44.12</c:v>
                </c:pt>
                <c:pt idx="5589">
                  <c:v>-44.11</c:v>
                </c:pt>
                <c:pt idx="5590">
                  <c:v>-44.1</c:v>
                </c:pt>
                <c:pt idx="5591">
                  <c:v>-44.09</c:v>
                </c:pt>
                <c:pt idx="5592">
                  <c:v>-44.08</c:v>
                </c:pt>
                <c:pt idx="5593">
                  <c:v>-44.07</c:v>
                </c:pt>
                <c:pt idx="5594">
                  <c:v>-44.06</c:v>
                </c:pt>
                <c:pt idx="5595">
                  <c:v>-44.05</c:v>
                </c:pt>
                <c:pt idx="5596">
                  <c:v>-44.04</c:v>
                </c:pt>
                <c:pt idx="5597">
                  <c:v>-44.03</c:v>
                </c:pt>
                <c:pt idx="5598">
                  <c:v>-44.02</c:v>
                </c:pt>
                <c:pt idx="5599">
                  <c:v>-44.01</c:v>
                </c:pt>
                <c:pt idx="5600">
                  <c:v>-44.0</c:v>
                </c:pt>
                <c:pt idx="5601">
                  <c:v>-43.99</c:v>
                </c:pt>
                <c:pt idx="5602">
                  <c:v>-43.98</c:v>
                </c:pt>
                <c:pt idx="5603">
                  <c:v>-43.97</c:v>
                </c:pt>
                <c:pt idx="5604">
                  <c:v>-43.96</c:v>
                </c:pt>
                <c:pt idx="5605">
                  <c:v>-43.95</c:v>
                </c:pt>
                <c:pt idx="5606">
                  <c:v>-43.94</c:v>
                </c:pt>
                <c:pt idx="5607">
                  <c:v>-43.93</c:v>
                </c:pt>
                <c:pt idx="5608">
                  <c:v>-43.92</c:v>
                </c:pt>
                <c:pt idx="5609">
                  <c:v>-43.91</c:v>
                </c:pt>
                <c:pt idx="5610">
                  <c:v>-43.9</c:v>
                </c:pt>
                <c:pt idx="5611">
                  <c:v>-43.89</c:v>
                </c:pt>
                <c:pt idx="5612">
                  <c:v>-43.88</c:v>
                </c:pt>
                <c:pt idx="5613">
                  <c:v>-43.87</c:v>
                </c:pt>
                <c:pt idx="5614">
                  <c:v>-43.86</c:v>
                </c:pt>
                <c:pt idx="5615">
                  <c:v>-43.85</c:v>
                </c:pt>
                <c:pt idx="5616">
                  <c:v>-43.84</c:v>
                </c:pt>
                <c:pt idx="5617">
                  <c:v>-43.83</c:v>
                </c:pt>
                <c:pt idx="5618">
                  <c:v>-43.82</c:v>
                </c:pt>
                <c:pt idx="5619">
                  <c:v>-43.81</c:v>
                </c:pt>
                <c:pt idx="5620">
                  <c:v>-43.8</c:v>
                </c:pt>
                <c:pt idx="5621">
                  <c:v>-43.79</c:v>
                </c:pt>
                <c:pt idx="5622">
                  <c:v>-43.78</c:v>
                </c:pt>
                <c:pt idx="5623">
                  <c:v>-43.77</c:v>
                </c:pt>
                <c:pt idx="5624">
                  <c:v>-43.76</c:v>
                </c:pt>
                <c:pt idx="5625">
                  <c:v>-43.75</c:v>
                </c:pt>
                <c:pt idx="5626">
                  <c:v>-43.74</c:v>
                </c:pt>
                <c:pt idx="5627">
                  <c:v>-43.73</c:v>
                </c:pt>
                <c:pt idx="5628">
                  <c:v>-43.72</c:v>
                </c:pt>
                <c:pt idx="5629">
                  <c:v>-43.71</c:v>
                </c:pt>
                <c:pt idx="5630">
                  <c:v>-43.7</c:v>
                </c:pt>
                <c:pt idx="5631">
                  <c:v>-43.69</c:v>
                </c:pt>
                <c:pt idx="5632">
                  <c:v>-43.68</c:v>
                </c:pt>
                <c:pt idx="5633">
                  <c:v>-43.67</c:v>
                </c:pt>
                <c:pt idx="5634">
                  <c:v>-43.66</c:v>
                </c:pt>
                <c:pt idx="5635">
                  <c:v>-43.65</c:v>
                </c:pt>
                <c:pt idx="5636">
                  <c:v>-43.64</c:v>
                </c:pt>
                <c:pt idx="5637">
                  <c:v>-43.63</c:v>
                </c:pt>
                <c:pt idx="5638">
                  <c:v>-43.62</c:v>
                </c:pt>
                <c:pt idx="5639">
                  <c:v>-43.61</c:v>
                </c:pt>
                <c:pt idx="5640">
                  <c:v>-43.6</c:v>
                </c:pt>
                <c:pt idx="5641">
                  <c:v>-43.59</c:v>
                </c:pt>
                <c:pt idx="5642">
                  <c:v>-43.58</c:v>
                </c:pt>
                <c:pt idx="5643">
                  <c:v>-43.57</c:v>
                </c:pt>
                <c:pt idx="5644">
                  <c:v>-43.56</c:v>
                </c:pt>
                <c:pt idx="5645">
                  <c:v>-43.55</c:v>
                </c:pt>
                <c:pt idx="5646">
                  <c:v>-43.54</c:v>
                </c:pt>
                <c:pt idx="5647">
                  <c:v>-43.53</c:v>
                </c:pt>
                <c:pt idx="5648">
                  <c:v>-43.52</c:v>
                </c:pt>
                <c:pt idx="5649">
                  <c:v>-43.51</c:v>
                </c:pt>
                <c:pt idx="5650">
                  <c:v>-43.5</c:v>
                </c:pt>
                <c:pt idx="5651">
                  <c:v>-43.49</c:v>
                </c:pt>
                <c:pt idx="5652">
                  <c:v>-43.48</c:v>
                </c:pt>
                <c:pt idx="5653">
                  <c:v>-43.47</c:v>
                </c:pt>
                <c:pt idx="5654">
                  <c:v>-43.46</c:v>
                </c:pt>
                <c:pt idx="5655">
                  <c:v>-43.45</c:v>
                </c:pt>
                <c:pt idx="5656">
                  <c:v>-43.44</c:v>
                </c:pt>
                <c:pt idx="5657">
                  <c:v>-43.43</c:v>
                </c:pt>
                <c:pt idx="5658">
                  <c:v>-43.42</c:v>
                </c:pt>
                <c:pt idx="5659">
                  <c:v>-43.41</c:v>
                </c:pt>
                <c:pt idx="5660">
                  <c:v>-43.4</c:v>
                </c:pt>
                <c:pt idx="5661">
                  <c:v>-43.39</c:v>
                </c:pt>
                <c:pt idx="5662">
                  <c:v>-43.38</c:v>
                </c:pt>
                <c:pt idx="5663">
                  <c:v>-43.37</c:v>
                </c:pt>
                <c:pt idx="5664">
                  <c:v>-43.36</c:v>
                </c:pt>
                <c:pt idx="5665">
                  <c:v>-43.35</c:v>
                </c:pt>
                <c:pt idx="5666">
                  <c:v>-43.34</c:v>
                </c:pt>
                <c:pt idx="5667">
                  <c:v>-43.33</c:v>
                </c:pt>
                <c:pt idx="5668">
                  <c:v>-43.32</c:v>
                </c:pt>
                <c:pt idx="5669">
                  <c:v>-43.31</c:v>
                </c:pt>
                <c:pt idx="5670">
                  <c:v>-43.3</c:v>
                </c:pt>
                <c:pt idx="5671">
                  <c:v>-43.29</c:v>
                </c:pt>
                <c:pt idx="5672">
                  <c:v>-43.28</c:v>
                </c:pt>
                <c:pt idx="5673">
                  <c:v>-43.27</c:v>
                </c:pt>
                <c:pt idx="5674">
                  <c:v>-43.26</c:v>
                </c:pt>
                <c:pt idx="5675">
                  <c:v>-43.25</c:v>
                </c:pt>
                <c:pt idx="5676">
                  <c:v>-43.24</c:v>
                </c:pt>
                <c:pt idx="5677">
                  <c:v>-43.23</c:v>
                </c:pt>
                <c:pt idx="5678">
                  <c:v>-43.22</c:v>
                </c:pt>
                <c:pt idx="5679">
                  <c:v>-43.21</c:v>
                </c:pt>
                <c:pt idx="5680">
                  <c:v>-43.2</c:v>
                </c:pt>
                <c:pt idx="5681">
                  <c:v>-43.19</c:v>
                </c:pt>
                <c:pt idx="5682">
                  <c:v>-43.18</c:v>
                </c:pt>
                <c:pt idx="5683">
                  <c:v>-43.17</c:v>
                </c:pt>
                <c:pt idx="5684">
                  <c:v>-43.16</c:v>
                </c:pt>
                <c:pt idx="5685">
                  <c:v>-43.15</c:v>
                </c:pt>
                <c:pt idx="5686">
                  <c:v>-43.14</c:v>
                </c:pt>
                <c:pt idx="5687">
                  <c:v>-43.13</c:v>
                </c:pt>
                <c:pt idx="5688">
                  <c:v>-43.12</c:v>
                </c:pt>
                <c:pt idx="5689">
                  <c:v>-43.11</c:v>
                </c:pt>
                <c:pt idx="5690">
                  <c:v>-43.1</c:v>
                </c:pt>
                <c:pt idx="5691">
                  <c:v>-43.09</c:v>
                </c:pt>
                <c:pt idx="5692">
                  <c:v>-43.08</c:v>
                </c:pt>
                <c:pt idx="5693">
                  <c:v>-43.07</c:v>
                </c:pt>
                <c:pt idx="5694">
                  <c:v>-43.06</c:v>
                </c:pt>
                <c:pt idx="5695">
                  <c:v>-43.05</c:v>
                </c:pt>
                <c:pt idx="5696">
                  <c:v>-43.04</c:v>
                </c:pt>
                <c:pt idx="5697">
                  <c:v>-43.03</c:v>
                </c:pt>
                <c:pt idx="5698">
                  <c:v>-43.02</c:v>
                </c:pt>
                <c:pt idx="5699">
                  <c:v>-43.01</c:v>
                </c:pt>
                <c:pt idx="5700">
                  <c:v>-43.0</c:v>
                </c:pt>
                <c:pt idx="5701">
                  <c:v>-42.99</c:v>
                </c:pt>
                <c:pt idx="5702">
                  <c:v>-42.98</c:v>
                </c:pt>
                <c:pt idx="5703">
                  <c:v>-42.97</c:v>
                </c:pt>
                <c:pt idx="5704">
                  <c:v>-42.96</c:v>
                </c:pt>
                <c:pt idx="5705">
                  <c:v>-42.95</c:v>
                </c:pt>
                <c:pt idx="5706">
                  <c:v>-42.94</c:v>
                </c:pt>
                <c:pt idx="5707">
                  <c:v>-42.93</c:v>
                </c:pt>
                <c:pt idx="5708">
                  <c:v>-42.92</c:v>
                </c:pt>
                <c:pt idx="5709">
                  <c:v>-42.91</c:v>
                </c:pt>
                <c:pt idx="5710">
                  <c:v>-42.9</c:v>
                </c:pt>
                <c:pt idx="5711">
                  <c:v>-42.89</c:v>
                </c:pt>
                <c:pt idx="5712">
                  <c:v>-42.88</c:v>
                </c:pt>
                <c:pt idx="5713">
                  <c:v>-42.87</c:v>
                </c:pt>
                <c:pt idx="5714">
                  <c:v>-42.86</c:v>
                </c:pt>
                <c:pt idx="5715">
                  <c:v>-42.85</c:v>
                </c:pt>
                <c:pt idx="5716">
                  <c:v>-42.84</c:v>
                </c:pt>
                <c:pt idx="5717">
                  <c:v>-42.83</c:v>
                </c:pt>
                <c:pt idx="5718">
                  <c:v>-42.82</c:v>
                </c:pt>
                <c:pt idx="5719">
                  <c:v>-42.81</c:v>
                </c:pt>
                <c:pt idx="5720">
                  <c:v>-42.8</c:v>
                </c:pt>
                <c:pt idx="5721">
                  <c:v>-42.79</c:v>
                </c:pt>
                <c:pt idx="5722">
                  <c:v>-42.78</c:v>
                </c:pt>
                <c:pt idx="5723">
                  <c:v>-42.77</c:v>
                </c:pt>
                <c:pt idx="5724">
                  <c:v>-42.76</c:v>
                </c:pt>
                <c:pt idx="5725">
                  <c:v>-42.75</c:v>
                </c:pt>
                <c:pt idx="5726">
                  <c:v>-42.74</c:v>
                </c:pt>
                <c:pt idx="5727">
                  <c:v>-42.73</c:v>
                </c:pt>
                <c:pt idx="5728">
                  <c:v>-42.72</c:v>
                </c:pt>
                <c:pt idx="5729">
                  <c:v>-42.71</c:v>
                </c:pt>
                <c:pt idx="5730">
                  <c:v>-42.7</c:v>
                </c:pt>
                <c:pt idx="5731">
                  <c:v>-42.69</c:v>
                </c:pt>
                <c:pt idx="5732">
                  <c:v>-42.68</c:v>
                </c:pt>
                <c:pt idx="5733">
                  <c:v>-42.67</c:v>
                </c:pt>
                <c:pt idx="5734">
                  <c:v>-42.66</c:v>
                </c:pt>
                <c:pt idx="5735">
                  <c:v>-42.65</c:v>
                </c:pt>
                <c:pt idx="5736">
                  <c:v>-42.64</c:v>
                </c:pt>
                <c:pt idx="5737">
                  <c:v>-42.63</c:v>
                </c:pt>
                <c:pt idx="5738">
                  <c:v>-42.62</c:v>
                </c:pt>
                <c:pt idx="5739">
                  <c:v>-42.61</c:v>
                </c:pt>
                <c:pt idx="5740">
                  <c:v>-42.6</c:v>
                </c:pt>
                <c:pt idx="5741">
                  <c:v>-42.59</c:v>
                </c:pt>
                <c:pt idx="5742">
                  <c:v>-42.58</c:v>
                </c:pt>
                <c:pt idx="5743">
                  <c:v>-42.57</c:v>
                </c:pt>
                <c:pt idx="5744">
                  <c:v>-42.56</c:v>
                </c:pt>
                <c:pt idx="5745">
                  <c:v>-42.55</c:v>
                </c:pt>
                <c:pt idx="5746">
                  <c:v>-42.54</c:v>
                </c:pt>
                <c:pt idx="5747">
                  <c:v>-42.53</c:v>
                </c:pt>
                <c:pt idx="5748">
                  <c:v>-42.52</c:v>
                </c:pt>
                <c:pt idx="5749">
                  <c:v>-42.51</c:v>
                </c:pt>
                <c:pt idx="5750">
                  <c:v>-42.5</c:v>
                </c:pt>
                <c:pt idx="5751">
                  <c:v>-42.49</c:v>
                </c:pt>
                <c:pt idx="5752">
                  <c:v>-42.48</c:v>
                </c:pt>
                <c:pt idx="5753">
                  <c:v>-42.47</c:v>
                </c:pt>
                <c:pt idx="5754">
                  <c:v>-42.46</c:v>
                </c:pt>
                <c:pt idx="5755">
                  <c:v>-42.45</c:v>
                </c:pt>
                <c:pt idx="5756">
                  <c:v>-42.44</c:v>
                </c:pt>
                <c:pt idx="5757">
                  <c:v>-42.43</c:v>
                </c:pt>
                <c:pt idx="5758">
                  <c:v>-42.42</c:v>
                </c:pt>
                <c:pt idx="5759">
                  <c:v>-42.41</c:v>
                </c:pt>
                <c:pt idx="5760">
                  <c:v>-42.4</c:v>
                </c:pt>
                <c:pt idx="5761">
                  <c:v>-42.39</c:v>
                </c:pt>
                <c:pt idx="5762">
                  <c:v>-42.38</c:v>
                </c:pt>
                <c:pt idx="5763">
                  <c:v>-42.37</c:v>
                </c:pt>
                <c:pt idx="5764">
                  <c:v>-42.36</c:v>
                </c:pt>
                <c:pt idx="5765">
                  <c:v>-42.35</c:v>
                </c:pt>
                <c:pt idx="5766">
                  <c:v>-42.34</c:v>
                </c:pt>
                <c:pt idx="5767">
                  <c:v>-42.33</c:v>
                </c:pt>
                <c:pt idx="5768">
                  <c:v>-42.32</c:v>
                </c:pt>
                <c:pt idx="5769">
                  <c:v>-42.31</c:v>
                </c:pt>
                <c:pt idx="5770">
                  <c:v>-42.3</c:v>
                </c:pt>
                <c:pt idx="5771">
                  <c:v>-42.29</c:v>
                </c:pt>
                <c:pt idx="5772">
                  <c:v>-42.28</c:v>
                </c:pt>
                <c:pt idx="5773">
                  <c:v>-42.27</c:v>
                </c:pt>
                <c:pt idx="5774">
                  <c:v>-42.26</c:v>
                </c:pt>
                <c:pt idx="5775">
                  <c:v>-42.25</c:v>
                </c:pt>
                <c:pt idx="5776">
                  <c:v>-42.24</c:v>
                </c:pt>
                <c:pt idx="5777">
                  <c:v>-42.23</c:v>
                </c:pt>
                <c:pt idx="5778">
                  <c:v>-42.22</c:v>
                </c:pt>
                <c:pt idx="5779">
                  <c:v>-42.21</c:v>
                </c:pt>
                <c:pt idx="5780">
                  <c:v>-42.2</c:v>
                </c:pt>
                <c:pt idx="5781">
                  <c:v>-42.19</c:v>
                </c:pt>
                <c:pt idx="5782">
                  <c:v>-42.18</c:v>
                </c:pt>
                <c:pt idx="5783">
                  <c:v>-42.17</c:v>
                </c:pt>
                <c:pt idx="5784">
                  <c:v>-42.16</c:v>
                </c:pt>
                <c:pt idx="5785">
                  <c:v>-42.15</c:v>
                </c:pt>
                <c:pt idx="5786">
                  <c:v>-42.14</c:v>
                </c:pt>
                <c:pt idx="5787">
                  <c:v>-42.13</c:v>
                </c:pt>
                <c:pt idx="5788">
                  <c:v>-42.12</c:v>
                </c:pt>
                <c:pt idx="5789">
                  <c:v>-42.11</c:v>
                </c:pt>
                <c:pt idx="5790">
                  <c:v>-42.1</c:v>
                </c:pt>
                <c:pt idx="5791">
                  <c:v>-42.09</c:v>
                </c:pt>
                <c:pt idx="5792">
                  <c:v>-42.08</c:v>
                </c:pt>
                <c:pt idx="5793">
                  <c:v>-42.07</c:v>
                </c:pt>
                <c:pt idx="5794">
                  <c:v>-42.06</c:v>
                </c:pt>
                <c:pt idx="5795">
                  <c:v>-42.05</c:v>
                </c:pt>
                <c:pt idx="5796">
                  <c:v>-42.04</c:v>
                </c:pt>
                <c:pt idx="5797">
                  <c:v>-42.03</c:v>
                </c:pt>
                <c:pt idx="5798">
                  <c:v>-42.02</c:v>
                </c:pt>
                <c:pt idx="5799">
                  <c:v>-42.01</c:v>
                </c:pt>
                <c:pt idx="5800">
                  <c:v>-42.0</c:v>
                </c:pt>
                <c:pt idx="5801">
                  <c:v>-41.99</c:v>
                </c:pt>
                <c:pt idx="5802">
                  <c:v>-41.98</c:v>
                </c:pt>
                <c:pt idx="5803">
                  <c:v>-41.97</c:v>
                </c:pt>
                <c:pt idx="5804">
                  <c:v>-41.96</c:v>
                </c:pt>
                <c:pt idx="5805">
                  <c:v>-41.95</c:v>
                </c:pt>
                <c:pt idx="5806">
                  <c:v>-41.94</c:v>
                </c:pt>
                <c:pt idx="5807">
                  <c:v>-41.93</c:v>
                </c:pt>
                <c:pt idx="5808">
                  <c:v>-41.92</c:v>
                </c:pt>
                <c:pt idx="5809">
                  <c:v>-41.91</c:v>
                </c:pt>
                <c:pt idx="5810">
                  <c:v>-41.9</c:v>
                </c:pt>
                <c:pt idx="5811">
                  <c:v>-41.89</c:v>
                </c:pt>
                <c:pt idx="5812">
                  <c:v>-41.88</c:v>
                </c:pt>
                <c:pt idx="5813">
                  <c:v>-41.87</c:v>
                </c:pt>
                <c:pt idx="5814">
                  <c:v>-41.86</c:v>
                </c:pt>
                <c:pt idx="5815">
                  <c:v>-41.85</c:v>
                </c:pt>
                <c:pt idx="5816">
                  <c:v>-41.84</c:v>
                </c:pt>
                <c:pt idx="5817">
                  <c:v>-41.83</c:v>
                </c:pt>
                <c:pt idx="5818">
                  <c:v>-41.82</c:v>
                </c:pt>
                <c:pt idx="5819">
                  <c:v>-41.81</c:v>
                </c:pt>
                <c:pt idx="5820">
                  <c:v>-41.8</c:v>
                </c:pt>
                <c:pt idx="5821">
                  <c:v>-41.79</c:v>
                </c:pt>
                <c:pt idx="5822">
                  <c:v>-41.78</c:v>
                </c:pt>
                <c:pt idx="5823">
                  <c:v>-41.77</c:v>
                </c:pt>
                <c:pt idx="5824">
                  <c:v>-41.76</c:v>
                </c:pt>
                <c:pt idx="5825">
                  <c:v>-41.75</c:v>
                </c:pt>
                <c:pt idx="5826">
                  <c:v>-41.74</c:v>
                </c:pt>
                <c:pt idx="5827">
                  <c:v>-41.73</c:v>
                </c:pt>
                <c:pt idx="5828">
                  <c:v>-41.72</c:v>
                </c:pt>
                <c:pt idx="5829">
                  <c:v>-41.71</c:v>
                </c:pt>
                <c:pt idx="5830">
                  <c:v>-41.7</c:v>
                </c:pt>
                <c:pt idx="5831">
                  <c:v>-41.69</c:v>
                </c:pt>
                <c:pt idx="5832">
                  <c:v>-41.68</c:v>
                </c:pt>
                <c:pt idx="5833">
                  <c:v>-41.67</c:v>
                </c:pt>
                <c:pt idx="5834">
                  <c:v>-41.66</c:v>
                </c:pt>
                <c:pt idx="5835">
                  <c:v>-41.65</c:v>
                </c:pt>
                <c:pt idx="5836">
                  <c:v>-41.64</c:v>
                </c:pt>
                <c:pt idx="5837">
                  <c:v>-41.63</c:v>
                </c:pt>
                <c:pt idx="5838">
                  <c:v>-41.62</c:v>
                </c:pt>
                <c:pt idx="5839">
                  <c:v>-41.61</c:v>
                </c:pt>
                <c:pt idx="5840">
                  <c:v>-41.6</c:v>
                </c:pt>
                <c:pt idx="5841">
                  <c:v>-41.59</c:v>
                </c:pt>
                <c:pt idx="5842">
                  <c:v>-41.58</c:v>
                </c:pt>
                <c:pt idx="5843">
                  <c:v>-41.57</c:v>
                </c:pt>
                <c:pt idx="5844">
                  <c:v>-41.56</c:v>
                </c:pt>
                <c:pt idx="5845">
                  <c:v>-41.55</c:v>
                </c:pt>
                <c:pt idx="5846">
                  <c:v>-41.54</c:v>
                </c:pt>
                <c:pt idx="5847">
                  <c:v>-41.53</c:v>
                </c:pt>
                <c:pt idx="5848">
                  <c:v>-41.52</c:v>
                </c:pt>
                <c:pt idx="5849">
                  <c:v>-41.51</c:v>
                </c:pt>
                <c:pt idx="5850">
                  <c:v>-41.5</c:v>
                </c:pt>
                <c:pt idx="5851">
                  <c:v>-41.49</c:v>
                </c:pt>
                <c:pt idx="5852">
                  <c:v>-41.48</c:v>
                </c:pt>
                <c:pt idx="5853">
                  <c:v>-41.47</c:v>
                </c:pt>
                <c:pt idx="5854">
                  <c:v>-41.46</c:v>
                </c:pt>
                <c:pt idx="5855">
                  <c:v>-41.45</c:v>
                </c:pt>
                <c:pt idx="5856">
                  <c:v>-41.44</c:v>
                </c:pt>
                <c:pt idx="5857">
                  <c:v>-41.43</c:v>
                </c:pt>
                <c:pt idx="5858">
                  <c:v>-41.42</c:v>
                </c:pt>
                <c:pt idx="5859">
                  <c:v>-41.41</c:v>
                </c:pt>
                <c:pt idx="5860">
                  <c:v>-41.4</c:v>
                </c:pt>
                <c:pt idx="5861">
                  <c:v>-41.39</c:v>
                </c:pt>
                <c:pt idx="5862">
                  <c:v>-41.38</c:v>
                </c:pt>
                <c:pt idx="5863">
                  <c:v>-41.37</c:v>
                </c:pt>
                <c:pt idx="5864">
                  <c:v>-41.36</c:v>
                </c:pt>
                <c:pt idx="5865">
                  <c:v>-41.35</c:v>
                </c:pt>
                <c:pt idx="5866">
                  <c:v>-41.34</c:v>
                </c:pt>
                <c:pt idx="5867">
                  <c:v>-41.33</c:v>
                </c:pt>
                <c:pt idx="5868">
                  <c:v>-41.32</c:v>
                </c:pt>
                <c:pt idx="5869">
                  <c:v>-41.31</c:v>
                </c:pt>
                <c:pt idx="5870">
                  <c:v>-41.3</c:v>
                </c:pt>
                <c:pt idx="5871">
                  <c:v>-41.29</c:v>
                </c:pt>
                <c:pt idx="5872">
                  <c:v>-41.28</c:v>
                </c:pt>
                <c:pt idx="5873">
                  <c:v>-41.27</c:v>
                </c:pt>
                <c:pt idx="5874">
                  <c:v>-41.26</c:v>
                </c:pt>
                <c:pt idx="5875">
                  <c:v>-41.25</c:v>
                </c:pt>
                <c:pt idx="5876">
                  <c:v>-41.24</c:v>
                </c:pt>
                <c:pt idx="5877">
                  <c:v>-41.23</c:v>
                </c:pt>
                <c:pt idx="5878">
                  <c:v>-41.22</c:v>
                </c:pt>
                <c:pt idx="5879">
                  <c:v>-41.21</c:v>
                </c:pt>
                <c:pt idx="5880">
                  <c:v>-41.2</c:v>
                </c:pt>
                <c:pt idx="5881">
                  <c:v>-41.19</c:v>
                </c:pt>
                <c:pt idx="5882">
                  <c:v>-41.18</c:v>
                </c:pt>
                <c:pt idx="5883">
                  <c:v>-41.17</c:v>
                </c:pt>
                <c:pt idx="5884">
                  <c:v>-41.16</c:v>
                </c:pt>
                <c:pt idx="5885">
                  <c:v>-41.15</c:v>
                </c:pt>
                <c:pt idx="5886">
                  <c:v>-41.14</c:v>
                </c:pt>
                <c:pt idx="5887">
                  <c:v>-41.13</c:v>
                </c:pt>
                <c:pt idx="5888">
                  <c:v>-41.12</c:v>
                </c:pt>
                <c:pt idx="5889">
                  <c:v>-41.11</c:v>
                </c:pt>
                <c:pt idx="5890">
                  <c:v>-41.1</c:v>
                </c:pt>
                <c:pt idx="5891">
                  <c:v>-41.09</c:v>
                </c:pt>
                <c:pt idx="5892">
                  <c:v>-41.08</c:v>
                </c:pt>
                <c:pt idx="5893">
                  <c:v>-41.07</c:v>
                </c:pt>
                <c:pt idx="5894">
                  <c:v>-41.06</c:v>
                </c:pt>
                <c:pt idx="5895">
                  <c:v>-41.05</c:v>
                </c:pt>
                <c:pt idx="5896">
                  <c:v>-41.04</c:v>
                </c:pt>
                <c:pt idx="5897">
                  <c:v>-41.03</c:v>
                </c:pt>
                <c:pt idx="5898">
                  <c:v>-41.02</c:v>
                </c:pt>
                <c:pt idx="5899">
                  <c:v>-41.01</c:v>
                </c:pt>
                <c:pt idx="5900">
                  <c:v>-41.0</c:v>
                </c:pt>
                <c:pt idx="5901">
                  <c:v>-40.99</c:v>
                </c:pt>
                <c:pt idx="5902">
                  <c:v>-40.98</c:v>
                </c:pt>
                <c:pt idx="5903">
                  <c:v>-40.97</c:v>
                </c:pt>
                <c:pt idx="5904">
                  <c:v>-40.96</c:v>
                </c:pt>
                <c:pt idx="5905">
                  <c:v>-40.95</c:v>
                </c:pt>
                <c:pt idx="5906">
                  <c:v>-40.94</c:v>
                </c:pt>
                <c:pt idx="5907">
                  <c:v>-40.93</c:v>
                </c:pt>
                <c:pt idx="5908">
                  <c:v>-40.92</c:v>
                </c:pt>
                <c:pt idx="5909">
                  <c:v>-40.91</c:v>
                </c:pt>
                <c:pt idx="5910">
                  <c:v>-40.9</c:v>
                </c:pt>
                <c:pt idx="5911">
                  <c:v>-40.89</c:v>
                </c:pt>
                <c:pt idx="5912">
                  <c:v>-40.88</c:v>
                </c:pt>
                <c:pt idx="5913">
                  <c:v>-40.87</c:v>
                </c:pt>
                <c:pt idx="5914">
                  <c:v>-40.86</c:v>
                </c:pt>
                <c:pt idx="5915">
                  <c:v>-40.85</c:v>
                </c:pt>
                <c:pt idx="5916">
                  <c:v>-40.84</c:v>
                </c:pt>
                <c:pt idx="5917">
                  <c:v>-40.83</c:v>
                </c:pt>
                <c:pt idx="5918">
                  <c:v>-40.82</c:v>
                </c:pt>
                <c:pt idx="5919">
                  <c:v>-40.81</c:v>
                </c:pt>
                <c:pt idx="5920">
                  <c:v>-40.8</c:v>
                </c:pt>
                <c:pt idx="5921">
                  <c:v>-40.79</c:v>
                </c:pt>
                <c:pt idx="5922">
                  <c:v>-40.78</c:v>
                </c:pt>
                <c:pt idx="5923">
                  <c:v>-40.77</c:v>
                </c:pt>
                <c:pt idx="5924">
                  <c:v>-40.76</c:v>
                </c:pt>
                <c:pt idx="5925">
                  <c:v>-40.75</c:v>
                </c:pt>
                <c:pt idx="5926">
                  <c:v>-40.74</c:v>
                </c:pt>
                <c:pt idx="5927">
                  <c:v>-40.73</c:v>
                </c:pt>
                <c:pt idx="5928">
                  <c:v>-40.72</c:v>
                </c:pt>
                <c:pt idx="5929">
                  <c:v>-40.71</c:v>
                </c:pt>
                <c:pt idx="5930">
                  <c:v>-40.7</c:v>
                </c:pt>
                <c:pt idx="5931">
                  <c:v>-40.69</c:v>
                </c:pt>
                <c:pt idx="5932">
                  <c:v>-40.68</c:v>
                </c:pt>
                <c:pt idx="5933">
                  <c:v>-40.67</c:v>
                </c:pt>
                <c:pt idx="5934">
                  <c:v>-40.66</c:v>
                </c:pt>
                <c:pt idx="5935">
                  <c:v>-40.65</c:v>
                </c:pt>
                <c:pt idx="5936">
                  <c:v>-40.64</c:v>
                </c:pt>
                <c:pt idx="5937">
                  <c:v>-40.63</c:v>
                </c:pt>
                <c:pt idx="5938">
                  <c:v>-40.62</c:v>
                </c:pt>
                <c:pt idx="5939">
                  <c:v>-40.61</c:v>
                </c:pt>
                <c:pt idx="5940">
                  <c:v>-40.6</c:v>
                </c:pt>
                <c:pt idx="5941">
                  <c:v>-40.59</c:v>
                </c:pt>
                <c:pt idx="5942">
                  <c:v>-40.58</c:v>
                </c:pt>
                <c:pt idx="5943">
                  <c:v>-40.57</c:v>
                </c:pt>
                <c:pt idx="5944">
                  <c:v>-40.56</c:v>
                </c:pt>
                <c:pt idx="5945">
                  <c:v>-40.55</c:v>
                </c:pt>
                <c:pt idx="5946">
                  <c:v>-40.54</c:v>
                </c:pt>
                <c:pt idx="5947">
                  <c:v>-40.53</c:v>
                </c:pt>
                <c:pt idx="5948">
                  <c:v>-40.52</c:v>
                </c:pt>
                <c:pt idx="5949">
                  <c:v>-40.51</c:v>
                </c:pt>
                <c:pt idx="5950">
                  <c:v>-40.5</c:v>
                </c:pt>
                <c:pt idx="5951">
                  <c:v>-40.49</c:v>
                </c:pt>
                <c:pt idx="5952">
                  <c:v>-40.48</c:v>
                </c:pt>
                <c:pt idx="5953">
                  <c:v>-40.47</c:v>
                </c:pt>
                <c:pt idx="5954">
                  <c:v>-40.46</c:v>
                </c:pt>
                <c:pt idx="5955">
                  <c:v>-40.45</c:v>
                </c:pt>
                <c:pt idx="5956">
                  <c:v>-40.44</c:v>
                </c:pt>
                <c:pt idx="5957">
                  <c:v>-40.43</c:v>
                </c:pt>
                <c:pt idx="5958">
                  <c:v>-40.42</c:v>
                </c:pt>
                <c:pt idx="5959">
                  <c:v>-40.41</c:v>
                </c:pt>
                <c:pt idx="5960">
                  <c:v>-40.4</c:v>
                </c:pt>
                <c:pt idx="5961">
                  <c:v>-40.39</c:v>
                </c:pt>
                <c:pt idx="5962">
                  <c:v>-40.38</c:v>
                </c:pt>
                <c:pt idx="5963">
                  <c:v>-40.37</c:v>
                </c:pt>
                <c:pt idx="5964">
                  <c:v>-40.36</c:v>
                </c:pt>
                <c:pt idx="5965">
                  <c:v>-40.35</c:v>
                </c:pt>
                <c:pt idx="5966">
                  <c:v>-40.34</c:v>
                </c:pt>
                <c:pt idx="5967">
                  <c:v>-40.33</c:v>
                </c:pt>
                <c:pt idx="5968">
                  <c:v>-40.32</c:v>
                </c:pt>
                <c:pt idx="5969">
                  <c:v>-40.31</c:v>
                </c:pt>
                <c:pt idx="5970">
                  <c:v>-40.3</c:v>
                </c:pt>
                <c:pt idx="5971">
                  <c:v>-40.29</c:v>
                </c:pt>
                <c:pt idx="5972">
                  <c:v>-40.28</c:v>
                </c:pt>
                <c:pt idx="5973">
                  <c:v>-40.27</c:v>
                </c:pt>
                <c:pt idx="5974">
                  <c:v>-40.26</c:v>
                </c:pt>
                <c:pt idx="5975">
                  <c:v>-40.25</c:v>
                </c:pt>
                <c:pt idx="5976">
                  <c:v>-40.24</c:v>
                </c:pt>
                <c:pt idx="5977">
                  <c:v>-40.23</c:v>
                </c:pt>
                <c:pt idx="5978">
                  <c:v>-40.22</c:v>
                </c:pt>
                <c:pt idx="5979">
                  <c:v>-40.21</c:v>
                </c:pt>
                <c:pt idx="5980">
                  <c:v>-40.2</c:v>
                </c:pt>
                <c:pt idx="5981">
                  <c:v>-40.19</c:v>
                </c:pt>
                <c:pt idx="5982">
                  <c:v>-40.18</c:v>
                </c:pt>
                <c:pt idx="5983">
                  <c:v>-40.17</c:v>
                </c:pt>
                <c:pt idx="5984">
                  <c:v>-40.16</c:v>
                </c:pt>
                <c:pt idx="5985">
                  <c:v>-40.15</c:v>
                </c:pt>
                <c:pt idx="5986">
                  <c:v>-40.14</c:v>
                </c:pt>
                <c:pt idx="5987">
                  <c:v>-40.13</c:v>
                </c:pt>
                <c:pt idx="5988">
                  <c:v>-40.12</c:v>
                </c:pt>
                <c:pt idx="5989">
                  <c:v>-40.11</c:v>
                </c:pt>
                <c:pt idx="5990">
                  <c:v>-40.1</c:v>
                </c:pt>
                <c:pt idx="5991">
                  <c:v>-40.09</c:v>
                </c:pt>
                <c:pt idx="5992">
                  <c:v>-40.08</c:v>
                </c:pt>
                <c:pt idx="5993">
                  <c:v>-40.07</c:v>
                </c:pt>
                <c:pt idx="5994">
                  <c:v>-40.06</c:v>
                </c:pt>
                <c:pt idx="5995">
                  <c:v>-40.05</c:v>
                </c:pt>
                <c:pt idx="5996">
                  <c:v>-40.04</c:v>
                </c:pt>
                <c:pt idx="5997">
                  <c:v>-40.03</c:v>
                </c:pt>
                <c:pt idx="5998">
                  <c:v>-40.02</c:v>
                </c:pt>
                <c:pt idx="5999">
                  <c:v>-40.01</c:v>
                </c:pt>
                <c:pt idx="6000">
                  <c:v>-40.0</c:v>
                </c:pt>
                <c:pt idx="6001">
                  <c:v>-39.99</c:v>
                </c:pt>
                <c:pt idx="6002">
                  <c:v>-39.98</c:v>
                </c:pt>
                <c:pt idx="6003">
                  <c:v>-39.97</c:v>
                </c:pt>
                <c:pt idx="6004">
                  <c:v>-39.96</c:v>
                </c:pt>
                <c:pt idx="6005">
                  <c:v>-39.95</c:v>
                </c:pt>
                <c:pt idx="6006">
                  <c:v>-39.94</c:v>
                </c:pt>
                <c:pt idx="6007">
                  <c:v>-39.93</c:v>
                </c:pt>
                <c:pt idx="6008">
                  <c:v>-39.92</c:v>
                </c:pt>
                <c:pt idx="6009">
                  <c:v>-39.91</c:v>
                </c:pt>
                <c:pt idx="6010">
                  <c:v>-39.9</c:v>
                </c:pt>
                <c:pt idx="6011">
                  <c:v>-39.89</c:v>
                </c:pt>
                <c:pt idx="6012">
                  <c:v>-39.88</c:v>
                </c:pt>
                <c:pt idx="6013">
                  <c:v>-39.87</c:v>
                </c:pt>
                <c:pt idx="6014">
                  <c:v>-39.86</c:v>
                </c:pt>
                <c:pt idx="6015">
                  <c:v>-39.85</c:v>
                </c:pt>
                <c:pt idx="6016">
                  <c:v>-39.84</c:v>
                </c:pt>
                <c:pt idx="6017">
                  <c:v>-39.83</c:v>
                </c:pt>
                <c:pt idx="6018">
                  <c:v>-39.82</c:v>
                </c:pt>
                <c:pt idx="6019">
                  <c:v>-39.81</c:v>
                </c:pt>
                <c:pt idx="6020">
                  <c:v>-39.8</c:v>
                </c:pt>
                <c:pt idx="6021">
                  <c:v>-39.79</c:v>
                </c:pt>
                <c:pt idx="6022">
                  <c:v>-39.78</c:v>
                </c:pt>
                <c:pt idx="6023">
                  <c:v>-39.77</c:v>
                </c:pt>
                <c:pt idx="6024">
                  <c:v>-39.76</c:v>
                </c:pt>
                <c:pt idx="6025">
                  <c:v>-39.75</c:v>
                </c:pt>
                <c:pt idx="6026">
                  <c:v>-39.74</c:v>
                </c:pt>
                <c:pt idx="6027">
                  <c:v>-39.73</c:v>
                </c:pt>
                <c:pt idx="6028">
                  <c:v>-39.72</c:v>
                </c:pt>
                <c:pt idx="6029">
                  <c:v>-39.71</c:v>
                </c:pt>
                <c:pt idx="6030">
                  <c:v>-39.7</c:v>
                </c:pt>
                <c:pt idx="6031">
                  <c:v>-39.69</c:v>
                </c:pt>
                <c:pt idx="6032">
                  <c:v>-39.68</c:v>
                </c:pt>
                <c:pt idx="6033">
                  <c:v>-39.67</c:v>
                </c:pt>
                <c:pt idx="6034">
                  <c:v>-39.66</c:v>
                </c:pt>
                <c:pt idx="6035">
                  <c:v>-39.65</c:v>
                </c:pt>
                <c:pt idx="6036">
                  <c:v>-39.64</c:v>
                </c:pt>
                <c:pt idx="6037">
                  <c:v>-39.63</c:v>
                </c:pt>
                <c:pt idx="6038">
                  <c:v>-39.62</c:v>
                </c:pt>
                <c:pt idx="6039">
                  <c:v>-39.61</c:v>
                </c:pt>
                <c:pt idx="6040">
                  <c:v>-39.6</c:v>
                </c:pt>
                <c:pt idx="6041">
                  <c:v>-39.59</c:v>
                </c:pt>
                <c:pt idx="6042">
                  <c:v>-39.58</c:v>
                </c:pt>
                <c:pt idx="6043">
                  <c:v>-39.57</c:v>
                </c:pt>
                <c:pt idx="6044">
                  <c:v>-39.56</c:v>
                </c:pt>
                <c:pt idx="6045">
                  <c:v>-39.55</c:v>
                </c:pt>
                <c:pt idx="6046">
                  <c:v>-39.54</c:v>
                </c:pt>
                <c:pt idx="6047">
                  <c:v>-39.53</c:v>
                </c:pt>
                <c:pt idx="6048">
                  <c:v>-39.52</c:v>
                </c:pt>
                <c:pt idx="6049">
                  <c:v>-39.51</c:v>
                </c:pt>
                <c:pt idx="6050">
                  <c:v>-39.5</c:v>
                </c:pt>
                <c:pt idx="6051">
                  <c:v>-39.49</c:v>
                </c:pt>
                <c:pt idx="6052">
                  <c:v>-39.48</c:v>
                </c:pt>
                <c:pt idx="6053">
                  <c:v>-39.47</c:v>
                </c:pt>
                <c:pt idx="6054">
                  <c:v>-39.46</c:v>
                </c:pt>
                <c:pt idx="6055">
                  <c:v>-39.45</c:v>
                </c:pt>
                <c:pt idx="6056">
                  <c:v>-39.44</c:v>
                </c:pt>
                <c:pt idx="6057">
                  <c:v>-39.43</c:v>
                </c:pt>
                <c:pt idx="6058">
                  <c:v>-39.42</c:v>
                </c:pt>
                <c:pt idx="6059">
                  <c:v>-39.41</c:v>
                </c:pt>
                <c:pt idx="6060">
                  <c:v>-39.4</c:v>
                </c:pt>
                <c:pt idx="6061">
                  <c:v>-39.39</c:v>
                </c:pt>
                <c:pt idx="6062">
                  <c:v>-39.38</c:v>
                </c:pt>
                <c:pt idx="6063">
                  <c:v>-39.37</c:v>
                </c:pt>
                <c:pt idx="6064">
                  <c:v>-39.36</c:v>
                </c:pt>
                <c:pt idx="6065">
                  <c:v>-39.35</c:v>
                </c:pt>
                <c:pt idx="6066">
                  <c:v>-39.34</c:v>
                </c:pt>
                <c:pt idx="6067">
                  <c:v>-39.33</c:v>
                </c:pt>
                <c:pt idx="6068">
                  <c:v>-39.32</c:v>
                </c:pt>
                <c:pt idx="6069">
                  <c:v>-39.31</c:v>
                </c:pt>
                <c:pt idx="6070">
                  <c:v>-39.3</c:v>
                </c:pt>
                <c:pt idx="6071">
                  <c:v>-39.29</c:v>
                </c:pt>
                <c:pt idx="6072">
                  <c:v>-39.28</c:v>
                </c:pt>
                <c:pt idx="6073">
                  <c:v>-39.27</c:v>
                </c:pt>
                <c:pt idx="6074">
                  <c:v>-39.26</c:v>
                </c:pt>
                <c:pt idx="6075">
                  <c:v>-39.25</c:v>
                </c:pt>
                <c:pt idx="6076">
                  <c:v>-39.24</c:v>
                </c:pt>
                <c:pt idx="6077">
                  <c:v>-39.23</c:v>
                </c:pt>
                <c:pt idx="6078">
                  <c:v>-39.22</c:v>
                </c:pt>
                <c:pt idx="6079">
                  <c:v>-39.21</c:v>
                </c:pt>
                <c:pt idx="6080">
                  <c:v>-39.2</c:v>
                </c:pt>
                <c:pt idx="6081">
                  <c:v>-39.19</c:v>
                </c:pt>
                <c:pt idx="6082">
                  <c:v>-39.18</c:v>
                </c:pt>
                <c:pt idx="6083">
                  <c:v>-39.17</c:v>
                </c:pt>
                <c:pt idx="6084">
                  <c:v>-39.16</c:v>
                </c:pt>
                <c:pt idx="6085">
                  <c:v>-39.15</c:v>
                </c:pt>
                <c:pt idx="6086">
                  <c:v>-39.14</c:v>
                </c:pt>
                <c:pt idx="6087">
                  <c:v>-39.13</c:v>
                </c:pt>
                <c:pt idx="6088">
                  <c:v>-39.12</c:v>
                </c:pt>
                <c:pt idx="6089">
                  <c:v>-39.11</c:v>
                </c:pt>
                <c:pt idx="6090">
                  <c:v>-39.1</c:v>
                </c:pt>
                <c:pt idx="6091">
                  <c:v>-39.09</c:v>
                </c:pt>
                <c:pt idx="6092">
                  <c:v>-39.08</c:v>
                </c:pt>
                <c:pt idx="6093">
                  <c:v>-39.07</c:v>
                </c:pt>
                <c:pt idx="6094">
                  <c:v>-39.06</c:v>
                </c:pt>
                <c:pt idx="6095">
                  <c:v>-39.05</c:v>
                </c:pt>
                <c:pt idx="6096">
                  <c:v>-39.04</c:v>
                </c:pt>
                <c:pt idx="6097">
                  <c:v>-39.03</c:v>
                </c:pt>
                <c:pt idx="6098">
                  <c:v>-39.02</c:v>
                </c:pt>
                <c:pt idx="6099">
                  <c:v>-39.01</c:v>
                </c:pt>
                <c:pt idx="6100">
                  <c:v>-39.0</c:v>
                </c:pt>
                <c:pt idx="6101">
                  <c:v>-38.99</c:v>
                </c:pt>
                <c:pt idx="6102">
                  <c:v>-38.98</c:v>
                </c:pt>
                <c:pt idx="6103">
                  <c:v>-38.97</c:v>
                </c:pt>
                <c:pt idx="6104">
                  <c:v>-38.96</c:v>
                </c:pt>
                <c:pt idx="6105">
                  <c:v>-38.95</c:v>
                </c:pt>
                <c:pt idx="6106">
                  <c:v>-38.94</c:v>
                </c:pt>
                <c:pt idx="6107">
                  <c:v>-38.93</c:v>
                </c:pt>
                <c:pt idx="6108">
                  <c:v>-38.92</c:v>
                </c:pt>
                <c:pt idx="6109">
                  <c:v>-38.91</c:v>
                </c:pt>
                <c:pt idx="6110">
                  <c:v>-38.9</c:v>
                </c:pt>
                <c:pt idx="6111">
                  <c:v>-38.89</c:v>
                </c:pt>
                <c:pt idx="6112">
                  <c:v>-38.88</c:v>
                </c:pt>
                <c:pt idx="6113">
                  <c:v>-38.87</c:v>
                </c:pt>
                <c:pt idx="6114">
                  <c:v>-38.86</c:v>
                </c:pt>
                <c:pt idx="6115">
                  <c:v>-38.85</c:v>
                </c:pt>
                <c:pt idx="6116">
                  <c:v>-38.84</c:v>
                </c:pt>
                <c:pt idx="6117">
                  <c:v>-38.83</c:v>
                </c:pt>
                <c:pt idx="6118">
                  <c:v>-38.82</c:v>
                </c:pt>
                <c:pt idx="6119">
                  <c:v>-38.81</c:v>
                </c:pt>
                <c:pt idx="6120">
                  <c:v>-38.8</c:v>
                </c:pt>
                <c:pt idx="6121">
                  <c:v>-38.79</c:v>
                </c:pt>
                <c:pt idx="6122">
                  <c:v>-38.78</c:v>
                </c:pt>
                <c:pt idx="6123">
                  <c:v>-38.77</c:v>
                </c:pt>
                <c:pt idx="6124">
                  <c:v>-38.76</c:v>
                </c:pt>
                <c:pt idx="6125">
                  <c:v>-38.75</c:v>
                </c:pt>
                <c:pt idx="6126">
                  <c:v>-38.74</c:v>
                </c:pt>
                <c:pt idx="6127">
                  <c:v>-38.73</c:v>
                </c:pt>
                <c:pt idx="6128">
                  <c:v>-38.72</c:v>
                </c:pt>
                <c:pt idx="6129">
                  <c:v>-38.71</c:v>
                </c:pt>
                <c:pt idx="6130">
                  <c:v>-38.7</c:v>
                </c:pt>
                <c:pt idx="6131">
                  <c:v>-38.69</c:v>
                </c:pt>
                <c:pt idx="6132">
                  <c:v>-38.68</c:v>
                </c:pt>
                <c:pt idx="6133">
                  <c:v>-38.67</c:v>
                </c:pt>
                <c:pt idx="6134">
                  <c:v>-38.66</c:v>
                </c:pt>
                <c:pt idx="6135">
                  <c:v>-38.65</c:v>
                </c:pt>
                <c:pt idx="6136">
                  <c:v>-38.64</c:v>
                </c:pt>
                <c:pt idx="6137">
                  <c:v>-38.63</c:v>
                </c:pt>
                <c:pt idx="6138">
                  <c:v>-38.62</c:v>
                </c:pt>
                <c:pt idx="6139">
                  <c:v>-38.61</c:v>
                </c:pt>
                <c:pt idx="6140">
                  <c:v>-38.6</c:v>
                </c:pt>
                <c:pt idx="6141">
                  <c:v>-38.59</c:v>
                </c:pt>
                <c:pt idx="6142">
                  <c:v>-38.58</c:v>
                </c:pt>
                <c:pt idx="6143">
                  <c:v>-38.57</c:v>
                </c:pt>
                <c:pt idx="6144">
                  <c:v>-38.56</c:v>
                </c:pt>
                <c:pt idx="6145">
                  <c:v>-38.55</c:v>
                </c:pt>
                <c:pt idx="6146">
                  <c:v>-38.54</c:v>
                </c:pt>
                <c:pt idx="6147">
                  <c:v>-38.53</c:v>
                </c:pt>
                <c:pt idx="6148">
                  <c:v>-38.52</c:v>
                </c:pt>
                <c:pt idx="6149">
                  <c:v>-38.51</c:v>
                </c:pt>
                <c:pt idx="6150">
                  <c:v>-38.5</c:v>
                </c:pt>
                <c:pt idx="6151">
                  <c:v>-38.49</c:v>
                </c:pt>
                <c:pt idx="6152">
                  <c:v>-38.48</c:v>
                </c:pt>
                <c:pt idx="6153">
                  <c:v>-38.47</c:v>
                </c:pt>
                <c:pt idx="6154">
                  <c:v>-38.46</c:v>
                </c:pt>
                <c:pt idx="6155">
                  <c:v>-38.45</c:v>
                </c:pt>
                <c:pt idx="6156">
                  <c:v>-38.44</c:v>
                </c:pt>
                <c:pt idx="6157">
                  <c:v>-38.43</c:v>
                </c:pt>
                <c:pt idx="6158">
                  <c:v>-38.42</c:v>
                </c:pt>
                <c:pt idx="6159">
                  <c:v>-38.41</c:v>
                </c:pt>
                <c:pt idx="6160">
                  <c:v>-38.4</c:v>
                </c:pt>
                <c:pt idx="6161">
                  <c:v>-38.39</c:v>
                </c:pt>
                <c:pt idx="6162">
                  <c:v>-38.38</c:v>
                </c:pt>
                <c:pt idx="6163">
                  <c:v>-38.37</c:v>
                </c:pt>
                <c:pt idx="6164">
                  <c:v>-38.36</c:v>
                </c:pt>
                <c:pt idx="6165">
                  <c:v>-38.35</c:v>
                </c:pt>
                <c:pt idx="6166">
                  <c:v>-38.34</c:v>
                </c:pt>
                <c:pt idx="6167">
                  <c:v>-38.33</c:v>
                </c:pt>
                <c:pt idx="6168">
                  <c:v>-38.32</c:v>
                </c:pt>
                <c:pt idx="6169">
                  <c:v>-38.31</c:v>
                </c:pt>
                <c:pt idx="6170">
                  <c:v>-38.3</c:v>
                </c:pt>
                <c:pt idx="6171">
                  <c:v>-38.29</c:v>
                </c:pt>
                <c:pt idx="6172">
                  <c:v>-38.28</c:v>
                </c:pt>
                <c:pt idx="6173">
                  <c:v>-38.27</c:v>
                </c:pt>
                <c:pt idx="6174">
                  <c:v>-38.26</c:v>
                </c:pt>
                <c:pt idx="6175">
                  <c:v>-38.25</c:v>
                </c:pt>
                <c:pt idx="6176">
                  <c:v>-38.24</c:v>
                </c:pt>
                <c:pt idx="6177">
                  <c:v>-38.23</c:v>
                </c:pt>
                <c:pt idx="6178">
                  <c:v>-38.22</c:v>
                </c:pt>
                <c:pt idx="6179">
                  <c:v>-38.21</c:v>
                </c:pt>
                <c:pt idx="6180">
                  <c:v>-38.2</c:v>
                </c:pt>
                <c:pt idx="6181">
                  <c:v>-38.19</c:v>
                </c:pt>
                <c:pt idx="6182">
                  <c:v>-38.18</c:v>
                </c:pt>
                <c:pt idx="6183">
                  <c:v>-38.17</c:v>
                </c:pt>
                <c:pt idx="6184">
                  <c:v>-38.16</c:v>
                </c:pt>
                <c:pt idx="6185">
                  <c:v>-38.15</c:v>
                </c:pt>
                <c:pt idx="6186">
                  <c:v>-38.14</c:v>
                </c:pt>
                <c:pt idx="6187">
                  <c:v>-38.13</c:v>
                </c:pt>
                <c:pt idx="6188">
                  <c:v>-38.12</c:v>
                </c:pt>
                <c:pt idx="6189">
                  <c:v>-38.11</c:v>
                </c:pt>
                <c:pt idx="6190">
                  <c:v>-38.1</c:v>
                </c:pt>
                <c:pt idx="6191">
                  <c:v>-38.09</c:v>
                </c:pt>
                <c:pt idx="6192">
                  <c:v>-38.08</c:v>
                </c:pt>
                <c:pt idx="6193">
                  <c:v>-38.07</c:v>
                </c:pt>
                <c:pt idx="6194">
                  <c:v>-38.06</c:v>
                </c:pt>
                <c:pt idx="6195">
                  <c:v>-38.05</c:v>
                </c:pt>
                <c:pt idx="6196">
                  <c:v>-38.04</c:v>
                </c:pt>
                <c:pt idx="6197">
                  <c:v>-38.03</c:v>
                </c:pt>
                <c:pt idx="6198">
                  <c:v>-38.02</c:v>
                </c:pt>
                <c:pt idx="6199">
                  <c:v>-38.01</c:v>
                </c:pt>
                <c:pt idx="6200">
                  <c:v>-38.0</c:v>
                </c:pt>
                <c:pt idx="6201">
                  <c:v>-37.99</c:v>
                </c:pt>
                <c:pt idx="6202">
                  <c:v>-37.98</c:v>
                </c:pt>
                <c:pt idx="6203">
                  <c:v>-37.97</c:v>
                </c:pt>
                <c:pt idx="6204">
                  <c:v>-37.96</c:v>
                </c:pt>
                <c:pt idx="6205">
                  <c:v>-37.95</c:v>
                </c:pt>
                <c:pt idx="6206">
                  <c:v>-37.94</c:v>
                </c:pt>
                <c:pt idx="6207">
                  <c:v>-37.93</c:v>
                </c:pt>
                <c:pt idx="6208">
                  <c:v>-37.92</c:v>
                </c:pt>
                <c:pt idx="6209">
                  <c:v>-37.91</c:v>
                </c:pt>
                <c:pt idx="6210">
                  <c:v>-37.9</c:v>
                </c:pt>
                <c:pt idx="6211">
                  <c:v>-37.89</c:v>
                </c:pt>
                <c:pt idx="6212">
                  <c:v>-37.88</c:v>
                </c:pt>
                <c:pt idx="6213">
                  <c:v>-37.87</c:v>
                </c:pt>
                <c:pt idx="6214">
                  <c:v>-37.86</c:v>
                </c:pt>
                <c:pt idx="6215">
                  <c:v>-37.85</c:v>
                </c:pt>
                <c:pt idx="6216">
                  <c:v>-37.84</c:v>
                </c:pt>
                <c:pt idx="6217">
                  <c:v>-37.83</c:v>
                </c:pt>
                <c:pt idx="6218">
                  <c:v>-37.82</c:v>
                </c:pt>
                <c:pt idx="6219">
                  <c:v>-37.81</c:v>
                </c:pt>
                <c:pt idx="6220">
                  <c:v>-37.8</c:v>
                </c:pt>
                <c:pt idx="6221">
                  <c:v>-37.79</c:v>
                </c:pt>
                <c:pt idx="6222">
                  <c:v>-37.78</c:v>
                </c:pt>
                <c:pt idx="6223">
                  <c:v>-37.77</c:v>
                </c:pt>
                <c:pt idx="6224">
                  <c:v>-37.76</c:v>
                </c:pt>
                <c:pt idx="6225">
                  <c:v>-37.75</c:v>
                </c:pt>
                <c:pt idx="6226">
                  <c:v>-37.74</c:v>
                </c:pt>
                <c:pt idx="6227">
                  <c:v>-37.73</c:v>
                </c:pt>
                <c:pt idx="6228">
                  <c:v>-37.72</c:v>
                </c:pt>
                <c:pt idx="6229">
                  <c:v>-37.71</c:v>
                </c:pt>
                <c:pt idx="6230">
                  <c:v>-37.7</c:v>
                </c:pt>
                <c:pt idx="6231">
                  <c:v>-37.69</c:v>
                </c:pt>
                <c:pt idx="6232">
                  <c:v>-37.68</c:v>
                </c:pt>
                <c:pt idx="6233">
                  <c:v>-37.67</c:v>
                </c:pt>
                <c:pt idx="6234">
                  <c:v>-37.66</c:v>
                </c:pt>
                <c:pt idx="6235">
                  <c:v>-37.65</c:v>
                </c:pt>
                <c:pt idx="6236">
                  <c:v>-37.64</c:v>
                </c:pt>
                <c:pt idx="6237">
                  <c:v>-37.63</c:v>
                </c:pt>
                <c:pt idx="6238">
                  <c:v>-37.62</c:v>
                </c:pt>
                <c:pt idx="6239">
                  <c:v>-37.61</c:v>
                </c:pt>
                <c:pt idx="6240">
                  <c:v>-37.6</c:v>
                </c:pt>
                <c:pt idx="6241">
                  <c:v>-37.59</c:v>
                </c:pt>
                <c:pt idx="6242">
                  <c:v>-37.58</c:v>
                </c:pt>
                <c:pt idx="6243">
                  <c:v>-37.57</c:v>
                </c:pt>
                <c:pt idx="6244">
                  <c:v>-37.56</c:v>
                </c:pt>
                <c:pt idx="6245">
                  <c:v>-37.55</c:v>
                </c:pt>
                <c:pt idx="6246">
                  <c:v>-37.54</c:v>
                </c:pt>
                <c:pt idx="6247">
                  <c:v>-37.53</c:v>
                </c:pt>
                <c:pt idx="6248">
                  <c:v>-37.52</c:v>
                </c:pt>
                <c:pt idx="6249">
                  <c:v>-37.51</c:v>
                </c:pt>
                <c:pt idx="6250">
                  <c:v>-37.5</c:v>
                </c:pt>
                <c:pt idx="6251">
                  <c:v>-37.49</c:v>
                </c:pt>
                <c:pt idx="6252">
                  <c:v>-37.48</c:v>
                </c:pt>
                <c:pt idx="6253">
                  <c:v>-37.47</c:v>
                </c:pt>
                <c:pt idx="6254">
                  <c:v>-37.46</c:v>
                </c:pt>
                <c:pt idx="6255">
                  <c:v>-37.45</c:v>
                </c:pt>
                <c:pt idx="6256">
                  <c:v>-37.44</c:v>
                </c:pt>
                <c:pt idx="6257">
                  <c:v>-37.43</c:v>
                </c:pt>
                <c:pt idx="6258">
                  <c:v>-37.42</c:v>
                </c:pt>
                <c:pt idx="6259">
                  <c:v>-37.41</c:v>
                </c:pt>
                <c:pt idx="6260">
                  <c:v>-37.4</c:v>
                </c:pt>
                <c:pt idx="6261">
                  <c:v>-37.39</c:v>
                </c:pt>
                <c:pt idx="6262">
                  <c:v>-37.38</c:v>
                </c:pt>
                <c:pt idx="6263">
                  <c:v>-37.37</c:v>
                </c:pt>
                <c:pt idx="6264">
                  <c:v>-37.36</c:v>
                </c:pt>
                <c:pt idx="6265">
                  <c:v>-37.35</c:v>
                </c:pt>
                <c:pt idx="6266">
                  <c:v>-37.34</c:v>
                </c:pt>
                <c:pt idx="6267">
                  <c:v>-37.33</c:v>
                </c:pt>
                <c:pt idx="6268">
                  <c:v>-37.32</c:v>
                </c:pt>
                <c:pt idx="6269">
                  <c:v>-37.31</c:v>
                </c:pt>
                <c:pt idx="6270">
                  <c:v>-37.3</c:v>
                </c:pt>
                <c:pt idx="6271">
                  <c:v>-37.29</c:v>
                </c:pt>
                <c:pt idx="6272">
                  <c:v>-37.28</c:v>
                </c:pt>
                <c:pt idx="6273">
                  <c:v>-37.27</c:v>
                </c:pt>
                <c:pt idx="6274">
                  <c:v>-37.26</c:v>
                </c:pt>
                <c:pt idx="6275">
                  <c:v>-37.25</c:v>
                </c:pt>
                <c:pt idx="6276">
                  <c:v>-37.24</c:v>
                </c:pt>
                <c:pt idx="6277">
                  <c:v>-37.23</c:v>
                </c:pt>
                <c:pt idx="6278">
                  <c:v>-37.22</c:v>
                </c:pt>
                <c:pt idx="6279">
                  <c:v>-37.21</c:v>
                </c:pt>
                <c:pt idx="6280">
                  <c:v>-37.2</c:v>
                </c:pt>
                <c:pt idx="6281">
                  <c:v>-37.19</c:v>
                </c:pt>
                <c:pt idx="6282">
                  <c:v>-37.18</c:v>
                </c:pt>
                <c:pt idx="6283">
                  <c:v>-37.17</c:v>
                </c:pt>
                <c:pt idx="6284">
                  <c:v>-37.16</c:v>
                </c:pt>
                <c:pt idx="6285">
                  <c:v>-37.15</c:v>
                </c:pt>
                <c:pt idx="6286">
                  <c:v>-37.14</c:v>
                </c:pt>
                <c:pt idx="6287">
                  <c:v>-37.13</c:v>
                </c:pt>
                <c:pt idx="6288">
                  <c:v>-37.12</c:v>
                </c:pt>
                <c:pt idx="6289">
                  <c:v>-37.11</c:v>
                </c:pt>
                <c:pt idx="6290">
                  <c:v>-37.1</c:v>
                </c:pt>
                <c:pt idx="6291">
                  <c:v>-37.09</c:v>
                </c:pt>
                <c:pt idx="6292">
                  <c:v>-37.08</c:v>
                </c:pt>
                <c:pt idx="6293">
                  <c:v>-37.07</c:v>
                </c:pt>
                <c:pt idx="6294">
                  <c:v>-37.06</c:v>
                </c:pt>
                <c:pt idx="6295">
                  <c:v>-37.05</c:v>
                </c:pt>
                <c:pt idx="6296">
                  <c:v>-37.04</c:v>
                </c:pt>
                <c:pt idx="6297">
                  <c:v>-37.03</c:v>
                </c:pt>
                <c:pt idx="6298">
                  <c:v>-37.02</c:v>
                </c:pt>
                <c:pt idx="6299">
                  <c:v>-37.01</c:v>
                </c:pt>
                <c:pt idx="6300">
                  <c:v>-37.0</c:v>
                </c:pt>
                <c:pt idx="6301">
                  <c:v>-36.99</c:v>
                </c:pt>
                <c:pt idx="6302">
                  <c:v>-36.98</c:v>
                </c:pt>
                <c:pt idx="6303">
                  <c:v>-36.97</c:v>
                </c:pt>
                <c:pt idx="6304">
                  <c:v>-36.96</c:v>
                </c:pt>
                <c:pt idx="6305">
                  <c:v>-36.95</c:v>
                </c:pt>
                <c:pt idx="6306">
                  <c:v>-36.94</c:v>
                </c:pt>
                <c:pt idx="6307">
                  <c:v>-36.93</c:v>
                </c:pt>
                <c:pt idx="6308">
                  <c:v>-36.92</c:v>
                </c:pt>
                <c:pt idx="6309">
                  <c:v>-36.91</c:v>
                </c:pt>
                <c:pt idx="6310">
                  <c:v>-36.9</c:v>
                </c:pt>
                <c:pt idx="6311">
                  <c:v>-36.89</c:v>
                </c:pt>
                <c:pt idx="6312">
                  <c:v>-36.88</c:v>
                </c:pt>
                <c:pt idx="6313">
                  <c:v>-36.87</c:v>
                </c:pt>
                <c:pt idx="6314">
                  <c:v>-36.86</c:v>
                </c:pt>
                <c:pt idx="6315">
                  <c:v>-36.85</c:v>
                </c:pt>
                <c:pt idx="6316">
                  <c:v>-36.84</c:v>
                </c:pt>
                <c:pt idx="6317">
                  <c:v>-36.83</c:v>
                </c:pt>
                <c:pt idx="6318">
                  <c:v>-36.82</c:v>
                </c:pt>
                <c:pt idx="6319">
                  <c:v>-36.81</c:v>
                </c:pt>
                <c:pt idx="6320">
                  <c:v>-36.8</c:v>
                </c:pt>
                <c:pt idx="6321">
                  <c:v>-36.79</c:v>
                </c:pt>
                <c:pt idx="6322">
                  <c:v>-36.78</c:v>
                </c:pt>
                <c:pt idx="6323">
                  <c:v>-36.77</c:v>
                </c:pt>
                <c:pt idx="6324">
                  <c:v>-36.76</c:v>
                </c:pt>
                <c:pt idx="6325">
                  <c:v>-36.75</c:v>
                </c:pt>
                <c:pt idx="6326">
                  <c:v>-36.74</c:v>
                </c:pt>
                <c:pt idx="6327">
                  <c:v>-36.73</c:v>
                </c:pt>
                <c:pt idx="6328">
                  <c:v>-36.72</c:v>
                </c:pt>
                <c:pt idx="6329">
                  <c:v>-36.71</c:v>
                </c:pt>
                <c:pt idx="6330">
                  <c:v>-36.7</c:v>
                </c:pt>
                <c:pt idx="6331">
                  <c:v>-36.69</c:v>
                </c:pt>
                <c:pt idx="6332">
                  <c:v>-36.68</c:v>
                </c:pt>
                <c:pt idx="6333">
                  <c:v>-36.67</c:v>
                </c:pt>
                <c:pt idx="6334">
                  <c:v>-36.66</c:v>
                </c:pt>
                <c:pt idx="6335">
                  <c:v>-36.65</c:v>
                </c:pt>
                <c:pt idx="6336">
                  <c:v>-36.64</c:v>
                </c:pt>
                <c:pt idx="6337">
                  <c:v>-36.63</c:v>
                </c:pt>
                <c:pt idx="6338">
                  <c:v>-36.62</c:v>
                </c:pt>
                <c:pt idx="6339">
                  <c:v>-36.61</c:v>
                </c:pt>
                <c:pt idx="6340">
                  <c:v>-36.6</c:v>
                </c:pt>
                <c:pt idx="6341">
                  <c:v>-36.59</c:v>
                </c:pt>
                <c:pt idx="6342">
                  <c:v>-36.58</c:v>
                </c:pt>
                <c:pt idx="6343">
                  <c:v>-36.57</c:v>
                </c:pt>
                <c:pt idx="6344">
                  <c:v>-36.56</c:v>
                </c:pt>
                <c:pt idx="6345">
                  <c:v>-36.55</c:v>
                </c:pt>
                <c:pt idx="6346">
                  <c:v>-36.54</c:v>
                </c:pt>
                <c:pt idx="6347">
                  <c:v>-36.53</c:v>
                </c:pt>
                <c:pt idx="6348">
                  <c:v>-36.52</c:v>
                </c:pt>
                <c:pt idx="6349">
                  <c:v>-36.51</c:v>
                </c:pt>
                <c:pt idx="6350">
                  <c:v>-36.5</c:v>
                </c:pt>
                <c:pt idx="6351">
                  <c:v>-36.49</c:v>
                </c:pt>
                <c:pt idx="6352">
                  <c:v>-36.48</c:v>
                </c:pt>
                <c:pt idx="6353">
                  <c:v>-36.47</c:v>
                </c:pt>
                <c:pt idx="6354">
                  <c:v>-36.46</c:v>
                </c:pt>
                <c:pt idx="6355">
                  <c:v>-36.45</c:v>
                </c:pt>
                <c:pt idx="6356">
                  <c:v>-36.44</c:v>
                </c:pt>
                <c:pt idx="6357">
                  <c:v>-36.43</c:v>
                </c:pt>
                <c:pt idx="6358">
                  <c:v>-36.42</c:v>
                </c:pt>
                <c:pt idx="6359">
                  <c:v>-36.41</c:v>
                </c:pt>
                <c:pt idx="6360">
                  <c:v>-36.4</c:v>
                </c:pt>
                <c:pt idx="6361">
                  <c:v>-36.39</c:v>
                </c:pt>
                <c:pt idx="6362">
                  <c:v>-36.38</c:v>
                </c:pt>
                <c:pt idx="6363">
                  <c:v>-36.37</c:v>
                </c:pt>
                <c:pt idx="6364">
                  <c:v>-36.36</c:v>
                </c:pt>
                <c:pt idx="6365">
                  <c:v>-36.35</c:v>
                </c:pt>
                <c:pt idx="6366">
                  <c:v>-36.34</c:v>
                </c:pt>
                <c:pt idx="6367">
                  <c:v>-36.33</c:v>
                </c:pt>
                <c:pt idx="6368">
                  <c:v>-36.32</c:v>
                </c:pt>
                <c:pt idx="6369">
                  <c:v>-36.31</c:v>
                </c:pt>
                <c:pt idx="6370">
                  <c:v>-36.3</c:v>
                </c:pt>
                <c:pt idx="6371">
                  <c:v>-36.29</c:v>
                </c:pt>
                <c:pt idx="6372">
                  <c:v>-36.28</c:v>
                </c:pt>
                <c:pt idx="6373">
                  <c:v>-36.27</c:v>
                </c:pt>
                <c:pt idx="6374">
                  <c:v>-36.26</c:v>
                </c:pt>
                <c:pt idx="6375">
                  <c:v>-36.25</c:v>
                </c:pt>
                <c:pt idx="6376">
                  <c:v>-36.24</c:v>
                </c:pt>
                <c:pt idx="6377">
                  <c:v>-36.23</c:v>
                </c:pt>
                <c:pt idx="6378">
                  <c:v>-36.22</c:v>
                </c:pt>
                <c:pt idx="6379">
                  <c:v>-36.21</c:v>
                </c:pt>
                <c:pt idx="6380">
                  <c:v>-36.2</c:v>
                </c:pt>
                <c:pt idx="6381">
                  <c:v>-36.19</c:v>
                </c:pt>
                <c:pt idx="6382">
                  <c:v>-36.18</c:v>
                </c:pt>
                <c:pt idx="6383">
                  <c:v>-36.17</c:v>
                </c:pt>
                <c:pt idx="6384">
                  <c:v>-36.16</c:v>
                </c:pt>
                <c:pt idx="6385">
                  <c:v>-36.15</c:v>
                </c:pt>
                <c:pt idx="6386">
                  <c:v>-36.14</c:v>
                </c:pt>
                <c:pt idx="6387">
                  <c:v>-36.13</c:v>
                </c:pt>
                <c:pt idx="6388">
                  <c:v>-36.12</c:v>
                </c:pt>
                <c:pt idx="6389">
                  <c:v>-36.11</c:v>
                </c:pt>
                <c:pt idx="6390">
                  <c:v>-36.1</c:v>
                </c:pt>
                <c:pt idx="6391">
                  <c:v>-36.09</c:v>
                </c:pt>
                <c:pt idx="6392">
                  <c:v>-36.08</c:v>
                </c:pt>
                <c:pt idx="6393">
                  <c:v>-36.07</c:v>
                </c:pt>
                <c:pt idx="6394">
                  <c:v>-36.06</c:v>
                </c:pt>
                <c:pt idx="6395">
                  <c:v>-36.05</c:v>
                </c:pt>
                <c:pt idx="6396">
                  <c:v>-36.04</c:v>
                </c:pt>
                <c:pt idx="6397">
                  <c:v>-36.03</c:v>
                </c:pt>
                <c:pt idx="6398">
                  <c:v>-36.02</c:v>
                </c:pt>
                <c:pt idx="6399">
                  <c:v>-36.01</c:v>
                </c:pt>
                <c:pt idx="6400">
                  <c:v>-36.0</c:v>
                </c:pt>
                <c:pt idx="6401">
                  <c:v>-35.99</c:v>
                </c:pt>
                <c:pt idx="6402">
                  <c:v>-35.98</c:v>
                </c:pt>
                <c:pt idx="6403">
                  <c:v>-35.97</c:v>
                </c:pt>
                <c:pt idx="6404">
                  <c:v>-35.96</c:v>
                </c:pt>
                <c:pt idx="6405">
                  <c:v>-35.95</c:v>
                </c:pt>
                <c:pt idx="6406">
                  <c:v>-35.94</c:v>
                </c:pt>
                <c:pt idx="6407">
                  <c:v>-35.93</c:v>
                </c:pt>
                <c:pt idx="6408">
                  <c:v>-35.92</c:v>
                </c:pt>
                <c:pt idx="6409">
                  <c:v>-35.91</c:v>
                </c:pt>
                <c:pt idx="6410">
                  <c:v>-35.9</c:v>
                </c:pt>
                <c:pt idx="6411">
                  <c:v>-35.89</c:v>
                </c:pt>
                <c:pt idx="6412">
                  <c:v>-35.88</c:v>
                </c:pt>
                <c:pt idx="6413">
                  <c:v>-35.87</c:v>
                </c:pt>
                <c:pt idx="6414">
                  <c:v>-35.86</c:v>
                </c:pt>
                <c:pt idx="6415">
                  <c:v>-35.85</c:v>
                </c:pt>
                <c:pt idx="6416">
                  <c:v>-35.84</c:v>
                </c:pt>
                <c:pt idx="6417">
                  <c:v>-35.83</c:v>
                </c:pt>
                <c:pt idx="6418">
                  <c:v>-35.82</c:v>
                </c:pt>
                <c:pt idx="6419">
                  <c:v>-35.81</c:v>
                </c:pt>
                <c:pt idx="6420">
                  <c:v>-35.8</c:v>
                </c:pt>
                <c:pt idx="6421">
                  <c:v>-35.79</c:v>
                </c:pt>
                <c:pt idx="6422">
                  <c:v>-35.78</c:v>
                </c:pt>
                <c:pt idx="6423">
                  <c:v>-35.77</c:v>
                </c:pt>
                <c:pt idx="6424">
                  <c:v>-35.76</c:v>
                </c:pt>
                <c:pt idx="6425">
                  <c:v>-35.75</c:v>
                </c:pt>
                <c:pt idx="6426">
                  <c:v>-35.74</c:v>
                </c:pt>
                <c:pt idx="6427">
                  <c:v>-35.73</c:v>
                </c:pt>
                <c:pt idx="6428">
                  <c:v>-35.72</c:v>
                </c:pt>
                <c:pt idx="6429">
                  <c:v>-35.71</c:v>
                </c:pt>
                <c:pt idx="6430">
                  <c:v>-35.7</c:v>
                </c:pt>
                <c:pt idx="6431">
                  <c:v>-35.69</c:v>
                </c:pt>
                <c:pt idx="6432">
                  <c:v>-35.68</c:v>
                </c:pt>
                <c:pt idx="6433">
                  <c:v>-35.67</c:v>
                </c:pt>
                <c:pt idx="6434">
                  <c:v>-35.66</c:v>
                </c:pt>
                <c:pt idx="6435">
                  <c:v>-35.65</c:v>
                </c:pt>
                <c:pt idx="6436">
                  <c:v>-35.64</c:v>
                </c:pt>
                <c:pt idx="6437">
                  <c:v>-35.63</c:v>
                </c:pt>
                <c:pt idx="6438">
                  <c:v>-35.62</c:v>
                </c:pt>
                <c:pt idx="6439">
                  <c:v>-35.61</c:v>
                </c:pt>
                <c:pt idx="6440">
                  <c:v>-35.6</c:v>
                </c:pt>
                <c:pt idx="6441">
                  <c:v>-35.59</c:v>
                </c:pt>
                <c:pt idx="6442">
                  <c:v>-35.58</c:v>
                </c:pt>
                <c:pt idx="6443">
                  <c:v>-35.57</c:v>
                </c:pt>
                <c:pt idx="6444">
                  <c:v>-35.56</c:v>
                </c:pt>
                <c:pt idx="6445">
                  <c:v>-35.55</c:v>
                </c:pt>
                <c:pt idx="6446">
                  <c:v>-35.54</c:v>
                </c:pt>
                <c:pt idx="6447">
                  <c:v>-35.53</c:v>
                </c:pt>
                <c:pt idx="6448">
                  <c:v>-35.52</c:v>
                </c:pt>
                <c:pt idx="6449">
                  <c:v>-35.51</c:v>
                </c:pt>
                <c:pt idx="6450">
                  <c:v>-35.5</c:v>
                </c:pt>
                <c:pt idx="6451">
                  <c:v>-35.49</c:v>
                </c:pt>
                <c:pt idx="6452">
                  <c:v>-35.48</c:v>
                </c:pt>
                <c:pt idx="6453">
                  <c:v>-35.47</c:v>
                </c:pt>
                <c:pt idx="6454">
                  <c:v>-35.46</c:v>
                </c:pt>
                <c:pt idx="6455">
                  <c:v>-35.45</c:v>
                </c:pt>
                <c:pt idx="6456">
                  <c:v>-35.44</c:v>
                </c:pt>
                <c:pt idx="6457">
                  <c:v>-35.43</c:v>
                </c:pt>
                <c:pt idx="6458">
                  <c:v>-35.42</c:v>
                </c:pt>
                <c:pt idx="6459">
                  <c:v>-35.41</c:v>
                </c:pt>
                <c:pt idx="6460">
                  <c:v>-35.4</c:v>
                </c:pt>
                <c:pt idx="6461">
                  <c:v>-35.39</c:v>
                </c:pt>
                <c:pt idx="6462">
                  <c:v>-35.38</c:v>
                </c:pt>
                <c:pt idx="6463">
                  <c:v>-35.37</c:v>
                </c:pt>
                <c:pt idx="6464">
                  <c:v>-35.36</c:v>
                </c:pt>
                <c:pt idx="6465">
                  <c:v>-35.35</c:v>
                </c:pt>
                <c:pt idx="6466">
                  <c:v>-35.34</c:v>
                </c:pt>
                <c:pt idx="6467">
                  <c:v>-35.33</c:v>
                </c:pt>
                <c:pt idx="6468">
                  <c:v>-35.32</c:v>
                </c:pt>
                <c:pt idx="6469">
                  <c:v>-35.31</c:v>
                </c:pt>
                <c:pt idx="6470">
                  <c:v>-35.3</c:v>
                </c:pt>
                <c:pt idx="6471">
                  <c:v>-35.29</c:v>
                </c:pt>
                <c:pt idx="6472">
                  <c:v>-35.28</c:v>
                </c:pt>
                <c:pt idx="6473">
                  <c:v>-35.27</c:v>
                </c:pt>
                <c:pt idx="6474">
                  <c:v>-35.26</c:v>
                </c:pt>
                <c:pt idx="6475">
                  <c:v>-35.25</c:v>
                </c:pt>
                <c:pt idx="6476">
                  <c:v>-35.24</c:v>
                </c:pt>
                <c:pt idx="6477">
                  <c:v>-35.23</c:v>
                </c:pt>
                <c:pt idx="6478">
                  <c:v>-35.22</c:v>
                </c:pt>
                <c:pt idx="6479">
                  <c:v>-35.21</c:v>
                </c:pt>
                <c:pt idx="6480">
                  <c:v>-35.2</c:v>
                </c:pt>
                <c:pt idx="6481">
                  <c:v>-35.19</c:v>
                </c:pt>
                <c:pt idx="6482">
                  <c:v>-35.18</c:v>
                </c:pt>
                <c:pt idx="6483">
                  <c:v>-35.17</c:v>
                </c:pt>
                <c:pt idx="6484">
                  <c:v>-35.16</c:v>
                </c:pt>
                <c:pt idx="6485">
                  <c:v>-35.15</c:v>
                </c:pt>
                <c:pt idx="6486">
                  <c:v>-35.14</c:v>
                </c:pt>
                <c:pt idx="6487">
                  <c:v>-35.13</c:v>
                </c:pt>
                <c:pt idx="6488">
                  <c:v>-35.12</c:v>
                </c:pt>
                <c:pt idx="6489">
                  <c:v>-35.11</c:v>
                </c:pt>
                <c:pt idx="6490">
                  <c:v>-35.1</c:v>
                </c:pt>
                <c:pt idx="6491">
                  <c:v>-35.09</c:v>
                </c:pt>
                <c:pt idx="6492">
                  <c:v>-35.08</c:v>
                </c:pt>
                <c:pt idx="6493">
                  <c:v>-35.07</c:v>
                </c:pt>
                <c:pt idx="6494">
                  <c:v>-35.06</c:v>
                </c:pt>
                <c:pt idx="6495">
                  <c:v>-35.05</c:v>
                </c:pt>
                <c:pt idx="6496">
                  <c:v>-35.04</c:v>
                </c:pt>
                <c:pt idx="6497">
                  <c:v>-35.03</c:v>
                </c:pt>
                <c:pt idx="6498">
                  <c:v>-35.02</c:v>
                </c:pt>
                <c:pt idx="6499">
                  <c:v>-35.01</c:v>
                </c:pt>
                <c:pt idx="6500">
                  <c:v>-35.0</c:v>
                </c:pt>
                <c:pt idx="6501">
                  <c:v>-34.99</c:v>
                </c:pt>
                <c:pt idx="6502">
                  <c:v>-34.98</c:v>
                </c:pt>
                <c:pt idx="6503">
                  <c:v>-34.97</c:v>
                </c:pt>
                <c:pt idx="6504">
                  <c:v>-34.96</c:v>
                </c:pt>
                <c:pt idx="6505">
                  <c:v>-34.95</c:v>
                </c:pt>
                <c:pt idx="6506">
                  <c:v>-34.94</c:v>
                </c:pt>
                <c:pt idx="6507">
                  <c:v>-34.93</c:v>
                </c:pt>
                <c:pt idx="6508">
                  <c:v>-34.92</c:v>
                </c:pt>
                <c:pt idx="6509">
                  <c:v>-34.91</c:v>
                </c:pt>
                <c:pt idx="6510">
                  <c:v>-34.9</c:v>
                </c:pt>
                <c:pt idx="6511">
                  <c:v>-34.89</c:v>
                </c:pt>
                <c:pt idx="6512">
                  <c:v>-34.88</c:v>
                </c:pt>
                <c:pt idx="6513">
                  <c:v>-34.87</c:v>
                </c:pt>
                <c:pt idx="6514">
                  <c:v>-34.86</c:v>
                </c:pt>
                <c:pt idx="6515">
                  <c:v>-34.85</c:v>
                </c:pt>
                <c:pt idx="6516">
                  <c:v>-34.84</c:v>
                </c:pt>
                <c:pt idx="6517">
                  <c:v>-34.83</c:v>
                </c:pt>
                <c:pt idx="6518">
                  <c:v>-34.82</c:v>
                </c:pt>
                <c:pt idx="6519">
                  <c:v>-34.81</c:v>
                </c:pt>
                <c:pt idx="6520">
                  <c:v>-34.8</c:v>
                </c:pt>
                <c:pt idx="6521">
                  <c:v>-34.79</c:v>
                </c:pt>
                <c:pt idx="6522">
                  <c:v>-34.78</c:v>
                </c:pt>
                <c:pt idx="6523">
                  <c:v>-34.77</c:v>
                </c:pt>
                <c:pt idx="6524">
                  <c:v>-34.76</c:v>
                </c:pt>
                <c:pt idx="6525">
                  <c:v>-34.75</c:v>
                </c:pt>
                <c:pt idx="6526">
                  <c:v>-34.74</c:v>
                </c:pt>
                <c:pt idx="6527">
                  <c:v>-34.73</c:v>
                </c:pt>
                <c:pt idx="6528">
                  <c:v>-34.72</c:v>
                </c:pt>
                <c:pt idx="6529">
                  <c:v>-34.71</c:v>
                </c:pt>
                <c:pt idx="6530">
                  <c:v>-34.7</c:v>
                </c:pt>
                <c:pt idx="6531">
                  <c:v>-34.69</c:v>
                </c:pt>
                <c:pt idx="6532">
                  <c:v>-34.68</c:v>
                </c:pt>
                <c:pt idx="6533">
                  <c:v>-34.67</c:v>
                </c:pt>
                <c:pt idx="6534">
                  <c:v>-34.66</c:v>
                </c:pt>
                <c:pt idx="6535">
                  <c:v>-34.65</c:v>
                </c:pt>
                <c:pt idx="6536">
                  <c:v>-34.64</c:v>
                </c:pt>
                <c:pt idx="6537">
                  <c:v>-34.63</c:v>
                </c:pt>
                <c:pt idx="6538">
                  <c:v>-34.62</c:v>
                </c:pt>
                <c:pt idx="6539">
                  <c:v>-34.61</c:v>
                </c:pt>
                <c:pt idx="6540">
                  <c:v>-34.6</c:v>
                </c:pt>
                <c:pt idx="6541">
                  <c:v>-34.59</c:v>
                </c:pt>
                <c:pt idx="6542">
                  <c:v>-34.58</c:v>
                </c:pt>
                <c:pt idx="6543">
                  <c:v>-34.57</c:v>
                </c:pt>
                <c:pt idx="6544">
                  <c:v>-34.56</c:v>
                </c:pt>
                <c:pt idx="6545">
                  <c:v>-34.55</c:v>
                </c:pt>
                <c:pt idx="6546">
                  <c:v>-34.54</c:v>
                </c:pt>
                <c:pt idx="6547">
                  <c:v>-34.53</c:v>
                </c:pt>
                <c:pt idx="6548">
                  <c:v>-34.52</c:v>
                </c:pt>
                <c:pt idx="6549">
                  <c:v>-34.51</c:v>
                </c:pt>
                <c:pt idx="6550">
                  <c:v>-34.5</c:v>
                </c:pt>
                <c:pt idx="6551">
                  <c:v>-34.49</c:v>
                </c:pt>
                <c:pt idx="6552">
                  <c:v>-34.48</c:v>
                </c:pt>
                <c:pt idx="6553">
                  <c:v>-34.47</c:v>
                </c:pt>
                <c:pt idx="6554">
                  <c:v>-34.46</c:v>
                </c:pt>
                <c:pt idx="6555">
                  <c:v>-34.45</c:v>
                </c:pt>
                <c:pt idx="6556">
                  <c:v>-34.44</c:v>
                </c:pt>
                <c:pt idx="6557">
                  <c:v>-34.43</c:v>
                </c:pt>
                <c:pt idx="6558">
                  <c:v>-34.42</c:v>
                </c:pt>
                <c:pt idx="6559">
                  <c:v>-34.41</c:v>
                </c:pt>
                <c:pt idx="6560">
                  <c:v>-34.4</c:v>
                </c:pt>
                <c:pt idx="6561">
                  <c:v>-34.39</c:v>
                </c:pt>
                <c:pt idx="6562">
                  <c:v>-34.38</c:v>
                </c:pt>
                <c:pt idx="6563">
                  <c:v>-34.37</c:v>
                </c:pt>
                <c:pt idx="6564">
                  <c:v>-34.36</c:v>
                </c:pt>
                <c:pt idx="6565">
                  <c:v>-34.35</c:v>
                </c:pt>
                <c:pt idx="6566">
                  <c:v>-34.34</c:v>
                </c:pt>
                <c:pt idx="6567">
                  <c:v>-34.33</c:v>
                </c:pt>
                <c:pt idx="6568">
                  <c:v>-34.32</c:v>
                </c:pt>
                <c:pt idx="6569">
                  <c:v>-34.31</c:v>
                </c:pt>
                <c:pt idx="6570">
                  <c:v>-34.3</c:v>
                </c:pt>
                <c:pt idx="6571">
                  <c:v>-34.29</c:v>
                </c:pt>
                <c:pt idx="6572">
                  <c:v>-34.28</c:v>
                </c:pt>
                <c:pt idx="6573">
                  <c:v>-34.27</c:v>
                </c:pt>
                <c:pt idx="6574">
                  <c:v>-34.26</c:v>
                </c:pt>
                <c:pt idx="6575">
                  <c:v>-34.25</c:v>
                </c:pt>
                <c:pt idx="6576">
                  <c:v>-34.24</c:v>
                </c:pt>
                <c:pt idx="6577">
                  <c:v>-34.23</c:v>
                </c:pt>
                <c:pt idx="6578">
                  <c:v>-34.22</c:v>
                </c:pt>
                <c:pt idx="6579">
                  <c:v>-34.21</c:v>
                </c:pt>
                <c:pt idx="6580">
                  <c:v>-34.2</c:v>
                </c:pt>
                <c:pt idx="6581">
                  <c:v>-34.19</c:v>
                </c:pt>
                <c:pt idx="6582">
                  <c:v>-34.18</c:v>
                </c:pt>
                <c:pt idx="6583">
                  <c:v>-34.17</c:v>
                </c:pt>
                <c:pt idx="6584">
                  <c:v>-34.16</c:v>
                </c:pt>
                <c:pt idx="6585">
                  <c:v>-34.15</c:v>
                </c:pt>
                <c:pt idx="6586">
                  <c:v>-34.14</c:v>
                </c:pt>
                <c:pt idx="6587">
                  <c:v>-34.13</c:v>
                </c:pt>
                <c:pt idx="6588">
                  <c:v>-34.12</c:v>
                </c:pt>
                <c:pt idx="6589">
                  <c:v>-34.11</c:v>
                </c:pt>
                <c:pt idx="6590">
                  <c:v>-34.1</c:v>
                </c:pt>
                <c:pt idx="6591">
                  <c:v>-34.09</c:v>
                </c:pt>
                <c:pt idx="6592">
                  <c:v>-34.08</c:v>
                </c:pt>
                <c:pt idx="6593">
                  <c:v>-34.07</c:v>
                </c:pt>
                <c:pt idx="6594">
                  <c:v>-34.06</c:v>
                </c:pt>
                <c:pt idx="6595">
                  <c:v>-34.05</c:v>
                </c:pt>
                <c:pt idx="6596">
                  <c:v>-34.04</c:v>
                </c:pt>
                <c:pt idx="6597">
                  <c:v>-34.03</c:v>
                </c:pt>
                <c:pt idx="6598">
                  <c:v>-34.02</c:v>
                </c:pt>
                <c:pt idx="6599">
                  <c:v>-34.01</c:v>
                </c:pt>
                <c:pt idx="6600">
                  <c:v>-34.0</c:v>
                </c:pt>
                <c:pt idx="6601">
                  <c:v>-33.99</c:v>
                </c:pt>
                <c:pt idx="6602">
                  <c:v>-33.98</c:v>
                </c:pt>
                <c:pt idx="6603">
                  <c:v>-33.97</c:v>
                </c:pt>
                <c:pt idx="6604">
                  <c:v>-33.96</c:v>
                </c:pt>
                <c:pt idx="6605">
                  <c:v>-33.95</c:v>
                </c:pt>
                <c:pt idx="6606">
                  <c:v>-33.94</c:v>
                </c:pt>
                <c:pt idx="6607">
                  <c:v>-33.93</c:v>
                </c:pt>
                <c:pt idx="6608">
                  <c:v>-33.92</c:v>
                </c:pt>
                <c:pt idx="6609">
                  <c:v>-33.91</c:v>
                </c:pt>
                <c:pt idx="6610">
                  <c:v>-33.9</c:v>
                </c:pt>
                <c:pt idx="6611">
                  <c:v>-33.89</c:v>
                </c:pt>
                <c:pt idx="6612">
                  <c:v>-33.88</c:v>
                </c:pt>
                <c:pt idx="6613">
                  <c:v>-33.87</c:v>
                </c:pt>
                <c:pt idx="6614">
                  <c:v>-33.86</c:v>
                </c:pt>
                <c:pt idx="6615">
                  <c:v>-33.85</c:v>
                </c:pt>
                <c:pt idx="6616">
                  <c:v>-33.84</c:v>
                </c:pt>
                <c:pt idx="6617">
                  <c:v>-33.83</c:v>
                </c:pt>
                <c:pt idx="6618">
                  <c:v>-33.82</c:v>
                </c:pt>
                <c:pt idx="6619">
                  <c:v>-33.81</c:v>
                </c:pt>
                <c:pt idx="6620">
                  <c:v>-33.8</c:v>
                </c:pt>
                <c:pt idx="6621">
                  <c:v>-33.79</c:v>
                </c:pt>
                <c:pt idx="6622">
                  <c:v>-33.78</c:v>
                </c:pt>
                <c:pt idx="6623">
                  <c:v>-33.77</c:v>
                </c:pt>
                <c:pt idx="6624">
                  <c:v>-33.76</c:v>
                </c:pt>
                <c:pt idx="6625">
                  <c:v>-33.75</c:v>
                </c:pt>
                <c:pt idx="6626">
                  <c:v>-33.74</c:v>
                </c:pt>
                <c:pt idx="6627">
                  <c:v>-33.73</c:v>
                </c:pt>
                <c:pt idx="6628">
                  <c:v>-33.72</c:v>
                </c:pt>
                <c:pt idx="6629">
                  <c:v>-33.71</c:v>
                </c:pt>
                <c:pt idx="6630">
                  <c:v>-33.7</c:v>
                </c:pt>
                <c:pt idx="6631">
                  <c:v>-33.69</c:v>
                </c:pt>
                <c:pt idx="6632">
                  <c:v>-33.68</c:v>
                </c:pt>
                <c:pt idx="6633">
                  <c:v>-33.67</c:v>
                </c:pt>
                <c:pt idx="6634">
                  <c:v>-33.66</c:v>
                </c:pt>
                <c:pt idx="6635">
                  <c:v>-33.65</c:v>
                </c:pt>
                <c:pt idx="6636">
                  <c:v>-33.64</c:v>
                </c:pt>
                <c:pt idx="6637">
                  <c:v>-33.63</c:v>
                </c:pt>
                <c:pt idx="6638">
                  <c:v>-33.62</c:v>
                </c:pt>
                <c:pt idx="6639">
                  <c:v>-33.61</c:v>
                </c:pt>
                <c:pt idx="6640">
                  <c:v>-33.6</c:v>
                </c:pt>
                <c:pt idx="6641">
                  <c:v>-33.59</c:v>
                </c:pt>
                <c:pt idx="6642">
                  <c:v>-33.58</c:v>
                </c:pt>
                <c:pt idx="6643">
                  <c:v>-33.57</c:v>
                </c:pt>
                <c:pt idx="6644">
                  <c:v>-33.56</c:v>
                </c:pt>
                <c:pt idx="6645">
                  <c:v>-33.55</c:v>
                </c:pt>
                <c:pt idx="6646">
                  <c:v>-33.54</c:v>
                </c:pt>
                <c:pt idx="6647">
                  <c:v>-33.53</c:v>
                </c:pt>
                <c:pt idx="6648">
                  <c:v>-33.52</c:v>
                </c:pt>
                <c:pt idx="6649">
                  <c:v>-33.51</c:v>
                </c:pt>
                <c:pt idx="6650">
                  <c:v>-33.5</c:v>
                </c:pt>
                <c:pt idx="6651">
                  <c:v>-33.49</c:v>
                </c:pt>
                <c:pt idx="6652">
                  <c:v>-33.48</c:v>
                </c:pt>
                <c:pt idx="6653">
                  <c:v>-33.47</c:v>
                </c:pt>
                <c:pt idx="6654">
                  <c:v>-33.46</c:v>
                </c:pt>
                <c:pt idx="6655">
                  <c:v>-33.45</c:v>
                </c:pt>
                <c:pt idx="6656">
                  <c:v>-33.44</c:v>
                </c:pt>
                <c:pt idx="6657">
                  <c:v>-33.43</c:v>
                </c:pt>
                <c:pt idx="6658">
                  <c:v>-33.42</c:v>
                </c:pt>
                <c:pt idx="6659">
                  <c:v>-33.41</c:v>
                </c:pt>
                <c:pt idx="6660">
                  <c:v>-33.4</c:v>
                </c:pt>
                <c:pt idx="6661">
                  <c:v>-33.39</c:v>
                </c:pt>
                <c:pt idx="6662">
                  <c:v>-33.38</c:v>
                </c:pt>
                <c:pt idx="6663">
                  <c:v>-33.37</c:v>
                </c:pt>
                <c:pt idx="6664">
                  <c:v>-33.36</c:v>
                </c:pt>
                <c:pt idx="6665">
                  <c:v>-33.35</c:v>
                </c:pt>
                <c:pt idx="6666">
                  <c:v>-33.34</c:v>
                </c:pt>
                <c:pt idx="6667">
                  <c:v>-33.33</c:v>
                </c:pt>
                <c:pt idx="6668">
                  <c:v>-33.32</c:v>
                </c:pt>
                <c:pt idx="6669">
                  <c:v>-33.31</c:v>
                </c:pt>
                <c:pt idx="6670">
                  <c:v>-33.3</c:v>
                </c:pt>
                <c:pt idx="6671">
                  <c:v>-33.29</c:v>
                </c:pt>
                <c:pt idx="6672">
                  <c:v>-33.28</c:v>
                </c:pt>
                <c:pt idx="6673">
                  <c:v>-33.27</c:v>
                </c:pt>
                <c:pt idx="6674">
                  <c:v>-33.26</c:v>
                </c:pt>
                <c:pt idx="6675">
                  <c:v>-33.25</c:v>
                </c:pt>
                <c:pt idx="6676">
                  <c:v>-33.24</c:v>
                </c:pt>
                <c:pt idx="6677">
                  <c:v>-33.23</c:v>
                </c:pt>
                <c:pt idx="6678">
                  <c:v>-33.22</c:v>
                </c:pt>
                <c:pt idx="6679">
                  <c:v>-33.21</c:v>
                </c:pt>
                <c:pt idx="6680">
                  <c:v>-33.2</c:v>
                </c:pt>
                <c:pt idx="6681">
                  <c:v>-33.19</c:v>
                </c:pt>
                <c:pt idx="6682">
                  <c:v>-33.18</c:v>
                </c:pt>
                <c:pt idx="6683">
                  <c:v>-33.17</c:v>
                </c:pt>
                <c:pt idx="6684">
                  <c:v>-33.16</c:v>
                </c:pt>
                <c:pt idx="6685">
                  <c:v>-33.15</c:v>
                </c:pt>
                <c:pt idx="6686">
                  <c:v>-33.14</c:v>
                </c:pt>
                <c:pt idx="6687">
                  <c:v>-33.13</c:v>
                </c:pt>
                <c:pt idx="6688">
                  <c:v>-33.12</c:v>
                </c:pt>
                <c:pt idx="6689">
                  <c:v>-33.11</c:v>
                </c:pt>
                <c:pt idx="6690">
                  <c:v>-33.1</c:v>
                </c:pt>
                <c:pt idx="6691">
                  <c:v>-33.09</c:v>
                </c:pt>
                <c:pt idx="6692">
                  <c:v>-33.08</c:v>
                </c:pt>
                <c:pt idx="6693">
                  <c:v>-33.07</c:v>
                </c:pt>
                <c:pt idx="6694">
                  <c:v>-33.06</c:v>
                </c:pt>
                <c:pt idx="6695">
                  <c:v>-33.05</c:v>
                </c:pt>
                <c:pt idx="6696">
                  <c:v>-33.04</c:v>
                </c:pt>
                <c:pt idx="6697">
                  <c:v>-33.03</c:v>
                </c:pt>
                <c:pt idx="6698">
                  <c:v>-33.02</c:v>
                </c:pt>
                <c:pt idx="6699">
                  <c:v>-33.01</c:v>
                </c:pt>
                <c:pt idx="6700">
                  <c:v>-33.0</c:v>
                </c:pt>
                <c:pt idx="6701">
                  <c:v>-32.99</c:v>
                </c:pt>
                <c:pt idx="6702">
                  <c:v>-32.98</c:v>
                </c:pt>
                <c:pt idx="6703">
                  <c:v>-32.97</c:v>
                </c:pt>
                <c:pt idx="6704">
                  <c:v>-32.96</c:v>
                </c:pt>
                <c:pt idx="6705">
                  <c:v>-32.95</c:v>
                </c:pt>
                <c:pt idx="6706">
                  <c:v>-32.94</c:v>
                </c:pt>
                <c:pt idx="6707">
                  <c:v>-32.93</c:v>
                </c:pt>
                <c:pt idx="6708">
                  <c:v>-32.92</c:v>
                </c:pt>
                <c:pt idx="6709">
                  <c:v>-32.91</c:v>
                </c:pt>
                <c:pt idx="6710">
                  <c:v>-32.9</c:v>
                </c:pt>
                <c:pt idx="6711">
                  <c:v>-32.89</c:v>
                </c:pt>
                <c:pt idx="6712">
                  <c:v>-32.88</c:v>
                </c:pt>
                <c:pt idx="6713">
                  <c:v>-32.87</c:v>
                </c:pt>
                <c:pt idx="6714">
                  <c:v>-32.86</c:v>
                </c:pt>
                <c:pt idx="6715">
                  <c:v>-32.85</c:v>
                </c:pt>
                <c:pt idx="6716">
                  <c:v>-32.84</c:v>
                </c:pt>
                <c:pt idx="6717">
                  <c:v>-32.83</c:v>
                </c:pt>
                <c:pt idx="6718">
                  <c:v>-32.82</c:v>
                </c:pt>
                <c:pt idx="6719">
                  <c:v>-32.81</c:v>
                </c:pt>
                <c:pt idx="6720">
                  <c:v>-32.8</c:v>
                </c:pt>
                <c:pt idx="6721">
                  <c:v>-32.79</c:v>
                </c:pt>
                <c:pt idx="6722">
                  <c:v>-32.78</c:v>
                </c:pt>
                <c:pt idx="6723">
                  <c:v>-32.77</c:v>
                </c:pt>
                <c:pt idx="6724">
                  <c:v>-32.76</c:v>
                </c:pt>
                <c:pt idx="6725">
                  <c:v>-32.75</c:v>
                </c:pt>
                <c:pt idx="6726">
                  <c:v>-32.74</c:v>
                </c:pt>
                <c:pt idx="6727">
                  <c:v>-32.73</c:v>
                </c:pt>
                <c:pt idx="6728">
                  <c:v>-32.72</c:v>
                </c:pt>
                <c:pt idx="6729">
                  <c:v>-32.71</c:v>
                </c:pt>
                <c:pt idx="6730">
                  <c:v>-32.7</c:v>
                </c:pt>
                <c:pt idx="6731">
                  <c:v>-32.69</c:v>
                </c:pt>
                <c:pt idx="6732">
                  <c:v>-32.68</c:v>
                </c:pt>
                <c:pt idx="6733">
                  <c:v>-32.67</c:v>
                </c:pt>
                <c:pt idx="6734">
                  <c:v>-32.66</c:v>
                </c:pt>
                <c:pt idx="6735">
                  <c:v>-32.65</c:v>
                </c:pt>
                <c:pt idx="6736">
                  <c:v>-32.64</c:v>
                </c:pt>
                <c:pt idx="6737">
                  <c:v>-32.63</c:v>
                </c:pt>
                <c:pt idx="6738">
                  <c:v>-32.62</c:v>
                </c:pt>
                <c:pt idx="6739">
                  <c:v>-32.61</c:v>
                </c:pt>
                <c:pt idx="6740">
                  <c:v>-32.6</c:v>
                </c:pt>
                <c:pt idx="6741">
                  <c:v>-32.59</c:v>
                </c:pt>
                <c:pt idx="6742">
                  <c:v>-32.58</c:v>
                </c:pt>
                <c:pt idx="6743">
                  <c:v>-32.57</c:v>
                </c:pt>
                <c:pt idx="6744">
                  <c:v>-32.56</c:v>
                </c:pt>
                <c:pt idx="6745">
                  <c:v>-32.55</c:v>
                </c:pt>
                <c:pt idx="6746">
                  <c:v>-32.54</c:v>
                </c:pt>
                <c:pt idx="6747">
                  <c:v>-32.53</c:v>
                </c:pt>
                <c:pt idx="6748">
                  <c:v>-32.52</c:v>
                </c:pt>
                <c:pt idx="6749">
                  <c:v>-32.51</c:v>
                </c:pt>
                <c:pt idx="6750">
                  <c:v>-32.5</c:v>
                </c:pt>
                <c:pt idx="6751">
                  <c:v>-32.49</c:v>
                </c:pt>
                <c:pt idx="6752">
                  <c:v>-32.48</c:v>
                </c:pt>
                <c:pt idx="6753">
                  <c:v>-32.47</c:v>
                </c:pt>
                <c:pt idx="6754">
                  <c:v>-32.46</c:v>
                </c:pt>
                <c:pt idx="6755">
                  <c:v>-32.45</c:v>
                </c:pt>
                <c:pt idx="6756">
                  <c:v>-32.44</c:v>
                </c:pt>
                <c:pt idx="6757">
                  <c:v>-32.43</c:v>
                </c:pt>
                <c:pt idx="6758">
                  <c:v>-32.42</c:v>
                </c:pt>
                <c:pt idx="6759">
                  <c:v>-32.41</c:v>
                </c:pt>
                <c:pt idx="6760">
                  <c:v>-32.4</c:v>
                </c:pt>
                <c:pt idx="6761">
                  <c:v>-32.39</c:v>
                </c:pt>
                <c:pt idx="6762">
                  <c:v>-32.38</c:v>
                </c:pt>
                <c:pt idx="6763">
                  <c:v>-32.37</c:v>
                </c:pt>
                <c:pt idx="6764">
                  <c:v>-32.36</c:v>
                </c:pt>
                <c:pt idx="6765">
                  <c:v>-32.35</c:v>
                </c:pt>
                <c:pt idx="6766">
                  <c:v>-32.34</c:v>
                </c:pt>
                <c:pt idx="6767">
                  <c:v>-32.33</c:v>
                </c:pt>
                <c:pt idx="6768">
                  <c:v>-32.32</c:v>
                </c:pt>
                <c:pt idx="6769">
                  <c:v>-32.31</c:v>
                </c:pt>
                <c:pt idx="6770">
                  <c:v>-32.3</c:v>
                </c:pt>
                <c:pt idx="6771">
                  <c:v>-32.29</c:v>
                </c:pt>
                <c:pt idx="6772">
                  <c:v>-32.28</c:v>
                </c:pt>
                <c:pt idx="6773">
                  <c:v>-32.27</c:v>
                </c:pt>
                <c:pt idx="6774">
                  <c:v>-32.26</c:v>
                </c:pt>
                <c:pt idx="6775">
                  <c:v>-32.25</c:v>
                </c:pt>
                <c:pt idx="6776">
                  <c:v>-32.24</c:v>
                </c:pt>
                <c:pt idx="6777">
                  <c:v>-32.23</c:v>
                </c:pt>
                <c:pt idx="6778">
                  <c:v>-32.22</c:v>
                </c:pt>
                <c:pt idx="6779">
                  <c:v>-32.21</c:v>
                </c:pt>
                <c:pt idx="6780">
                  <c:v>-32.2</c:v>
                </c:pt>
                <c:pt idx="6781">
                  <c:v>-32.19</c:v>
                </c:pt>
                <c:pt idx="6782">
                  <c:v>-32.18</c:v>
                </c:pt>
                <c:pt idx="6783">
                  <c:v>-32.17</c:v>
                </c:pt>
                <c:pt idx="6784">
                  <c:v>-32.16</c:v>
                </c:pt>
                <c:pt idx="6785">
                  <c:v>-32.15</c:v>
                </c:pt>
                <c:pt idx="6786">
                  <c:v>-32.14</c:v>
                </c:pt>
                <c:pt idx="6787">
                  <c:v>-32.13</c:v>
                </c:pt>
                <c:pt idx="6788">
                  <c:v>-32.12</c:v>
                </c:pt>
                <c:pt idx="6789">
                  <c:v>-32.11</c:v>
                </c:pt>
                <c:pt idx="6790">
                  <c:v>-32.1</c:v>
                </c:pt>
                <c:pt idx="6791">
                  <c:v>-32.09</c:v>
                </c:pt>
                <c:pt idx="6792">
                  <c:v>-32.08</c:v>
                </c:pt>
                <c:pt idx="6793">
                  <c:v>-32.07</c:v>
                </c:pt>
                <c:pt idx="6794">
                  <c:v>-32.06</c:v>
                </c:pt>
                <c:pt idx="6795">
                  <c:v>-32.05</c:v>
                </c:pt>
                <c:pt idx="6796">
                  <c:v>-32.04</c:v>
                </c:pt>
                <c:pt idx="6797">
                  <c:v>-32.03</c:v>
                </c:pt>
                <c:pt idx="6798">
                  <c:v>-32.02</c:v>
                </c:pt>
                <c:pt idx="6799">
                  <c:v>-32.01</c:v>
                </c:pt>
                <c:pt idx="6800">
                  <c:v>-32.0</c:v>
                </c:pt>
                <c:pt idx="6801">
                  <c:v>-31.99</c:v>
                </c:pt>
                <c:pt idx="6802">
                  <c:v>-31.98</c:v>
                </c:pt>
                <c:pt idx="6803">
                  <c:v>-31.97</c:v>
                </c:pt>
                <c:pt idx="6804">
                  <c:v>-31.96</c:v>
                </c:pt>
                <c:pt idx="6805">
                  <c:v>-31.95</c:v>
                </c:pt>
                <c:pt idx="6806">
                  <c:v>-31.94</c:v>
                </c:pt>
                <c:pt idx="6807">
                  <c:v>-31.93</c:v>
                </c:pt>
                <c:pt idx="6808">
                  <c:v>-31.92</c:v>
                </c:pt>
                <c:pt idx="6809">
                  <c:v>-31.91</c:v>
                </c:pt>
                <c:pt idx="6810">
                  <c:v>-31.9</c:v>
                </c:pt>
                <c:pt idx="6811">
                  <c:v>-31.89</c:v>
                </c:pt>
                <c:pt idx="6812">
                  <c:v>-31.88</c:v>
                </c:pt>
                <c:pt idx="6813">
                  <c:v>-31.87</c:v>
                </c:pt>
                <c:pt idx="6814">
                  <c:v>-31.86</c:v>
                </c:pt>
                <c:pt idx="6815">
                  <c:v>-31.85</c:v>
                </c:pt>
                <c:pt idx="6816">
                  <c:v>-31.84</c:v>
                </c:pt>
                <c:pt idx="6817">
                  <c:v>-31.83</c:v>
                </c:pt>
                <c:pt idx="6818">
                  <c:v>-31.82</c:v>
                </c:pt>
                <c:pt idx="6819">
                  <c:v>-31.81</c:v>
                </c:pt>
                <c:pt idx="6820">
                  <c:v>-31.8</c:v>
                </c:pt>
                <c:pt idx="6821">
                  <c:v>-31.79</c:v>
                </c:pt>
                <c:pt idx="6822">
                  <c:v>-31.78</c:v>
                </c:pt>
                <c:pt idx="6823">
                  <c:v>-31.77</c:v>
                </c:pt>
                <c:pt idx="6824">
                  <c:v>-31.76</c:v>
                </c:pt>
                <c:pt idx="6825">
                  <c:v>-31.75</c:v>
                </c:pt>
                <c:pt idx="6826">
                  <c:v>-31.74</c:v>
                </c:pt>
                <c:pt idx="6827">
                  <c:v>-31.73</c:v>
                </c:pt>
                <c:pt idx="6828">
                  <c:v>-31.72</c:v>
                </c:pt>
                <c:pt idx="6829">
                  <c:v>-31.71</c:v>
                </c:pt>
                <c:pt idx="6830">
                  <c:v>-31.7</c:v>
                </c:pt>
                <c:pt idx="6831">
                  <c:v>-31.69</c:v>
                </c:pt>
                <c:pt idx="6832">
                  <c:v>-31.68</c:v>
                </c:pt>
                <c:pt idx="6833">
                  <c:v>-31.67</c:v>
                </c:pt>
                <c:pt idx="6834">
                  <c:v>-31.66</c:v>
                </c:pt>
                <c:pt idx="6835">
                  <c:v>-31.65</c:v>
                </c:pt>
                <c:pt idx="6836">
                  <c:v>-31.64</c:v>
                </c:pt>
                <c:pt idx="6837">
                  <c:v>-31.63</c:v>
                </c:pt>
                <c:pt idx="6838">
                  <c:v>-31.62</c:v>
                </c:pt>
                <c:pt idx="6839">
                  <c:v>-31.61</c:v>
                </c:pt>
                <c:pt idx="6840">
                  <c:v>-31.6</c:v>
                </c:pt>
                <c:pt idx="6841">
                  <c:v>-31.59</c:v>
                </c:pt>
                <c:pt idx="6842">
                  <c:v>-31.58</c:v>
                </c:pt>
                <c:pt idx="6843">
                  <c:v>-31.57</c:v>
                </c:pt>
                <c:pt idx="6844">
                  <c:v>-31.56</c:v>
                </c:pt>
                <c:pt idx="6845">
                  <c:v>-31.55</c:v>
                </c:pt>
                <c:pt idx="6846">
                  <c:v>-31.54</c:v>
                </c:pt>
                <c:pt idx="6847">
                  <c:v>-31.53</c:v>
                </c:pt>
                <c:pt idx="6848">
                  <c:v>-31.52</c:v>
                </c:pt>
                <c:pt idx="6849">
                  <c:v>-31.51</c:v>
                </c:pt>
                <c:pt idx="6850">
                  <c:v>-31.5</c:v>
                </c:pt>
                <c:pt idx="6851">
                  <c:v>-31.49</c:v>
                </c:pt>
                <c:pt idx="6852">
                  <c:v>-31.48</c:v>
                </c:pt>
                <c:pt idx="6853">
                  <c:v>-31.47</c:v>
                </c:pt>
                <c:pt idx="6854">
                  <c:v>-31.46</c:v>
                </c:pt>
                <c:pt idx="6855">
                  <c:v>-31.45</c:v>
                </c:pt>
                <c:pt idx="6856">
                  <c:v>-31.44</c:v>
                </c:pt>
                <c:pt idx="6857">
                  <c:v>-31.43</c:v>
                </c:pt>
                <c:pt idx="6858">
                  <c:v>-31.42</c:v>
                </c:pt>
                <c:pt idx="6859">
                  <c:v>-31.41</c:v>
                </c:pt>
                <c:pt idx="6860">
                  <c:v>-31.4</c:v>
                </c:pt>
                <c:pt idx="6861">
                  <c:v>-31.39</c:v>
                </c:pt>
                <c:pt idx="6862">
                  <c:v>-31.38</c:v>
                </c:pt>
                <c:pt idx="6863">
                  <c:v>-31.37</c:v>
                </c:pt>
                <c:pt idx="6864">
                  <c:v>-31.36</c:v>
                </c:pt>
                <c:pt idx="6865">
                  <c:v>-31.35</c:v>
                </c:pt>
                <c:pt idx="6866">
                  <c:v>-31.34</c:v>
                </c:pt>
                <c:pt idx="6867">
                  <c:v>-31.33</c:v>
                </c:pt>
                <c:pt idx="6868">
                  <c:v>-31.32</c:v>
                </c:pt>
                <c:pt idx="6869">
                  <c:v>-31.31</c:v>
                </c:pt>
                <c:pt idx="6870">
                  <c:v>-31.3</c:v>
                </c:pt>
                <c:pt idx="6871">
                  <c:v>-31.29</c:v>
                </c:pt>
                <c:pt idx="6872">
                  <c:v>-31.28</c:v>
                </c:pt>
                <c:pt idx="6873">
                  <c:v>-31.27</c:v>
                </c:pt>
                <c:pt idx="6874">
                  <c:v>-31.26</c:v>
                </c:pt>
                <c:pt idx="6875">
                  <c:v>-31.25</c:v>
                </c:pt>
                <c:pt idx="6876">
                  <c:v>-31.24</c:v>
                </c:pt>
                <c:pt idx="6877">
                  <c:v>-31.23</c:v>
                </c:pt>
                <c:pt idx="6878">
                  <c:v>-31.22</c:v>
                </c:pt>
                <c:pt idx="6879">
                  <c:v>-31.21</c:v>
                </c:pt>
                <c:pt idx="6880">
                  <c:v>-31.2</c:v>
                </c:pt>
                <c:pt idx="6881">
                  <c:v>-31.19</c:v>
                </c:pt>
                <c:pt idx="6882">
                  <c:v>-31.18</c:v>
                </c:pt>
                <c:pt idx="6883">
                  <c:v>-31.17</c:v>
                </c:pt>
                <c:pt idx="6884">
                  <c:v>-31.16</c:v>
                </c:pt>
                <c:pt idx="6885">
                  <c:v>-31.15</c:v>
                </c:pt>
                <c:pt idx="6886">
                  <c:v>-31.14</c:v>
                </c:pt>
                <c:pt idx="6887">
                  <c:v>-31.13</c:v>
                </c:pt>
                <c:pt idx="6888">
                  <c:v>-31.12</c:v>
                </c:pt>
                <c:pt idx="6889">
                  <c:v>-31.11</c:v>
                </c:pt>
                <c:pt idx="6890">
                  <c:v>-31.1</c:v>
                </c:pt>
                <c:pt idx="6891">
                  <c:v>-31.09</c:v>
                </c:pt>
                <c:pt idx="6892">
                  <c:v>-31.08</c:v>
                </c:pt>
                <c:pt idx="6893">
                  <c:v>-31.07</c:v>
                </c:pt>
                <c:pt idx="6894">
                  <c:v>-31.06</c:v>
                </c:pt>
                <c:pt idx="6895">
                  <c:v>-31.05</c:v>
                </c:pt>
                <c:pt idx="6896">
                  <c:v>-31.04</c:v>
                </c:pt>
                <c:pt idx="6897">
                  <c:v>-31.03</c:v>
                </c:pt>
                <c:pt idx="6898">
                  <c:v>-31.02</c:v>
                </c:pt>
                <c:pt idx="6899">
                  <c:v>-31.01</c:v>
                </c:pt>
                <c:pt idx="6900">
                  <c:v>-31.0</c:v>
                </c:pt>
                <c:pt idx="6901">
                  <c:v>-30.99</c:v>
                </c:pt>
                <c:pt idx="6902">
                  <c:v>-30.98</c:v>
                </c:pt>
                <c:pt idx="6903">
                  <c:v>-30.97</c:v>
                </c:pt>
                <c:pt idx="6904">
                  <c:v>-30.96</c:v>
                </c:pt>
                <c:pt idx="6905">
                  <c:v>-30.95</c:v>
                </c:pt>
                <c:pt idx="6906">
                  <c:v>-30.94</c:v>
                </c:pt>
                <c:pt idx="6907">
                  <c:v>-30.93</c:v>
                </c:pt>
                <c:pt idx="6908">
                  <c:v>-30.92</c:v>
                </c:pt>
                <c:pt idx="6909">
                  <c:v>-30.91</c:v>
                </c:pt>
                <c:pt idx="6910">
                  <c:v>-30.9</c:v>
                </c:pt>
                <c:pt idx="6911">
                  <c:v>-30.89</c:v>
                </c:pt>
                <c:pt idx="6912">
                  <c:v>-30.88</c:v>
                </c:pt>
                <c:pt idx="6913">
                  <c:v>-30.87</c:v>
                </c:pt>
                <c:pt idx="6914">
                  <c:v>-30.86</c:v>
                </c:pt>
                <c:pt idx="6915">
                  <c:v>-30.85</c:v>
                </c:pt>
                <c:pt idx="6916">
                  <c:v>-30.84</c:v>
                </c:pt>
                <c:pt idx="6917">
                  <c:v>-30.83</c:v>
                </c:pt>
                <c:pt idx="6918">
                  <c:v>-30.82</c:v>
                </c:pt>
                <c:pt idx="6919">
                  <c:v>-30.81</c:v>
                </c:pt>
                <c:pt idx="6920">
                  <c:v>-30.8</c:v>
                </c:pt>
                <c:pt idx="6921">
                  <c:v>-30.79</c:v>
                </c:pt>
                <c:pt idx="6922">
                  <c:v>-30.78</c:v>
                </c:pt>
                <c:pt idx="6923">
                  <c:v>-30.77</c:v>
                </c:pt>
                <c:pt idx="6924">
                  <c:v>-30.76</c:v>
                </c:pt>
                <c:pt idx="6925">
                  <c:v>-30.75</c:v>
                </c:pt>
                <c:pt idx="6926">
                  <c:v>-30.74</c:v>
                </c:pt>
                <c:pt idx="6927">
                  <c:v>-30.73</c:v>
                </c:pt>
                <c:pt idx="6928">
                  <c:v>-30.72</c:v>
                </c:pt>
                <c:pt idx="6929">
                  <c:v>-30.71</c:v>
                </c:pt>
                <c:pt idx="6930">
                  <c:v>-30.7</c:v>
                </c:pt>
                <c:pt idx="6931">
                  <c:v>-30.69</c:v>
                </c:pt>
                <c:pt idx="6932">
                  <c:v>-30.68</c:v>
                </c:pt>
                <c:pt idx="6933">
                  <c:v>-30.67</c:v>
                </c:pt>
                <c:pt idx="6934">
                  <c:v>-30.66</c:v>
                </c:pt>
                <c:pt idx="6935">
                  <c:v>-30.65</c:v>
                </c:pt>
                <c:pt idx="6936">
                  <c:v>-30.64</c:v>
                </c:pt>
                <c:pt idx="6937">
                  <c:v>-30.63</c:v>
                </c:pt>
                <c:pt idx="6938">
                  <c:v>-30.62</c:v>
                </c:pt>
                <c:pt idx="6939">
                  <c:v>-30.61</c:v>
                </c:pt>
                <c:pt idx="6940">
                  <c:v>-30.6</c:v>
                </c:pt>
                <c:pt idx="6941">
                  <c:v>-30.59</c:v>
                </c:pt>
                <c:pt idx="6942">
                  <c:v>-30.58</c:v>
                </c:pt>
                <c:pt idx="6943">
                  <c:v>-30.57</c:v>
                </c:pt>
                <c:pt idx="6944">
                  <c:v>-30.56</c:v>
                </c:pt>
                <c:pt idx="6945">
                  <c:v>-30.55</c:v>
                </c:pt>
                <c:pt idx="6946">
                  <c:v>-30.54</c:v>
                </c:pt>
                <c:pt idx="6947">
                  <c:v>-30.53</c:v>
                </c:pt>
                <c:pt idx="6948">
                  <c:v>-30.52</c:v>
                </c:pt>
                <c:pt idx="6949">
                  <c:v>-30.51</c:v>
                </c:pt>
                <c:pt idx="6950">
                  <c:v>-30.5</c:v>
                </c:pt>
                <c:pt idx="6951">
                  <c:v>-30.49</c:v>
                </c:pt>
                <c:pt idx="6952">
                  <c:v>-30.48</c:v>
                </c:pt>
                <c:pt idx="6953">
                  <c:v>-30.47</c:v>
                </c:pt>
                <c:pt idx="6954">
                  <c:v>-30.46</c:v>
                </c:pt>
                <c:pt idx="6955">
                  <c:v>-30.45</c:v>
                </c:pt>
                <c:pt idx="6956">
                  <c:v>-30.44</c:v>
                </c:pt>
                <c:pt idx="6957">
                  <c:v>-30.43</c:v>
                </c:pt>
                <c:pt idx="6958">
                  <c:v>-30.42</c:v>
                </c:pt>
                <c:pt idx="6959">
                  <c:v>-30.41</c:v>
                </c:pt>
                <c:pt idx="6960">
                  <c:v>-30.4</c:v>
                </c:pt>
                <c:pt idx="6961">
                  <c:v>-30.39</c:v>
                </c:pt>
                <c:pt idx="6962">
                  <c:v>-30.38</c:v>
                </c:pt>
                <c:pt idx="6963">
                  <c:v>-30.37</c:v>
                </c:pt>
                <c:pt idx="6964">
                  <c:v>-30.36</c:v>
                </c:pt>
                <c:pt idx="6965">
                  <c:v>-30.35</c:v>
                </c:pt>
                <c:pt idx="6966">
                  <c:v>-30.34</c:v>
                </c:pt>
                <c:pt idx="6967">
                  <c:v>-30.33</c:v>
                </c:pt>
                <c:pt idx="6968">
                  <c:v>-30.32</c:v>
                </c:pt>
                <c:pt idx="6969">
                  <c:v>-30.31</c:v>
                </c:pt>
                <c:pt idx="6970">
                  <c:v>-30.3</c:v>
                </c:pt>
                <c:pt idx="6971">
                  <c:v>-30.29</c:v>
                </c:pt>
                <c:pt idx="6972">
                  <c:v>-30.28</c:v>
                </c:pt>
                <c:pt idx="6973">
                  <c:v>-30.27</c:v>
                </c:pt>
                <c:pt idx="6974">
                  <c:v>-30.26</c:v>
                </c:pt>
                <c:pt idx="6975">
                  <c:v>-30.25</c:v>
                </c:pt>
                <c:pt idx="6976">
                  <c:v>-30.24</c:v>
                </c:pt>
                <c:pt idx="6977">
                  <c:v>-30.23</c:v>
                </c:pt>
                <c:pt idx="6978">
                  <c:v>-30.22</c:v>
                </c:pt>
                <c:pt idx="6979">
                  <c:v>-30.21</c:v>
                </c:pt>
                <c:pt idx="6980">
                  <c:v>-30.2</c:v>
                </c:pt>
                <c:pt idx="6981">
                  <c:v>-30.19</c:v>
                </c:pt>
                <c:pt idx="6982">
                  <c:v>-30.18</c:v>
                </c:pt>
                <c:pt idx="6983">
                  <c:v>-30.17</c:v>
                </c:pt>
                <c:pt idx="6984">
                  <c:v>-30.16</c:v>
                </c:pt>
                <c:pt idx="6985">
                  <c:v>-30.15</c:v>
                </c:pt>
                <c:pt idx="6986">
                  <c:v>-30.14</c:v>
                </c:pt>
                <c:pt idx="6987">
                  <c:v>-30.13</c:v>
                </c:pt>
                <c:pt idx="6988">
                  <c:v>-30.12</c:v>
                </c:pt>
                <c:pt idx="6989">
                  <c:v>-30.11</c:v>
                </c:pt>
                <c:pt idx="6990">
                  <c:v>-30.1</c:v>
                </c:pt>
                <c:pt idx="6991">
                  <c:v>-30.09</c:v>
                </c:pt>
                <c:pt idx="6992">
                  <c:v>-30.08</c:v>
                </c:pt>
                <c:pt idx="6993">
                  <c:v>-30.07</c:v>
                </c:pt>
                <c:pt idx="6994">
                  <c:v>-30.06</c:v>
                </c:pt>
                <c:pt idx="6995">
                  <c:v>-30.05</c:v>
                </c:pt>
                <c:pt idx="6996">
                  <c:v>-30.04</c:v>
                </c:pt>
                <c:pt idx="6997">
                  <c:v>-30.03</c:v>
                </c:pt>
                <c:pt idx="6998">
                  <c:v>-30.02</c:v>
                </c:pt>
                <c:pt idx="6999">
                  <c:v>-30.01</c:v>
                </c:pt>
                <c:pt idx="7000">
                  <c:v>-30.0</c:v>
                </c:pt>
                <c:pt idx="7001">
                  <c:v>-29.99</c:v>
                </c:pt>
                <c:pt idx="7002">
                  <c:v>-29.98</c:v>
                </c:pt>
                <c:pt idx="7003">
                  <c:v>-29.97</c:v>
                </c:pt>
                <c:pt idx="7004">
                  <c:v>-29.96</c:v>
                </c:pt>
                <c:pt idx="7005">
                  <c:v>-29.95</c:v>
                </c:pt>
                <c:pt idx="7006">
                  <c:v>-29.94</c:v>
                </c:pt>
                <c:pt idx="7007">
                  <c:v>-29.93</c:v>
                </c:pt>
                <c:pt idx="7008">
                  <c:v>-29.92</c:v>
                </c:pt>
                <c:pt idx="7009">
                  <c:v>-29.91</c:v>
                </c:pt>
                <c:pt idx="7010">
                  <c:v>-29.9</c:v>
                </c:pt>
                <c:pt idx="7011">
                  <c:v>-29.89</c:v>
                </c:pt>
                <c:pt idx="7012">
                  <c:v>-29.88</c:v>
                </c:pt>
                <c:pt idx="7013">
                  <c:v>-29.87</c:v>
                </c:pt>
                <c:pt idx="7014">
                  <c:v>-29.86</c:v>
                </c:pt>
                <c:pt idx="7015">
                  <c:v>-29.85</c:v>
                </c:pt>
                <c:pt idx="7016">
                  <c:v>-29.84</c:v>
                </c:pt>
                <c:pt idx="7017">
                  <c:v>-29.83</c:v>
                </c:pt>
                <c:pt idx="7018">
                  <c:v>-29.82</c:v>
                </c:pt>
                <c:pt idx="7019">
                  <c:v>-29.81</c:v>
                </c:pt>
                <c:pt idx="7020">
                  <c:v>-29.8</c:v>
                </c:pt>
                <c:pt idx="7021">
                  <c:v>-29.79</c:v>
                </c:pt>
                <c:pt idx="7022">
                  <c:v>-29.78</c:v>
                </c:pt>
                <c:pt idx="7023">
                  <c:v>-29.77</c:v>
                </c:pt>
                <c:pt idx="7024">
                  <c:v>-29.76</c:v>
                </c:pt>
                <c:pt idx="7025">
                  <c:v>-29.75</c:v>
                </c:pt>
                <c:pt idx="7026">
                  <c:v>-29.74</c:v>
                </c:pt>
                <c:pt idx="7027">
                  <c:v>-29.73</c:v>
                </c:pt>
                <c:pt idx="7028">
                  <c:v>-29.72</c:v>
                </c:pt>
                <c:pt idx="7029">
                  <c:v>-29.71</c:v>
                </c:pt>
                <c:pt idx="7030">
                  <c:v>-29.7</c:v>
                </c:pt>
                <c:pt idx="7031">
                  <c:v>-29.69</c:v>
                </c:pt>
                <c:pt idx="7032">
                  <c:v>-29.68</c:v>
                </c:pt>
                <c:pt idx="7033">
                  <c:v>-29.67</c:v>
                </c:pt>
                <c:pt idx="7034">
                  <c:v>-29.66</c:v>
                </c:pt>
                <c:pt idx="7035">
                  <c:v>-29.65</c:v>
                </c:pt>
                <c:pt idx="7036">
                  <c:v>-29.64</c:v>
                </c:pt>
                <c:pt idx="7037">
                  <c:v>-29.63</c:v>
                </c:pt>
                <c:pt idx="7038">
                  <c:v>-29.62</c:v>
                </c:pt>
                <c:pt idx="7039">
                  <c:v>-29.61</c:v>
                </c:pt>
                <c:pt idx="7040">
                  <c:v>-29.6</c:v>
                </c:pt>
                <c:pt idx="7041">
                  <c:v>-29.59</c:v>
                </c:pt>
                <c:pt idx="7042">
                  <c:v>-29.58</c:v>
                </c:pt>
                <c:pt idx="7043">
                  <c:v>-29.57</c:v>
                </c:pt>
                <c:pt idx="7044">
                  <c:v>-29.56</c:v>
                </c:pt>
                <c:pt idx="7045">
                  <c:v>-29.55</c:v>
                </c:pt>
                <c:pt idx="7046">
                  <c:v>-29.54</c:v>
                </c:pt>
                <c:pt idx="7047">
                  <c:v>-29.53</c:v>
                </c:pt>
                <c:pt idx="7048">
                  <c:v>-29.52</c:v>
                </c:pt>
                <c:pt idx="7049">
                  <c:v>-29.51</c:v>
                </c:pt>
                <c:pt idx="7050">
                  <c:v>-29.5</c:v>
                </c:pt>
                <c:pt idx="7051">
                  <c:v>-29.49</c:v>
                </c:pt>
                <c:pt idx="7052">
                  <c:v>-29.48</c:v>
                </c:pt>
                <c:pt idx="7053">
                  <c:v>-29.47</c:v>
                </c:pt>
                <c:pt idx="7054">
                  <c:v>-29.46</c:v>
                </c:pt>
                <c:pt idx="7055">
                  <c:v>-29.45</c:v>
                </c:pt>
                <c:pt idx="7056">
                  <c:v>-29.44</c:v>
                </c:pt>
                <c:pt idx="7057">
                  <c:v>-29.43</c:v>
                </c:pt>
                <c:pt idx="7058">
                  <c:v>-29.42</c:v>
                </c:pt>
                <c:pt idx="7059">
                  <c:v>-29.41</c:v>
                </c:pt>
                <c:pt idx="7060">
                  <c:v>-29.4</c:v>
                </c:pt>
                <c:pt idx="7061">
                  <c:v>-29.39</c:v>
                </c:pt>
                <c:pt idx="7062">
                  <c:v>-29.38</c:v>
                </c:pt>
                <c:pt idx="7063">
                  <c:v>-29.37</c:v>
                </c:pt>
                <c:pt idx="7064">
                  <c:v>-29.36</c:v>
                </c:pt>
                <c:pt idx="7065">
                  <c:v>-29.35</c:v>
                </c:pt>
                <c:pt idx="7066">
                  <c:v>-29.34</c:v>
                </c:pt>
                <c:pt idx="7067">
                  <c:v>-29.33</c:v>
                </c:pt>
                <c:pt idx="7068">
                  <c:v>-29.32</c:v>
                </c:pt>
                <c:pt idx="7069">
                  <c:v>-29.31</c:v>
                </c:pt>
                <c:pt idx="7070">
                  <c:v>-29.3</c:v>
                </c:pt>
                <c:pt idx="7071">
                  <c:v>-29.29</c:v>
                </c:pt>
                <c:pt idx="7072">
                  <c:v>-29.28</c:v>
                </c:pt>
                <c:pt idx="7073">
                  <c:v>-29.27</c:v>
                </c:pt>
                <c:pt idx="7074">
                  <c:v>-29.26</c:v>
                </c:pt>
                <c:pt idx="7075">
                  <c:v>-29.25</c:v>
                </c:pt>
                <c:pt idx="7076">
                  <c:v>-29.24</c:v>
                </c:pt>
                <c:pt idx="7077">
                  <c:v>-29.23</c:v>
                </c:pt>
                <c:pt idx="7078">
                  <c:v>-29.22</c:v>
                </c:pt>
                <c:pt idx="7079">
                  <c:v>-29.21</c:v>
                </c:pt>
                <c:pt idx="7080">
                  <c:v>-29.2</c:v>
                </c:pt>
                <c:pt idx="7081">
                  <c:v>-29.19</c:v>
                </c:pt>
                <c:pt idx="7082">
                  <c:v>-29.18</c:v>
                </c:pt>
                <c:pt idx="7083">
                  <c:v>-29.17</c:v>
                </c:pt>
                <c:pt idx="7084">
                  <c:v>-29.16</c:v>
                </c:pt>
                <c:pt idx="7085">
                  <c:v>-29.15</c:v>
                </c:pt>
                <c:pt idx="7086">
                  <c:v>-29.14</c:v>
                </c:pt>
                <c:pt idx="7087">
                  <c:v>-29.13</c:v>
                </c:pt>
                <c:pt idx="7088">
                  <c:v>-29.12</c:v>
                </c:pt>
                <c:pt idx="7089">
                  <c:v>-29.11</c:v>
                </c:pt>
                <c:pt idx="7090">
                  <c:v>-29.1</c:v>
                </c:pt>
                <c:pt idx="7091">
                  <c:v>-29.09</c:v>
                </c:pt>
                <c:pt idx="7092">
                  <c:v>-29.08</c:v>
                </c:pt>
                <c:pt idx="7093">
                  <c:v>-29.07</c:v>
                </c:pt>
                <c:pt idx="7094">
                  <c:v>-29.06</c:v>
                </c:pt>
                <c:pt idx="7095">
                  <c:v>-29.05</c:v>
                </c:pt>
                <c:pt idx="7096">
                  <c:v>-29.04</c:v>
                </c:pt>
                <c:pt idx="7097">
                  <c:v>-29.03</c:v>
                </c:pt>
                <c:pt idx="7098">
                  <c:v>-29.02</c:v>
                </c:pt>
                <c:pt idx="7099">
                  <c:v>-29.01</c:v>
                </c:pt>
                <c:pt idx="7100">
                  <c:v>-29.0</c:v>
                </c:pt>
                <c:pt idx="7101">
                  <c:v>-28.99</c:v>
                </c:pt>
                <c:pt idx="7102">
                  <c:v>-28.98</c:v>
                </c:pt>
                <c:pt idx="7103">
                  <c:v>-28.97</c:v>
                </c:pt>
                <c:pt idx="7104">
                  <c:v>-28.96</c:v>
                </c:pt>
                <c:pt idx="7105">
                  <c:v>-28.95</c:v>
                </c:pt>
                <c:pt idx="7106">
                  <c:v>-28.94</c:v>
                </c:pt>
                <c:pt idx="7107">
                  <c:v>-28.93</c:v>
                </c:pt>
                <c:pt idx="7108">
                  <c:v>-28.92</c:v>
                </c:pt>
                <c:pt idx="7109">
                  <c:v>-28.91</c:v>
                </c:pt>
                <c:pt idx="7110">
                  <c:v>-28.9</c:v>
                </c:pt>
                <c:pt idx="7111">
                  <c:v>-28.89</c:v>
                </c:pt>
                <c:pt idx="7112">
                  <c:v>-28.88</c:v>
                </c:pt>
                <c:pt idx="7113">
                  <c:v>-28.87</c:v>
                </c:pt>
                <c:pt idx="7114">
                  <c:v>-28.86</c:v>
                </c:pt>
                <c:pt idx="7115">
                  <c:v>-28.85</c:v>
                </c:pt>
                <c:pt idx="7116">
                  <c:v>-28.84</c:v>
                </c:pt>
                <c:pt idx="7117">
                  <c:v>-28.83</c:v>
                </c:pt>
                <c:pt idx="7118">
                  <c:v>-28.82</c:v>
                </c:pt>
                <c:pt idx="7119">
                  <c:v>-28.81</c:v>
                </c:pt>
                <c:pt idx="7120">
                  <c:v>-28.8</c:v>
                </c:pt>
                <c:pt idx="7121">
                  <c:v>-28.79</c:v>
                </c:pt>
                <c:pt idx="7122">
                  <c:v>-28.78</c:v>
                </c:pt>
                <c:pt idx="7123">
                  <c:v>-28.77</c:v>
                </c:pt>
                <c:pt idx="7124">
                  <c:v>-28.76</c:v>
                </c:pt>
                <c:pt idx="7125">
                  <c:v>-28.75</c:v>
                </c:pt>
                <c:pt idx="7126">
                  <c:v>-28.74</c:v>
                </c:pt>
                <c:pt idx="7127">
                  <c:v>-28.73</c:v>
                </c:pt>
                <c:pt idx="7128">
                  <c:v>-28.72</c:v>
                </c:pt>
                <c:pt idx="7129">
                  <c:v>-28.71</c:v>
                </c:pt>
                <c:pt idx="7130">
                  <c:v>-28.7</c:v>
                </c:pt>
                <c:pt idx="7131">
                  <c:v>-28.69</c:v>
                </c:pt>
                <c:pt idx="7132">
                  <c:v>-28.68</c:v>
                </c:pt>
                <c:pt idx="7133">
                  <c:v>-28.67</c:v>
                </c:pt>
                <c:pt idx="7134">
                  <c:v>-28.66</c:v>
                </c:pt>
                <c:pt idx="7135">
                  <c:v>-28.65</c:v>
                </c:pt>
                <c:pt idx="7136">
                  <c:v>-28.64</c:v>
                </c:pt>
                <c:pt idx="7137">
                  <c:v>-28.63</c:v>
                </c:pt>
                <c:pt idx="7138">
                  <c:v>-28.62</c:v>
                </c:pt>
                <c:pt idx="7139">
                  <c:v>-28.61</c:v>
                </c:pt>
                <c:pt idx="7140">
                  <c:v>-28.6</c:v>
                </c:pt>
                <c:pt idx="7141">
                  <c:v>-28.59</c:v>
                </c:pt>
                <c:pt idx="7142">
                  <c:v>-28.58</c:v>
                </c:pt>
                <c:pt idx="7143">
                  <c:v>-28.57</c:v>
                </c:pt>
                <c:pt idx="7144">
                  <c:v>-28.56</c:v>
                </c:pt>
                <c:pt idx="7145">
                  <c:v>-28.55</c:v>
                </c:pt>
                <c:pt idx="7146">
                  <c:v>-28.54</c:v>
                </c:pt>
                <c:pt idx="7147">
                  <c:v>-28.53</c:v>
                </c:pt>
                <c:pt idx="7148">
                  <c:v>-28.52</c:v>
                </c:pt>
                <c:pt idx="7149">
                  <c:v>-28.51</c:v>
                </c:pt>
                <c:pt idx="7150">
                  <c:v>-28.5</c:v>
                </c:pt>
                <c:pt idx="7151">
                  <c:v>-28.49</c:v>
                </c:pt>
                <c:pt idx="7152">
                  <c:v>-28.48</c:v>
                </c:pt>
                <c:pt idx="7153">
                  <c:v>-28.47</c:v>
                </c:pt>
                <c:pt idx="7154">
                  <c:v>-28.46</c:v>
                </c:pt>
                <c:pt idx="7155">
                  <c:v>-28.45</c:v>
                </c:pt>
                <c:pt idx="7156">
                  <c:v>-28.44</c:v>
                </c:pt>
                <c:pt idx="7157">
                  <c:v>-28.43</c:v>
                </c:pt>
                <c:pt idx="7158">
                  <c:v>-28.42</c:v>
                </c:pt>
                <c:pt idx="7159">
                  <c:v>-28.41</c:v>
                </c:pt>
                <c:pt idx="7160">
                  <c:v>-28.4</c:v>
                </c:pt>
                <c:pt idx="7161">
                  <c:v>-28.39</c:v>
                </c:pt>
                <c:pt idx="7162">
                  <c:v>-28.38</c:v>
                </c:pt>
                <c:pt idx="7163">
                  <c:v>-28.37</c:v>
                </c:pt>
                <c:pt idx="7164">
                  <c:v>-28.36</c:v>
                </c:pt>
                <c:pt idx="7165">
                  <c:v>-28.35</c:v>
                </c:pt>
                <c:pt idx="7166">
                  <c:v>-28.34</c:v>
                </c:pt>
                <c:pt idx="7167">
                  <c:v>-28.33</c:v>
                </c:pt>
                <c:pt idx="7168">
                  <c:v>-28.32</c:v>
                </c:pt>
                <c:pt idx="7169">
                  <c:v>-28.31</c:v>
                </c:pt>
                <c:pt idx="7170">
                  <c:v>-28.3</c:v>
                </c:pt>
                <c:pt idx="7171">
                  <c:v>-28.29</c:v>
                </c:pt>
                <c:pt idx="7172">
                  <c:v>-28.28</c:v>
                </c:pt>
                <c:pt idx="7173">
                  <c:v>-28.27</c:v>
                </c:pt>
                <c:pt idx="7174">
                  <c:v>-28.26</c:v>
                </c:pt>
                <c:pt idx="7175">
                  <c:v>-28.25</c:v>
                </c:pt>
                <c:pt idx="7176">
                  <c:v>-28.24</c:v>
                </c:pt>
                <c:pt idx="7177">
                  <c:v>-28.23</c:v>
                </c:pt>
                <c:pt idx="7178">
                  <c:v>-28.22</c:v>
                </c:pt>
                <c:pt idx="7179">
                  <c:v>-28.21</c:v>
                </c:pt>
                <c:pt idx="7180">
                  <c:v>-28.2</c:v>
                </c:pt>
                <c:pt idx="7181">
                  <c:v>-28.19</c:v>
                </c:pt>
                <c:pt idx="7182">
                  <c:v>-28.18</c:v>
                </c:pt>
                <c:pt idx="7183">
                  <c:v>-28.17</c:v>
                </c:pt>
                <c:pt idx="7184">
                  <c:v>-28.16</c:v>
                </c:pt>
                <c:pt idx="7185">
                  <c:v>-28.15</c:v>
                </c:pt>
                <c:pt idx="7186">
                  <c:v>-28.14</c:v>
                </c:pt>
                <c:pt idx="7187">
                  <c:v>-28.13</c:v>
                </c:pt>
                <c:pt idx="7188">
                  <c:v>-28.12</c:v>
                </c:pt>
                <c:pt idx="7189">
                  <c:v>-28.11</c:v>
                </c:pt>
                <c:pt idx="7190">
                  <c:v>-28.1</c:v>
                </c:pt>
                <c:pt idx="7191">
                  <c:v>-28.09</c:v>
                </c:pt>
                <c:pt idx="7192">
                  <c:v>-28.08</c:v>
                </c:pt>
                <c:pt idx="7193">
                  <c:v>-28.07</c:v>
                </c:pt>
                <c:pt idx="7194">
                  <c:v>-28.06</c:v>
                </c:pt>
                <c:pt idx="7195">
                  <c:v>-28.05</c:v>
                </c:pt>
                <c:pt idx="7196">
                  <c:v>-28.04</c:v>
                </c:pt>
                <c:pt idx="7197">
                  <c:v>-28.03</c:v>
                </c:pt>
                <c:pt idx="7198">
                  <c:v>-28.02</c:v>
                </c:pt>
                <c:pt idx="7199">
                  <c:v>-28.01</c:v>
                </c:pt>
                <c:pt idx="7200">
                  <c:v>-28.0</c:v>
                </c:pt>
                <c:pt idx="7201">
                  <c:v>-27.99</c:v>
                </c:pt>
                <c:pt idx="7202">
                  <c:v>-27.98</c:v>
                </c:pt>
                <c:pt idx="7203">
                  <c:v>-27.97</c:v>
                </c:pt>
                <c:pt idx="7204">
                  <c:v>-27.96</c:v>
                </c:pt>
                <c:pt idx="7205">
                  <c:v>-27.95</c:v>
                </c:pt>
                <c:pt idx="7206">
                  <c:v>-27.94</c:v>
                </c:pt>
                <c:pt idx="7207">
                  <c:v>-27.93</c:v>
                </c:pt>
                <c:pt idx="7208">
                  <c:v>-27.92</c:v>
                </c:pt>
                <c:pt idx="7209">
                  <c:v>-27.91</c:v>
                </c:pt>
                <c:pt idx="7210">
                  <c:v>-27.9</c:v>
                </c:pt>
                <c:pt idx="7211">
                  <c:v>-27.89</c:v>
                </c:pt>
                <c:pt idx="7212">
                  <c:v>-27.88</c:v>
                </c:pt>
                <c:pt idx="7213">
                  <c:v>-27.87</c:v>
                </c:pt>
                <c:pt idx="7214">
                  <c:v>-27.86</c:v>
                </c:pt>
                <c:pt idx="7215">
                  <c:v>-27.85</c:v>
                </c:pt>
                <c:pt idx="7216">
                  <c:v>-27.84</c:v>
                </c:pt>
                <c:pt idx="7217">
                  <c:v>-27.83</c:v>
                </c:pt>
                <c:pt idx="7218">
                  <c:v>-27.82</c:v>
                </c:pt>
                <c:pt idx="7219">
                  <c:v>-27.81</c:v>
                </c:pt>
                <c:pt idx="7220">
                  <c:v>-27.8</c:v>
                </c:pt>
                <c:pt idx="7221">
                  <c:v>-27.79</c:v>
                </c:pt>
                <c:pt idx="7222">
                  <c:v>-27.78</c:v>
                </c:pt>
                <c:pt idx="7223">
                  <c:v>-27.77</c:v>
                </c:pt>
                <c:pt idx="7224">
                  <c:v>-27.76</c:v>
                </c:pt>
                <c:pt idx="7225">
                  <c:v>-27.75</c:v>
                </c:pt>
                <c:pt idx="7226">
                  <c:v>-27.74</c:v>
                </c:pt>
                <c:pt idx="7227">
                  <c:v>-27.73</c:v>
                </c:pt>
                <c:pt idx="7228">
                  <c:v>-27.72</c:v>
                </c:pt>
                <c:pt idx="7229">
                  <c:v>-27.71</c:v>
                </c:pt>
                <c:pt idx="7230">
                  <c:v>-27.7</c:v>
                </c:pt>
                <c:pt idx="7231">
                  <c:v>-27.69</c:v>
                </c:pt>
                <c:pt idx="7232">
                  <c:v>-27.68</c:v>
                </c:pt>
                <c:pt idx="7233">
                  <c:v>-27.67</c:v>
                </c:pt>
                <c:pt idx="7234">
                  <c:v>-27.66</c:v>
                </c:pt>
                <c:pt idx="7235">
                  <c:v>-27.65</c:v>
                </c:pt>
                <c:pt idx="7236">
                  <c:v>-27.64</c:v>
                </c:pt>
                <c:pt idx="7237">
                  <c:v>-27.63</c:v>
                </c:pt>
                <c:pt idx="7238">
                  <c:v>-27.62</c:v>
                </c:pt>
                <c:pt idx="7239">
                  <c:v>-27.61</c:v>
                </c:pt>
                <c:pt idx="7240">
                  <c:v>-27.6</c:v>
                </c:pt>
                <c:pt idx="7241">
                  <c:v>-27.59</c:v>
                </c:pt>
                <c:pt idx="7242">
                  <c:v>-27.58</c:v>
                </c:pt>
                <c:pt idx="7243">
                  <c:v>-27.57</c:v>
                </c:pt>
                <c:pt idx="7244">
                  <c:v>-27.56</c:v>
                </c:pt>
                <c:pt idx="7245">
                  <c:v>-27.55</c:v>
                </c:pt>
                <c:pt idx="7246">
                  <c:v>-27.54</c:v>
                </c:pt>
                <c:pt idx="7247">
                  <c:v>-27.53</c:v>
                </c:pt>
                <c:pt idx="7248">
                  <c:v>-27.52</c:v>
                </c:pt>
                <c:pt idx="7249">
                  <c:v>-27.51</c:v>
                </c:pt>
                <c:pt idx="7250">
                  <c:v>-27.5</c:v>
                </c:pt>
                <c:pt idx="7251">
                  <c:v>-27.49</c:v>
                </c:pt>
                <c:pt idx="7252">
                  <c:v>-27.48</c:v>
                </c:pt>
                <c:pt idx="7253">
                  <c:v>-27.47</c:v>
                </c:pt>
                <c:pt idx="7254">
                  <c:v>-27.46</c:v>
                </c:pt>
                <c:pt idx="7255">
                  <c:v>-27.45</c:v>
                </c:pt>
                <c:pt idx="7256">
                  <c:v>-27.44</c:v>
                </c:pt>
                <c:pt idx="7257">
                  <c:v>-27.43</c:v>
                </c:pt>
                <c:pt idx="7258">
                  <c:v>-27.42</c:v>
                </c:pt>
                <c:pt idx="7259">
                  <c:v>-27.41</c:v>
                </c:pt>
                <c:pt idx="7260">
                  <c:v>-27.4</c:v>
                </c:pt>
                <c:pt idx="7261">
                  <c:v>-27.39</c:v>
                </c:pt>
                <c:pt idx="7262">
                  <c:v>-27.38</c:v>
                </c:pt>
                <c:pt idx="7263">
                  <c:v>-27.37</c:v>
                </c:pt>
                <c:pt idx="7264">
                  <c:v>-27.36</c:v>
                </c:pt>
                <c:pt idx="7265">
                  <c:v>-27.35</c:v>
                </c:pt>
                <c:pt idx="7266">
                  <c:v>-27.34</c:v>
                </c:pt>
                <c:pt idx="7267">
                  <c:v>-27.33</c:v>
                </c:pt>
                <c:pt idx="7268">
                  <c:v>-27.32</c:v>
                </c:pt>
                <c:pt idx="7269">
                  <c:v>-27.31</c:v>
                </c:pt>
                <c:pt idx="7270">
                  <c:v>-27.3</c:v>
                </c:pt>
                <c:pt idx="7271">
                  <c:v>-27.29</c:v>
                </c:pt>
                <c:pt idx="7272">
                  <c:v>-27.28</c:v>
                </c:pt>
                <c:pt idx="7273">
                  <c:v>-27.27</c:v>
                </c:pt>
                <c:pt idx="7274">
                  <c:v>-27.26</c:v>
                </c:pt>
                <c:pt idx="7275">
                  <c:v>-27.25</c:v>
                </c:pt>
                <c:pt idx="7276">
                  <c:v>-27.24</c:v>
                </c:pt>
                <c:pt idx="7277">
                  <c:v>-27.23</c:v>
                </c:pt>
                <c:pt idx="7278">
                  <c:v>-27.22</c:v>
                </c:pt>
                <c:pt idx="7279">
                  <c:v>-27.21</c:v>
                </c:pt>
                <c:pt idx="7280">
                  <c:v>-27.2</c:v>
                </c:pt>
                <c:pt idx="7281">
                  <c:v>-27.19</c:v>
                </c:pt>
                <c:pt idx="7282">
                  <c:v>-27.18</c:v>
                </c:pt>
                <c:pt idx="7283">
                  <c:v>-27.17</c:v>
                </c:pt>
                <c:pt idx="7284">
                  <c:v>-27.16</c:v>
                </c:pt>
                <c:pt idx="7285">
                  <c:v>-27.15</c:v>
                </c:pt>
                <c:pt idx="7286">
                  <c:v>-27.14</c:v>
                </c:pt>
                <c:pt idx="7287">
                  <c:v>-27.13</c:v>
                </c:pt>
                <c:pt idx="7288">
                  <c:v>-27.12</c:v>
                </c:pt>
                <c:pt idx="7289">
                  <c:v>-27.11</c:v>
                </c:pt>
                <c:pt idx="7290">
                  <c:v>-27.1</c:v>
                </c:pt>
                <c:pt idx="7291">
                  <c:v>-27.09</c:v>
                </c:pt>
                <c:pt idx="7292">
                  <c:v>-27.08</c:v>
                </c:pt>
                <c:pt idx="7293">
                  <c:v>-27.07</c:v>
                </c:pt>
                <c:pt idx="7294">
                  <c:v>-27.06</c:v>
                </c:pt>
                <c:pt idx="7295">
                  <c:v>-27.05</c:v>
                </c:pt>
                <c:pt idx="7296">
                  <c:v>-27.04</c:v>
                </c:pt>
                <c:pt idx="7297">
                  <c:v>-27.03</c:v>
                </c:pt>
                <c:pt idx="7298">
                  <c:v>-27.02</c:v>
                </c:pt>
                <c:pt idx="7299">
                  <c:v>-27.01</c:v>
                </c:pt>
                <c:pt idx="7300">
                  <c:v>-27.0</c:v>
                </c:pt>
                <c:pt idx="7301">
                  <c:v>-26.99</c:v>
                </c:pt>
                <c:pt idx="7302">
                  <c:v>-26.98</c:v>
                </c:pt>
                <c:pt idx="7303">
                  <c:v>-26.97</c:v>
                </c:pt>
                <c:pt idx="7304">
                  <c:v>-26.96</c:v>
                </c:pt>
                <c:pt idx="7305">
                  <c:v>-26.95</c:v>
                </c:pt>
                <c:pt idx="7306">
                  <c:v>-26.94</c:v>
                </c:pt>
                <c:pt idx="7307">
                  <c:v>-26.93</c:v>
                </c:pt>
                <c:pt idx="7308">
                  <c:v>-26.92</c:v>
                </c:pt>
                <c:pt idx="7309">
                  <c:v>-26.91</c:v>
                </c:pt>
                <c:pt idx="7310">
                  <c:v>-26.9</c:v>
                </c:pt>
                <c:pt idx="7311">
                  <c:v>-26.89</c:v>
                </c:pt>
                <c:pt idx="7312">
                  <c:v>-26.88</c:v>
                </c:pt>
                <c:pt idx="7313">
                  <c:v>-26.87</c:v>
                </c:pt>
                <c:pt idx="7314">
                  <c:v>-26.86</c:v>
                </c:pt>
                <c:pt idx="7315">
                  <c:v>-26.85</c:v>
                </c:pt>
                <c:pt idx="7316">
                  <c:v>-26.84</c:v>
                </c:pt>
                <c:pt idx="7317">
                  <c:v>-26.83</c:v>
                </c:pt>
                <c:pt idx="7318">
                  <c:v>-26.82</c:v>
                </c:pt>
                <c:pt idx="7319">
                  <c:v>-26.81</c:v>
                </c:pt>
                <c:pt idx="7320">
                  <c:v>-26.8</c:v>
                </c:pt>
                <c:pt idx="7321">
                  <c:v>-26.79</c:v>
                </c:pt>
                <c:pt idx="7322">
                  <c:v>-26.78</c:v>
                </c:pt>
                <c:pt idx="7323">
                  <c:v>-26.77</c:v>
                </c:pt>
                <c:pt idx="7324">
                  <c:v>-26.76</c:v>
                </c:pt>
                <c:pt idx="7325">
                  <c:v>-26.75</c:v>
                </c:pt>
                <c:pt idx="7326">
                  <c:v>-26.74</c:v>
                </c:pt>
                <c:pt idx="7327">
                  <c:v>-26.73</c:v>
                </c:pt>
                <c:pt idx="7328">
                  <c:v>-26.72</c:v>
                </c:pt>
                <c:pt idx="7329">
                  <c:v>-26.71</c:v>
                </c:pt>
                <c:pt idx="7330">
                  <c:v>-26.7</c:v>
                </c:pt>
                <c:pt idx="7331">
                  <c:v>-26.69</c:v>
                </c:pt>
                <c:pt idx="7332">
                  <c:v>-26.68</c:v>
                </c:pt>
                <c:pt idx="7333">
                  <c:v>-26.67</c:v>
                </c:pt>
                <c:pt idx="7334">
                  <c:v>-26.66</c:v>
                </c:pt>
                <c:pt idx="7335">
                  <c:v>-26.65</c:v>
                </c:pt>
                <c:pt idx="7336">
                  <c:v>-26.64</c:v>
                </c:pt>
                <c:pt idx="7337">
                  <c:v>-26.63</c:v>
                </c:pt>
                <c:pt idx="7338">
                  <c:v>-26.62</c:v>
                </c:pt>
                <c:pt idx="7339">
                  <c:v>-26.61</c:v>
                </c:pt>
                <c:pt idx="7340">
                  <c:v>-26.6</c:v>
                </c:pt>
                <c:pt idx="7341">
                  <c:v>-26.59</c:v>
                </c:pt>
                <c:pt idx="7342">
                  <c:v>-26.58</c:v>
                </c:pt>
                <c:pt idx="7343">
                  <c:v>-26.57</c:v>
                </c:pt>
                <c:pt idx="7344">
                  <c:v>-26.56</c:v>
                </c:pt>
                <c:pt idx="7345">
                  <c:v>-26.55</c:v>
                </c:pt>
                <c:pt idx="7346">
                  <c:v>-26.54</c:v>
                </c:pt>
                <c:pt idx="7347">
                  <c:v>-26.53</c:v>
                </c:pt>
                <c:pt idx="7348">
                  <c:v>-26.52</c:v>
                </c:pt>
                <c:pt idx="7349">
                  <c:v>-26.51</c:v>
                </c:pt>
                <c:pt idx="7350">
                  <c:v>-26.5</c:v>
                </c:pt>
                <c:pt idx="7351">
                  <c:v>-26.49</c:v>
                </c:pt>
                <c:pt idx="7352">
                  <c:v>-26.48</c:v>
                </c:pt>
                <c:pt idx="7353">
                  <c:v>-26.47</c:v>
                </c:pt>
                <c:pt idx="7354">
                  <c:v>-26.46</c:v>
                </c:pt>
                <c:pt idx="7355">
                  <c:v>-26.45</c:v>
                </c:pt>
                <c:pt idx="7356">
                  <c:v>-26.44</c:v>
                </c:pt>
                <c:pt idx="7357">
                  <c:v>-26.43</c:v>
                </c:pt>
                <c:pt idx="7358">
                  <c:v>-26.42</c:v>
                </c:pt>
                <c:pt idx="7359">
                  <c:v>-26.41</c:v>
                </c:pt>
                <c:pt idx="7360">
                  <c:v>-26.4</c:v>
                </c:pt>
                <c:pt idx="7361">
                  <c:v>-26.39</c:v>
                </c:pt>
                <c:pt idx="7362">
                  <c:v>-26.38</c:v>
                </c:pt>
                <c:pt idx="7363">
                  <c:v>-26.37</c:v>
                </c:pt>
                <c:pt idx="7364">
                  <c:v>-26.36</c:v>
                </c:pt>
                <c:pt idx="7365">
                  <c:v>-26.35</c:v>
                </c:pt>
                <c:pt idx="7366">
                  <c:v>-26.34</c:v>
                </c:pt>
                <c:pt idx="7367">
                  <c:v>-26.33</c:v>
                </c:pt>
                <c:pt idx="7368">
                  <c:v>-26.32</c:v>
                </c:pt>
                <c:pt idx="7369">
                  <c:v>-26.31</c:v>
                </c:pt>
                <c:pt idx="7370">
                  <c:v>-26.3</c:v>
                </c:pt>
                <c:pt idx="7371">
                  <c:v>-26.29</c:v>
                </c:pt>
                <c:pt idx="7372">
                  <c:v>-26.28</c:v>
                </c:pt>
                <c:pt idx="7373">
                  <c:v>-26.27</c:v>
                </c:pt>
                <c:pt idx="7374">
                  <c:v>-26.26</c:v>
                </c:pt>
                <c:pt idx="7375">
                  <c:v>-26.25</c:v>
                </c:pt>
                <c:pt idx="7376">
                  <c:v>-26.24</c:v>
                </c:pt>
                <c:pt idx="7377">
                  <c:v>-26.23</c:v>
                </c:pt>
                <c:pt idx="7378">
                  <c:v>-26.22</c:v>
                </c:pt>
                <c:pt idx="7379">
                  <c:v>-26.21</c:v>
                </c:pt>
                <c:pt idx="7380">
                  <c:v>-26.2</c:v>
                </c:pt>
                <c:pt idx="7381">
                  <c:v>-26.19</c:v>
                </c:pt>
                <c:pt idx="7382">
                  <c:v>-26.18</c:v>
                </c:pt>
                <c:pt idx="7383">
                  <c:v>-26.17</c:v>
                </c:pt>
                <c:pt idx="7384">
                  <c:v>-26.16</c:v>
                </c:pt>
                <c:pt idx="7385">
                  <c:v>-26.15</c:v>
                </c:pt>
                <c:pt idx="7386">
                  <c:v>-26.14</c:v>
                </c:pt>
                <c:pt idx="7387">
                  <c:v>-26.13</c:v>
                </c:pt>
                <c:pt idx="7388">
                  <c:v>-26.12</c:v>
                </c:pt>
                <c:pt idx="7389">
                  <c:v>-26.11</c:v>
                </c:pt>
                <c:pt idx="7390">
                  <c:v>-26.1</c:v>
                </c:pt>
                <c:pt idx="7391">
                  <c:v>-26.09</c:v>
                </c:pt>
                <c:pt idx="7392">
                  <c:v>-26.08</c:v>
                </c:pt>
                <c:pt idx="7393">
                  <c:v>-26.07</c:v>
                </c:pt>
                <c:pt idx="7394">
                  <c:v>-26.06</c:v>
                </c:pt>
                <c:pt idx="7395">
                  <c:v>-26.05</c:v>
                </c:pt>
                <c:pt idx="7396">
                  <c:v>-26.04</c:v>
                </c:pt>
                <c:pt idx="7397">
                  <c:v>-26.03</c:v>
                </c:pt>
                <c:pt idx="7398">
                  <c:v>-26.02</c:v>
                </c:pt>
                <c:pt idx="7399">
                  <c:v>-26.01</c:v>
                </c:pt>
                <c:pt idx="7400">
                  <c:v>-26.0</c:v>
                </c:pt>
                <c:pt idx="7401">
                  <c:v>-25.99</c:v>
                </c:pt>
                <c:pt idx="7402">
                  <c:v>-25.98</c:v>
                </c:pt>
                <c:pt idx="7403">
                  <c:v>-25.97</c:v>
                </c:pt>
                <c:pt idx="7404">
                  <c:v>-25.96</c:v>
                </c:pt>
                <c:pt idx="7405">
                  <c:v>-25.95</c:v>
                </c:pt>
                <c:pt idx="7406">
                  <c:v>-25.94</c:v>
                </c:pt>
                <c:pt idx="7407">
                  <c:v>-25.93</c:v>
                </c:pt>
                <c:pt idx="7408">
                  <c:v>-25.92</c:v>
                </c:pt>
                <c:pt idx="7409">
                  <c:v>-25.91</c:v>
                </c:pt>
                <c:pt idx="7410">
                  <c:v>-25.9</c:v>
                </c:pt>
                <c:pt idx="7411">
                  <c:v>-25.89</c:v>
                </c:pt>
                <c:pt idx="7412">
                  <c:v>-25.88</c:v>
                </c:pt>
                <c:pt idx="7413">
                  <c:v>-25.87</c:v>
                </c:pt>
                <c:pt idx="7414">
                  <c:v>-25.86</c:v>
                </c:pt>
                <c:pt idx="7415">
                  <c:v>-25.85</c:v>
                </c:pt>
                <c:pt idx="7416">
                  <c:v>-25.84</c:v>
                </c:pt>
                <c:pt idx="7417">
                  <c:v>-25.83</c:v>
                </c:pt>
                <c:pt idx="7418">
                  <c:v>-25.82</c:v>
                </c:pt>
                <c:pt idx="7419">
                  <c:v>-25.81</c:v>
                </c:pt>
                <c:pt idx="7420">
                  <c:v>-25.8</c:v>
                </c:pt>
                <c:pt idx="7421">
                  <c:v>-25.79</c:v>
                </c:pt>
                <c:pt idx="7422">
                  <c:v>-25.78</c:v>
                </c:pt>
                <c:pt idx="7423">
                  <c:v>-25.77</c:v>
                </c:pt>
                <c:pt idx="7424">
                  <c:v>-25.76</c:v>
                </c:pt>
                <c:pt idx="7425">
                  <c:v>-25.75</c:v>
                </c:pt>
                <c:pt idx="7426">
                  <c:v>-25.74</c:v>
                </c:pt>
                <c:pt idx="7427">
                  <c:v>-25.73</c:v>
                </c:pt>
                <c:pt idx="7428">
                  <c:v>-25.72</c:v>
                </c:pt>
                <c:pt idx="7429">
                  <c:v>-25.71</c:v>
                </c:pt>
                <c:pt idx="7430">
                  <c:v>-25.7</c:v>
                </c:pt>
                <c:pt idx="7431">
                  <c:v>-25.69</c:v>
                </c:pt>
                <c:pt idx="7432">
                  <c:v>-25.68</c:v>
                </c:pt>
                <c:pt idx="7433">
                  <c:v>-25.67</c:v>
                </c:pt>
                <c:pt idx="7434">
                  <c:v>-25.66</c:v>
                </c:pt>
                <c:pt idx="7435">
                  <c:v>-25.65</c:v>
                </c:pt>
                <c:pt idx="7436">
                  <c:v>-25.64</c:v>
                </c:pt>
                <c:pt idx="7437">
                  <c:v>-25.63</c:v>
                </c:pt>
                <c:pt idx="7438">
                  <c:v>-25.62</c:v>
                </c:pt>
                <c:pt idx="7439">
                  <c:v>-25.61</c:v>
                </c:pt>
                <c:pt idx="7440">
                  <c:v>-25.6</c:v>
                </c:pt>
                <c:pt idx="7441">
                  <c:v>-25.59</c:v>
                </c:pt>
                <c:pt idx="7442">
                  <c:v>-25.58</c:v>
                </c:pt>
                <c:pt idx="7443">
                  <c:v>-25.57</c:v>
                </c:pt>
                <c:pt idx="7444">
                  <c:v>-25.56</c:v>
                </c:pt>
                <c:pt idx="7445">
                  <c:v>-25.55</c:v>
                </c:pt>
                <c:pt idx="7446">
                  <c:v>-25.54</c:v>
                </c:pt>
                <c:pt idx="7447">
                  <c:v>-25.53</c:v>
                </c:pt>
                <c:pt idx="7448">
                  <c:v>-25.52</c:v>
                </c:pt>
                <c:pt idx="7449">
                  <c:v>-25.51</c:v>
                </c:pt>
                <c:pt idx="7450">
                  <c:v>-25.5</c:v>
                </c:pt>
                <c:pt idx="7451">
                  <c:v>-25.49</c:v>
                </c:pt>
                <c:pt idx="7452">
                  <c:v>-25.48</c:v>
                </c:pt>
                <c:pt idx="7453">
                  <c:v>-25.47</c:v>
                </c:pt>
                <c:pt idx="7454">
                  <c:v>-25.46</c:v>
                </c:pt>
                <c:pt idx="7455">
                  <c:v>-25.45</c:v>
                </c:pt>
                <c:pt idx="7456">
                  <c:v>-25.44</c:v>
                </c:pt>
                <c:pt idx="7457">
                  <c:v>-25.43</c:v>
                </c:pt>
                <c:pt idx="7458">
                  <c:v>-25.42</c:v>
                </c:pt>
                <c:pt idx="7459">
                  <c:v>-25.41</c:v>
                </c:pt>
                <c:pt idx="7460">
                  <c:v>-25.4</c:v>
                </c:pt>
                <c:pt idx="7461">
                  <c:v>-25.39</c:v>
                </c:pt>
                <c:pt idx="7462">
                  <c:v>-25.38</c:v>
                </c:pt>
                <c:pt idx="7463">
                  <c:v>-25.37</c:v>
                </c:pt>
                <c:pt idx="7464">
                  <c:v>-25.36</c:v>
                </c:pt>
                <c:pt idx="7465">
                  <c:v>-25.35</c:v>
                </c:pt>
                <c:pt idx="7466">
                  <c:v>-25.34</c:v>
                </c:pt>
                <c:pt idx="7467">
                  <c:v>-25.33</c:v>
                </c:pt>
                <c:pt idx="7468">
                  <c:v>-25.32</c:v>
                </c:pt>
                <c:pt idx="7469">
                  <c:v>-25.31</c:v>
                </c:pt>
                <c:pt idx="7470">
                  <c:v>-25.3</c:v>
                </c:pt>
                <c:pt idx="7471">
                  <c:v>-25.29</c:v>
                </c:pt>
                <c:pt idx="7472">
                  <c:v>-25.28</c:v>
                </c:pt>
                <c:pt idx="7473">
                  <c:v>-25.27</c:v>
                </c:pt>
                <c:pt idx="7474">
                  <c:v>-25.26</c:v>
                </c:pt>
                <c:pt idx="7475">
                  <c:v>-25.25</c:v>
                </c:pt>
                <c:pt idx="7476">
                  <c:v>-25.24</c:v>
                </c:pt>
                <c:pt idx="7477">
                  <c:v>-25.23</c:v>
                </c:pt>
                <c:pt idx="7478">
                  <c:v>-25.22</c:v>
                </c:pt>
                <c:pt idx="7479">
                  <c:v>-25.21</c:v>
                </c:pt>
                <c:pt idx="7480">
                  <c:v>-25.2</c:v>
                </c:pt>
                <c:pt idx="7481">
                  <c:v>-25.19</c:v>
                </c:pt>
                <c:pt idx="7482">
                  <c:v>-25.18</c:v>
                </c:pt>
                <c:pt idx="7483">
                  <c:v>-25.17</c:v>
                </c:pt>
                <c:pt idx="7484">
                  <c:v>-25.16</c:v>
                </c:pt>
                <c:pt idx="7485">
                  <c:v>-25.15</c:v>
                </c:pt>
                <c:pt idx="7486">
                  <c:v>-25.14</c:v>
                </c:pt>
                <c:pt idx="7487">
                  <c:v>-25.13</c:v>
                </c:pt>
                <c:pt idx="7488">
                  <c:v>-25.12</c:v>
                </c:pt>
                <c:pt idx="7489">
                  <c:v>-25.11</c:v>
                </c:pt>
                <c:pt idx="7490">
                  <c:v>-25.1</c:v>
                </c:pt>
                <c:pt idx="7491">
                  <c:v>-25.09</c:v>
                </c:pt>
                <c:pt idx="7492">
                  <c:v>-25.08</c:v>
                </c:pt>
                <c:pt idx="7493">
                  <c:v>-25.07</c:v>
                </c:pt>
                <c:pt idx="7494">
                  <c:v>-25.06</c:v>
                </c:pt>
                <c:pt idx="7495">
                  <c:v>-25.05</c:v>
                </c:pt>
                <c:pt idx="7496">
                  <c:v>-25.04</c:v>
                </c:pt>
                <c:pt idx="7497">
                  <c:v>-25.03</c:v>
                </c:pt>
                <c:pt idx="7498">
                  <c:v>-25.02</c:v>
                </c:pt>
                <c:pt idx="7499">
                  <c:v>-25.01</c:v>
                </c:pt>
                <c:pt idx="7500">
                  <c:v>-25.0</c:v>
                </c:pt>
                <c:pt idx="7501">
                  <c:v>-24.99</c:v>
                </c:pt>
                <c:pt idx="7502">
                  <c:v>-24.98</c:v>
                </c:pt>
                <c:pt idx="7503">
                  <c:v>-24.97</c:v>
                </c:pt>
                <c:pt idx="7504">
                  <c:v>-24.96</c:v>
                </c:pt>
                <c:pt idx="7505">
                  <c:v>-24.95</c:v>
                </c:pt>
                <c:pt idx="7506">
                  <c:v>-24.94</c:v>
                </c:pt>
                <c:pt idx="7507">
                  <c:v>-24.93</c:v>
                </c:pt>
                <c:pt idx="7508">
                  <c:v>-24.92</c:v>
                </c:pt>
                <c:pt idx="7509">
                  <c:v>-24.91</c:v>
                </c:pt>
                <c:pt idx="7510">
                  <c:v>-24.9</c:v>
                </c:pt>
                <c:pt idx="7511">
                  <c:v>-24.89</c:v>
                </c:pt>
                <c:pt idx="7512">
                  <c:v>-24.88</c:v>
                </c:pt>
                <c:pt idx="7513">
                  <c:v>-24.87</c:v>
                </c:pt>
                <c:pt idx="7514">
                  <c:v>-24.86</c:v>
                </c:pt>
                <c:pt idx="7515">
                  <c:v>-24.85</c:v>
                </c:pt>
                <c:pt idx="7516">
                  <c:v>-24.84</c:v>
                </c:pt>
                <c:pt idx="7517">
                  <c:v>-24.83</c:v>
                </c:pt>
                <c:pt idx="7518">
                  <c:v>-24.82</c:v>
                </c:pt>
                <c:pt idx="7519">
                  <c:v>-24.81</c:v>
                </c:pt>
                <c:pt idx="7520">
                  <c:v>-24.8</c:v>
                </c:pt>
                <c:pt idx="7521">
                  <c:v>-24.79</c:v>
                </c:pt>
                <c:pt idx="7522">
                  <c:v>-24.78</c:v>
                </c:pt>
                <c:pt idx="7523">
                  <c:v>-24.77</c:v>
                </c:pt>
                <c:pt idx="7524">
                  <c:v>-24.76</c:v>
                </c:pt>
                <c:pt idx="7525">
                  <c:v>-24.75</c:v>
                </c:pt>
                <c:pt idx="7526">
                  <c:v>-24.74</c:v>
                </c:pt>
                <c:pt idx="7527">
                  <c:v>-24.73</c:v>
                </c:pt>
                <c:pt idx="7528">
                  <c:v>-24.72</c:v>
                </c:pt>
                <c:pt idx="7529">
                  <c:v>-24.71</c:v>
                </c:pt>
                <c:pt idx="7530">
                  <c:v>-24.7</c:v>
                </c:pt>
                <c:pt idx="7531">
                  <c:v>-24.69</c:v>
                </c:pt>
                <c:pt idx="7532">
                  <c:v>-24.68</c:v>
                </c:pt>
                <c:pt idx="7533">
                  <c:v>-24.67</c:v>
                </c:pt>
                <c:pt idx="7534">
                  <c:v>-24.66</c:v>
                </c:pt>
                <c:pt idx="7535">
                  <c:v>-24.65</c:v>
                </c:pt>
                <c:pt idx="7536">
                  <c:v>-24.64</c:v>
                </c:pt>
                <c:pt idx="7537">
                  <c:v>-24.63</c:v>
                </c:pt>
                <c:pt idx="7538">
                  <c:v>-24.62</c:v>
                </c:pt>
                <c:pt idx="7539">
                  <c:v>-24.61</c:v>
                </c:pt>
                <c:pt idx="7540">
                  <c:v>-24.6</c:v>
                </c:pt>
                <c:pt idx="7541">
                  <c:v>-24.59</c:v>
                </c:pt>
                <c:pt idx="7542">
                  <c:v>-24.58</c:v>
                </c:pt>
                <c:pt idx="7543">
                  <c:v>-24.57</c:v>
                </c:pt>
                <c:pt idx="7544">
                  <c:v>-24.56</c:v>
                </c:pt>
                <c:pt idx="7545">
                  <c:v>-24.55</c:v>
                </c:pt>
                <c:pt idx="7546">
                  <c:v>-24.54</c:v>
                </c:pt>
                <c:pt idx="7547">
                  <c:v>-24.53</c:v>
                </c:pt>
                <c:pt idx="7548">
                  <c:v>-24.52</c:v>
                </c:pt>
                <c:pt idx="7549">
                  <c:v>-24.51</c:v>
                </c:pt>
                <c:pt idx="7550">
                  <c:v>-24.5</c:v>
                </c:pt>
                <c:pt idx="7551">
                  <c:v>-24.49</c:v>
                </c:pt>
                <c:pt idx="7552">
                  <c:v>-24.48</c:v>
                </c:pt>
                <c:pt idx="7553">
                  <c:v>-24.47</c:v>
                </c:pt>
                <c:pt idx="7554">
                  <c:v>-24.46</c:v>
                </c:pt>
                <c:pt idx="7555">
                  <c:v>-24.45</c:v>
                </c:pt>
                <c:pt idx="7556">
                  <c:v>-24.44</c:v>
                </c:pt>
                <c:pt idx="7557">
                  <c:v>-24.43</c:v>
                </c:pt>
                <c:pt idx="7558">
                  <c:v>-24.42</c:v>
                </c:pt>
                <c:pt idx="7559">
                  <c:v>-24.41</c:v>
                </c:pt>
                <c:pt idx="7560">
                  <c:v>-24.4</c:v>
                </c:pt>
                <c:pt idx="7561">
                  <c:v>-24.39</c:v>
                </c:pt>
                <c:pt idx="7562">
                  <c:v>-24.38</c:v>
                </c:pt>
                <c:pt idx="7563">
                  <c:v>-24.37</c:v>
                </c:pt>
                <c:pt idx="7564">
                  <c:v>-24.36</c:v>
                </c:pt>
                <c:pt idx="7565">
                  <c:v>-24.35</c:v>
                </c:pt>
                <c:pt idx="7566">
                  <c:v>-24.34</c:v>
                </c:pt>
                <c:pt idx="7567">
                  <c:v>-24.33</c:v>
                </c:pt>
                <c:pt idx="7568">
                  <c:v>-24.32</c:v>
                </c:pt>
                <c:pt idx="7569">
                  <c:v>-24.31</c:v>
                </c:pt>
                <c:pt idx="7570">
                  <c:v>-24.3</c:v>
                </c:pt>
                <c:pt idx="7571">
                  <c:v>-24.29</c:v>
                </c:pt>
                <c:pt idx="7572">
                  <c:v>-24.28</c:v>
                </c:pt>
                <c:pt idx="7573">
                  <c:v>-24.27</c:v>
                </c:pt>
                <c:pt idx="7574">
                  <c:v>-24.26</c:v>
                </c:pt>
                <c:pt idx="7575">
                  <c:v>-24.25</c:v>
                </c:pt>
                <c:pt idx="7576">
                  <c:v>-24.24</c:v>
                </c:pt>
                <c:pt idx="7577">
                  <c:v>-24.23</c:v>
                </c:pt>
                <c:pt idx="7578">
                  <c:v>-24.22</c:v>
                </c:pt>
                <c:pt idx="7579">
                  <c:v>-24.21</c:v>
                </c:pt>
                <c:pt idx="7580">
                  <c:v>-24.2</c:v>
                </c:pt>
                <c:pt idx="7581">
                  <c:v>-24.19</c:v>
                </c:pt>
                <c:pt idx="7582">
                  <c:v>-24.18</c:v>
                </c:pt>
                <c:pt idx="7583">
                  <c:v>-24.17</c:v>
                </c:pt>
                <c:pt idx="7584">
                  <c:v>-24.16</c:v>
                </c:pt>
                <c:pt idx="7585">
                  <c:v>-24.15</c:v>
                </c:pt>
                <c:pt idx="7586">
                  <c:v>-24.14</c:v>
                </c:pt>
                <c:pt idx="7587">
                  <c:v>-24.13</c:v>
                </c:pt>
                <c:pt idx="7588">
                  <c:v>-24.12</c:v>
                </c:pt>
                <c:pt idx="7589">
                  <c:v>-24.11</c:v>
                </c:pt>
                <c:pt idx="7590">
                  <c:v>-24.1</c:v>
                </c:pt>
                <c:pt idx="7591">
                  <c:v>-24.09</c:v>
                </c:pt>
                <c:pt idx="7592">
                  <c:v>-24.08</c:v>
                </c:pt>
                <c:pt idx="7593">
                  <c:v>-24.07</c:v>
                </c:pt>
                <c:pt idx="7594">
                  <c:v>-24.06</c:v>
                </c:pt>
                <c:pt idx="7595">
                  <c:v>-24.05</c:v>
                </c:pt>
                <c:pt idx="7596">
                  <c:v>-24.04</c:v>
                </c:pt>
                <c:pt idx="7597">
                  <c:v>-24.03</c:v>
                </c:pt>
                <c:pt idx="7598">
                  <c:v>-24.02</c:v>
                </c:pt>
                <c:pt idx="7599">
                  <c:v>-24.01</c:v>
                </c:pt>
                <c:pt idx="7600">
                  <c:v>-24.0</c:v>
                </c:pt>
                <c:pt idx="7601">
                  <c:v>-23.99</c:v>
                </c:pt>
                <c:pt idx="7602">
                  <c:v>-23.98</c:v>
                </c:pt>
                <c:pt idx="7603">
                  <c:v>-23.97</c:v>
                </c:pt>
                <c:pt idx="7604">
                  <c:v>-23.96</c:v>
                </c:pt>
                <c:pt idx="7605">
                  <c:v>-23.95</c:v>
                </c:pt>
                <c:pt idx="7606">
                  <c:v>-23.94</c:v>
                </c:pt>
                <c:pt idx="7607">
                  <c:v>-23.93</c:v>
                </c:pt>
                <c:pt idx="7608">
                  <c:v>-23.92</c:v>
                </c:pt>
                <c:pt idx="7609">
                  <c:v>-23.91</c:v>
                </c:pt>
                <c:pt idx="7610">
                  <c:v>-23.9</c:v>
                </c:pt>
                <c:pt idx="7611">
                  <c:v>-23.89</c:v>
                </c:pt>
                <c:pt idx="7612">
                  <c:v>-23.88</c:v>
                </c:pt>
                <c:pt idx="7613">
                  <c:v>-23.87</c:v>
                </c:pt>
                <c:pt idx="7614">
                  <c:v>-23.86</c:v>
                </c:pt>
                <c:pt idx="7615">
                  <c:v>-23.85</c:v>
                </c:pt>
                <c:pt idx="7616">
                  <c:v>-23.84</c:v>
                </c:pt>
                <c:pt idx="7617">
                  <c:v>-23.83</c:v>
                </c:pt>
                <c:pt idx="7618">
                  <c:v>-23.82</c:v>
                </c:pt>
                <c:pt idx="7619">
                  <c:v>-23.81</c:v>
                </c:pt>
                <c:pt idx="7620">
                  <c:v>-23.8</c:v>
                </c:pt>
                <c:pt idx="7621">
                  <c:v>-23.79</c:v>
                </c:pt>
                <c:pt idx="7622">
                  <c:v>-23.78</c:v>
                </c:pt>
                <c:pt idx="7623">
                  <c:v>-23.77</c:v>
                </c:pt>
                <c:pt idx="7624">
                  <c:v>-23.76</c:v>
                </c:pt>
                <c:pt idx="7625">
                  <c:v>-23.75</c:v>
                </c:pt>
                <c:pt idx="7626">
                  <c:v>-23.74</c:v>
                </c:pt>
                <c:pt idx="7627">
                  <c:v>-23.73</c:v>
                </c:pt>
                <c:pt idx="7628">
                  <c:v>-23.72</c:v>
                </c:pt>
                <c:pt idx="7629">
                  <c:v>-23.71</c:v>
                </c:pt>
                <c:pt idx="7630">
                  <c:v>-23.7</c:v>
                </c:pt>
                <c:pt idx="7631">
                  <c:v>-23.69</c:v>
                </c:pt>
                <c:pt idx="7632">
                  <c:v>-23.68</c:v>
                </c:pt>
                <c:pt idx="7633">
                  <c:v>-23.67</c:v>
                </c:pt>
                <c:pt idx="7634">
                  <c:v>-23.66</c:v>
                </c:pt>
                <c:pt idx="7635">
                  <c:v>-23.65</c:v>
                </c:pt>
                <c:pt idx="7636">
                  <c:v>-23.64</c:v>
                </c:pt>
                <c:pt idx="7637">
                  <c:v>-23.63</c:v>
                </c:pt>
                <c:pt idx="7638">
                  <c:v>-23.62</c:v>
                </c:pt>
                <c:pt idx="7639">
                  <c:v>-23.61</c:v>
                </c:pt>
                <c:pt idx="7640">
                  <c:v>-23.6</c:v>
                </c:pt>
                <c:pt idx="7641">
                  <c:v>-23.59</c:v>
                </c:pt>
                <c:pt idx="7642">
                  <c:v>-23.58</c:v>
                </c:pt>
                <c:pt idx="7643">
                  <c:v>-23.57</c:v>
                </c:pt>
                <c:pt idx="7644">
                  <c:v>-23.56</c:v>
                </c:pt>
                <c:pt idx="7645">
                  <c:v>-23.55</c:v>
                </c:pt>
                <c:pt idx="7646">
                  <c:v>-23.54</c:v>
                </c:pt>
                <c:pt idx="7647">
                  <c:v>-23.53</c:v>
                </c:pt>
                <c:pt idx="7648">
                  <c:v>-23.52</c:v>
                </c:pt>
                <c:pt idx="7649">
                  <c:v>-23.51</c:v>
                </c:pt>
                <c:pt idx="7650">
                  <c:v>-23.5</c:v>
                </c:pt>
                <c:pt idx="7651">
                  <c:v>-23.49</c:v>
                </c:pt>
                <c:pt idx="7652">
                  <c:v>-23.48</c:v>
                </c:pt>
                <c:pt idx="7653">
                  <c:v>-23.47</c:v>
                </c:pt>
                <c:pt idx="7654">
                  <c:v>-23.46</c:v>
                </c:pt>
                <c:pt idx="7655">
                  <c:v>-23.45</c:v>
                </c:pt>
                <c:pt idx="7656">
                  <c:v>-23.44</c:v>
                </c:pt>
                <c:pt idx="7657">
                  <c:v>-23.43</c:v>
                </c:pt>
                <c:pt idx="7658">
                  <c:v>-23.42</c:v>
                </c:pt>
                <c:pt idx="7659">
                  <c:v>-23.41</c:v>
                </c:pt>
                <c:pt idx="7660">
                  <c:v>-23.4</c:v>
                </c:pt>
                <c:pt idx="7661">
                  <c:v>-23.39</c:v>
                </c:pt>
                <c:pt idx="7662">
                  <c:v>-23.38</c:v>
                </c:pt>
                <c:pt idx="7663">
                  <c:v>-23.37</c:v>
                </c:pt>
                <c:pt idx="7664">
                  <c:v>-23.36</c:v>
                </c:pt>
                <c:pt idx="7665">
                  <c:v>-23.35</c:v>
                </c:pt>
                <c:pt idx="7666">
                  <c:v>-23.34</c:v>
                </c:pt>
                <c:pt idx="7667">
                  <c:v>-23.33</c:v>
                </c:pt>
                <c:pt idx="7668">
                  <c:v>-23.32</c:v>
                </c:pt>
                <c:pt idx="7669">
                  <c:v>-23.31</c:v>
                </c:pt>
                <c:pt idx="7670">
                  <c:v>-23.3</c:v>
                </c:pt>
                <c:pt idx="7671">
                  <c:v>-23.29</c:v>
                </c:pt>
                <c:pt idx="7672">
                  <c:v>-23.28</c:v>
                </c:pt>
                <c:pt idx="7673">
                  <c:v>-23.27</c:v>
                </c:pt>
                <c:pt idx="7674">
                  <c:v>-23.26</c:v>
                </c:pt>
                <c:pt idx="7675">
                  <c:v>-23.25</c:v>
                </c:pt>
                <c:pt idx="7676">
                  <c:v>-23.24</c:v>
                </c:pt>
                <c:pt idx="7677">
                  <c:v>-23.23</c:v>
                </c:pt>
                <c:pt idx="7678">
                  <c:v>-23.22</c:v>
                </c:pt>
                <c:pt idx="7679">
                  <c:v>-23.21</c:v>
                </c:pt>
                <c:pt idx="7680">
                  <c:v>-23.2</c:v>
                </c:pt>
                <c:pt idx="7681">
                  <c:v>-23.19</c:v>
                </c:pt>
                <c:pt idx="7682">
                  <c:v>-23.18</c:v>
                </c:pt>
                <c:pt idx="7683">
                  <c:v>-23.17</c:v>
                </c:pt>
                <c:pt idx="7684">
                  <c:v>-23.16</c:v>
                </c:pt>
                <c:pt idx="7685">
                  <c:v>-23.15</c:v>
                </c:pt>
                <c:pt idx="7686">
                  <c:v>-23.14</c:v>
                </c:pt>
                <c:pt idx="7687">
                  <c:v>-23.13</c:v>
                </c:pt>
                <c:pt idx="7688">
                  <c:v>-23.12</c:v>
                </c:pt>
                <c:pt idx="7689">
                  <c:v>-23.11</c:v>
                </c:pt>
                <c:pt idx="7690">
                  <c:v>-23.1</c:v>
                </c:pt>
                <c:pt idx="7691">
                  <c:v>-23.09</c:v>
                </c:pt>
                <c:pt idx="7692">
                  <c:v>-23.08</c:v>
                </c:pt>
                <c:pt idx="7693">
                  <c:v>-23.07</c:v>
                </c:pt>
                <c:pt idx="7694">
                  <c:v>-23.06</c:v>
                </c:pt>
                <c:pt idx="7695">
                  <c:v>-23.05</c:v>
                </c:pt>
                <c:pt idx="7696">
                  <c:v>-23.04</c:v>
                </c:pt>
                <c:pt idx="7697">
                  <c:v>-23.03</c:v>
                </c:pt>
                <c:pt idx="7698">
                  <c:v>-23.02</c:v>
                </c:pt>
                <c:pt idx="7699">
                  <c:v>-23.01</c:v>
                </c:pt>
                <c:pt idx="7700">
                  <c:v>-23.0</c:v>
                </c:pt>
                <c:pt idx="7701">
                  <c:v>-22.99</c:v>
                </c:pt>
                <c:pt idx="7702">
                  <c:v>-22.98</c:v>
                </c:pt>
                <c:pt idx="7703">
                  <c:v>-22.97</c:v>
                </c:pt>
                <c:pt idx="7704">
                  <c:v>-22.96</c:v>
                </c:pt>
                <c:pt idx="7705">
                  <c:v>-22.95</c:v>
                </c:pt>
                <c:pt idx="7706">
                  <c:v>-22.94</c:v>
                </c:pt>
                <c:pt idx="7707">
                  <c:v>-22.93</c:v>
                </c:pt>
                <c:pt idx="7708">
                  <c:v>-22.92</c:v>
                </c:pt>
                <c:pt idx="7709">
                  <c:v>-22.91</c:v>
                </c:pt>
                <c:pt idx="7710">
                  <c:v>-22.9</c:v>
                </c:pt>
                <c:pt idx="7711">
                  <c:v>-22.89</c:v>
                </c:pt>
                <c:pt idx="7712">
                  <c:v>-22.88</c:v>
                </c:pt>
                <c:pt idx="7713">
                  <c:v>-22.87</c:v>
                </c:pt>
                <c:pt idx="7714">
                  <c:v>-22.86</c:v>
                </c:pt>
                <c:pt idx="7715">
                  <c:v>-22.85</c:v>
                </c:pt>
                <c:pt idx="7716">
                  <c:v>-22.84</c:v>
                </c:pt>
                <c:pt idx="7717">
                  <c:v>-22.83</c:v>
                </c:pt>
                <c:pt idx="7718">
                  <c:v>-22.82</c:v>
                </c:pt>
                <c:pt idx="7719">
                  <c:v>-22.81</c:v>
                </c:pt>
                <c:pt idx="7720">
                  <c:v>-22.8</c:v>
                </c:pt>
                <c:pt idx="7721">
                  <c:v>-22.79</c:v>
                </c:pt>
                <c:pt idx="7722">
                  <c:v>-22.78</c:v>
                </c:pt>
                <c:pt idx="7723">
                  <c:v>-22.77</c:v>
                </c:pt>
                <c:pt idx="7724">
                  <c:v>-22.76</c:v>
                </c:pt>
                <c:pt idx="7725">
                  <c:v>-22.75</c:v>
                </c:pt>
                <c:pt idx="7726">
                  <c:v>-22.74</c:v>
                </c:pt>
                <c:pt idx="7727">
                  <c:v>-22.73</c:v>
                </c:pt>
                <c:pt idx="7728">
                  <c:v>-22.72</c:v>
                </c:pt>
                <c:pt idx="7729">
                  <c:v>-22.71</c:v>
                </c:pt>
                <c:pt idx="7730">
                  <c:v>-22.7</c:v>
                </c:pt>
                <c:pt idx="7731">
                  <c:v>-22.69</c:v>
                </c:pt>
                <c:pt idx="7732">
                  <c:v>-22.68</c:v>
                </c:pt>
                <c:pt idx="7733">
                  <c:v>-22.67</c:v>
                </c:pt>
                <c:pt idx="7734">
                  <c:v>-22.66</c:v>
                </c:pt>
                <c:pt idx="7735">
                  <c:v>-22.65</c:v>
                </c:pt>
                <c:pt idx="7736">
                  <c:v>-22.64</c:v>
                </c:pt>
                <c:pt idx="7737">
                  <c:v>-22.63</c:v>
                </c:pt>
                <c:pt idx="7738">
                  <c:v>-22.62</c:v>
                </c:pt>
                <c:pt idx="7739">
                  <c:v>-22.61</c:v>
                </c:pt>
                <c:pt idx="7740">
                  <c:v>-22.6</c:v>
                </c:pt>
                <c:pt idx="7741">
                  <c:v>-22.59</c:v>
                </c:pt>
                <c:pt idx="7742">
                  <c:v>-22.58</c:v>
                </c:pt>
                <c:pt idx="7743">
                  <c:v>-22.57</c:v>
                </c:pt>
                <c:pt idx="7744">
                  <c:v>-22.56</c:v>
                </c:pt>
                <c:pt idx="7745">
                  <c:v>-22.55</c:v>
                </c:pt>
                <c:pt idx="7746">
                  <c:v>-22.54</c:v>
                </c:pt>
                <c:pt idx="7747">
                  <c:v>-22.53</c:v>
                </c:pt>
                <c:pt idx="7748">
                  <c:v>-22.52</c:v>
                </c:pt>
                <c:pt idx="7749">
                  <c:v>-22.51</c:v>
                </c:pt>
                <c:pt idx="7750">
                  <c:v>-22.5</c:v>
                </c:pt>
                <c:pt idx="7751">
                  <c:v>-22.49</c:v>
                </c:pt>
                <c:pt idx="7752">
                  <c:v>-22.48</c:v>
                </c:pt>
                <c:pt idx="7753">
                  <c:v>-22.47</c:v>
                </c:pt>
                <c:pt idx="7754">
                  <c:v>-22.46</c:v>
                </c:pt>
                <c:pt idx="7755">
                  <c:v>-22.45</c:v>
                </c:pt>
                <c:pt idx="7756">
                  <c:v>-22.44</c:v>
                </c:pt>
                <c:pt idx="7757">
                  <c:v>-22.43</c:v>
                </c:pt>
                <c:pt idx="7758">
                  <c:v>-22.42</c:v>
                </c:pt>
                <c:pt idx="7759">
                  <c:v>-22.41</c:v>
                </c:pt>
                <c:pt idx="7760">
                  <c:v>-22.4</c:v>
                </c:pt>
                <c:pt idx="7761">
                  <c:v>-22.39</c:v>
                </c:pt>
                <c:pt idx="7762">
                  <c:v>-22.38</c:v>
                </c:pt>
                <c:pt idx="7763">
                  <c:v>-22.37</c:v>
                </c:pt>
                <c:pt idx="7764">
                  <c:v>-22.36</c:v>
                </c:pt>
                <c:pt idx="7765">
                  <c:v>-22.35</c:v>
                </c:pt>
                <c:pt idx="7766">
                  <c:v>-22.34</c:v>
                </c:pt>
                <c:pt idx="7767">
                  <c:v>-22.33</c:v>
                </c:pt>
                <c:pt idx="7768">
                  <c:v>-22.32</c:v>
                </c:pt>
                <c:pt idx="7769">
                  <c:v>-22.31</c:v>
                </c:pt>
                <c:pt idx="7770">
                  <c:v>-22.3</c:v>
                </c:pt>
                <c:pt idx="7771">
                  <c:v>-22.29</c:v>
                </c:pt>
                <c:pt idx="7772">
                  <c:v>-22.28</c:v>
                </c:pt>
                <c:pt idx="7773">
                  <c:v>-22.27</c:v>
                </c:pt>
                <c:pt idx="7774">
                  <c:v>-22.26</c:v>
                </c:pt>
                <c:pt idx="7775">
                  <c:v>-22.25</c:v>
                </c:pt>
                <c:pt idx="7776">
                  <c:v>-22.24</c:v>
                </c:pt>
                <c:pt idx="7777">
                  <c:v>-22.23</c:v>
                </c:pt>
                <c:pt idx="7778">
                  <c:v>-22.22</c:v>
                </c:pt>
                <c:pt idx="7779">
                  <c:v>-22.21</c:v>
                </c:pt>
                <c:pt idx="7780">
                  <c:v>-22.2</c:v>
                </c:pt>
                <c:pt idx="7781">
                  <c:v>-22.19</c:v>
                </c:pt>
                <c:pt idx="7782">
                  <c:v>-22.18</c:v>
                </c:pt>
                <c:pt idx="7783">
                  <c:v>-22.17</c:v>
                </c:pt>
                <c:pt idx="7784">
                  <c:v>-22.16</c:v>
                </c:pt>
                <c:pt idx="7785">
                  <c:v>-22.15</c:v>
                </c:pt>
                <c:pt idx="7786">
                  <c:v>-22.14</c:v>
                </c:pt>
                <c:pt idx="7787">
                  <c:v>-22.13</c:v>
                </c:pt>
                <c:pt idx="7788">
                  <c:v>-22.12</c:v>
                </c:pt>
                <c:pt idx="7789">
                  <c:v>-22.11</c:v>
                </c:pt>
                <c:pt idx="7790">
                  <c:v>-22.1</c:v>
                </c:pt>
                <c:pt idx="7791">
                  <c:v>-22.09</c:v>
                </c:pt>
                <c:pt idx="7792">
                  <c:v>-22.08</c:v>
                </c:pt>
                <c:pt idx="7793">
                  <c:v>-22.07</c:v>
                </c:pt>
                <c:pt idx="7794">
                  <c:v>-22.06</c:v>
                </c:pt>
                <c:pt idx="7795">
                  <c:v>-22.05</c:v>
                </c:pt>
                <c:pt idx="7796">
                  <c:v>-22.04</c:v>
                </c:pt>
                <c:pt idx="7797">
                  <c:v>-22.03</c:v>
                </c:pt>
                <c:pt idx="7798">
                  <c:v>-22.02</c:v>
                </c:pt>
                <c:pt idx="7799">
                  <c:v>-22.01</c:v>
                </c:pt>
                <c:pt idx="7800">
                  <c:v>-22.0</c:v>
                </c:pt>
                <c:pt idx="7801">
                  <c:v>-21.99</c:v>
                </c:pt>
                <c:pt idx="7802">
                  <c:v>-21.98</c:v>
                </c:pt>
                <c:pt idx="7803">
                  <c:v>-21.97</c:v>
                </c:pt>
                <c:pt idx="7804">
                  <c:v>-21.96</c:v>
                </c:pt>
                <c:pt idx="7805">
                  <c:v>-21.95</c:v>
                </c:pt>
                <c:pt idx="7806">
                  <c:v>-21.94</c:v>
                </c:pt>
                <c:pt idx="7807">
                  <c:v>-21.93</c:v>
                </c:pt>
                <c:pt idx="7808">
                  <c:v>-21.92</c:v>
                </c:pt>
                <c:pt idx="7809">
                  <c:v>-21.91</c:v>
                </c:pt>
                <c:pt idx="7810">
                  <c:v>-21.9</c:v>
                </c:pt>
                <c:pt idx="7811">
                  <c:v>-21.89</c:v>
                </c:pt>
                <c:pt idx="7812">
                  <c:v>-21.88</c:v>
                </c:pt>
                <c:pt idx="7813">
                  <c:v>-21.87</c:v>
                </c:pt>
                <c:pt idx="7814">
                  <c:v>-21.86</c:v>
                </c:pt>
                <c:pt idx="7815">
                  <c:v>-21.85</c:v>
                </c:pt>
                <c:pt idx="7816">
                  <c:v>-21.84</c:v>
                </c:pt>
                <c:pt idx="7817">
                  <c:v>-21.83</c:v>
                </c:pt>
                <c:pt idx="7818">
                  <c:v>-21.82</c:v>
                </c:pt>
                <c:pt idx="7819">
                  <c:v>-21.81</c:v>
                </c:pt>
                <c:pt idx="7820">
                  <c:v>-21.8</c:v>
                </c:pt>
                <c:pt idx="7821">
                  <c:v>-21.79</c:v>
                </c:pt>
                <c:pt idx="7822">
                  <c:v>-21.78</c:v>
                </c:pt>
                <c:pt idx="7823">
                  <c:v>-21.77</c:v>
                </c:pt>
                <c:pt idx="7824">
                  <c:v>-21.76</c:v>
                </c:pt>
                <c:pt idx="7825">
                  <c:v>-21.75</c:v>
                </c:pt>
                <c:pt idx="7826">
                  <c:v>-21.74</c:v>
                </c:pt>
                <c:pt idx="7827">
                  <c:v>-21.73</c:v>
                </c:pt>
                <c:pt idx="7828">
                  <c:v>-21.72</c:v>
                </c:pt>
                <c:pt idx="7829">
                  <c:v>-21.71</c:v>
                </c:pt>
                <c:pt idx="7830">
                  <c:v>-21.7</c:v>
                </c:pt>
                <c:pt idx="7831">
                  <c:v>-21.69</c:v>
                </c:pt>
                <c:pt idx="7832">
                  <c:v>-21.68</c:v>
                </c:pt>
                <c:pt idx="7833">
                  <c:v>-21.67</c:v>
                </c:pt>
                <c:pt idx="7834">
                  <c:v>-21.66</c:v>
                </c:pt>
                <c:pt idx="7835">
                  <c:v>-21.65</c:v>
                </c:pt>
                <c:pt idx="7836">
                  <c:v>-21.64</c:v>
                </c:pt>
                <c:pt idx="7837">
                  <c:v>-21.63</c:v>
                </c:pt>
                <c:pt idx="7838">
                  <c:v>-21.62</c:v>
                </c:pt>
                <c:pt idx="7839">
                  <c:v>-21.61</c:v>
                </c:pt>
                <c:pt idx="7840">
                  <c:v>-21.6</c:v>
                </c:pt>
                <c:pt idx="7841">
                  <c:v>-21.59</c:v>
                </c:pt>
                <c:pt idx="7842">
                  <c:v>-21.58</c:v>
                </c:pt>
                <c:pt idx="7843">
                  <c:v>-21.57</c:v>
                </c:pt>
                <c:pt idx="7844">
                  <c:v>-21.56</c:v>
                </c:pt>
                <c:pt idx="7845">
                  <c:v>-21.55</c:v>
                </c:pt>
                <c:pt idx="7846">
                  <c:v>-21.54</c:v>
                </c:pt>
                <c:pt idx="7847">
                  <c:v>-21.53</c:v>
                </c:pt>
                <c:pt idx="7848">
                  <c:v>-21.52</c:v>
                </c:pt>
                <c:pt idx="7849">
                  <c:v>-21.51</c:v>
                </c:pt>
                <c:pt idx="7850">
                  <c:v>-21.5</c:v>
                </c:pt>
                <c:pt idx="7851">
                  <c:v>-21.49</c:v>
                </c:pt>
                <c:pt idx="7852">
                  <c:v>-21.48</c:v>
                </c:pt>
                <c:pt idx="7853">
                  <c:v>-21.47</c:v>
                </c:pt>
                <c:pt idx="7854">
                  <c:v>-21.46</c:v>
                </c:pt>
                <c:pt idx="7855">
                  <c:v>-21.45</c:v>
                </c:pt>
                <c:pt idx="7856">
                  <c:v>-21.44</c:v>
                </c:pt>
                <c:pt idx="7857">
                  <c:v>-21.43</c:v>
                </c:pt>
                <c:pt idx="7858">
                  <c:v>-21.42</c:v>
                </c:pt>
                <c:pt idx="7859">
                  <c:v>-21.41</c:v>
                </c:pt>
                <c:pt idx="7860">
                  <c:v>-21.4</c:v>
                </c:pt>
                <c:pt idx="7861">
                  <c:v>-21.39</c:v>
                </c:pt>
                <c:pt idx="7862">
                  <c:v>-21.38</c:v>
                </c:pt>
                <c:pt idx="7863">
                  <c:v>-21.37</c:v>
                </c:pt>
                <c:pt idx="7864">
                  <c:v>-21.36</c:v>
                </c:pt>
                <c:pt idx="7865">
                  <c:v>-21.35</c:v>
                </c:pt>
                <c:pt idx="7866">
                  <c:v>-21.34</c:v>
                </c:pt>
                <c:pt idx="7867">
                  <c:v>-21.33</c:v>
                </c:pt>
                <c:pt idx="7868">
                  <c:v>-21.32</c:v>
                </c:pt>
                <c:pt idx="7869">
                  <c:v>-21.31</c:v>
                </c:pt>
                <c:pt idx="7870">
                  <c:v>-21.3</c:v>
                </c:pt>
                <c:pt idx="7871">
                  <c:v>-21.29</c:v>
                </c:pt>
                <c:pt idx="7872">
                  <c:v>-21.28</c:v>
                </c:pt>
                <c:pt idx="7873">
                  <c:v>-21.27</c:v>
                </c:pt>
                <c:pt idx="7874">
                  <c:v>-21.26</c:v>
                </c:pt>
                <c:pt idx="7875">
                  <c:v>-21.25</c:v>
                </c:pt>
                <c:pt idx="7876">
                  <c:v>-21.24</c:v>
                </c:pt>
                <c:pt idx="7877">
                  <c:v>-21.23</c:v>
                </c:pt>
                <c:pt idx="7878">
                  <c:v>-21.22</c:v>
                </c:pt>
                <c:pt idx="7879">
                  <c:v>-21.21</c:v>
                </c:pt>
                <c:pt idx="7880">
                  <c:v>-21.2</c:v>
                </c:pt>
                <c:pt idx="7881">
                  <c:v>-21.19</c:v>
                </c:pt>
                <c:pt idx="7882">
                  <c:v>-21.18</c:v>
                </c:pt>
                <c:pt idx="7883">
                  <c:v>-21.17</c:v>
                </c:pt>
                <c:pt idx="7884">
                  <c:v>-21.16</c:v>
                </c:pt>
                <c:pt idx="7885">
                  <c:v>-21.15</c:v>
                </c:pt>
                <c:pt idx="7886">
                  <c:v>-21.14</c:v>
                </c:pt>
                <c:pt idx="7887">
                  <c:v>-21.13</c:v>
                </c:pt>
                <c:pt idx="7888">
                  <c:v>-21.12</c:v>
                </c:pt>
                <c:pt idx="7889">
                  <c:v>-21.11</c:v>
                </c:pt>
                <c:pt idx="7890">
                  <c:v>-21.1</c:v>
                </c:pt>
                <c:pt idx="7891">
                  <c:v>-21.09</c:v>
                </c:pt>
                <c:pt idx="7892">
                  <c:v>-21.08</c:v>
                </c:pt>
                <c:pt idx="7893">
                  <c:v>-21.07</c:v>
                </c:pt>
                <c:pt idx="7894">
                  <c:v>-21.06</c:v>
                </c:pt>
                <c:pt idx="7895">
                  <c:v>-21.05</c:v>
                </c:pt>
                <c:pt idx="7896">
                  <c:v>-21.04</c:v>
                </c:pt>
                <c:pt idx="7897">
                  <c:v>-21.03</c:v>
                </c:pt>
                <c:pt idx="7898">
                  <c:v>-21.02</c:v>
                </c:pt>
                <c:pt idx="7899">
                  <c:v>-21.01</c:v>
                </c:pt>
                <c:pt idx="7900">
                  <c:v>-21.0</c:v>
                </c:pt>
                <c:pt idx="7901">
                  <c:v>-20.99</c:v>
                </c:pt>
                <c:pt idx="7902">
                  <c:v>-20.98</c:v>
                </c:pt>
                <c:pt idx="7903">
                  <c:v>-20.97</c:v>
                </c:pt>
                <c:pt idx="7904">
                  <c:v>-20.96</c:v>
                </c:pt>
                <c:pt idx="7905">
                  <c:v>-20.95</c:v>
                </c:pt>
                <c:pt idx="7906">
                  <c:v>-20.94</c:v>
                </c:pt>
                <c:pt idx="7907">
                  <c:v>-20.93</c:v>
                </c:pt>
                <c:pt idx="7908">
                  <c:v>-20.92</c:v>
                </c:pt>
                <c:pt idx="7909">
                  <c:v>-20.91</c:v>
                </c:pt>
                <c:pt idx="7910">
                  <c:v>-20.9</c:v>
                </c:pt>
                <c:pt idx="7911">
                  <c:v>-20.89</c:v>
                </c:pt>
                <c:pt idx="7912">
                  <c:v>-20.88</c:v>
                </c:pt>
                <c:pt idx="7913">
                  <c:v>-20.87</c:v>
                </c:pt>
                <c:pt idx="7914">
                  <c:v>-20.86</c:v>
                </c:pt>
                <c:pt idx="7915">
                  <c:v>-20.85</c:v>
                </c:pt>
                <c:pt idx="7916">
                  <c:v>-20.84</c:v>
                </c:pt>
                <c:pt idx="7917">
                  <c:v>-20.83</c:v>
                </c:pt>
                <c:pt idx="7918">
                  <c:v>-20.82</c:v>
                </c:pt>
                <c:pt idx="7919">
                  <c:v>-20.81</c:v>
                </c:pt>
                <c:pt idx="7920">
                  <c:v>-20.8</c:v>
                </c:pt>
                <c:pt idx="7921">
                  <c:v>-20.79</c:v>
                </c:pt>
                <c:pt idx="7922">
                  <c:v>-20.78</c:v>
                </c:pt>
                <c:pt idx="7923">
                  <c:v>-20.77</c:v>
                </c:pt>
                <c:pt idx="7924">
                  <c:v>-20.76</c:v>
                </c:pt>
                <c:pt idx="7925">
                  <c:v>-20.75</c:v>
                </c:pt>
                <c:pt idx="7926">
                  <c:v>-20.74</c:v>
                </c:pt>
                <c:pt idx="7927">
                  <c:v>-20.73</c:v>
                </c:pt>
                <c:pt idx="7928">
                  <c:v>-20.72</c:v>
                </c:pt>
                <c:pt idx="7929">
                  <c:v>-20.71</c:v>
                </c:pt>
                <c:pt idx="7930">
                  <c:v>-20.7</c:v>
                </c:pt>
                <c:pt idx="7931">
                  <c:v>-20.69</c:v>
                </c:pt>
                <c:pt idx="7932">
                  <c:v>-20.68</c:v>
                </c:pt>
                <c:pt idx="7933">
                  <c:v>-20.67</c:v>
                </c:pt>
                <c:pt idx="7934">
                  <c:v>-20.66</c:v>
                </c:pt>
                <c:pt idx="7935">
                  <c:v>-20.65</c:v>
                </c:pt>
                <c:pt idx="7936">
                  <c:v>-20.64</c:v>
                </c:pt>
                <c:pt idx="7937">
                  <c:v>-20.63</c:v>
                </c:pt>
                <c:pt idx="7938">
                  <c:v>-20.62</c:v>
                </c:pt>
                <c:pt idx="7939">
                  <c:v>-20.61</c:v>
                </c:pt>
                <c:pt idx="7940">
                  <c:v>-20.6</c:v>
                </c:pt>
                <c:pt idx="7941">
                  <c:v>-20.59</c:v>
                </c:pt>
                <c:pt idx="7942">
                  <c:v>-20.58</c:v>
                </c:pt>
                <c:pt idx="7943">
                  <c:v>-20.57</c:v>
                </c:pt>
                <c:pt idx="7944">
                  <c:v>-20.56</c:v>
                </c:pt>
                <c:pt idx="7945">
                  <c:v>-20.55</c:v>
                </c:pt>
                <c:pt idx="7946">
                  <c:v>-20.54</c:v>
                </c:pt>
                <c:pt idx="7947">
                  <c:v>-20.53</c:v>
                </c:pt>
                <c:pt idx="7948">
                  <c:v>-20.52</c:v>
                </c:pt>
                <c:pt idx="7949">
                  <c:v>-20.51</c:v>
                </c:pt>
                <c:pt idx="7950">
                  <c:v>-20.5</c:v>
                </c:pt>
                <c:pt idx="7951">
                  <c:v>-20.49</c:v>
                </c:pt>
                <c:pt idx="7952">
                  <c:v>-20.48</c:v>
                </c:pt>
                <c:pt idx="7953">
                  <c:v>-20.47</c:v>
                </c:pt>
                <c:pt idx="7954">
                  <c:v>-20.46</c:v>
                </c:pt>
                <c:pt idx="7955">
                  <c:v>-20.45</c:v>
                </c:pt>
                <c:pt idx="7956">
                  <c:v>-20.44</c:v>
                </c:pt>
                <c:pt idx="7957">
                  <c:v>-20.43</c:v>
                </c:pt>
                <c:pt idx="7958">
                  <c:v>-20.42</c:v>
                </c:pt>
                <c:pt idx="7959">
                  <c:v>-20.41</c:v>
                </c:pt>
                <c:pt idx="7960">
                  <c:v>-20.4</c:v>
                </c:pt>
                <c:pt idx="7961">
                  <c:v>-20.39</c:v>
                </c:pt>
                <c:pt idx="7962">
                  <c:v>-20.38</c:v>
                </c:pt>
                <c:pt idx="7963">
                  <c:v>-20.37</c:v>
                </c:pt>
                <c:pt idx="7964">
                  <c:v>-20.36</c:v>
                </c:pt>
                <c:pt idx="7965">
                  <c:v>-20.35</c:v>
                </c:pt>
                <c:pt idx="7966">
                  <c:v>-20.34</c:v>
                </c:pt>
                <c:pt idx="7967">
                  <c:v>-20.33</c:v>
                </c:pt>
                <c:pt idx="7968">
                  <c:v>-20.32</c:v>
                </c:pt>
                <c:pt idx="7969">
                  <c:v>-20.31</c:v>
                </c:pt>
                <c:pt idx="7970">
                  <c:v>-20.3</c:v>
                </c:pt>
                <c:pt idx="7971">
                  <c:v>-20.29</c:v>
                </c:pt>
                <c:pt idx="7972">
                  <c:v>-20.28</c:v>
                </c:pt>
                <c:pt idx="7973">
                  <c:v>-20.27</c:v>
                </c:pt>
                <c:pt idx="7974">
                  <c:v>-20.26</c:v>
                </c:pt>
                <c:pt idx="7975">
                  <c:v>-20.25</c:v>
                </c:pt>
                <c:pt idx="7976">
                  <c:v>-20.24</c:v>
                </c:pt>
                <c:pt idx="7977">
                  <c:v>-20.23</c:v>
                </c:pt>
                <c:pt idx="7978">
                  <c:v>-20.22</c:v>
                </c:pt>
                <c:pt idx="7979">
                  <c:v>-20.21</c:v>
                </c:pt>
                <c:pt idx="7980">
                  <c:v>-20.2</c:v>
                </c:pt>
                <c:pt idx="7981">
                  <c:v>-20.19</c:v>
                </c:pt>
                <c:pt idx="7982">
                  <c:v>-20.18</c:v>
                </c:pt>
                <c:pt idx="7983">
                  <c:v>-20.17</c:v>
                </c:pt>
                <c:pt idx="7984">
                  <c:v>-20.16</c:v>
                </c:pt>
                <c:pt idx="7985">
                  <c:v>-20.15</c:v>
                </c:pt>
                <c:pt idx="7986">
                  <c:v>-20.14</c:v>
                </c:pt>
                <c:pt idx="7987">
                  <c:v>-20.13</c:v>
                </c:pt>
                <c:pt idx="7988">
                  <c:v>-20.12</c:v>
                </c:pt>
                <c:pt idx="7989">
                  <c:v>-20.11</c:v>
                </c:pt>
                <c:pt idx="7990">
                  <c:v>-20.1</c:v>
                </c:pt>
                <c:pt idx="7991">
                  <c:v>-20.09</c:v>
                </c:pt>
                <c:pt idx="7992">
                  <c:v>-20.08</c:v>
                </c:pt>
                <c:pt idx="7993">
                  <c:v>-20.07</c:v>
                </c:pt>
                <c:pt idx="7994">
                  <c:v>-20.06</c:v>
                </c:pt>
                <c:pt idx="7995">
                  <c:v>-20.05</c:v>
                </c:pt>
                <c:pt idx="7996">
                  <c:v>-20.04</c:v>
                </c:pt>
                <c:pt idx="7997">
                  <c:v>-20.03</c:v>
                </c:pt>
                <c:pt idx="7998">
                  <c:v>-20.02</c:v>
                </c:pt>
                <c:pt idx="7999">
                  <c:v>-20.01</c:v>
                </c:pt>
                <c:pt idx="8000">
                  <c:v>-20.0</c:v>
                </c:pt>
                <c:pt idx="8001">
                  <c:v>-19.99</c:v>
                </c:pt>
                <c:pt idx="8002">
                  <c:v>-19.98</c:v>
                </c:pt>
                <c:pt idx="8003">
                  <c:v>-19.97</c:v>
                </c:pt>
                <c:pt idx="8004">
                  <c:v>-19.96</c:v>
                </c:pt>
                <c:pt idx="8005">
                  <c:v>-19.95</c:v>
                </c:pt>
                <c:pt idx="8006">
                  <c:v>-19.94</c:v>
                </c:pt>
                <c:pt idx="8007">
                  <c:v>-19.93</c:v>
                </c:pt>
                <c:pt idx="8008">
                  <c:v>-19.92</c:v>
                </c:pt>
                <c:pt idx="8009">
                  <c:v>-19.91</c:v>
                </c:pt>
                <c:pt idx="8010">
                  <c:v>-19.9</c:v>
                </c:pt>
                <c:pt idx="8011">
                  <c:v>-19.89</c:v>
                </c:pt>
                <c:pt idx="8012">
                  <c:v>-19.88</c:v>
                </c:pt>
                <c:pt idx="8013">
                  <c:v>-19.87</c:v>
                </c:pt>
                <c:pt idx="8014">
                  <c:v>-19.86</c:v>
                </c:pt>
                <c:pt idx="8015">
                  <c:v>-19.85</c:v>
                </c:pt>
                <c:pt idx="8016">
                  <c:v>-19.84</c:v>
                </c:pt>
                <c:pt idx="8017">
                  <c:v>-19.83</c:v>
                </c:pt>
                <c:pt idx="8018">
                  <c:v>-19.82</c:v>
                </c:pt>
                <c:pt idx="8019">
                  <c:v>-19.81</c:v>
                </c:pt>
                <c:pt idx="8020">
                  <c:v>-19.8</c:v>
                </c:pt>
                <c:pt idx="8021">
                  <c:v>-19.79</c:v>
                </c:pt>
                <c:pt idx="8022">
                  <c:v>-19.78</c:v>
                </c:pt>
                <c:pt idx="8023">
                  <c:v>-19.77</c:v>
                </c:pt>
                <c:pt idx="8024">
                  <c:v>-19.76</c:v>
                </c:pt>
                <c:pt idx="8025">
                  <c:v>-19.75</c:v>
                </c:pt>
                <c:pt idx="8026">
                  <c:v>-19.74</c:v>
                </c:pt>
                <c:pt idx="8027">
                  <c:v>-19.73</c:v>
                </c:pt>
                <c:pt idx="8028">
                  <c:v>-19.72</c:v>
                </c:pt>
                <c:pt idx="8029">
                  <c:v>-19.71</c:v>
                </c:pt>
                <c:pt idx="8030">
                  <c:v>-19.7</c:v>
                </c:pt>
                <c:pt idx="8031">
                  <c:v>-19.69</c:v>
                </c:pt>
                <c:pt idx="8032">
                  <c:v>-19.68</c:v>
                </c:pt>
                <c:pt idx="8033">
                  <c:v>-19.67</c:v>
                </c:pt>
                <c:pt idx="8034">
                  <c:v>-19.66</c:v>
                </c:pt>
                <c:pt idx="8035">
                  <c:v>-19.65</c:v>
                </c:pt>
                <c:pt idx="8036">
                  <c:v>-19.64</c:v>
                </c:pt>
                <c:pt idx="8037">
                  <c:v>-19.63</c:v>
                </c:pt>
                <c:pt idx="8038">
                  <c:v>-19.62</c:v>
                </c:pt>
                <c:pt idx="8039">
                  <c:v>-19.61</c:v>
                </c:pt>
                <c:pt idx="8040">
                  <c:v>-19.6</c:v>
                </c:pt>
                <c:pt idx="8041">
                  <c:v>-19.59</c:v>
                </c:pt>
                <c:pt idx="8042">
                  <c:v>-19.58</c:v>
                </c:pt>
                <c:pt idx="8043">
                  <c:v>-19.57</c:v>
                </c:pt>
                <c:pt idx="8044">
                  <c:v>-19.56</c:v>
                </c:pt>
                <c:pt idx="8045">
                  <c:v>-19.55</c:v>
                </c:pt>
                <c:pt idx="8046">
                  <c:v>-19.54</c:v>
                </c:pt>
                <c:pt idx="8047">
                  <c:v>-19.53</c:v>
                </c:pt>
                <c:pt idx="8048">
                  <c:v>-19.52</c:v>
                </c:pt>
                <c:pt idx="8049">
                  <c:v>-19.51</c:v>
                </c:pt>
                <c:pt idx="8050">
                  <c:v>-19.5</c:v>
                </c:pt>
                <c:pt idx="8051">
                  <c:v>-19.49</c:v>
                </c:pt>
                <c:pt idx="8052">
                  <c:v>-19.48</c:v>
                </c:pt>
                <c:pt idx="8053">
                  <c:v>-19.47</c:v>
                </c:pt>
                <c:pt idx="8054">
                  <c:v>-19.46</c:v>
                </c:pt>
                <c:pt idx="8055">
                  <c:v>-19.45</c:v>
                </c:pt>
                <c:pt idx="8056">
                  <c:v>-19.44</c:v>
                </c:pt>
                <c:pt idx="8057">
                  <c:v>-19.43</c:v>
                </c:pt>
                <c:pt idx="8058">
                  <c:v>-19.42</c:v>
                </c:pt>
                <c:pt idx="8059">
                  <c:v>-19.41</c:v>
                </c:pt>
                <c:pt idx="8060">
                  <c:v>-19.4</c:v>
                </c:pt>
                <c:pt idx="8061">
                  <c:v>-19.39</c:v>
                </c:pt>
                <c:pt idx="8062">
                  <c:v>-19.38</c:v>
                </c:pt>
                <c:pt idx="8063">
                  <c:v>-19.37</c:v>
                </c:pt>
                <c:pt idx="8064">
                  <c:v>-19.36</c:v>
                </c:pt>
                <c:pt idx="8065">
                  <c:v>-19.35</c:v>
                </c:pt>
                <c:pt idx="8066">
                  <c:v>-19.34</c:v>
                </c:pt>
                <c:pt idx="8067">
                  <c:v>-19.33</c:v>
                </c:pt>
                <c:pt idx="8068">
                  <c:v>-19.32</c:v>
                </c:pt>
                <c:pt idx="8069">
                  <c:v>-19.31</c:v>
                </c:pt>
                <c:pt idx="8070">
                  <c:v>-19.3</c:v>
                </c:pt>
                <c:pt idx="8071">
                  <c:v>-19.29</c:v>
                </c:pt>
                <c:pt idx="8072">
                  <c:v>-19.28</c:v>
                </c:pt>
                <c:pt idx="8073">
                  <c:v>-19.27</c:v>
                </c:pt>
                <c:pt idx="8074">
                  <c:v>-19.26</c:v>
                </c:pt>
                <c:pt idx="8075">
                  <c:v>-19.25</c:v>
                </c:pt>
                <c:pt idx="8076">
                  <c:v>-19.24</c:v>
                </c:pt>
                <c:pt idx="8077">
                  <c:v>-19.23</c:v>
                </c:pt>
                <c:pt idx="8078">
                  <c:v>-19.22</c:v>
                </c:pt>
                <c:pt idx="8079">
                  <c:v>-19.21</c:v>
                </c:pt>
                <c:pt idx="8080">
                  <c:v>-19.2</c:v>
                </c:pt>
                <c:pt idx="8081">
                  <c:v>-19.19</c:v>
                </c:pt>
                <c:pt idx="8082">
                  <c:v>-19.18</c:v>
                </c:pt>
                <c:pt idx="8083">
                  <c:v>-19.17</c:v>
                </c:pt>
                <c:pt idx="8084">
                  <c:v>-19.16</c:v>
                </c:pt>
                <c:pt idx="8085">
                  <c:v>-19.15</c:v>
                </c:pt>
                <c:pt idx="8086">
                  <c:v>-19.14</c:v>
                </c:pt>
                <c:pt idx="8087">
                  <c:v>-19.13</c:v>
                </c:pt>
                <c:pt idx="8088">
                  <c:v>-19.12</c:v>
                </c:pt>
                <c:pt idx="8089">
                  <c:v>-19.11</c:v>
                </c:pt>
                <c:pt idx="8090">
                  <c:v>-19.1</c:v>
                </c:pt>
                <c:pt idx="8091">
                  <c:v>-19.09</c:v>
                </c:pt>
                <c:pt idx="8092">
                  <c:v>-19.08</c:v>
                </c:pt>
                <c:pt idx="8093">
                  <c:v>-19.07</c:v>
                </c:pt>
                <c:pt idx="8094">
                  <c:v>-19.06</c:v>
                </c:pt>
                <c:pt idx="8095">
                  <c:v>-19.05</c:v>
                </c:pt>
                <c:pt idx="8096">
                  <c:v>-19.04</c:v>
                </c:pt>
                <c:pt idx="8097">
                  <c:v>-19.03</c:v>
                </c:pt>
                <c:pt idx="8098">
                  <c:v>-19.02</c:v>
                </c:pt>
                <c:pt idx="8099">
                  <c:v>-19.01</c:v>
                </c:pt>
                <c:pt idx="8100">
                  <c:v>-19.0</c:v>
                </c:pt>
                <c:pt idx="8101">
                  <c:v>-18.99</c:v>
                </c:pt>
                <c:pt idx="8102">
                  <c:v>-18.98</c:v>
                </c:pt>
                <c:pt idx="8103">
                  <c:v>-18.97</c:v>
                </c:pt>
                <c:pt idx="8104">
                  <c:v>-18.96</c:v>
                </c:pt>
                <c:pt idx="8105">
                  <c:v>-18.95</c:v>
                </c:pt>
                <c:pt idx="8106">
                  <c:v>-18.94</c:v>
                </c:pt>
                <c:pt idx="8107">
                  <c:v>-18.93</c:v>
                </c:pt>
                <c:pt idx="8108">
                  <c:v>-18.92</c:v>
                </c:pt>
                <c:pt idx="8109">
                  <c:v>-18.91</c:v>
                </c:pt>
                <c:pt idx="8110">
                  <c:v>-18.9</c:v>
                </c:pt>
                <c:pt idx="8111">
                  <c:v>-18.89</c:v>
                </c:pt>
                <c:pt idx="8112">
                  <c:v>-18.88</c:v>
                </c:pt>
                <c:pt idx="8113">
                  <c:v>-18.87</c:v>
                </c:pt>
                <c:pt idx="8114">
                  <c:v>-18.86</c:v>
                </c:pt>
                <c:pt idx="8115">
                  <c:v>-18.85</c:v>
                </c:pt>
                <c:pt idx="8116">
                  <c:v>-18.84</c:v>
                </c:pt>
                <c:pt idx="8117">
                  <c:v>-18.83</c:v>
                </c:pt>
                <c:pt idx="8118">
                  <c:v>-18.82</c:v>
                </c:pt>
                <c:pt idx="8119">
                  <c:v>-18.81</c:v>
                </c:pt>
                <c:pt idx="8120">
                  <c:v>-18.8</c:v>
                </c:pt>
                <c:pt idx="8121">
                  <c:v>-18.79</c:v>
                </c:pt>
                <c:pt idx="8122">
                  <c:v>-18.78</c:v>
                </c:pt>
                <c:pt idx="8123">
                  <c:v>-18.77</c:v>
                </c:pt>
                <c:pt idx="8124">
                  <c:v>-18.76</c:v>
                </c:pt>
                <c:pt idx="8125">
                  <c:v>-18.75</c:v>
                </c:pt>
                <c:pt idx="8126">
                  <c:v>-18.74</c:v>
                </c:pt>
                <c:pt idx="8127">
                  <c:v>-18.73</c:v>
                </c:pt>
                <c:pt idx="8128">
                  <c:v>-18.72</c:v>
                </c:pt>
                <c:pt idx="8129">
                  <c:v>-18.71</c:v>
                </c:pt>
                <c:pt idx="8130">
                  <c:v>-18.7</c:v>
                </c:pt>
                <c:pt idx="8131">
                  <c:v>-18.69</c:v>
                </c:pt>
                <c:pt idx="8132">
                  <c:v>-18.68</c:v>
                </c:pt>
                <c:pt idx="8133">
                  <c:v>-18.67</c:v>
                </c:pt>
                <c:pt idx="8134">
                  <c:v>-18.66</c:v>
                </c:pt>
                <c:pt idx="8135">
                  <c:v>-18.65</c:v>
                </c:pt>
                <c:pt idx="8136">
                  <c:v>-18.64</c:v>
                </c:pt>
                <c:pt idx="8137">
                  <c:v>-18.63</c:v>
                </c:pt>
                <c:pt idx="8138">
                  <c:v>-18.62</c:v>
                </c:pt>
                <c:pt idx="8139">
                  <c:v>-18.61</c:v>
                </c:pt>
                <c:pt idx="8140">
                  <c:v>-18.6</c:v>
                </c:pt>
                <c:pt idx="8141">
                  <c:v>-18.59</c:v>
                </c:pt>
                <c:pt idx="8142">
                  <c:v>-18.58</c:v>
                </c:pt>
                <c:pt idx="8143">
                  <c:v>-18.57</c:v>
                </c:pt>
                <c:pt idx="8144">
                  <c:v>-18.56</c:v>
                </c:pt>
                <c:pt idx="8145">
                  <c:v>-18.55</c:v>
                </c:pt>
                <c:pt idx="8146">
                  <c:v>-18.54</c:v>
                </c:pt>
                <c:pt idx="8147">
                  <c:v>-18.53</c:v>
                </c:pt>
                <c:pt idx="8148">
                  <c:v>-18.52</c:v>
                </c:pt>
                <c:pt idx="8149">
                  <c:v>-18.51</c:v>
                </c:pt>
                <c:pt idx="8150">
                  <c:v>-18.5</c:v>
                </c:pt>
                <c:pt idx="8151">
                  <c:v>-18.49</c:v>
                </c:pt>
                <c:pt idx="8152">
                  <c:v>-18.48</c:v>
                </c:pt>
                <c:pt idx="8153">
                  <c:v>-18.47</c:v>
                </c:pt>
                <c:pt idx="8154">
                  <c:v>-18.46</c:v>
                </c:pt>
                <c:pt idx="8155">
                  <c:v>-18.45</c:v>
                </c:pt>
                <c:pt idx="8156">
                  <c:v>-18.44</c:v>
                </c:pt>
                <c:pt idx="8157">
                  <c:v>-18.43</c:v>
                </c:pt>
                <c:pt idx="8158">
                  <c:v>-18.42</c:v>
                </c:pt>
                <c:pt idx="8159">
                  <c:v>-18.41</c:v>
                </c:pt>
                <c:pt idx="8160">
                  <c:v>-18.4</c:v>
                </c:pt>
                <c:pt idx="8161">
                  <c:v>-18.39</c:v>
                </c:pt>
                <c:pt idx="8162">
                  <c:v>-18.38</c:v>
                </c:pt>
                <c:pt idx="8163">
                  <c:v>-18.37</c:v>
                </c:pt>
                <c:pt idx="8164">
                  <c:v>-18.36</c:v>
                </c:pt>
                <c:pt idx="8165">
                  <c:v>-18.35</c:v>
                </c:pt>
                <c:pt idx="8166">
                  <c:v>-18.34</c:v>
                </c:pt>
                <c:pt idx="8167">
                  <c:v>-18.33</c:v>
                </c:pt>
                <c:pt idx="8168">
                  <c:v>-18.32</c:v>
                </c:pt>
                <c:pt idx="8169">
                  <c:v>-18.31</c:v>
                </c:pt>
                <c:pt idx="8170">
                  <c:v>-18.3</c:v>
                </c:pt>
                <c:pt idx="8171">
                  <c:v>-18.29</c:v>
                </c:pt>
                <c:pt idx="8172">
                  <c:v>-18.28</c:v>
                </c:pt>
                <c:pt idx="8173">
                  <c:v>-18.27</c:v>
                </c:pt>
                <c:pt idx="8174">
                  <c:v>-18.26</c:v>
                </c:pt>
                <c:pt idx="8175">
                  <c:v>-18.25</c:v>
                </c:pt>
                <c:pt idx="8176">
                  <c:v>-18.24</c:v>
                </c:pt>
                <c:pt idx="8177">
                  <c:v>-18.23</c:v>
                </c:pt>
                <c:pt idx="8178">
                  <c:v>-18.22</c:v>
                </c:pt>
                <c:pt idx="8179">
                  <c:v>-18.21</c:v>
                </c:pt>
                <c:pt idx="8180">
                  <c:v>-18.2</c:v>
                </c:pt>
                <c:pt idx="8181">
                  <c:v>-18.19</c:v>
                </c:pt>
                <c:pt idx="8182">
                  <c:v>-18.18</c:v>
                </c:pt>
                <c:pt idx="8183">
                  <c:v>-18.17</c:v>
                </c:pt>
                <c:pt idx="8184">
                  <c:v>-18.16</c:v>
                </c:pt>
                <c:pt idx="8185">
                  <c:v>-18.15</c:v>
                </c:pt>
                <c:pt idx="8186">
                  <c:v>-18.14</c:v>
                </c:pt>
                <c:pt idx="8187">
                  <c:v>-18.13</c:v>
                </c:pt>
                <c:pt idx="8188">
                  <c:v>-18.12</c:v>
                </c:pt>
                <c:pt idx="8189">
                  <c:v>-18.11</c:v>
                </c:pt>
                <c:pt idx="8190">
                  <c:v>-18.1</c:v>
                </c:pt>
                <c:pt idx="8191">
                  <c:v>-18.09</c:v>
                </c:pt>
                <c:pt idx="8192">
                  <c:v>-18.08</c:v>
                </c:pt>
                <c:pt idx="8193">
                  <c:v>-18.07</c:v>
                </c:pt>
                <c:pt idx="8194">
                  <c:v>-18.06</c:v>
                </c:pt>
                <c:pt idx="8195">
                  <c:v>-18.05</c:v>
                </c:pt>
                <c:pt idx="8196">
                  <c:v>-18.04</c:v>
                </c:pt>
                <c:pt idx="8197">
                  <c:v>-18.03</c:v>
                </c:pt>
                <c:pt idx="8198">
                  <c:v>-18.02</c:v>
                </c:pt>
                <c:pt idx="8199">
                  <c:v>-18.01</c:v>
                </c:pt>
                <c:pt idx="8200">
                  <c:v>-18.0</c:v>
                </c:pt>
                <c:pt idx="8201">
                  <c:v>-17.99</c:v>
                </c:pt>
                <c:pt idx="8202">
                  <c:v>-17.98</c:v>
                </c:pt>
                <c:pt idx="8203">
                  <c:v>-17.97</c:v>
                </c:pt>
                <c:pt idx="8204">
                  <c:v>-17.96</c:v>
                </c:pt>
                <c:pt idx="8205">
                  <c:v>-17.95</c:v>
                </c:pt>
                <c:pt idx="8206">
                  <c:v>-17.94</c:v>
                </c:pt>
                <c:pt idx="8207">
                  <c:v>-17.93</c:v>
                </c:pt>
                <c:pt idx="8208">
                  <c:v>-17.92</c:v>
                </c:pt>
                <c:pt idx="8209">
                  <c:v>-17.91</c:v>
                </c:pt>
                <c:pt idx="8210">
                  <c:v>-17.9</c:v>
                </c:pt>
                <c:pt idx="8211">
                  <c:v>-17.89</c:v>
                </c:pt>
                <c:pt idx="8212">
                  <c:v>-17.88</c:v>
                </c:pt>
                <c:pt idx="8213">
                  <c:v>-17.87</c:v>
                </c:pt>
                <c:pt idx="8214">
                  <c:v>-17.86</c:v>
                </c:pt>
                <c:pt idx="8215">
                  <c:v>-17.85</c:v>
                </c:pt>
                <c:pt idx="8216">
                  <c:v>-17.84</c:v>
                </c:pt>
                <c:pt idx="8217">
                  <c:v>-17.83</c:v>
                </c:pt>
                <c:pt idx="8218">
                  <c:v>-17.82</c:v>
                </c:pt>
                <c:pt idx="8219">
                  <c:v>-17.81</c:v>
                </c:pt>
                <c:pt idx="8220">
                  <c:v>-17.8</c:v>
                </c:pt>
                <c:pt idx="8221">
                  <c:v>-17.79</c:v>
                </c:pt>
                <c:pt idx="8222">
                  <c:v>-17.78</c:v>
                </c:pt>
                <c:pt idx="8223">
                  <c:v>-17.77</c:v>
                </c:pt>
                <c:pt idx="8224">
                  <c:v>-17.76</c:v>
                </c:pt>
                <c:pt idx="8225">
                  <c:v>-17.75</c:v>
                </c:pt>
                <c:pt idx="8226">
                  <c:v>-17.74</c:v>
                </c:pt>
                <c:pt idx="8227">
                  <c:v>-17.73</c:v>
                </c:pt>
                <c:pt idx="8228">
                  <c:v>-17.72</c:v>
                </c:pt>
                <c:pt idx="8229">
                  <c:v>-17.71</c:v>
                </c:pt>
                <c:pt idx="8230">
                  <c:v>-17.7</c:v>
                </c:pt>
                <c:pt idx="8231">
                  <c:v>-17.69</c:v>
                </c:pt>
                <c:pt idx="8232">
                  <c:v>-17.68</c:v>
                </c:pt>
                <c:pt idx="8233">
                  <c:v>-17.67</c:v>
                </c:pt>
                <c:pt idx="8234">
                  <c:v>-17.66</c:v>
                </c:pt>
                <c:pt idx="8235">
                  <c:v>-17.65</c:v>
                </c:pt>
                <c:pt idx="8236">
                  <c:v>-17.64</c:v>
                </c:pt>
                <c:pt idx="8237">
                  <c:v>-17.63</c:v>
                </c:pt>
                <c:pt idx="8238">
                  <c:v>-17.62</c:v>
                </c:pt>
                <c:pt idx="8239">
                  <c:v>-17.61</c:v>
                </c:pt>
                <c:pt idx="8240">
                  <c:v>-17.6</c:v>
                </c:pt>
                <c:pt idx="8241">
                  <c:v>-17.59</c:v>
                </c:pt>
                <c:pt idx="8242">
                  <c:v>-17.58</c:v>
                </c:pt>
                <c:pt idx="8243">
                  <c:v>-17.57</c:v>
                </c:pt>
                <c:pt idx="8244">
                  <c:v>-17.56</c:v>
                </c:pt>
                <c:pt idx="8245">
                  <c:v>-17.55</c:v>
                </c:pt>
                <c:pt idx="8246">
                  <c:v>-17.54</c:v>
                </c:pt>
                <c:pt idx="8247">
                  <c:v>-17.53</c:v>
                </c:pt>
                <c:pt idx="8248">
                  <c:v>-17.52</c:v>
                </c:pt>
                <c:pt idx="8249">
                  <c:v>-17.51</c:v>
                </c:pt>
                <c:pt idx="8250">
                  <c:v>-17.5</c:v>
                </c:pt>
                <c:pt idx="8251">
                  <c:v>-17.49</c:v>
                </c:pt>
                <c:pt idx="8252">
                  <c:v>-17.48</c:v>
                </c:pt>
                <c:pt idx="8253">
                  <c:v>-17.47</c:v>
                </c:pt>
                <c:pt idx="8254">
                  <c:v>-17.46</c:v>
                </c:pt>
                <c:pt idx="8255">
                  <c:v>-17.45</c:v>
                </c:pt>
                <c:pt idx="8256">
                  <c:v>-17.44</c:v>
                </c:pt>
                <c:pt idx="8257">
                  <c:v>-17.43</c:v>
                </c:pt>
                <c:pt idx="8258">
                  <c:v>-17.42</c:v>
                </c:pt>
                <c:pt idx="8259">
                  <c:v>-17.41</c:v>
                </c:pt>
                <c:pt idx="8260">
                  <c:v>-17.4</c:v>
                </c:pt>
                <c:pt idx="8261">
                  <c:v>-17.39</c:v>
                </c:pt>
                <c:pt idx="8262">
                  <c:v>-17.38</c:v>
                </c:pt>
                <c:pt idx="8263">
                  <c:v>-17.37</c:v>
                </c:pt>
                <c:pt idx="8264">
                  <c:v>-17.36</c:v>
                </c:pt>
                <c:pt idx="8265">
                  <c:v>-17.35</c:v>
                </c:pt>
                <c:pt idx="8266">
                  <c:v>-17.34</c:v>
                </c:pt>
                <c:pt idx="8267">
                  <c:v>-17.33</c:v>
                </c:pt>
                <c:pt idx="8268">
                  <c:v>-17.32</c:v>
                </c:pt>
                <c:pt idx="8269">
                  <c:v>-17.31</c:v>
                </c:pt>
                <c:pt idx="8270">
                  <c:v>-17.3</c:v>
                </c:pt>
                <c:pt idx="8271">
                  <c:v>-17.29</c:v>
                </c:pt>
                <c:pt idx="8272">
                  <c:v>-17.28</c:v>
                </c:pt>
                <c:pt idx="8273">
                  <c:v>-17.27</c:v>
                </c:pt>
                <c:pt idx="8274">
                  <c:v>-17.26</c:v>
                </c:pt>
                <c:pt idx="8275">
                  <c:v>-17.25</c:v>
                </c:pt>
                <c:pt idx="8276">
                  <c:v>-17.24</c:v>
                </c:pt>
                <c:pt idx="8277">
                  <c:v>-17.23</c:v>
                </c:pt>
                <c:pt idx="8278">
                  <c:v>-17.22</c:v>
                </c:pt>
                <c:pt idx="8279">
                  <c:v>-17.21</c:v>
                </c:pt>
                <c:pt idx="8280">
                  <c:v>-17.2</c:v>
                </c:pt>
                <c:pt idx="8281">
                  <c:v>-17.19</c:v>
                </c:pt>
                <c:pt idx="8282">
                  <c:v>-17.18</c:v>
                </c:pt>
                <c:pt idx="8283">
                  <c:v>-17.17</c:v>
                </c:pt>
                <c:pt idx="8284">
                  <c:v>-17.16</c:v>
                </c:pt>
                <c:pt idx="8285">
                  <c:v>-17.15</c:v>
                </c:pt>
                <c:pt idx="8286">
                  <c:v>-17.14</c:v>
                </c:pt>
                <c:pt idx="8287">
                  <c:v>-17.13</c:v>
                </c:pt>
                <c:pt idx="8288">
                  <c:v>-17.12</c:v>
                </c:pt>
                <c:pt idx="8289">
                  <c:v>-17.11</c:v>
                </c:pt>
                <c:pt idx="8290">
                  <c:v>-17.1</c:v>
                </c:pt>
                <c:pt idx="8291">
                  <c:v>-17.09</c:v>
                </c:pt>
                <c:pt idx="8292">
                  <c:v>-17.08</c:v>
                </c:pt>
                <c:pt idx="8293">
                  <c:v>-17.07</c:v>
                </c:pt>
                <c:pt idx="8294">
                  <c:v>-17.06</c:v>
                </c:pt>
                <c:pt idx="8295">
                  <c:v>-17.05</c:v>
                </c:pt>
                <c:pt idx="8296">
                  <c:v>-17.04</c:v>
                </c:pt>
                <c:pt idx="8297">
                  <c:v>-17.03</c:v>
                </c:pt>
                <c:pt idx="8298">
                  <c:v>-17.02</c:v>
                </c:pt>
                <c:pt idx="8299">
                  <c:v>-17.01</c:v>
                </c:pt>
                <c:pt idx="8300">
                  <c:v>-17.0</c:v>
                </c:pt>
                <c:pt idx="8301">
                  <c:v>-16.99</c:v>
                </c:pt>
                <c:pt idx="8302">
                  <c:v>-16.98</c:v>
                </c:pt>
                <c:pt idx="8303">
                  <c:v>-16.97</c:v>
                </c:pt>
                <c:pt idx="8304">
                  <c:v>-16.96</c:v>
                </c:pt>
                <c:pt idx="8305">
                  <c:v>-16.95</c:v>
                </c:pt>
                <c:pt idx="8306">
                  <c:v>-16.94</c:v>
                </c:pt>
                <c:pt idx="8307">
                  <c:v>-16.93</c:v>
                </c:pt>
                <c:pt idx="8308">
                  <c:v>-16.92</c:v>
                </c:pt>
                <c:pt idx="8309">
                  <c:v>-16.91</c:v>
                </c:pt>
                <c:pt idx="8310">
                  <c:v>-16.9</c:v>
                </c:pt>
                <c:pt idx="8311">
                  <c:v>-16.89</c:v>
                </c:pt>
                <c:pt idx="8312">
                  <c:v>-16.88</c:v>
                </c:pt>
                <c:pt idx="8313">
                  <c:v>-16.87</c:v>
                </c:pt>
                <c:pt idx="8314">
                  <c:v>-16.86</c:v>
                </c:pt>
                <c:pt idx="8315">
                  <c:v>-16.85</c:v>
                </c:pt>
                <c:pt idx="8316">
                  <c:v>-16.84</c:v>
                </c:pt>
                <c:pt idx="8317">
                  <c:v>-16.83</c:v>
                </c:pt>
                <c:pt idx="8318">
                  <c:v>-16.82</c:v>
                </c:pt>
                <c:pt idx="8319">
                  <c:v>-16.81</c:v>
                </c:pt>
                <c:pt idx="8320">
                  <c:v>-16.8</c:v>
                </c:pt>
                <c:pt idx="8321">
                  <c:v>-16.79</c:v>
                </c:pt>
                <c:pt idx="8322">
                  <c:v>-16.78</c:v>
                </c:pt>
                <c:pt idx="8323">
                  <c:v>-16.77</c:v>
                </c:pt>
                <c:pt idx="8324">
                  <c:v>-16.76</c:v>
                </c:pt>
                <c:pt idx="8325">
                  <c:v>-16.75</c:v>
                </c:pt>
                <c:pt idx="8326">
                  <c:v>-16.74</c:v>
                </c:pt>
                <c:pt idx="8327">
                  <c:v>-16.73</c:v>
                </c:pt>
                <c:pt idx="8328">
                  <c:v>-16.72</c:v>
                </c:pt>
                <c:pt idx="8329">
                  <c:v>-16.71</c:v>
                </c:pt>
                <c:pt idx="8330">
                  <c:v>-16.7</c:v>
                </c:pt>
                <c:pt idx="8331">
                  <c:v>-16.69</c:v>
                </c:pt>
                <c:pt idx="8332">
                  <c:v>-16.68</c:v>
                </c:pt>
                <c:pt idx="8333">
                  <c:v>-16.67</c:v>
                </c:pt>
                <c:pt idx="8334">
                  <c:v>-16.66</c:v>
                </c:pt>
                <c:pt idx="8335">
                  <c:v>-16.65</c:v>
                </c:pt>
                <c:pt idx="8336">
                  <c:v>-16.64</c:v>
                </c:pt>
                <c:pt idx="8337">
                  <c:v>-16.63</c:v>
                </c:pt>
                <c:pt idx="8338">
                  <c:v>-16.62</c:v>
                </c:pt>
                <c:pt idx="8339">
                  <c:v>-16.61</c:v>
                </c:pt>
                <c:pt idx="8340">
                  <c:v>-16.6</c:v>
                </c:pt>
                <c:pt idx="8341">
                  <c:v>-16.59</c:v>
                </c:pt>
                <c:pt idx="8342">
                  <c:v>-16.58</c:v>
                </c:pt>
                <c:pt idx="8343">
                  <c:v>-16.57</c:v>
                </c:pt>
                <c:pt idx="8344">
                  <c:v>-16.56</c:v>
                </c:pt>
                <c:pt idx="8345">
                  <c:v>-16.55</c:v>
                </c:pt>
                <c:pt idx="8346">
                  <c:v>-16.54</c:v>
                </c:pt>
                <c:pt idx="8347">
                  <c:v>-16.53</c:v>
                </c:pt>
                <c:pt idx="8348">
                  <c:v>-16.52</c:v>
                </c:pt>
                <c:pt idx="8349">
                  <c:v>-16.51</c:v>
                </c:pt>
                <c:pt idx="8350">
                  <c:v>-16.5</c:v>
                </c:pt>
                <c:pt idx="8351">
                  <c:v>-16.49</c:v>
                </c:pt>
                <c:pt idx="8352">
                  <c:v>-16.48</c:v>
                </c:pt>
                <c:pt idx="8353">
                  <c:v>-16.47</c:v>
                </c:pt>
                <c:pt idx="8354">
                  <c:v>-16.46</c:v>
                </c:pt>
                <c:pt idx="8355">
                  <c:v>-16.45</c:v>
                </c:pt>
                <c:pt idx="8356">
                  <c:v>-16.44</c:v>
                </c:pt>
                <c:pt idx="8357">
                  <c:v>-16.43</c:v>
                </c:pt>
                <c:pt idx="8358">
                  <c:v>-16.42</c:v>
                </c:pt>
                <c:pt idx="8359">
                  <c:v>-16.41</c:v>
                </c:pt>
                <c:pt idx="8360">
                  <c:v>-16.4</c:v>
                </c:pt>
                <c:pt idx="8361">
                  <c:v>-16.39</c:v>
                </c:pt>
                <c:pt idx="8362">
                  <c:v>-16.38</c:v>
                </c:pt>
                <c:pt idx="8363">
                  <c:v>-16.37</c:v>
                </c:pt>
                <c:pt idx="8364">
                  <c:v>-16.36</c:v>
                </c:pt>
                <c:pt idx="8365">
                  <c:v>-16.35</c:v>
                </c:pt>
                <c:pt idx="8366">
                  <c:v>-16.34</c:v>
                </c:pt>
                <c:pt idx="8367">
                  <c:v>-16.33</c:v>
                </c:pt>
                <c:pt idx="8368">
                  <c:v>-16.32</c:v>
                </c:pt>
                <c:pt idx="8369">
                  <c:v>-16.31</c:v>
                </c:pt>
                <c:pt idx="8370">
                  <c:v>-16.3</c:v>
                </c:pt>
                <c:pt idx="8371">
                  <c:v>-16.29</c:v>
                </c:pt>
                <c:pt idx="8372">
                  <c:v>-16.28</c:v>
                </c:pt>
                <c:pt idx="8373">
                  <c:v>-16.27</c:v>
                </c:pt>
                <c:pt idx="8374">
                  <c:v>-16.26</c:v>
                </c:pt>
                <c:pt idx="8375">
                  <c:v>-16.25</c:v>
                </c:pt>
                <c:pt idx="8376">
                  <c:v>-16.24</c:v>
                </c:pt>
                <c:pt idx="8377">
                  <c:v>-16.23</c:v>
                </c:pt>
                <c:pt idx="8378">
                  <c:v>-16.22</c:v>
                </c:pt>
                <c:pt idx="8379">
                  <c:v>-16.21</c:v>
                </c:pt>
                <c:pt idx="8380">
                  <c:v>-16.2</c:v>
                </c:pt>
                <c:pt idx="8381">
                  <c:v>-16.19</c:v>
                </c:pt>
                <c:pt idx="8382">
                  <c:v>-16.18</c:v>
                </c:pt>
                <c:pt idx="8383">
                  <c:v>-16.17</c:v>
                </c:pt>
                <c:pt idx="8384">
                  <c:v>-16.16</c:v>
                </c:pt>
                <c:pt idx="8385">
                  <c:v>-16.15</c:v>
                </c:pt>
                <c:pt idx="8386">
                  <c:v>-16.14</c:v>
                </c:pt>
                <c:pt idx="8387">
                  <c:v>-16.13</c:v>
                </c:pt>
                <c:pt idx="8388">
                  <c:v>-16.12</c:v>
                </c:pt>
                <c:pt idx="8389">
                  <c:v>-16.11</c:v>
                </c:pt>
                <c:pt idx="8390">
                  <c:v>-16.1</c:v>
                </c:pt>
                <c:pt idx="8391">
                  <c:v>-16.09</c:v>
                </c:pt>
                <c:pt idx="8392">
                  <c:v>-16.08</c:v>
                </c:pt>
                <c:pt idx="8393">
                  <c:v>-16.07</c:v>
                </c:pt>
                <c:pt idx="8394">
                  <c:v>-16.06</c:v>
                </c:pt>
                <c:pt idx="8395">
                  <c:v>-16.05</c:v>
                </c:pt>
                <c:pt idx="8396">
                  <c:v>-16.04</c:v>
                </c:pt>
                <c:pt idx="8397">
                  <c:v>-16.03</c:v>
                </c:pt>
                <c:pt idx="8398">
                  <c:v>-16.02</c:v>
                </c:pt>
                <c:pt idx="8399">
                  <c:v>-16.01</c:v>
                </c:pt>
                <c:pt idx="8400">
                  <c:v>-16.0</c:v>
                </c:pt>
                <c:pt idx="8401">
                  <c:v>-15.99</c:v>
                </c:pt>
                <c:pt idx="8402">
                  <c:v>-15.98</c:v>
                </c:pt>
                <c:pt idx="8403">
                  <c:v>-15.97</c:v>
                </c:pt>
                <c:pt idx="8404">
                  <c:v>-15.96</c:v>
                </c:pt>
                <c:pt idx="8405">
                  <c:v>-15.95</c:v>
                </c:pt>
                <c:pt idx="8406">
                  <c:v>-15.94</c:v>
                </c:pt>
                <c:pt idx="8407">
                  <c:v>-15.93</c:v>
                </c:pt>
                <c:pt idx="8408">
                  <c:v>-15.92</c:v>
                </c:pt>
                <c:pt idx="8409">
                  <c:v>-15.91</c:v>
                </c:pt>
                <c:pt idx="8410">
                  <c:v>-15.9</c:v>
                </c:pt>
                <c:pt idx="8411">
                  <c:v>-15.89</c:v>
                </c:pt>
                <c:pt idx="8412">
                  <c:v>-15.88</c:v>
                </c:pt>
                <c:pt idx="8413">
                  <c:v>-15.87</c:v>
                </c:pt>
                <c:pt idx="8414">
                  <c:v>-15.86</c:v>
                </c:pt>
                <c:pt idx="8415">
                  <c:v>-15.85</c:v>
                </c:pt>
                <c:pt idx="8416">
                  <c:v>-15.84</c:v>
                </c:pt>
                <c:pt idx="8417">
                  <c:v>-15.83</c:v>
                </c:pt>
                <c:pt idx="8418">
                  <c:v>-15.82</c:v>
                </c:pt>
                <c:pt idx="8419">
                  <c:v>-15.81</c:v>
                </c:pt>
                <c:pt idx="8420">
                  <c:v>-15.8</c:v>
                </c:pt>
                <c:pt idx="8421">
                  <c:v>-15.79</c:v>
                </c:pt>
                <c:pt idx="8422">
                  <c:v>-15.78</c:v>
                </c:pt>
                <c:pt idx="8423">
                  <c:v>-15.77</c:v>
                </c:pt>
                <c:pt idx="8424">
                  <c:v>-15.76</c:v>
                </c:pt>
                <c:pt idx="8425">
                  <c:v>-15.75</c:v>
                </c:pt>
                <c:pt idx="8426">
                  <c:v>-15.74</c:v>
                </c:pt>
                <c:pt idx="8427">
                  <c:v>-15.73</c:v>
                </c:pt>
                <c:pt idx="8428">
                  <c:v>-15.72</c:v>
                </c:pt>
                <c:pt idx="8429">
                  <c:v>-15.71</c:v>
                </c:pt>
                <c:pt idx="8430">
                  <c:v>-15.7</c:v>
                </c:pt>
                <c:pt idx="8431">
                  <c:v>-15.69</c:v>
                </c:pt>
                <c:pt idx="8432">
                  <c:v>-15.68</c:v>
                </c:pt>
                <c:pt idx="8433">
                  <c:v>-15.67</c:v>
                </c:pt>
                <c:pt idx="8434">
                  <c:v>-15.66</c:v>
                </c:pt>
                <c:pt idx="8435">
                  <c:v>-15.65</c:v>
                </c:pt>
                <c:pt idx="8436">
                  <c:v>-15.64</c:v>
                </c:pt>
                <c:pt idx="8437">
                  <c:v>-15.63</c:v>
                </c:pt>
                <c:pt idx="8438">
                  <c:v>-15.62</c:v>
                </c:pt>
                <c:pt idx="8439">
                  <c:v>-15.61</c:v>
                </c:pt>
                <c:pt idx="8440">
                  <c:v>-15.6</c:v>
                </c:pt>
                <c:pt idx="8441">
                  <c:v>-15.59</c:v>
                </c:pt>
                <c:pt idx="8442">
                  <c:v>-15.58</c:v>
                </c:pt>
                <c:pt idx="8443">
                  <c:v>-15.57</c:v>
                </c:pt>
                <c:pt idx="8444">
                  <c:v>-15.56</c:v>
                </c:pt>
                <c:pt idx="8445">
                  <c:v>-15.55</c:v>
                </c:pt>
                <c:pt idx="8446">
                  <c:v>-15.54</c:v>
                </c:pt>
                <c:pt idx="8447">
                  <c:v>-15.53</c:v>
                </c:pt>
                <c:pt idx="8448">
                  <c:v>-15.52</c:v>
                </c:pt>
                <c:pt idx="8449">
                  <c:v>-15.51</c:v>
                </c:pt>
                <c:pt idx="8450">
                  <c:v>-15.5</c:v>
                </c:pt>
                <c:pt idx="8451">
                  <c:v>-15.49</c:v>
                </c:pt>
                <c:pt idx="8452">
                  <c:v>-15.48</c:v>
                </c:pt>
                <c:pt idx="8453">
                  <c:v>-15.47</c:v>
                </c:pt>
                <c:pt idx="8454">
                  <c:v>-15.46</c:v>
                </c:pt>
                <c:pt idx="8455">
                  <c:v>-15.45</c:v>
                </c:pt>
                <c:pt idx="8456">
                  <c:v>-15.44</c:v>
                </c:pt>
                <c:pt idx="8457">
                  <c:v>-15.43</c:v>
                </c:pt>
                <c:pt idx="8458">
                  <c:v>-15.42</c:v>
                </c:pt>
                <c:pt idx="8459">
                  <c:v>-15.41</c:v>
                </c:pt>
                <c:pt idx="8460">
                  <c:v>-15.4</c:v>
                </c:pt>
                <c:pt idx="8461">
                  <c:v>-15.39</c:v>
                </c:pt>
                <c:pt idx="8462">
                  <c:v>-15.38</c:v>
                </c:pt>
                <c:pt idx="8463">
                  <c:v>-15.37</c:v>
                </c:pt>
                <c:pt idx="8464">
                  <c:v>-15.36</c:v>
                </c:pt>
                <c:pt idx="8465">
                  <c:v>-15.35</c:v>
                </c:pt>
                <c:pt idx="8466">
                  <c:v>-15.34</c:v>
                </c:pt>
                <c:pt idx="8467">
                  <c:v>-15.33</c:v>
                </c:pt>
                <c:pt idx="8468">
                  <c:v>-15.32</c:v>
                </c:pt>
                <c:pt idx="8469">
                  <c:v>-15.31</c:v>
                </c:pt>
                <c:pt idx="8470">
                  <c:v>-15.3</c:v>
                </c:pt>
                <c:pt idx="8471">
                  <c:v>-15.29</c:v>
                </c:pt>
                <c:pt idx="8472">
                  <c:v>-15.28</c:v>
                </c:pt>
                <c:pt idx="8473">
                  <c:v>-15.27</c:v>
                </c:pt>
                <c:pt idx="8474">
                  <c:v>-15.26</c:v>
                </c:pt>
                <c:pt idx="8475">
                  <c:v>-15.25</c:v>
                </c:pt>
                <c:pt idx="8476">
                  <c:v>-15.24</c:v>
                </c:pt>
                <c:pt idx="8477">
                  <c:v>-15.23</c:v>
                </c:pt>
                <c:pt idx="8478">
                  <c:v>-15.22</c:v>
                </c:pt>
                <c:pt idx="8479">
                  <c:v>-15.21</c:v>
                </c:pt>
                <c:pt idx="8480">
                  <c:v>-15.2</c:v>
                </c:pt>
                <c:pt idx="8481">
                  <c:v>-15.19</c:v>
                </c:pt>
                <c:pt idx="8482">
                  <c:v>-15.18</c:v>
                </c:pt>
                <c:pt idx="8483">
                  <c:v>-15.17</c:v>
                </c:pt>
                <c:pt idx="8484">
                  <c:v>-15.16</c:v>
                </c:pt>
                <c:pt idx="8485">
                  <c:v>-15.15</c:v>
                </c:pt>
                <c:pt idx="8486">
                  <c:v>-15.14</c:v>
                </c:pt>
                <c:pt idx="8487">
                  <c:v>-15.13</c:v>
                </c:pt>
                <c:pt idx="8488">
                  <c:v>-15.12</c:v>
                </c:pt>
                <c:pt idx="8489">
                  <c:v>-15.11</c:v>
                </c:pt>
                <c:pt idx="8490">
                  <c:v>-15.1</c:v>
                </c:pt>
                <c:pt idx="8491">
                  <c:v>-15.09</c:v>
                </c:pt>
                <c:pt idx="8492">
                  <c:v>-15.08</c:v>
                </c:pt>
                <c:pt idx="8493">
                  <c:v>-15.07</c:v>
                </c:pt>
                <c:pt idx="8494">
                  <c:v>-15.06</c:v>
                </c:pt>
                <c:pt idx="8495">
                  <c:v>-15.05</c:v>
                </c:pt>
                <c:pt idx="8496">
                  <c:v>-15.04</c:v>
                </c:pt>
                <c:pt idx="8497">
                  <c:v>-15.03</c:v>
                </c:pt>
                <c:pt idx="8498">
                  <c:v>-15.02</c:v>
                </c:pt>
                <c:pt idx="8499">
                  <c:v>-15.01</c:v>
                </c:pt>
                <c:pt idx="8500">
                  <c:v>-15.0</c:v>
                </c:pt>
                <c:pt idx="8501">
                  <c:v>-14.99</c:v>
                </c:pt>
                <c:pt idx="8502">
                  <c:v>-14.98</c:v>
                </c:pt>
                <c:pt idx="8503">
                  <c:v>-14.97</c:v>
                </c:pt>
                <c:pt idx="8504">
                  <c:v>-14.96</c:v>
                </c:pt>
                <c:pt idx="8505">
                  <c:v>-14.95</c:v>
                </c:pt>
                <c:pt idx="8506">
                  <c:v>-14.94</c:v>
                </c:pt>
                <c:pt idx="8507">
                  <c:v>-14.93</c:v>
                </c:pt>
                <c:pt idx="8508">
                  <c:v>-14.92</c:v>
                </c:pt>
                <c:pt idx="8509">
                  <c:v>-14.91</c:v>
                </c:pt>
                <c:pt idx="8510">
                  <c:v>-14.9</c:v>
                </c:pt>
                <c:pt idx="8511">
                  <c:v>-14.89</c:v>
                </c:pt>
                <c:pt idx="8512">
                  <c:v>-14.88</c:v>
                </c:pt>
                <c:pt idx="8513">
                  <c:v>-14.87</c:v>
                </c:pt>
                <c:pt idx="8514">
                  <c:v>-14.86</c:v>
                </c:pt>
                <c:pt idx="8515">
                  <c:v>-14.85</c:v>
                </c:pt>
                <c:pt idx="8516">
                  <c:v>-14.84</c:v>
                </c:pt>
                <c:pt idx="8517">
                  <c:v>-14.83</c:v>
                </c:pt>
                <c:pt idx="8518">
                  <c:v>-14.82</c:v>
                </c:pt>
                <c:pt idx="8519">
                  <c:v>-14.81</c:v>
                </c:pt>
                <c:pt idx="8520">
                  <c:v>-14.8</c:v>
                </c:pt>
                <c:pt idx="8521">
                  <c:v>-14.79</c:v>
                </c:pt>
                <c:pt idx="8522">
                  <c:v>-14.78</c:v>
                </c:pt>
                <c:pt idx="8523">
                  <c:v>-14.77</c:v>
                </c:pt>
                <c:pt idx="8524">
                  <c:v>-14.76</c:v>
                </c:pt>
                <c:pt idx="8525">
                  <c:v>-14.75</c:v>
                </c:pt>
                <c:pt idx="8526">
                  <c:v>-14.74</c:v>
                </c:pt>
                <c:pt idx="8527">
                  <c:v>-14.73</c:v>
                </c:pt>
                <c:pt idx="8528">
                  <c:v>-14.72</c:v>
                </c:pt>
                <c:pt idx="8529">
                  <c:v>-14.71</c:v>
                </c:pt>
                <c:pt idx="8530">
                  <c:v>-14.7</c:v>
                </c:pt>
                <c:pt idx="8531">
                  <c:v>-14.69</c:v>
                </c:pt>
                <c:pt idx="8532">
                  <c:v>-14.68</c:v>
                </c:pt>
                <c:pt idx="8533">
                  <c:v>-14.67</c:v>
                </c:pt>
                <c:pt idx="8534">
                  <c:v>-14.66</c:v>
                </c:pt>
                <c:pt idx="8535">
                  <c:v>-14.65</c:v>
                </c:pt>
                <c:pt idx="8536">
                  <c:v>-14.64</c:v>
                </c:pt>
                <c:pt idx="8537">
                  <c:v>-14.63</c:v>
                </c:pt>
                <c:pt idx="8538">
                  <c:v>-14.62</c:v>
                </c:pt>
                <c:pt idx="8539">
                  <c:v>-14.61</c:v>
                </c:pt>
                <c:pt idx="8540">
                  <c:v>-14.6</c:v>
                </c:pt>
                <c:pt idx="8541">
                  <c:v>-14.59</c:v>
                </c:pt>
                <c:pt idx="8542">
                  <c:v>-14.58</c:v>
                </c:pt>
                <c:pt idx="8543">
                  <c:v>-14.57</c:v>
                </c:pt>
                <c:pt idx="8544">
                  <c:v>-14.56</c:v>
                </c:pt>
                <c:pt idx="8545">
                  <c:v>-14.55</c:v>
                </c:pt>
                <c:pt idx="8546">
                  <c:v>-14.54</c:v>
                </c:pt>
                <c:pt idx="8547">
                  <c:v>-14.53</c:v>
                </c:pt>
                <c:pt idx="8548">
                  <c:v>-14.52</c:v>
                </c:pt>
                <c:pt idx="8549">
                  <c:v>-14.51</c:v>
                </c:pt>
                <c:pt idx="8550">
                  <c:v>-14.5</c:v>
                </c:pt>
                <c:pt idx="8551">
                  <c:v>-14.49</c:v>
                </c:pt>
                <c:pt idx="8552">
                  <c:v>-14.48</c:v>
                </c:pt>
                <c:pt idx="8553">
                  <c:v>-14.47</c:v>
                </c:pt>
                <c:pt idx="8554">
                  <c:v>-14.46</c:v>
                </c:pt>
                <c:pt idx="8555">
                  <c:v>-14.45</c:v>
                </c:pt>
                <c:pt idx="8556">
                  <c:v>-14.44</c:v>
                </c:pt>
                <c:pt idx="8557">
                  <c:v>-14.43</c:v>
                </c:pt>
                <c:pt idx="8558">
                  <c:v>-14.42</c:v>
                </c:pt>
                <c:pt idx="8559">
                  <c:v>-14.41</c:v>
                </c:pt>
                <c:pt idx="8560">
                  <c:v>-14.4</c:v>
                </c:pt>
                <c:pt idx="8561">
                  <c:v>-14.39</c:v>
                </c:pt>
                <c:pt idx="8562">
                  <c:v>-14.38</c:v>
                </c:pt>
                <c:pt idx="8563">
                  <c:v>-14.37</c:v>
                </c:pt>
                <c:pt idx="8564">
                  <c:v>-14.36</c:v>
                </c:pt>
                <c:pt idx="8565">
                  <c:v>-14.35</c:v>
                </c:pt>
                <c:pt idx="8566">
                  <c:v>-14.34</c:v>
                </c:pt>
                <c:pt idx="8567">
                  <c:v>-14.33</c:v>
                </c:pt>
                <c:pt idx="8568">
                  <c:v>-14.32</c:v>
                </c:pt>
                <c:pt idx="8569">
                  <c:v>-14.31</c:v>
                </c:pt>
                <c:pt idx="8570">
                  <c:v>-14.3</c:v>
                </c:pt>
                <c:pt idx="8571">
                  <c:v>-14.29</c:v>
                </c:pt>
                <c:pt idx="8572">
                  <c:v>-14.28</c:v>
                </c:pt>
                <c:pt idx="8573">
                  <c:v>-14.27</c:v>
                </c:pt>
                <c:pt idx="8574">
                  <c:v>-14.26</c:v>
                </c:pt>
                <c:pt idx="8575">
                  <c:v>-14.25</c:v>
                </c:pt>
                <c:pt idx="8576">
                  <c:v>-14.24</c:v>
                </c:pt>
                <c:pt idx="8577">
                  <c:v>-14.23</c:v>
                </c:pt>
                <c:pt idx="8578">
                  <c:v>-14.22</c:v>
                </c:pt>
                <c:pt idx="8579">
                  <c:v>-14.21</c:v>
                </c:pt>
                <c:pt idx="8580">
                  <c:v>-14.2</c:v>
                </c:pt>
                <c:pt idx="8581">
                  <c:v>-14.19</c:v>
                </c:pt>
                <c:pt idx="8582">
                  <c:v>-14.18</c:v>
                </c:pt>
                <c:pt idx="8583">
                  <c:v>-14.17</c:v>
                </c:pt>
                <c:pt idx="8584">
                  <c:v>-14.16</c:v>
                </c:pt>
                <c:pt idx="8585">
                  <c:v>-14.15</c:v>
                </c:pt>
                <c:pt idx="8586">
                  <c:v>-14.14</c:v>
                </c:pt>
                <c:pt idx="8587">
                  <c:v>-14.13</c:v>
                </c:pt>
                <c:pt idx="8588">
                  <c:v>-14.12</c:v>
                </c:pt>
                <c:pt idx="8589">
                  <c:v>-14.11</c:v>
                </c:pt>
                <c:pt idx="8590">
                  <c:v>-14.1</c:v>
                </c:pt>
                <c:pt idx="8591">
                  <c:v>-14.09</c:v>
                </c:pt>
                <c:pt idx="8592">
                  <c:v>-14.08</c:v>
                </c:pt>
                <c:pt idx="8593">
                  <c:v>-14.07</c:v>
                </c:pt>
                <c:pt idx="8594">
                  <c:v>-14.06</c:v>
                </c:pt>
                <c:pt idx="8595">
                  <c:v>-14.05</c:v>
                </c:pt>
                <c:pt idx="8596">
                  <c:v>-14.04</c:v>
                </c:pt>
                <c:pt idx="8597">
                  <c:v>-14.03</c:v>
                </c:pt>
                <c:pt idx="8598">
                  <c:v>-14.02</c:v>
                </c:pt>
                <c:pt idx="8599">
                  <c:v>-14.01</c:v>
                </c:pt>
                <c:pt idx="8600">
                  <c:v>-14.0</c:v>
                </c:pt>
                <c:pt idx="8601">
                  <c:v>-13.99</c:v>
                </c:pt>
                <c:pt idx="8602">
                  <c:v>-13.98</c:v>
                </c:pt>
                <c:pt idx="8603">
                  <c:v>-13.97</c:v>
                </c:pt>
                <c:pt idx="8604">
                  <c:v>-13.96</c:v>
                </c:pt>
                <c:pt idx="8605">
                  <c:v>-13.95</c:v>
                </c:pt>
                <c:pt idx="8606">
                  <c:v>-13.94</c:v>
                </c:pt>
                <c:pt idx="8607">
                  <c:v>-13.93</c:v>
                </c:pt>
                <c:pt idx="8608">
                  <c:v>-13.92</c:v>
                </c:pt>
                <c:pt idx="8609">
                  <c:v>-13.91</c:v>
                </c:pt>
                <c:pt idx="8610">
                  <c:v>-13.9</c:v>
                </c:pt>
                <c:pt idx="8611">
                  <c:v>-13.89</c:v>
                </c:pt>
                <c:pt idx="8612">
                  <c:v>-13.88</c:v>
                </c:pt>
                <c:pt idx="8613">
                  <c:v>-13.87</c:v>
                </c:pt>
                <c:pt idx="8614">
                  <c:v>-13.86</c:v>
                </c:pt>
                <c:pt idx="8615">
                  <c:v>-13.85</c:v>
                </c:pt>
                <c:pt idx="8616">
                  <c:v>-13.84</c:v>
                </c:pt>
                <c:pt idx="8617">
                  <c:v>-13.83</c:v>
                </c:pt>
                <c:pt idx="8618">
                  <c:v>-13.82</c:v>
                </c:pt>
                <c:pt idx="8619">
                  <c:v>-13.81</c:v>
                </c:pt>
                <c:pt idx="8620">
                  <c:v>-13.8</c:v>
                </c:pt>
                <c:pt idx="8621">
                  <c:v>-13.79</c:v>
                </c:pt>
                <c:pt idx="8622">
                  <c:v>-13.78</c:v>
                </c:pt>
                <c:pt idx="8623">
                  <c:v>-13.77</c:v>
                </c:pt>
                <c:pt idx="8624">
                  <c:v>-13.76</c:v>
                </c:pt>
                <c:pt idx="8625">
                  <c:v>-13.75</c:v>
                </c:pt>
                <c:pt idx="8626">
                  <c:v>-13.74</c:v>
                </c:pt>
                <c:pt idx="8627">
                  <c:v>-13.73</c:v>
                </c:pt>
                <c:pt idx="8628">
                  <c:v>-13.72</c:v>
                </c:pt>
                <c:pt idx="8629">
                  <c:v>-13.71</c:v>
                </c:pt>
                <c:pt idx="8630">
                  <c:v>-13.7</c:v>
                </c:pt>
                <c:pt idx="8631">
                  <c:v>-13.69</c:v>
                </c:pt>
                <c:pt idx="8632">
                  <c:v>-13.68</c:v>
                </c:pt>
                <c:pt idx="8633">
                  <c:v>-13.67</c:v>
                </c:pt>
                <c:pt idx="8634">
                  <c:v>-13.66</c:v>
                </c:pt>
                <c:pt idx="8635">
                  <c:v>-13.65</c:v>
                </c:pt>
                <c:pt idx="8636">
                  <c:v>-13.64</c:v>
                </c:pt>
                <c:pt idx="8637">
                  <c:v>-13.63</c:v>
                </c:pt>
                <c:pt idx="8638">
                  <c:v>-13.62</c:v>
                </c:pt>
                <c:pt idx="8639">
                  <c:v>-13.61</c:v>
                </c:pt>
                <c:pt idx="8640">
                  <c:v>-13.6</c:v>
                </c:pt>
                <c:pt idx="8641">
                  <c:v>-13.59</c:v>
                </c:pt>
                <c:pt idx="8642">
                  <c:v>-13.58</c:v>
                </c:pt>
                <c:pt idx="8643">
                  <c:v>-13.57</c:v>
                </c:pt>
                <c:pt idx="8644">
                  <c:v>-13.56</c:v>
                </c:pt>
                <c:pt idx="8645">
                  <c:v>-13.55</c:v>
                </c:pt>
                <c:pt idx="8646">
                  <c:v>-13.54</c:v>
                </c:pt>
                <c:pt idx="8647">
                  <c:v>-13.53</c:v>
                </c:pt>
                <c:pt idx="8648">
                  <c:v>-13.52</c:v>
                </c:pt>
                <c:pt idx="8649">
                  <c:v>-13.51</c:v>
                </c:pt>
                <c:pt idx="8650">
                  <c:v>-13.5</c:v>
                </c:pt>
                <c:pt idx="8651">
                  <c:v>-13.49</c:v>
                </c:pt>
                <c:pt idx="8652">
                  <c:v>-13.48</c:v>
                </c:pt>
                <c:pt idx="8653">
                  <c:v>-13.47</c:v>
                </c:pt>
                <c:pt idx="8654">
                  <c:v>-13.46</c:v>
                </c:pt>
                <c:pt idx="8655">
                  <c:v>-13.45</c:v>
                </c:pt>
                <c:pt idx="8656">
                  <c:v>-13.44</c:v>
                </c:pt>
                <c:pt idx="8657">
                  <c:v>-13.43</c:v>
                </c:pt>
                <c:pt idx="8658">
                  <c:v>-13.42</c:v>
                </c:pt>
                <c:pt idx="8659">
                  <c:v>-13.41</c:v>
                </c:pt>
                <c:pt idx="8660">
                  <c:v>-13.4</c:v>
                </c:pt>
                <c:pt idx="8661">
                  <c:v>-13.39</c:v>
                </c:pt>
                <c:pt idx="8662">
                  <c:v>-13.38</c:v>
                </c:pt>
                <c:pt idx="8663">
                  <c:v>-13.37</c:v>
                </c:pt>
                <c:pt idx="8664">
                  <c:v>-13.36</c:v>
                </c:pt>
                <c:pt idx="8665">
                  <c:v>-13.35</c:v>
                </c:pt>
                <c:pt idx="8666">
                  <c:v>-13.34</c:v>
                </c:pt>
                <c:pt idx="8667">
                  <c:v>-13.33</c:v>
                </c:pt>
                <c:pt idx="8668">
                  <c:v>-13.32</c:v>
                </c:pt>
                <c:pt idx="8669">
                  <c:v>-13.31</c:v>
                </c:pt>
                <c:pt idx="8670">
                  <c:v>-13.3</c:v>
                </c:pt>
                <c:pt idx="8671">
                  <c:v>-13.29</c:v>
                </c:pt>
                <c:pt idx="8672">
                  <c:v>-13.28</c:v>
                </c:pt>
                <c:pt idx="8673">
                  <c:v>-13.27</c:v>
                </c:pt>
                <c:pt idx="8674">
                  <c:v>-13.26</c:v>
                </c:pt>
                <c:pt idx="8675">
                  <c:v>-13.25</c:v>
                </c:pt>
                <c:pt idx="8676">
                  <c:v>-13.24</c:v>
                </c:pt>
                <c:pt idx="8677">
                  <c:v>-13.23</c:v>
                </c:pt>
                <c:pt idx="8678">
                  <c:v>-13.22</c:v>
                </c:pt>
                <c:pt idx="8679">
                  <c:v>-13.21</c:v>
                </c:pt>
                <c:pt idx="8680">
                  <c:v>-13.2</c:v>
                </c:pt>
                <c:pt idx="8681">
                  <c:v>-13.19</c:v>
                </c:pt>
                <c:pt idx="8682">
                  <c:v>-13.18</c:v>
                </c:pt>
                <c:pt idx="8683">
                  <c:v>-13.17</c:v>
                </c:pt>
                <c:pt idx="8684">
                  <c:v>-13.16</c:v>
                </c:pt>
                <c:pt idx="8685">
                  <c:v>-13.15</c:v>
                </c:pt>
                <c:pt idx="8686">
                  <c:v>-13.14</c:v>
                </c:pt>
                <c:pt idx="8687">
                  <c:v>-13.13</c:v>
                </c:pt>
                <c:pt idx="8688">
                  <c:v>-13.12</c:v>
                </c:pt>
                <c:pt idx="8689">
                  <c:v>-13.11</c:v>
                </c:pt>
                <c:pt idx="8690">
                  <c:v>-13.1</c:v>
                </c:pt>
                <c:pt idx="8691">
                  <c:v>-13.09</c:v>
                </c:pt>
                <c:pt idx="8692">
                  <c:v>-13.08</c:v>
                </c:pt>
                <c:pt idx="8693">
                  <c:v>-13.07</c:v>
                </c:pt>
                <c:pt idx="8694">
                  <c:v>-13.06</c:v>
                </c:pt>
                <c:pt idx="8695">
                  <c:v>-13.05</c:v>
                </c:pt>
                <c:pt idx="8696">
                  <c:v>-13.04</c:v>
                </c:pt>
                <c:pt idx="8697">
                  <c:v>-13.03</c:v>
                </c:pt>
                <c:pt idx="8698">
                  <c:v>-13.02</c:v>
                </c:pt>
                <c:pt idx="8699">
                  <c:v>-13.01</c:v>
                </c:pt>
                <c:pt idx="8700">
                  <c:v>-13.0</c:v>
                </c:pt>
                <c:pt idx="8701">
                  <c:v>-12.99</c:v>
                </c:pt>
                <c:pt idx="8702">
                  <c:v>-12.98</c:v>
                </c:pt>
                <c:pt idx="8703">
                  <c:v>-12.97</c:v>
                </c:pt>
                <c:pt idx="8704">
                  <c:v>-12.96</c:v>
                </c:pt>
                <c:pt idx="8705">
                  <c:v>-12.95</c:v>
                </c:pt>
                <c:pt idx="8706">
                  <c:v>-12.94</c:v>
                </c:pt>
                <c:pt idx="8707">
                  <c:v>-12.93</c:v>
                </c:pt>
                <c:pt idx="8708">
                  <c:v>-12.92</c:v>
                </c:pt>
                <c:pt idx="8709">
                  <c:v>-12.91</c:v>
                </c:pt>
                <c:pt idx="8710">
                  <c:v>-12.9</c:v>
                </c:pt>
                <c:pt idx="8711">
                  <c:v>-12.89</c:v>
                </c:pt>
                <c:pt idx="8712">
                  <c:v>-12.88</c:v>
                </c:pt>
                <c:pt idx="8713">
                  <c:v>-12.87</c:v>
                </c:pt>
                <c:pt idx="8714">
                  <c:v>-12.86</c:v>
                </c:pt>
                <c:pt idx="8715">
                  <c:v>-12.85</c:v>
                </c:pt>
                <c:pt idx="8716">
                  <c:v>-12.84</c:v>
                </c:pt>
                <c:pt idx="8717">
                  <c:v>-12.83</c:v>
                </c:pt>
                <c:pt idx="8718">
                  <c:v>-12.82</c:v>
                </c:pt>
                <c:pt idx="8719">
                  <c:v>-12.81</c:v>
                </c:pt>
                <c:pt idx="8720">
                  <c:v>-12.8</c:v>
                </c:pt>
                <c:pt idx="8721">
                  <c:v>-12.79</c:v>
                </c:pt>
                <c:pt idx="8722">
                  <c:v>-12.78</c:v>
                </c:pt>
                <c:pt idx="8723">
                  <c:v>-12.77</c:v>
                </c:pt>
                <c:pt idx="8724">
                  <c:v>-12.76</c:v>
                </c:pt>
                <c:pt idx="8725">
                  <c:v>-12.75</c:v>
                </c:pt>
                <c:pt idx="8726">
                  <c:v>-12.74</c:v>
                </c:pt>
                <c:pt idx="8727">
                  <c:v>-12.73</c:v>
                </c:pt>
                <c:pt idx="8728">
                  <c:v>-12.72</c:v>
                </c:pt>
                <c:pt idx="8729">
                  <c:v>-12.71</c:v>
                </c:pt>
                <c:pt idx="8730">
                  <c:v>-12.7</c:v>
                </c:pt>
                <c:pt idx="8731">
                  <c:v>-12.69</c:v>
                </c:pt>
                <c:pt idx="8732">
                  <c:v>-12.68</c:v>
                </c:pt>
                <c:pt idx="8733">
                  <c:v>-12.67</c:v>
                </c:pt>
                <c:pt idx="8734">
                  <c:v>-12.66</c:v>
                </c:pt>
                <c:pt idx="8735">
                  <c:v>-12.65</c:v>
                </c:pt>
                <c:pt idx="8736">
                  <c:v>-12.64</c:v>
                </c:pt>
                <c:pt idx="8737">
                  <c:v>-12.63</c:v>
                </c:pt>
                <c:pt idx="8738">
                  <c:v>-12.62</c:v>
                </c:pt>
                <c:pt idx="8739">
                  <c:v>-12.61</c:v>
                </c:pt>
                <c:pt idx="8740">
                  <c:v>-12.6</c:v>
                </c:pt>
                <c:pt idx="8741">
                  <c:v>-12.59</c:v>
                </c:pt>
                <c:pt idx="8742">
                  <c:v>-12.58</c:v>
                </c:pt>
                <c:pt idx="8743">
                  <c:v>-12.57</c:v>
                </c:pt>
                <c:pt idx="8744">
                  <c:v>-12.56</c:v>
                </c:pt>
                <c:pt idx="8745">
                  <c:v>-12.55</c:v>
                </c:pt>
                <c:pt idx="8746">
                  <c:v>-12.54</c:v>
                </c:pt>
                <c:pt idx="8747">
                  <c:v>-12.53</c:v>
                </c:pt>
                <c:pt idx="8748">
                  <c:v>-12.52</c:v>
                </c:pt>
                <c:pt idx="8749">
                  <c:v>-12.51</c:v>
                </c:pt>
                <c:pt idx="8750">
                  <c:v>-12.5</c:v>
                </c:pt>
                <c:pt idx="8751">
                  <c:v>-12.49</c:v>
                </c:pt>
                <c:pt idx="8752">
                  <c:v>-12.48</c:v>
                </c:pt>
                <c:pt idx="8753">
                  <c:v>-12.47</c:v>
                </c:pt>
                <c:pt idx="8754">
                  <c:v>-12.46</c:v>
                </c:pt>
                <c:pt idx="8755">
                  <c:v>-12.45</c:v>
                </c:pt>
                <c:pt idx="8756">
                  <c:v>-12.44</c:v>
                </c:pt>
                <c:pt idx="8757">
                  <c:v>-12.43</c:v>
                </c:pt>
                <c:pt idx="8758">
                  <c:v>-12.42</c:v>
                </c:pt>
                <c:pt idx="8759">
                  <c:v>-12.41</c:v>
                </c:pt>
                <c:pt idx="8760">
                  <c:v>-12.4</c:v>
                </c:pt>
                <c:pt idx="8761">
                  <c:v>-12.39</c:v>
                </c:pt>
                <c:pt idx="8762">
                  <c:v>-12.38</c:v>
                </c:pt>
                <c:pt idx="8763">
                  <c:v>-12.37</c:v>
                </c:pt>
                <c:pt idx="8764">
                  <c:v>-12.36</c:v>
                </c:pt>
                <c:pt idx="8765">
                  <c:v>-12.35</c:v>
                </c:pt>
                <c:pt idx="8766">
                  <c:v>-12.34</c:v>
                </c:pt>
                <c:pt idx="8767">
                  <c:v>-12.33</c:v>
                </c:pt>
                <c:pt idx="8768">
                  <c:v>-12.32</c:v>
                </c:pt>
                <c:pt idx="8769">
                  <c:v>-12.31</c:v>
                </c:pt>
                <c:pt idx="8770">
                  <c:v>-12.3</c:v>
                </c:pt>
                <c:pt idx="8771">
                  <c:v>-12.29</c:v>
                </c:pt>
                <c:pt idx="8772">
                  <c:v>-12.28</c:v>
                </c:pt>
                <c:pt idx="8773">
                  <c:v>-12.27</c:v>
                </c:pt>
                <c:pt idx="8774">
                  <c:v>-12.26</c:v>
                </c:pt>
                <c:pt idx="8775">
                  <c:v>-12.25</c:v>
                </c:pt>
                <c:pt idx="8776">
                  <c:v>-12.24</c:v>
                </c:pt>
                <c:pt idx="8777">
                  <c:v>-12.23</c:v>
                </c:pt>
                <c:pt idx="8778">
                  <c:v>-12.22</c:v>
                </c:pt>
                <c:pt idx="8779">
                  <c:v>-12.21</c:v>
                </c:pt>
                <c:pt idx="8780">
                  <c:v>-12.2</c:v>
                </c:pt>
                <c:pt idx="8781">
                  <c:v>-12.19</c:v>
                </c:pt>
                <c:pt idx="8782">
                  <c:v>-12.18</c:v>
                </c:pt>
                <c:pt idx="8783">
                  <c:v>-12.17</c:v>
                </c:pt>
                <c:pt idx="8784">
                  <c:v>-12.16</c:v>
                </c:pt>
                <c:pt idx="8785">
                  <c:v>-12.15</c:v>
                </c:pt>
                <c:pt idx="8786">
                  <c:v>-12.14</c:v>
                </c:pt>
                <c:pt idx="8787">
                  <c:v>-12.13</c:v>
                </c:pt>
                <c:pt idx="8788">
                  <c:v>-12.12</c:v>
                </c:pt>
                <c:pt idx="8789">
                  <c:v>-12.11</c:v>
                </c:pt>
                <c:pt idx="8790">
                  <c:v>-12.1</c:v>
                </c:pt>
                <c:pt idx="8791">
                  <c:v>-12.09</c:v>
                </c:pt>
                <c:pt idx="8792">
                  <c:v>-12.08</c:v>
                </c:pt>
                <c:pt idx="8793">
                  <c:v>-12.07</c:v>
                </c:pt>
                <c:pt idx="8794">
                  <c:v>-12.06</c:v>
                </c:pt>
                <c:pt idx="8795">
                  <c:v>-12.05</c:v>
                </c:pt>
                <c:pt idx="8796">
                  <c:v>-12.04</c:v>
                </c:pt>
                <c:pt idx="8797">
                  <c:v>-12.03</c:v>
                </c:pt>
                <c:pt idx="8798">
                  <c:v>-12.02</c:v>
                </c:pt>
                <c:pt idx="8799">
                  <c:v>-12.01</c:v>
                </c:pt>
                <c:pt idx="8800">
                  <c:v>-12.0</c:v>
                </c:pt>
                <c:pt idx="8801">
                  <c:v>-11.99</c:v>
                </c:pt>
                <c:pt idx="8802">
                  <c:v>-11.98</c:v>
                </c:pt>
                <c:pt idx="8803">
                  <c:v>-11.97</c:v>
                </c:pt>
                <c:pt idx="8804">
                  <c:v>-11.96</c:v>
                </c:pt>
                <c:pt idx="8805">
                  <c:v>-11.95</c:v>
                </c:pt>
                <c:pt idx="8806">
                  <c:v>-11.94</c:v>
                </c:pt>
                <c:pt idx="8807">
                  <c:v>-11.93</c:v>
                </c:pt>
                <c:pt idx="8808">
                  <c:v>-11.92</c:v>
                </c:pt>
                <c:pt idx="8809">
                  <c:v>-11.91</c:v>
                </c:pt>
                <c:pt idx="8810">
                  <c:v>-11.9</c:v>
                </c:pt>
                <c:pt idx="8811">
                  <c:v>-11.89</c:v>
                </c:pt>
                <c:pt idx="8812">
                  <c:v>-11.88</c:v>
                </c:pt>
                <c:pt idx="8813">
                  <c:v>-11.87</c:v>
                </c:pt>
                <c:pt idx="8814">
                  <c:v>-11.86</c:v>
                </c:pt>
                <c:pt idx="8815">
                  <c:v>-11.85</c:v>
                </c:pt>
                <c:pt idx="8816">
                  <c:v>-11.84</c:v>
                </c:pt>
                <c:pt idx="8817">
                  <c:v>-11.83</c:v>
                </c:pt>
                <c:pt idx="8818">
                  <c:v>-11.82</c:v>
                </c:pt>
                <c:pt idx="8819">
                  <c:v>-11.81</c:v>
                </c:pt>
                <c:pt idx="8820">
                  <c:v>-11.8</c:v>
                </c:pt>
                <c:pt idx="8821">
                  <c:v>-11.79</c:v>
                </c:pt>
                <c:pt idx="8822">
                  <c:v>-11.78</c:v>
                </c:pt>
                <c:pt idx="8823">
                  <c:v>-11.77</c:v>
                </c:pt>
                <c:pt idx="8824">
                  <c:v>-11.76</c:v>
                </c:pt>
                <c:pt idx="8825">
                  <c:v>-11.75</c:v>
                </c:pt>
                <c:pt idx="8826">
                  <c:v>-11.74</c:v>
                </c:pt>
                <c:pt idx="8827">
                  <c:v>-11.73</c:v>
                </c:pt>
                <c:pt idx="8828">
                  <c:v>-11.72</c:v>
                </c:pt>
                <c:pt idx="8829">
                  <c:v>-11.71</c:v>
                </c:pt>
                <c:pt idx="8830">
                  <c:v>-11.7</c:v>
                </c:pt>
                <c:pt idx="8831">
                  <c:v>-11.69</c:v>
                </c:pt>
                <c:pt idx="8832">
                  <c:v>-11.68</c:v>
                </c:pt>
                <c:pt idx="8833">
                  <c:v>-11.67</c:v>
                </c:pt>
                <c:pt idx="8834">
                  <c:v>-11.66</c:v>
                </c:pt>
                <c:pt idx="8835">
                  <c:v>-11.65</c:v>
                </c:pt>
                <c:pt idx="8836">
                  <c:v>-11.64</c:v>
                </c:pt>
                <c:pt idx="8837">
                  <c:v>-11.63</c:v>
                </c:pt>
                <c:pt idx="8838">
                  <c:v>-11.62</c:v>
                </c:pt>
                <c:pt idx="8839">
                  <c:v>-11.61</c:v>
                </c:pt>
                <c:pt idx="8840">
                  <c:v>-11.6</c:v>
                </c:pt>
                <c:pt idx="8841">
                  <c:v>-11.59</c:v>
                </c:pt>
                <c:pt idx="8842">
                  <c:v>-11.58</c:v>
                </c:pt>
                <c:pt idx="8843">
                  <c:v>-11.57</c:v>
                </c:pt>
                <c:pt idx="8844">
                  <c:v>-11.56</c:v>
                </c:pt>
                <c:pt idx="8845">
                  <c:v>-11.55</c:v>
                </c:pt>
                <c:pt idx="8846">
                  <c:v>-11.54</c:v>
                </c:pt>
                <c:pt idx="8847">
                  <c:v>-11.53</c:v>
                </c:pt>
                <c:pt idx="8848">
                  <c:v>-11.52</c:v>
                </c:pt>
                <c:pt idx="8849">
                  <c:v>-11.51</c:v>
                </c:pt>
                <c:pt idx="8850">
                  <c:v>-11.5</c:v>
                </c:pt>
                <c:pt idx="8851">
                  <c:v>-11.49</c:v>
                </c:pt>
                <c:pt idx="8852">
                  <c:v>-11.48</c:v>
                </c:pt>
                <c:pt idx="8853">
                  <c:v>-11.47</c:v>
                </c:pt>
                <c:pt idx="8854">
                  <c:v>-11.46</c:v>
                </c:pt>
                <c:pt idx="8855">
                  <c:v>-11.45</c:v>
                </c:pt>
                <c:pt idx="8856">
                  <c:v>-11.44</c:v>
                </c:pt>
                <c:pt idx="8857">
                  <c:v>-11.43</c:v>
                </c:pt>
                <c:pt idx="8858">
                  <c:v>-11.42</c:v>
                </c:pt>
                <c:pt idx="8859">
                  <c:v>-11.41</c:v>
                </c:pt>
                <c:pt idx="8860">
                  <c:v>-11.4</c:v>
                </c:pt>
                <c:pt idx="8861">
                  <c:v>-11.39</c:v>
                </c:pt>
                <c:pt idx="8862">
                  <c:v>-11.38</c:v>
                </c:pt>
                <c:pt idx="8863">
                  <c:v>-11.37</c:v>
                </c:pt>
                <c:pt idx="8864">
                  <c:v>-11.36</c:v>
                </c:pt>
                <c:pt idx="8865">
                  <c:v>-11.35</c:v>
                </c:pt>
                <c:pt idx="8866">
                  <c:v>-11.34</c:v>
                </c:pt>
                <c:pt idx="8867">
                  <c:v>-11.33</c:v>
                </c:pt>
                <c:pt idx="8868">
                  <c:v>-11.32</c:v>
                </c:pt>
                <c:pt idx="8869">
                  <c:v>-11.31</c:v>
                </c:pt>
                <c:pt idx="8870">
                  <c:v>-11.3</c:v>
                </c:pt>
                <c:pt idx="8871">
                  <c:v>-11.29</c:v>
                </c:pt>
                <c:pt idx="8872">
                  <c:v>-11.28</c:v>
                </c:pt>
                <c:pt idx="8873">
                  <c:v>-11.27</c:v>
                </c:pt>
                <c:pt idx="8874">
                  <c:v>-11.26</c:v>
                </c:pt>
                <c:pt idx="8875">
                  <c:v>-11.25</c:v>
                </c:pt>
                <c:pt idx="8876">
                  <c:v>-11.24</c:v>
                </c:pt>
                <c:pt idx="8877">
                  <c:v>-11.23</c:v>
                </c:pt>
                <c:pt idx="8878">
                  <c:v>-11.22</c:v>
                </c:pt>
                <c:pt idx="8879">
                  <c:v>-11.21</c:v>
                </c:pt>
                <c:pt idx="8880">
                  <c:v>-11.2</c:v>
                </c:pt>
                <c:pt idx="8881">
                  <c:v>-11.19</c:v>
                </c:pt>
                <c:pt idx="8882">
                  <c:v>-11.18</c:v>
                </c:pt>
                <c:pt idx="8883">
                  <c:v>-11.17</c:v>
                </c:pt>
                <c:pt idx="8884">
                  <c:v>-11.16</c:v>
                </c:pt>
                <c:pt idx="8885">
                  <c:v>-11.15</c:v>
                </c:pt>
                <c:pt idx="8886">
                  <c:v>-11.14</c:v>
                </c:pt>
                <c:pt idx="8887">
                  <c:v>-11.13</c:v>
                </c:pt>
                <c:pt idx="8888">
                  <c:v>-11.12</c:v>
                </c:pt>
                <c:pt idx="8889">
                  <c:v>-11.11</c:v>
                </c:pt>
                <c:pt idx="8890">
                  <c:v>-11.1</c:v>
                </c:pt>
                <c:pt idx="8891">
                  <c:v>-11.09</c:v>
                </c:pt>
                <c:pt idx="8892">
                  <c:v>-11.08</c:v>
                </c:pt>
                <c:pt idx="8893">
                  <c:v>-11.07</c:v>
                </c:pt>
                <c:pt idx="8894">
                  <c:v>-11.06</c:v>
                </c:pt>
                <c:pt idx="8895">
                  <c:v>-11.05</c:v>
                </c:pt>
                <c:pt idx="8896">
                  <c:v>-11.04</c:v>
                </c:pt>
                <c:pt idx="8897">
                  <c:v>-11.03</c:v>
                </c:pt>
                <c:pt idx="8898">
                  <c:v>-11.02</c:v>
                </c:pt>
                <c:pt idx="8899">
                  <c:v>-11.01</c:v>
                </c:pt>
                <c:pt idx="8900">
                  <c:v>-11.0</c:v>
                </c:pt>
                <c:pt idx="8901">
                  <c:v>-10.99</c:v>
                </c:pt>
                <c:pt idx="8902">
                  <c:v>-10.98</c:v>
                </c:pt>
                <c:pt idx="8903">
                  <c:v>-10.97</c:v>
                </c:pt>
                <c:pt idx="8904">
                  <c:v>-10.96</c:v>
                </c:pt>
                <c:pt idx="8905">
                  <c:v>-10.95</c:v>
                </c:pt>
                <c:pt idx="8906">
                  <c:v>-10.94</c:v>
                </c:pt>
                <c:pt idx="8907">
                  <c:v>-10.93</c:v>
                </c:pt>
                <c:pt idx="8908">
                  <c:v>-10.92</c:v>
                </c:pt>
                <c:pt idx="8909">
                  <c:v>-10.91</c:v>
                </c:pt>
                <c:pt idx="8910">
                  <c:v>-10.9</c:v>
                </c:pt>
                <c:pt idx="8911">
                  <c:v>-10.89</c:v>
                </c:pt>
                <c:pt idx="8912">
                  <c:v>-10.88</c:v>
                </c:pt>
                <c:pt idx="8913">
                  <c:v>-10.87</c:v>
                </c:pt>
                <c:pt idx="8914">
                  <c:v>-10.86</c:v>
                </c:pt>
                <c:pt idx="8915">
                  <c:v>-10.85</c:v>
                </c:pt>
                <c:pt idx="8916">
                  <c:v>-10.84</c:v>
                </c:pt>
                <c:pt idx="8917">
                  <c:v>-10.83</c:v>
                </c:pt>
                <c:pt idx="8918">
                  <c:v>-10.82</c:v>
                </c:pt>
                <c:pt idx="8919">
                  <c:v>-10.81</c:v>
                </c:pt>
                <c:pt idx="8920">
                  <c:v>-10.8</c:v>
                </c:pt>
                <c:pt idx="8921">
                  <c:v>-10.79</c:v>
                </c:pt>
                <c:pt idx="8922">
                  <c:v>-10.78</c:v>
                </c:pt>
                <c:pt idx="8923">
                  <c:v>-10.77</c:v>
                </c:pt>
                <c:pt idx="8924">
                  <c:v>-10.76</c:v>
                </c:pt>
                <c:pt idx="8925">
                  <c:v>-10.75</c:v>
                </c:pt>
                <c:pt idx="8926">
                  <c:v>-10.74</c:v>
                </c:pt>
                <c:pt idx="8927">
                  <c:v>-10.73</c:v>
                </c:pt>
                <c:pt idx="8928">
                  <c:v>-10.72</c:v>
                </c:pt>
                <c:pt idx="8929">
                  <c:v>-10.71</c:v>
                </c:pt>
                <c:pt idx="8930">
                  <c:v>-10.7</c:v>
                </c:pt>
                <c:pt idx="8931">
                  <c:v>-10.69</c:v>
                </c:pt>
                <c:pt idx="8932">
                  <c:v>-10.68</c:v>
                </c:pt>
                <c:pt idx="8933">
                  <c:v>-10.67</c:v>
                </c:pt>
                <c:pt idx="8934">
                  <c:v>-10.66</c:v>
                </c:pt>
                <c:pt idx="8935">
                  <c:v>-10.65</c:v>
                </c:pt>
                <c:pt idx="8936">
                  <c:v>-10.64</c:v>
                </c:pt>
                <c:pt idx="8937">
                  <c:v>-10.63</c:v>
                </c:pt>
                <c:pt idx="8938">
                  <c:v>-10.62</c:v>
                </c:pt>
                <c:pt idx="8939">
                  <c:v>-10.61</c:v>
                </c:pt>
                <c:pt idx="8940">
                  <c:v>-10.6</c:v>
                </c:pt>
                <c:pt idx="8941">
                  <c:v>-10.59</c:v>
                </c:pt>
                <c:pt idx="8942">
                  <c:v>-10.58</c:v>
                </c:pt>
                <c:pt idx="8943">
                  <c:v>-10.57</c:v>
                </c:pt>
                <c:pt idx="8944">
                  <c:v>-10.56</c:v>
                </c:pt>
                <c:pt idx="8945">
                  <c:v>-10.55</c:v>
                </c:pt>
                <c:pt idx="8946">
                  <c:v>-10.54</c:v>
                </c:pt>
                <c:pt idx="8947">
                  <c:v>-10.53</c:v>
                </c:pt>
                <c:pt idx="8948">
                  <c:v>-10.52</c:v>
                </c:pt>
                <c:pt idx="8949">
                  <c:v>-10.51</c:v>
                </c:pt>
                <c:pt idx="8950">
                  <c:v>-10.5</c:v>
                </c:pt>
                <c:pt idx="8951">
                  <c:v>-10.49</c:v>
                </c:pt>
                <c:pt idx="8952">
                  <c:v>-10.48</c:v>
                </c:pt>
                <c:pt idx="8953">
                  <c:v>-10.47</c:v>
                </c:pt>
                <c:pt idx="8954">
                  <c:v>-10.46</c:v>
                </c:pt>
                <c:pt idx="8955">
                  <c:v>-10.45</c:v>
                </c:pt>
                <c:pt idx="8956">
                  <c:v>-10.44</c:v>
                </c:pt>
                <c:pt idx="8957">
                  <c:v>-10.43</c:v>
                </c:pt>
                <c:pt idx="8958">
                  <c:v>-10.42</c:v>
                </c:pt>
                <c:pt idx="8959">
                  <c:v>-10.41</c:v>
                </c:pt>
                <c:pt idx="8960">
                  <c:v>-10.4</c:v>
                </c:pt>
                <c:pt idx="8961">
                  <c:v>-10.39</c:v>
                </c:pt>
                <c:pt idx="8962">
                  <c:v>-10.38</c:v>
                </c:pt>
                <c:pt idx="8963">
                  <c:v>-10.37</c:v>
                </c:pt>
                <c:pt idx="8964">
                  <c:v>-10.36</c:v>
                </c:pt>
                <c:pt idx="8965">
                  <c:v>-10.35</c:v>
                </c:pt>
                <c:pt idx="8966">
                  <c:v>-10.34</c:v>
                </c:pt>
                <c:pt idx="8967">
                  <c:v>-10.33</c:v>
                </c:pt>
                <c:pt idx="8968">
                  <c:v>-10.32</c:v>
                </c:pt>
                <c:pt idx="8969">
                  <c:v>-10.31</c:v>
                </c:pt>
                <c:pt idx="8970">
                  <c:v>-10.3</c:v>
                </c:pt>
                <c:pt idx="8971">
                  <c:v>-10.29</c:v>
                </c:pt>
                <c:pt idx="8972">
                  <c:v>-10.28</c:v>
                </c:pt>
                <c:pt idx="8973">
                  <c:v>-10.27</c:v>
                </c:pt>
                <c:pt idx="8974">
                  <c:v>-10.26</c:v>
                </c:pt>
                <c:pt idx="8975">
                  <c:v>-10.25</c:v>
                </c:pt>
                <c:pt idx="8976">
                  <c:v>-10.24</c:v>
                </c:pt>
                <c:pt idx="8977">
                  <c:v>-10.23</c:v>
                </c:pt>
                <c:pt idx="8978">
                  <c:v>-10.22</c:v>
                </c:pt>
                <c:pt idx="8979">
                  <c:v>-10.21</c:v>
                </c:pt>
                <c:pt idx="8980">
                  <c:v>-10.2</c:v>
                </c:pt>
                <c:pt idx="8981">
                  <c:v>-10.19</c:v>
                </c:pt>
                <c:pt idx="8982">
                  <c:v>-10.18</c:v>
                </c:pt>
                <c:pt idx="8983">
                  <c:v>-10.17</c:v>
                </c:pt>
                <c:pt idx="8984">
                  <c:v>-10.16</c:v>
                </c:pt>
                <c:pt idx="8985">
                  <c:v>-10.15</c:v>
                </c:pt>
                <c:pt idx="8986">
                  <c:v>-10.14</c:v>
                </c:pt>
                <c:pt idx="8987">
                  <c:v>-10.13</c:v>
                </c:pt>
                <c:pt idx="8988">
                  <c:v>-10.12</c:v>
                </c:pt>
                <c:pt idx="8989">
                  <c:v>-10.11</c:v>
                </c:pt>
                <c:pt idx="8990">
                  <c:v>-10.1</c:v>
                </c:pt>
                <c:pt idx="8991">
                  <c:v>-10.09</c:v>
                </c:pt>
                <c:pt idx="8992">
                  <c:v>-10.08</c:v>
                </c:pt>
                <c:pt idx="8993">
                  <c:v>-10.07</c:v>
                </c:pt>
                <c:pt idx="8994">
                  <c:v>-10.06</c:v>
                </c:pt>
                <c:pt idx="8995">
                  <c:v>-10.05</c:v>
                </c:pt>
                <c:pt idx="8996">
                  <c:v>-10.04</c:v>
                </c:pt>
                <c:pt idx="8997">
                  <c:v>-10.03</c:v>
                </c:pt>
                <c:pt idx="8998">
                  <c:v>-10.02</c:v>
                </c:pt>
                <c:pt idx="8999">
                  <c:v>-10.01</c:v>
                </c:pt>
                <c:pt idx="9000">
                  <c:v>-10.0</c:v>
                </c:pt>
                <c:pt idx="9001">
                  <c:v>-9.99</c:v>
                </c:pt>
                <c:pt idx="9002">
                  <c:v>-9.98</c:v>
                </c:pt>
                <c:pt idx="9003">
                  <c:v>-9.97</c:v>
                </c:pt>
                <c:pt idx="9004">
                  <c:v>-9.96</c:v>
                </c:pt>
                <c:pt idx="9005">
                  <c:v>-9.95</c:v>
                </c:pt>
                <c:pt idx="9006">
                  <c:v>-9.94</c:v>
                </c:pt>
                <c:pt idx="9007">
                  <c:v>-9.93</c:v>
                </c:pt>
                <c:pt idx="9008">
                  <c:v>-9.92</c:v>
                </c:pt>
                <c:pt idx="9009">
                  <c:v>-9.91</c:v>
                </c:pt>
                <c:pt idx="9010">
                  <c:v>-9.9</c:v>
                </c:pt>
                <c:pt idx="9011">
                  <c:v>-9.89</c:v>
                </c:pt>
                <c:pt idx="9012">
                  <c:v>-9.88</c:v>
                </c:pt>
                <c:pt idx="9013">
                  <c:v>-9.87</c:v>
                </c:pt>
                <c:pt idx="9014">
                  <c:v>-9.86</c:v>
                </c:pt>
                <c:pt idx="9015">
                  <c:v>-9.85</c:v>
                </c:pt>
                <c:pt idx="9016">
                  <c:v>-9.84</c:v>
                </c:pt>
                <c:pt idx="9017">
                  <c:v>-9.83</c:v>
                </c:pt>
                <c:pt idx="9018">
                  <c:v>-9.82</c:v>
                </c:pt>
                <c:pt idx="9019">
                  <c:v>-9.81</c:v>
                </c:pt>
                <c:pt idx="9020">
                  <c:v>-9.8</c:v>
                </c:pt>
                <c:pt idx="9021">
                  <c:v>-9.79</c:v>
                </c:pt>
                <c:pt idx="9022">
                  <c:v>-9.78</c:v>
                </c:pt>
                <c:pt idx="9023">
                  <c:v>-9.77</c:v>
                </c:pt>
                <c:pt idx="9024">
                  <c:v>-9.76</c:v>
                </c:pt>
                <c:pt idx="9025">
                  <c:v>-9.75</c:v>
                </c:pt>
                <c:pt idx="9026">
                  <c:v>-9.74</c:v>
                </c:pt>
                <c:pt idx="9027">
                  <c:v>-9.73</c:v>
                </c:pt>
                <c:pt idx="9028">
                  <c:v>-9.72</c:v>
                </c:pt>
                <c:pt idx="9029">
                  <c:v>-9.71</c:v>
                </c:pt>
                <c:pt idx="9030">
                  <c:v>-9.7</c:v>
                </c:pt>
                <c:pt idx="9031">
                  <c:v>-9.69</c:v>
                </c:pt>
                <c:pt idx="9032">
                  <c:v>-9.68</c:v>
                </c:pt>
                <c:pt idx="9033">
                  <c:v>-9.67</c:v>
                </c:pt>
                <c:pt idx="9034">
                  <c:v>-9.66</c:v>
                </c:pt>
                <c:pt idx="9035">
                  <c:v>-9.65</c:v>
                </c:pt>
                <c:pt idx="9036">
                  <c:v>-9.64</c:v>
                </c:pt>
                <c:pt idx="9037">
                  <c:v>-9.63</c:v>
                </c:pt>
                <c:pt idx="9038">
                  <c:v>-9.62</c:v>
                </c:pt>
                <c:pt idx="9039">
                  <c:v>-9.61</c:v>
                </c:pt>
                <c:pt idx="9040">
                  <c:v>-9.6</c:v>
                </c:pt>
                <c:pt idx="9041">
                  <c:v>-9.59</c:v>
                </c:pt>
                <c:pt idx="9042">
                  <c:v>-9.58</c:v>
                </c:pt>
                <c:pt idx="9043">
                  <c:v>-9.57</c:v>
                </c:pt>
                <c:pt idx="9044">
                  <c:v>-9.56</c:v>
                </c:pt>
                <c:pt idx="9045">
                  <c:v>-9.55</c:v>
                </c:pt>
                <c:pt idx="9046">
                  <c:v>-9.54</c:v>
                </c:pt>
                <c:pt idx="9047">
                  <c:v>-9.53</c:v>
                </c:pt>
                <c:pt idx="9048">
                  <c:v>-9.52</c:v>
                </c:pt>
                <c:pt idx="9049">
                  <c:v>-9.51</c:v>
                </c:pt>
                <c:pt idx="9050">
                  <c:v>-9.5</c:v>
                </c:pt>
                <c:pt idx="9051">
                  <c:v>-9.49</c:v>
                </c:pt>
                <c:pt idx="9052">
                  <c:v>-9.48</c:v>
                </c:pt>
                <c:pt idx="9053">
                  <c:v>-9.47</c:v>
                </c:pt>
                <c:pt idx="9054">
                  <c:v>-9.46</c:v>
                </c:pt>
                <c:pt idx="9055">
                  <c:v>-9.45</c:v>
                </c:pt>
                <c:pt idx="9056">
                  <c:v>-9.44</c:v>
                </c:pt>
                <c:pt idx="9057">
                  <c:v>-9.43</c:v>
                </c:pt>
                <c:pt idx="9058">
                  <c:v>-9.42</c:v>
                </c:pt>
                <c:pt idx="9059">
                  <c:v>-9.41</c:v>
                </c:pt>
                <c:pt idx="9060">
                  <c:v>-9.4</c:v>
                </c:pt>
                <c:pt idx="9061">
                  <c:v>-9.39</c:v>
                </c:pt>
                <c:pt idx="9062">
                  <c:v>-9.38</c:v>
                </c:pt>
                <c:pt idx="9063">
                  <c:v>-9.37</c:v>
                </c:pt>
                <c:pt idx="9064">
                  <c:v>-9.36</c:v>
                </c:pt>
                <c:pt idx="9065">
                  <c:v>-9.35</c:v>
                </c:pt>
                <c:pt idx="9066">
                  <c:v>-9.34</c:v>
                </c:pt>
                <c:pt idx="9067">
                  <c:v>-9.33</c:v>
                </c:pt>
                <c:pt idx="9068">
                  <c:v>-9.32</c:v>
                </c:pt>
                <c:pt idx="9069">
                  <c:v>-9.31</c:v>
                </c:pt>
                <c:pt idx="9070">
                  <c:v>-9.3</c:v>
                </c:pt>
                <c:pt idx="9071">
                  <c:v>-9.29</c:v>
                </c:pt>
                <c:pt idx="9072">
                  <c:v>-9.28</c:v>
                </c:pt>
                <c:pt idx="9073">
                  <c:v>-9.27</c:v>
                </c:pt>
                <c:pt idx="9074">
                  <c:v>-9.26</c:v>
                </c:pt>
                <c:pt idx="9075">
                  <c:v>-9.25</c:v>
                </c:pt>
                <c:pt idx="9076">
                  <c:v>-9.24</c:v>
                </c:pt>
                <c:pt idx="9077">
                  <c:v>-9.23</c:v>
                </c:pt>
                <c:pt idx="9078">
                  <c:v>-9.22</c:v>
                </c:pt>
                <c:pt idx="9079">
                  <c:v>-9.21</c:v>
                </c:pt>
                <c:pt idx="9080">
                  <c:v>-9.2</c:v>
                </c:pt>
                <c:pt idx="9081">
                  <c:v>-9.19</c:v>
                </c:pt>
                <c:pt idx="9082">
                  <c:v>-9.18</c:v>
                </c:pt>
                <c:pt idx="9083">
                  <c:v>-9.17</c:v>
                </c:pt>
                <c:pt idx="9084">
                  <c:v>-9.16</c:v>
                </c:pt>
                <c:pt idx="9085">
                  <c:v>-9.15</c:v>
                </c:pt>
                <c:pt idx="9086">
                  <c:v>-9.14</c:v>
                </c:pt>
                <c:pt idx="9087">
                  <c:v>-9.13</c:v>
                </c:pt>
                <c:pt idx="9088">
                  <c:v>-9.12</c:v>
                </c:pt>
                <c:pt idx="9089">
                  <c:v>-9.11</c:v>
                </c:pt>
                <c:pt idx="9090">
                  <c:v>-9.1</c:v>
                </c:pt>
                <c:pt idx="9091">
                  <c:v>-9.09</c:v>
                </c:pt>
                <c:pt idx="9092">
                  <c:v>-9.08</c:v>
                </c:pt>
                <c:pt idx="9093">
                  <c:v>-9.07</c:v>
                </c:pt>
                <c:pt idx="9094">
                  <c:v>-9.06</c:v>
                </c:pt>
                <c:pt idx="9095">
                  <c:v>-9.05</c:v>
                </c:pt>
                <c:pt idx="9096">
                  <c:v>-9.04</c:v>
                </c:pt>
                <c:pt idx="9097">
                  <c:v>-9.03</c:v>
                </c:pt>
                <c:pt idx="9098">
                  <c:v>-9.02</c:v>
                </c:pt>
                <c:pt idx="9099">
                  <c:v>-9.01</c:v>
                </c:pt>
                <c:pt idx="9100">
                  <c:v>-9.0</c:v>
                </c:pt>
                <c:pt idx="9101">
                  <c:v>-8.99</c:v>
                </c:pt>
                <c:pt idx="9102">
                  <c:v>-8.98</c:v>
                </c:pt>
                <c:pt idx="9103">
                  <c:v>-8.97</c:v>
                </c:pt>
                <c:pt idx="9104">
                  <c:v>-8.96</c:v>
                </c:pt>
                <c:pt idx="9105">
                  <c:v>-8.95</c:v>
                </c:pt>
                <c:pt idx="9106">
                  <c:v>-8.94</c:v>
                </c:pt>
                <c:pt idx="9107">
                  <c:v>-8.93</c:v>
                </c:pt>
                <c:pt idx="9108">
                  <c:v>-8.92</c:v>
                </c:pt>
                <c:pt idx="9109">
                  <c:v>-8.91</c:v>
                </c:pt>
                <c:pt idx="9110">
                  <c:v>-8.9</c:v>
                </c:pt>
                <c:pt idx="9111">
                  <c:v>-8.89</c:v>
                </c:pt>
                <c:pt idx="9112">
                  <c:v>-8.88</c:v>
                </c:pt>
                <c:pt idx="9113">
                  <c:v>-8.87</c:v>
                </c:pt>
                <c:pt idx="9114">
                  <c:v>-8.86</c:v>
                </c:pt>
                <c:pt idx="9115">
                  <c:v>-8.85</c:v>
                </c:pt>
                <c:pt idx="9116">
                  <c:v>-8.84</c:v>
                </c:pt>
                <c:pt idx="9117">
                  <c:v>-8.83</c:v>
                </c:pt>
                <c:pt idx="9118">
                  <c:v>-8.82</c:v>
                </c:pt>
                <c:pt idx="9119">
                  <c:v>-8.81</c:v>
                </c:pt>
                <c:pt idx="9120">
                  <c:v>-8.8</c:v>
                </c:pt>
                <c:pt idx="9121">
                  <c:v>-8.79</c:v>
                </c:pt>
                <c:pt idx="9122">
                  <c:v>-8.78</c:v>
                </c:pt>
                <c:pt idx="9123">
                  <c:v>-8.77</c:v>
                </c:pt>
                <c:pt idx="9124">
                  <c:v>-8.76</c:v>
                </c:pt>
                <c:pt idx="9125">
                  <c:v>-8.75</c:v>
                </c:pt>
                <c:pt idx="9126">
                  <c:v>-8.74</c:v>
                </c:pt>
                <c:pt idx="9127">
                  <c:v>-8.73</c:v>
                </c:pt>
                <c:pt idx="9128">
                  <c:v>-8.72</c:v>
                </c:pt>
                <c:pt idx="9129">
                  <c:v>-8.71</c:v>
                </c:pt>
                <c:pt idx="9130">
                  <c:v>-8.7</c:v>
                </c:pt>
                <c:pt idx="9131">
                  <c:v>-8.69</c:v>
                </c:pt>
                <c:pt idx="9132">
                  <c:v>-8.68</c:v>
                </c:pt>
                <c:pt idx="9133">
                  <c:v>-8.67</c:v>
                </c:pt>
                <c:pt idx="9134">
                  <c:v>-8.66</c:v>
                </c:pt>
                <c:pt idx="9135">
                  <c:v>-8.65</c:v>
                </c:pt>
                <c:pt idx="9136">
                  <c:v>-8.64</c:v>
                </c:pt>
                <c:pt idx="9137">
                  <c:v>-8.63</c:v>
                </c:pt>
                <c:pt idx="9138">
                  <c:v>-8.62</c:v>
                </c:pt>
                <c:pt idx="9139">
                  <c:v>-8.61</c:v>
                </c:pt>
                <c:pt idx="9140">
                  <c:v>-8.6</c:v>
                </c:pt>
                <c:pt idx="9141">
                  <c:v>-8.59</c:v>
                </c:pt>
                <c:pt idx="9142">
                  <c:v>-8.58</c:v>
                </c:pt>
                <c:pt idx="9143">
                  <c:v>-8.57</c:v>
                </c:pt>
                <c:pt idx="9144">
                  <c:v>-8.56</c:v>
                </c:pt>
                <c:pt idx="9145">
                  <c:v>-8.55</c:v>
                </c:pt>
                <c:pt idx="9146">
                  <c:v>-8.54</c:v>
                </c:pt>
                <c:pt idx="9147">
                  <c:v>-8.53</c:v>
                </c:pt>
                <c:pt idx="9148">
                  <c:v>-8.52</c:v>
                </c:pt>
                <c:pt idx="9149">
                  <c:v>-8.51</c:v>
                </c:pt>
                <c:pt idx="9150">
                  <c:v>-8.5</c:v>
                </c:pt>
                <c:pt idx="9151">
                  <c:v>-8.49</c:v>
                </c:pt>
                <c:pt idx="9152">
                  <c:v>-8.48</c:v>
                </c:pt>
                <c:pt idx="9153">
                  <c:v>-8.47</c:v>
                </c:pt>
                <c:pt idx="9154">
                  <c:v>-8.46</c:v>
                </c:pt>
                <c:pt idx="9155">
                  <c:v>-8.45</c:v>
                </c:pt>
                <c:pt idx="9156">
                  <c:v>-8.44</c:v>
                </c:pt>
                <c:pt idx="9157">
                  <c:v>-8.43</c:v>
                </c:pt>
                <c:pt idx="9158">
                  <c:v>-8.42</c:v>
                </c:pt>
                <c:pt idx="9159">
                  <c:v>-8.41</c:v>
                </c:pt>
                <c:pt idx="9160">
                  <c:v>-8.4</c:v>
                </c:pt>
                <c:pt idx="9161">
                  <c:v>-8.39</c:v>
                </c:pt>
                <c:pt idx="9162">
                  <c:v>-8.38</c:v>
                </c:pt>
                <c:pt idx="9163">
                  <c:v>-8.37</c:v>
                </c:pt>
                <c:pt idx="9164">
                  <c:v>-8.36</c:v>
                </c:pt>
                <c:pt idx="9165">
                  <c:v>-8.35</c:v>
                </c:pt>
                <c:pt idx="9166">
                  <c:v>-8.34</c:v>
                </c:pt>
                <c:pt idx="9167">
                  <c:v>-8.33</c:v>
                </c:pt>
                <c:pt idx="9168">
                  <c:v>-8.32</c:v>
                </c:pt>
                <c:pt idx="9169">
                  <c:v>-8.31</c:v>
                </c:pt>
                <c:pt idx="9170">
                  <c:v>-8.3</c:v>
                </c:pt>
                <c:pt idx="9171">
                  <c:v>-8.29</c:v>
                </c:pt>
                <c:pt idx="9172">
                  <c:v>-8.28</c:v>
                </c:pt>
                <c:pt idx="9173">
                  <c:v>-8.27</c:v>
                </c:pt>
                <c:pt idx="9174">
                  <c:v>-8.26</c:v>
                </c:pt>
                <c:pt idx="9175">
                  <c:v>-8.25</c:v>
                </c:pt>
                <c:pt idx="9176">
                  <c:v>-8.24</c:v>
                </c:pt>
                <c:pt idx="9177">
                  <c:v>-8.23</c:v>
                </c:pt>
                <c:pt idx="9178">
                  <c:v>-8.22</c:v>
                </c:pt>
                <c:pt idx="9179">
                  <c:v>-8.21</c:v>
                </c:pt>
                <c:pt idx="9180">
                  <c:v>-8.2</c:v>
                </c:pt>
                <c:pt idx="9181">
                  <c:v>-8.19</c:v>
                </c:pt>
                <c:pt idx="9182">
                  <c:v>-8.18</c:v>
                </c:pt>
                <c:pt idx="9183">
                  <c:v>-8.17</c:v>
                </c:pt>
                <c:pt idx="9184">
                  <c:v>-8.16</c:v>
                </c:pt>
                <c:pt idx="9185">
                  <c:v>-8.15</c:v>
                </c:pt>
                <c:pt idx="9186">
                  <c:v>-8.14</c:v>
                </c:pt>
                <c:pt idx="9187">
                  <c:v>-8.13</c:v>
                </c:pt>
                <c:pt idx="9188">
                  <c:v>-8.12</c:v>
                </c:pt>
                <c:pt idx="9189">
                  <c:v>-8.11</c:v>
                </c:pt>
                <c:pt idx="9190">
                  <c:v>-8.1</c:v>
                </c:pt>
                <c:pt idx="9191">
                  <c:v>-8.09</c:v>
                </c:pt>
                <c:pt idx="9192">
                  <c:v>-8.08</c:v>
                </c:pt>
                <c:pt idx="9193">
                  <c:v>-8.07</c:v>
                </c:pt>
                <c:pt idx="9194">
                  <c:v>-8.06</c:v>
                </c:pt>
                <c:pt idx="9195">
                  <c:v>-8.05</c:v>
                </c:pt>
                <c:pt idx="9196">
                  <c:v>-8.04</c:v>
                </c:pt>
                <c:pt idx="9197">
                  <c:v>-8.03</c:v>
                </c:pt>
                <c:pt idx="9198">
                  <c:v>-8.02</c:v>
                </c:pt>
                <c:pt idx="9199">
                  <c:v>-8.01</c:v>
                </c:pt>
                <c:pt idx="9200">
                  <c:v>-8.0</c:v>
                </c:pt>
                <c:pt idx="9201">
                  <c:v>-7.99</c:v>
                </c:pt>
                <c:pt idx="9202">
                  <c:v>-7.98</c:v>
                </c:pt>
                <c:pt idx="9203">
                  <c:v>-7.97</c:v>
                </c:pt>
                <c:pt idx="9204">
                  <c:v>-7.96</c:v>
                </c:pt>
                <c:pt idx="9205">
                  <c:v>-7.95</c:v>
                </c:pt>
                <c:pt idx="9206">
                  <c:v>-7.94</c:v>
                </c:pt>
                <c:pt idx="9207">
                  <c:v>-7.93</c:v>
                </c:pt>
                <c:pt idx="9208">
                  <c:v>-7.92</c:v>
                </c:pt>
                <c:pt idx="9209">
                  <c:v>-7.91</c:v>
                </c:pt>
                <c:pt idx="9210">
                  <c:v>-7.9</c:v>
                </c:pt>
                <c:pt idx="9211">
                  <c:v>-7.89</c:v>
                </c:pt>
                <c:pt idx="9212">
                  <c:v>-7.88</c:v>
                </c:pt>
                <c:pt idx="9213">
                  <c:v>-7.87</c:v>
                </c:pt>
                <c:pt idx="9214">
                  <c:v>-7.86</c:v>
                </c:pt>
                <c:pt idx="9215">
                  <c:v>-7.85</c:v>
                </c:pt>
                <c:pt idx="9216">
                  <c:v>-7.84</c:v>
                </c:pt>
                <c:pt idx="9217">
                  <c:v>-7.83</c:v>
                </c:pt>
                <c:pt idx="9218">
                  <c:v>-7.82</c:v>
                </c:pt>
                <c:pt idx="9219">
                  <c:v>-7.81</c:v>
                </c:pt>
                <c:pt idx="9220">
                  <c:v>-7.8</c:v>
                </c:pt>
                <c:pt idx="9221">
                  <c:v>-7.79</c:v>
                </c:pt>
                <c:pt idx="9222">
                  <c:v>-7.78</c:v>
                </c:pt>
                <c:pt idx="9223">
                  <c:v>-7.77</c:v>
                </c:pt>
                <c:pt idx="9224">
                  <c:v>-7.76</c:v>
                </c:pt>
                <c:pt idx="9225">
                  <c:v>-7.75</c:v>
                </c:pt>
                <c:pt idx="9226">
                  <c:v>-7.74</c:v>
                </c:pt>
                <c:pt idx="9227">
                  <c:v>-7.73</c:v>
                </c:pt>
                <c:pt idx="9228">
                  <c:v>-7.72</c:v>
                </c:pt>
                <c:pt idx="9229">
                  <c:v>-7.71</c:v>
                </c:pt>
                <c:pt idx="9230">
                  <c:v>-7.7</c:v>
                </c:pt>
                <c:pt idx="9231">
                  <c:v>-7.69</c:v>
                </c:pt>
                <c:pt idx="9232">
                  <c:v>-7.68</c:v>
                </c:pt>
                <c:pt idx="9233">
                  <c:v>-7.67</c:v>
                </c:pt>
                <c:pt idx="9234">
                  <c:v>-7.66</c:v>
                </c:pt>
                <c:pt idx="9235">
                  <c:v>-7.65</c:v>
                </c:pt>
                <c:pt idx="9236">
                  <c:v>-7.64</c:v>
                </c:pt>
                <c:pt idx="9237">
                  <c:v>-7.63</c:v>
                </c:pt>
                <c:pt idx="9238">
                  <c:v>-7.62</c:v>
                </c:pt>
                <c:pt idx="9239">
                  <c:v>-7.61</c:v>
                </c:pt>
                <c:pt idx="9240">
                  <c:v>-7.6</c:v>
                </c:pt>
                <c:pt idx="9241">
                  <c:v>-7.59</c:v>
                </c:pt>
                <c:pt idx="9242">
                  <c:v>-7.58</c:v>
                </c:pt>
                <c:pt idx="9243">
                  <c:v>-7.57</c:v>
                </c:pt>
                <c:pt idx="9244">
                  <c:v>-7.56</c:v>
                </c:pt>
                <c:pt idx="9245">
                  <c:v>-7.55</c:v>
                </c:pt>
                <c:pt idx="9246">
                  <c:v>-7.54</c:v>
                </c:pt>
                <c:pt idx="9247">
                  <c:v>-7.53</c:v>
                </c:pt>
                <c:pt idx="9248">
                  <c:v>-7.52</c:v>
                </c:pt>
                <c:pt idx="9249">
                  <c:v>-7.51</c:v>
                </c:pt>
                <c:pt idx="9250">
                  <c:v>-7.5</c:v>
                </c:pt>
                <c:pt idx="9251">
                  <c:v>-7.49</c:v>
                </c:pt>
                <c:pt idx="9252">
                  <c:v>-7.48</c:v>
                </c:pt>
                <c:pt idx="9253">
                  <c:v>-7.47</c:v>
                </c:pt>
                <c:pt idx="9254">
                  <c:v>-7.46</c:v>
                </c:pt>
                <c:pt idx="9255">
                  <c:v>-7.45</c:v>
                </c:pt>
                <c:pt idx="9256">
                  <c:v>-7.44</c:v>
                </c:pt>
                <c:pt idx="9257">
                  <c:v>-7.43</c:v>
                </c:pt>
                <c:pt idx="9258">
                  <c:v>-7.42</c:v>
                </c:pt>
                <c:pt idx="9259">
                  <c:v>-7.41</c:v>
                </c:pt>
                <c:pt idx="9260">
                  <c:v>-7.4</c:v>
                </c:pt>
                <c:pt idx="9261">
                  <c:v>-7.39</c:v>
                </c:pt>
                <c:pt idx="9262">
                  <c:v>-7.38</c:v>
                </c:pt>
                <c:pt idx="9263">
                  <c:v>-7.37</c:v>
                </c:pt>
                <c:pt idx="9264">
                  <c:v>-7.36</c:v>
                </c:pt>
                <c:pt idx="9265">
                  <c:v>-7.35</c:v>
                </c:pt>
                <c:pt idx="9266">
                  <c:v>-7.34</c:v>
                </c:pt>
                <c:pt idx="9267">
                  <c:v>-7.33</c:v>
                </c:pt>
                <c:pt idx="9268">
                  <c:v>-7.32</c:v>
                </c:pt>
                <c:pt idx="9269">
                  <c:v>-7.31</c:v>
                </c:pt>
                <c:pt idx="9270">
                  <c:v>-7.3</c:v>
                </c:pt>
                <c:pt idx="9271">
                  <c:v>-7.29</c:v>
                </c:pt>
                <c:pt idx="9272">
                  <c:v>-7.28</c:v>
                </c:pt>
                <c:pt idx="9273">
                  <c:v>-7.27</c:v>
                </c:pt>
                <c:pt idx="9274">
                  <c:v>-7.26</c:v>
                </c:pt>
                <c:pt idx="9275">
                  <c:v>-7.25</c:v>
                </c:pt>
                <c:pt idx="9276">
                  <c:v>-7.24</c:v>
                </c:pt>
                <c:pt idx="9277">
                  <c:v>-7.23</c:v>
                </c:pt>
                <c:pt idx="9278">
                  <c:v>-7.22</c:v>
                </c:pt>
                <c:pt idx="9279">
                  <c:v>-7.21</c:v>
                </c:pt>
                <c:pt idx="9280">
                  <c:v>-7.2</c:v>
                </c:pt>
                <c:pt idx="9281">
                  <c:v>-7.19</c:v>
                </c:pt>
                <c:pt idx="9282">
                  <c:v>-7.18</c:v>
                </c:pt>
                <c:pt idx="9283">
                  <c:v>-7.17</c:v>
                </c:pt>
                <c:pt idx="9284">
                  <c:v>-7.16</c:v>
                </c:pt>
                <c:pt idx="9285">
                  <c:v>-7.15</c:v>
                </c:pt>
                <c:pt idx="9286">
                  <c:v>-7.14</c:v>
                </c:pt>
                <c:pt idx="9287">
                  <c:v>-7.13</c:v>
                </c:pt>
                <c:pt idx="9288">
                  <c:v>-7.12</c:v>
                </c:pt>
                <c:pt idx="9289">
                  <c:v>-7.11</c:v>
                </c:pt>
                <c:pt idx="9290">
                  <c:v>-7.1</c:v>
                </c:pt>
                <c:pt idx="9291">
                  <c:v>-7.09</c:v>
                </c:pt>
                <c:pt idx="9292">
                  <c:v>-7.08</c:v>
                </c:pt>
                <c:pt idx="9293">
                  <c:v>-7.07</c:v>
                </c:pt>
                <c:pt idx="9294">
                  <c:v>-7.06</c:v>
                </c:pt>
                <c:pt idx="9295">
                  <c:v>-7.05</c:v>
                </c:pt>
                <c:pt idx="9296">
                  <c:v>-7.04</c:v>
                </c:pt>
                <c:pt idx="9297">
                  <c:v>-7.03</c:v>
                </c:pt>
                <c:pt idx="9298">
                  <c:v>-7.02</c:v>
                </c:pt>
                <c:pt idx="9299">
                  <c:v>-7.01</c:v>
                </c:pt>
                <c:pt idx="9300">
                  <c:v>-7.0</c:v>
                </c:pt>
                <c:pt idx="9301">
                  <c:v>-6.99</c:v>
                </c:pt>
                <c:pt idx="9302">
                  <c:v>-6.98</c:v>
                </c:pt>
                <c:pt idx="9303">
                  <c:v>-6.97</c:v>
                </c:pt>
                <c:pt idx="9304">
                  <c:v>-6.96</c:v>
                </c:pt>
                <c:pt idx="9305">
                  <c:v>-6.95</c:v>
                </c:pt>
                <c:pt idx="9306">
                  <c:v>-6.94</c:v>
                </c:pt>
                <c:pt idx="9307">
                  <c:v>-6.93</c:v>
                </c:pt>
                <c:pt idx="9308">
                  <c:v>-6.92</c:v>
                </c:pt>
                <c:pt idx="9309">
                  <c:v>-6.91</c:v>
                </c:pt>
                <c:pt idx="9310">
                  <c:v>-6.9</c:v>
                </c:pt>
                <c:pt idx="9311">
                  <c:v>-6.89</c:v>
                </c:pt>
                <c:pt idx="9312">
                  <c:v>-6.88</c:v>
                </c:pt>
                <c:pt idx="9313">
                  <c:v>-6.87</c:v>
                </c:pt>
                <c:pt idx="9314">
                  <c:v>-6.86</c:v>
                </c:pt>
                <c:pt idx="9315">
                  <c:v>-6.85</c:v>
                </c:pt>
                <c:pt idx="9316">
                  <c:v>-6.84</c:v>
                </c:pt>
                <c:pt idx="9317">
                  <c:v>-6.83</c:v>
                </c:pt>
                <c:pt idx="9318">
                  <c:v>-6.82</c:v>
                </c:pt>
                <c:pt idx="9319">
                  <c:v>-6.81</c:v>
                </c:pt>
                <c:pt idx="9320">
                  <c:v>-6.8</c:v>
                </c:pt>
                <c:pt idx="9321">
                  <c:v>-6.79</c:v>
                </c:pt>
                <c:pt idx="9322">
                  <c:v>-6.78</c:v>
                </c:pt>
                <c:pt idx="9323">
                  <c:v>-6.77</c:v>
                </c:pt>
                <c:pt idx="9324">
                  <c:v>-6.76</c:v>
                </c:pt>
                <c:pt idx="9325">
                  <c:v>-6.75</c:v>
                </c:pt>
                <c:pt idx="9326">
                  <c:v>-6.74</c:v>
                </c:pt>
                <c:pt idx="9327">
                  <c:v>-6.73</c:v>
                </c:pt>
                <c:pt idx="9328">
                  <c:v>-6.72</c:v>
                </c:pt>
                <c:pt idx="9329">
                  <c:v>-6.71</c:v>
                </c:pt>
                <c:pt idx="9330">
                  <c:v>-6.7</c:v>
                </c:pt>
                <c:pt idx="9331">
                  <c:v>-6.69</c:v>
                </c:pt>
                <c:pt idx="9332">
                  <c:v>-6.68</c:v>
                </c:pt>
                <c:pt idx="9333">
                  <c:v>-6.67</c:v>
                </c:pt>
                <c:pt idx="9334">
                  <c:v>-6.66</c:v>
                </c:pt>
                <c:pt idx="9335">
                  <c:v>-6.65</c:v>
                </c:pt>
                <c:pt idx="9336">
                  <c:v>-6.64</c:v>
                </c:pt>
                <c:pt idx="9337">
                  <c:v>-6.63</c:v>
                </c:pt>
                <c:pt idx="9338">
                  <c:v>-6.62</c:v>
                </c:pt>
                <c:pt idx="9339">
                  <c:v>-6.61</c:v>
                </c:pt>
                <c:pt idx="9340">
                  <c:v>-6.6</c:v>
                </c:pt>
                <c:pt idx="9341">
                  <c:v>-6.59</c:v>
                </c:pt>
                <c:pt idx="9342">
                  <c:v>-6.58</c:v>
                </c:pt>
                <c:pt idx="9343">
                  <c:v>-6.57</c:v>
                </c:pt>
                <c:pt idx="9344">
                  <c:v>-6.56</c:v>
                </c:pt>
                <c:pt idx="9345">
                  <c:v>-6.55</c:v>
                </c:pt>
                <c:pt idx="9346">
                  <c:v>-6.54</c:v>
                </c:pt>
                <c:pt idx="9347">
                  <c:v>-6.53</c:v>
                </c:pt>
                <c:pt idx="9348">
                  <c:v>-6.52</c:v>
                </c:pt>
                <c:pt idx="9349">
                  <c:v>-6.51</c:v>
                </c:pt>
                <c:pt idx="9350">
                  <c:v>-6.5</c:v>
                </c:pt>
                <c:pt idx="9351">
                  <c:v>-6.49</c:v>
                </c:pt>
                <c:pt idx="9352">
                  <c:v>-6.48</c:v>
                </c:pt>
                <c:pt idx="9353">
                  <c:v>-6.47</c:v>
                </c:pt>
                <c:pt idx="9354">
                  <c:v>-6.46</c:v>
                </c:pt>
                <c:pt idx="9355">
                  <c:v>-6.45</c:v>
                </c:pt>
                <c:pt idx="9356">
                  <c:v>-6.44</c:v>
                </c:pt>
                <c:pt idx="9357">
                  <c:v>-6.43</c:v>
                </c:pt>
                <c:pt idx="9358">
                  <c:v>-6.42</c:v>
                </c:pt>
                <c:pt idx="9359">
                  <c:v>-6.41</c:v>
                </c:pt>
                <c:pt idx="9360">
                  <c:v>-6.4</c:v>
                </c:pt>
                <c:pt idx="9361">
                  <c:v>-6.39</c:v>
                </c:pt>
                <c:pt idx="9362">
                  <c:v>-6.38</c:v>
                </c:pt>
                <c:pt idx="9363">
                  <c:v>-6.37</c:v>
                </c:pt>
                <c:pt idx="9364">
                  <c:v>-6.36</c:v>
                </c:pt>
                <c:pt idx="9365">
                  <c:v>-6.35</c:v>
                </c:pt>
                <c:pt idx="9366">
                  <c:v>-6.34</c:v>
                </c:pt>
                <c:pt idx="9367">
                  <c:v>-6.33</c:v>
                </c:pt>
                <c:pt idx="9368">
                  <c:v>-6.32</c:v>
                </c:pt>
                <c:pt idx="9369">
                  <c:v>-6.31</c:v>
                </c:pt>
                <c:pt idx="9370">
                  <c:v>-6.3</c:v>
                </c:pt>
                <c:pt idx="9371">
                  <c:v>-6.29</c:v>
                </c:pt>
                <c:pt idx="9372">
                  <c:v>-6.28</c:v>
                </c:pt>
                <c:pt idx="9373">
                  <c:v>-6.27</c:v>
                </c:pt>
                <c:pt idx="9374">
                  <c:v>-6.26</c:v>
                </c:pt>
                <c:pt idx="9375">
                  <c:v>-6.25</c:v>
                </c:pt>
                <c:pt idx="9376">
                  <c:v>-6.24</c:v>
                </c:pt>
                <c:pt idx="9377">
                  <c:v>-6.23</c:v>
                </c:pt>
                <c:pt idx="9378">
                  <c:v>-6.22</c:v>
                </c:pt>
                <c:pt idx="9379">
                  <c:v>-6.21</c:v>
                </c:pt>
                <c:pt idx="9380">
                  <c:v>-6.2</c:v>
                </c:pt>
                <c:pt idx="9381">
                  <c:v>-6.19</c:v>
                </c:pt>
                <c:pt idx="9382">
                  <c:v>-6.18</c:v>
                </c:pt>
                <c:pt idx="9383">
                  <c:v>-6.17</c:v>
                </c:pt>
                <c:pt idx="9384">
                  <c:v>-6.16</c:v>
                </c:pt>
                <c:pt idx="9385">
                  <c:v>-6.15</c:v>
                </c:pt>
                <c:pt idx="9386">
                  <c:v>-6.14</c:v>
                </c:pt>
                <c:pt idx="9387">
                  <c:v>-6.13</c:v>
                </c:pt>
                <c:pt idx="9388">
                  <c:v>-6.12</c:v>
                </c:pt>
                <c:pt idx="9389">
                  <c:v>-6.11</c:v>
                </c:pt>
                <c:pt idx="9390">
                  <c:v>-6.1</c:v>
                </c:pt>
                <c:pt idx="9391">
                  <c:v>-6.09</c:v>
                </c:pt>
                <c:pt idx="9392">
                  <c:v>-6.08</c:v>
                </c:pt>
                <c:pt idx="9393">
                  <c:v>-6.07</c:v>
                </c:pt>
                <c:pt idx="9394">
                  <c:v>-6.06</c:v>
                </c:pt>
                <c:pt idx="9395">
                  <c:v>-6.05</c:v>
                </c:pt>
                <c:pt idx="9396">
                  <c:v>-6.04</c:v>
                </c:pt>
                <c:pt idx="9397">
                  <c:v>-6.03</c:v>
                </c:pt>
                <c:pt idx="9398">
                  <c:v>-6.02</c:v>
                </c:pt>
                <c:pt idx="9399">
                  <c:v>-6.01</c:v>
                </c:pt>
                <c:pt idx="9400">
                  <c:v>-6.0</c:v>
                </c:pt>
                <c:pt idx="9401">
                  <c:v>-5.99</c:v>
                </c:pt>
                <c:pt idx="9402">
                  <c:v>-5.98</c:v>
                </c:pt>
                <c:pt idx="9403">
                  <c:v>-5.97</c:v>
                </c:pt>
                <c:pt idx="9404">
                  <c:v>-5.96</c:v>
                </c:pt>
                <c:pt idx="9405">
                  <c:v>-5.95</c:v>
                </c:pt>
                <c:pt idx="9406">
                  <c:v>-5.94</c:v>
                </c:pt>
                <c:pt idx="9407">
                  <c:v>-5.93</c:v>
                </c:pt>
                <c:pt idx="9408">
                  <c:v>-5.92</c:v>
                </c:pt>
                <c:pt idx="9409">
                  <c:v>-5.91</c:v>
                </c:pt>
                <c:pt idx="9410">
                  <c:v>-5.9</c:v>
                </c:pt>
                <c:pt idx="9411">
                  <c:v>-5.89</c:v>
                </c:pt>
                <c:pt idx="9412">
                  <c:v>-5.88</c:v>
                </c:pt>
                <c:pt idx="9413">
                  <c:v>-5.87</c:v>
                </c:pt>
                <c:pt idx="9414">
                  <c:v>-5.86</c:v>
                </c:pt>
                <c:pt idx="9415">
                  <c:v>-5.85</c:v>
                </c:pt>
                <c:pt idx="9416">
                  <c:v>-5.84</c:v>
                </c:pt>
                <c:pt idx="9417">
                  <c:v>-5.83</c:v>
                </c:pt>
                <c:pt idx="9418">
                  <c:v>-5.82</c:v>
                </c:pt>
                <c:pt idx="9419">
                  <c:v>-5.81</c:v>
                </c:pt>
                <c:pt idx="9420">
                  <c:v>-5.8</c:v>
                </c:pt>
                <c:pt idx="9421">
                  <c:v>-5.79</c:v>
                </c:pt>
                <c:pt idx="9422">
                  <c:v>-5.78</c:v>
                </c:pt>
                <c:pt idx="9423">
                  <c:v>-5.77</c:v>
                </c:pt>
                <c:pt idx="9424">
                  <c:v>-5.76</c:v>
                </c:pt>
                <c:pt idx="9425">
                  <c:v>-5.75</c:v>
                </c:pt>
                <c:pt idx="9426">
                  <c:v>-5.74</c:v>
                </c:pt>
                <c:pt idx="9427">
                  <c:v>-5.73</c:v>
                </c:pt>
                <c:pt idx="9428">
                  <c:v>-5.72</c:v>
                </c:pt>
                <c:pt idx="9429">
                  <c:v>-5.71</c:v>
                </c:pt>
                <c:pt idx="9430">
                  <c:v>-5.7</c:v>
                </c:pt>
                <c:pt idx="9431">
                  <c:v>-5.69</c:v>
                </c:pt>
                <c:pt idx="9432">
                  <c:v>-5.68</c:v>
                </c:pt>
                <c:pt idx="9433">
                  <c:v>-5.67</c:v>
                </c:pt>
                <c:pt idx="9434">
                  <c:v>-5.66</c:v>
                </c:pt>
                <c:pt idx="9435">
                  <c:v>-5.65</c:v>
                </c:pt>
                <c:pt idx="9436">
                  <c:v>-5.64</c:v>
                </c:pt>
                <c:pt idx="9437">
                  <c:v>-5.63</c:v>
                </c:pt>
                <c:pt idx="9438">
                  <c:v>-5.62</c:v>
                </c:pt>
                <c:pt idx="9439">
                  <c:v>-5.61</c:v>
                </c:pt>
                <c:pt idx="9440">
                  <c:v>-5.6</c:v>
                </c:pt>
                <c:pt idx="9441">
                  <c:v>-5.59</c:v>
                </c:pt>
                <c:pt idx="9442">
                  <c:v>-5.58</c:v>
                </c:pt>
                <c:pt idx="9443">
                  <c:v>-5.57</c:v>
                </c:pt>
                <c:pt idx="9444">
                  <c:v>-5.56</c:v>
                </c:pt>
                <c:pt idx="9445">
                  <c:v>-5.55</c:v>
                </c:pt>
                <c:pt idx="9446">
                  <c:v>-5.54</c:v>
                </c:pt>
                <c:pt idx="9447">
                  <c:v>-5.53</c:v>
                </c:pt>
                <c:pt idx="9448">
                  <c:v>-5.52</c:v>
                </c:pt>
                <c:pt idx="9449">
                  <c:v>-5.51</c:v>
                </c:pt>
                <c:pt idx="9450">
                  <c:v>-5.5</c:v>
                </c:pt>
                <c:pt idx="9451">
                  <c:v>-5.49</c:v>
                </c:pt>
                <c:pt idx="9452">
                  <c:v>-5.48</c:v>
                </c:pt>
                <c:pt idx="9453">
                  <c:v>-5.47</c:v>
                </c:pt>
                <c:pt idx="9454">
                  <c:v>-5.46</c:v>
                </c:pt>
                <c:pt idx="9455">
                  <c:v>-5.45</c:v>
                </c:pt>
                <c:pt idx="9456">
                  <c:v>-5.44</c:v>
                </c:pt>
                <c:pt idx="9457">
                  <c:v>-5.43</c:v>
                </c:pt>
                <c:pt idx="9458">
                  <c:v>-5.42</c:v>
                </c:pt>
                <c:pt idx="9459">
                  <c:v>-5.41</c:v>
                </c:pt>
                <c:pt idx="9460">
                  <c:v>-5.4</c:v>
                </c:pt>
                <c:pt idx="9461">
                  <c:v>-5.39</c:v>
                </c:pt>
                <c:pt idx="9462">
                  <c:v>-5.38</c:v>
                </c:pt>
                <c:pt idx="9463">
                  <c:v>-5.37</c:v>
                </c:pt>
                <c:pt idx="9464">
                  <c:v>-5.36</c:v>
                </c:pt>
                <c:pt idx="9465">
                  <c:v>-5.35</c:v>
                </c:pt>
                <c:pt idx="9466">
                  <c:v>-5.34</c:v>
                </c:pt>
                <c:pt idx="9467">
                  <c:v>-5.33</c:v>
                </c:pt>
                <c:pt idx="9468">
                  <c:v>-5.32</c:v>
                </c:pt>
                <c:pt idx="9469">
                  <c:v>-5.31</c:v>
                </c:pt>
                <c:pt idx="9470">
                  <c:v>-5.3</c:v>
                </c:pt>
                <c:pt idx="9471">
                  <c:v>-5.29</c:v>
                </c:pt>
                <c:pt idx="9472">
                  <c:v>-5.28</c:v>
                </c:pt>
                <c:pt idx="9473">
                  <c:v>-5.27</c:v>
                </c:pt>
                <c:pt idx="9474">
                  <c:v>-5.26</c:v>
                </c:pt>
                <c:pt idx="9475">
                  <c:v>-5.25</c:v>
                </c:pt>
                <c:pt idx="9476">
                  <c:v>-5.24</c:v>
                </c:pt>
                <c:pt idx="9477">
                  <c:v>-5.23</c:v>
                </c:pt>
                <c:pt idx="9478">
                  <c:v>-5.22</c:v>
                </c:pt>
                <c:pt idx="9479">
                  <c:v>-5.21</c:v>
                </c:pt>
                <c:pt idx="9480">
                  <c:v>-5.2</c:v>
                </c:pt>
                <c:pt idx="9481">
                  <c:v>-5.19</c:v>
                </c:pt>
                <c:pt idx="9482">
                  <c:v>-5.18</c:v>
                </c:pt>
                <c:pt idx="9483">
                  <c:v>-5.17</c:v>
                </c:pt>
                <c:pt idx="9484">
                  <c:v>-5.16</c:v>
                </c:pt>
                <c:pt idx="9485">
                  <c:v>-5.15</c:v>
                </c:pt>
                <c:pt idx="9486">
                  <c:v>-5.14</c:v>
                </c:pt>
                <c:pt idx="9487">
                  <c:v>-5.13</c:v>
                </c:pt>
                <c:pt idx="9488">
                  <c:v>-5.12</c:v>
                </c:pt>
                <c:pt idx="9489">
                  <c:v>-5.11</c:v>
                </c:pt>
                <c:pt idx="9490">
                  <c:v>-5.1</c:v>
                </c:pt>
                <c:pt idx="9491">
                  <c:v>-5.09</c:v>
                </c:pt>
                <c:pt idx="9492">
                  <c:v>-5.08</c:v>
                </c:pt>
                <c:pt idx="9493">
                  <c:v>-5.07</c:v>
                </c:pt>
                <c:pt idx="9494">
                  <c:v>-5.06</c:v>
                </c:pt>
                <c:pt idx="9495">
                  <c:v>-5.05</c:v>
                </c:pt>
                <c:pt idx="9496">
                  <c:v>-5.04</c:v>
                </c:pt>
                <c:pt idx="9497">
                  <c:v>-5.03</c:v>
                </c:pt>
                <c:pt idx="9498">
                  <c:v>-5.02</c:v>
                </c:pt>
                <c:pt idx="9499">
                  <c:v>-5.01</c:v>
                </c:pt>
                <c:pt idx="9500">
                  <c:v>-5.0</c:v>
                </c:pt>
                <c:pt idx="9501">
                  <c:v>-4.99</c:v>
                </c:pt>
                <c:pt idx="9502">
                  <c:v>-4.98</c:v>
                </c:pt>
                <c:pt idx="9503">
                  <c:v>-4.97</c:v>
                </c:pt>
                <c:pt idx="9504">
                  <c:v>-4.96</c:v>
                </c:pt>
                <c:pt idx="9505">
                  <c:v>-4.95</c:v>
                </c:pt>
                <c:pt idx="9506">
                  <c:v>-4.94</c:v>
                </c:pt>
                <c:pt idx="9507">
                  <c:v>-4.93</c:v>
                </c:pt>
                <c:pt idx="9508">
                  <c:v>-4.92</c:v>
                </c:pt>
                <c:pt idx="9509">
                  <c:v>-4.91</c:v>
                </c:pt>
                <c:pt idx="9510">
                  <c:v>-4.9</c:v>
                </c:pt>
                <c:pt idx="9511">
                  <c:v>-4.89</c:v>
                </c:pt>
                <c:pt idx="9512">
                  <c:v>-4.88</c:v>
                </c:pt>
                <c:pt idx="9513">
                  <c:v>-4.87</c:v>
                </c:pt>
                <c:pt idx="9514">
                  <c:v>-4.86</c:v>
                </c:pt>
                <c:pt idx="9515">
                  <c:v>-4.85</c:v>
                </c:pt>
                <c:pt idx="9516">
                  <c:v>-4.84</c:v>
                </c:pt>
                <c:pt idx="9517">
                  <c:v>-4.83</c:v>
                </c:pt>
                <c:pt idx="9518">
                  <c:v>-4.82</c:v>
                </c:pt>
                <c:pt idx="9519">
                  <c:v>-4.81</c:v>
                </c:pt>
                <c:pt idx="9520">
                  <c:v>-4.8</c:v>
                </c:pt>
                <c:pt idx="9521">
                  <c:v>-4.79</c:v>
                </c:pt>
                <c:pt idx="9522">
                  <c:v>-4.78</c:v>
                </c:pt>
                <c:pt idx="9523">
                  <c:v>-4.77</c:v>
                </c:pt>
                <c:pt idx="9524">
                  <c:v>-4.76</c:v>
                </c:pt>
                <c:pt idx="9525">
                  <c:v>-4.75</c:v>
                </c:pt>
                <c:pt idx="9526">
                  <c:v>-4.74</c:v>
                </c:pt>
                <c:pt idx="9527">
                  <c:v>-4.73</c:v>
                </c:pt>
                <c:pt idx="9528">
                  <c:v>-4.72</c:v>
                </c:pt>
                <c:pt idx="9529">
                  <c:v>-4.71</c:v>
                </c:pt>
                <c:pt idx="9530">
                  <c:v>-4.7</c:v>
                </c:pt>
                <c:pt idx="9531">
                  <c:v>-4.69</c:v>
                </c:pt>
                <c:pt idx="9532">
                  <c:v>-4.68</c:v>
                </c:pt>
                <c:pt idx="9533">
                  <c:v>-4.67</c:v>
                </c:pt>
                <c:pt idx="9534">
                  <c:v>-4.66</c:v>
                </c:pt>
                <c:pt idx="9535">
                  <c:v>-4.65</c:v>
                </c:pt>
                <c:pt idx="9536">
                  <c:v>-4.64</c:v>
                </c:pt>
                <c:pt idx="9537">
                  <c:v>-4.63</c:v>
                </c:pt>
                <c:pt idx="9538">
                  <c:v>-4.62</c:v>
                </c:pt>
                <c:pt idx="9539">
                  <c:v>-4.61</c:v>
                </c:pt>
                <c:pt idx="9540">
                  <c:v>-4.6</c:v>
                </c:pt>
                <c:pt idx="9541">
                  <c:v>-4.59</c:v>
                </c:pt>
                <c:pt idx="9542">
                  <c:v>-4.58</c:v>
                </c:pt>
                <c:pt idx="9543">
                  <c:v>-4.57</c:v>
                </c:pt>
                <c:pt idx="9544">
                  <c:v>-4.56</c:v>
                </c:pt>
                <c:pt idx="9545">
                  <c:v>-4.55</c:v>
                </c:pt>
                <c:pt idx="9546">
                  <c:v>-4.54</c:v>
                </c:pt>
                <c:pt idx="9547">
                  <c:v>-4.53</c:v>
                </c:pt>
                <c:pt idx="9548">
                  <c:v>-4.52</c:v>
                </c:pt>
                <c:pt idx="9549">
                  <c:v>-4.51</c:v>
                </c:pt>
                <c:pt idx="9550">
                  <c:v>-4.5</c:v>
                </c:pt>
                <c:pt idx="9551">
                  <c:v>-4.49</c:v>
                </c:pt>
                <c:pt idx="9552">
                  <c:v>-4.48</c:v>
                </c:pt>
                <c:pt idx="9553">
                  <c:v>-4.47</c:v>
                </c:pt>
                <c:pt idx="9554">
                  <c:v>-4.46</c:v>
                </c:pt>
                <c:pt idx="9555">
                  <c:v>-4.45</c:v>
                </c:pt>
                <c:pt idx="9556">
                  <c:v>-4.44</c:v>
                </c:pt>
                <c:pt idx="9557">
                  <c:v>-4.43</c:v>
                </c:pt>
                <c:pt idx="9558">
                  <c:v>-4.42</c:v>
                </c:pt>
                <c:pt idx="9559">
                  <c:v>-4.41</c:v>
                </c:pt>
                <c:pt idx="9560">
                  <c:v>-4.4</c:v>
                </c:pt>
                <c:pt idx="9561">
                  <c:v>-4.39</c:v>
                </c:pt>
                <c:pt idx="9562">
                  <c:v>-4.38</c:v>
                </c:pt>
                <c:pt idx="9563">
                  <c:v>-4.37</c:v>
                </c:pt>
                <c:pt idx="9564">
                  <c:v>-4.36</c:v>
                </c:pt>
                <c:pt idx="9565">
                  <c:v>-4.35</c:v>
                </c:pt>
                <c:pt idx="9566">
                  <c:v>-4.34</c:v>
                </c:pt>
                <c:pt idx="9567">
                  <c:v>-4.33</c:v>
                </c:pt>
                <c:pt idx="9568">
                  <c:v>-4.32</c:v>
                </c:pt>
                <c:pt idx="9569">
                  <c:v>-4.31</c:v>
                </c:pt>
                <c:pt idx="9570">
                  <c:v>-4.3</c:v>
                </c:pt>
                <c:pt idx="9571">
                  <c:v>-4.29</c:v>
                </c:pt>
                <c:pt idx="9572">
                  <c:v>-4.28</c:v>
                </c:pt>
                <c:pt idx="9573">
                  <c:v>-4.27</c:v>
                </c:pt>
                <c:pt idx="9574">
                  <c:v>-4.26</c:v>
                </c:pt>
                <c:pt idx="9575">
                  <c:v>-4.25</c:v>
                </c:pt>
                <c:pt idx="9576">
                  <c:v>-4.24</c:v>
                </c:pt>
                <c:pt idx="9577">
                  <c:v>-4.23</c:v>
                </c:pt>
                <c:pt idx="9578">
                  <c:v>-4.22</c:v>
                </c:pt>
                <c:pt idx="9579">
                  <c:v>-4.21</c:v>
                </c:pt>
                <c:pt idx="9580">
                  <c:v>-4.2</c:v>
                </c:pt>
                <c:pt idx="9581">
                  <c:v>-4.19</c:v>
                </c:pt>
                <c:pt idx="9582">
                  <c:v>-4.18</c:v>
                </c:pt>
                <c:pt idx="9583">
                  <c:v>-4.17</c:v>
                </c:pt>
                <c:pt idx="9584">
                  <c:v>-4.16</c:v>
                </c:pt>
                <c:pt idx="9585">
                  <c:v>-4.15</c:v>
                </c:pt>
                <c:pt idx="9586">
                  <c:v>-4.14</c:v>
                </c:pt>
                <c:pt idx="9587">
                  <c:v>-4.13</c:v>
                </c:pt>
                <c:pt idx="9588">
                  <c:v>-4.12</c:v>
                </c:pt>
                <c:pt idx="9589">
                  <c:v>-4.11</c:v>
                </c:pt>
                <c:pt idx="9590">
                  <c:v>-4.1</c:v>
                </c:pt>
                <c:pt idx="9591">
                  <c:v>-4.09</c:v>
                </c:pt>
                <c:pt idx="9592">
                  <c:v>-4.08</c:v>
                </c:pt>
                <c:pt idx="9593">
                  <c:v>-4.07</c:v>
                </c:pt>
                <c:pt idx="9594">
                  <c:v>-4.06</c:v>
                </c:pt>
                <c:pt idx="9595">
                  <c:v>-4.05</c:v>
                </c:pt>
                <c:pt idx="9596">
                  <c:v>-4.04</c:v>
                </c:pt>
                <c:pt idx="9597">
                  <c:v>-4.03</c:v>
                </c:pt>
                <c:pt idx="9598">
                  <c:v>-4.02</c:v>
                </c:pt>
                <c:pt idx="9599">
                  <c:v>-4.01</c:v>
                </c:pt>
                <c:pt idx="9600">
                  <c:v>-4.0</c:v>
                </c:pt>
                <c:pt idx="9601">
                  <c:v>-3.99</c:v>
                </c:pt>
                <c:pt idx="9602">
                  <c:v>-3.98</c:v>
                </c:pt>
                <c:pt idx="9603">
                  <c:v>-3.97</c:v>
                </c:pt>
                <c:pt idx="9604">
                  <c:v>-3.96</c:v>
                </c:pt>
                <c:pt idx="9605">
                  <c:v>-3.95</c:v>
                </c:pt>
                <c:pt idx="9606">
                  <c:v>-3.94</c:v>
                </c:pt>
                <c:pt idx="9607">
                  <c:v>-3.93</c:v>
                </c:pt>
                <c:pt idx="9608">
                  <c:v>-3.92</c:v>
                </c:pt>
                <c:pt idx="9609">
                  <c:v>-3.91</c:v>
                </c:pt>
                <c:pt idx="9610">
                  <c:v>-3.9</c:v>
                </c:pt>
                <c:pt idx="9611">
                  <c:v>-3.89</c:v>
                </c:pt>
                <c:pt idx="9612">
                  <c:v>-3.88</c:v>
                </c:pt>
                <c:pt idx="9613">
                  <c:v>-3.87</c:v>
                </c:pt>
                <c:pt idx="9614">
                  <c:v>-3.86</c:v>
                </c:pt>
                <c:pt idx="9615">
                  <c:v>-3.85</c:v>
                </c:pt>
                <c:pt idx="9616">
                  <c:v>-3.84</c:v>
                </c:pt>
                <c:pt idx="9617">
                  <c:v>-3.83</c:v>
                </c:pt>
                <c:pt idx="9618">
                  <c:v>-3.82</c:v>
                </c:pt>
                <c:pt idx="9619">
                  <c:v>-3.81</c:v>
                </c:pt>
                <c:pt idx="9620">
                  <c:v>-3.8</c:v>
                </c:pt>
                <c:pt idx="9621">
                  <c:v>-3.79</c:v>
                </c:pt>
                <c:pt idx="9622">
                  <c:v>-3.78</c:v>
                </c:pt>
                <c:pt idx="9623">
                  <c:v>-3.77</c:v>
                </c:pt>
                <c:pt idx="9624">
                  <c:v>-3.76</c:v>
                </c:pt>
                <c:pt idx="9625">
                  <c:v>-3.75</c:v>
                </c:pt>
                <c:pt idx="9626">
                  <c:v>-3.74</c:v>
                </c:pt>
                <c:pt idx="9627">
                  <c:v>-3.73</c:v>
                </c:pt>
                <c:pt idx="9628">
                  <c:v>-3.72</c:v>
                </c:pt>
                <c:pt idx="9629">
                  <c:v>-3.71</c:v>
                </c:pt>
                <c:pt idx="9630">
                  <c:v>-3.7</c:v>
                </c:pt>
                <c:pt idx="9631">
                  <c:v>-3.69</c:v>
                </c:pt>
                <c:pt idx="9632">
                  <c:v>-3.68</c:v>
                </c:pt>
                <c:pt idx="9633">
                  <c:v>-3.67</c:v>
                </c:pt>
                <c:pt idx="9634">
                  <c:v>-3.66</c:v>
                </c:pt>
                <c:pt idx="9635">
                  <c:v>-3.65</c:v>
                </c:pt>
                <c:pt idx="9636">
                  <c:v>-3.64</c:v>
                </c:pt>
                <c:pt idx="9637">
                  <c:v>-3.63</c:v>
                </c:pt>
                <c:pt idx="9638">
                  <c:v>-3.62</c:v>
                </c:pt>
                <c:pt idx="9639">
                  <c:v>-3.61</c:v>
                </c:pt>
                <c:pt idx="9640">
                  <c:v>-3.6</c:v>
                </c:pt>
                <c:pt idx="9641">
                  <c:v>-3.59</c:v>
                </c:pt>
                <c:pt idx="9642">
                  <c:v>-3.58</c:v>
                </c:pt>
                <c:pt idx="9643">
                  <c:v>-3.57</c:v>
                </c:pt>
                <c:pt idx="9644">
                  <c:v>-3.56</c:v>
                </c:pt>
                <c:pt idx="9645">
                  <c:v>-3.55</c:v>
                </c:pt>
                <c:pt idx="9646">
                  <c:v>-3.54</c:v>
                </c:pt>
                <c:pt idx="9647">
                  <c:v>-3.53</c:v>
                </c:pt>
                <c:pt idx="9648">
                  <c:v>-3.52</c:v>
                </c:pt>
                <c:pt idx="9649">
                  <c:v>-3.51</c:v>
                </c:pt>
                <c:pt idx="9650">
                  <c:v>-3.5</c:v>
                </c:pt>
                <c:pt idx="9651">
                  <c:v>-3.49</c:v>
                </c:pt>
                <c:pt idx="9652">
                  <c:v>-3.48</c:v>
                </c:pt>
                <c:pt idx="9653">
                  <c:v>-3.47</c:v>
                </c:pt>
                <c:pt idx="9654">
                  <c:v>-3.46</c:v>
                </c:pt>
                <c:pt idx="9655">
                  <c:v>-3.45</c:v>
                </c:pt>
                <c:pt idx="9656">
                  <c:v>-3.44</c:v>
                </c:pt>
                <c:pt idx="9657">
                  <c:v>-3.43</c:v>
                </c:pt>
                <c:pt idx="9658">
                  <c:v>-3.42</c:v>
                </c:pt>
                <c:pt idx="9659">
                  <c:v>-3.41</c:v>
                </c:pt>
                <c:pt idx="9660">
                  <c:v>-3.4</c:v>
                </c:pt>
                <c:pt idx="9661">
                  <c:v>-3.39</c:v>
                </c:pt>
                <c:pt idx="9662">
                  <c:v>-3.38</c:v>
                </c:pt>
                <c:pt idx="9663">
                  <c:v>-3.37</c:v>
                </c:pt>
                <c:pt idx="9664">
                  <c:v>-3.36</c:v>
                </c:pt>
                <c:pt idx="9665">
                  <c:v>-3.35</c:v>
                </c:pt>
                <c:pt idx="9666">
                  <c:v>-3.34</c:v>
                </c:pt>
                <c:pt idx="9667">
                  <c:v>-3.33</c:v>
                </c:pt>
                <c:pt idx="9668">
                  <c:v>-3.32</c:v>
                </c:pt>
                <c:pt idx="9669">
                  <c:v>-3.31</c:v>
                </c:pt>
                <c:pt idx="9670">
                  <c:v>-3.3</c:v>
                </c:pt>
                <c:pt idx="9671">
                  <c:v>-3.29</c:v>
                </c:pt>
                <c:pt idx="9672">
                  <c:v>-3.28</c:v>
                </c:pt>
                <c:pt idx="9673">
                  <c:v>-3.27</c:v>
                </c:pt>
                <c:pt idx="9674">
                  <c:v>-3.26</c:v>
                </c:pt>
                <c:pt idx="9675">
                  <c:v>-3.25</c:v>
                </c:pt>
                <c:pt idx="9676">
                  <c:v>-3.24</c:v>
                </c:pt>
                <c:pt idx="9677">
                  <c:v>-3.23</c:v>
                </c:pt>
                <c:pt idx="9678">
                  <c:v>-3.22</c:v>
                </c:pt>
                <c:pt idx="9679">
                  <c:v>-3.21</c:v>
                </c:pt>
                <c:pt idx="9680">
                  <c:v>-3.2</c:v>
                </c:pt>
                <c:pt idx="9681">
                  <c:v>-3.19</c:v>
                </c:pt>
                <c:pt idx="9682">
                  <c:v>-3.18</c:v>
                </c:pt>
                <c:pt idx="9683">
                  <c:v>-3.17</c:v>
                </c:pt>
                <c:pt idx="9684">
                  <c:v>-3.16</c:v>
                </c:pt>
                <c:pt idx="9685">
                  <c:v>-3.15</c:v>
                </c:pt>
                <c:pt idx="9686">
                  <c:v>-3.14</c:v>
                </c:pt>
                <c:pt idx="9687">
                  <c:v>-3.13</c:v>
                </c:pt>
                <c:pt idx="9688">
                  <c:v>-3.12</c:v>
                </c:pt>
                <c:pt idx="9689">
                  <c:v>-3.11</c:v>
                </c:pt>
                <c:pt idx="9690">
                  <c:v>-3.1</c:v>
                </c:pt>
                <c:pt idx="9691">
                  <c:v>-3.09</c:v>
                </c:pt>
                <c:pt idx="9692">
                  <c:v>-3.08</c:v>
                </c:pt>
                <c:pt idx="9693">
                  <c:v>-3.07</c:v>
                </c:pt>
                <c:pt idx="9694">
                  <c:v>-3.06</c:v>
                </c:pt>
                <c:pt idx="9695">
                  <c:v>-3.05</c:v>
                </c:pt>
                <c:pt idx="9696">
                  <c:v>-3.04</c:v>
                </c:pt>
                <c:pt idx="9697">
                  <c:v>-3.03</c:v>
                </c:pt>
                <c:pt idx="9698">
                  <c:v>-3.02</c:v>
                </c:pt>
                <c:pt idx="9699">
                  <c:v>-3.01</c:v>
                </c:pt>
                <c:pt idx="9700">
                  <c:v>-3.0</c:v>
                </c:pt>
                <c:pt idx="9701">
                  <c:v>-2.99</c:v>
                </c:pt>
                <c:pt idx="9702">
                  <c:v>-2.98</c:v>
                </c:pt>
                <c:pt idx="9703">
                  <c:v>-2.97</c:v>
                </c:pt>
                <c:pt idx="9704">
                  <c:v>-2.96</c:v>
                </c:pt>
                <c:pt idx="9705">
                  <c:v>-2.95</c:v>
                </c:pt>
                <c:pt idx="9706">
                  <c:v>-2.94</c:v>
                </c:pt>
                <c:pt idx="9707">
                  <c:v>-2.93</c:v>
                </c:pt>
                <c:pt idx="9708">
                  <c:v>-2.92</c:v>
                </c:pt>
                <c:pt idx="9709">
                  <c:v>-2.91</c:v>
                </c:pt>
                <c:pt idx="9710">
                  <c:v>-2.9</c:v>
                </c:pt>
                <c:pt idx="9711">
                  <c:v>-2.89</c:v>
                </c:pt>
                <c:pt idx="9712">
                  <c:v>-2.88</c:v>
                </c:pt>
                <c:pt idx="9713">
                  <c:v>-2.87</c:v>
                </c:pt>
                <c:pt idx="9714">
                  <c:v>-2.86</c:v>
                </c:pt>
                <c:pt idx="9715">
                  <c:v>-2.85</c:v>
                </c:pt>
                <c:pt idx="9716">
                  <c:v>-2.84</c:v>
                </c:pt>
                <c:pt idx="9717">
                  <c:v>-2.83</c:v>
                </c:pt>
                <c:pt idx="9718">
                  <c:v>-2.82</c:v>
                </c:pt>
                <c:pt idx="9719">
                  <c:v>-2.81</c:v>
                </c:pt>
                <c:pt idx="9720">
                  <c:v>-2.8</c:v>
                </c:pt>
                <c:pt idx="9721">
                  <c:v>-2.79</c:v>
                </c:pt>
                <c:pt idx="9722">
                  <c:v>-2.78</c:v>
                </c:pt>
                <c:pt idx="9723">
                  <c:v>-2.77</c:v>
                </c:pt>
                <c:pt idx="9724">
                  <c:v>-2.76</c:v>
                </c:pt>
                <c:pt idx="9725">
                  <c:v>-2.75</c:v>
                </c:pt>
                <c:pt idx="9726">
                  <c:v>-2.74</c:v>
                </c:pt>
                <c:pt idx="9727">
                  <c:v>-2.73</c:v>
                </c:pt>
                <c:pt idx="9728">
                  <c:v>-2.72</c:v>
                </c:pt>
                <c:pt idx="9729">
                  <c:v>-2.71</c:v>
                </c:pt>
                <c:pt idx="9730">
                  <c:v>-2.7</c:v>
                </c:pt>
                <c:pt idx="9731">
                  <c:v>-2.69</c:v>
                </c:pt>
                <c:pt idx="9732">
                  <c:v>-2.68</c:v>
                </c:pt>
                <c:pt idx="9733">
                  <c:v>-2.67</c:v>
                </c:pt>
                <c:pt idx="9734">
                  <c:v>-2.66</c:v>
                </c:pt>
                <c:pt idx="9735">
                  <c:v>-2.65</c:v>
                </c:pt>
                <c:pt idx="9736">
                  <c:v>-2.64</c:v>
                </c:pt>
                <c:pt idx="9737">
                  <c:v>-2.63</c:v>
                </c:pt>
                <c:pt idx="9738">
                  <c:v>-2.62</c:v>
                </c:pt>
                <c:pt idx="9739">
                  <c:v>-2.61</c:v>
                </c:pt>
                <c:pt idx="9740">
                  <c:v>-2.6</c:v>
                </c:pt>
                <c:pt idx="9741">
                  <c:v>-2.59</c:v>
                </c:pt>
                <c:pt idx="9742">
                  <c:v>-2.58</c:v>
                </c:pt>
                <c:pt idx="9743">
                  <c:v>-2.57</c:v>
                </c:pt>
                <c:pt idx="9744">
                  <c:v>-2.56</c:v>
                </c:pt>
                <c:pt idx="9745">
                  <c:v>-2.55</c:v>
                </c:pt>
                <c:pt idx="9746">
                  <c:v>-2.54</c:v>
                </c:pt>
                <c:pt idx="9747">
                  <c:v>-2.53</c:v>
                </c:pt>
                <c:pt idx="9748">
                  <c:v>-2.52</c:v>
                </c:pt>
                <c:pt idx="9749">
                  <c:v>-2.51</c:v>
                </c:pt>
                <c:pt idx="9750">
                  <c:v>-2.5</c:v>
                </c:pt>
                <c:pt idx="9751">
                  <c:v>-2.49</c:v>
                </c:pt>
                <c:pt idx="9752">
                  <c:v>-2.48</c:v>
                </c:pt>
                <c:pt idx="9753">
                  <c:v>-2.47</c:v>
                </c:pt>
                <c:pt idx="9754">
                  <c:v>-2.46</c:v>
                </c:pt>
                <c:pt idx="9755">
                  <c:v>-2.45</c:v>
                </c:pt>
                <c:pt idx="9756">
                  <c:v>-2.44</c:v>
                </c:pt>
                <c:pt idx="9757">
                  <c:v>-2.43</c:v>
                </c:pt>
                <c:pt idx="9758">
                  <c:v>-2.42</c:v>
                </c:pt>
                <c:pt idx="9759">
                  <c:v>-2.41</c:v>
                </c:pt>
                <c:pt idx="9760">
                  <c:v>-2.4</c:v>
                </c:pt>
                <c:pt idx="9761">
                  <c:v>-2.39</c:v>
                </c:pt>
                <c:pt idx="9762">
                  <c:v>-2.38</c:v>
                </c:pt>
                <c:pt idx="9763">
                  <c:v>-2.37</c:v>
                </c:pt>
                <c:pt idx="9764">
                  <c:v>-2.36</c:v>
                </c:pt>
                <c:pt idx="9765">
                  <c:v>-2.35</c:v>
                </c:pt>
                <c:pt idx="9766">
                  <c:v>-2.34</c:v>
                </c:pt>
                <c:pt idx="9767">
                  <c:v>-2.33</c:v>
                </c:pt>
                <c:pt idx="9768">
                  <c:v>-2.32</c:v>
                </c:pt>
                <c:pt idx="9769">
                  <c:v>-2.31</c:v>
                </c:pt>
                <c:pt idx="9770">
                  <c:v>-2.3</c:v>
                </c:pt>
                <c:pt idx="9771">
                  <c:v>-2.29</c:v>
                </c:pt>
                <c:pt idx="9772">
                  <c:v>-2.28</c:v>
                </c:pt>
                <c:pt idx="9773">
                  <c:v>-2.27</c:v>
                </c:pt>
                <c:pt idx="9774">
                  <c:v>-2.26</c:v>
                </c:pt>
                <c:pt idx="9775">
                  <c:v>-2.25</c:v>
                </c:pt>
                <c:pt idx="9776">
                  <c:v>-2.24</c:v>
                </c:pt>
                <c:pt idx="9777">
                  <c:v>-2.23</c:v>
                </c:pt>
                <c:pt idx="9778">
                  <c:v>-2.22</c:v>
                </c:pt>
                <c:pt idx="9779">
                  <c:v>-2.21</c:v>
                </c:pt>
                <c:pt idx="9780">
                  <c:v>-2.2</c:v>
                </c:pt>
                <c:pt idx="9781">
                  <c:v>-2.19</c:v>
                </c:pt>
                <c:pt idx="9782">
                  <c:v>-2.18</c:v>
                </c:pt>
                <c:pt idx="9783">
                  <c:v>-2.17</c:v>
                </c:pt>
                <c:pt idx="9784">
                  <c:v>-2.16</c:v>
                </c:pt>
                <c:pt idx="9785">
                  <c:v>-2.15</c:v>
                </c:pt>
                <c:pt idx="9786">
                  <c:v>-2.14</c:v>
                </c:pt>
                <c:pt idx="9787">
                  <c:v>-2.13</c:v>
                </c:pt>
                <c:pt idx="9788">
                  <c:v>-2.12</c:v>
                </c:pt>
                <c:pt idx="9789">
                  <c:v>-2.11</c:v>
                </c:pt>
                <c:pt idx="9790">
                  <c:v>-2.1</c:v>
                </c:pt>
                <c:pt idx="9791">
                  <c:v>-2.09</c:v>
                </c:pt>
                <c:pt idx="9792">
                  <c:v>-2.08</c:v>
                </c:pt>
                <c:pt idx="9793">
                  <c:v>-2.07</c:v>
                </c:pt>
                <c:pt idx="9794">
                  <c:v>-2.06</c:v>
                </c:pt>
                <c:pt idx="9795">
                  <c:v>-2.05</c:v>
                </c:pt>
                <c:pt idx="9796">
                  <c:v>-2.04</c:v>
                </c:pt>
                <c:pt idx="9797">
                  <c:v>-2.03</c:v>
                </c:pt>
                <c:pt idx="9798">
                  <c:v>-2.02</c:v>
                </c:pt>
                <c:pt idx="9799">
                  <c:v>-2.01</c:v>
                </c:pt>
                <c:pt idx="9800">
                  <c:v>-2.0</c:v>
                </c:pt>
                <c:pt idx="9801">
                  <c:v>-1.99</c:v>
                </c:pt>
                <c:pt idx="9802">
                  <c:v>-1.98</c:v>
                </c:pt>
                <c:pt idx="9803">
                  <c:v>-1.97</c:v>
                </c:pt>
                <c:pt idx="9804">
                  <c:v>-1.96</c:v>
                </c:pt>
                <c:pt idx="9805">
                  <c:v>-1.95</c:v>
                </c:pt>
                <c:pt idx="9806">
                  <c:v>-1.94</c:v>
                </c:pt>
                <c:pt idx="9807">
                  <c:v>-1.93</c:v>
                </c:pt>
                <c:pt idx="9808">
                  <c:v>-1.92</c:v>
                </c:pt>
                <c:pt idx="9809">
                  <c:v>-1.91</c:v>
                </c:pt>
                <c:pt idx="9810">
                  <c:v>-1.9</c:v>
                </c:pt>
                <c:pt idx="9811">
                  <c:v>-1.89</c:v>
                </c:pt>
                <c:pt idx="9812">
                  <c:v>-1.88</c:v>
                </c:pt>
                <c:pt idx="9813">
                  <c:v>-1.87</c:v>
                </c:pt>
                <c:pt idx="9814">
                  <c:v>-1.86</c:v>
                </c:pt>
                <c:pt idx="9815">
                  <c:v>-1.85</c:v>
                </c:pt>
                <c:pt idx="9816">
                  <c:v>-1.84</c:v>
                </c:pt>
                <c:pt idx="9817">
                  <c:v>-1.83</c:v>
                </c:pt>
                <c:pt idx="9818">
                  <c:v>-1.82</c:v>
                </c:pt>
                <c:pt idx="9819">
                  <c:v>-1.81</c:v>
                </c:pt>
                <c:pt idx="9820">
                  <c:v>-1.8</c:v>
                </c:pt>
                <c:pt idx="9821">
                  <c:v>-1.79</c:v>
                </c:pt>
                <c:pt idx="9822">
                  <c:v>-1.78</c:v>
                </c:pt>
                <c:pt idx="9823">
                  <c:v>-1.77</c:v>
                </c:pt>
                <c:pt idx="9824">
                  <c:v>-1.76</c:v>
                </c:pt>
                <c:pt idx="9825">
                  <c:v>-1.75</c:v>
                </c:pt>
                <c:pt idx="9826">
                  <c:v>-1.74</c:v>
                </c:pt>
                <c:pt idx="9827">
                  <c:v>-1.73</c:v>
                </c:pt>
                <c:pt idx="9828">
                  <c:v>-1.72</c:v>
                </c:pt>
                <c:pt idx="9829">
                  <c:v>-1.71</c:v>
                </c:pt>
                <c:pt idx="9830">
                  <c:v>-1.7</c:v>
                </c:pt>
                <c:pt idx="9831">
                  <c:v>-1.69</c:v>
                </c:pt>
                <c:pt idx="9832">
                  <c:v>-1.68</c:v>
                </c:pt>
                <c:pt idx="9833">
                  <c:v>-1.67</c:v>
                </c:pt>
                <c:pt idx="9834">
                  <c:v>-1.66</c:v>
                </c:pt>
                <c:pt idx="9835">
                  <c:v>-1.65</c:v>
                </c:pt>
                <c:pt idx="9836">
                  <c:v>-1.64</c:v>
                </c:pt>
                <c:pt idx="9837">
                  <c:v>-1.63</c:v>
                </c:pt>
                <c:pt idx="9838">
                  <c:v>-1.62</c:v>
                </c:pt>
                <c:pt idx="9839">
                  <c:v>-1.61</c:v>
                </c:pt>
                <c:pt idx="9840">
                  <c:v>-1.6</c:v>
                </c:pt>
                <c:pt idx="9841">
                  <c:v>-1.59</c:v>
                </c:pt>
                <c:pt idx="9842">
                  <c:v>-1.58</c:v>
                </c:pt>
                <c:pt idx="9843">
                  <c:v>-1.57</c:v>
                </c:pt>
                <c:pt idx="9844">
                  <c:v>-1.56</c:v>
                </c:pt>
                <c:pt idx="9845">
                  <c:v>-1.55</c:v>
                </c:pt>
                <c:pt idx="9846">
                  <c:v>-1.54</c:v>
                </c:pt>
                <c:pt idx="9847">
                  <c:v>-1.53</c:v>
                </c:pt>
                <c:pt idx="9848">
                  <c:v>-1.52</c:v>
                </c:pt>
                <c:pt idx="9849">
                  <c:v>-1.51</c:v>
                </c:pt>
                <c:pt idx="9850">
                  <c:v>-1.5</c:v>
                </c:pt>
                <c:pt idx="9851">
                  <c:v>-1.49</c:v>
                </c:pt>
                <c:pt idx="9852">
                  <c:v>-1.48</c:v>
                </c:pt>
                <c:pt idx="9853">
                  <c:v>-1.47</c:v>
                </c:pt>
                <c:pt idx="9854">
                  <c:v>-1.46</c:v>
                </c:pt>
                <c:pt idx="9855">
                  <c:v>-1.45</c:v>
                </c:pt>
                <c:pt idx="9856">
                  <c:v>-1.44</c:v>
                </c:pt>
                <c:pt idx="9857">
                  <c:v>-1.43</c:v>
                </c:pt>
                <c:pt idx="9858">
                  <c:v>-1.42</c:v>
                </c:pt>
                <c:pt idx="9859">
                  <c:v>-1.41</c:v>
                </c:pt>
                <c:pt idx="9860">
                  <c:v>-1.4</c:v>
                </c:pt>
                <c:pt idx="9861">
                  <c:v>-1.39</c:v>
                </c:pt>
                <c:pt idx="9862">
                  <c:v>-1.38</c:v>
                </c:pt>
                <c:pt idx="9863">
                  <c:v>-1.37</c:v>
                </c:pt>
                <c:pt idx="9864">
                  <c:v>-1.36</c:v>
                </c:pt>
                <c:pt idx="9865">
                  <c:v>-1.35</c:v>
                </c:pt>
                <c:pt idx="9866">
                  <c:v>-1.34</c:v>
                </c:pt>
                <c:pt idx="9867">
                  <c:v>-1.33</c:v>
                </c:pt>
                <c:pt idx="9868">
                  <c:v>-1.32</c:v>
                </c:pt>
                <c:pt idx="9869">
                  <c:v>-1.31</c:v>
                </c:pt>
                <c:pt idx="9870">
                  <c:v>-1.3</c:v>
                </c:pt>
                <c:pt idx="9871">
                  <c:v>-1.29</c:v>
                </c:pt>
                <c:pt idx="9872">
                  <c:v>-1.28</c:v>
                </c:pt>
                <c:pt idx="9873">
                  <c:v>-1.27</c:v>
                </c:pt>
                <c:pt idx="9874">
                  <c:v>-1.26</c:v>
                </c:pt>
                <c:pt idx="9875">
                  <c:v>-1.25</c:v>
                </c:pt>
                <c:pt idx="9876">
                  <c:v>-1.24</c:v>
                </c:pt>
                <c:pt idx="9877">
                  <c:v>-1.23</c:v>
                </c:pt>
                <c:pt idx="9878">
                  <c:v>-1.22</c:v>
                </c:pt>
                <c:pt idx="9879">
                  <c:v>-1.21</c:v>
                </c:pt>
                <c:pt idx="9880">
                  <c:v>-1.2</c:v>
                </c:pt>
                <c:pt idx="9881">
                  <c:v>-1.19</c:v>
                </c:pt>
                <c:pt idx="9882">
                  <c:v>-1.18</c:v>
                </c:pt>
                <c:pt idx="9883">
                  <c:v>-1.17</c:v>
                </c:pt>
                <c:pt idx="9884">
                  <c:v>-1.16</c:v>
                </c:pt>
                <c:pt idx="9885">
                  <c:v>-1.15</c:v>
                </c:pt>
                <c:pt idx="9886">
                  <c:v>-1.14</c:v>
                </c:pt>
                <c:pt idx="9887">
                  <c:v>-1.13</c:v>
                </c:pt>
                <c:pt idx="9888">
                  <c:v>-1.12</c:v>
                </c:pt>
                <c:pt idx="9889">
                  <c:v>-1.11</c:v>
                </c:pt>
                <c:pt idx="9890">
                  <c:v>-1.1</c:v>
                </c:pt>
                <c:pt idx="9891">
                  <c:v>-1.09</c:v>
                </c:pt>
                <c:pt idx="9892">
                  <c:v>-1.08</c:v>
                </c:pt>
                <c:pt idx="9893">
                  <c:v>-1.07</c:v>
                </c:pt>
                <c:pt idx="9894">
                  <c:v>-1.06</c:v>
                </c:pt>
                <c:pt idx="9895">
                  <c:v>-1.05</c:v>
                </c:pt>
                <c:pt idx="9896">
                  <c:v>-1.04</c:v>
                </c:pt>
                <c:pt idx="9897">
                  <c:v>-1.03</c:v>
                </c:pt>
                <c:pt idx="9898">
                  <c:v>-1.02</c:v>
                </c:pt>
                <c:pt idx="9899">
                  <c:v>-1.01</c:v>
                </c:pt>
                <c:pt idx="9900">
                  <c:v>-1.0</c:v>
                </c:pt>
                <c:pt idx="9901">
                  <c:v>-0.99</c:v>
                </c:pt>
                <c:pt idx="9902">
                  <c:v>-0.98</c:v>
                </c:pt>
                <c:pt idx="9903">
                  <c:v>-0.97</c:v>
                </c:pt>
                <c:pt idx="9904">
                  <c:v>-0.96</c:v>
                </c:pt>
                <c:pt idx="9905">
                  <c:v>-0.95</c:v>
                </c:pt>
                <c:pt idx="9906">
                  <c:v>-0.94</c:v>
                </c:pt>
                <c:pt idx="9907">
                  <c:v>-0.93</c:v>
                </c:pt>
                <c:pt idx="9908">
                  <c:v>-0.92</c:v>
                </c:pt>
                <c:pt idx="9909">
                  <c:v>-0.91</c:v>
                </c:pt>
                <c:pt idx="9910">
                  <c:v>-0.9</c:v>
                </c:pt>
                <c:pt idx="9911">
                  <c:v>-0.89</c:v>
                </c:pt>
                <c:pt idx="9912">
                  <c:v>-0.88</c:v>
                </c:pt>
                <c:pt idx="9913">
                  <c:v>-0.87</c:v>
                </c:pt>
                <c:pt idx="9914">
                  <c:v>-0.86</c:v>
                </c:pt>
                <c:pt idx="9915">
                  <c:v>-0.85</c:v>
                </c:pt>
                <c:pt idx="9916">
                  <c:v>-0.84</c:v>
                </c:pt>
                <c:pt idx="9917">
                  <c:v>-0.83</c:v>
                </c:pt>
                <c:pt idx="9918">
                  <c:v>-0.82</c:v>
                </c:pt>
                <c:pt idx="9919">
                  <c:v>-0.81</c:v>
                </c:pt>
                <c:pt idx="9920">
                  <c:v>-0.8</c:v>
                </c:pt>
                <c:pt idx="9921">
                  <c:v>-0.79</c:v>
                </c:pt>
                <c:pt idx="9922">
                  <c:v>-0.78</c:v>
                </c:pt>
                <c:pt idx="9923">
                  <c:v>-0.77</c:v>
                </c:pt>
                <c:pt idx="9924">
                  <c:v>-0.76</c:v>
                </c:pt>
                <c:pt idx="9925">
                  <c:v>-0.75</c:v>
                </c:pt>
                <c:pt idx="9926">
                  <c:v>-0.74</c:v>
                </c:pt>
                <c:pt idx="9927">
                  <c:v>-0.73</c:v>
                </c:pt>
                <c:pt idx="9928">
                  <c:v>-0.72</c:v>
                </c:pt>
                <c:pt idx="9929">
                  <c:v>-0.71</c:v>
                </c:pt>
                <c:pt idx="9930">
                  <c:v>-0.7</c:v>
                </c:pt>
                <c:pt idx="9931">
                  <c:v>-0.69</c:v>
                </c:pt>
                <c:pt idx="9932">
                  <c:v>-0.68</c:v>
                </c:pt>
                <c:pt idx="9933">
                  <c:v>-0.67</c:v>
                </c:pt>
                <c:pt idx="9934">
                  <c:v>-0.66</c:v>
                </c:pt>
                <c:pt idx="9935">
                  <c:v>-0.65</c:v>
                </c:pt>
                <c:pt idx="9936">
                  <c:v>-0.64</c:v>
                </c:pt>
                <c:pt idx="9937">
                  <c:v>-0.63</c:v>
                </c:pt>
                <c:pt idx="9938">
                  <c:v>-0.62</c:v>
                </c:pt>
                <c:pt idx="9939">
                  <c:v>-0.61</c:v>
                </c:pt>
                <c:pt idx="9940">
                  <c:v>-0.6</c:v>
                </c:pt>
                <c:pt idx="9941">
                  <c:v>-0.59</c:v>
                </c:pt>
                <c:pt idx="9942">
                  <c:v>-0.58</c:v>
                </c:pt>
                <c:pt idx="9943">
                  <c:v>-0.57</c:v>
                </c:pt>
                <c:pt idx="9944">
                  <c:v>-0.56</c:v>
                </c:pt>
                <c:pt idx="9945">
                  <c:v>-0.55</c:v>
                </c:pt>
                <c:pt idx="9946">
                  <c:v>-0.54</c:v>
                </c:pt>
                <c:pt idx="9947">
                  <c:v>-0.53</c:v>
                </c:pt>
                <c:pt idx="9948">
                  <c:v>-0.52</c:v>
                </c:pt>
                <c:pt idx="9949">
                  <c:v>-0.51</c:v>
                </c:pt>
                <c:pt idx="9950">
                  <c:v>-0.5</c:v>
                </c:pt>
                <c:pt idx="9951">
                  <c:v>-0.49</c:v>
                </c:pt>
                <c:pt idx="9952">
                  <c:v>-0.48</c:v>
                </c:pt>
                <c:pt idx="9953">
                  <c:v>-0.47</c:v>
                </c:pt>
                <c:pt idx="9954">
                  <c:v>-0.46</c:v>
                </c:pt>
                <c:pt idx="9955">
                  <c:v>-0.45</c:v>
                </c:pt>
                <c:pt idx="9956">
                  <c:v>-0.44</c:v>
                </c:pt>
                <c:pt idx="9957">
                  <c:v>-0.43</c:v>
                </c:pt>
                <c:pt idx="9958">
                  <c:v>-0.42</c:v>
                </c:pt>
                <c:pt idx="9959">
                  <c:v>-0.41</c:v>
                </c:pt>
                <c:pt idx="9960">
                  <c:v>-0.4</c:v>
                </c:pt>
                <c:pt idx="9961">
                  <c:v>-0.39</c:v>
                </c:pt>
                <c:pt idx="9962">
                  <c:v>-0.38</c:v>
                </c:pt>
                <c:pt idx="9963">
                  <c:v>-0.37</c:v>
                </c:pt>
                <c:pt idx="9964">
                  <c:v>-0.36</c:v>
                </c:pt>
                <c:pt idx="9965">
                  <c:v>-0.35</c:v>
                </c:pt>
                <c:pt idx="9966">
                  <c:v>-0.34</c:v>
                </c:pt>
                <c:pt idx="9967">
                  <c:v>-0.33</c:v>
                </c:pt>
                <c:pt idx="9968">
                  <c:v>-0.32</c:v>
                </c:pt>
                <c:pt idx="9969">
                  <c:v>-0.31</c:v>
                </c:pt>
                <c:pt idx="9970">
                  <c:v>-0.3</c:v>
                </c:pt>
                <c:pt idx="9971">
                  <c:v>-0.29</c:v>
                </c:pt>
                <c:pt idx="9972">
                  <c:v>-0.28</c:v>
                </c:pt>
                <c:pt idx="9973">
                  <c:v>-0.27</c:v>
                </c:pt>
                <c:pt idx="9974">
                  <c:v>-0.26</c:v>
                </c:pt>
                <c:pt idx="9975">
                  <c:v>-0.25</c:v>
                </c:pt>
                <c:pt idx="9976">
                  <c:v>-0.24</c:v>
                </c:pt>
                <c:pt idx="9977">
                  <c:v>-0.23</c:v>
                </c:pt>
                <c:pt idx="9978">
                  <c:v>-0.22</c:v>
                </c:pt>
                <c:pt idx="9979">
                  <c:v>-0.21</c:v>
                </c:pt>
                <c:pt idx="9980">
                  <c:v>-0.2</c:v>
                </c:pt>
                <c:pt idx="9981">
                  <c:v>-0.19</c:v>
                </c:pt>
                <c:pt idx="9982">
                  <c:v>-0.18</c:v>
                </c:pt>
                <c:pt idx="9983">
                  <c:v>-0.17</c:v>
                </c:pt>
                <c:pt idx="9984">
                  <c:v>-0.16</c:v>
                </c:pt>
                <c:pt idx="9985">
                  <c:v>-0.15</c:v>
                </c:pt>
                <c:pt idx="9986">
                  <c:v>-0.14</c:v>
                </c:pt>
                <c:pt idx="9987">
                  <c:v>-0.13</c:v>
                </c:pt>
                <c:pt idx="9988">
                  <c:v>-0.12</c:v>
                </c:pt>
                <c:pt idx="9989">
                  <c:v>-0.11</c:v>
                </c:pt>
                <c:pt idx="9990">
                  <c:v>-0.1</c:v>
                </c:pt>
                <c:pt idx="9991">
                  <c:v>-0.09</c:v>
                </c:pt>
                <c:pt idx="9992">
                  <c:v>-0.08</c:v>
                </c:pt>
                <c:pt idx="9993">
                  <c:v>-0.07</c:v>
                </c:pt>
                <c:pt idx="9994">
                  <c:v>-0.06</c:v>
                </c:pt>
                <c:pt idx="9995">
                  <c:v>-0.05</c:v>
                </c:pt>
                <c:pt idx="9996">
                  <c:v>-0.04</c:v>
                </c:pt>
                <c:pt idx="9997">
                  <c:v>-0.03</c:v>
                </c:pt>
                <c:pt idx="9998">
                  <c:v>-0.02</c:v>
                </c:pt>
                <c:pt idx="9999">
                  <c:v>-0.01</c:v>
                </c:pt>
                <c:pt idx="10000">
                  <c:v>0.0</c:v>
                </c:pt>
                <c:pt idx="10001">
                  <c:v>0.01</c:v>
                </c:pt>
                <c:pt idx="10002">
                  <c:v>0.02</c:v>
                </c:pt>
                <c:pt idx="10003">
                  <c:v>0.03</c:v>
                </c:pt>
                <c:pt idx="10004">
                  <c:v>0.04</c:v>
                </c:pt>
                <c:pt idx="10005">
                  <c:v>0.05</c:v>
                </c:pt>
                <c:pt idx="10006">
                  <c:v>0.06</c:v>
                </c:pt>
                <c:pt idx="10007">
                  <c:v>0.07</c:v>
                </c:pt>
                <c:pt idx="10008">
                  <c:v>0.08</c:v>
                </c:pt>
                <c:pt idx="10009">
                  <c:v>0.09</c:v>
                </c:pt>
                <c:pt idx="10010">
                  <c:v>0.1</c:v>
                </c:pt>
                <c:pt idx="10011">
                  <c:v>0.11</c:v>
                </c:pt>
                <c:pt idx="10012">
                  <c:v>0.12</c:v>
                </c:pt>
                <c:pt idx="10013">
                  <c:v>0.13</c:v>
                </c:pt>
                <c:pt idx="10014">
                  <c:v>0.14</c:v>
                </c:pt>
                <c:pt idx="10015">
                  <c:v>0.15</c:v>
                </c:pt>
                <c:pt idx="10016">
                  <c:v>0.16</c:v>
                </c:pt>
                <c:pt idx="10017">
                  <c:v>0.17</c:v>
                </c:pt>
                <c:pt idx="10018">
                  <c:v>0.18</c:v>
                </c:pt>
                <c:pt idx="10019">
                  <c:v>0.19</c:v>
                </c:pt>
                <c:pt idx="10020">
                  <c:v>0.2</c:v>
                </c:pt>
                <c:pt idx="10021">
                  <c:v>0.21</c:v>
                </c:pt>
                <c:pt idx="10022">
                  <c:v>0.22</c:v>
                </c:pt>
                <c:pt idx="10023">
                  <c:v>0.23</c:v>
                </c:pt>
                <c:pt idx="10024">
                  <c:v>0.24</c:v>
                </c:pt>
                <c:pt idx="10025">
                  <c:v>0.25</c:v>
                </c:pt>
                <c:pt idx="10026">
                  <c:v>0.26</c:v>
                </c:pt>
                <c:pt idx="10027">
                  <c:v>0.27</c:v>
                </c:pt>
                <c:pt idx="10028">
                  <c:v>0.28</c:v>
                </c:pt>
                <c:pt idx="10029">
                  <c:v>0.29</c:v>
                </c:pt>
                <c:pt idx="10030">
                  <c:v>0.3</c:v>
                </c:pt>
                <c:pt idx="10031">
                  <c:v>0.31</c:v>
                </c:pt>
                <c:pt idx="10032">
                  <c:v>0.32</c:v>
                </c:pt>
                <c:pt idx="10033">
                  <c:v>0.33</c:v>
                </c:pt>
                <c:pt idx="10034">
                  <c:v>0.34</c:v>
                </c:pt>
                <c:pt idx="10035">
                  <c:v>0.35</c:v>
                </c:pt>
                <c:pt idx="10036">
                  <c:v>0.36</c:v>
                </c:pt>
                <c:pt idx="10037">
                  <c:v>0.37</c:v>
                </c:pt>
                <c:pt idx="10038">
                  <c:v>0.38</c:v>
                </c:pt>
                <c:pt idx="10039">
                  <c:v>0.39</c:v>
                </c:pt>
                <c:pt idx="10040">
                  <c:v>0.4</c:v>
                </c:pt>
                <c:pt idx="10041">
                  <c:v>0.41</c:v>
                </c:pt>
                <c:pt idx="10042">
                  <c:v>0.42</c:v>
                </c:pt>
                <c:pt idx="10043">
                  <c:v>0.43</c:v>
                </c:pt>
                <c:pt idx="10044">
                  <c:v>0.44</c:v>
                </c:pt>
                <c:pt idx="10045">
                  <c:v>0.45</c:v>
                </c:pt>
                <c:pt idx="10046">
                  <c:v>0.46</c:v>
                </c:pt>
                <c:pt idx="10047">
                  <c:v>0.47</c:v>
                </c:pt>
                <c:pt idx="10048">
                  <c:v>0.48</c:v>
                </c:pt>
                <c:pt idx="10049">
                  <c:v>0.49</c:v>
                </c:pt>
                <c:pt idx="10050">
                  <c:v>0.5</c:v>
                </c:pt>
                <c:pt idx="10051">
                  <c:v>0.51</c:v>
                </c:pt>
                <c:pt idx="10052">
                  <c:v>0.52</c:v>
                </c:pt>
                <c:pt idx="10053">
                  <c:v>0.53</c:v>
                </c:pt>
                <c:pt idx="10054">
                  <c:v>0.54</c:v>
                </c:pt>
                <c:pt idx="10055">
                  <c:v>0.55</c:v>
                </c:pt>
                <c:pt idx="10056">
                  <c:v>0.56</c:v>
                </c:pt>
                <c:pt idx="10057">
                  <c:v>0.57</c:v>
                </c:pt>
                <c:pt idx="10058">
                  <c:v>0.58</c:v>
                </c:pt>
                <c:pt idx="10059">
                  <c:v>0.59</c:v>
                </c:pt>
                <c:pt idx="10060">
                  <c:v>0.6</c:v>
                </c:pt>
                <c:pt idx="10061">
                  <c:v>0.61</c:v>
                </c:pt>
                <c:pt idx="10062">
                  <c:v>0.62</c:v>
                </c:pt>
                <c:pt idx="10063">
                  <c:v>0.63</c:v>
                </c:pt>
                <c:pt idx="10064">
                  <c:v>0.64</c:v>
                </c:pt>
                <c:pt idx="10065">
                  <c:v>0.65</c:v>
                </c:pt>
                <c:pt idx="10066">
                  <c:v>0.66</c:v>
                </c:pt>
                <c:pt idx="10067">
                  <c:v>0.67</c:v>
                </c:pt>
                <c:pt idx="10068">
                  <c:v>0.68</c:v>
                </c:pt>
                <c:pt idx="10069">
                  <c:v>0.69</c:v>
                </c:pt>
                <c:pt idx="10070">
                  <c:v>0.7</c:v>
                </c:pt>
                <c:pt idx="10071">
                  <c:v>0.71</c:v>
                </c:pt>
                <c:pt idx="10072">
                  <c:v>0.72</c:v>
                </c:pt>
                <c:pt idx="10073">
                  <c:v>0.73</c:v>
                </c:pt>
                <c:pt idx="10074">
                  <c:v>0.74</c:v>
                </c:pt>
                <c:pt idx="10075">
                  <c:v>0.75</c:v>
                </c:pt>
                <c:pt idx="10076">
                  <c:v>0.76</c:v>
                </c:pt>
                <c:pt idx="10077">
                  <c:v>0.77</c:v>
                </c:pt>
                <c:pt idx="10078">
                  <c:v>0.78</c:v>
                </c:pt>
                <c:pt idx="10079">
                  <c:v>0.79</c:v>
                </c:pt>
                <c:pt idx="10080">
                  <c:v>0.8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0.87</c:v>
                </c:pt>
                <c:pt idx="10088">
                  <c:v>0.88</c:v>
                </c:pt>
                <c:pt idx="10089">
                  <c:v>0.89</c:v>
                </c:pt>
                <c:pt idx="10090">
                  <c:v>0.9</c:v>
                </c:pt>
                <c:pt idx="10091">
                  <c:v>0.91</c:v>
                </c:pt>
                <c:pt idx="10092">
                  <c:v>0.92</c:v>
                </c:pt>
                <c:pt idx="10093">
                  <c:v>0.93</c:v>
                </c:pt>
                <c:pt idx="10094">
                  <c:v>0.94</c:v>
                </c:pt>
                <c:pt idx="10095">
                  <c:v>0.95</c:v>
                </c:pt>
                <c:pt idx="10096">
                  <c:v>0.96</c:v>
                </c:pt>
                <c:pt idx="10097">
                  <c:v>0.97</c:v>
                </c:pt>
                <c:pt idx="10098">
                  <c:v>0.98</c:v>
                </c:pt>
                <c:pt idx="10099">
                  <c:v>0.99</c:v>
                </c:pt>
                <c:pt idx="10100">
                  <c:v>1.0</c:v>
                </c:pt>
                <c:pt idx="10101">
                  <c:v>1.01</c:v>
                </c:pt>
                <c:pt idx="10102">
                  <c:v>1.02</c:v>
                </c:pt>
                <c:pt idx="10103">
                  <c:v>1.03</c:v>
                </c:pt>
                <c:pt idx="10104">
                  <c:v>1.04</c:v>
                </c:pt>
                <c:pt idx="10105">
                  <c:v>1.05</c:v>
                </c:pt>
                <c:pt idx="10106">
                  <c:v>1.06</c:v>
                </c:pt>
                <c:pt idx="10107">
                  <c:v>1.07</c:v>
                </c:pt>
                <c:pt idx="10108">
                  <c:v>1.08</c:v>
                </c:pt>
                <c:pt idx="10109">
                  <c:v>1.09</c:v>
                </c:pt>
                <c:pt idx="10110">
                  <c:v>1.1</c:v>
                </c:pt>
                <c:pt idx="10111">
                  <c:v>1.11</c:v>
                </c:pt>
                <c:pt idx="10112">
                  <c:v>1.12</c:v>
                </c:pt>
                <c:pt idx="10113">
                  <c:v>1.13</c:v>
                </c:pt>
                <c:pt idx="10114">
                  <c:v>1.14</c:v>
                </c:pt>
                <c:pt idx="10115">
                  <c:v>1.15</c:v>
                </c:pt>
                <c:pt idx="10116">
                  <c:v>1.16</c:v>
                </c:pt>
                <c:pt idx="10117">
                  <c:v>1.17</c:v>
                </c:pt>
                <c:pt idx="10118">
                  <c:v>1.18</c:v>
                </c:pt>
                <c:pt idx="10119">
                  <c:v>1.19</c:v>
                </c:pt>
                <c:pt idx="10120">
                  <c:v>1.2</c:v>
                </c:pt>
                <c:pt idx="10121">
                  <c:v>1.21</c:v>
                </c:pt>
                <c:pt idx="10122">
                  <c:v>1.22</c:v>
                </c:pt>
                <c:pt idx="10123">
                  <c:v>1.23</c:v>
                </c:pt>
                <c:pt idx="10124">
                  <c:v>1.24</c:v>
                </c:pt>
                <c:pt idx="10125">
                  <c:v>1.25</c:v>
                </c:pt>
                <c:pt idx="10126">
                  <c:v>1.26</c:v>
                </c:pt>
                <c:pt idx="10127">
                  <c:v>1.27</c:v>
                </c:pt>
                <c:pt idx="10128">
                  <c:v>1.28</c:v>
                </c:pt>
                <c:pt idx="10129">
                  <c:v>1.29</c:v>
                </c:pt>
                <c:pt idx="10130">
                  <c:v>1.3</c:v>
                </c:pt>
                <c:pt idx="10131">
                  <c:v>1.31</c:v>
                </c:pt>
                <c:pt idx="10132">
                  <c:v>1.32</c:v>
                </c:pt>
                <c:pt idx="10133">
                  <c:v>1.33</c:v>
                </c:pt>
                <c:pt idx="10134">
                  <c:v>1.34</c:v>
                </c:pt>
                <c:pt idx="10135">
                  <c:v>1.35</c:v>
                </c:pt>
                <c:pt idx="10136">
                  <c:v>1.36</c:v>
                </c:pt>
                <c:pt idx="10137">
                  <c:v>1.37</c:v>
                </c:pt>
                <c:pt idx="10138">
                  <c:v>1.38</c:v>
                </c:pt>
                <c:pt idx="10139">
                  <c:v>1.39</c:v>
                </c:pt>
                <c:pt idx="10140">
                  <c:v>1.4</c:v>
                </c:pt>
                <c:pt idx="10141">
                  <c:v>1.41</c:v>
                </c:pt>
                <c:pt idx="10142">
                  <c:v>1.42</c:v>
                </c:pt>
                <c:pt idx="10143">
                  <c:v>1.43</c:v>
                </c:pt>
                <c:pt idx="10144">
                  <c:v>1.44</c:v>
                </c:pt>
                <c:pt idx="10145">
                  <c:v>1.45</c:v>
                </c:pt>
                <c:pt idx="10146">
                  <c:v>1.46</c:v>
                </c:pt>
                <c:pt idx="10147">
                  <c:v>1.47</c:v>
                </c:pt>
                <c:pt idx="10148">
                  <c:v>1.48</c:v>
                </c:pt>
                <c:pt idx="10149">
                  <c:v>1.49</c:v>
                </c:pt>
                <c:pt idx="10150">
                  <c:v>1.5</c:v>
                </c:pt>
                <c:pt idx="10151">
                  <c:v>1.51</c:v>
                </c:pt>
                <c:pt idx="10152">
                  <c:v>1.52</c:v>
                </c:pt>
                <c:pt idx="10153">
                  <c:v>1.53</c:v>
                </c:pt>
                <c:pt idx="10154">
                  <c:v>1.54</c:v>
                </c:pt>
                <c:pt idx="10155">
                  <c:v>1.55</c:v>
                </c:pt>
                <c:pt idx="10156">
                  <c:v>1.56</c:v>
                </c:pt>
                <c:pt idx="10157">
                  <c:v>1.57</c:v>
                </c:pt>
                <c:pt idx="10158">
                  <c:v>1.58</c:v>
                </c:pt>
                <c:pt idx="10159">
                  <c:v>1.59</c:v>
                </c:pt>
                <c:pt idx="10160">
                  <c:v>1.6</c:v>
                </c:pt>
                <c:pt idx="10161">
                  <c:v>1.61</c:v>
                </c:pt>
                <c:pt idx="10162">
                  <c:v>1.62</c:v>
                </c:pt>
                <c:pt idx="10163">
                  <c:v>1.63</c:v>
                </c:pt>
                <c:pt idx="10164">
                  <c:v>1.64</c:v>
                </c:pt>
                <c:pt idx="10165">
                  <c:v>1.65</c:v>
                </c:pt>
                <c:pt idx="10166">
                  <c:v>1.66</c:v>
                </c:pt>
                <c:pt idx="10167">
                  <c:v>1.67</c:v>
                </c:pt>
                <c:pt idx="10168">
                  <c:v>1.68</c:v>
                </c:pt>
                <c:pt idx="10169">
                  <c:v>1.69</c:v>
                </c:pt>
                <c:pt idx="10170">
                  <c:v>1.7</c:v>
                </c:pt>
                <c:pt idx="10171">
                  <c:v>1.71</c:v>
                </c:pt>
                <c:pt idx="10172">
                  <c:v>1.72</c:v>
                </c:pt>
                <c:pt idx="10173">
                  <c:v>1.73</c:v>
                </c:pt>
                <c:pt idx="10174">
                  <c:v>1.74</c:v>
                </c:pt>
                <c:pt idx="10175">
                  <c:v>1.75</c:v>
                </c:pt>
                <c:pt idx="10176">
                  <c:v>1.76</c:v>
                </c:pt>
                <c:pt idx="10177">
                  <c:v>1.77</c:v>
                </c:pt>
                <c:pt idx="10178">
                  <c:v>1.78</c:v>
                </c:pt>
                <c:pt idx="10179">
                  <c:v>1.79</c:v>
                </c:pt>
                <c:pt idx="10180">
                  <c:v>1.8</c:v>
                </c:pt>
                <c:pt idx="10181">
                  <c:v>1.81</c:v>
                </c:pt>
                <c:pt idx="10182">
                  <c:v>1.82</c:v>
                </c:pt>
                <c:pt idx="10183">
                  <c:v>1.83</c:v>
                </c:pt>
                <c:pt idx="10184">
                  <c:v>1.84</c:v>
                </c:pt>
                <c:pt idx="10185">
                  <c:v>1.85</c:v>
                </c:pt>
                <c:pt idx="10186">
                  <c:v>1.86</c:v>
                </c:pt>
                <c:pt idx="10187">
                  <c:v>1.87</c:v>
                </c:pt>
                <c:pt idx="10188">
                  <c:v>1.88</c:v>
                </c:pt>
                <c:pt idx="10189">
                  <c:v>1.89</c:v>
                </c:pt>
                <c:pt idx="10190">
                  <c:v>1.9</c:v>
                </c:pt>
                <c:pt idx="10191">
                  <c:v>1.91</c:v>
                </c:pt>
                <c:pt idx="10192">
                  <c:v>1.92</c:v>
                </c:pt>
                <c:pt idx="10193">
                  <c:v>1.93</c:v>
                </c:pt>
                <c:pt idx="10194">
                  <c:v>1.94</c:v>
                </c:pt>
                <c:pt idx="10195">
                  <c:v>1.95</c:v>
                </c:pt>
                <c:pt idx="10196">
                  <c:v>1.96</c:v>
                </c:pt>
                <c:pt idx="10197">
                  <c:v>1.97</c:v>
                </c:pt>
                <c:pt idx="10198">
                  <c:v>1.98</c:v>
                </c:pt>
                <c:pt idx="10199">
                  <c:v>1.99</c:v>
                </c:pt>
                <c:pt idx="10200">
                  <c:v>2.0</c:v>
                </c:pt>
                <c:pt idx="10201">
                  <c:v>2.01</c:v>
                </c:pt>
                <c:pt idx="10202">
                  <c:v>2.02</c:v>
                </c:pt>
                <c:pt idx="10203">
                  <c:v>2.03</c:v>
                </c:pt>
                <c:pt idx="10204">
                  <c:v>2.04</c:v>
                </c:pt>
                <c:pt idx="10205">
                  <c:v>2.05</c:v>
                </c:pt>
                <c:pt idx="10206">
                  <c:v>2.06</c:v>
                </c:pt>
                <c:pt idx="10207">
                  <c:v>2.07</c:v>
                </c:pt>
                <c:pt idx="10208">
                  <c:v>2.08</c:v>
                </c:pt>
                <c:pt idx="10209">
                  <c:v>2.09</c:v>
                </c:pt>
                <c:pt idx="10210">
                  <c:v>2.1</c:v>
                </c:pt>
                <c:pt idx="10211">
                  <c:v>2.11</c:v>
                </c:pt>
                <c:pt idx="10212">
                  <c:v>2.12</c:v>
                </c:pt>
                <c:pt idx="10213">
                  <c:v>2.13</c:v>
                </c:pt>
                <c:pt idx="10214">
                  <c:v>2.14</c:v>
                </c:pt>
                <c:pt idx="10215">
                  <c:v>2.15</c:v>
                </c:pt>
                <c:pt idx="10216">
                  <c:v>2.16</c:v>
                </c:pt>
                <c:pt idx="10217">
                  <c:v>2.17</c:v>
                </c:pt>
                <c:pt idx="10218">
                  <c:v>2.18</c:v>
                </c:pt>
                <c:pt idx="10219">
                  <c:v>2.19</c:v>
                </c:pt>
                <c:pt idx="10220">
                  <c:v>2.2</c:v>
                </c:pt>
                <c:pt idx="10221">
                  <c:v>2.21</c:v>
                </c:pt>
                <c:pt idx="10222">
                  <c:v>2.22</c:v>
                </c:pt>
                <c:pt idx="10223">
                  <c:v>2.23</c:v>
                </c:pt>
                <c:pt idx="10224">
                  <c:v>2.24</c:v>
                </c:pt>
                <c:pt idx="10225">
                  <c:v>2.25</c:v>
                </c:pt>
                <c:pt idx="10226">
                  <c:v>2.26</c:v>
                </c:pt>
                <c:pt idx="10227">
                  <c:v>2.27</c:v>
                </c:pt>
                <c:pt idx="10228">
                  <c:v>2.28</c:v>
                </c:pt>
                <c:pt idx="10229">
                  <c:v>2.29</c:v>
                </c:pt>
                <c:pt idx="10230">
                  <c:v>2.3</c:v>
                </c:pt>
                <c:pt idx="10231">
                  <c:v>2.31</c:v>
                </c:pt>
                <c:pt idx="10232">
                  <c:v>2.32</c:v>
                </c:pt>
                <c:pt idx="10233">
                  <c:v>2.33</c:v>
                </c:pt>
                <c:pt idx="10234">
                  <c:v>2.34</c:v>
                </c:pt>
                <c:pt idx="10235">
                  <c:v>2.35</c:v>
                </c:pt>
                <c:pt idx="10236">
                  <c:v>2.36</c:v>
                </c:pt>
                <c:pt idx="10237">
                  <c:v>2.37</c:v>
                </c:pt>
                <c:pt idx="10238">
                  <c:v>2.38</c:v>
                </c:pt>
                <c:pt idx="10239">
                  <c:v>2.39</c:v>
                </c:pt>
                <c:pt idx="10240">
                  <c:v>2.4</c:v>
                </c:pt>
                <c:pt idx="10241">
                  <c:v>2.41</c:v>
                </c:pt>
                <c:pt idx="10242">
                  <c:v>2.42</c:v>
                </c:pt>
                <c:pt idx="10243">
                  <c:v>2.43</c:v>
                </c:pt>
                <c:pt idx="10244">
                  <c:v>2.44</c:v>
                </c:pt>
                <c:pt idx="10245">
                  <c:v>2.45</c:v>
                </c:pt>
                <c:pt idx="10246">
                  <c:v>2.46</c:v>
                </c:pt>
                <c:pt idx="10247">
                  <c:v>2.47</c:v>
                </c:pt>
                <c:pt idx="10248">
                  <c:v>2.48</c:v>
                </c:pt>
                <c:pt idx="10249">
                  <c:v>2.49</c:v>
                </c:pt>
                <c:pt idx="10250">
                  <c:v>2.5</c:v>
                </c:pt>
                <c:pt idx="10251">
                  <c:v>2.51</c:v>
                </c:pt>
                <c:pt idx="10252">
                  <c:v>2.52</c:v>
                </c:pt>
                <c:pt idx="10253">
                  <c:v>2.53</c:v>
                </c:pt>
                <c:pt idx="10254">
                  <c:v>2.54</c:v>
                </c:pt>
                <c:pt idx="10255">
                  <c:v>2.55</c:v>
                </c:pt>
                <c:pt idx="10256">
                  <c:v>2.56</c:v>
                </c:pt>
                <c:pt idx="10257">
                  <c:v>2.57</c:v>
                </c:pt>
                <c:pt idx="10258">
                  <c:v>2.58</c:v>
                </c:pt>
                <c:pt idx="10259">
                  <c:v>2.59</c:v>
                </c:pt>
                <c:pt idx="10260">
                  <c:v>2.6</c:v>
                </c:pt>
                <c:pt idx="10261">
                  <c:v>2.61</c:v>
                </c:pt>
                <c:pt idx="10262">
                  <c:v>2.62</c:v>
                </c:pt>
                <c:pt idx="10263">
                  <c:v>2.63</c:v>
                </c:pt>
                <c:pt idx="10264">
                  <c:v>2.64</c:v>
                </c:pt>
                <c:pt idx="10265">
                  <c:v>2.65</c:v>
                </c:pt>
                <c:pt idx="10266">
                  <c:v>2.66</c:v>
                </c:pt>
                <c:pt idx="10267">
                  <c:v>2.67</c:v>
                </c:pt>
                <c:pt idx="10268">
                  <c:v>2.68</c:v>
                </c:pt>
                <c:pt idx="10269">
                  <c:v>2.69</c:v>
                </c:pt>
                <c:pt idx="10270">
                  <c:v>2.7</c:v>
                </c:pt>
                <c:pt idx="10271">
                  <c:v>2.71</c:v>
                </c:pt>
                <c:pt idx="10272">
                  <c:v>2.72</c:v>
                </c:pt>
                <c:pt idx="10273">
                  <c:v>2.73</c:v>
                </c:pt>
                <c:pt idx="10274">
                  <c:v>2.74</c:v>
                </c:pt>
                <c:pt idx="10275">
                  <c:v>2.75</c:v>
                </c:pt>
                <c:pt idx="10276">
                  <c:v>2.76</c:v>
                </c:pt>
                <c:pt idx="10277">
                  <c:v>2.77</c:v>
                </c:pt>
                <c:pt idx="10278">
                  <c:v>2.78</c:v>
                </c:pt>
                <c:pt idx="10279">
                  <c:v>2.79</c:v>
                </c:pt>
                <c:pt idx="10280">
                  <c:v>2.8</c:v>
                </c:pt>
                <c:pt idx="10281">
                  <c:v>2.81</c:v>
                </c:pt>
                <c:pt idx="10282">
                  <c:v>2.82</c:v>
                </c:pt>
                <c:pt idx="10283">
                  <c:v>2.83</c:v>
                </c:pt>
                <c:pt idx="10284">
                  <c:v>2.84</c:v>
                </c:pt>
                <c:pt idx="10285">
                  <c:v>2.85</c:v>
                </c:pt>
                <c:pt idx="10286">
                  <c:v>2.86</c:v>
                </c:pt>
                <c:pt idx="10287">
                  <c:v>2.87</c:v>
                </c:pt>
                <c:pt idx="10288">
                  <c:v>2.88</c:v>
                </c:pt>
                <c:pt idx="10289">
                  <c:v>2.89</c:v>
                </c:pt>
                <c:pt idx="10290">
                  <c:v>2.9</c:v>
                </c:pt>
                <c:pt idx="10291">
                  <c:v>2.91</c:v>
                </c:pt>
                <c:pt idx="10292">
                  <c:v>2.92</c:v>
                </c:pt>
                <c:pt idx="10293">
                  <c:v>2.93</c:v>
                </c:pt>
                <c:pt idx="10294">
                  <c:v>2.94</c:v>
                </c:pt>
                <c:pt idx="10295">
                  <c:v>2.95</c:v>
                </c:pt>
                <c:pt idx="10296">
                  <c:v>2.96</c:v>
                </c:pt>
                <c:pt idx="10297">
                  <c:v>2.97</c:v>
                </c:pt>
                <c:pt idx="10298">
                  <c:v>2.98</c:v>
                </c:pt>
                <c:pt idx="10299">
                  <c:v>2.99</c:v>
                </c:pt>
                <c:pt idx="10300">
                  <c:v>3.0</c:v>
                </c:pt>
                <c:pt idx="10301">
                  <c:v>3.01</c:v>
                </c:pt>
                <c:pt idx="10302">
                  <c:v>3.02</c:v>
                </c:pt>
                <c:pt idx="10303">
                  <c:v>3.03</c:v>
                </c:pt>
                <c:pt idx="10304">
                  <c:v>3.04</c:v>
                </c:pt>
                <c:pt idx="10305">
                  <c:v>3.05</c:v>
                </c:pt>
                <c:pt idx="10306">
                  <c:v>3.06</c:v>
                </c:pt>
                <c:pt idx="10307">
                  <c:v>3.07</c:v>
                </c:pt>
                <c:pt idx="10308">
                  <c:v>3.08</c:v>
                </c:pt>
                <c:pt idx="10309">
                  <c:v>3.09</c:v>
                </c:pt>
                <c:pt idx="10310">
                  <c:v>3.1</c:v>
                </c:pt>
                <c:pt idx="10311">
                  <c:v>3.11</c:v>
                </c:pt>
                <c:pt idx="10312">
                  <c:v>3.12</c:v>
                </c:pt>
                <c:pt idx="10313">
                  <c:v>3.13</c:v>
                </c:pt>
                <c:pt idx="10314">
                  <c:v>3.14</c:v>
                </c:pt>
                <c:pt idx="10315">
                  <c:v>3.15</c:v>
                </c:pt>
                <c:pt idx="10316">
                  <c:v>3.16</c:v>
                </c:pt>
                <c:pt idx="10317">
                  <c:v>3.17</c:v>
                </c:pt>
                <c:pt idx="10318">
                  <c:v>3.18</c:v>
                </c:pt>
                <c:pt idx="10319">
                  <c:v>3.19</c:v>
                </c:pt>
                <c:pt idx="10320">
                  <c:v>3.2</c:v>
                </c:pt>
                <c:pt idx="10321">
                  <c:v>3.21</c:v>
                </c:pt>
                <c:pt idx="10322">
                  <c:v>3.22</c:v>
                </c:pt>
                <c:pt idx="10323">
                  <c:v>3.23</c:v>
                </c:pt>
                <c:pt idx="10324">
                  <c:v>3.24</c:v>
                </c:pt>
                <c:pt idx="10325">
                  <c:v>3.25</c:v>
                </c:pt>
                <c:pt idx="10326">
                  <c:v>3.26</c:v>
                </c:pt>
                <c:pt idx="10327">
                  <c:v>3.27</c:v>
                </c:pt>
                <c:pt idx="10328">
                  <c:v>3.28</c:v>
                </c:pt>
                <c:pt idx="10329">
                  <c:v>3.29</c:v>
                </c:pt>
                <c:pt idx="10330">
                  <c:v>3.3</c:v>
                </c:pt>
                <c:pt idx="10331">
                  <c:v>3.31</c:v>
                </c:pt>
                <c:pt idx="10332">
                  <c:v>3.32</c:v>
                </c:pt>
                <c:pt idx="10333">
                  <c:v>3.33</c:v>
                </c:pt>
                <c:pt idx="10334">
                  <c:v>3.34</c:v>
                </c:pt>
                <c:pt idx="10335">
                  <c:v>3.35</c:v>
                </c:pt>
                <c:pt idx="10336">
                  <c:v>3.36</c:v>
                </c:pt>
                <c:pt idx="10337">
                  <c:v>3.37</c:v>
                </c:pt>
                <c:pt idx="10338">
                  <c:v>3.38</c:v>
                </c:pt>
                <c:pt idx="10339">
                  <c:v>3.39</c:v>
                </c:pt>
                <c:pt idx="10340">
                  <c:v>3.4</c:v>
                </c:pt>
                <c:pt idx="10341">
                  <c:v>3.41</c:v>
                </c:pt>
                <c:pt idx="10342">
                  <c:v>3.42</c:v>
                </c:pt>
                <c:pt idx="10343">
                  <c:v>3.43</c:v>
                </c:pt>
                <c:pt idx="10344">
                  <c:v>3.44</c:v>
                </c:pt>
                <c:pt idx="10345">
                  <c:v>3.45</c:v>
                </c:pt>
                <c:pt idx="10346">
                  <c:v>3.46</c:v>
                </c:pt>
                <c:pt idx="10347">
                  <c:v>3.47</c:v>
                </c:pt>
                <c:pt idx="10348">
                  <c:v>3.48</c:v>
                </c:pt>
                <c:pt idx="10349">
                  <c:v>3.49</c:v>
                </c:pt>
                <c:pt idx="10350">
                  <c:v>3.5</c:v>
                </c:pt>
                <c:pt idx="10351">
                  <c:v>3.51</c:v>
                </c:pt>
                <c:pt idx="10352">
                  <c:v>3.52</c:v>
                </c:pt>
                <c:pt idx="10353">
                  <c:v>3.53</c:v>
                </c:pt>
                <c:pt idx="10354">
                  <c:v>3.54</c:v>
                </c:pt>
                <c:pt idx="10355">
                  <c:v>3.55</c:v>
                </c:pt>
                <c:pt idx="10356">
                  <c:v>3.56</c:v>
                </c:pt>
                <c:pt idx="10357">
                  <c:v>3.57</c:v>
                </c:pt>
                <c:pt idx="10358">
                  <c:v>3.58</c:v>
                </c:pt>
                <c:pt idx="10359">
                  <c:v>3.59</c:v>
                </c:pt>
                <c:pt idx="10360">
                  <c:v>3.6</c:v>
                </c:pt>
                <c:pt idx="10361">
                  <c:v>3.61</c:v>
                </c:pt>
                <c:pt idx="10362">
                  <c:v>3.62</c:v>
                </c:pt>
                <c:pt idx="10363">
                  <c:v>3.63</c:v>
                </c:pt>
                <c:pt idx="10364">
                  <c:v>3.64</c:v>
                </c:pt>
                <c:pt idx="10365">
                  <c:v>3.65</c:v>
                </c:pt>
                <c:pt idx="10366">
                  <c:v>3.66</c:v>
                </c:pt>
                <c:pt idx="10367">
                  <c:v>3.67</c:v>
                </c:pt>
                <c:pt idx="10368">
                  <c:v>3.68</c:v>
                </c:pt>
                <c:pt idx="10369">
                  <c:v>3.69</c:v>
                </c:pt>
                <c:pt idx="10370">
                  <c:v>3.7</c:v>
                </c:pt>
                <c:pt idx="10371">
                  <c:v>3.71</c:v>
                </c:pt>
                <c:pt idx="10372">
                  <c:v>3.72</c:v>
                </c:pt>
                <c:pt idx="10373">
                  <c:v>3.73</c:v>
                </c:pt>
                <c:pt idx="10374">
                  <c:v>3.74</c:v>
                </c:pt>
                <c:pt idx="10375">
                  <c:v>3.75</c:v>
                </c:pt>
                <c:pt idx="10376">
                  <c:v>3.76</c:v>
                </c:pt>
                <c:pt idx="10377">
                  <c:v>3.77</c:v>
                </c:pt>
                <c:pt idx="10378">
                  <c:v>3.78</c:v>
                </c:pt>
                <c:pt idx="10379">
                  <c:v>3.79</c:v>
                </c:pt>
                <c:pt idx="10380">
                  <c:v>3.8</c:v>
                </c:pt>
                <c:pt idx="10381">
                  <c:v>3.81</c:v>
                </c:pt>
                <c:pt idx="10382">
                  <c:v>3.82</c:v>
                </c:pt>
                <c:pt idx="10383">
                  <c:v>3.83</c:v>
                </c:pt>
                <c:pt idx="10384">
                  <c:v>3.84</c:v>
                </c:pt>
                <c:pt idx="10385">
                  <c:v>3.85</c:v>
                </c:pt>
                <c:pt idx="10386">
                  <c:v>3.86</c:v>
                </c:pt>
                <c:pt idx="10387">
                  <c:v>3.87</c:v>
                </c:pt>
                <c:pt idx="10388">
                  <c:v>3.88</c:v>
                </c:pt>
                <c:pt idx="10389">
                  <c:v>3.89</c:v>
                </c:pt>
                <c:pt idx="10390">
                  <c:v>3.9</c:v>
                </c:pt>
                <c:pt idx="10391">
                  <c:v>3.91</c:v>
                </c:pt>
                <c:pt idx="10392">
                  <c:v>3.92</c:v>
                </c:pt>
                <c:pt idx="10393">
                  <c:v>3.93</c:v>
                </c:pt>
                <c:pt idx="10394">
                  <c:v>3.94</c:v>
                </c:pt>
                <c:pt idx="10395">
                  <c:v>3.95</c:v>
                </c:pt>
                <c:pt idx="10396">
                  <c:v>3.96</c:v>
                </c:pt>
                <c:pt idx="10397">
                  <c:v>3.97</c:v>
                </c:pt>
                <c:pt idx="10398">
                  <c:v>3.98</c:v>
                </c:pt>
                <c:pt idx="10399">
                  <c:v>3.99</c:v>
                </c:pt>
                <c:pt idx="10400">
                  <c:v>4.0</c:v>
                </c:pt>
                <c:pt idx="10401">
                  <c:v>4.01</c:v>
                </c:pt>
                <c:pt idx="10402">
                  <c:v>4.02</c:v>
                </c:pt>
                <c:pt idx="10403">
                  <c:v>4.03</c:v>
                </c:pt>
                <c:pt idx="10404">
                  <c:v>4.04</c:v>
                </c:pt>
                <c:pt idx="10405">
                  <c:v>4.05</c:v>
                </c:pt>
                <c:pt idx="10406">
                  <c:v>4.06</c:v>
                </c:pt>
                <c:pt idx="10407">
                  <c:v>4.07</c:v>
                </c:pt>
                <c:pt idx="10408">
                  <c:v>4.08</c:v>
                </c:pt>
                <c:pt idx="10409">
                  <c:v>4.09</c:v>
                </c:pt>
                <c:pt idx="10410">
                  <c:v>4.1</c:v>
                </c:pt>
                <c:pt idx="10411">
                  <c:v>4.11</c:v>
                </c:pt>
                <c:pt idx="10412">
                  <c:v>4.12</c:v>
                </c:pt>
                <c:pt idx="10413">
                  <c:v>4.13</c:v>
                </c:pt>
                <c:pt idx="10414">
                  <c:v>4.14</c:v>
                </c:pt>
                <c:pt idx="10415">
                  <c:v>4.15</c:v>
                </c:pt>
                <c:pt idx="10416">
                  <c:v>4.16</c:v>
                </c:pt>
                <c:pt idx="10417">
                  <c:v>4.17</c:v>
                </c:pt>
                <c:pt idx="10418">
                  <c:v>4.18</c:v>
                </c:pt>
                <c:pt idx="10419">
                  <c:v>4.19</c:v>
                </c:pt>
                <c:pt idx="10420">
                  <c:v>4.2</c:v>
                </c:pt>
                <c:pt idx="10421">
                  <c:v>4.21</c:v>
                </c:pt>
                <c:pt idx="10422">
                  <c:v>4.22</c:v>
                </c:pt>
                <c:pt idx="10423">
                  <c:v>4.23</c:v>
                </c:pt>
                <c:pt idx="10424">
                  <c:v>4.24</c:v>
                </c:pt>
                <c:pt idx="10425">
                  <c:v>4.25</c:v>
                </c:pt>
                <c:pt idx="10426">
                  <c:v>4.26</c:v>
                </c:pt>
                <c:pt idx="10427">
                  <c:v>4.27</c:v>
                </c:pt>
                <c:pt idx="10428">
                  <c:v>4.28</c:v>
                </c:pt>
                <c:pt idx="10429">
                  <c:v>4.29</c:v>
                </c:pt>
                <c:pt idx="10430">
                  <c:v>4.3</c:v>
                </c:pt>
                <c:pt idx="10431">
                  <c:v>4.31</c:v>
                </c:pt>
                <c:pt idx="10432">
                  <c:v>4.32</c:v>
                </c:pt>
                <c:pt idx="10433">
                  <c:v>4.33</c:v>
                </c:pt>
                <c:pt idx="10434">
                  <c:v>4.34</c:v>
                </c:pt>
                <c:pt idx="10435">
                  <c:v>4.35</c:v>
                </c:pt>
                <c:pt idx="10436">
                  <c:v>4.36</c:v>
                </c:pt>
                <c:pt idx="10437">
                  <c:v>4.37</c:v>
                </c:pt>
                <c:pt idx="10438">
                  <c:v>4.38</c:v>
                </c:pt>
                <c:pt idx="10439">
                  <c:v>4.39</c:v>
                </c:pt>
                <c:pt idx="10440">
                  <c:v>4.4</c:v>
                </c:pt>
                <c:pt idx="10441">
                  <c:v>4.41</c:v>
                </c:pt>
                <c:pt idx="10442">
                  <c:v>4.42</c:v>
                </c:pt>
                <c:pt idx="10443">
                  <c:v>4.43</c:v>
                </c:pt>
                <c:pt idx="10444">
                  <c:v>4.44</c:v>
                </c:pt>
                <c:pt idx="10445">
                  <c:v>4.45</c:v>
                </c:pt>
                <c:pt idx="10446">
                  <c:v>4.46</c:v>
                </c:pt>
                <c:pt idx="10447">
                  <c:v>4.47</c:v>
                </c:pt>
                <c:pt idx="10448">
                  <c:v>4.48</c:v>
                </c:pt>
                <c:pt idx="10449">
                  <c:v>4.49</c:v>
                </c:pt>
                <c:pt idx="10450">
                  <c:v>4.5</c:v>
                </c:pt>
                <c:pt idx="10451">
                  <c:v>4.51</c:v>
                </c:pt>
                <c:pt idx="10452">
                  <c:v>4.52</c:v>
                </c:pt>
                <c:pt idx="10453">
                  <c:v>4.53</c:v>
                </c:pt>
                <c:pt idx="10454">
                  <c:v>4.54</c:v>
                </c:pt>
                <c:pt idx="10455">
                  <c:v>4.55</c:v>
                </c:pt>
                <c:pt idx="10456">
                  <c:v>4.56</c:v>
                </c:pt>
                <c:pt idx="10457">
                  <c:v>4.57</c:v>
                </c:pt>
                <c:pt idx="10458">
                  <c:v>4.58</c:v>
                </c:pt>
                <c:pt idx="10459">
                  <c:v>4.59</c:v>
                </c:pt>
                <c:pt idx="10460">
                  <c:v>4.6</c:v>
                </c:pt>
                <c:pt idx="10461">
                  <c:v>4.61</c:v>
                </c:pt>
                <c:pt idx="10462">
                  <c:v>4.62</c:v>
                </c:pt>
                <c:pt idx="10463">
                  <c:v>4.63</c:v>
                </c:pt>
                <c:pt idx="10464">
                  <c:v>4.64</c:v>
                </c:pt>
                <c:pt idx="10465">
                  <c:v>4.65</c:v>
                </c:pt>
                <c:pt idx="10466">
                  <c:v>4.66</c:v>
                </c:pt>
                <c:pt idx="10467">
                  <c:v>4.67</c:v>
                </c:pt>
                <c:pt idx="10468">
                  <c:v>4.68</c:v>
                </c:pt>
                <c:pt idx="10469">
                  <c:v>4.69</c:v>
                </c:pt>
                <c:pt idx="10470">
                  <c:v>4.7</c:v>
                </c:pt>
                <c:pt idx="10471">
                  <c:v>4.71</c:v>
                </c:pt>
                <c:pt idx="10472">
                  <c:v>4.72</c:v>
                </c:pt>
                <c:pt idx="10473">
                  <c:v>4.73</c:v>
                </c:pt>
                <c:pt idx="10474">
                  <c:v>4.74</c:v>
                </c:pt>
                <c:pt idx="10475">
                  <c:v>4.75</c:v>
                </c:pt>
                <c:pt idx="10476">
                  <c:v>4.76</c:v>
                </c:pt>
                <c:pt idx="10477">
                  <c:v>4.77</c:v>
                </c:pt>
                <c:pt idx="10478">
                  <c:v>4.78</c:v>
                </c:pt>
                <c:pt idx="10479">
                  <c:v>4.79</c:v>
                </c:pt>
                <c:pt idx="10480">
                  <c:v>4.8</c:v>
                </c:pt>
                <c:pt idx="10481">
                  <c:v>4.81</c:v>
                </c:pt>
                <c:pt idx="10482">
                  <c:v>4.82</c:v>
                </c:pt>
                <c:pt idx="10483">
                  <c:v>4.83</c:v>
                </c:pt>
                <c:pt idx="10484">
                  <c:v>4.84</c:v>
                </c:pt>
                <c:pt idx="10485">
                  <c:v>4.85</c:v>
                </c:pt>
                <c:pt idx="10486">
                  <c:v>4.86</c:v>
                </c:pt>
                <c:pt idx="10487">
                  <c:v>4.87</c:v>
                </c:pt>
                <c:pt idx="10488">
                  <c:v>4.88</c:v>
                </c:pt>
                <c:pt idx="10489">
                  <c:v>4.89</c:v>
                </c:pt>
                <c:pt idx="10490">
                  <c:v>4.9</c:v>
                </c:pt>
                <c:pt idx="10491">
                  <c:v>4.91</c:v>
                </c:pt>
                <c:pt idx="10492">
                  <c:v>4.92</c:v>
                </c:pt>
                <c:pt idx="10493">
                  <c:v>4.93</c:v>
                </c:pt>
                <c:pt idx="10494">
                  <c:v>4.94</c:v>
                </c:pt>
                <c:pt idx="10495">
                  <c:v>4.95</c:v>
                </c:pt>
                <c:pt idx="10496">
                  <c:v>4.96</c:v>
                </c:pt>
                <c:pt idx="10497">
                  <c:v>4.97</c:v>
                </c:pt>
                <c:pt idx="10498">
                  <c:v>4.98</c:v>
                </c:pt>
                <c:pt idx="10499">
                  <c:v>4.99</c:v>
                </c:pt>
                <c:pt idx="10500">
                  <c:v>5.0</c:v>
                </c:pt>
                <c:pt idx="10501">
                  <c:v>5.01</c:v>
                </c:pt>
                <c:pt idx="10502">
                  <c:v>5.02</c:v>
                </c:pt>
                <c:pt idx="10503">
                  <c:v>5.03</c:v>
                </c:pt>
                <c:pt idx="10504">
                  <c:v>5.04</c:v>
                </c:pt>
                <c:pt idx="10505">
                  <c:v>5.05</c:v>
                </c:pt>
                <c:pt idx="10506">
                  <c:v>5.06</c:v>
                </c:pt>
                <c:pt idx="10507">
                  <c:v>5.07</c:v>
                </c:pt>
                <c:pt idx="10508">
                  <c:v>5.08</c:v>
                </c:pt>
                <c:pt idx="10509">
                  <c:v>5.09</c:v>
                </c:pt>
                <c:pt idx="10510">
                  <c:v>5.1</c:v>
                </c:pt>
                <c:pt idx="10511">
                  <c:v>5.11</c:v>
                </c:pt>
                <c:pt idx="10512">
                  <c:v>5.12</c:v>
                </c:pt>
                <c:pt idx="10513">
                  <c:v>5.13</c:v>
                </c:pt>
                <c:pt idx="10514">
                  <c:v>5.14</c:v>
                </c:pt>
                <c:pt idx="10515">
                  <c:v>5.15</c:v>
                </c:pt>
                <c:pt idx="10516">
                  <c:v>5.16</c:v>
                </c:pt>
                <c:pt idx="10517">
                  <c:v>5.17</c:v>
                </c:pt>
                <c:pt idx="10518">
                  <c:v>5.18</c:v>
                </c:pt>
                <c:pt idx="10519">
                  <c:v>5.19</c:v>
                </c:pt>
                <c:pt idx="10520">
                  <c:v>5.2</c:v>
                </c:pt>
                <c:pt idx="10521">
                  <c:v>5.21</c:v>
                </c:pt>
                <c:pt idx="10522">
                  <c:v>5.22</c:v>
                </c:pt>
                <c:pt idx="10523">
                  <c:v>5.23</c:v>
                </c:pt>
                <c:pt idx="10524">
                  <c:v>5.24</c:v>
                </c:pt>
                <c:pt idx="10525">
                  <c:v>5.25</c:v>
                </c:pt>
                <c:pt idx="10526">
                  <c:v>5.26</c:v>
                </c:pt>
                <c:pt idx="10527">
                  <c:v>5.27</c:v>
                </c:pt>
                <c:pt idx="10528">
                  <c:v>5.28</c:v>
                </c:pt>
                <c:pt idx="10529">
                  <c:v>5.29</c:v>
                </c:pt>
                <c:pt idx="10530">
                  <c:v>5.3</c:v>
                </c:pt>
                <c:pt idx="10531">
                  <c:v>5.31</c:v>
                </c:pt>
                <c:pt idx="10532">
                  <c:v>5.32</c:v>
                </c:pt>
                <c:pt idx="10533">
                  <c:v>5.33</c:v>
                </c:pt>
                <c:pt idx="10534">
                  <c:v>5.34</c:v>
                </c:pt>
                <c:pt idx="10535">
                  <c:v>5.35</c:v>
                </c:pt>
                <c:pt idx="10536">
                  <c:v>5.36</c:v>
                </c:pt>
                <c:pt idx="10537">
                  <c:v>5.37</c:v>
                </c:pt>
                <c:pt idx="10538">
                  <c:v>5.38</c:v>
                </c:pt>
                <c:pt idx="10539">
                  <c:v>5.39</c:v>
                </c:pt>
                <c:pt idx="10540">
                  <c:v>5.4</c:v>
                </c:pt>
                <c:pt idx="10541">
                  <c:v>5.41</c:v>
                </c:pt>
                <c:pt idx="10542">
                  <c:v>5.42</c:v>
                </c:pt>
                <c:pt idx="10543">
                  <c:v>5.43</c:v>
                </c:pt>
                <c:pt idx="10544">
                  <c:v>5.44</c:v>
                </c:pt>
                <c:pt idx="10545">
                  <c:v>5.45</c:v>
                </c:pt>
                <c:pt idx="10546">
                  <c:v>5.46</c:v>
                </c:pt>
                <c:pt idx="10547">
                  <c:v>5.47</c:v>
                </c:pt>
                <c:pt idx="10548">
                  <c:v>5.48</c:v>
                </c:pt>
                <c:pt idx="10549">
                  <c:v>5.49</c:v>
                </c:pt>
                <c:pt idx="10550">
                  <c:v>5.5</c:v>
                </c:pt>
                <c:pt idx="10551">
                  <c:v>5.51</c:v>
                </c:pt>
                <c:pt idx="10552">
                  <c:v>5.52</c:v>
                </c:pt>
                <c:pt idx="10553">
                  <c:v>5.53</c:v>
                </c:pt>
                <c:pt idx="10554">
                  <c:v>5.54</c:v>
                </c:pt>
                <c:pt idx="10555">
                  <c:v>5.55</c:v>
                </c:pt>
                <c:pt idx="10556">
                  <c:v>5.56</c:v>
                </c:pt>
                <c:pt idx="10557">
                  <c:v>5.57</c:v>
                </c:pt>
                <c:pt idx="10558">
                  <c:v>5.58</c:v>
                </c:pt>
                <c:pt idx="10559">
                  <c:v>5.59</c:v>
                </c:pt>
                <c:pt idx="10560">
                  <c:v>5.6</c:v>
                </c:pt>
                <c:pt idx="10561">
                  <c:v>5.61</c:v>
                </c:pt>
                <c:pt idx="10562">
                  <c:v>5.62</c:v>
                </c:pt>
                <c:pt idx="10563">
                  <c:v>5.63</c:v>
                </c:pt>
                <c:pt idx="10564">
                  <c:v>5.64</c:v>
                </c:pt>
                <c:pt idx="10565">
                  <c:v>5.65</c:v>
                </c:pt>
                <c:pt idx="10566">
                  <c:v>5.66</c:v>
                </c:pt>
                <c:pt idx="10567">
                  <c:v>5.67</c:v>
                </c:pt>
                <c:pt idx="10568">
                  <c:v>5.68</c:v>
                </c:pt>
                <c:pt idx="10569">
                  <c:v>5.69</c:v>
                </c:pt>
                <c:pt idx="10570">
                  <c:v>5.7</c:v>
                </c:pt>
                <c:pt idx="10571">
                  <c:v>5.71</c:v>
                </c:pt>
                <c:pt idx="10572">
                  <c:v>5.72</c:v>
                </c:pt>
                <c:pt idx="10573">
                  <c:v>5.73</c:v>
                </c:pt>
                <c:pt idx="10574">
                  <c:v>5.74</c:v>
                </c:pt>
                <c:pt idx="10575">
                  <c:v>5.75</c:v>
                </c:pt>
                <c:pt idx="10576">
                  <c:v>5.76</c:v>
                </c:pt>
                <c:pt idx="10577">
                  <c:v>5.77</c:v>
                </c:pt>
                <c:pt idx="10578">
                  <c:v>5.78</c:v>
                </c:pt>
                <c:pt idx="10579">
                  <c:v>5.79</c:v>
                </c:pt>
                <c:pt idx="10580">
                  <c:v>5.8</c:v>
                </c:pt>
                <c:pt idx="10581">
                  <c:v>5.81</c:v>
                </c:pt>
                <c:pt idx="10582">
                  <c:v>5.82</c:v>
                </c:pt>
                <c:pt idx="10583">
                  <c:v>5.83</c:v>
                </c:pt>
                <c:pt idx="10584">
                  <c:v>5.84</c:v>
                </c:pt>
                <c:pt idx="10585">
                  <c:v>5.85</c:v>
                </c:pt>
                <c:pt idx="10586">
                  <c:v>5.86</c:v>
                </c:pt>
                <c:pt idx="10587">
                  <c:v>5.87</c:v>
                </c:pt>
                <c:pt idx="10588">
                  <c:v>5.88</c:v>
                </c:pt>
                <c:pt idx="10589">
                  <c:v>5.89</c:v>
                </c:pt>
                <c:pt idx="10590">
                  <c:v>5.9</c:v>
                </c:pt>
                <c:pt idx="10591">
                  <c:v>5.91</c:v>
                </c:pt>
                <c:pt idx="10592">
                  <c:v>5.92</c:v>
                </c:pt>
                <c:pt idx="10593">
                  <c:v>5.93</c:v>
                </c:pt>
                <c:pt idx="10594">
                  <c:v>5.94</c:v>
                </c:pt>
                <c:pt idx="10595">
                  <c:v>5.95</c:v>
                </c:pt>
                <c:pt idx="10596">
                  <c:v>5.96</c:v>
                </c:pt>
                <c:pt idx="10597">
                  <c:v>5.97</c:v>
                </c:pt>
                <c:pt idx="10598">
                  <c:v>5.98</c:v>
                </c:pt>
                <c:pt idx="10599">
                  <c:v>5.99</c:v>
                </c:pt>
                <c:pt idx="10600">
                  <c:v>6.0</c:v>
                </c:pt>
                <c:pt idx="10601">
                  <c:v>6.01</c:v>
                </c:pt>
                <c:pt idx="10602">
                  <c:v>6.02</c:v>
                </c:pt>
                <c:pt idx="10603">
                  <c:v>6.03</c:v>
                </c:pt>
                <c:pt idx="10604">
                  <c:v>6.04</c:v>
                </c:pt>
                <c:pt idx="10605">
                  <c:v>6.05</c:v>
                </c:pt>
                <c:pt idx="10606">
                  <c:v>6.06</c:v>
                </c:pt>
                <c:pt idx="10607">
                  <c:v>6.07</c:v>
                </c:pt>
                <c:pt idx="10608">
                  <c:v>6.08</c:v>
                </c:pt>
                <c:pt idx="10609">
                  <c:v>6.09</c:v>
                </c:pt>
                <c:pt idx="10610">
                  <c:v>6.1</c:v>
                </c:pt>
                <c:pt idx="10611">
                  <c:v>6.11</c:v>
                </c:pt>
                <c:pt idx="10612">
                  <c:v>6.12</c:v>
                </c:pt>
                <c:pt idx="10613">
                  <c:v>6.13</c:v>
                </c:pt>
                <c:pt idx="10614">
                  <c:v>6.14</c:v>
                </c:pt>
                <c:pt idx="10615">
                  <c:v>6.15</c:v>
                </c:pt>
                <c:pt idx="10616">
                  <c:v>6.16</c:v>
                </c:pt>
                <c:pt idx="10617">
                  <c:v>6.17</c:v>
                </c:pt>
                <c:pt idx="10618">
                  <c:v>6.18</c:v>
                </c:pt>
                <c:pt idx="10619">
                  <c:v>6.19</c:v>
                </c:pt>
                <c:pt idx="10620">
                  <c:v>6.2</c:v>
                </c:pt>
                <c:pt idx="10621">
                  <c:v>6.21</c:v>
                </c:pt>
                <c:pt idx="10622">
                  <c:v>6.22</c:v>
                </c:pt>
                <c:pt idx="10623">
                  <c:v>6.23</c:v>
                </c:pt>
                <c:pt idx="10624">
                  <c:v>6.24</c:v>
                </c:pt>
                <c:pt idx="10625">
                  <c:v>6.25</c:v>
                </c:pt>
                <c:pt idx="10626">
                  <c:v>6.26</c:v>
                </c:pt>
                <c:pt idx="10627">
                  <c:v>6.27</c:v>
                </c:pt>
                <c:pt idx="10628">
                  <c:v>6.28</c:v>
                </c:pt>
                <c:pt idx="10629">
                  <c:v>6.29</c:v>
                </c:pt>
                <c:pt idx="10630">
                  <c:v>6.3</c:v>
                </c:pt>
                <c:pt idx="10631">
                  <c:v>6.31</c:v>
                </c:pt>
                <c:pt idx="10632">
                  <c:v>6.32</c:v>
                </c:pt>
                <c:pt idx="10633">
                  <c:v>6.33</c:v>
                </c:pt>
                <c:pt idx="10634">
                  <c:v>6.34</c:v>
                </c:pt>
                <c:pt idx="10635">
                  <c:v>6.35</c:v>
                </c:pt>
                <c:pt idx="10636">
                  <c:v>6.36</c:v>
                </c:pt>
                <c:pt idx="10637">
                  <c:v>6.37</c:v>
                </c:pt>
                <c:pt idx="10638">
                  <c:v>6.38</c:v>
                </c:pt>
                <c:pt idx="10639">
                  <c:v>6.39</c:v>
                </c:pt>
                <c:pt idx="10640">
                  <c:v>6.4</c:v>
                </c:pt>
                <c:pt idx="10641">
                  <c:v>6.41</c:v>
                </c:pt>
                <c:pt idx="10642">
                  <c:v>6.42</c:v>
                </c:pt>
                <c:pt idx="10643">
                  <c:v>6.43</c:v>
                </c:pt>
                <c:pt idx="10644">
                  <c:v>6.44</c:v>
                </c:pt>
                <c:pt idx="10645">
                  <c:v>6.45</c:v>
                </c:pt>
                <c:pt idx="10646">
                  <c:v>6.46</c:v>
                </c:pt>
                <c:pt idx="10647">
                  <c:v>6.47</c:v>
                </c:pt>
                <c:pt idx="10648">
                  <c:v>6.48</c:v>
                </c:pt>
                <c:pt idx="10649">
                  <c:v>6.49</c:v>
                </c:pt>
                <c:pt idx="10650">
                  <c:v>6.5</c:v>
                </c:pt>
                <c:pt idx="10651">
                  <c:v>6.51</c:v>
                </c:pt>
                <c:pt idx="10652">
                  <c:v>6.52</c:v>
                </c:pt>
                <c:pt idx="10653">
                  <c:v>6.53</c:v>
                </c:pt>
                <c:pt idx="10654">
                  <c:v>6.54</c:v>
                </c:pt>
                <c:pt idx="10655">
                  <c:v>6.55</c:v>
                </c:pt>
                <c:pt idx="10656">
                  <c:v>6.56</c:v>
                </c:pt>
                <c:pt idx="10657">
                  <c:v>6.57</c:v>
                </c:pt>
                <c:pt idx="10658">
                  <c:v>6.58</c:v>
                </c:pt>
                <c:pt idx="10659">
                  <c:v>6.59</c:v>
                </c:pt>
                <c:pt idx="10660">
                  <c:v>6.6</c:v>
                </c:pt>
                <c:pt idx="10661">
                  <c:v>6.61</c:v>
                </c:pt>
                <c:pt idx="10662">
                  <c:v>6.62</c:v>
                </c:pt>
                <c:pt idx="10663">
                  <c:v>6.63</c:v>
                </c:pt>
                <c:pt idx="10664">
                  <c:v>6.64</c:v>
                </c:pt>
                <c:pt idx="10665">
                  <c:v>6.65</c:v>
                </c:pt>
                <c:pt idx="10666">
                  <c:v>6.66</c:v>
                </c:pt>
                <c:pt idx="10667">
                  <c:v>6.67</c:v>
                </c:pt>
                <c:pt idx="10668">
                  <c:v>6.68</c:v>
                </c:pt>
                <c:pt idx="10669">
                  <c:v>6.69</c:v>
                </c:pt>
                <c:pt idx="10670">
                  <c:v>6.7</c:v>
                </c:pt>
                <c:pt idx="10671">
                  <c:v>6.71</c:v>
                </c:pt>
                <c:pt idx="10672">
                  <c:v>6.72</c:v>
                </c:pt>
                <c:pt idx="10673">
                  <c:v>6.73</c:v>
                </c:pt>
                <c:pt idx="10674">
                  <c:v>6.74</c:v>
                </c:pt>
                <c:pt idx="10675">
                  <c:v>6.75</c:v>
                </c:pt>
                <c:pt idx="10676">
                  <c:v>6.76</c:v>
                </c:pt>
                <c:pt idx="10677">
                  <c:v>6.77</c:v>
                </c:pt>
                <c:pt idx="10678">
                  <c:v>6.78</c:v>
                </c:pt>
                <c:pt idx="10679">
                  <c:v>6.79</c:v>
                </c:pt>
                <c:pt idx="10680">
                  <c:v>6.8</c:v>
                </c:pt>
                <c:pt idx="10681">
                  <c:v>6.81</c:v>
                </c:pt>
                <c:pt idx="10682">
                  <c:v>6.82</c:v>
                </c:pt>
                <c:pt idx="10683">
                  <c:v>6.83</c:v>
                </c:pt>
                <c:pt idx="10684">
                  <c:v>6.84</c:v>
                </c:pt>
                <c:pt idx="10685">
                  <c:v>6.85</c:v>
                </c:pt>
                <c:pt idx="10686">
                  <c:v>6.86</c:v>
                </c:pt>
                <c:pt idx="10687">
                  <c:v>6.87</c:v>
                </c:pt>
                <c:pt idx="10688">
                  <c:v>6.88</c:v>
                </c:pt>
                <c:pt idx="10689">
                  <c:v>6.89</c:v>
                </c:pt>
                <c:pt idx="10690">
                  <c:v>6.9</c:v>
                </c:pt>
                <c:pt idx="10691">
                  <c:v>6.91</c:v>
                </c:pt>
                <c:pt idx="10692">
                  <c:v>6.92</c:v>
                </c:pt>
                <c:pt idx="10693">
                  <c:v>6.93</c:v>
                </c:pt>
                <c:pt idx="10694">
                  <c:v>6.94</c:v>
                </c:pt>
                <c:pt idx="10695">
                  <c:v>6.95</c:v>
                </c:pt>
                <c:pt idx="10696">
                  <c:v>6.96</c:v>
                </c:pt>
                <c:pt idx="10697">
                  <c:v>6.97</c:v>
                </c:pt>
                <c:pt idx="10698">
                  <c:v>6.98</c:v>
                </c:pt>
                <c:pt idx="10699">
                  <c:v>6.99</c:v>
                </c:pt>
                <c:pt idx="10700">
                  <c:v>7.0</c:v>
                </c:pt>
                <c:pt idx="10701">
                  <c:v>7.01</c:v>
                </c:pt>
                <c:pt idx="10702">
                  <c:v>7.02</c:v>
                </c:pt>
                <c:pt idx="10703">
                  <c:v>7.03</c:v>
                </c:pt>
                <c:pt idx="10704">
                  <c:v>7.04</c:v>
                </c:pt>
                <c:pt idx="10705">
                  <c:v>7.05</c:v>
                </c:pt>
                <c:pt idx="10706">
                  <c:v>7.06</c:v>
                </c:pt>
                <c:pt idx="10707">
                  <c:v>7.07</c:v>
                </c:pt>
                <c:pt idx="10708">
                  <c:v>7.08</c:v>
                </c:pt>
                <c:pt idx="10709">
                  <c:v>7.09</c:v>
                </c:pt>
                <c:pt idx="10710">
                  <c:v>7.1</c:v>
                </c:pt>
                <c:pt idx="10711">
                  <c:v>7.11</c:v>
                </c:pt>
                <c:pt idx="10712">
                  <c:v>7.12</c:v>
                </c:pt>
                <c:pt idx="10713">
                  <c:v>7.13</c:v>
                </c:pt>
                <c:pt idx="10714">
                  <c:v>7.14</c:v>
                </c:pt>
                <c:pt idx="10715">
                  <c:v>7.15</c:v>
                </c:pt>
                <c:pt idx="10716">
                  <c:v>7.16</c:v>
                </c:pt>
                <c:pt idx="10717">
                  <c:v>7.17</c:v>
                </c:pt>
                <c:pt idx="10718">
                  <c:v>7.18</c:v>
                </c:pt>
                <c:pt idx="10719">
                  <c:v>7.19</c:v>
                </c:pt>
                <c:pt idx="10720">
                  <c:v>7.2</c:v>
                </c:pt>
                <c:pt idx="10721">
                  <c:v>7.21</c:v>
                </c:pt>
                <c:pt idx="10722">
                  <c:v>7.22</c:v>
                </c:pt>
                <c:pt idx="10723">
                  <c:v>7.23</c:v>
                </c:pt>
                <c:pt idx="10724">
                  <c:v>7.24</c:v>
                </c:pt>
                <c:pt idx="10725">
                  <c:v>7.25</c:v>
                </c:pt>
                <c:pt idx="10726">
                  <c:v>7.26</c:v>
                </c:pt>
                <c:pt idx="10727">
                  <c:v>7.27</c:v>
                </c:pt>
                <c:pt idx="10728">
                  <c:v>7.28</c:v>
                </c:pt>
                <c:pt idx="10729">
                  <c:v>7.29</c:v>
                </c:pt>
                <c:pt idx="10730">
                  <c:v>7.3</c:v>
                </c:pt>
                <c:pt idx="10731">
                  <c:v>7.31</c:v>
                </c:pt>
                <c:pt idx="10732">
                  <c:v>7.32</c:v>
                </c:pt>
                <c:pt idx="10733">
                  <c:v>7.33</c:v>
                </c:pt>
                <c:pt idx="10734">
                  <c:v>7.34</c:v>
                </c:pt>
                <c:pt idx="10735">
                  <c:v>7.35</c:v>
                </c:pt>
                <c:pt idx="10736">
                  <c:v>7.36</c:v>
                </c:pt>
                <c:pt idx="10737">
                  <c:v>7.37</c:v>
                </c:pt>
                <c:pt idx="10738">
                  <c:v>7.38</c:v>
                </c:pt>
                <c:pt idx="10739">
                  <c:v>7.39</c:v>
                </c:pt>
                <c:pt idx="10740">
                  <c:v>7.4</c:v>
                </c:pt>
                <c:pt idx="10741">
                  <c:v>7.41</c:v>
                </c:pt>
                <c:pt idx="10742">
                  <c:v>7.42</c:v>
                </c:pt>
                <c:pt idx="10743">
                  <c:v>7.43</c:v>
                </c:pt>
                <c:pt idx="10744">
                  <c:v>7.44</c:v>
                </c:pt>
                <c:pt idx="10745">
                  <c:v>7.45</c:v>
                </c:pt>
                <c:pt idx="10746">
                  <c:v>7.46</c:v>
                </c:pt>
                <c:pt idx="10747">
                  <c:v>7.47</c:v>
                </c:pt>
                <c:pt idx="10748">
                  <c:v>7.48</c:v>
                </c:pt>
                <c:pt idx="10749">
                  <c:v>7.49</c:v>
                </c:pt>
                <c:pt idx="10750">
                  <c:v>7.5</c:v>
                </c:pt>
                <c:pt idx="10751">
                  <c:v>7.51</c:v>
                </c:pt>
                <c:pt idx="10752">
                  <c:v>7.52</c:v>
                </c:pt>
                <c:pt idx="10753">
                  <c:v>7.53</c:v>
                </c:pt>
                <c:pt idx="10754">
                  <c:v>7.54</c:v>
                </c:pt>
                <c:pt idx="10755">
                  <c:v>7.55</c:v>
                </c:pt>
                <c:pt idx="10756">
                  <c:v>7.56</c:v>
                </c:pt>
                <c:pt idx="10757">
                  <c:v>7.57</c:v>
                </c:pt>
                <c:pt idx="10758">
                  <c:v>7.58</c:v>
                </c:pt>
                <c:pt idx="10759">
                  <c:v>7.59</c:v>
                </c:pt>
                <c:pt idx="10760">
                  <c:v>7.6</c:v>
                </c:pt>
                <c:pt idx="10761">
                  <c:v>7.61</c:v>
                </c:pt>
                <c:pt idx="10762">
                  <c:v>7.62</c:v>
                </c:pt>
                <c:pt idx="10763">
                  <c:v>7.63</c:v>
                </c:pt>
                <c:pt idx="10764">
                  <c:v>7.64</c:v>
                </c:pt>
                <c:pt idx="10765">
                  <c:v>7.65</c:v>
                </c:pt>
                <c:pt idx="10766">
                  <c:v>7.66</c:v>
                </c:pt>
                <c:pt idx="10767">
                  <c:v>7.67</c:v>
                </c:pt>
                <c:pt idx="10768">
                  <c:v>7.68</c:v>
                </c:pt>
                <c:pt idx="10769">
                  <c:v>7.69</c:v>
                </c:pt>
                <c:pt idx="10770">
                  <c:v>7.7</c:v>
                </c:pt>
                <c:pt idx="10771">
                  <c:v>7.71</c:v>
                </c:pt>
                <c:pt idx="10772">
                  <c:v>7.72</c:v>
                </c:pt>
                <c:pt idx="10773">
                  <c:v>7.73</c:v>
                </c:pt>
                <c:pt idx="10774">
                  <c:v>7.74</c:v>
                </c:pt>
                <c:pt idx="10775">
                  <c:v>7.75</c:v>
                </c:pt>
                <c:pt idx="10776">
                  <c:v>7.76</c:v>
                </c:pt>
                <c:pt idx="10777">
                  <c:v>7.77</c:v>
                </c:pt>
                <c:pt idx="10778">
                  <c:v>7.78</c:v>
                </c:pt>
                <c:pt idx="10779">
                  <c:v>7.79</c:v>
                </c:pt>
                <c:pt idx="10780">
                  <c:v>7.8</c:v>
                </c:pt>
                <c:pt idx="10781">
                  <c:v>7.81</c:v>
                </c:pt>
                <c:pt idx="10782">
                  <c:v>7.82</c:v>
                </c:pt>
                <c:pt idx="10783">
                  <c:v>7.83</c:v>
                </c:pt>
                <c:pt idx="10784">
                  <c:v>7.84</c:v>
                </c:pt>
                <c:pt idx="10785">
                  <c:v>7.85</c:v>
                </c:pt>
                <c:pt idx="10786">
                  <c:v>7.86</c:v>
                </c:pt>
                <c:pt idx="10787">
                  <c:v>7.87</c:v>
                </c:pt>
                <c:pt idx="10788">
                  <c:v>7.88</c:v>
                </c:pt>
                <c:pt idx="10789">
                  <c:v>7.89</c:v>
                </c:pt>
                <c:pt idx="10790">
                  <c:v>7.9</c:v>
                </c:pt>
                <c:pt idx="10791">
                  <c:v>7.91</c:v>
                </c:pt>
                <c:pt idx="10792">
                  <c:v>7.92</c:v>
                </c:pt>
                <c:pt idx="10793">
                  <c:v>7.93</c:v>
                </c:pt>
                <c:pt idx="10794">
                  <c:v>7.94</c:v>
                </c:pt>
                <c:pt idx="10795">
                  <c:v>7.95</c:v>
                </c:pt>
                <c:pt idx="10796">
                  <c:v>7.96</c:v>
                </c:pt>
                <c:pt idx="10797">
                  <c:v>7.97</c:v>
                </c:pt>
                <c:pt idx="10798">
                  <c:v>7.98</c:v>
                </c:pt>
                <c:pt idx="10799">
                  <c:v>7.99</c:v>
                </c:pt>
                <c:pt idx="10800">
                  <c:v>8.0</c:v>
                </c:pt>
                <c:pt idx="10801">
                  <c:v>8.01</c:v>
                </c:pt>
                <c:pt idx="10802">
                  <c:v>8.02</c:v>
                </c:pt>
                <c:pt idx="10803">
                  <c:v>8.03</c:v>
                </c:pt>
                <c:pt idx="10804">
                  <c:v>8.04</c:v>
                </c:pt>
                <c:pt idx="10805">
                  <c:v>8.05</c:v>
                </c:pt>
                <c:pt idx="10806">
                  <c:v>8.06</c:v>
                </c:pt>
                <c:pt idx="10807">
                  <c:v>8.07</c:v>
                </c:pt>
                <c:pt idx="10808">
                  <c:v>8.08</c:v>
                </c:pt>
                <c:pt idx="10809">
                  <c:v>8.09</c:v>
                </c:pt>
                <c:pt idx="10810">
                  <c:v>8.1</c:v>
                </c:pt>
                <c:pt idx="10811">
                  <c:v>8.11</c:v>
                </c:pt>
                <c:pt idx="10812">
                  <c:v>8.12</c:v>
                </c:pt>
                <c:pt idx="10813">
                  <c:v>8.13</c:v>
                </c:pt>
                <c:pt idx="10814">
                  <c:v>8.14</c:v>
                </c:pt>
                <c:pt idx="10815">
                  <c:v>8.15</c:v>
                </c:pt>
                <c:pt idx="10816">
                  <c:v>8.16</c:v>
                </c:pt>
                <c:pt idx="10817">
                  <c:v>8.17</c:v>
                </c:pt>
                <c:pt idx="10818">
                  <c:v>8.18</c:v>
                </c:pt>
                <c:pt idx="10819">
                  <c:v>8.19</c:v>
                </c:pt>
                <c:pt idx="10820">
                  <c:v>8.2</c:v>
                </c:pt>
                <c:pt idx="10821">
                  <c:v>8.21</c:v>
                </c:pt>
                <c:pt idx="10822">
                  <c:v>8.22</c:v>
                </c:pt>
                <c:pt idx="10823">
                  <c:v>8.23</c:v>
                </c:pt>
                <c:pt idx="10824">
                  <c:v>8.24</c:v>
                </c:pt>
                <c:pt idx="10825">
                  <c:v>8.25</c:v>
                </c:pt>
                <c:pt idx="10826">
                  <c:v>8.26</c:v>
                </c:pt>
                <c:pt idx="10827">
                  <c:v>8.27</c:v>
                </c:pt>
                <c:pt idx="10828">
                  <c:v>8.28</c:v>
                </c:pt>
                <c:pt idx="10829">
                  <c:v>8.29</c:v>
                </c:pt>
                <c:pt idx="10830">
                  <c:v>8.3</c:v>
                </c:pt>
                <c:pt idx="10831">
                  <c:v>8.31</c:v>
                </c:pt>
                <c:pt idx="10832">
                  <c:v>8.32</c:v>
                </c:pt>
                <c:pt idx="10833">
                  <c:v>8.33</c:v>
                </c:pt>
                <c:pt idx="10834">
                  <c:v>8.34</c:v>
                </c:pt>
                <c:pt idx="10835">
                  <c:v>8.35</c:v>
                </c:pt>
                <c:pt idx="10836">
                  <c:v>8.36</c:v>
                </c:pt>
                <c:pt idx="10837">
                  <c:v>8.37</c:v>
                </c:pt>
                <c:pt idx="10838">
                  <c:v>8.38</c:v>
                </c:pt>
                <c:pt idx="10839">
                  <c:v>8.39</c:v>
                </c:pt>
                <c:pt idx="10840">
                  <c:v>8.4</c:v>
                </c:pt>
                <c:pt idx="10841">
                  <c:v>8.41</c:v>
                </c:pt>
                <c:pt idx="10842">
                  <c:v>8.42</c:v>
                </c:pt>
                <c:pt idx="10843">
                  <c:v>8.43</c:v>
                </c:pt>
                <c:pt idx="10844">
                  <c:v>8.44</c:v>
                </c:pt>
                <c:pt idx="10845">
                  <c:v>8.45</c:v>
                </c:pt>
                <c:pt idx="10846">
                  <c:v>8.46</c:v>
                </c:pt>
                <c:pt idx="10847">
                  <c:v>8.47</c:v>
                </c:pt>
                <c:pt idx="10848">
                  <c:v>8.48</c:v>
                </c:pt>
                <c:pt idx="10849">
                  <c:v>8.49</c:v>
                </c:pt>
                <c:pt idx="10850">
                  <c:v>8.5</c:v>
                </c:pt>
                <c:pt idx="10851">
                  <c:v>8.51</c:v>
                </c:pt>
                <c:pt idx="10852">
                  <c:v>8.52</c:v>
                </c:pt>
                <c:pt idx="10853">
                  <c:v>8.53</c:v>
                </c:pt>
                <c:pt idx="10854">
                  <c:v>8.54</c:v>
                </c:pt>
                <c:pt idx="10855">
                  <c:v>8.55</c:v>
                </c:pt>
                <c:pt idx="10856">
                  <c:v>8.56</c:v>
                </c:pt>
                <c:pt idx="10857">
                  <c:v>8.57</c:v>
                </c:pt>
                <c:pt idx="10858">
                  <c:v>8.58</c:v>
                </c:pt>
                <c:pt idx="10859">
                  <c:v>8.59</c:v>
                </c:pt>
                <c:pt idx="10860">
                  <c:v>8.6</c:v>
                </c:pt>
                <c:pt idx="10861">
                  <c:v>8.61</c:v>
                </c:pt>
                <c:pt idx="10862">
                  <c:v>8.62</c:v>
                </c:pt>
                <c:pt idx="10863">
                  <c:v>8.63</c:v>
                </c:pt>
                <c:pt idx="10864">
                  <c:v>8.64</c:v>
                </c:pt>
                <c:pt idx="10865">
                  <c:v>8.65</c:v>
                </c:pt>
                <c:pt idx="10866">
                  <c:v>8.66</c:v>
                </c:pt>
                <c:pt idx="10867">
                  <c:v>8.67</c:v>
                </c:pt>
                <c:pt idx="10868">
                  <c:v>8.68</c:v>
                </c:pt>
                <c:pt idx="10869">
                  <c:v>8.69</c:v>
                </c:pt>
                <c:pt idx="10870">
                  <c:v>8.7</c:v>
                </c:pt>
                <c:pt idx="10871">
                  <c:v>8.71</c:v>
                </c:pt>
                <c:pt idx="10872">
                  <c:v>8.72</c:v>
                </c:pt>
                <c:pt idx="10873">
                  <c:v>8.73</c:v>
                </c:pt>
                <c:pt idx="10874">
                  <c:v>8.74</c:v>
                </c:pt>
                <c:pt idx="10875">
                  <c:v>8.75</c:v>
                </c:pt>
                <c:pt idx="10876">
                  <c:v>8.76</c:v>
                </c:pt>
                <c:pt idx="10877">
                  <c:v>8.77</c:v>
                </c:pt>
                <c:pt idx="10878">
                  <c:v>8.78</c:v>
                </c:pt>
                <c:pt idx="10879">
                  <c:v>8.79</c:v>
                </c:pt>
                <c:pt idx="10880">
                  <c:v>8.8</c:v>
                </c:pt>
                <c:pt idx="10881">
                  <c:v>8.81</c:v>
                </c:pt>
                <c:pt idx="10882">
                  <c:v>8.82</c:v>
                </c:pt>
                <c:pt idx="10883">
                  <c:v>8.83</c:v>
                </c:pt>
                <c:pt idx="10884">
                  <c:v>8.84</c:v>
                </c:pt>
                <c:pt idx="10885">
                  <c:v>8.85</c:v>
                </c:pt>
                <c:pt idx="10886">
                  <c:v>8.86</c:v>
                </c:pt>
                <c:pt idx="10887">
                  <c:v>8.87</c:v>
                </c:pt>
                <c:pt idx="10888">
                  <c:v>8.88</c:v>
                </c:pt>
                <c:pt idx="10889">
                  <c:v>8.89</c:v>
                </c:pt>
                <c:pt idx="10890">
                  <c:v>8.9</c:v>
                </c:pt>
                <c:pt idx="10891">
                  <c:v>8.91</c:v>
                </c:pt>
                <c:pt idx="10892">
                  <c:v>8.92</c:v>
                </c:pt>
                <c:pt idx="10893">
                  <c:v>8.93</c:v>
                </c:pt>
                <c:pt idx="10894">
                  <c:v>8.94</c:v>
                </c:pt>
                <c:pt idx="10895">
                  <c:v>8.95</c:v>
                </c:pt>
                <c:pt idx="10896">
                  <c:v>8.96</c:v>
                </c:pt>
                <c:pt idx="10897">
                  <c:v>8.97</c:v>
                </c:pt>
                <c:pt idx="10898">
                  <c:v>8.98</c:v>
                </c:pt>
                <c:pt idx="10899">
                  <c:v>8.99</c:v>
                </c:pt>
                <c:pt idx="10900">
                  <c:v>9.0</c:v>
                </c:pt>
                <c:pt idx="10901">
                  <c:v>9.01</c:v>
                </c:pt>
                <c:pt idx="10902">
                  <c:v>9.02</c:v>
                </c:pt>
                <c:pt idx="10903">
                  <c:v>9.03</c:v>
                </c:pt>
                <c:pt idx="10904">
                  <c:v>9.04</c:v>
                </c:pt>
                <c:pt idx="10905">
                  <c:v>9.05</c:v>
                </c:pt>
                <c:pt idx="10906">
                  <c:v>9.06</c:v>
                </c:pt>
                <c:pt idx="10907">
                  <c:v>9.07</c:v>
                </c:pt>
                <c:pt idx="10908">
                  <c:v>9.08</c:v>
                </c:pt>
                <c:pt idx="10909">
                  <c:v>9.09</c:v>
                </c:pt>
                <c:pt idx="10910">
                  <c:v>9.1</c:v>
                </c:pt>
                <c:pt idx="10911">
                  <c:v>9.11</c:v>
                </c:pt>
                <c:pt idx="10912">
                  <c:v>9.12</c:v>
                </c:pt>
                <c:pt idx="10913">
                  <c:v>9.13</c:v>
                </c:pt>
                <c:pt idx="10914">
                  <c:v>9.14</c:v>
                </c:pt>
                <c:pt idx="10915">
                  <c:v>9.15</c:v>
                </c:pt>
                <c:pt idx="10916">
                  <c:v>9.16</c:v>
                </c:pt>
                <c:pt idx="10917">
                  <c:v>9.17</c:v>
                </c:pt>
                <c:pt idx="10918">
                  <c:v>9.18</c:v>
                </c:pt>
                <c:pt idx="10919">
                  <c:v>9.19</c:v>
                </c:pt>
                <c:pt idx="10920">
                  <c:v>9.2</c:v>
                </c:pt>
                <c:pt idx="10921">
                  <c:v>9.21</c:v>
                </c:pt>
                <c:pt idx="10922">
                  <c:v>9.22</c:v>
                </c:pt>
                <c:pt idx="10923">
                  <c:v>9.23</c:v>
                </c:pt>
                <c:pt idx="10924">
                  <c:v>9.24</c:v>
                </c:pt>
                <c:pt idx="10925">
                  <c:v>9.25</c:v>
                </c:pt>
                <c:pt idx="10926">
                  <c:v>9.26</c:v>
                </c:pt>
                <c:pt idx="10927">
                  <c:v>9.27</c:v>
                </c:pt>
                <c:pt idx="10928">
                  <c:v>9.28</c:v>
                </c:pt>
                <c:pt idx="10929">
                  <c:v>9.29</c:v>
                </c:pt>
                <c:pt idx="10930">
                  <c:v>9.3</c:v>
                </c:pt>
                <c:pt idx="10931">
                  <c:v>9.31</c:v>
                </c:pt>
                <c:pt idx="10932">
                  <c:v>9.32</c:v>
                </c:pt>
                <c:pt idx="10933">
                  <c:v>9.33</c:v>
                </c:pt>
                <c:pt idx="10934">
                  <c:v>9.34</c:v>
                </c:pt>
                <c:pt idx="10935">
                  <c:v>9.35</c:v>
                </c:pt>
                <c:pt idx="10936">
                  <c:v>9.36</c:v>
                </c:pt>
                <c:pt idx="10937">
                  <c:v>9.37</c:v>
                </c:pt>
                <c:pt idx="10938">
                  <c:v>9.38</c:v>
                </c:pt>
                <c:pt idx="10939">
                  <c:v>9.39</c:v>
                </c:pt>
                <c:pt idx="10940">
                  <c:v>9.4</c:v>
                </c:pt>
                <c:pt idx="10941">
                  <c:v>9.41</c:v>
                </c:pt>
                <c:pt idx="10942">
                  <c:v>9.42</c:v>
                </c:pt>
                <c:pt idx="10943">
                  <c:v>9.43</c:v>
                </c:pt>
                <c:pt idx="10944">
                  <c:v>9.44</c:v>
                </c:pt>
                <c:pt idx="10945">
                  <c:v>9.45</c:v>
                </c:pt>
                <c:pt idx="10946">
                  <c:v>9.46</c:v>
                </c:pt>
                <c:pt idx="10947">
                  <c:v>9.47</c:v>
                </c:pt>
                <c:pt idx="10948">
                  <c:v>9.48</c:v>
                </c:pt>
                <c:pt idx="10949">
                  <c:v>9.49</c:v>
                </c:pt>
                <c:pt idx="10950">
                  <c:v>9.5</c:v>
                </c:pt>
                <c:pt idx="10951">
                  <c:v>9.51</c:v>
                </c:pt>
                <c:pt idx="10952">
                  <c:v>9.52</c:v>
                </c:pt>
                <c:pt idx="10953">
                  <c:v>9.53</c:v>
                </c:pt>
                <c:pt idx="10954">
                  <c:v>9.54</c:v>
                </c:pt>
                <c:pt idx="10955">
                  <c:v>9.55</c:v>
                </c:pt>
                <c:pt idx="10956">
                  <c:v>9.56</c:v>
                </c:pt>
                <c:pt idx="10957">
                  <c:v>9.57</c:v>
                </c:pt>
                <c:pt idx="10958">
                  <c:v>9.58</c:v>
                </c:pt>
                <c:pt idx="10959">
                  <c:v>9.59</c:v>
                </c:pt>
                <c:pt idx="10960">
                  <c:v>9.6</c:v>
                </c:pt>
                <c:pt idx="10961">
                  <c:v>9.61</c:v>
                </c:pt>
                <c:pt idx="10962">
                  <c:v>9.62</c:v>
                </c:pt>
                <c:pt idx="10963">
                  <c:v>9.63</c:v>
                </c:pt>
                <c:pt idx="10964">
                  <c:v>9.64</c:v>
                </c:pt>
                <c:pt idx="10965">
                  <c:v>9.65</c:v>
                </c:pt>
                <c:pt idx="10966">
                  <c:v>9.66</c:v>
                </c:pt>
                <c:pt idx="10967">
                  <c:v>9.67</c:v>
                </c:pt>
                <c:pt idx="10968">
                  <c:v>9.68</c:v>
                </c:pt>
                <c:pt idx="10969">
                  <c:v>9.69</c:v>
                </c:pt>
                <c:pt idx="10970">
                  <c:v>9.7</c:v>
                </c:pt>
                <c:pt idx="10971">
                  <c:v>9.71</c:v>
                </c:pt>
                <c:pt idx="10972">
                  <c:v>9.72</c:v>
                </c:pt>
                <c:pt idx="10973">
                  <c:v>9.73</c:v>
                </c:pt>
                <c:pt idx="10974">
                  <c:v>9.74</c:v>
                </c:pt>
                <c:pt idx="10975">
                  <c:v>9.75</c:v>
                </c:pt>
                <c:pt idx="10976">
                  <c:v>9.76</c:v>
                </c:pt>
                <c:pt idx="10977">
                  <c:v>9.77</c:v>
                </c:pt>
                <c:pt idx="10978">
                  <c:v>9.78</c:v>
                </c:pt>
                <c:pt idx="10979">
                  <c:v>9.79</c:v>
                </c:pt>
                <c:pt idx="10980">
                  <c:v>9.8</c:v>
                </c:pt>
                <c:pt idx="10981">
                  <c:v>9.81</c:v>
                </c:pt>
                <c:pt idx="10982">
                  <c:v>9.82</c:v>
                </c:pt>
                <c:pt idx="10983">
                  <c:v>9.83</c:v>
                </c:pt>
                <c:pt idx="10984">
                  <c:v>9.84</c:v>
                </c:pt>
                <c:pt idx="10985">
                  <c:v>9.85</c:v>
                </c:pt>
                <c:pt idx="10986">
                  <c:v>9.86</c:v>
                </c:pt>
                <c:pt idx="10987">
                  <c:v>9.87</c:v>
                </c:pt>
                <c:pt idx="10988">
                  <c:v>9.88</c:v>
                </c:pt>
                <c:pt idx="10989">
                  <c:v>9.89</c:v>
                </c:pt>
                <c:pt idx="10990">
                  <c:v>9.9</c:v>
                </c:pt>
                <c:pt idx="10991">
                  <c:v>9.91</c:v>
                </c:pt>
                <c:pt idx="10992">
                  <c:v>9.92</c:v>
                </c:pt>
                <c:pt idx="10993">
                  <c:v>9.93</c:v>
                </c:pt>
                <c:pt idx="10994">
                  <c:v>9.94</c:v>
                </c:pt>
                <c:pt idx="10995">
                  <c:v>9.95</c:v>
                </c:pt>
                <c:pt idx="10996">
                  <c:v>9.96</c:v>
                </c:pt>
                <c:pt idx="10997">
                  <c:v>9.97</c:v>
                </c:pt>
                <c:pt idx="10998">
                  <c:v>9.98</c:v>
                </c:pt>
                <c:pt idx="10999">
                  <c:v>9.99</c:v>
                </c:pt>
                <c:pt idx="11000">
                  <c:v>10.0</c:v>
                </c:pt>
                <c:pt idx="11001">
                  <c:v>10.01</c:v>
                </c:pt>
                <c:pt idx="11002">
                  <c:v>10.02</c:v>
                </c:pt>
                <c:pt idx="11003">
                  <c:v>10.03</c:v>
                </c:pt>
                <c:pt idx="11004">
                  <c:v>10.04</c:v>
                </c:pt>
                <c:pt idx="11005">
                  <c:v>10.05</c:v>
                </c:pt>
                <c:pt idx="11006">
                  <c:v>10.06</c:v>
                </c:pt>
                <c:pt idx="11007">
                  <c:v>10.07</c:v>
                </c:pt>
                <c:pt idx="11008">
                  <c:v>10.08</c:v>
                </c:pt>
                <c:pt idx="11009">
                  <c:v>10.09</c:v>
                </c:pt>
                <c:pt idx="11010">
                  <c:v>10.1</c:v>
                </c:pt>
                <c:pt idx="11011">
                  <c:v>10.11</c:v>
                </c:pt>
                <c:pt idx="11012">
                  <c:v>10.12</c:v>
                </c:pt>
                <c:pt idx="11013">
                  <c:v>10.13</c:v>
                </c:pt>
                <c:pt idx="11014">
                  <c:v>10.14</c:v>
                </c:pt>
                <c:pt idx="11015">
                  <c:v>10.15</c:v>
                </c:pt>
                <c:pt idx="11016">
                  <c:v>10.16</c:v>
                </c:pt>
                <c:pt idx="11017">
                  <c:v>10.17</c:v>
                </c:pt>
                <c:pt idx="11018">
                  <c:v>10.18</c:v>
                </c:pt>
                <c:pt idx="11019">
                  <c:v>10.19</c:v>
                </c:pt>
                <c:pt idx="11020">
                  <c:v>10.2</c:v>
                </c:pt>
                <c:pt idx="11021">
                  <c:v>10.21</c:v>
                </c:pt>
                <c:pt idx="11022">
                  <c:v>10.22</c:v>
                </c:pt>
                <c:pt idx="11023">
                  <c:v>10.23</c:v>
                </c:pt>
                <c:pt idx="11024">
                  <c:v>10.24</c:v>
                </c:pt>
                <c:pt idx="11025">
                  <c:v>10.25</c:v>
                </c:pt>
                <c:pt idx="11026">
                  <c:v>10.26</c:v>
                </c:pt>
                <c:pt idx="11027">
                  <c:v>10.27</c:v>
                </c:pt>
                <c:pt idx="11028">
                  <c:v>10.28</c:v>
                </c:pt>
                <c:pt idx="11029">
                  <c:v>10.29</c:v>
                </c:pt>
                <c:pt idx="11030">
                  <c:v>10.3</c:v>
                </c:pt>
                <c:pt idx="11031">
                  <c:v>10.31</c:v>
                </c:pt>
                <c:pt idx="11032">
                  <c:v>10.32</c:v>
                </c:pt>
                <c:pt idx="11033">
                  <c:v>10.33</c:v>
                </c:pt>
                <c:pt idx="11034">
                  <c:v>10.34</c:v>
                </c:pt>
                <c:pt idx="11035">
                  <c:v>10.35</c:v>
                </c:pt>
                <c:pt idx="11036">
                  <c:v>10.36</c:v>
                </c:pt>
                <c:pt idx="11037">
                  <c:v>10.37</c:v>
                </c:pt>
                <c:pt idx="11038">
                  <c:v>10.38</c:v>
                </c:pt>
                <c:pt idx="11039">
                  <c:v>10.39</c:v>
                </c:pt>
                <c:pt idx="11040">
                  <c:v>10.4</c:v>
                </c:pt>
                <c:pt idx="11041">
                  <c:v>10.41</c:v>
                </c:pt>
                <c:pt idx="11042">
                  <c:v>10.42</c:v>
                </c:pt>
                <c:pt idx="11043">
                  <c:v>10.43</c:v>
                </c:pt>
                <c:pt idx="11044">
                  <c:v>10.44</c:v>
                </c:pt>
                <c:pt idx="11045">
                  <c:v>10.45</c:v>
                </c:pt>
                <c:pt idx="11046">
                  <c:v>10.46</c:v>
                </c:pt>
                <c:pt idx="11047">
                  <c:v>10.47</c:v>
                </c:pt>
                <c:pt idx="11048">
                  <c:v>10.48</c:v>
                </c:pt>
                <c:pt idx="11049">
                  <c:v>10.49</c:v>
                </c:pt>
                <c:pt idx="11050">
                  <c:v>10.5</c:v>
                </c:pt>
                <c:pt idx="11051">
                  <c:v>10.51</c:v>
                </c:pt>
                <c:pt idx="11052">
                  <c:v>10.52</c:v>
                </c:pt>
                <c:pt idx="11053">
                  <c:v>10.53</c:v>
                </c:pt>
                <c:pt idx="11054">
                  <c:v>10.54</c:v>
                </c:pt>
                <c:pt idx="11055">
                  <c:v>10.55</c:v>
                </c:pt>
                <c:pt idx="11056">
                  <c:v>10.56</c:v>
                </c:pt>
                <c:pt idx="11057">
                  <c:v>10.57</c:v>
                </c:pt>
                <c:pt idx="11058">
                  <c:v>10.58</c:v>
                </c:pt>
                <c:pt idx="11059">
                  <c:v>10.59</c:v>
                </c:pt>
                <c:pt idx="11060">
                  <c:v>10.6</c:v>
                </c:pt>
                <c:pt idx="11061">
                  <c:v>10.61</c:v>
                </c:pt>
                <c:pt idx="11062">
                  <c:v>10.62</c:v>
                </c:pt>
                <c:pt idx="11063">
                  <c:v>10.63</c:v>
                </c:pt>
                <c:pt idx="11064">
                  <c:v>10.64</c:v>
                </c:pt>
                <c:pt idx="11065">
                  <c:v>10.65</c:v>
                </c:pt>
                <c:pt idx="11066">
                  <c:v>10.66</c:v>
                </c:pt>
                <c:pt idx="11067">
                  <c:v>10.67</c:v>
                </c:pt>
                <c:pt idx="11068">
                  <c:v>10.68</c:v>
                </c:pt>
                <c:pt idx="11069">
                  <c:v>10.69</c:v>
                </c:pt>
                <c:pt idx="11070">
                  <c:v>10.7</c:v>
                </c:pt>
                <c:pt idx="11071">
                  <c:v>10.71</c:v>
                </c:pt>
                <c:pt idx="11072">
                  <c:v>10.72</c:v>
                </c:pt>
                <c:pt idx="11073">
                  <c:v>10.73</c:v>
                </c:pt>
                <c:pt idx="11074">
                  <c:v>10.74</c:v>
                </c:pt>
                <c:pt idx="11075">
                  <c:v>10.75</c:v>
                </c:pt>
                <c:pt idx="11076">
                  <c:v>10.76</c:v>
                </c:pt>
                <c:pt idx="11077">
                  <c:v>10.77</c:v>
                </c:pt>
                <c:pt idx="11078">
                  <c:v>10.78</c:v>
                </c:pt>
                <c:pt idx="11079">
                  <c:v>10.79</c:v>
                </c:pt>
                <c:pt idx="11080">
                  <c:v>10.8</c:v>
                </c:pt>
                <c:pt idx="11081">
                  <c:v>10.81</c:v>
                </c:pt>
                <c:pt idx="11082">
                  <c:v>10.82</c:v>
                </c:pt>
                <c:pt idx="11083">
                  <c:v>10.83</c:v>
                </c:pt>
                <c:pt idx="11084">
                  <c:v>10.84</c:v>
                </c:pt>
                <c:pt idx="11085">
                  <c:v>10.85</c:v>
                </c:pt>
                <c:pt idx="11086">
                  <c:v>10.86</c:v>
                </c:pt>
                <c:pt idx="11087">
                  <c:v>10.87</c:v>
                </c:pt>
                <c:pt idx="11088">
                  <c:v>10.88</c:v>
                </c:pt>
                <c:pt idx="11089">
                  <c:v>10.89</c:v>
                </c:pt>
                <c:pt idx="11090">
                  <c:v>10.9</c:v>
                </c:pt>
                <c:pt idx="11091">
                  <c:v>10.91</c:v>
                </c:pt>
                <c:pt idx="11092">
                  <c:v>10.92</c:v>
                </c:pt>
                <c:pt idx="11093">
                  <c:v>10.93</c:v>
                </c:pt>
                <c:pt idx="11094">
                  <c:v>10.94</c:v>
                </c:pt>
                <c:pt idx="11095">
                  <c:v>10.95</c:v>
                </c:pt>
                <c:pt idx="11096">
                  <c:v>10.96</c:v>
                </c:pt>
                <c:pt idx="11097">
                  <c:v>10.97</c:v>
                </c:pt>
                <c:pt idx="11098">
                  <c:v>10.98</c:v>
                </c:pt>
                <c:pt idx="11099">
                  <c:v>10.99</c:v>
                </c:pt>
                <c:pt idx="11100">
                  <c:v>11.0</c:v>
                </c:pt>
                <c:pt idx="11101">
                  <c:v>11.01</c:v>
                </c:pt>
                <c:pt idx="11102">
                  <c:v>11.02</c:v>
                </c:pt>
                <c:pt idx="11103">
                  <c:v>11.03</c:v>
                </c:pt>
                <c:pt idx="11104">
                  <c:v>11.04</c:v>
                </c:pt>
                <c:pt idx="11105">
                  <c:v>11.05</c:v>
                </c:pt>
                <c:pt idx="11106">
                  <c:v>11.06</c:v>
                </c:pt>
                <c:pt idx="11107">
                  <c:v>11.07</c:v>
                </c:pt>
                <c:pt idx="11108">
                  <c:v>11.08</c:v>
                </c:pt>
                <c:pt idx="11109">
                  <c:v>11.09</c:v>
                </c:pt>
                <c:pt idx="11110">
                  <c:v>11.1</c:v>
                </c:pt>
                <c:pt idx="11111">
                  <c:v>11.11</c:v>
                </c:pt>
                <c:pt idx="11112">
                  <c:v>11.12</c:v>
                </c:pt>
                <c:pt idx="11113">
                  <c:v>11.13</c:v>
                </c:pt>
                <c:pt idx="11114">
                  <c:v>11.14</c:v>
                </c:pt>
                <c:pt idx="11115">
                  <c:v>11.15</c:v>
                </c:pt>
                <c:pt idx="11116">
                  <c:v>11.16</c:v>
                </c:pt>
                <c:pt idx="11117">
                  <c:v>11.17</c:v>
                </c:pt>
                <c:pt idx="11118">
                  <c:v>11.18</c:v>
                </c:pt>
                <c:pt idx="11119">
                  <c:v>11.19</c:v>
                </c:pt>
                <c:pt idx="11120">
                  <c:v>11.2</c:v>
                </c:pt>
                <c:pt idx="11121">
                  <c:v>11.21</c:v>
                </c:pt>
                <c:pt idx="11122">
                  <c:v>11.22</c:v>
                </c:pt>
                <c:pt idx="11123">
                  <c:v>11.23</c:v>
                </c:pt>
                <c:pt idx="11124">
                  <c:v>11.24</c:v>
                </c:pt>
                <c:pt idx="11125">
                  <c:v>11.25</c:v>
                </c:pt>
                <c:pt idx="11126">
                  <c:v>11.26</c:v>
                </c:pt>
                <c:pt idx="11127">
                  <c:v>11.27</c:v>
                </c:pt>
                <c:pt idx="11128">
                  <c:v>11.28</c:v>
                </c:pt>
                <c:pt idx="11129">
                  <c:v>11.29</c:v>
                </c:pt>
                <c:pt idx="11130">
                  <c:v>11.3</c:v>
                </c:pt>
                <c:pt idx="11131">
                  <c:v>11.31</c:v>
                </c:pt>
                <c:pt idx="11132">
                  <c:v>11.32</c:v>
                </c:pt>
                <c:pt idx="11133">
                  <c:v>11.33</c:v>
                </c:pt>
                <c:pt idx="11134">
                  <c:v>11.34</c:v>
                </c:pt>
                <c:pt idx="11135">
                  <c:v>11.35</c:v>
                </c:pt>
                <c:pt idx="11136">
                  <c:v>11.36</c:v>
                </c:pt>
                <c:pt idx="11137">
                  <c:v>11.37</c:v>
                </c:pt>
                <c:pt idx="11138">
                  <c:v>11.38</c:v>
                </c:pt>
                <c:pt idx="11139">
                  <c:v>11.39</c:v>
                </c:pt>
                <c:pt idx="11140">
                  <c:v>11.4</c:v>
                </c:pt>
                <c:pt idx="11141">
                  <c:v>11.41</c:v>
                </c:pt>
                <c:pt idx="11142">
                  <c:v>11.42</c:v>
                </c:pt>
                <c:pt idx="11143">
                  <c:v>11.43</c:v>
                </c:pt>
                <c:pt idx="11144">
                  <c:v>11.44</c:v>
                </c:pt>
                <c:pt idx="11145">
                  <c:v>11.45</c:v>
                </c:pt>
                <c:pt idx="11146">
                  <c:v>11.46</c:v>
                </c:pt>
                <c:pt idx="11147">
                  <c:v>11.47</c:v>
                </c:pt>
                <c:pt idx="11148">
                  <c:v>11.48</c:v>
                </c:pt>
                <c:pt idx="11149">
                  <c:v>11.49</c:v>
                </c:pt>
                <c:pt idx="11150">
                  <c:v>11.5</c:v>
                </c:pt>
                <c:pt idx="11151">
                  <c:v>11.51</c:v>
                </c:pt>
                <c:pt idx="11152">
                  <c:v>11.52</c:v>
                </c:pt>
                <c:pt idx="11153">
                  <c:v>11.53</c:v>
                </c:pt>
                <c:pt idx="11154">
                  <c:v>11.54</c:v>
                </c:pt>
                <c:pt idx="11155">
                  <c:v>11.55</c:v>
                </c:pt>
                <c:pt idx="11156">
                  <c:v>11.56</c:v>
                </c:pt>
                <c:pt idx="11157">
                  <c:v>11.57</c:v>
                </c:pt>
                <c:pt idx="11158">
                  <c:v>11.58</c:v>
                </c:pt>
                <c:pt idx="11159">
                  <c:v>11.59</c:v>
                </c:pt>
                <c:pt idx="11160">
                  <c:v>11.6</c:v>
                </c:pt>
                <c:pt idx="11161">
                  <c:v>11.61</c:v>
                </c:pt>
                <c:pt idx="11162">
                  <c:v>11.62</c:v>
                </c:pt>
                <c:pt idx="11163">
                  <c:v>11.63</c:v>
                </c:pt>
                <c:pt idx="11164">
                  <c:v>11.64</c:v>
                </c:pt>
                <c:pt idx="11165">
                  <c:v>11.65</c:v>
                </c:pt>
                <c:pt idx="11166">
                  <c:v>11.66</c:v>
                </c:pt>
                <c:pt idx="11167">
                  <c:v>11.67</c:v>
                </c:pt>
                <c:pt idx="11168">
                  <c:v>11.68</c:v>
                </c:pt>
                <c:pt idx="11169">
                  <c:v>11.69</c:v>
                </c:pt>
                <c:pt idx="11170">
                  <c:v>11.7</c:v>
                </c:pt>
                <c:pt idx="11171">
                  <c:v>11.71</c:v>
                </c:pt>
                <c:pt idx="11172">
                  <c:v>11.72</c:v>
                </c:pt>
                <c:pt idx="11173">
                  <c:v>11.73</c:v>
                </c:pt>
                <c:pt idx="11174">
                  <c:v>11.74</c:v>
                </c:pt>
                <c:pt idx="11175">
                  <c:v>11.75</c:v>
                </c:pt>
                <c:pt idx="11176">
                  <c:v>11.76</c:v>
                </c:pt>
                <c:pt idx="11177">
                  <c:v>11.77</c:v>
                </c:pt>
                <c:pt idx="11178">
                  <c:v>11.78</c:v>
                </c:pt>
                <c:pt idx="11179">
                  <c:v>11.79</c:v>
                </c:pt>
                <c:pt idx="11180">
                  <c:v>11.8</c:v>
                </c:pt>
                <c:pt idx="11181">
                  <c:v>11.81</c:v>
                </c:pt>
                <c:pt idx="11182">
                  <c:v>11.82</c:v>
                </c:pt>
                <c:pt idx="11183">
                  <c:v>11.83</c:v>
                </c:pt>
                <c:pt idx="11184">
                  <c:v>11.84</c:v>
                </c:pt>
                <c:pt idx="11185">
                  <c:v>11.85</c:v>
                </c:pt>
                <c:pt idx="11186">
                  <c:v>11.86</c:v>
                </c:pt>
                <c:pt idx="11187">
                  <c:v>11.87</c:v>
                </c:pt>
                <c:pt idx="11188">
                  <c:v>11.88</c:v>
                </c:pt>
                <c:pt idx="11189">
                  <c:v>11.89</c:v>
                </c:pt>
                <c:pt idx="11190">
                  <c:v>11.9</c:v>
                </c:pt>
                <c:pt idx="11191">
                  <c:v>11.91</c:v>
                </c:pt>
                <c:pt idx="11192">
                  <c:v>11.92</c:v>
                </c:pt>
                <c:pt idx="11193">
                  <c:v>11.93</c:v>
                </c:pt>
                <c:pt idx="11194">
                  <c:v>11.94</c:v>
                </c:pt>
                <c:pt idx="11195">
                  <c:v>11.95</c:v>
                </c:pt>
                <c:pt idx="11196">
                  <c:v>11.96</c:v>
                </c:pt>
                <c:pt idx="11197">
                  <c:v>11.97</c:v>
                </c:pt>
                <c:pt idx="11198">
                  <c:v>11.98</c:v>
                </c:pt>
                <c:pt idx="11199">
                  <c:v>11.99</c:v>
                </c:pt>
                <c:pt idx="11200">
                  <c:v>12.0</c:v>
                </c:pt>
                <c:pt idx="11201">
                  <c:v>12.01</c:v>
                </c:pt>
                <c:pt idx="11202">
                  <c:v>12.02</c:v>
                </c:pt>
                <c:pt idx="11203">
                  <c:v>12.03</c:v>
                </c:pt>
                <c:pt idx="11204">
                  <c:v>12.04</c:v>
                </c:pt>
                <c:pt idx="11205">
                  <c:v>12.05</c:v>
                </c:pt>
                <c:pt idx="11206">
                  <c:v>12.06</c:v>
                </c:pt>
                <c:pt idx="11207">
                  <c:v>12.07</c:v>
                </c:pt>
                <c:pt idx="11208">
                  <c:v>12.08</c:v>
                </c:pt>
                <c:pt idx="11209">
                  <c:v>12.09</c:v>
                </c:pt>
                <c:pt idx="11210">
                  <c:v>12.1</c:v>
                </c:pt>
                <c:pt idx="11211">
                  <c:v>12.11</c:v>
                </c:pt>
                <c:pt idx="11212">
                  <c:v>12.12</c:v>
                </c:pt>
                <c:pt idx="11213">
                  <c:v>12.13</c:v>
                </c:pt>
                <c:pt idx="11214">
                  <c:v>12.14</c:v>
                </c:pt>
                <c:pt idx="11215">
                  <c:v>12.15</c:v>
                </c:pt>
                <c:pt idx="11216">
                  <c:v>12.16</c:v>
                </c:pt>
                <c:pt idx="11217">
                  <c:v>12.17</c:v>
                </c:pt>
                <c:pt idx="11218">
                  <c:v>12.18</c:v>
                </c:pt>
                <c:pt idx="11219">
                  <c:v>12.19</c:v>
                </c:pt>
                <c:pt idx="11220">
                  <c:v>12.2</c:v>
                </c:pt>
                <c:pt idx="11221">
                  <c:v>12.21</c:v>
                </c:pt>
                <c:pt idx="11222">
                  <c:v>12.22</c:v>
                </c:pt>
                <c:pt idx="11223">
                  <c:v>12.23</c:v>
                </c:pt>
                <c:pt idx="11224">
                  <c:v>12.24</c:v>
                </c:pt>
                <c:pt idx="11225">
                  <c:v>12.25</c:v>
                </c:pt>
                <c:pt idx="11226">
                  <c:v>12.26</c:v>
                </c:pt>
                <c:pt idx="11227">
                  <c:v>12.27</c:v>
                </c:pt>
                <c:pt idx="11228">
                  <c:v>12.28</c:v>
                </c:pt>
                <c:pt idx="11229">
                  <c:v>12.29</c:v>
                </c:pt>
                <c:pt idx="11230">
                  <c:v>12.3</c:v>
                </c:pt>
                <c:pt idx="11231">
                  <c:v>12.31</c:v>
                </c:pt>
                <c:pt idx="11232">
                  <c:v>12.32</c:v>
                </c:pt>
                <c:pt idx="11233">
                  <c:v>12.33</c:v>
                </c:pt>
                <c:pt idx="11234">
                  <c:v>12.34</c:v>
                </c:pt>
                <c:pt idx="11235">
                  <c:v>12.35</c:v>
                </c:pt>
                <c:pt idx="11236">
                  <c:v>12.36</c:v>
                </c:pt>
                <c:pt idx="11237">
                  <c:v>12.37</c:v>
                </c:pt>
                <c:pt idx="11238">
                  <c:v>12.38</c:v>
                </c:pt>
                <c:pt idx="11239">
                  <c:v>12.39</c:v>
                </c:pt>
                <c:pt idx="11240">
                  <c:v>12.4</c:v>
                </c:pt>
                <c:pt idx="11241">
                  <c:v>12.41</c:v>
                </c:pt>
                <c:pt idx="11242">
                  <c:v>12.42</c:v>
                </c:pt>
                <c:pt idx="11243">
                  <c:v>12.43</c:v>
                </c:pt>
                <c:pt idx="11244">
                  <c:v>12.44</c:v>
                </c:pt>
                <c:pt idx="11245">
                  <c:v>12.45</c:v>
                </c:pt>
                <c:pt idx="11246">
                  <c:v>12.46</c:v>
                </c:pt>
                <c:pt idx="11247">
                  <c:v>12.47</c:v>
                </c:pt>
                <c:pt idx="11248">
                  <c:v>12.48</c:v>
                </c:pt>
                <c:pt idx="11249">
                  <c:v>12.49</c:v>
                </c:pt>
                <c:pt idx="11250">
                  <c:v>12.5</c:v>
                </c:pt>
                <c:pt idx="11251">
                  <c:v>12.51</c:v>
                </c:pt>
                <c:pt idx="11252">
                  <c:v>12.52</c:v>
                </c:pt>
                <c:pt idx="11253">
                  <c:v>12.53</c:v>
                </c:pt>
                <c:pt idx="11254">
                  <c:v>12.54</c:v>
                </c:pt>
                <c:pt idx="11255">
                  <c:v>12.55</c:v>
                </c:pt>
                <c:pt idx="11256">
                  <c:v>12.56</c:v>
                </c:pt>
                <c:pt idx="11257">
                  <c:v>12.57</c:v>
                </c:pt>
                <c:pt idx="11258">
                  <c:v>12.58</c:v>
                </c:pt>
                <c:pt idx="11259">
                  <c:v>12.59</c:v>
                </c:pt>
                <c:pt idx="11260">
                  <c:v>12.6</c:v>
                </c:pt>
                <c:pt idx="11261">
                  <c:v>12.61</c:v>
                </c:pt>
                <c:pt idx="11262">
                  <c:v>12.62</c:v>
                </c:pt>
                <c:pt idx="11263">
                  <c:v>12.63</c:v>
                </c:pt>
                <c:pt idx="11264">
                  <c:v>12.64</c:v>
                </c:pt>
                <c:pt idx="11265">
                  <c:v>12.65</c:v>
                </c:pt>
                <c:pt idx="11266">
                  <c:v>12.66</c:v>
                </c:pt>
                <c:pt idx="11267">
                  <c:v>12.67</c:v>
                </c:pt>
                <c:pt idx="11268">
                  <c:v>12.68</c:v>
                </c:pt>
                <c:pt idx="11269">
                  <c:v>12.69</c:v>
                </c:pt>
                <c:pt idx="11270">
                  <c:v>12.7</c:v>
                </c:pt>
                <c:pt idx="11271">
                  <c:v>12.71</c:v>
                </c:pt>
                <c:pt idx="11272">
                  <c:v>12.72</c:v>
                </c:pt>
                <c:pt idx="11273">
                  <c:v>12.73</c:v>
                </c:pt>
                <c:pt idx="11274">
                  <c:v>12.74</c:v>
                </c:pt>
                <c:pt idx="11275">
                  <c:v>12.75</c:v>
                </c:pt>
                <c:pt idx="11276">
                  <c:v>12.76</c:v>
                </c:pt>
                <c:pt idx="11277">
                  <c:v>12.77</c:v>
                </c:pt>
                <c:pt idx="11278">
                  <c:v>12.78</c:v>
                </c:pt>
                <c:pt idx="11279">
                  <c:v>12.79</c:v>
                </c:pt>
                <c:pt idx="11280">
                  <c:v>12.8</c:v>
                </c:pt>
                <c:pt idx="11281">
                  <c:v>12.81</c:v>
                </c:pt>
                <c:pt idx="11282">
                  <c:v>12.82</c:v>
                </c:pt>
                <c:pt idx="11283">
                  <c:v>12.83</c:v>
                </c:pt>
                <c:pt idx="11284">
                  <c:v>12.84</c:v>
                </c:pt>
                <c:pt idx="11285">
                  <c:v>12.85</c:v>
                </c:pt>
                <c:pt idx="11286">
                  <c:v>12.86</c:v>
                </c:pt>
                <c:pt idx="11287">
                  <c:v>12.87</c:v>
                </c:pt>
                <c:pt idx="11288">
                  <c:v>12.88</c:v>
                </c:pt>
                <c:pt idx="11289">
                  <c:v>12.89</c:v>
                </c:pt>
                <c:pt idx="11290">
                  <c:v>12.9</c:v>
                </c:pt>
                <c:pt idx="11291">
                  <c:v>12.91</c:v>
                </c:pt>
                <c:pt idx="11292">
                  <c:v>12.92</c:v>
                </c:pt>
                <c:pt idx="11293">
                  <c:v>12.93</c:v>
                </c:pt>
                <c:pt idx="11294">
                  <c:v>12.94</c:v>
                </c:pt>
                <c:pt idx="11295">
                  <c:v>12.95</c:v>
                </c:pt>
                <c:pt idx="11296">
                  <c:v>12.96</c:v>
                </c:pt>
                <c:pt idx="11297">
                  <c:v>12.97</c:v>
                </c:pt>
                <c:pt idx="11298">
                  <c:v>12.98</c:v>
                </c:pt>
                <c:pt idx="11299">
                  <c:v>12.99</c:v>
                </c:pt>
                <c:pt idx="11300">
                  <c:v>13.0</c:v>
                </c:pt>
                <c:pt idx="11301">
                  <c:v>13.01</c:v>
                </c:pt>
                <c:pt idx="11302">
                  <c:v>13.02</c:v>
                </c:pt>
                <c:pt idx="11303">
                  <c:v>13.03</c:v>
                </c:pt>
                <c:pt idx="11304">
                  <c:v>13.04</c:v>
                </c:pt>
                <c:pt idx="11305">
                  <c:v>13.05</c:v>
                </c:pt>
                <c:pt idx="11306">
                  <c:v>13.06</c:v>
                </c:pt>
                <c:pt idx="11307">
                  <c:v>13.07</c:v>
                </c:pt>
                <c:pt idx="11308">
                  <c:v>13.08</c:v>
                </c:pt>
                <c:pt idx="11309">
                  <c:v>13.09</c:v>
                </c:pt>
                <c:pt idx="11310">
                  <c:v>13.1</c:v>
                </c:pt>
                <c:pt idx="11311">
                  <c:v>13.11</c:v>
                </c:pt>
                <c:pt idx="11312">
                  <c:v>13.12</c:v>
                </c:pt>
                <c:pt idx="11313">
                  <c:v>13.13</c:v>
                </c:pt>
                <c:pt idx="11314">
                  <c:v>13.14</c:v>
                </c:pt>
                <c:pt idx="11315">
                  <c:v>13.15</c:v>
                </c:pt>
                <c:pt idx="11316">
                  <c:v>13.16</c:v>
                </c:pt>
                <c:pt idx="11317">
                  <c:v>13.17</c:v>
                </c:pt>
                <c:pt idx="11318">
                  <c:v>13.18</c:v>
                </c:pt>
                <c:pt idx="11319">
                  <c:v>13.19</c:v>
                </c:pt>
                <c:pt idx="11320">
                  <c:v>13.2</c:v>
                </c:pt>
                <c:pt idx="11321">
                  <c:v>13.21</c:v>
                </c:pt>
                <c:pt idx="11322">
                  <c:v>13.22</c:v>
                </c:pt>
                <c:pt idx="11323">
                  <c:v>13.23</c:v>
                </c:pt>
                <c:pt idx="11324">
                  <c:v>13.24</c:v>
                </c:pt>
                <c:pt idx="11325">
                  <c:v>13.25</c:v>
                </c:pt>
                <c:pt idx="11326">
                  <c:v>13.26</c:v>
                </c:pt>
                <c:pt idx="11327">
                  <c:v>13.27</c:v>
                </c:pt>
                <c:pt idx="11328">
                  <c:v>13.28</c:v>
                </c:pt>
                <c:pt idx="11329">
                  <c:v>13.29</c:v>
                </c:pt>
                <c:pt idx="11330">
                  <c:v>13.3</c:v>
                </c:pt>
                <c:pt idx="11331">
                  <c:v>13.31</c:v>
                </c:pt>
                <c:pt idx="11332">
                  <c:v>13.32</c:v>
                </c:pt>
                <c:pt idx="11333">
                  <c:v>13.33</c:v>
                </c:pt>
                <c:pt idx="11334">
                  <c:v>13.34</c:v>
                </c:pt>
                <c:pt idx="11335">
                  <c:v>13.35</c:v>
                </c:pt>
                <c:pt idx="11336">
                  <c:v>13.36</c:v>
                </c:pt>
                <c:pt idx="11337">
                  <c:v>13.37</c:v>
                </c:pt>
                <c:pt idx="11338">
                  <c:v>13.38</c:v>
                </c:pt>
                <c:pt idx="11339">
                  <c:v>13.39</c:v>
                </c:pt>
                <c:pt idx="11340">
                  <c:v>13.4</c:v>
                </c:pt>
                <c:pt idx="11341">
                  <c:v>13.41</c:v>
                </c:pt>
                <c:pt idx="11342">
                  <c:v>13.42</c:v>
                </c:pt>
                <c:pt idx="11343">
                  <c:v>13.43</c:v>
                </c:pt>
                <c:pt idx="11344">
                  <c:v>13.44</c:v>
                </c:pt>
                <c:pt idx="11345">
                  <c:v>13.45</c:v>
                </c:pt>
                <c:pt idx="11346">
                  <c:v>13.46</c:v>
                </c:pt>
                <c:pt idx="11347">
                  <c:v>13.47</c:v>
                </c:pt>
                <c:pt idx="11348">
                  <c:v>13.48</c:v>
                </c:pt>
                <c:pt idx="11349">
                  <c:v>13.49</c:v>
                </c:pt>
                <c:pt idx="11350">
                  <c:v>13.5</c:v>
                </c:pt>
                <c:pt idx="11351">
                  <c:v>13.51</c:v>
                </c:pt>
                <c:pt idx="11352">
                  <c:v>13.52</c:v>
                </c:pt>
                <c:pt idx="11353">
                  <c:v>13.53</c:v>
                </c:pt>
                <c:pt idx="11354">
                  <c:v>13.54</c:v>
                </c:pt>
                <c:pt idx="11355">
                  <c:v>13.55</c:v>
                </c:pt>
                <c:pt idx="11356">
                  <c:v>13.56</c:v>
                </c:pt>
                <c:pt idx="11357">
                  <c:v>13.57</c:v>
                </c:pt>
                <c:pt idx="11358">
                  <c:v>13.58</c:v>
                </c:pt>
                <c:pt idx="11359">
                  <c:v>13.59</c:v>
                </c:pt>
                <c:pt idx="11360">
                  <c:v>13.6</c:v>
                </c:pt>
                <c:pt idx="11361">
                  <c:v>13.61</c:v>
                </c:pt>
                <c:pt idx="11362">
                  <c:v>13.62</c:v>
                </c:pt>
                <c:pt idx="11363">
                  <c:v>13.63</c:v>
                </c:pt>
                <c:pt idx="11364">
                  <c:v>13.64</c:v>
                </c:pt>
                <c:pt idx="11365">
                  <c:v>13.65</c:v>
                </c:pt>
                <c:pt idx="11366">
                  <c:v>13.66</c:v>
                </c:pt>
                <c:pt idx="11367">
                  <c:v>13.67</c:v>
                </c:pt>
                <c:pt idx="11368">
                  <c:v>13.68</c:v>
                </c:pt>
                <c:pt idx="11369">
                  <c:v>13.69</c:v>
                </c:pt>
                <c:pt idx="11370">
                  <c:v>13.7</c:v>
                </c:pt>
                <c:pt idx="11371">
                  <c:v>13.71</c:v>
                </c:pt>
                <c:pt idx="11372">
                  <c:v>13.72</c:v>
                </c:pt>
                <c:pt idx="11373">
                  <c:v>13.73</c:v>
                </c:pt>
                <c:pt idx="11374">
                  <c:v>13.74</c:v>
                </c:pt>
                <c:pt idx="11375">
                  <c:v>13.75</c:v>
                </c:pt>
                <c:pt idx="11376">
                  <c:v>13.76</c:v>
                </c:pt>
                <c:pt idx="11377">
                  <c:v>13.77</c:v>
                </c:pt>
                <c:pt idx="11378">
                  <c:v>13.78</c:v>
                </c:pt>
                <c:pt idx="11379">
                  <c:v>13.79</c:v>
                </c:pt>
                <c:pt idx="11380">
                  <c:v>13.8</c:v>
                </c:pt>
                <c:pt idx="11381">
                  <c:v>13.81</c:v>
                </c:pt>
                <c:pt idx="11382">
                  <c:v>13.82</c:v>
                </c:pt>
                <c:pt idx="11383">
                  <c:v>13.83</c:v>
                </c:pt>
                <c:pt idx="11384">
                  <c:v>13.84</c:v>
                </c:pt>
                <c:pt idx="11385">
                  <c:v>13.85</c:v>
                </c:pt>
                <c:pt idx="11386">
                  <c:v>13.86</c:v>
                </c:pt>
                <c:pt idx="11387">
                  <c:v>13.87</c:v>
                </c:pt>
                <c:pt idx="11388">
                  <c:v>13.88</c:v>
                </c:pt>
                <c:pt idx="11389">
                  <c:v>13.89</c:v>
                </c:pt>
                <c:pt idx="11390">
                  <c:v>13.9</c:v>
                </c:pt>
                <c:pt idx="11391">
                  <c:v>13.91</c:v>
                </c:pt>
                <c:pt idx="11392">
                  <c:v>13.92</c:v>
                </c:pt>
                <c:pt idx="11393">
                  <c:v>13.93</c:v>
                </c:pt>
                <c:pt idx="11394">
                  <c:v>13.94</c:v>
                </c:pt>
                <c:pt idx="11395">
                  <c:v>13.95</c:v>
                </c:pt>
                <c:pt idx="11396">
                  <c:v>13.96</c:v>
                </c:pt>
                <c:pt idx="11397">
                  <c:v>13.97</c:v>
                </c:pt>
                <c:pt idx="11398">
                  <c:v>13.98</c:v>
                </c:pt>
                <c:pt idx="11399">
                  <c:v>13.99</c:v>
                </c:pt>
                <c:pt idx="11400">
                  <c:v>14.0</c:v>
                </c:pt>
                <c:pt idx="11401">
                  <c:v>14.01</c:v>
                </c:pt>
                <c:pt idx="11402">
                  <c:v>14.02</c:v>
                </c:pt>
                <c:pt idx="11403">
                  <c:v>14.03</c:v>
                </c:pt>
                <c:pt idx="11404">
                  <c:v>14.04</c:v>
                </c:pt>
                <c:pt idx="11405">
                  <c:v>14.05</c:v>
                </c:pt>
                <c:pt idx="11406">
                  <c:v>14.06</c:v>
                </c:pt>
                <c:pt idx="11407">
                  <c:v>14.07</c:v>
                </c:pt>
                <c:pt idx="11408">
                  <c:v>14.08</c:v>
                </c:pt>
                <c:pt idx="11409">
                  <c:v>14.09</c:v>
                </c:pt>
                <c:pt idx="11410">
                  <c:v>14.1</c:v>
                </c:pt>
                <c:pt idx="11411">
                  <c:v>14.11</c:v>
                </c:pt>
                <c:pt idx="11412">
                  <c:v>14.12</c:v>
                </c:pt>
                <c:pt idx="11413">
                  <c:v>14.13</c:v>
                </c:pt>
                <c:pt idx="11414">
                  <c:v>14.14</c:v>
                </c:pt>
                <c:pt idx="11415">
                  <c:v>14.15</c:v>
                </c:pt>
                <c:pt idx="11416">
                  <c:v>14.16</c:v>
                </c:pt>
                <c:pt idx="11417">
                  <c:v>14.17</c:v>
                </c:pt>
                <c:pt idx="11418">
                  <c:v>14.18</c:v>
                </c:pt>
                <c:pt idx="11419">
                  <c:v>14.19</c:v>
                </c:pt>
                <c:pt idx="11420">
                  <c:v>14.2</c:v>
                </c:pt>
                <c:pt idx="11421">
                  <c:v>14.21</c:v>
                </c:pt>
                <c:pt idx="11422">
                  <c:v>14.22</c:v>
                </c:pt>
                <c:pt idx="11423">
                  <c:v>14.23</c:v>
                </c:pt>
                <c:pt idx="11424">
                  <c:v>14.24</c:v>
                </c:pt>
                <c:pt idx="11425">
                  <c:v>14.25</c:v>
                </c:pt>
                <c:pt idx="11426">
                  <c:v>14.26</c:v>
                </c:pt>
                <c:pt idx="11427">
                  <c:v>14.27</c:v>
                </c:pt>
                <c:pt idx="11428">
                  <c:v>14.28</c:v>
                </c:pt>
                <c:pt idx="11429">
                  <c:v>14.29</c:v>
                </c:pt>
                <c:pt idx="11430">
                  <c:v>14.3</c:v>
                </c:pt>
                <c:pt idx="11431">
                  <c:v>14.31</c:v>
                </c:pt>
                <c:pt idx="11432">
                  <c:v>14.32</c:v>
                </c:pt>
                <c:pt idx="11433">
                  <c:v>14.33</c:v>
                </c:pt>
                <c:pt idx="11434">
                  <c:v>14.34</c:v>
                </c:pt>
                <c:pt idx="11435">
                  <c:v>14.35</c:v>
                </c:pt>
                <c:pt idx="11436">
                  <c:v>14.36</c:v>
                </c:pt>
                <c:pt idx="11437">
                  <c:v>14.37</c:v>
                </c:pt>
                <c:pt idx="11438">
                  <c:v>14.38</c:v>
                </c:pt>
                <c:pt idx="11439">
                  <c:v>14.39</c:v>
                </c:pt>
                <c:pt idx="11440">
                  <c:v>14.4</c:v>
                </c:pt>
                <c:pt idx="11441">
                  <c:v>14.41</c:v>
                </c:pt>
                <c:pt idx="11442">
                  <c:v>14.42</c:v>
                </c:pt>
                <c:pt idx="11443">
                  <c:v>14.43</c:v>
                </c:pt>
                <c:pt idx="11444">
                  <c:v>14.44</c:v>
                </c:pt>
                <c:pt idx="11445">
                  <c:v>14.45</c:v>
                </c:pt>
                <c:pt idx="11446">
                  <c:v>14.46</c:v>
                </c:pt>
                <c:pt idx="11447">
                  <c:v>14.47</c:v>
                </c:pt>
                <c:pt idx="11448">
                  <c:v>14.48</c:v>
                </c:pt>
                <c:pt idx="11449">
                  <c:v>14.49</c:v>
                </c:pt>
                <c:pt idx="11450">
                  <c:v>14.5</c:v>
                </c:pt>
                <c:pt idx="11451">
                  <c:v>14.51</c:v>
                </c:pt>
                <c:pt idx="11452">
                  <c:v>14.52</c:v>
                </c:pt>
                <c:pt idx="11453">
                  <c:v>14.53</c:v>
                </c:pt>
                <c:pt idx="11454">
                  <c:v>14.54</c:v>
                </c:pt>
                <c:pt idx="11455">
                  <c:v>14.55</c:v>
                </c:pt>
                <c:pt idx="11456">
                  <c:v>14.56</c:v>
                </c:pt>
                <c:pt idx="11457">
                  <c:v>14.57</c:v>
                </c:pt>
                <c:pt idx="11458">
                  <c:v>14.58</c:v>
                </c:pt>
                <c:pt idx="11459">
                  <c:v>14.59</c:v>
                </c:pt>
                <c:pt idx="11460">
                  <c:v>14.6</c:v>
                </c:pt>
                <c:pt idx="11461">
                  <c:v>14.61</c:v>
                </c:pt>
                <c:pt idx="11462">
                  <c:v>14.62</c:v>
                </c:pt>
                <c:pt idx="11463">
                  <c:v>14.63</c:v>
                </c:pt>
                <c:pt idx="11464">
                  <c:v>14.64</c:v>
                </c:pt>
                <c:pt idx="11465">
                  <c:v>14.65</c:v>
                </c:pt>
                <c:pt idx="11466">
                  <c:v>14.66</c:v>
                </c:pt>
                <c:pt idx="11467">
                  <c:v>14.67</c:v>
                </c:pt>
                <c:pt idx="11468">
                  <c:v>14.68</c:v>
                </c:pt>
                <c:pt idx="11469">
                  <c:v>14.69</c:v>
                </c:pt>
                <c:pt idx="11470">
                  <c:v>14.7</c:v>
                </c:pt>
                <c:pt idx="11471">
                  <c:v>14.71</c:v>
                </c:pt>
                <c:pt idx="11472">
                  <c:v>14.72</c:v>
                </c:pt>
                <c:pt idx="11473">
                  <c:v>14.73</c:v>
                </c:pt>
                <c:pt idx="11474">
                  <c:v>14.74</c:v>
                </c:pt>
                <c:pt idx="11475">
                  <c:v>14.75</c:v>
                </c:pt>
                <c:pt idx="11476">
                  <c:v>14.76</c:v>
                </c:pt>
                <c:pt idx="11477">
                  <c:v>14.77</c:v>
                </c:pt>
                <c:pt idx="11478">
                  <c:v>14.78</c:v>
                </c:pt>
                <c:pt idx="11479">
                  <c:v>14.79</c:v>
                </c:pt>
                <c:pt idx="11480">
                  <c:v>14.8</c:v>
                </c:pt>
                <c:pt idx="11481">
                  <c:v>14.81</c:v>
                </c:pt>
                <c:pt idx="11482">
                  <c:v>14.82</c:v>
                </c:pt>
                <c:pt idx="11483">
                  <c:v>14.83</c:v>
                </c:pt>
                <c:pt idx="11484">
                  <c:v>14.84</c:v>
                </c:pt>
                <c:pt idx="11485">
                  <c:v>14.85</c:v>
                </c:pt>
                <c:pt idx="11486">
                  <c:v>14.86</c:v>
                </c:pt>
                <c:pt idx="11487">
                  <c:v>14.87</c:v>
                </c:pt>
                <c:pt idx="11488">
                  <c:v>14.88</c:v>
                </c:pt>
                <c:pt idx="11489">
                  <c:v>14.89</c:v>
                </c:pt>
                <c:pt idx="11490">
                  <c:v>14.9</c:v>
                </c:pt>
                <c:pt idx="11491">
                  <c:v>14.91</c:v>
                </c:pt>
                <c:pt idx="11492">
                  <c:v>14.92</c:v>
                </c:pt>
                <c:pt idx="11493">
                  <c:v>14.93</c:v>
                </c:pt>
                <c:pt idx="11494">
                  <c:v>14.94</c:v>
                </c:pt>
                <c:pt idx="11495">
                  <c:v>14.95</c:v>
                </c:pt>
                <c:pt idx="11496">
                  <c:v>14.96</c:v>
                </c:pt>
                <c:pt idx="11497">
                  <c:v>14.97</c:v>
                </c:pt>
                <c:pt idx="11498">
                  <c:v>14.98</c:v>
                </c:pt>
                <c:pt idx="11499">
                  <c:v>14.99</c:v>
                </c:pt>
                <c:pt idx="11500">
                  <c:v>15.0</c:v>
                </c:pt>
                <c:pt idx="11501">
                  <c:v>15.01</c:v>
                </c:pt>
                <c:pt idx="11502">
                  <c:v>15.02</c:v>
                </c:pt>
                <c:pt idx="11503">
                  <c:v>15.03</c:v>
                </c:pt>
                <c:pt idx="11504">
                  <c:v>15.04</c:v>
                </c:pt>
                <c:pt idx="11505">
                  <c:v>15.05</c:v>
                </c:pt>
                <c:pt idx="11506">
                  <c:v>15.06</c:v>
                </c:pt>
                <c:pt idx="11507">
                  <c:v>15.07</c:v>
                </c:pt>
                <c:pt idx="11508">
                  <c:v>15.08</c:v>
                </c:pt>
                <c:pt idx="11509">
                  <c:v>15.09</c:v>
                </c:pt>
                <c:pt idx="11510">
                  <c:v>15.1</c:v>
                </c:pt>
                <c:pt idx="11511">
                  <c:v>15.11</c:v>
                </c:pt>
                <c:pt idx="11512">
                  <c:v>15.12</c:v>
                </c:pt>
                <c:pt idx="11513">
                  <c:v>15.13</c:v>
                </c:pt>
                <c:pt idx="11514">
                  <c:v>15.14</c:v>
                </c:pt>
                <c:pt idx="11515">
                  <c:v>15.15</c:v>
                </c:pt>
                <c:pt idx="11516">
                  <c:v>15.16</c:v>
                </c:pt>
                <c:pt idx="11517">
                  <c:v>15.17</c:v>
                </c:pt>
                <c:pt idx="11518">
                  <c:v>15.18</c:v>
                </c:pt>
                <c:pt idx="11519">
                  <c:v>15.19</c:v>
                </c:pt>
                <c:pt idx="11520">
                  <c:v>15.2</c:v>
                </c:pt>
                <c:pt idx="11521">
                  <c:v>15.21</c:v>
                </c:pt>
                <c:pt idx="11522">
                  <c:v>15.22</c:v>
                </c:pt>
                <c:pt idx="11523">
                  <c:v>15.23</c:v>
                </c:pt>
                <c:pt idx="11524">
                  <c:v>15.24</c:v>
                </c:pt>
                <c:pt idx="11525">
                  <c:v>15.25</c:v>
                </c:pt>
                <c:pt idx="11526">
                  <c:v>15.26</c:v>
                </c:pt>
                <c:pt idx="11527">
                  <c:v>15.27</c:v>
                </c:pt>
                <c:pt idx="11528">
                  <c:v>15.28</c:v>
                </c:pt>
                <c:pt idx="11529">
                  <c:v>15.29</c:v>
                </c:pt>
                <c:pt idx="11530">
                  <c:v>15.3</c:v>
                </c:pt>
                <c:pt idx="11531">
                  <c:v>15.31</c:v>
                </c:pt>
                <c:pt idx="11532">
                  <c:v>15.32</c:v>
                </c:pt>
                <c:pt idx="11533">
                  <c:v>15.33</c:v>
                </c:pt>
                <c:pt idx="11534">
                  <c:v>15.34</c:v>
                </c:pt>
                <c:pt idx="11535">
                  <c:v>15.35</c:v>
                </c:pt>
                <c:pt idx="11536">
                  <c:v>15.36</c:v>
                </c:pt>
                <c:pt idx="11537">
                  <c:v>15.37</c:v>
                </c:pt>
                <c:pt idx="11538">
                  <c:v>15.38</c:v>
                </c:pt>
                <c:pt idx="11539">
                  <c:v>15.39</c:v>
                </c:pt>
                <c:pt idx="11540">
                  <c:v>15.4</c:v>
                </c:pt>
                <c:pt idx="11541">
                  <c:v>15.41</c:v>
                </c:pt>
                <c:pt idx="11542">
                  <c:v>15.42</c:v>
                </c:pt>
                <c:pt idx="11543">
                  <c:v>15.43</c:v>
                </c:pt>
                <c:pt idx="11544">
                  <c:v>15.44</c:v>
                </c:pt>
                <c:pt idx="11545">
                  <c:v>15.45</c:v>
                </c:pt>
                <c:pt idx="11546">
                  <c:v>15.46</c:v>
                </c:pt>
                <c:pt idx="11547">
                  <c:v>15.47</c:v>
                </c:pt>
                <c:pt idx="11548">
                  <c:v>15.48</c:v>
                </c:pt>
                <c:pt idx="11549">
                  <c:v>15.49</c:v>
                </c:pt>
                <c:pt idx="11550">
                  <c:v>15.5</c:v>
                </c:pt>
                <c:pt idx="11551">
                  <c:v>15.51</c:v>
                </c:pt>
                <c:pt idx="11552">
                  <c:v>15.52</c:v>
                </c:pt>
                <c:pt idx="11553">
                  <c:v>15.53</c:v>
                </c:pt>
                <c:pt idx="11554">
                  <c:v>15.54</c:v>
                </c:pt>
                <c:pt idx="11555">
                  <c:v>15.55</c:v>
                </c:pt>
                <c:pt idx="11556">
                  <c:v>15.56</c:v>
                </c:pt>
                <c:pt idx="11557">
                  <c:v>15.57</c:v>
                </c:pt>
                <c:pt idx="11558">
                  <c:v>15.58</c:v>
                </c:pt>
                <c:pt idx="11559">
                  <c:v>15.59</c:v>
                </c:pt>
                <c:pt idx="11560">
                  <c:v>15.6</c:v>
                </c:pt>
                <c:pt idx="11561">
                  <c:v>15.61</c:v>
                </c:pt>
                <c:pt idx="11562">
                  <c:v>15.62</c:v>
                </c:pt>
                <c:pt idx="11563">
                  <c:v>15.63</c:v>
                </c:pt>
                <c:pt idx="11564">
                  <c:v>15.64</c:v>
                </c:pt>
                <c:pt idx="11565">
                  <c:v>15.65</c:v>
                </c:pt>
                <c:pt idx="11566">
                  <c:v>15.66</c:v>
                </c:pt>
                <c:pt idx="11567">
                  <c:v>15.67</c:v>
                </c:pt>
                <c:pt idx="11568">
                  <c:v>15.68</c:v>
                </c:pt>
                <c:pt idx="11569">
                  <c:v>15.69</c:v>
                </c:pt>
                <c:pt idx="11570">
                  <c:v>15.7</c:v>
                </c:pt>
                <c:pt idx="11571">
                  <c:v>15.71</c:v>
                </c:pt>
                <c:pt idx="11572">
                  <c:v>15.72</c:v>
                </c:pt>
                <c:pt idx="11573">
                  <c:v>15.73</c:v>
                </c:pt>
                <c:pt idx="11574">
                  <c:v>15.74</c:v>
                </c:pt>
                <c:pt idx="11575">
                  <c:v>15.75</c:v>
                </c:pt>
                <c:pt idx="11576">
                  <c:v>15.76</c:v>
                </c:pt>
                <c:pt idx="11577">
                  <c:v>15.77</c:v>
                </c:pt>
                <c:pt idx="11578">
                  <c:v>15.78</c:v>
                </c:pt>
                <c:pt idx="11579">
                  <c:v>15.79</c:v>
                </c:pt>
                <c:pt idx="11580">
                  <c:v>15.8</c:v>
                </c:pt>
                <c:pt idx="11581">
                  <c:v>15.81</c:v>
                </c:pt>
                <c:pt idx="11582">
                  <c:v>15.82</c:v>
                </c:pt>
                <c:pt idx="11583">
                  <c:v>15.83</c:v>
                </c:pt>
                <c:pt idx="11584">
                  <c:v>15.84</c:v>
                </c:pt>
                <c:pt idx="11585">
                  <c:v>15.85</c:v>
                </c:pt>
                <c:pt idx="11586">
                  <c:v>15.86</c:v>
                </c:pt>
                <c:pt idx="11587">
                  <c:v>15.87</c:v>
                </c:pt>
                <c:pt idx="11588">
                  <c:v>15.88</c:v>
                </c:pt>
                <c:pt idx="11589">
                  <c:v>15.89</c:v>
                </c:pt>
                <c:pt idx="11590">
                  <c:v>15.9</c:v>
                </c:pt>
                <c:pt idx="11591">
                  <c:v>15.91</c:v>
                </c:pt>
                <c:pt idx="11592">
                  <c:v>15.92</c:v>
                </c:pt>
                <c:pt idx="11593">
                  <c:v>15.93</c:v>
                </c:pt>
                <c:pt idx="11594">
                  <c:v>15.94</c:v>
                </c:pt>
                <c:pt idx="11595">
                  <c:v>15.95</c:v>
                </c:pt>
                <c:pt idx="11596">
                  <c:v>15.96</c:v>
                </c:pt>
                <c:pt idx="11597">
                  <c:v>15.97</c:v>
                </c:pt>
                <c:pt idx="11598">
                  <c:v>15.98</c:v>
                </c:pt>
                <c:pt idx="11599">
                  <c:v>15.99</c:v>
                </c:pt>
                <c:pt idx="11600">
                  <c:v>16.0</c:v>
                </c:pt>
                <c:pt idx="11601">
                  <c:v>16.01</c:v>
                </c:pt>
                <c:pt idx="11602">
                  <c:v>16.02</c:v>
                </c:pt>
                <c:pt idx="11603">
                  <c:v>16.03</c:v>
                </c:pt>
                <c:pt idx="11604">
                  <c:v>16.04</c:v>
                </c:pt>
                <c:pt idx="11605">
                  <c:v>16.05</c:v>
                </c:pt>
                <c:pt idx="11606">
                  <c:v>16.06</c:v>
                </c:pt>
                <c:pt idx="11607">
                  <c:v>16.07</c:v>
                </c:pt>
                <c:pt idx="11608">
                  <c:v>16.08</c:v>
                </c:pt>
                <c:pt idx="11609">
                  <c:v>16.09</c:v>
                </c:pt>
                <c:pt idx="11610">
                  <c:v>16.1</c:v>
                </c:pt>
                <c:pt idx="11611">
                  <c:v>16.11</c:v>
                </c:pt>
                <c:pt idx="11612">
                  <c:v>16.12</c:v>
                </c:pt>
                <c:pt idx="11613">
                  <c:v>16.13</c:v>
                </c:pt>
                <c:pt idx="11614">
                  <c:v>16.14</c:v>
                </c:pt>
                <c:pt idx="11615">
                  <c:v>16.15</c:v>
                </c:pt>
                <c:pt idx="11616">
                  <c:v>16.16</c:v>
                </c:pt>
                <c:pt idx="11617">
                  <c:v>16.17</c:v>
                </c:pt>
                <c:pt idx="11618">
                  <c:v>16.18</c:v>
                </c:pt>
                <c:pt idx="11619">
                  <c:v>16.19</c:v>
                </c:pt>
                <c:pt idx="11620">
                  <c:v>16.2</c:v>
                </c:pt>
                <c:pt idx="11621">
                  <c:v>16.21</c:v>
                </c:pt>
                <c:pt idx="11622">
                  <c:v>16.22</c:v>
                </c:pt>
                <c:pt idx="11623">
                  <c:v>16.23</c:v>
                </c:pt>
                <c:pt idx="11624">
                  <c:v>16.24</c:v>
                </c:pt>
                <c:pt idx="11625">
                  <c:v>16.25</c:v>
                </c:pt>
                <c:pt idx="11626">
                  <c:v>16.26</c:v>
                </c:pt>
                <c:pt idx="11627">
                  <c:v>16.27</c:v>
                </c:pt>
                <c:pt idx="11628">
                  <c:v>16.28</c:v>
                </c:pt>
                <c:pt idx="11629">
                  <c:v>16.29</c:v>
                </c:pt>
                <c:pt idx="11630">
                  <c:v>16.3</c:v>
                </c:pt>
                <c:pt idx="11631">
                  <c:v>16.31</c:v>
                </c:pt>
                <c:pt idx="11632">
                  <c:v>16.32</c:v>
                </c:pt>
                <c:pt idx="11633">
                  <c:v>16.33</c:v>
                </c:pt>
                <c:pt idx="11634">
                  <c:v>16.34</c:v>
                </c:pt>
                <c:pt idx="11635">
                  <c:v>16.35</c:v>
                </c:pt>
                <c:pt idx="11636">
                  <c:v>16.36</c:v>
                </c:pt>
                <c:pt idx="11637">
                  <c:v>16.37</c:v>
                </c:pt>
                <c:pt idx="11638">
                  <c:v>16.38</c:v>
                </c:pt>
                <c:pt idx="11639">
                  <c:v>16.39</c:v>
                </c:pt>
                <c:pt idx="11640">
                  <c:v>16.4</c:v>
                </c:pt>
                <c:pt idx="11641">
                  <c:v>16.41</c:v>
                </c:pt>
                <c:pt idx="11642">
                  <c:v>16.42</c:v>
                </c:pt>
                <c:pt idx="11643">
                  <c:v>16.43</c:v>
                </c:pt>
                <c:pt idx="11644">
                  <c:v>16.44</c:v>
                </c:pt>
                <c:pt idx="11645">
                  <c:v>16.45</c:v>
                </c:pt>
                <c:pt idx="11646">
                  <c:v>16.46</c:v>
                </c:pt>
                <c:pt idx="11647">
                  <c:v>16.47</c:v>
                </c:pt>
                <c:pt idx="11648">
                  <c:v>16.48</c:v>
                </c:pt>
                <c:pt idx="11649">
                  <c:v>16.49</c:v>
                </c:pt>
                <c:pt idx="11650">
                  <c:v>16.5</c:v>
                </c:pt>
                <c:pt idx="11651">
                  <c:v>16.51</c:v>
                </c:pt>
                <c:pt idx="11652">
                  <c:v>16.52</c:v>
                </c:pt>
                <c:pt idx="11653">
                  <c:v>16.53</c:v>
                </c:pt>
                <c:pt idx="11654">
                  <c:v>16.54</c:v>
                </c:pt>
                <c:pt idx="11655">
                  <c:v>16.55</c:v>
                </c:pt>
                <c:pt idx="11656">
                  <c:v>16.56</c:v>
                </c:pt>
                <c:pt idx="11657">
                  <c:v>16.57</c:v>
                </c:pt>
                <c:pt idx="11658">
                  <c:v>16.58</c:v>
                </c:pt>
                <c:pt idx="11659">
                  <c:v>16.59</c:v>
                </c:pt>
                <c:pt idx="11660">
                  <c:v>16.6</c:v>
                </c:pt>
                <c:pt idx="11661">
                  <c:v>16.61</c:v>
                </c:pt>
                <c:pt idx="11662">
                  <c:v>16.62</c:v>
                </c:pt>
                <c:pt idx="11663">
                  <c:v>16.63</c:v>
                </c:pt>
                <c:pt idx="11664">
                  <c:v>16.64</c:v>
                </c:pt>
                <c:pt idx="11665">
                  <c:v>16.65</c:v>
                </c:pt>
                <c:pt idx="11666">
                  <c:v>16.66</c:v>
                </c:pt>
                <c:pt idx="11667">
                  <c:v>16.67</c:v>
                </c:pt>
                <c:pt idx="11668">
                  <c:v>16.68</c:v>
                </c:pt>
                <c:pt idx="11669">
                  <c:v>16.69</c:v>
                </c:pt>
                <c:pt idx="11670">
                  <c:v>16.7</c:v>
                </c:pt>
                <c:pt idx="11671">
                  <c:v>16.71</c:v>
                </c:pt>
                <c:pt idx="11672">
                  <c:v>16.72</c:v>
                </c:pt>
                <c:pt idx="11673">
                  <c:v>16.73</c:v>
                </c:pt>
                <c:pt idx="11674">
                  <c:v>16.74</c:v>
                </c:pt>
                <c:pt idx="11675">
                  <c:v>16.75</c:v>
                </c:pt>
                <c:pt idx="11676">
                  <c:v>16.76</c:v>
                </c:pt>
                <c:pt idx="11677">
                  <c:v>16.77</c:v>
                </c:pt>
                <c:pt idx="11678">
                  <c:v>16.78</c:v>
                </c:pt>
                <c:pt idx="11679">
                  <c:v>16.79</c:v>
                </c:pt>
                <c:pt idx="11680">
                  <c:v>16.8</c:v>
                </c:pt>
                <c:pt idx="11681">
                  <c:v>16.81</c:v>
                </c:pt>
                <c:pt idx="11682">
                  <c:v>16.82</c:v>
                </c:pt>
                <c:pt idx="11683">
                  <c:v>16.83</c:v>
                </c:pt>
                <c:pt idx="11684">
                  <c:v>16.84</c:v>
                </c:pt>
                <c:pt idx="11685">
                  <c:v>16.85</c:v>
                </c:pt>
                <c:pt idx="11686">
                  <c:v>16.86</c:v>
                </c:pt>
                <c:pt idx="11687">
                  <c:v>16.87</c:v>
                </c:pt>
                <c:pt idx="11688">
                  <c:v>16.88</c:v>
                </c:pt>
                <c:pt idx="11689">
                  <c:v>16.89</c:v>
                </c:pt>
                <c:pt idx="11690">
                  <c:v>16.9</c:v>
                </c:pt>
                <c:pt idx="11691">
                  <c:v>16.91</c:v>
                </c:pt>
                <c:pt idx="11692">
                  <c:v>16.92</c:v>
                </c:pt>
                <c:pt idx="11693">
                  <c:v>16.93</c:v>
                </c:pt>
                <c:pt idx="11694">
                  <c:v>16.94</c:v>
                </c:pt>
                <c:pt idx="11695">
                  <c:v>16.95</c:v>
                </c:pt>
                <c:pt idx="11696">
                  <c:v>16.96</c:v>
                </c:pt>
                <c:pt idx="11697">
                  <c:v>16.97</c:v>
                </c:pt>
                <c:pt idx="11698">
                  <c:v>16.98</c:v>
                </c:pt>
                <c:pt idx="11699">
                  <c:v>16.99</c:v>
                </c:pt>
                <c:pt idx="11700">
                  <c:v>17.0</c:v>
                </c:pt>
                <c:pt idx="11701">
                  <c:v>17.01</c:v>
                </c:pt>
                <c:pt idx="11702">
                  <c:v>17.02</c:v>
                </c:pt>
                <c:pt idx="11703">
                  <c:v>17.03</c:v>
                </c:pt>
                <c:pt idx="11704">
                  <c:v>17.04</c:v>
                </c:pt>
                <c:pt idx="11705">
                  <c:v>17.05</c:v>
                </c:pt>
                <c:pt idx="11706">
                  <c:v>17.06</c:v>
                </c:pt>
                <c:pt idx="11707">
                  <c:v>17.07</c:v>
                </c:pt>
                <c:pt idx="11708">
                  <c:v>17.08</c:v>
                </c:pt>
                <c:pt idx="11709">
                  <c:v>17.09</c:v>
                </c:pt>
                <c:pt idx="11710">
                  <c:v>17.1</c:v>
                </c:pt>
                <c:pt idx="11711">
                  <c:v>17.11</c:v>
                </c:pt>
                <c:pt idx="11712">
                  <c:v>17.12</c:v>
                </c:pt>
                <c:pt idx="11713">
                  <c:v>17.13</c:v>
                </c:pt>
                <c:pt idx="11714">
                  <c:v>17.14</c:v>
                </c:pt>
                <c:pt idx="11715">
                  <c:v>17.15</c:v>
                </c:pt>
                <c:pt idx="11716">
                  <c:v>17.16</c:v>
                </c:pt>
                <c:pt idx="11717">
                  <c:v>17.17</c:v>
                </c:pt>
                <c:pt idx="11718">
                  <c:v>17.18</c:v>
                </c:pt>
                <c:pt idx="11719">
                  <c:v>17.19</c:v>
                </c:pt>
                <c:pt idx="11720">
                  <c:v>17.2</c:v>
                </c:pt>
                <c:pt idx="11721">
                  <c:v>17.21</c:v>
                </c:pt>
                <c:pt idx="11722">
                  <c:v>17.22</c:v>
                </c:pt>
                <c:pt idx="11723">
                  <c:v>17.23</c:v>
                </c:pt>
                <c:pt idx="11724">
                  <c:v>17.24</c:v>
                </c:pt>
                <c:pt idx="11725">
                  <c:v>17.25</c:v>
                </c:pt>
                <c:pt idx="11726">
                  <c:v>17.26</c:v>
                </c:pt>
                <c:pt idx="11727">
                  <c:v>17.27</c:v>
                </c:pt>
                <c:pt idx="11728">
                  <c:v>17.28</c:v>
                </c:pt>
                <c:pt idx="11729">
                  <c:v>17.29</c:v>
                </c:pt>
                <c:pt idx="11730">
                  <c:v>17.3</c:v>
                </c:pt>
                <c:pt idx="11731">
                  <c:v>17.31</c:v>
                </c:pt>
                <c:pt idx="11732">
                  <c:v>17.32</c:v>
                </c:pt>
                <c:pt idx="11733">
                  <c:v>17.33</c:v>
                </c:pt>
                <c:pt idx="11734">
                  <c:v>17.34</c:v>
                </c:pt>
                <c:pt idx="11735">
                  <c:v>17.35</c:v>
                </c:pt>
                <c:pt idx="11736">
                  <c:v>17.36</c:v>
                </c:pt>
                <c:pt idx="11737">
                  <c:v>17.37</c:v>
                </c:pt>
                <c:pt idx="11738">
                  <c:v>17.38</c:v>
                </c:pt>
                <c:pt idx="11739">
                  <c:v>17.39</c:v>
                </c:pt>
                <c:pt idx="11740">
                  <c:v>17.4</c:v>
                </c:pt>
                <c:pt idx="11741">
                  <c:v>17.41</c:v>
                </c:pt>
                <c:pt idx="11742">
                  <c:v>17.42</c:v>
                </c:pt>
                <c:pt idx="11743">
                  <c:v>17.43</c:v>
                </c:pt>
                <c:pt idx="11744">
                  <c:v>17.44</c:v>
                </c:pt>
                <c:pt idx="11745">
                  <c:v>17.45</c:v>
                </c:pt>
                <c:pt idx="11746">
                  <c:v>17.46</c:v>
                </c:pt>
                <c:pt idx="11747">
                  <c:v>17.47</c:v>
                </c:pt>
                <c:pt idx="11748">
                  <c:v>17.48</c:v>
                </c:pt>
                <c:pt idx="11749">
                  <c:v>17.49</c:v>
                </c:pt>
                <c:pt idx="11750">
                  <c:v>17.5</c:v>
                </c:pt>
                <c:pt idx="11751">
                  <c:v>17.51</c:v>
                </c:pt>
                <c:pt idx="11752">
                  <c:v>17.52</c:v>
                </c:pt>
                <c:pt idx="11753">
                  <c:v>17.53</c:v>
                </c:pt>
                <c:pt idx="11754">
                  <c:v>17.54</c:v>
                </c:pt>
                <c:pt idx="11755">
                  <c:v>17.55</c:v>
                </c:pt>
                <c:pt idx="11756">
                  <c:v>17.56</c:v>
                </c:pt>
                <c:pt idx="11757">
                  <c:v>17.57</c:v>
                </c:pt>
                <c:pt idx="11758">
                  <c:v>17.58</c:v>
                </c:pt>
                <c:pt idx="11759">
                  <c:v>17.59</c:v>
                </c:pt>
                <c:pt idx="11760">
                  <c:v>17.6</c:v>
                </c:pt>
                <c:pt idx="11761">
                  <c:v>17.61</c:v>
                </c:pt>
                <c:pt idx="11762">
                  <c:v>17.62</c:v>
                </c:pt>
                <c:pt idx="11763">
                  <c:v>17.63</c:v>
                </c:pt>
                <c:pt idx="11764">
                  <c:v>17.64</c:v>
                </c:pt>
                <c:pt idx="11765">
                  <c:v>17.65</c:v>
                </c:pt>
                <c:pt idx="11766">
                  <c:v>17.66</c:v>
                </c:pt>
                <c:pt idx="11767">
                  <c:v>17.67</c:v>
                </c:pt>
                <c:pt idx="11768">
                  <c:v>17.68</c:v>
                </c:pt>
                <c:pt idx="11769">
                  <c:v>17.69</c:v>
                </c:pt>
                <c:pt idx="11770">
                  <c:v>17.7</c:v>
                </c:pt>
                <c:pt idx="11771">
                  <c:v>17.71</c:v>
                </c:pt>
                <c:pt idx="11772">
                  <c:v>17.72</c:v>
                </c:pt>
                <c:pt idx="11773">
                  <c:v>17.73</c:v>
                </c:pt>
                <c:pt idx="11774">
                  <c:v>17.74</c:v>
                </c:pt>
                <c:pt idx="11775">
                  <c:v>17.75</c:v>
                </c:pt>
                <c:pt idx="11776">
                  <c:v>17.76</c:v>
                </c:pt>
                <c:pt idx="11777">
                  <c:v>17.77</c:v>
                </c:pt>
                <c:pt idx="11778">
                  <c:v>17.78</c:v>
                </c:pt>
                <c:pt idx="11779">
                  <c:v>17.79</c:v>
                </c:pt>
                <c:pt idx="11780">
                  <c:v>17.8</c:v>
                </c:pt>
                <c:pt idx="11781">
                  <c:v>17.81</c:v>
                </c:pt>
                <c:pt idx="11782">
                  <c:v>17.82</c:v>
                </c:pt>
                <c:pt idx="11783">
                  <c:v>17.83</c:v>
                </c:pt>
                <c:pt idx="11784">
                  <c:v>17.84</c:v>
                </c:pt>
                <c:pt idx="11785">
                  <c:v>17.85</c:v>
                </c:pt>
                <c:pt idx="11786">
                  <c:v>17.86</c:v>
                </c:pt>
                <c:pt idx="11787">
                  <c:v>17.87</c:v>
                </c:pt>
                <c:pt idx="11788">
                  <c:v>17.88</c:v>
                </c:pt>
                <c:pt idx="11789">
                  <c:v>17.89</c:v>
                </c:pt>
                <c:pt idx="11790">
                  <c:v>17.9</c:v>
                </c:pt>
                <c:pt idx="11791">
                  <c:v>17.91</c:v>
                </c:pt>
                <c:pt idx="11792">
                  <c:v>17.92</c:v>
                </c:pt>
                <c:pt idx="11793">
                  <c:v>17.93</c:v>
                </c:pt>
                <c:pt idx="11794">
                  <c:v>17.94</c:v>
                </c:pt>
                <c:pt idx="11795">
                  <c:v>17.95</c:v>
                </c:pt>
                <c:pt idx="11796">
                  <c:v>17.96</c:v>
                </c:pt>
                <c:pt idx="11797">
                  <c:v>17.97</c:v>
                </c:pt>
                <c:pt idx="11798">
                  <c:v>17.98</c:v>
                </c:pt>
                <c:pt idx="11799">
                  <c:v>17.99</c:v>
                </c:pt>
                <c:pt idx="11800">
                  <c:v>18.0</c:v>
                </c:pt>
                <c:pt idx="11801">
                  <c:v>18.01</c:v>
                </c:pt>
                <c:pt idx="11802">
                  <c:v>18.02</c:v>
                </c:pt>
                <c:pt idx="11803">
                  <c:v>18.03</c:v>
                </c:pt>
                <c:pt idx="11804">
                  <c:v>18.04</c:v>
                </c:pt>
                <c:pt idx="11805">
                  <c:v>18.05</c:v>
                </c:pt>
                <c:pt idx="11806">
                  <c:v>18.06</c:v>
                </c:pt>
                <c:pt idx="11807">
                  <c:v>18.07</c:v>
                </c:pt>
                <c:pt idx="11808">
                  <c:v>18.08</c:v>
                </c:pt>
                <c:pt idx="11809">
                  <c:v>18.09</c:v>
                </c:pt>
                <c:pt idx="11810">
                  <c:v>18.1</c:v>
                </c:pt>
                <c:pt idx="11811">
                  <c:v>18.11</c:v>
                </c:pt>
                <c:pt idx="11812">
                  <c:v>18.12</c:v>
                </c:pt>
                <c:pt idx="11813">
                  <c:v>18.13</c:v>
                </c:pt>
                <c:pt idx="11814">
                  <c:v>18.14</c:v>
                </c:pt>
                <c:pt idx="11815">
                  <c:v>18.15</c:v>
                </c:pt>
                <c:pt idx="11816">
                  <c:v>18.16</c:v>
                </c:pt>
                <c:pt idx="11817">
                  <c:v>18.17</c:v>
                </c:pt>
                <c:pt idx="11818">
                  <c:v>18.18</c:v>
                </c:pt>
                <c:pt idx="11819">
                  <c:v>18.19</c:v>
                </c:pt>
                <c:pt idx="11820">
                  <c:v>18.2</c:v>
                </c:pt>
                <c:pt idx="11821">
                  <c:v>18.21</c:v>
                </c:pt>
                <c:pt idx="11822">
                  <c:v>18.22</c:v>
                </c:pt>
                <c:pt idx="11823">
                  <c:v>18.23</c:v>
                </c:pt>
                <c:pt idx="11824">
                  <c:v>18.24</c:v>
                </c:pt>
                <c:pt idx="11825">
                  <c:v>18.25</c:v>
                </c:pt>
                <c:pt idx="11826">
                  <c:v>18.26</c:v>
                </c:pt>
                <c:pt idx="11827">
                  <c:v>18.27</c:v>
                </c:pt>
                <c:pt idx="11828">
                  <c:v>18.28</c:v>
                </c:pt>
                <c:pt idx="11829">
                  <c:v>18.29</c:v>
                </c:pt>
                <c:pt idx="11830">
                  <c:v>18.3</c:v>
                </c:pt>
                <c:pt idx="11831">
                  <c:v>18.31</c:v>
                </c:pt>
                <c:pt idx="11832">
                  <c:v>18.32</c:v>
                </c:pt>
                <c:pt idx="11833">
                  <c:v>18.33</c:v>
                </c:pt>
                <c:pt idx="11834">
                  <c:v>18.34</c:v>
                </c:pt>
                <c:pt idx="11835">
                  <c:v>18.35</c:v>
                </c:pt>
                <c:pt idx="11836">
                  <c:v>18.36</c:v>
                </c:pt>
                <c:pt idx="11837">
                  <c:v>18.37</c:v>
                </c:pt>
                <c:pt idx="11838">
                  <c:v>18.38</c:v>
                </c:pt>
                <c:pt idx="11839">
                  <c:v>18.39</c:v>
                </c:pt>
                <c:pt idx="11840">
                  <c:v>18.4</c:v>
                </c:pt>
                <c:pt idx="11841">
                  <c:v>18.41</c:v>
                </c:pt>
                <c:pt idx="11842">
                  <c:v>18.42</c:v>
                </c:pt>
                <c:pt idx="11843">
                  <c:v>18.43</c:v>
                </c:pt>
                <c:pt idx="11844">
                  <c:v>18.44</c:v>
                </c:pt>
                <c:pt idx="11845">
                  <c:v>18.45</c:v>
                </c:pt>
                <c:pt idx="11846">
                  <c:v>18.46</c:v>
                </c:pt>
                <c:pt idx="11847">
                  <c:v>18.47</c:v>
                </c:pt>
                <c:pt idx="11848">
                  <c:v>18.48</c:v>
                </c:pt>
                <c:pt idx="11849">
                  <c:v>18.49</c:v>
                </c:pt>
                <c:pt idx="11850">
                  <c:v>18.5</c:v>
                </c:pt>
                <c:pt idx="11851">
                  <c:v>18.51</c:v>
                </c:pt>
                <c:pt idx="11852">
                  <c:v>18.52</c:v>
                </c:pt>
                <c:pt idx="11853">
                  <c:v>18.53</c:v>
                </c:pt>
                <c:pt idx="11854">
                  <c:v>18.54</c:v>
                </c:pt>
                <c:pt idx="11855">
                  <c:v>18.55</c:v>
                </c:pt>
                <c:pt idx="11856">
                  <c:v>18.56</c:v>
                </c:pt>
                <c:pt idx="11857">
                  <c:v>18.57</c:v>
                </c:pt>
                <c:pt idx="11858">
                  <c:v>18.58</c:v>
                </c:pt>
                <c:pt idx="11859">
                  <c:v>18.59</c:v>
                </c:pt>
                <c:pt idx="11860">
                  <c:v>18.6</c:v>
                </c:pt>
                <c:pt idx="11861">
                  <c:v>18.61</c:v>
                </c:pt>
                <c:pt idx="11862">
                  <c:v>18.62</c:v>
                </c:pt>
                <c:pt idx="11863">
                  <c:v>18.63</c:v>
                </c:pt>
                <c:pt idx="11864">
                  <c:v>18.64</c:v>
                </c:pt>
                <c:pt idx="11865">
                  <c:v>18.65</c:v>
                </c:pt>
                <c:pt idx="11866">
                  <c:v>18.66</c:v>
                </c:pt>
                <c:pt idx="11867">
                  <c:v>18.67</c:v>
                </c:pt>
                <c:pt idx="11868">
                  <c:v>18.68</c:v>
                </c:pt>
                <c:pt idx="11869">
                  <c:v>18.69</c:v>
                </c:pt>
                <c:pt idx="11870">
                  <c:v>18.7</c:v>
                </c:pt>
                <c:pt idx="11871">
                  <c:v>18.71</c:v>
                </c:pt>
                <c:pt idx="11872">
                  <c:v>18.72</c:v>
                </c:pt>
                <c:pt idx="11873">
                  <c:v>18.73</c:v>
                </c:pt>
                <c:pt idx="11874">
                  <c:v>18.74</c:v>
                </c:pt>
                <c:pt idx="11875">
                  <c:v>18.75</c:v>
                </c:pt>
                <c:pt idx="11876">
                  <c:v>18.76</c:v>
                </c:pt>
                <c:pt idx="11877">
                  <c:v>18.77</c:v>
                </c:pt>
                <c:pt idx="11878">
                  <c:v>18.78</c:v>
                </c:pt>
                <c:pt idx="11879">
                  <c:v>18.79</c:v>
                </c:pt>
                <c:pt idx="11880">
                  <c:v>18.8</c:v>
                </c:pt>
                <c:pt idx="11881">
                  <c:v>18.81</c:v>
                </c:pt>
                <c:pt idx="11882">
                  <c:v>18.82</c:v>
                </c:pt>
                <c:pt idx="11883">
                  <c:v>18.83</c:v>
                </c:pt>
                <c:pt idx="11884">
                  <c:v>18.84</c:v>
                </c:pt>
                <c:pt idx="11885">
                  <c:v>18.85</c:v>
                </c:pt>
                <c:pt idx="11886">
                  <c:v>18.86</c:v>
                </c:pt>
                <c:pt idx="11887">
                  <c:v>18.87</c:v>
                </c:pt>
                <c:pt idx="11888">
                  <c:v>18.88</c:v>
                </c:pt>
                <c:pt idx="11889">
                  <c:v>18.89</c:v>
                </c:pt>
                <c:pt idx="11890">
                  <c:v>18.9</c:v>
                </c:pt>
                <c:pt idx="11891">
                  <c:v>18.91</c:v>
                </c:pt>
                <c:pt idx="11892">
                  <c:v>18.92</c:v>
                </c:pt>
                <c:pt idx="11893">
                  <c:v>18.93</c:v>
                </c:pt>
                <c:pt idx="11894">
                  <c:v>18.94</c:v>
                </c:pt>
                <c:pt idx="11895">
                  <c:v>18.95</c:v>
                </c:pt>
                <c:pt idx="11896">
                  <c:v>18.96</c:v>
                </c:pt>
                <c:pt idx="11897">
                  <c:v>18.97</c:v>
                </c:pt>
                <c:pt idx="11898">
                  <c:v>18.98</c:v>
                </c:pt>
                <c:pt idx="11899">
                  <c:v>18.99</c:v>
                </c:pt>
                <c:pt idx="11900">
                  <c:v>19.0</c:v>
                </c:pt>
                <c:pt idx="11901">
                  <c:v>19.01</c:v>
                </c:pt>
                <c:pt idx="11902">
                  <c:v>19.02</c:v>
                </c:pt>
                <c:pt idx="11903">
                  <c:v>19.03</c:v>
                </c:pt>
                <c:pt idx="11904">
                  <c:v>19.04</c:v>
                </c:pt>
                <c:pt idx="11905">
                  <c:v>19.05</c:v>
                </c:pt>
                <c:pt idx="11906">
                  <c:v>19.06</c:v>
                </c:pt>
                <c:pt idx="11907">
                  <c:v>19.07</c:v>
                </c:pt>
                <c:pt idx="11908">
                  <c:v>19.08</c:v>
                </c:pt>
                <c:pt idx="11909">
                  <c:v>19.09</c:v>
                </c:pt>
                <c:pt idx="11910">
                  <c:v>19.1</c:v>
                </c:pt>
                <c:pt idx="11911">
                  <c:v>19.11</c:v>
                </c:pt>
                <c:pt idx="11912">
                  <c:v>19.12</c:v>
                </c:pt>
                <c:pt idx="11913">
                  <c:v>19.13</c:v>
                </c:pt>
                <c:pt idx="11914">
                  <c:v>19.14</c:v>
                </c:pt>
                <c:pt idx="11915">
                  <c:v>19.15</c:v>
                </c:pt>
                <c:pt idx="11916">
                  <c:v>19.16</c:v>
                </c:pt>
                <c:pt idx="11917">
                  <c:v>19.17</c:v>
                </c:pt>
                <c:pt idx="11918">
                  <c:v>19.18</c:v>
                </c:pt>
                <c:pt idx="11919">
                  <c:v>19.19</c:v>
                </c:pt>
                <c:pt idx="11920">
                  <c:v>19.2</c:v>
                </c:pt>
                <c:pt idx="11921">
                  <c:v>19.21</c:v>
                </c:pt>
                <c:pt idx="11922">
                  <c:v>19.22</c:v>
                </c:pt>
                <c:pt idx="11923">
                  <c:v>19.23</c:v>
                </c:pt>
                <c:pt idx="11924">
                  <c:v>19.24</c:v>
                </c:pt>
                <c:pt idx="11925">
                  <c:v>19.25</c:v>
                </c:pt>
                <c:pt idx="11926">
                  <c:v>19.26</c:v>
                </c:pt>
                <c:pt idx="11927">
                  <c:v>19.27</c:v>
                </c:pt>
                <c:pt idx="11928">
                  <c:v>19.28</c:v>
                </c:pt>
                <c:pt idx="11929">
                  <c:v>19.29</c:v>
                </c:pt>
                <c:pt idx="11930">
                  <c:v>19.3</c:v>
                </c:pt>
                <c:pt idx="11931">
                  <c:v>19.31</c:v>
                </c:pt>
                <c:pt idx="11932">
                  <c:v>19.32</c:v>
                </c:pt>
                <c:pt idx="11933">
                  <c:v>19.33</c:v>
                </c:pt>
                <c:pt idx="11934">
                  <c:v>19.34</c:v>
                </c:pt>
                <c:pt idx="11935">
                  <c:v>19.35</c:v>
                </c:pt>
                <c:pt idx="11936">
                  <c:v>19.36</c:v>
                </c:pt>
                <c:pt idx="11937">
                  <c:v>19.37</c:v>
                </c:pt>
                <c:pt idx="11938">
                  <c:v>19.38</c:v>
                </c:pt>
                <c:pt idx="11939">
                  <c:v>19.39</c:v>
                </c:pt>
                <c:pt idx="11940">
                  <c:v>19.4</c:v>
                </c:pt>
                <c:pt idx="11941">
                  <c:v>19.41</c:v>
                </c:pt>
                <c:pt idx="11942">
                  <c:v>19.42</c:v>
                </c:pt>
                <c:pt idx="11943">
                  <c:v>19.43</c:v>
                </c:pt>
                <c:pt idx="11944">
                  <c:v>19.44</c:v>
                </c:pt>
                <c:pt idx="11945">
                  <c:v>19.45</c:v>
                </c:pt>
                <c:pt idx="11946">
                  <c:v>19.46</c:v>
                </c:pt>
                <c:pt idx="11947">
                  <c:v>19.47</c:v>
                </c:pt>
                <c:pt idx="11948">
                  <c:v>19.48</c:v>
                </c:pt>
                <c:pt idx="11949">
                  <c:v>19.49</c:v>
                </c:pt>
                <c:pt idx="11950">
                  <c:v>19.5</c:v>
                </c:pt>
                <c:pt idx="11951">
                  <c:v>19.51</c:v>
                </c:pt>
                <c:pt idx="11952">
                  <c:v>19.52</c:v>
                </c:pt>
                <c:pt idx="11953">
                  <c:v>19.53</c:v>
                </c:pt>
                <c:pt idx="11954">
                  <c:v>19.54</c:v>
                </c:pt>
                <c:pt idx="11955">
                  <c:v>19.55</c:v>
                </c:pt>
                <c:pt idx="11956">
                  <c:v>19.56</c:v>
                </c:pt>
                <c:pt idx="11957">
                  <c:v>19.57</c:v>
                </c:pt>
                <c:pt idx="11958">
                  <c:v>19.58</c:v>
                </c:pt>
                <c:pt idx="11959">
                  <c:v>19.59</c:v>
                </c:pt>
                <c:pt idx="11960">
                  <c:v>19.6</c:v>
                </c:pt>
                <c:pt idx="11961">
                  <c:v>19.61</c:v>
                </c:pt>
                <c:pt idx="11962">
                  <c:v>19.62</c:v>
                </c:pt>
                <c:pt idx="11963">
                  <c:v>19.63</c:v>
                </c:pt>
                <c:pt idx="11964">
                  <c:v>19.64</c:v>
                </c:pt>
                <c:pt idx="11965">
                  <c:v>19.65</c:v>
                </c:pt>
                <c:pt idx="11966">
                  <c:v>19.66</c:v>
                </c:pt>
                <c:pt idx="11967">
                  <c:v>19.67</c:v>
                </c:pt>
                <c:pt idx="11968">
                  <c:v>19.68</c:v>
                </c:pt>
                <c:pt idx="11969">
                  <c:v>19.69</c:v>
                </c:pt>
                <c:pt idx="11970">
                  <c:v>19.7</c:v>
                </c:pt>
                <c:pt idx="11971">
                  <c:v>19.71</c:v>
                </c:pt>
                <c:pt idx="11972">
                  <c:v>19.72</c:v>
                </c:pt>
                <c:pt idx="11973">
                  <c:v>19.73</c:v>
                </c:pt>
                <c:pt idx="11974">
                  <c:v>19.74</c:v>
                </c:pt>
                <c:pt idx="11975">
                  <c:v>19.75</c:v>
                </c:pt>
                <c:pt idx="11976">
                  <c:v>19.76</c:v>
                </c:pt>
                <c:pt idx="11977">
                  <c:v>19.77</c:v>
                </c:pt>
                <c:pt idx="11978">
                  <c:v>19.78</c:v>
                </c:pt>
                <c:pt idx="11979">
                  <c:v>19.79</c:v>
                </c:pt>
                <c:pt idx="11980">
                  <c:v>19.8</c:v>
                </c:pt>
                <c:pt idx="11981">
                  <c:v>19.81</c:v>
                </c:pt>
                <c:pt idx="11982">
                  <c:v>19.82</c:v>
                </c:pt>
                <c:pt idx="11983">
                  <c:v>19.83</c:v>
                </c:pt>
                <c:pt idx="11984">
                  <c:v>19.84</c:v>
                </c:pt>
                <c:pt idx="11985">
                  <c:v>19.85</c:v>
                </c:pt>
                <c:pt idx="11986">
                  <c:v>19.86</c:v>
                </c:pt>
                <c:pt idx="11987">
                  <c:v>19.87</c:v>
                </c:pt>
                <c:pt idx="11988">
                  <c:v>19.88</c:v>
                </c:pt>
                <c:pt idx="11989">
                  <c:v>19.89</c:v>
                </c:pt>
                <c:pt idx="11990">
                  <c:v>19.9</c:v>
                </c:pt>
                <c:pt idx="11991">
                  <c:v>19.91</c:v>
                </c:pt>
                <c:pt idx="11992">
                  <c:v>19.92</c:v>
                </c:pt>
                <c:pt idx="11993">
                  <c:v>19.93</c:v>
                </c:pt>
                <c:pt idx="11994">
                  <c:v>19.94</c:v>
                </c:pt>
                <c:pt idx="11995">
                  <c:v>19.95</c:v>
                </c:pt>
                <c:pt idx="11996">
                  <c:v>19.96</c:v>
                </c:pt>
                <c:pt idx="11997">
                  <c:v>19.97</c:v>
                </c:pt>
                <c:pt idx="11998">
                  <c:v>19.98</c:v>
                </c:pt>
                <c:pt idx="11999">
                  <c:v>19.99</c:v>
                </c:pt>
                <c:pt idx="12000">
                  <c:v>20.0</c:v>
                </c:pt>
                <c:pt idx="12001">
                  <c:v>20.01</c:v>
                </c:pt>
                <c:pt idx="12002">
                  <c:v>20.02</c:v>
                </c:pt>
                <c:pt idx="12003">
                  <c:v>20.03</c:v>
                </c:pt>
                <c:pt idx="12004">
                  <c:v>20.04</c:v>
                </c:pt>
                <c:pt idx="12005">
                  <c:v>20.05</c:v>
                </c:pt>
                <c:pt idx="12006">
                  <c:v>20.06</c:v>
                </c:pt>
                <c:pt idx="12007">
                  <c:v>20.07</c:v>
                </c:pt>
                <c:pt idx="12008">
                  <c:v>20.08</c:v>
                </c:pt>
                <c:pt idx="12009">
                  <c:v>20.09</c:v>
                </c:pt>
                <c:pt idx="12010">
                  <c:v>20.1</c:v>
                </c:pt>
                <c:pt idx="12011">
                  <c:v>20.11</c:v>
                </c:pt>
                <c:pt idx="12012">
                  <c:v>20.12</c:v>
                </c:pt>
                <c:pt idx="12013">
                  <c:v>20.13</c:v>
                </c:pt>
                <c:pt idx="12014">
                  <c:v>20.14</c:v>
                </c:pt>
                <c:pt idx="12015">
                  <c:v>20.15</c:v>
                </c:pt>
                <c:pt idx="12016">
                  <c:v>20.16</c:v>
                </c:pt>
                <c:pt idx="12017">
                  <c:v>20.17</c:v>
                </c:pt>
                <c:pt idx="12018">
                  <c:v>20.18</c:v>
                </c:pt>
                <c:pt idx="12019">
                  <c:v>20.19</c:v>
                </c:pt>
                <c:pt idx="12020">
                  <c:v>20.2</c:v>
                </c:pt>
                <c:pt idx="12021">
                  <c:v>20.21</c:v>
                </c:pt>
                <c:pt idx="12022">
                  <c:v>20.22</c:v>
                </c:pt>
                <c:pt idx="12023">
                  <c:v>20.23</c:v>
                </c:pt>
                <c:pt idx="12024">
                  <c:v>20.24</c:v>
                </c:pt>
                <c:pt idx="12025">
                  <c:v>20.25</c:v>
                </c:pt>
                <c:pt idx="12026">
                  <c:v>20.26</c:v>
                </c:pt>
                <c:pt idx="12027">
                  <c:v>20.27</c:v>
                </c:pt>
                <c:pt idx="12028">
                  <c:v>20.28</c:v>
                </c:pt>
                <c:pt idx="12029">
                  <c:v>20.29</c:v>
                </c:pt>
                <c:pt idx="12030">
                  <c:v>20.3</c:v>
                </c:pt>
                <c:pt idx="12031">
                  <c:v>20.31</c:v>
                </c:pt>
                <c:pt idx="12032">
                  <c:v>20.32</c:v>
                </c:pt>
                <c:pt idx="12033">
                  <c:v>20.33</c:v>
                </c:pt>
                <c:pt idx="12034">
                  <c:v>20.34</c:v>
                </c:pt>
                <c:pt idx="12035">
                  <c:v>20.35</c:v>
                </c:pt>
                <c:pt idx="12036">
                  <c:v>20.36</c:v>
                </c:pt>
                <c:pt idx="12037">
                  <c:v>20.37</c:v>
                </c:pt>
                <c:pt idx="12038">
                  <c:v>20.38</c:v>
                </c:pt>
                <c:pt idx="12039">
                  <c:v>20.39</c:v>
                </c:pt>
                <c:pt idx="12040">
                  <c:v>20.4</c:v>
                </c:pt>
                <c:pt idx="12041">
                  <c:v>20.41</c:v>
                </c:pt>
                <c:pt idx="12042">
                  <c:v>20.42</c:v>
                </c:pt>
                <c:pt idx="12043">
                  <c:v>20.43</c:v>
                </c:pt>
                <c:pt idx="12044">
                  <c:v>20.44</c:v>
                </c:pt>
                <c:pt idx="12045">
                  <c:v>20.45</c:v>
                </c:pt>
                <c:pt idx="12046">
                  <c:v>20.46</c:v>
                </c:pt>
                <c:pt idx="12047">
                  <c:v>20.47</c:v>
                </c:pt>
                <c:pt idx="12048">
                  <c:v>20.48</c:v>
                </c:pt>
                <c:pt idx="12049">
                  <c:v>20.49</c:v>
                </c:pt>
                <c:pt idx="12050">
                  <c:v>20.5</c:v>
                </c:pt>
                <c:pt idx="12051">
                  <c:v>20.51</c:v>
                </c:pt>
                <c:pt idx="12052">
                  <c:v>20.52</c:v>
                </c:pt>
                <c:pt idx="12053">
                  <c:v>20.53</c:v>
                </c:pt>
                <c:pt idx="12054">
                  <c:v>20.54</c:v>
                </c:pt>
                <c:pt idx="12055">
                  <c:v>20.55</c:v>
                </c:pt>
                <c:pt idx="12056">
                  <c:v>20.56</c:v>
                </c:pt>
                <c:pt idx="12057">
                  <c:v>20.57</c:v>
                </c:pt>
                <c:pt idx="12058">
                  <c:v>20.58</c:v>
                </c:pt>
                <c:pt idx="12059">
                  <c:v>20.59</c:v>
                </c:pt>
                <c:pt idx="12060">
                  <c:v>20.6</c:v>
                </c:pt>
                <c:pt idx="12061">
                  <c:v>20.61</c:v>
                </c:pt>
                <c:pt idx="12062">
                  <c:v>20.62</c:v>
                </c:pt>
                <c:pt idx="12063">
                  <c:v>20.63</c:v>
                </c:pt>
                <c:pt idx="12064">
                  <c:v>20.64</c:v>
                </c:pt>
                <c:pt idx="12065">
                  <c:v>20.65</c:v>
                </c:pt>
                <c:pt idx="12066">
                  <c:v>20.66</c:v>
                </c:pt>
                <c:pt idx="12067">
                  <c:v>20.67</c:v>
                </c:pt>
                <c:pt idx="12068">
                  <c:v>20.68</c:v>
                </c:pt>
                <c:pt idx="12069">
                  <c:v>20.69</c:v>
                </c:pt>
                <c:pt idx="12070">
                  <c:v>20.7</c:v>
                </c:pt>
                <c:pt idx="12071">
                  <c:v>20.71</c:v>
                </c:pt>
                <c:pt idx="12072">
                  <c:v>20.72</c:v>
                </c:pt>
                <c:pt idx="12073">
                  <c:v>20.73</c:v>
                </c:pt>
                <c:pt idx="12074">
                  <c:v>20.74</c:v>
                </c:pt>
                <c:pt idx="12075">
                  <c:v>20.75</c:v>
                </c:pt>
                <c:pt idx="12076">
                  <c:v>20.76</c:v>
                </c:pt>
                <c:pt idx="12077">
                  <c:v>20.77</c:v>
                </c:pt>
                <c:pt idx="12078">
                  <c:v>20.78</c:v>
                </c:pt>
                <c:pt idx="12079">
                  <c:v>20.79</c:v>
                </c:pt>
                <c:pt idx="12080">
                  <c:v>20.8</c:v>
                </c:pt>
                <c:pt idx="12081">
                  <c:v>20.81</c:v>
                </c:pt>
                <c:pt idx="12082">
                  <c:v>20.82</c:v>
                </c:pt>
                <c:pt idx="12083">
                  <c:v>20.83</c:v>
                </c:pt>
                <c:pt idx="12084">
                  <c:v>20.84</c:v>
                </c:pt>
                <c:pt idx="12085">
                  <c:v>20.85</c:v>
                </c:pt>
                <c:pt idx="12086">
                  <c:v>20.86</c:v>
                </c:pt>
                <c:pt idx="12087">
                  <c:v>20.87</c:v>
                </c:pt>
                <c:pt idx="12088">
                  <c:v>20.88</c:v>
                </c:pt>
                <c:pt idx="12089">
                  <c:v>20.89</c:v>
                </c:pt>
                <c:pt idx="12090">
                  <c:v>20.9</c:v>
                </c:pt>
                <c:pt idx="12091">
                  <c:v>20.91</c:v>
                </c:pt>
                <c:pt idx="12092">
                  <c:v>20.92</c:v>
                </c:pt>
                <c:pt idx="12093">
                  <c:v>20.93</c:v>
                </c:pt>
                <c:pt idx="12094">
                  <c:v>20.94</c:v>
                </c:pt>
                <c:pt idx="12095">
                  <c:v>20.95</c:v>
                </c:pt>
                <c:pt idx="12096">
                  <c:v>20.96</c:v>
                </c:pt>
                <c:pt idx="12097">
                  <c:v>20.97</c:v>
                </c:pt>
                <c:pt idx="12098">
                  <c:v>20.98</c:v>
                </c:pt>
                <c:pt idx="12099">
                  <c:v>20.99</c:v>
                </c:pt>
                <c:pt idx="12100">
                  <c:v>21.0</c:v>
                </c:pt>
                <c:pt idx="12101">
                  <c:v>21.01</c:v>
                </c:pt>
                <c:pt idx="12102">
                  <c:v>21.02</c:v>
                </c:pt>
                <c:pt idx="12103">
                  <c:v>21.03</c:v>
                </c:pt>
                <c:pt idx="12104">
                  <c:v>21.04</c:v>
                </c:pt>
                <c:pt idx="12105">
                  <c:v>21.05</c:v>
                </c:pt>
                <c:pt idx="12106">
                  <c:v>21.06</c:v>
                </c:pt>
                <c:pt idx="12107">
                  <c:v>21.07</c:v>
                </c:pt>
                <c:pt idx="12108">
                  <c:v>21.08</c:v>
                </c:pt>
                <c:pt idx="12109">
                  <c:v>21.09</c:v>
                </c:pt>
                <c:pt idx="12110">
                  <c:v>21.1</c:v>
                </c:pt>
                <c:pt idx="12111">
                  <c:v>21.11</c:v>
                </c:pt>
                <c:pt idx="12112">
                  <c:v>21.12</c:v>
                </c:pt>
                <c:pt idx="12113">
                  <c:v>21.13</c:v>
                </c:pt>
                <c:pt idx="12114">
                  <c:v>21.14</c:v>
                </c:pt>
                <c:pt idx="12115">
                  <c:v>21.15</c:v>
                </c:pt>
                <c:pt idx="12116">
                  <c:v>21.16</c:v>
                </c:pt>
                <c:pt idx="12117">
                  <c:v>21.17</c:v>
                </c:pt>
                <c:pt idx="12118">
                  <c:v>21.18</c:v>
                </c:pt>
                <c:pt idx="12119">
                  <c:v>21.19</c:v>
                </c:pt>
                <c:pt idx="12120">
                  <c:v>21.2</c:v>
                </c:pt>
                <c:pt idx="12121">
                  <c:v>21.21</c:v>
                </c:pt>
                <c:pt idx="12122">
                  <c:v>21.22</c:v>
                </c:pt>
                <c:pt idx="12123">
                  <c:v>21.23</c:v>
                </c:pt>
                <c:pt idx="12124">
                  <c:v>21.24</c:v>
                </c:pt>
                <c:pt idx="12125">
                  <c:v>21.25</c:v>
                </c:pt>
                <c:pt idx="12126">
                  <c:v>21.26</c:v>
                </c:pt>
                <c:pt idx="12127">
                  <c:v>21.27</c:v>
                </c:pt>
                <c:pt idx="12128">
                  <c:v>21.28</c:v>
                </c:pt>
                <c:pt idx="12129">
                  <c:v>21.29</c:v>
                </c:pt>
                <c:pt idx="12130">
                  <c:v>21.3</c:v>
                </c:pt>
                <c:pt idx="12131">
                  <c:v>21.31</c:v>
                </c:pt>
                <c:pt idx="12132">
                  <c:v>21.32</c:v>
                </c:pt>
                <c:pt idx="12133">
                  <c:v>21.33</c:v>
                </c:pt>
                <c:pt idx="12134">
                  <c:v>21.34</c:v>
                </c:pt>
                <c:pt idx="12135">
                  <c:v>21.35</c:v>
                </c:pt>
                <c:pt idx="12136">
                  <c:v>21.36</c:v>
                </c:pt>
                <c:pt idx="12137">
                  <c:v>21.37</c:v>
                </c:pt>
                <c:pt idx="12138">
                  <c:v>21.38</c:v>
                </c:pt>
                <c:pt idx="12139">
                  <c:v>21.39</c:v>
                </c:pt>
                <c:pt idx="12140">
                  <c:v>21.4</c:v>
                </c:pt>
                <c:pt idx="12141">
                  <c:v>21.41</c:v>
                </c:pt>
                <c:pt idx="12142">
                  <c:v>21.42</c:v>
                </c:pt>
                <c:pt idx="12143">
                  <c:v>21.43</c:v>
                </c:pt>
                <c:pt idx="12144">
                  <c:v>21.44</c:v>
                </c:pt>
                <c:pt idx="12145">
                  <c:v>21.45</c:v>
                </c:pt>
                <c:pt idx="12146">
                  <c:v>21.46</c:v>
                </c:pt>
                <c:pt idx="12147">
                  <c:v>21.47</c:v>
                </c:pt>
                <c:pt idx="12148">
                  <c:v>21.48</c:v>
                </c:pt>
                <c:pt idx="12149">
                  <c:v>21.49</c:v>
                </c:pt>
                <c:pt idx="12150">
                  <c:v>21.5</c:v>
                </c:pt>
                <c:pt idx="12151">
                  <c:v>21.51</c:v>
                </c:pt>
                <c:pt idx="12152">
                  <c:v>21.52</c:v>
                </c:pt>
                <c:pt idx="12153">
                  <c:v>21.53</c:v>
                </c:pt>
                <c:pt idx="12154">
                  <c:v>21.54</c:v>
                </c:pt>
                <c:pt idx="12155">
                  <c:v>21.55</c:v>
                </c:pt>
                <c:pt idx="12156">
                  <c:v>21.56</c:v>
                </c:pt>
                <c:pt idx="12157">
                  <c:v>21.57</c:v>
                </c:pt>
                <c:pt idx="12158">
                  <c:v>21.58</c:v>
                </c:pt>
                <c:pt idx="12159">
                  <c:v>21.59</c:v>
                </c:pt>
                <c:pt idx="12160">
                  <c:v>21.6</c:v>
                </c:pt>
                <c:pt idx="12161">
                  <c:v>21.61</c:v>
                </c:pt>
                <c:pt idx="12162">
                  <c:v>21.62</c:v>
                </c:pt>
                <c:pt idx="12163">
                  <c:v>21.63</c:v>
                </c:pt>
                <c:pt idx="12164">
                  <c:v>21.64</c:v>
                </c:pt>
                <c:pt idx="12165">
                  <c:v>21.65</c:v>
                </c:pt>
                <c:pt idx="12166">
                  <c:v>21.66</c:v>
                </c:pt>
                <c:pt idx="12167">
                  <c:v>21.67</c:v>
                </c:pt>
                <c:pt idx="12168">
                  <c:v>21.68</c:v>
                </c:pt>
                <c:pt idx="12169">
                  <c:v>21.69</c:v>
                </c:pt>
                <c:pt idx="12170">
                  <c:v>21.7</c:v>
                </c:pt>
                <c:pt idx="12171">
                  <c:v>21.71</c:v>
                </c:pt>
                <c:pt idx="12172">
                  <c:v>21.72</c:v>
                </c:pt>
                <c:pt idx="12173">
                  <c:v>21.73</c:v>
                </c:pt>
                <c:pt idx="12174">
                  <c:v>21.74</c:v>
                </c:pt>
                <c:pt idx="12175">
                  <c:v>21.75</c:v>
                </c:pt>
                <c:pt idx="12176">
                  <c:v>21.76</c:v>
                </c:pt>
                <c:pt idx="12177">
                  <c:v>21.77</c:v>
                </c:pt>
                <c:pt idx="12178">
                  <c:v>21.78</c:v>
                </c:pt>
                <c:pt idx="12179">
                  <c:v>21.79</c:v>
                </c:pt>
                <c:pt idx="12180">
                  <c:v>21.8</c:v>
                </c:pt>
                <c:pt idx="12181">
                  <c:v>21.81</c:v>
                </c:pt>
                <c:pt idx="12182">
                  <c:v>21.82</c:v>
                </c:pt>
                <c:pt idx="12183">
                  <c:v>21.83</c:v>
                </c:pt>
                <c:pt idx="12184">
                  <c:v>21.84</c:v>
                </c:pt>
                <c:pt idx="12185">
                  <c:v>21.85</c:v>
                </c:pt>
                <c:pt idx="12186">
                  <c:v>21.86</c:v>
                </c:pt>
                <c:pt idx="12187">
                  <c:v>21.87</c:v>
                </c:pt>
                <c:pt idx="12188">
                  <c:v>21.88</c:v>
                </c:pt>
                <c:pt idx="12189">
                  <c:v>21.89</c:v>
                </c:pt>
                <c:pt idx="12190">
                  <c:v>21.9</c:v>
                </c:pt>
                <c:pt idx="12191">
                  <c:v>21.91</c:v>
                </c:pt>
                <c:pt idx="12192">
                  <c:v>21.92</c:v>
                </c:pt>
                <c:pt idx="12193">
                  <c:v>21.93</c:v>
                </c:pt>
                <c:pt idx="12194">
                  <c:v>21.94</c:v>
                </c:pt>
                <c:pt idx="12195">
                  <c:v>21.95</c:v>
                </c:pt>
                <c:pt idx="12196">
                  <c:v>21.96</c:v>
                </c:pt>
                <c:pt idx="12197">
                  <c:v>21.97</c:v>
                </c:pt>
                <c:pt idx="12198">
                  <c:v>21.98</c:v>
                </c:pt>
                <c:pt idx="12199">
                  <c:v>21.99</c:v>
                </c:pt>
                <c:pt idx="12200">
                  <c:v>22.0</c:v>
                </c:pt>
                <c:pt idx="12201">
                  <c:v>22.01</c:v>
                </c:pt>
                <c:pt idx="12202">
                  <c:v>22.02</c:v>
                </c:pt>
                <c:pt idx="12203">
                  <c:v>22.03</c:v>
                </c:pt>
                <c:pt idx="12204">
                  <c:v>22.04</c:v>
                </c:pt>
                <c:pt idx="12205">
                  <c:v>22.05</c:v>
                </c:pt>
                <c:pt idx="12206">
                  <c:v>22.06</c:v>
                </c:pt>
                <c:pt idx="12207">
                  <c:v>22.07</c:v>
                </c:pt>
                <c:pt idx="12208">
                  <c:v>22.08</c:v>
                </c:pt>
                <c:pt idx="12209">
                  <c:v>22.09</c:v>
                </c:pt>
                <c:pt idx="12210">
                  <c:v>22.1</c:v>
                </c:pt>
                <c:pt idx="12211">
                  <c:v>22.11</c:v>
                </c:pt>
                <c:pt idx="12212">
                  <c:v>22.12</c:v>
                </c:pt>
                <c:pt idx="12213">
                  <c:v>22.13</c:v>
                </c:pt>
                <c:pt idx="12214">
                  <c:v>22.14</c:v>
                </c:pt>
                <c:pt idx="12215">
                  <c:v>22.15</c:v>
                </c:pt>
                <c:pt idx="12216">
                  <c:v>22.16</c:v>
                </c:pt>
                <c:pt idx="12217">
                  <c:v>22.17</c:v>
                </c:pt>
                <c:pt idx="12218">
                  <c:v>22.18</c:v>
                </c:pt>
                <c:pt idx="12219">
                  <c:v>22.19</c:v>
                </c:pt>
                <c:pt idx="12220">
                  <c:v>22.2</c:v>
                </c:pt>
                <c:pt idx="12221">
                  <c:v>22.21</c:v>
                </c:pt>
                <c:pt idx="12222">
                  <c:v>22.22</c:v>
                </c:pt>
                <c:pt idx="12223">
                  <c:v>22.23</c:v>
                </c:pt>
                <c:pt idx="12224">
                  <c:v>22.24</c:v>
                </c:pt>
                <c:pt idx="12225">
                  <c:v>22.25</c:v>
                </c:pt>
                <c:pt idx="12226">
                  <c:v>22.26</c:v>
                </c:pt>
                <c:pt idx="12227">
                  <c:v>22.27</c:v>
                </c:pt>
                <c:pt idx="12228">
                  <c:v>22.28</c:v>
                </c:pt>
                <c:pt idx="12229">
                  <c:v>22.29</c:v>
                </c:pt>
                <c:pt idx="12230">
                  <c:v>22.3</c:v>
                </c:pt>
                <c:pt idx="12231">
                  <c:v>22.31</c:v>
                </c:pt>
                <c:pt idx="12232">
                  <c:v>22.32</c:v>
                </c:pt>
                <c:pt idx="12233">
                  <c:v>22.33</c:v>
                </c:pt>
                <c:pt idx="12234">
                  <c:v>22.34</c:v>
                </c:pt>
                <c:pt idx="12235">
                  <c:v>22.35</c:v>
                </c:pt>
                <c:pt idx="12236">
                  <c:v>22.36</c:v>
                </c:pt>
                <c:pt idx="12237">
                  <c:v>22.37</c:v>
                </c:pt>
                <c:pt idx="12238">
                  <c:v>22.38</c:v>
                </c:pt>
                <c:pt idx="12239">
                  <c:v>22.39</c:v>
                </c:pt>
                <c:pt idx="12240">
                  <c:v>22.4</c:v>
                </c:pt>
                <c:pt idx="12241">
                  <c:v>22.41</c:v>
                </c:pt>
                <c:pt idx="12242">
                  <c:v>22.42</c:v>
                </c:pt>
                <c:pt idx="12243">
                  <c:v>22.43</c:v>
                </c:pt>
                <c:pt idx="12244">
                  <c:v>22.44</c:v>
                </c:pt>
                <c:pt idx="12245">
                  <c:v>22.45</c:v>
                </c:pt>
                <c:pt idx="12246">
                  <c:v>22.46</c:v>
                </c:pt>
                <c:pt idx="12247">
                  <c:v>22.47</c:v>
                </c:pt>
                <c:pt idx="12248">
                  <c:v>22.48</c:v>
                </c:pt>
                <c:pt idx="12249">
                  <c:v>22.49</c:v>
                </c:pt>
                <c:pt idx="12250">
                  <c:v>22.5</c:v>
                </c:pt>
                <c:pt idx="12251">
                  <c:v>22.51</c:v>
                </c:pt>
                <c:pt idx="12252">
                  <c:v>22.52</c:v>
                </c:pt>
                <c:pt idx="12253">
                  <c:v>22.53</c:v>
                </c:pt>
                <c:pt idx="12254">
                  <c:v>22.54</c:v>
                </c:pt>
                <c:pt idx="12255">
                  <c:v>22.55</c:v>
                </c:pt>
                <c:pt idx="12256">
                  <c:v>22.56</c:v>
                </c:pt>
                <c:pt idx="12257">
                  <c:v>22.57</c:v>
                </c:pt>
                <c:pt idx="12258">
                  <c:v>22.58</c:v>
                </c:pt>
                <c:pt idx="12259">
                  <c:v>22.59</c:v>
                </c:pt>
                <c:pt idx="12260">
                  <c:v>22.6</c:v>
                </c:pt>
                <c:pt idx="12261">
                  <c:v>22.61</c:v>
                </c:pt>
                <c:pt idx="12262">
                  <c:v>22.62</c:v>
                </c:pt>
                <c:pt idx="12263">
                  <c:v>22.63</c:v>
                </c:pt>
                <c:pt idx="12264">
                  <c:v>22.64</c:v>
                </c:pt>
                <c:pt idx="12265">
                  <c:v>22.65</c:v>
                </c:pt>
                <c:pt idx="12266">
                  <c:v>22.66</c:v>
                </c:pt>
                <c:pt idx="12267">
                  <c:v>22.67</c:v>
                </c:pt>
                <c:pt idx="12268">
                  <c:v>22.68</c:v>
                </c:pt>
                <c:pt idx="12269">
                  <c:v>22.69</c:v>
                </c:pt>
                <c:pt idx="12270">
                  <c:v>22.7</c:v>
                </c:pt>
                <c:pt idx="12271">
                  <c:v>22.71</c:v>
                </c:pt>
                <c:pt idx="12272">
                  <c:v>22.72</c:v>
                </c:pt>
                <c:pt idx="12273">
                  <c:v>22.73</c:v>
                </c:pt>
                <c:pt idx="12274">
                  <c:v>22.74</c:v>
                </c:pt>
                <c:pt idx="12275">
                  <c:v>22.75</c:v>
                </c:pt>
                <c:pt idx="12276">
                  <c:v>22.76</c:v>
                </c:pt>
                <c:pt idx="12277">
                  <c:v>22.77</c:v>
                </c:pt>
                <c:pt idx="12278">
                  <c:v>22.78</c:v>
                </c:pt>
                <c:pt idx="12279">
                  <c:v>22.79</c:v>
                </c:pt>
                <c:pt idx="12280">
                  <c:v>22.8</c:v>
                </c:pt>
                <c:pt idx="12281">
                  <c:v>22.81</c:v>
                </c:pt>
                <c:pt idx="12282">
                  <c:v>22.82</c:v>
                </c:pt>
                <c:pt idx="12283">
                  <c:v>22.83</c:v>
                </c:pt>
                <c:pt idx="12284">
                  <c:v>22.84</c:v>
                </c:pt>
                <c:pt idx="12285">
                  <c:v>22.85</c:v>
                </c:pt>
                <c:pt idx="12286">
                  <c:v>22.86</c:v>
                </c:pt>
                <c:pt idx="12287">
                  <c:v>22.87</c:v>
                </c:pt>
                <c:pt idx="12288">
                  <c:v>22.88</c:v>
                </c:pt>
                <c:pt idx="12289">
                  <c:v>22.89</c:v>
                </c:pt>
                <c:pt idx="12290">
                  <c:v>22.9</c:v>
                </c:pt>
                <c:pt idx="12291">
                  <c:v>22.91</c:v>
                </c:pt>
                <c:pt idx="12292">
                  <c:v>22.92</c:v>
                </c:pt>
                <c:pt idx="12293">
                  <c:v>22.93</c:v>
                </c:pt>
                <c:pt idx="12294">
                  <c:v>22.94</c:v>
                </c:pt>
                <c:pt idx="12295">
                  <c:v>22.95</c:v>
                </c:pt>
                <c:pt idx="12296">
                  <c:v>22.96</c:v>
                </c:pt>
                <c:pt idx="12297">
                  <c:v>22.97</c:v>
                </c:pt>
                <c:pt idx="12298">
                  <c:v>22.98</c:v>
                </c:pt>
                <c:pt idx="12299">
                  <c:v>22.99</c:v>
                </c:pt>
                <c:pt idx="12300">
                  <c:v>23.0</c:v>
                </c:pt>
                <c:pt idx="12301">
                  <c:v>23.01</c:v>
                </c:pt>
                <c:pt idx="12302">
                  <c:v>23.02</c:v>
                </c:pt>
                <c:pt idx="12303">
                  <c:v>23.03</c:v>
                </c:pt>
                <c:pt idx="12304">
                  <c:v>23.04</c:v>
                </c:pt>
                <c:pt idx="12305">
                  <c:v>23.05</c:v>
                </c:pt>
                <c:pt idx="12306">
                  <c:v>23.06</c:v>
                </c:pt>
                <c:pt idx="12307">
                  <c:v>23.07</c:v>
                </c:pt>
                <c:pt idx="12308">
                  <c:v>23.08</c:v>
                </c:pt>
                <c:pt idx="12309">
                  <c:v>23.09</c:v>
                </c:pt>
                <c:pt idx="12310">
                  <c:v>23.1</c:v>
                </c:pt>
                <c:pt idx="12311">
                  <c:v>23.11</c:v>
                </c:pt>
                <c:pt idx="12312">
                  <c:v>23.12</c:v>
                </c:pt>
                <c:pt idx="12313">
                  <c:v>23.13</c:v>
                </c:pt>
                <c:pt idx="12314">
                  <c:v>23.14</c:v>
                </c:pt>
                <c:pt idx="12315">
                  <c:v>23.15</c:v>
                </c:pt>
                <c:pt idx="12316">
                  <c:v>23.16</c:v>
                </c:pt>
                <c:pt idx="12317">
                  <c:v>23.17</c:v>
                </c:pt>
                <c:pt idx="12318">
                  <c:v>23.18</c:v>
                </c:pt>
                <c:pt idx="12319">
                  <c:v>23.19</c:v>
                </c:pt>
                <c:pt idx="12320">
                  <c:v>23.2</c:v>
                </c:pt>
                <c:pt idx="12321">
                  <c:v>23.21</c:v>
                </c:pt>
                <c:pt idx="12322">
                  <c:v>23.22</c:v>
                </c:pt>
                <c:pt idx="12323">
                  <c:v>23.23</c:v>
                </c:pt>
                <c:pt idx="12324">
                  <c:v>23.24</c:v>
                </c:pt>
                <c:pt idx="12325">
                  <c:v>23.25</c:v>
                </c:pt>
                <c:pt idx="12326">
                  <c:v>23.26</c:v>
                </c:pt>
                <c:pt idx="12327">
                  <c:v>23.27</c:v>
                </c:pt>
                <c:pt idx="12328">
                  <c:v>23.28</c:v>
                </c:pt>
                <c:pt idx="12329">
                  <c:v>23.29</c:v>
                </c:pt>
                <c:pt idx="12330">
                  <c:v>23.3</c:v>
                </c:pt>
                <c:pt idx="12331">
                  <c:v>23.31</c:v>
                </c:pt>
                <c:pt idx="12332">
                  <c:v>23.32</c:v>
                </c:pt>
                <c:pt idx="12333">
                  <c:v>23.33</c:v>
                </c:pt>
                <c:pt idx="12334">
                  <c:v>23.34</c:v>
                </c:pt>
                <c:pt idx="12335">
                  <c:v>23.35</c:v>
                </c:pt>
                <c:pt idx="12336">
                  <c:v>23.36</c:v>
                </c:pt>
                <c:pt idx="12337">
                  <c:v>23.37</c:v>
                </c:pt>
                <c:pt idx="12338">
                  <c:v>23.38</c:v>
                </c:pt>
                <c:pt idx="12339">
                  <c:v>23.39</c:v>
                </c:pt>
                <c:pt idx="12340">
                  <c:v>23.4</c:v>
                </c:pt>
                <c:pt idx="12341">
                  <c:v>23.41</c:v>
                </c:pt>
                <c:pt idx="12342">
                  <c:v>23.42</c:v>
                </c:pt>
                <c:pt idx="12343">
                  <c:v>23.43</c:v>
                </c:pt>
                <c:pt idx="12344">
                  <c:v>23.44</c:v>
                </c:pt>
                <c:pt idx="12345">
                  <c:v>23.45</c:v>
                </c:pt>
                <c:pt idx="12346">
                  <c:v>23.46</c:v>
                </c:pt>
                <c:pt idx="12347">
                  <c:v>23.47</c:v>
                </c:pt>
                <c:pt idx="12348">
                  <c:v>23.48</c:v>
                </c:pt>
                <c:pt idx="12349">
                  <c:v>23.49</c:v>
                </c:pt>
                <c:pt idx="12350">
                  <c:v>23.5</c:v>
                </c:pt>
                <c:pt idx="12351">
                  <c:v>23.51</c:v>
                </c:pt>
                <c:pt idx="12352">
                  <c:v>23.52</c:v>
                </c:pt>
                <c:pt idx="12353">
                  <c:v>23.53</c:v>
                </c:pt>
                <c:pt idx="12354">
                  <c:v>23.54</c:v>
                </c:pt>
                <c:pt idx="12355">
                  <c:v>23.55</c:v>
                </c:pt>
                <c:pt idx="12356">
                  <c:v>23.56</c:v>
                </c:pt>
                <c:pt idx="12357">
                  <c:v>23.57</c:v>
                </c:pt>
                <c:pt idx="12358">
                  <c:v>23.58</c:v>
                </c:pt>
                <c:pt idx="12359">
                  <c:v>23.59</c:v>
                </c:pt>
                <c:pt idx="12360">
                  <c:v>23.6</c:v>
                </c:pt>
                <c:pt idx="12361">
                  <c:v>23.61</c:v>
                </c:pt>
                <c:pt idx="12362">
                  <c:v>23.62</c:v>
                </c:pt>
                <c:pt idx="12363">
                  <c:v>23.63</c:v>
                </c:pt>
                <c:pt idx="12364">
                  <c:v>23.64</c:v>
                </c:pt>
                <c:pt idx="12365">
                  <c:v>23.65</c:v>
                </c:pt>
                <c:pt idx="12366">
                  <c:v>23.66</c:v>
                </c:pt>
                <c:pt idx="12367">
                  <c:v>23.67</c:v>
                </c:pt>
                <c:pt idx="12368">
                  <c:v>23.68</c:v>
                </c:pt>
                <c:pt idx="12369">
                  <c:v>23.69</c:v>
                </c:pt>
                <c:pt idx="12370">
                  <c:v>23.7</c:v>
                </c:pt>
                <c:pt idx="12371">
                  <c:v>23.71</c:v>
                </c:pt>
                <c:pt idx="12372">
                  <c:v>23.72</c:v>
                </c:pt>
                <c:pt idx="12373">
                  <c:v>23.73</c:v>
                </c:pt>
                <c:pt idx="12374">
                  <c:v>23.74</c:v>
                </c:pt>
                <c:pt idx="12375">
                  <c:v>23.75</c:v>
                </c:pt>
                <c:pt idx="12376">
                  <c:v>23.76</c:v>
                </c:pt>
                <c:pt idx="12377">
                  <c:v>23.77</c:v>
                </c:pt>
                <c:pt idx="12378">
                  <c:v>23.78</c:v>
                </c:pt>
                <c:pt idx="12379">
                  <c:v>23.79</c:v>
                </c:pt>
                <c:pt idx="12380">
                  <c:v>23.8</c:v>
                </c:pt>
                <c:pt idx="12381">
                  <c:v>23.81</c:v>
                </c:pt>
                <c:pt idx="12382">
                  <c:v>23.82</c:v>
                </c:pt>
                <c:pt idx="12383">
                  <c:v>23.83</c:v>
                </c:pt>
                <c:pt idx="12384">
                  <c:v>23.84</c:v>
                </c:pt>
                <c:pt idx="12385">
                  <c:v>23.85</c:v>
                </c:pt>
                <c:pt idx="12386">
                  <c:v>23.86</c:v>
                </c:pt>
                <c:pt idx="12387">
                  <c:v>23.87</c:v>
                </c:pt>
                <c:pt idx="12388">
                  <c:v>23.88</c:v>
                </c:pt>
                <c:pt idx="12389">
                  <c:v>23.89</c:v>
                </c:pt>
                <c:pt idx="12390">
                  <c:v>23.9</c:v>
                </c:pt>
                <c:pt idx="12391">
                  <c:v>23.91</c:v>
                </c:pt>
                <c:pt idx="12392">
                  <c:v>23.92</c:v>
                </c:pt>
                <c:pt idx="12393">
                  <c:v>23.93</c:v>
                </c:pt>
                <c:pt idx="12394">
                  <c:v>23.94</c:v>
                </c:pt>
                <c:pt idx="12395">
                  <c:v>23.95</c:v>
                </c:pt>
                <c:pt idx="12396">
                  <c:v>23.96</c:v>
                </c:pt>
                <c:pt idx="12397">
                  <c:v>23.97</c:v>
                </c:pt>
                <c:pt idx="12398">
                  <c:v>23.98</c:v>
                </c:pt>
                <c:pt idx="12399">
                  <c:v>23.99</c:v>
                </c:pt>
                <c:pt idx="12400">
                  <c:v>24.0</c:v>
                </c:pt>
                <c:pt idx="12401">
                  <c:v>24.01</c:v>
                </c:pt>
                <c:pt idx="12402">
                  <c:v>24.02</c:v>
                </c:pt>
                <c:pt idx="12403">
                  <c:v>24.03</c:v>
                </c:pt>
                <c:pt idx="12404">
                  <c:v>24.04</c:v>
                </c:pt>
                <c:pt idx="12405">
                  <c:v>24.05</c:v>
                </c:pt>
                <c:pt idx="12406">
                  <c:v>24.06</c:v>
                </c:pt>
                <c:pt idx="12407">
                  <c:v>24.07</c:v>
                </c:pt>
                <c:pt idx="12408">
                  <c:v>24.08</c:v>
                </c:pt>
                <c:pt idx="12409">
                  <c:v>24.09</c:v>
                </c:pt>
                <c:pt idx="12410">
                  <c:v>24.1</c:v>
                </c:pt>
                <c:pt idx="12411">
                  <c:v>24.11</c:v>
                </c:pt>
                <c:pt idx="12412">
                  <c:v>24.12</c:v>
                </c:pt>
                <c:pt idx="12413">
                  <c:v>24.13</c:v>
                </c:pt>
                <c:pt idx="12414">
                  <c:v>24.14</c:v>
                </c:pt>
                <c:pt idx="12415">
                  <c:v>24.15</c:v>
                </c:pt>
                <c:pt idx="12416">
                  <c:v>24.16</c:v>
                </c:pt>
                <c:pt idx="12417">
                  <c:v>24.17</c:v>
                </c:pt>
                <c:pt idx="12418">
                  <c:v>24.18</c:v>
                </c:pt>
                <c:pt idx="12419">
                  <c:v>24.19</c:v>
                </c:pt>
                <c:pt idx="12420">
                  <c:v>24.2</c:v>
                </c:pt>
                <c:pt idx="12421">
                  <c:v>24.21</c:v>
                </c:pt>
                <c:pt idx="12422">
                  <c:v>24.22</c:v>
                </c:pt>
                <c:pt idx="12423">
                  <c:v>24.23</c:v>
                </c:pt>
                <c:pt idx="12424">
                  <c:v>24.24</c:v>
                </c:pt>
                <c:pt idx="12425">
                  <c:v>24.25</c:v>
                </c:pt>
                <c:pt idx="12426">
                  <c:v>24.26</c:v>
                </c:pt>
                <c:pt idx="12427">
                  <c:v>24.27</c:v>
                </c:pt>
                <c:pt idx="12428">
                  <c:v>24.28</c:v>
                </c:pt>
                <c:pt idx="12429">
                  <c:v>24.29</c:v>
                </c:pt>
                <c:pt idx="12430">
                  <c:v>24.3</c:v>
                </c:pt>
                <c:pt idx="12431">
                  <c:v>24.31</c:v>
                </c:pt>
                <c:pt idx="12432">
                  <c:v>24.32</c:v>
                </c:pt>
                <c:pt idx="12433">
                  <c:v>24.33</c:v>
                </c:pt>
                <c:pt idx="12434">
                  <c:v>24.34</c:v>
                </c:pt>
                <c:pt idx="12435">
                  <c:v>24.35</c:v>
                </c:pt>
                <c:pt idx="12436">
                  <c:v>24.36</c:v>
                </c:pt>
                <c:pt idx="12437">
                  <c:v>24.37</c:v>
                </c:pt>
                <c:pt idx="12438">
                  <c:v>24.38</c:v>
                </c:pt>
                <c:pt idx="12439">
                  <c:v>24.39</c:v>
                </c:pt>
                <c:pt idx="12440">
                  <c:v>24.4</c:v>
                </c:pt>
                <c:pt idx="12441">
                  <c:v>24.41</c:v>
                </c:pt>
                <c:pt idx="12442">
                  <c:v>24.42</c:v>
                </c:pt>
                <c:pt idx="12443">
                  <c:v>24.43</c:v>
                </c:pt>
                <c:pt idx="12444">
                  <c:v>24.44</c:v>
                </c:pt>
                <c:pt idx="12445">
                  <c:v>24.45</c:v>
                </c:pt>
                <c:pt idx="12446">
                  <c:v>24.46</c:v>
                </c:pt>
                <c:pt idx="12447">
                  <c:v>24.47</c:v>
                </c:pt>
                <c:pt idx="12448">
                  <c:v>24.48</c:v>
                </c:pt>
                <c:pt idx="12449">
                  <c:v>24.49</c:v>
                </c:pt>
                <c:pt idx="12450">
                  <c:v>24.5</c:v>
                </c:pt>
                <c:pt idx="12451">
                  <c:v>24.51</c:v>
                </c:pt>
                <c:pt idx="12452">
                  <c:v>24.52</c:v>
                </c:pt>
                <c:pt idx="12453">
                  <c:v>24.53</c:v>
                </c:pt>
                <c:pt idx="12454">
                  <c:v>24.54</c:v>
                </c:pt>
                <c:pt idx="12455">
                  <c:v>24.55</c:v>
                </c:pt>
                <c:pt idx="12456">
                  <c:v>24.56</c:v>
                </c:pt>
                <c:pt idx="12457">
                  <c:v>24.57</c:v>
                </c:pt>
                <c:pt idx="12458">
                  <c:v>24.58</c:v>
                </c:pt>
                <c:pt idx="12459">
                  <c:v>24.59</c:v>
                </c:pt>
                <c:pt idx="12460">
                  <c:v>24.6</c:v>
                </c:pt>
                <c:pt idx="12461">
                  <c:v>24.61</c:v>
                </c:pt>
                <c:pt idx="12462">
                  <c:v>24.62</c:v>
                </c:pt>
                <c:pt idx="12463">
                  <c:v>24.63</c:v>
                </c:pt>
                <c:pt idx="12464">
                  <c:v>24.64</c:v>
                </c:pt>
                <c:pt idx="12465">
                  <c:v>24.65</c:v>
                </c:pt>
                <c:pt idx="12466">
                  <c:v>24.66</c:v>
                </c:pt>
                <c:pt idx="12467">
                  <c:v>24.67</c:v>
                </c:pt>
                <c:pt idx="12468">
                  <c:v>24.68</c:v>
                </c:pt>
                <c:pt idx="12469">
                  <c:v>24.69</c:v>
                </c:pt>
                <c:pt idx="12470">
                  <c:v>24.7</c:v>
                </c:pt>
                <c:pt idx="12471">
                  <c:v>24.71</c:v>
                </c:pt>
                <c:pt idx="12472">
                  <c:v>24.72</c:v>
                </c:pt>
                <c:pt idx="12473">
                  <c:v>24.73</c:v>
                </c:pt>
                <c:pt idx="12474">
                  <c:v>24.74</c:v>
                </c:pt>
                <c:pt idx="12475">
                  <c:v>24.75</c:v>
                </c:pt>
                <c:pt idx="12476">
                  <c:v>24.76</c:v>
                </c:pt>
                <c:pt idx="12477">
                  <c:v>24.77</c:v>
                </c:pt>
                <c:pt idx="12478">
                  <c:v>24.78</c:v>
                </c:pt>
                <c:pt idx="12479">
                  <c:v>24.79</c:v>
                </c:pt>
                <c:pt idx="12480">
                  <c:v>24.8</c:v>
                </c:pt>
                <c:pt idx="12481">
                  <c:v>24.81</c:v>
                </c:pt>
                <c:pt idx="12482">
                  <c:v>24.82</c:v>
                </c:pt>
                <c:pt idx="12483">
                  <c:v>24.83</c:v>
                </c:pt>
                <c:pt idx="12484">
                  <c:v>24.84</c:v>
                </c:pt>
                <c:pt idx="12485">
                  <c:v>24.85</c:v>
                </c:pt>
                <c:pt idx="12486">
                  <c:v>24.86</c:v>
                </c:pt>
                <c:pt idx="12487">
                  <c:v>24.87</c:v>
                </c:pt>
                <c:pt idx="12488">
                  <c:v>24.88</c:v>
                </c:pt>
                <c:pt idx="12489">
                  <c:v>24.89</c:v>
                </c:pt>
                <c:pt idx="12490">
                  <c:v>24.9</c:v>
                </c:pt>
                <c:pt idx="12491">
                  <c:v>24.91</c:v>
                </c:pt>
                <c:pt idx="12492">
                  <c:v>24.92</c:v>
                </c:pt>
                <c:pt idx="12493">
                  <c:v>24.93</c:v>
                </c:pt>
                <c:pt idx="12494">
                  <c:v>24.94</c:v>
                </c:pt>
                <c:pt idx="12495">
                  <c:v>24.95</c:v>
                </c:pt>
                <c:pt idx="12496">
                  <c:v>24.96</c:v>
                </c:pt>
                <c:pt idx="12497">
                  <c:v>24.97</c:v>
                </c:pt>
                <c:pt idx="12498">
                  <c:v>24.98</c:v>
                </c:pt>
                <c:pt idx="12499">
                  <c:v>24.99</c:v>
                </c:pt>
                <c:pt idx="12500">
                  <c:v>25.0</c:v>
                </c:pt>
                <c:pt idx="12501">
                  <c:v>25.01</c:v>
                </c:pt>
                <c:pt idx="12502">
                  <c:v>25.02</c:v>
                </c:pt>
                <c:pt idx="12503">
                  <c:v>25.03</c:v>
                </c:pt>
                <c:pt idx="12504">
                  <c:v>25.04</c:v>
                </c:pt>
                <c:pt idx="12505">
                  <c:v>25.05</c:v>
                </c:pt>
                <c:pt idx="12506">
                  <c:v>25.06</c:v>
                </c:pt>
                <c:pt idx="12507">
                  <c:v>25.07</c:v>
                </c:pt>
                <c:pt idx="12508">
                  <c:v>25.08</c:v>
                </c:pt>
                <c:pt idx="12509">
                  <c:v>25.09</c:v>
                </c:pt>
                <c:pt idx="12510">
                  <c:v>25.1</c:v>
                </c:pt>
                <c:pt idx="12511">
                  <c:v>25.11</c:v>
                </c:pt>
                <c:pt idx="12512">
                  <c:v>25.12</c:v>
                </c:pt>
                <c:pt idx="12513">
                  <c:v>25.13</c:v>
                </c:pt>
                <c:pt idx="12514">
                  <c:v>25.14</c:v>
                </c:pt>
                <c:pt idx="12515">
                  <c:v>25.15</c:v>
                </c:pt>
                <c:pt idx="12516">
                  <c:v>25.16</c:v>
                </c:pt>
                <c:pt idx="12517">
                  <c:v>25.17</c:v>
                </c:pt>
                <c:pt idx="12518">
                  <c:v>25.18</c:v>
                </c:pt>
                <c:pt idx="12519">
                  <c:v>25.19</c:v>
                </c:pt>
                <c:pt idx="12520">
                  <c:v>25.2</c:v>
                </c:pt>
                <c:pt idx="12521">
                  <c:v>25.21</c:v>
                </c:pt>
                <c:pt idx="12522">
                  <c:v>25.22</c:v>
                </c:pt>
                <c:pt idx="12523">
                  <c:v>25.23</c:v>
                </c:pt>
                <c:pt idx="12524">
                  <c:v>25.24</c:v>
                </c:pt>
                <c:pt idx="12525">
                  <c:v>25.25</c:v>
                </c:pt>
                <c:pt idx="12526">
                  <c:v>25.26</c:v>
                </c:pt>
                <c:pt idx="12527">
                  <c:v>25.27</c:v>
                </c:pt>
                <c:pt idx="12528">
                  <c:v>25.28</c:v>
                </c:pt>
                <c:pt idx="12529">
                  <c:v>25.29</c:v>
                </c:pt>
                <c:pt idx="12530">
                  <c:v>25.3</c:v>
                </c:pt>
                <c:pt idx="12531">
                  <c:v>25.31</c:v>
                </c:pt>
                <c:pt idx="12532">
                  <c:v>25.32</c:v>
                </c:pt>
                <c:pt idx="12533">
                  <c:v>25.33</c:v>
                </c:pt>
                <c:pt idx="12534">
                  <c:v>25.34</c:v>
                </c:pt>
                <c:pt idx="12535">
                  <c:v>25.35</c:v>
                </c:pt>
                <c:pt idx="12536">
                  <c:v>25.36</c:v>
                </c:pt>
                <c:pt idx="12537">
                  <c:v>25.37</c:v>
                </c:pt>
                <c:pt idx="12538">
                  <c:v>25.38</c:v>
                </c:pt>
                <c:pt idx="12539">
                  <c:v>25.39</c:v>
                </c:pt>
                <c:pt idx="12540">
                  <c:v>25.4</c:v>
                </c:pt>
                <c:pt idx="12541">
                  <c:v>25.41</c:v>
                </c:pt>
                <c:pt idx="12542">
                  <c:v>25.42</c:v>
                </c:pt>
                <c:pt idx="12543">
                  <c:v>25.43</c:v>
                </c:pt>
                <c:pt idx="12544">
                  <c:v>25.44</c:v>
                </c:pt>
                <c:pt idx="12545">
                  <c:v>25.45</c:v>
                </c:pt>
                <c:pt idx="12546">
                  <c:v>25.46</c:v>
                </c:pt>
                <c:pt idx="12547">
                  <c:v>25.47</c:v>
                </c:pt>
                <c:pt idx="12548">
                  <c:v>25.48</c:v>
                </c:pt>
                <c:pt idx="12549">
                  <c:v>25.49</c:v>
                </c:pt>
                <c:pt idx="12550">
                  <c:v>25.5</c:v>
                </c:pt>
                <c:pt idx="12551">
                  <c:v>25.51</c:v>
                </c:pt>
                <c:pt idx="12552">
                  <c:v>25.52</c:v>
                </c:pt>
                <c:pt idx="12553">
                  <c:v>25.53</c:v>
                </c:pt>
                <c:pt idx="12554">
                  <c:v>25.54</c:v>
                </c:pt>
                <c:pt idx="12555">
                  <c:v>25.55</c:v>
                </c:pt>
                <c:pt idx="12556">
                  <c:v>25.56</c:v>
                </c:pt>
                <c:pt idx="12557">
                  <c:v>25.57</c:v>
                </c:pt>
                <c:pt idx="12558">
                  <c:v>25.58</c:v>
                </c:pt>
                <c:pt idx="12559">
                  <c:v>25.59</c:v>
                </c:pt>
                <c:pt idx="12560">
                  <c:v>25.6</c:v>
                </c:pt>
                <c:pt idx="12561">
                  <c:v>25.61</c:v>
                </c:pt>
                <c:pt idx="12562">
                  <c:v>25.62</c:v>
                </c:pt>
                <c:pt idx="12563">
                  <c:v>25.63</c:v>
                </c:pt>
                <c:pt idx="12564">
                  <c:v>25.64</c:v>
                </c:pt>
                <c:pt idx="12565">
                  <c:v>25.65</c:v>
                </c:pt>
                <c:pt idx="12566">
                  <c:v>25.66</c:v>
                </c:pt>
                <c:pt idx="12567">
                  <c:v>25.67</c:v>
                </c:pt>
                <c:pt idx="12568">
                  <c:v>25.68</c:v>
                </c:pt>
                <c:pt idx="12569">
                  <c:v>25.69</c:v>
                </c:pt>
                <c:pt idx="12570">
                  <c:v>25.7</c:v>
                </c:pt>
                <c:pt idx="12571">
                  <c:v>25.71</c:v>
                </c:pt>
                <c:pt idx="12572">
                  <c:v>25.72</c:v>
                </c:pt>
                <c:pt idx="12573">
                  <c:v>25.73</c:v>
                </c:pt>
                <c:pt idx="12574">
                  <c:v>25.74</c:v>
                </c:pt>
                <c:pt idx="12575">
                  <c:v>25.75</c:v>
                </c:pt>
                <c:pt idx="12576">
                  <c:v>25.76</c:v>
                </c:pt>
                <c:pt idx="12577">
                  <c:v>25.77</c:v>
                </c:pt>
                <c:pt idx="12578">
                  <c:v>25.78</c:v>
                </c:pt>
                <c:pt idx="12579">
                  <c:v>25.79</c:v>
                </c:pt>
                <c:pt idx="12580">
                  <c:v>25.8</c:v>
                </c:pt>
                <c:pt idx="12581">
                  <c:v>25.81</c:v>
                </c:pt>
                <c:pt idx="12582">
                  <c:v>25.82</c:v>
                </c:pt>
                <c:pt idx="12583">
                  <c:v>25.83</c:v>
                </c:pt>
                <c:pt idx="12584">
                  <c:v>25.84</c:v>
                </c:pt>
                <c:pt idx="12585">
                  <c:v>25.85</c:v>
                </c:pt>
                <c:pt idx="12586">
                  <c:v>25.86</c:v>
                </c:pt>
                <c:pt idx="12587">
                  <c:v>25.87</c:v>
                </c:pt>
                <c:pt idx="12588">
                  <c:v>25.88</c:v>
                </c:pt>
                <c:pt idx="12589">
                  <c:v>25.89</c:v>
                </c:pt>
                <c:pt idx="12590">
                  <c:v>25.9</c:v>
                </c:pt>
                <c:pt idx="12591">
                  <c:v>25.91</c:v>
                </c:pt>
                <c:pt idx="12592">
                  <c:v>25.92</c:v>
                </c:pt>
                <c:pt idx="12593">
                  <c:v>25.93</c:v>
                </c:pt>
                <c:pt idx="12594">
                  <c:v>25.94</c:v>
                </c:pt>
                <c:pt idx="12595">
                  <c:v>25.95</c:v>
                </c:pt>
                <c:pt idx="12596">
                  <c:v>25.96</c:v>
                </c:pt>
                <c:pt idx="12597">
                  <c:v>25.97</c:v>
                </c:pt>
                <c:pt idx="12598">
                  <c:v>25.98</c:v>
                </c:pt>
                <c:pt idx="12599">
                  <c:v>25.99</c:v>
                </c:pt>
                <c:pt idx="12600">
                  <c:v>26.0</c:v>
                </c:pt>
                <c:pt idx="12601">
                  <c:v>26.01</c:v>
                </c:pt>
                <c:pt idx="12602">
                  <c:v>26.02</c:v>
                </c:pt>
                <c:pt idx="12603">
                  <c:v>26.03</c:v>
                </c:pt>
                <c:pt idx="12604">
                  <c:v>26.04</c:v>
                </c:pt>
                <c:pt idx="12605">
                  <c:v>26.05</c:v>
                </c:pt>
                <c:pt idx="12606">
                  <c:v>26.06</c:v>
                </c:pt>
                <c:pt idx="12607">
                  <c:v>26.07</c:v>
                </c:pt>
                <c:pt idx="12608">
                  <c:v>26.08</c:v>
                </c:pt>
                <c:pt idx="12609">
                  <c:v>26.09</c:v>
                </c:pt>
                <c:pt idx="12610">
                  <c:v>26.1</c:v>
                </c:pt>
                <c:pt idx="12611">
                  <c:v>26.11</c:v>
                </c:pt>
                <c:pt idx="12612">
                  <c:v>26.12</c:v>
                </c:pt>
                <c:pt idx="12613">
                  <c:v>26.13</c:v>
                </c:pt>
                <c:pt idx="12614">
                  <c:v>26.14</c:v>
                </c:pt>
                <c:pt idx="12615">
                  <c:v>26.15</c:v>
                </c:pt>
                <c:pt idx="12616">
                  <c:v>26.16</c:v>
                </c:pt>
                <c:pt idx="12617">
                  <c:v>26.17</c:v>
                </c:pt>
                <c:pt idx="12618">
                  <c:v>26.18</c:v>
                </c:pt>
                <c:pt idx="12619">
                  <c:v>26.19</c:v>
                </c:pt>
                <c:pt idx="12620">
                  <c:v>26.2</c:v>
                </c:pt>
                <c:pt idx="12621">
                  <c:v>26.21</c:v>
                </c:pt>
                <c:pt idx="12622">
                  <c:v>26.22</c:v>
                </c:pt>
                <c:pt idx="12623">
                  <c:v>26.23</c:v>
                </c:pt>
                <c:pt idx="12624">
                  <c:v>26.24</c:v>
                </c:pt>
                <c:pt idx="12625">
                  <c:v>26.25</c:v>
                </c:pt>
                <c:pt idx="12626">
                  <c:v>26.26</c:v>
                </c:pt>
                <c:pt idx="12627">
                  <c:v>26.27</c:v>
                </c:pt>
                <c:pt idx="12628">
                  <c:v>26.28</c:v>
                </c:pt>
                <c:pt idx="12629">
                  <c:v>26.29</c:v>
                </c:pt>
                <c:pt idx="12630">
                  <c:v>26.3</c:v>
                </c:pt>
                <c:pt idx="12631">
                  <c:v>26.31</c:v>
                </c:pt>
                <c:pt idx="12632">
                  <c:v>26.32</c:v>
                </c:pt>
                <c:pt idx="12633">
                  <c:v>26.33</c:v>
                </c:pt>
                <c:pt idx="12634">
                  <c:v>26.34</c:v>
                </c:pt>
                <c:pt idx="12635">
                  <c:v>26.35</c:v>
                </c:pt>
                <c:pt idx="12636">
                  <c:v>26.36</c:v>
                </c:pt>
                <c:pt idx="12637">
                  <c:v>26.37</c:v>
                </c:pt>
                <c:pt idx="12638">
                  <c:v>26.38</c:v>
                </c:pt>
                <c:pt idx="12639">
                  <c:v>26.39</c:v>
                </c:pt>
                <c:pt idx="12640">
                  <c:v>26.4</c:v>
                </c:pt>
                <c:pt idx="12641">
                  <c:v>26.41</c:v>
                </c:pt>
                <c:pt idx="12642">
                  <c:v>26.42</c:v>
                </c:pt>
                <c:pt idx="12643">
                  <c:v>26.43</c:v>
                </c:pt>
                <c:pt idx="12644">
                  <c:v>26.44</c:v>
                </c:pt>
                <c:pt idx="12645">
                  <c:v>26.45</c:v>
                </c:pt>
                <c:pt idx="12646">
                  <c:v>26.46</c:v>
                </c:pt>
                <c:pt idx="12647">
                  <c:v>26.47</c:v>
                </c:pt>
                <c:pt idx="12648">
                  <c:v>26.48</c:v>
                </c:pt>
                <c:pt idx="12649">
                  <c:v>26.49</c:v>
                </c:pt>
                <c:pt idx="12650">
                  <c:v>26.5</c:v>
                </c:pt>
                <c:pt idx="12651">
                  <c:v>26.51</c:v>
                </c:pt>
                <c:pt idx="12652">
                  <c:v>26.52</c:v>
                </c:pt>
                <c:pt idx="12653">
                  <c:v>26.53</c:v>
                </c:pt>
                <c:pt idx="12654">
                  <c:v>26.54</c:v>
                </c:pt>
                <c:pt idx="12655">
                  <c:v>26.55</c:v>
                </c:pt>
                <c:pt idx="12656">
                  <c:v>26.56</c:v>
                </c:pt>
                <c:pt idx="12657">
                  <c:v>26.57</c:v>
                </c:pt>
                <c:pt idx="12658">
                  <c:v>26.58</c:v>
                </c:pt>
                <c:pt idx="12659">
                  <c:v>26.59</c:v>
                </c:pt>
                <c:pt idx="12660">
                  <c:v>26.6</c:v>
                </c:pt>
                <c:pt idx="12661">
                  <c:v>26.61</c:v>
                </c:pt>
                <c:pt idx="12662">
                  <c:v>26.62</c:v>
                </c:pt>
                <c:pt idx="12663">
                  <c:v>26.63</c:v>
                </c:pt>
                <c:pt idx="12664">
                  <c:v>26.64</c:v>
                </c:pt>
                <c:pt idx="12665">
                  <c:v>26.65</c:v>
                </c:pt>
                <c:pt idx="12666">
                  <c:v>26.66</c:v>
                </c:pt>
                <c:pt idx="12667">
                  <c:v>26.67</c:v>
                </c:pt>
                <c:pt idx="12668">
                  <c:v>26.68</c:v>
                </c:pt>
                <c:pt idx="12669">
                  <c:v>26.69</c:v>
                </c:pt>
                <c:pt idx="12670">
                  <c:v>26.7</c:v>
                </c:pt>
                <c:pt idx="12671">
                  <c:v>26.71</c:v>
                </c:pt>
                <c:pt idx="12672">
                  <c:v>26.72</c:v>
                </c:pt>
                <c:pt idx="12673">
                  <c:v>26.73</c:v>
                </c:pt>
                <c:pt idx="12674">
                  <c:v>26.74</c:v>
                </c:pt>
                <c:pt idx="12675">
                  <c:v>26.75</c:v>
                </c:pt>
                <c:pt idx="12676">
                  <c:v>26.76</c:v>
                </c:pt>
                <c:pt idx="12677">
                  <c:v>26.77</c:v>
                </c:pt>
                <c:pt idx="12678">
                  <c:v>26.78</c:v>
                </c:pt>
                <c:pt idx="12679">
                  <c:v>26.79</c:v>
                </c:pt>
                <c:pt idx="12680">
                  <c:v>26.8</c:v>
                </c:pt>
                <c:pt idx="12681">
                  <c:v>26.81</c:v>
                </c:pt>
                <c:pt idx="12682">
                  <c:v>26.82</c:v>
                </c:pt>
                <c:pt idx="12683">
                  <c:v>26.83</c:v>
                </c:pt>
                <c:pt idx="12684">
                  <c:v>26.84</c:v>
                </c:pt>
                <c:pt idx="12685">
                  <c:v>26.85</c:v>
                </c:pt>
                <c:pt idx="12686">
                  <c:v>26.86</c:v>
                </c:pt>
                <c:pt idx="12687">
                  <c:v>26.87</c:v>
                </c:pt>
                <c:pt idx="12688">
                  <c:v>26.88</c:v>
                </c:pt>
                <c:pt idx="12689">
                  <c:v>26.89</c:v>
                </c:pt>
                <c:pt idx="12690">
                  <c:v>26.9</c:v>
                </c:pt>
                <c:pt idx="12691">
                  <c:v>26.91</c:v>
                </c:pt>
                <c:pt idx="12692">
                  <c:v>26.92</c:v>
                </c:pt>
                <c:pt idx="12693">
                  <c:v>26.93</c:v>
                </c:pt>
                <c:pt idx="12694">
                  <c:v>26.94</c:v>
                </c:pt>
                <c:pt idx="12695">
                  <c:v>26.95</c:v>
                </c:pt>
                <c:pt idx="12696">
                  <c:v>26.96</c:v>
                </c:pt>
                <c:pt idx="12697">
                  <c:v>26.97</c:v>
                </c:pt>
                <c:pt idx="12698">
                  <c:v>26.98</c:v>
                </c:pt>
                <c:pt idx="12699">
                  <c:v>26.99</c:v>
                </c:pt>
                <c:pt idx="12700">
                  <c:v>27.0</c:v>
                </c:pt>
                <c:pt idx="12701">
                  <c:v>27.01</c:v>
                </c:pt>
                <c:pt idx="12702">
                  <c:v>27.02</c:v>
                </c:pt>
                <c:pt idx="12703">
                  <c:v>27.03</c:v>
                </c:pt>
                <c:pt idx="12704">
                  <c:v>27.04</c:v>
                </c:pt>
                <c:pt idx="12705">
                  <c:v>27.05</c:v>
                </c:pt>
                <c:pt idx="12706">
                  <c:v>27.06</c:v>
                </c:pt>
                <c:pt idx="12707">
                  <c:v>27.07</c:v>
                </c:pt>
                <c:pt idx="12708">
                  <c:v>27.08</c:v>
                </c:pt>
                <c:pt idx="12709">
                  <c:v>27.09</c:v>
                </c:pt>
                <c:pt idx="12710">
                  <c:v>27.1</c:v>
                </c:pt>
                <c:pt idx="12711">
                  <c:v>27.11</c:v>
                </c:pt>
                <c:pt idx="12712">
                  <c:v>27.12</c:v>
                </c:pt>
                <c:pt idx="12713">
                  <c:v>27.13</c:v>
                </c:pt>
                <c:pt idx="12714">
                  <c:v>27.14</c:v>
                </c:pt>
                <c:pt idx="12715">
                  <c:v>27.15</c:v>
                </c:pt>
                <c:pt idx="12716">
                  <c:v>27.16</c:v>
                </c:pt>
                <c:pt idx="12717">
                  <c:v>27.17</c:v>
                </c:pt>
                <c:pt idx="12718">
                  <c:v>27.18</c:v>
                </c:pt>
                <c:pt idx="12719">
                  <c:v>27.19</c:v>
                </c:pt>
                <c:pt idx="12720">
                  <c:v>27.2</c:v>
                </c:pt>
                <c:pt idx="12721">
                  <c:v>27.21</c:v>
                </c:pt>
                <c:pt idx="12722">
                  <c:v>27.22</c:v>
                </c:pt>
                <c:pt idx="12723">
                  <c:v>27.23</c:v>
                </c:pt>
                <c:pt idx="12724">
                  <c:v>27.24</c:v>
                </c:pt>
                <c:pt idx="12725">
                  <c:v>27.25</c:v>
                </c:pt>
                <c:pt idx="12726">
                  <c:v>27.26</c:v>
                </c:pt>
                <c:pt idx="12727">
                  <c:v>27.27</c:v>
                </c:pt>
                <c:pt idx="12728">
                  <c:v>27.28</c:v>
                </c:pt>
                <c:pt idx="12729">
                  <c:v>27.29</c:v>
                </c:pt>
                <c:pt idx="12730">
                  <c:v>27.3</c:v>
                </c:pt>
                <c:pt idx="12731">
                  <c:v>27.31</c:v>
                </c:pt>
                <c:pt idx="12732">
                  <c:v>27.32</c:v>
                </c:pt>
                <c:pt idx="12733">
                  <c:v>27.33</c:v>
                </c:pt>
                <c:pt idx="12734">
                  <c:v>27.34</c:v>
                </c:pt>
                <c:pt idx="12735">
                  <c:v>27.35</c:v>
                </c:pt>
                <c:pt idx="12736">
                  <c:v>27.36</c:v>
                </c:pt>
                <c:pt idx="12737">
                  <c:v>27.37</c:v>
                </c:pt>
                <c:pt idx="12738">
                  <c:v>27.38</c:v>
                </c:pt>
                <c:pt idx="12739">
                  <c:v>27.39</c:v>
                </c:pt>
                <c:pt idx="12740">
                  <c:v>27.4</c:v>
                </c:pt>
                <c:pt idx="12741">
                  <c:v>27.41</c:v>
                </c:pt>
                <c:pt idx="12742">
                  <c:v>27.42</c:v>
                </c:pt>
                <c:pt idx="12743">
                  <c:v>27.43</c:v>
                </c:pt>
                <c:pt idx="12744">
                  <c:v>27.44</c:v>
                </c:pt>
                <c:pt idx="12745">
                  <c:v>27.45</c:v>
                </c:pt>
                <c:pt idx="12746">
                  <c:v>27.46</c:v>
                </c:pt>
                <c:pt idx="12747">
                  <c:v>27.47</c:v>
                </c:pt>
                <c:pt idx="12748">
                  <c:v>27.48</c:v>
                </c:pt>
                <c:pt idx="12749">
                  <c:v>27.49</c:v>
                </c:pt>
                <c:pt idx="12750">
                  <c:v>27.5</c:v>
                </c:pt>
                <c:pt idx="12751">
                  <c:v>27.51</c:v>
                </c:pt>
                <c:pt idx="12752">
                  <c:v>27.52</c:v>
                </c:pt>
                <c:pt idx="12753">
                  <c:v>27.53</c:v>
                </c:pt>
                <c:pt idx="12754">
                  <c:v>27.54</c:v>
                </c:pt>
                <c:pt idx="12755">
                  <c:v>27.55</c:v>
                </c:pt>
                <c:pt idx="12756">
                  <c:v>27.56</c:v>
                </c:pt>
                <c:pt idx="12757">
                  <c:v>27.57</c:v>
                </c:pt>
                <c:pt idx="12758">
                  <c:v>27.58</c:v>
                </c:pt>
                <c:pt idx="12759">
                  <c:v>27.59</c:v>
                </c:pt>
                <c:pt idx="12760">
                  <c:v>27.6</c:v>
                </c:pt>
                <c:pt idx="12761">
                  <c:v>27.61</c:v>
                </c:pt>
                <c:pt idx="12762">
                  <c:v>27.62</c:v>
                </c:pt>
                <c:pt idx="12763">
                  <c:v>27.63</c:v>
                </c:pt>
                <c:pt idx="12764">
                  <c:v>27.64</c:v>
                </c:pt>
                <c:pt idx="12765">
                  <c:v>27.65</c:v>
                </c:pt>
                <c:pt idx="12766">
                  <c:v>27.66</c:v>
                </c:pt>
                <c:pt idx="12767">
                  <c:v>27.67</c:v>
                </c:pt>
                <c:pt idx="12768">
                  <c:v>27.68</c:v>
                </c:pt>
                <c:pt idx="12769">
                  <c:v>27.69</c:v>
                </c:pt>
                <c:pt idx="12770">
                  <c:v>27.7</c:v>
                </c:pt>
                <c:pt idx="12771">
                  <c:v>27.71</c:v>
                </c:pt>
                <c:pt idx="12772">
                  <c:v>27.72</c:v>
                </c:pt>
                <c:pt idx="12773">
                  <c:v>27.73</c:v>
                </c:pt>
                <c:pt idx="12774">
                  <c:v>27.74</c:v>
                </c:pt>
                <c:pt idx="12775">
                  <c:v>27.75</c:v>
                </c:pt>
                <c:pt idx="12776">
                  <c:v>27.76</c:v>
                </c:pt>
                <c:pt idx="12777">
                  <c:v>27.77</c:v>
                </c:pt>
                <c:pt idx="12778">
                  <c:v>27.78</c:v>
                </c:pt>
                <c:pt idx="12779">
                  <c:v>27.79</c:v>
                </c:pt>
                <c:pt idx="12780">
                  <c:v>27.8</c:v>
                </c:pt>
                <c:pt idx="12781">
                  <c:v>27.81</c:v>
                </c:pt>
                <c:pt idx="12782">
                  <c:v>27.82</c:v>
                </c:pt>
                <c:pt idx="12783">
                  <c:v>27.83</c:v>
                </c:pt>
                <c:pt idx="12784">
                  <c:v>27.84</c:v>
                </c:pt>
                <c:pt idx="12785">
                  <c:v>27.85</c:v>
                </c:pt>
                <c:pt idx="12786">
                  <c:v>27.86</c:v>
                </c:pt>
                <c:pt idx="12787">
                  <c:v>27.87</c:v>
                </c:pt>
                <c:pt idx="12788">
                  <c:v>27.88</c:v>
                </c:pt>
                <c:pt idx="12789">
                  <c:v>27.89</c:v>
                </c:pt>
                <c:pt idx="12790">
                  <c:v>27.9</c:v>
                </c:pt>
                <c:pt idx="12791">
                  <c:v>27.91</c:v>
                </c:pt>
                <c:pt idx="12792">
                  <c:v>27.92</c:v>
                </c:pt>
                <c:pt idx="12793">
                  <c:v>27.93</c:v>
                </c:pt>
                <c:pt idx="12794">
                  <c:v>27.94</c:v>
                </c:pt>
                <c:pt idx="12795">
                  <c:v>27.95</c:v>
                </c:pt>
                <c:pt idx="12796">
                  <c:v>27.96</c:v>
                </c:pt>
                <c:pt idx="12797">
                  <c:v>27.97</c:v>
                </c:pt>
                <c:pt idx="12798">
                  <c:v>27.98</c:v>
                </c:pt>
                <c:pt idx="12799">
                  <c:v>27.99</c:v>
                </c:pt>
                <c:pt idx="12800">
                  <c:v>28.0</c:v>
                </c:pt>
                <c:pt idx="12801">
                  <c:v>28.01</c:v>
                </c:pt>
                <c:pt idx="12802">
                  <c:v>28.02</c:v>
                </c:pt>
                <c:pt idx="12803">
                  <c:v>28.03</c:v>
                </c:pt>
                <c:pt idx="12804">
                  <c:v>28.04</c:v>
                </c:pt>
                <c:pt idx="12805">
                  <c:v>28.05</c:v>
                </c:pt>
                <c:pt idx="12806">
                  <c:v>28.06</c:v>
                </c:pt>
                <c:pt idx="12807">
                  <c:v>28.07</c:v>
                </c:pt>
                <c:pt idx="12808">
                  <c:v>28.08</c:v>
                </c:pt>
                <c:pt idx="12809">
                  <c:v>28.09</c:v>
                </c:pt>
                <c:pt idx="12810">
                  <c:v>28.1</c:v>
                </c:pt>
                <c:pt idx="12811">
                  <c:v>28.11</c:v>
                </c:pt>
                <c:pt idx="12812">
                  <c:v>28.12</c:v>
                </c:pt>
                <c:pt idx="12813">
                  <c:v>28.13</c:v>
                </c:pt>
                <c:pt idx="12814">
                  <c:v>28.14</c:v>
                </c:pt>
                <c:pt idx="12815">
                  <c:v>28.15</c:v>
                </c:pt>
                <c:pt idx="12816">
                  <c:v>28.16</c:v>
                </c:pt>
                <c:pt idx="12817">
                  <c:v>28.17</c:v>
                </c:pt>
                <c:pt idx="12818">
                  <c:v>28.18</c:v>
                </c:pt>
                <c:pt idx="12819">
                  <c:v>28.19</c:v>
                </c:pt>
                <c:pt idx="12820">
                  <c:v>28.2</c:v>
                </c:pt>
                <c:pt idx="12821">
                  <c:v>28.21</c:v>
                </c:pt>
                <c:pt idx="12822">
                  <c:v>28.22</c:v>
                </c:pt>
                <c:pt idx="12823">
                  <c:v>28.23</c:v>
                </c:pt>
                <c:pt idx="12824">
                  <c:v>28.24</c:v>
                </c:pt>
                <c:pt idx="12825">
                  <c:v>28.25</c:v>
                </c:pt>
                <c:pt idx="12826">
                  <c:v>28.26</c:v>
                </c:pt>
                <c:pt idx="12827">
                  <c:v>28.27</c:v>
                </c:pt>
                <c:pt idx="12828">
                  <c:v>28.28</c:v>
                </c:pt>
                <c:pt idx="12829">
                  <c:v>28.29</c:v>
                </c:pt>
                <c:pt idx="12830">
                  <c:v>28.3</c:v>
                </c:pt>
                <c:pt idx="12831">
                  <c:v>28.31</c:v>
                </c:pt>
                <c:pt idx="12832">
                  <c:v>28.32</c:v>
                </c:pt>
                <c:pt idx="12833">
                  <c:v>28.33</c:v>
                </c:pt>
                <c:pt idx="12834">
                  <c:v>28.34</c:v>
                </c:pt>
                <c:pt idx="12835">
                  <c:v>28.35</c:v>
                </c:pt>
                <c:pt idx="12836">
                  <c:v>28.36</c:v>
                </c:pt>
                <c:pt idx="12837">
                  <c:v>28.37</c:v>
                </c:pt>
                <c:pt idx="12838">
                  <c:v>28.38</c:v>
                </c:pt>
                <c:pt idx="12839">
                  <c:v>28.39</c:v>
                </c:pt>
                <c:pt idx="12840">
                  <c:v>28.4</c:v>
                </c:pt>
                <c:pt idx="12841">
                  <c:v>28.41</c:v>
                </c:pt>
                <c:pt idx="12842">
                  <c:v>28.42</c:v>
                </c:pt>
                <c:pt idx="12843">
                  <c:v>28.43</c:v>
                </c:pt>
                <c:pt idx="12844">
                  <c:v>28.44</c:v>
                </c:pt>
                <c:pt idx="12845">
                  <c:v>28.45</c:v>
                </c:pt>
                <c:pt idx="12846">
                  <c:v>28.46</c:v>
                </c:pt>
                <c:pt idx="12847">
                  <c:v>28.47</c:v>
                </c:pt>
                <c:pt idx="12848">
                  <c:v>28.48</c:v>
                </c:pt>
                <c:pt idx="12849">
                  <c:v>28.49</c:v>
                </c:pt>
                <c:pt idx="12850">
                  <c:v>28.5</c:v>
                </c:pt>
                <c:pt idx="12851">
                  <c:v>28.51</c:v>
                </c:pt>
                <c:pt idx="12852">
                  <c:v>28.52</c:v>
                </c:pt>
                <c:pt idx="12853">
                  <c:v>28.53</c:v>
                </c:pt>
                <c:pt idx="12854">
                  <c:v>28.54</c:v>
                </c:pt>
                <c:pt idx="12855">
                  <c:v>28.55</c:v>
                </c:pt>
                <c:pt idx="12856">
                  <c:v>28.56</c:v>
                </c:pt>
                <c:pt idx="12857">
                  <c:v>28.57</c:v>
                </c:pt>
                <c:pt idx="12858">
                  <c:v>28.58</c:v>
                </c:pt>
                <c:pt idx="12859">
                  <c:v>28.59</c:v>
                </c:pt>
                <c:pt idx="12860">
                  <c:v>28.6</c:v>
                </c:pt>
                <c:pt idx="12861">
                  <c:v>28.61</c:v>
                </c:pt>
                <c:pt idx="12862">
                  <c:v>28.62</c:v>
                </c:pt>
                <c:pt idx="12863">
                  <c:v>28.63</c:v>
                </c:pt>
                <c:pt idx="12864">
                  <c:v>28.64</c:v>
                </c:pt>
                <c:pt idx="12865">
                  <c:v>28.65</c:v>
                </c:pt>
                <c:pt idx="12866">
                  <c:v>28.66</c:v>
                </c:pt>
                <c:pt idx="12867">
                  <c:v>28.67</c:v>
                </c:pt>
                <c:pt idx="12868">
                  <c:v>28.68</c:v>
                </c:pt>
                <c:pt idx="12869">
                  <c:v>28.69</c:v>
                </c:pt>
                <c:pt idx="12870">
                  <c:v>28.7</c:v>
                </c:pt>
                <c:pt idx="12871">
                  <c:v>28.71</c:v>
                </c:pt>
                <c:pt idx="12872">
                  <c:v>28.72</c:v>
                </c:pt>
                <c:pt idx="12873">
                  <c:v>28.73</c:v>
                </c:pt>
                <c:pt idx="12874">
                  <c:v>28.74</c:v>
                </c:pt>
                <c:pt idx="12875">
                  <c:v>28.75</c:v>
                </c:pt>
                <c:pt idx="12876">
                  <c:v>28.76</c:v>
                </c:pt>
                <c:pt idx="12877">
                  <c:v>28.77</c:v>
                </c:pt>
                <c:pt idx="12878">
                  <c:v>28.78</c:v>
                </c:pt>
                <c:pt idx="12879">
                  <c:v>28.79</c:v>
                </c:pt>
                <c:pt idx="12880">
                  <c:v>28.8</c:v>
                </c:pt>
                <c:pt idx="12881">
                  <c:v>28.81</c:v>
                </c:pt>
                <c:pt idx="12882">
                  <c:v>28.82</c:v>
                </c:pt>
                <c:pt idx="12883">
                  <c:v>28.83</c:v>
                </c:pt>
                <c:pt idx="12884">
                  <c:v>28.84</c:v>
                </c:pt>
                <c:pt idx="12885">
                  <c:v>28.85</c:v>
                </c:pt>
                <c:pt idx="12886">
                  <c:v>28.86</c:v>
                </c:pt>
                <c:pt idx="12887">
                  <c:v>28.87</c:v>
                </c:pt>
                <c:pt idx="12888">
                  <c:v>28.88</c:v>
                </c:pt>
                <c:pt idx="12889">
                  <c:v>28.89</c:v>
                </c:pt>
                <c:pt idx="12890">
                  <c:v>28.9</c:v>
                </c:pt>
                <c:pt idx="12891">
                  <c:v>28.91</c:v>
                </c:pt>
                <c:pt idx="12892">
                  <c:v>28.92</c:v>
                </c:pt>
                <c:pt idx="12893">
                  <c:v>28.93</c:v>
                </c:pt>
                <c:pt idx="12894">
                  <c:v>28.94</c:v>
                </c:pt>
                <c:pt idx="12895">
                  <c:v>28.95</c:v>
                </c:pt>
                <c:pt idx="12896">
                  <c:v>28.96</c:v>
                </c:pt>
                <c:pt idx="12897">
                  <c:v>28.97</c:v>
                </c:pt>
                <c:pt idx="12898">
                  <c:v>28.98</c:v>
                </c:pt>
                <c:pt idx="12899">
                  <c:v>28.99</c:v>
                </c:pt>
                <c:pt idx="12900">
                  <c:v>29.0</c:v>
                </c:pt>
                <c:pt idx="12901">
                  <c:v>29.01</c:v>
                </c:pt>
                <c:pt idx="12902">
                  <c:v>29.02</c:v>
                </c:pt>
                <c:pt idx="12903">
                  <c:v>29.03</c:v>
                </c:pt>
                <c:pt idx="12904">
                  <c:v>29.04</c:v>
                </c:pt>
                <c:pt idx="12905">
                  <c:v>29.05</c:v>
                </c:pt>
                <c:pt idx="12906">
                  <c:v>29.06</c:v>
                </c:pt>
                <c:pt idx="12907">
                  <c:v>29.07</c:v>
                </c:pt>
                <c:pt idx="12908">
                  <c:v>29.08</c:v>
                </c:pt>
                <c:pt idx="12909">
                  <c:v>29.09</c:v>
                </c:pt>
                <c:pt idx="12910">
                  <c:v>29.1</c:v>
                </c:pt>
                <c:pt idx="12911">
                  <c:v>29.11</c:v>
                </c:pt>
                <c:pt idx="12912">
                  <c:v>29.12</c:v>
                </c:pt>
                <c:pt idx="12913">
                  <c:v>29.13</c:v>
                </c:pt>
                <c:pt idx="12914">
                  <c:v>29.14</c:v>
                </c:pt>
                <c:pt idx="12915">
                  <c:v>29.15</c:v>
                </c:pt>
                <c:pt idx="12916">
                  <c:v>29.16</c:v>
                </c:pt>
                <c:pt idx="12917">
                  <c:v>29.17</c:v>
                </c:pt>
                <c:pt idx="12918">
                  <c:v>29.18</c:v>
                </c:pt>
                <c:pt idx="12919">
                  <c:v>29.19</c:v>
                </c:pt>
                <c:pt idx="12920">
                  <c:v>29.2</c:v>
                </c:pt>
                <c:pt idx="12921">
                  <c:v>29.21</c:v>
                </c:pt>
                <c:pt idx="12922">
                  <c:v>29.22</c:v>
                </c:pt>
                <c:pt idx="12923">
                  <c:v>29.23</c:v>
                </c:pt>
                <c:pt idx="12924">
                  <c:v>29.24</c:v>
                </c:pt>
                <c:pt idx="12925">
                  <c:v>29.25</c:v>
                </c:pt>
                <c:pt idx="12926">
                  <c:v>29.26</c:v>
                </c:pt>
                <c:pt idx="12927">
                  <c:v>29.27</c:v>
                </c:pt>
                <c:pt idx="12928">
                  <c:v>29.28</c:v>
                </c:pt>
                <c:pt idx="12929">
                  <c:v>29.29</c:v>
                </c:pt>
                <c:pt idx="12930">
                  <c:v>29.3</c:v>
                </c:pt>
                <c:pt idx="12931">
                  <c:v>29.31</c:v>
                </c:pt>
                <c:pt idx="12932">
                  <c:v>29.32</c:v>
                </c:pt>
                <c:pt idx="12933">
                  <c:v>29.33</c:v>
                </c:pt>
                <c:pt idx="12934">
                  <c:v>29.34</c:v>
                </c:pt>
                <c:pt idx="12935">
                  <c:v>29.35</c:v>
                </c:pt>
                <c:pt idx="12936">
                  <c:v>29.36</c:v>
                </c:pt>
                <c:pt idx="12937">
                  <c:v>29.37</c:v>
                </c:pt>
                <c:pt idx="12938">
                  <c:v>29.38</c:v>
                </c:pt>
                <c:pt idx="12939">
                  <c:v>29.39</c:v>
                </c:pt>
                <c:pt idx="12940">
                  <c:v>29.4</c:v>
                </c:pt>
                <c:pt idx="12941">
                  <c:v>29.41</c:v>
                </c:pt>
                <c:pt idx="12942">
                  <c:v>29.42</c:v>
                </c:pt>
                <c:pt idx="12943">
                  <c:v>29.43</c:v>
                </c:pt>
                <c:pt idx="12944">
                  <c:v>29.44</c:v>
                </c:pt>
                <c:pt idx="12945">
                  <c:v>29.45</c:v>
                </c:pt>
                <c:pt idx="12946">
                  <c:v>29.46</c:v>
                </c:pt>
                <c:pt idx="12947">
                  <c:v>29.47</c:v>
                </c:pt>
                <c:pt idx="12948">
                  <c:v>29.48</c:v>
                </c:pt>
                <c:pt idx="12949">
                  <c:v>29.49</c:v>
                </c:pt>
                <c:pt idx="12950">
                  <c:v>29.5</c:v>
                </c:pt>
                <c:pt idx="12951">
                  <c:v>29.51</c:v>
                </c:pt>
                <c:pt idx="12952">
                  <c:v>29.52</c:v>
                </c:pt>
                <c:pt idx="12953">
                  <c:v>29.53</c:v>
                </c:pt>
                <c:pt idx="12954">
                  <c:v>29.54</c:v>
                </c:pt>
                <c:pt idx="12955">
                  <c:v>29.55</c:v>
                </c:pt>
                <c:pt idx="12956">
                  <c:v>29.56</c:v>
                </c:pt>
                <c:pt idx="12957">
                  <c:v>29.57</c:v>
                </c:pt>
                <c:pt idx="12958">
                  <c:v>29.58</c:v>
                </c:pt>
                <c:pt idx="12959">
                  <c:v>29.59</c:v>
                </c:pt>
                <c:pt idx="12960">
                  <c:v>29.6</c:v>
                </c:pt>
                <c:pt idx="12961">
                  <c:v>29.61</c:v>
                </c:pt>
                <c:pt idx="12962">
                  <c:v>29.62</c:v>
                </c:pt>
                <c:pt idx="12963">
                  <c:v>29.63</c:v>
                </c:pt>
                <c:pt idx="12964">
                  <c:v>29.64</c:v>
                </c:pt>
                <c:pt idx="12965">
                  <c:v>29.65</c:v>
                </c:pt>
                <c:pt idx="12966">
                  <c:v>29.66</c:v>
                </c:pt>
                <c:pt idx="12967">
                  <c:v>29.67</c:v>
                </c:pt>
                <c:pt idx="12968">
                  <c:v>29.68</c:v>
                </c:pt>
                <c:pt idx="12969">
                  <c:v>29.69</c:v>
                </c:pt>
                <c:pt idx="12970">
                  <c:v>29.7</c:v>
                </c:pt>
                <c:pt idx="12971">
                  <c:v>29.71</c:v>
                </c:pt>
                <c:pt idx="12972">
                  <c:v>29.72</c:v>
                </c:pt>
                <c:pt idx="12973">
                  <c:v>29.73</c:v>
                </c:pt>
                <c:pt idx="12974">
                  <c:v>29.74</c:v>
                </c:pt>
                <c:pt idx="12975">
                  <c:v>29.75</c:v>
                </c:pt>
                <c:pt idx="12976">
                  <c:v>29.76</c:v>
                </c:pt>
                <c:pt idx="12977">
                  <c:v>29.77</c:v>
                </c:pt>
                <c:pt idx="12978">
                  <c:v>29.78</c:v>
                </c:pt>
                <c:pt idx="12979">
                  <c:v>29.79</c:v>
                </c:pt>
                <c:pt idx="12980">
                  <c:v>29.8</c:v>
                </c:pt>
                <c:pt idx="12981">
                  <c:v>29.81</c:v>
                </c:pt>
                <c:pt idx="12982">
                  <c:v>29.82</c:v>
                </c:pt>
                <c:pt idx="12983">
                  <c:v>29.83</c:v>
                </c:pt>
                <c:pt idx="12984">
                  <c:v>29.84</c:v>
                </c:pt>
                <c:pt idx="12985">
                  <c:v>29.85</c:v>
                </c:pt>
                <c:pt idx="12986">
                  <c:v>29.86</c:v>
                </c:pt>
                <c:pt idx="12987">
                  <c:v>29.87</c:v>
                </c:pt>
                <c:pt idx="12988">
                  <c:v>29.88</c:v>
                </c:pt>
                <c:pt idx="12989">
                  <c:v>29.89</c:v>
                </c:pt>
                <c:pt idx="12990">
                  <c:v>29.9</c:v>
                </c:pt>
                <c:pt idx="12991">
                  <c:v>29.91</c:v>
                </c:pt>
                <c:pt idx="12992">
                  <c:v>29.92</c:v>
                </c:pt>
                <c:pt idx="12993">
                  <c:v>29.93</c:v>
                </c:pt>
                <c:pt idx="12994">
                  <c:v>29.94</c:v>
                </c:pt>
                <c:pt idx="12995">
                  <c:v>29.95</c:v>
                </c:pt>
                <c:pt idx="12996">
                  <c:v>29.96</c:v>
                </c:pt>
                <c:pt idx="12997">
                  <c:v>29.97</c:v>
                </c:pt>
                <c:pt idx="12998">
                  <c:v>29.98</c:v>
                </c:pt>
                <c:pt idx="12999">
                  <c:v>29.99</c:v>
                </c:pt>
                <c:pt idx="13000">
                  <c:v>30.0</c:v>
                </c:pt>
                <c:pt idx="13001">
                  <c:v>30.01</c:v>
                </c:pt>
                <c:pt idx="13002">
                  <c:v>30.02</c:v>
                </c:pt>
                <c:pt idx="13003">
                  <c:v>30.03</c:v>
                </c:pt>
                <c:pt idx="13004">
                  <c:v>30.04</c:v>
                </c:pt>
                <c:pt idx="13005">
                  <c:v>30.05</c:v>
                </c:pt>
                <c:pt idx="13006">
                  <c:v>30.06</c:v>
                </c:pt>
                <c:pt idx="13007">
                  <c:v>30.07</c:v>
                </c:pt>
                <c:pt idx="13008">
                  <c:v>30.08</c:v>
                </c:pt>
                <c:pt idx="13009">
                  <c:v>30.09</c:v>
                </c:pt>
                <c:pt idx="13010">
                  <c:v>30.1</c:v>
                </c:pt>
                <c:pt idx="13011">
                  <c:v>30.11</c:v>
                </c:pt>
                <c:pt idx="13012">
                  <c:v>30.12</c:v>
                </c:pt>
                <c:pt idx="13013">
                  <c:v>30.13</c:v>
                </c:pt>
                <c:pt idx="13014">
                  <c:v>30.14</c:v>
                </c:pt>
                <c:pt idx="13015">
                  <c:v>30.15</c:v>
                </c:pt>
                <c:pt idx="13016">
                  <c:v>30.16</c:v>
                </c:pt>
                <c:pt idx="13017">
                  <c:v>30.17</c:v>
                </c:pt>
                <c:pt idx="13018">
                  <c:v>30.18</c:v>
                </c:pt>
                <c:pt idx="13019">
                  <c:v>30.19</c:v>
                </c:pt>
                <c:pt idx="13020">
                  <c:v>30.2</c:v>
                </c:pt>
                <c:pt idx="13021">
                  <c:v>30.21</c:v>
                </c:pt>
                <c:pt idx="13022">
                  <c:v>30.22</c:v>
                </c:pt>
                <c:pt idx="13023">
                  <c:v>30.23</c:v>
                </c:pt>
                <c:pt idx="13024">
                  <c:v>30.24</c:v>
                </c:pt>
                <c:pt idx="13025">
                  <c:v>30.25</c:v>
                </c:pt>
                <c:pt idx="13026">
                  <c:v>30.26</c:v>
                </c:pt>
                <c:pt idx="13027">
                  <c:v>30.27</c:v>
                </c:pt>
                <c:pt idx="13028">
                  <c:v>30.28</c:v>
                </c:pt>
                <c:pt idx="13029">
                  <c:v>30.29</c:v>
                </c:pt>
                <c:pt idx="13030">
                  <c:v>30.3</c:v>
                </c:pt>
                <c:pt idx="13031">
                  <c:v>30.31</c:v>
                </c:pt>
                <c:pt idx="13032">
                  <c:v>30.32</c:v>
                </c:pt>
                <c:pt idx="13033">
                  <c:v>30.33</c:v>
                </c:pt>
                <c:pt idx="13034">
                  <c:v>30.34</c:v>
                </c:pt>
                <c:pt idx="13035">
                  <c:v>30.35</c:v>
                </c:pt>
                <c:pt idx="13036">
                  <c:v>30.36</c:v>
                </c:pt>
                <c:pt idx="13037">
                  <c:v>30.37</c:v>
                </c:pt>
                <c:pt idx="13038">
                  <c:v>30.38</c:v>
                </c:pt>
                <c:pt idx="13039">
                  <c:v>30.39</c:v>
                </c:pt>
                <c:pt idx="13040">
                  <c:v>30.4</c:v>
                </c:pt>
                <c:pt idx="13041">
                  <c:v>30.41</c:v>
                </c:pt>
                <c:pt idx="13042">
                  <c:v>30.42</c:v>
                </c:pt>
                <c:pt idx="13043">
                  <c:v>30.43</c:v>
                </c:pt>
                <c:pt idx="13044">
                  <c:v>30.44</c:v>
                </c:pt>
                <c:pt idx="13045">
                  <c:v>30.45</c:v>
                </c:pt>
                <c:pt idx="13046">
                  <c:v>30.46</c:v>
                </c:pt>
                <c:pt idx="13047">
                  <c:v>30.47</c:v>
                </c:pt>
                <c:pt idx="13048">
                  <c:v>30.48</c:v>
                </c:pt>
                <c:pt idx="13049">
                  <c:v>30.49</c:v>
                </c:pt>
                <c:pt idx="13050">
                  <c:v>30.5</c:v>
                </c:pt>
                <c:pt idx="13051">
                  <c:v>30.51</c:v>
                </c:pt>
                <c:pt idx="13052">
                  <c:v>30.52</c:v>
                </c:pt>
                <c:pt idx="13053">
                  <c:v>30.53</c:v>
                </c:pt>
                <c:pt idx="13054">
                  <c:v>30.54</c:v>
                </c:pt>
                <c:pt idx="13055">
                  <c:v>30.55</c:v>
                </c:pt>
                <c:pt idx="13056">
                  <c:v>30.56</c:v>
                </c:pt>
                <c:pt idx="13057">
                  <c:v>30.57</c:v>
                </c:pt>
                <c:pt idx="13058">
                  <c:v>30.58</c:v>
                </c:pt>
                <c:pt idx="13059">
                  <c:v>30.59</c:v>
                </c:pt>
                <c:pt idx="13060">
                  <c:v>30.6</c:v>
                </c:pt>
                <c:pt idx="13061">
                  <c:v>30.61</c:v>
                </c:pt>
                <c:pt idx="13062">
                  <c:v>30.62</c:v>
                </c:pt>
                <c:pt idx="13063">
                  <c:v>30.63</c:v>
                </c:pt>
                <c:pt idx="13064">
                  <c:v>30.64</c:v>
                </c:pt>
                <c:pt idx="13065">
                  <c:v>30.65</c:v>
                </c:pt>
                <c:pt idx="13066">
                  <c:v>30.66</c:v>
                </c:pt>
                <c:pt idx="13067">
                  <c:v>30.67</c:v>
                </c:pt>
                <c:pt idx="13068">
                  <c:v>30.68</c:v>
                </c:pt>
                <c:pt idx="13069">
                  <c:v>30.69</c:v>
                </c:pt>
                <c:pt idx="13070">
                  <c:v>30.7</c:v>
                </c:pt>
                <c:pt idx="13071">
                  <c:v>30.71</c:v>
                </c:pt>
                <c:pt idx="13072">
                  <c:v>30.72</c:v>
                </c:pt>
                <c:pt idx="13073">
                  <c:v>30.73</c:v>
                </c:pt>
                <c:pt idx="13074">
                  <c:v>30.74</c:v>
                </c:pt>
                <c:pt idx="13075">
                  <c:v>30.75</c:v>
                </c:pt>
                <c:pt idx="13076">
                  <c:v>30.76</c:v>
                </c:pt>
                <c:pt idx="13077">
                  <c:v>30.77</c:v>
                </c:pt>
                <c:pt idx="13078">
                  <c:v>30.78</c:v>
                </c:pt>
                <c:pt idx="13079">
                  <c:v>30.79</c:v>
                </c:pt>
                <c:pt idx="13080">
                  <c:v>30.8</c:v>
                </c:pt>
                <c:pt idx="13081">
                  <c:v>30.81</c:v>
                </c:pt>
                <c:pt idx="13082">
                  <c:v>30.82</c:v>
                </c:pt>
                <c:pt idx="13083">
                  <c:v>30.83</c:v>
                </c:pt>
                <c:pt idx="13084">
                  <c:v>30.84</c:v>
                </c:pt>
                <c:pt idx="13085">
                  <c:v>30.85</c:v>
                </c:pt>
                <c:pt idx="13086">
                  <c:v>30.86</c:v>
                </c:pt>
                <c:pt idx="13087">
                  <c:v>30.87</c:v>
                </c:pt>
                <c:pt idx="13088">
                  <c:v>30.88</c:v>
                </c:pt>
                <c:pt idx="13089">
                  <c:v>30.89</c:v>
                </c:pt>
                <c:pt idx="13090">
                  <c:v>30.9</c:v>
                </c:pt>
                <c:pt idx="13091">
                  <c:v>30.91</c:v>
                </c:pt>
                <c:pt idx="13092">
                  <c:v>30.92</c:v>
                </c:pt>
                <c:pt idx="13093">
                  <c:v>30.93</c:v>
                </c:pt>
                <c:pt idx="13094">
                  <c:v>30.94</c:v>
                </c:pt>
                <c:pt idx="13095">
                  <c:v>30.95</c:v>
                </c:pt>
                <c:pt idx="13096">
                  <c:v>30.96</c:v>
                </c:pt>
                <c:pt idx="13097">
                  <c:v>30.97</c:v>
                </c:pt>
                <c:pt idx="13098">
                  <c:v>30.98</c:v>
                </c:pt>
                <c:pt idx="13099">
                  <c:v>30.99</c:v>
                </c:pt>
                <c:pt idx="13100">
                  <c:v>31.0</c:v>
                </c:pt>
                <c:pt idx="13101">
                  <c:v>31.01</c:v>
                </c:pt>
                <c:pt idx="13102">
                  <c:v>31.02</c:v>
                </c:pt>
                <c:pt idx="13103">
                  <c:v>31.03</c:v>
                </c:pt>
                <c:pt idx="13104">
                  <c:v>31.04</c:v>
                </c:pt>
                <c:pt idx="13105">
                  <c:v>31.05</c:v>
                </c:pt>
                <c:pt idx="13106">
                  <c:v>31.06</c:v>
                </c:pt>
                <c:pt idx="13107">
                  <c:v>31.07</c:v>
                </c:pt>
                <c:pt idx="13108">
                  <c:v>31.08</c:v>
                </c:pt>
                <c:pt idx="13109">
                  <c:v>31.09</c:v>
                </c:pt>
                <c:pt idx="13110">
                  <c:v>31.1</c:v>
                </c:pt>
                <c:pt idx="13111">
                  <c:v>31.11</c:v>
                </c:pt>
                <c:pt idx="13112">
                  <c:v>31.12</c:v>
                </c:pt>
                <c:pt idx="13113">
                  <c:v>31.13</c:v>
                </c:pt>
                <c:pt idx="13114">
                  <c:v>31.14</c:v>
                </c:pt>
                <c:pt idx="13115">
                  <c:v>31.15</c:v>
                </c:pt>
                <c:pt idx="13116">
                  <c:v>31.16</c:v>
                </c:pt>
                <c:pt idx="13117">
                  <c:v>31.17</c:v>
                </c:pt>
                <c:pt idx="13118">
                  <c:v>31.18</c:v>
                </c:pt>
                <c:pt idx="13119">
                  <c:v>31.19</c:v>
                </c:pt>
                <c:pt idx="13120">
                  <c:v>31.2</c:v>
                </c:pt>
                <c:pt idx="13121">
                  <c:v>31.21</c:v>
                </c:pt>
                <c:pt idx="13122">
                  <c:v>31.22</c:v>
                </c:pt>
                <c:pt idx="13123">
                  <c:v>31.23</c:v>
                </c:pt>
                <c:pt idx="13124">
                  <c:v>31.24</c:v>
                </c:pt>
                <c:pt idx="13125">
                  <c:v>31.25</c:v>
                </c:pt>
                <c:pt idx="13126">
                  <c:v>31.26</c:v>
                </c:pt>
                <c:pt idx="13127">
                  <c:v>31.27</c:v>
                </c:pt>
                <c:pt idx="13128">
                  <c:v>31.28</c:v>
                </c:pt>
                <c:pt idx="13129">
                  <c:v>31.29</c:v>
                </c:pt>
                <c:pt idx="13130">
                  <c:v>31.3</c:v>
                </c:pt>
                <c:pt idx="13131">
                  <c:v>31.31</c:v>
                </c:pt>
                <c:pt idx="13132">
                  <c:v>31.32</c:v>
                </c:pt>
                <c:pt idx="13133">
                  <c:v>31.33</c:v>
                </c:pt>
                <c:pt idx="13134">
                  <c:v>31.34</c:v>
                </c:pt>
                <c:pt idx="13135">
                  <c:v>31.35</c:v>
                </c:pt>
                <c:pt idx="13136">
                  <c:v>31.36</c:v>
                </c:pt>
                <c:pt idx="13137">
                  <c:v>31.37</c:v>
                </c:pt>
                <c:pt idx="13138">
                  <c:v>31.38</c:v>
                </c:pt>
                <c:pt idx="13139">
                  <c:v>31.39</c:v>
                </c:pt>
                <c:pt idx="13140">
                  <c:v>31.4</c:v>
                </c:pt>
                <c:pt idx="13141">
                  <c:v>31.41</c:v>
                </c:pt>
                <c:pt idx="13142">
                  <c:v>31.42</c:v>
                </c:pt>
                <c:pt idx="13143">
                  <c:v>31.43</c:v>
                </c:pt>
                <c:pt idx="13144">
                  <c:v>31.44</c:v>
                </c:pt>
                <c:pt idx="13145">
                  <c:v>31.45</c:v>
                </c:pt>
                <c:pt idx="13146">
                  <c:v>31.46</c:v>
                </c:pt>
                <c:pt idx="13147">
                  <c:v>31.47</c:v>
                </c:pt>
                <c:pt idx="13148">
                  <c:v>31.48</c:v>
                </c:pt>
                <c:pt idx="13149">
                  <c:v>31.49</c:v>
                </c:pt>
                <c:pt idx="13150">
                  <c:v>31.5</c:v>
                </c:pt>
                <c:pt idx="13151">
                  <c:v>31.51</c:v>
                </c:pt>
                <c:pt idx="13152">
                  <c:v>31.52</c:v>
                </c:pt>
                <c:pt idx="13153">
                  <c:v>31.53</c:v>
                </c:pt>
                <c:pt idx="13154">
                  <c:v>31.54</c:v>
                </c:pt>
                <c:pt idx="13155">
                  <c:v>31.55</c:v>
                </c:pt>
                <c:pt idx="13156">
                  <c:v>31.56</c:v>
                </c:pt>
                <c:pt idx="13157">
                  <c:v>31.57</c:v>
                </c:pt>
                <c:pt idx="13158">
                  <c:v>31.58</c:v>
                </c:pt>
                <c:pt idx="13159">
                  <c:v>31.59</c:v>
                </c:pt>
                <c:pt idx="13160">
                  <c:v>31.6</c:v>
                </c:pt>
                <c:pt idx="13161">
                  <c:v>31.61</c:v>
                </c:pt>
                <c:pt idx="13162">
                  <c:v>31.62</c:v>
                </c:pt>
                <c:pt idx="13163">
                  <c:v>31.63</c:v>
                </c:pt>
                <c:pt idx="13164">
                  <c:v>31.64</c:v>
                </c:pt>
                <c:pt idx="13165">
                  <c:v>31.65</c:v>
                </c:pt>
                <c:pt idx="13166">
                  <c:v>31.66</c:v>
                </c:pt>
                <c:pt idx="13167">
                  <c:v>31.67</c:v>
                </c:pt>
                <c:pt idx="13168">
                  <c:v>31.68</c:v>
                </c:pt>
                <c:pt idx="13169">
                  <c:v>31.69</c:v>
                </c:pt>
                <c:pt idx="13170">
                  <c:v>31.7</c:v>
                </c:pt>
                <c:pt idx="13171">
                  <c:v>31.71</c:v>
                </c:pt>
                <c:pt idx="13172">
                  <c:v>31.72</c:v>
                </c:pt>
                <c:pt idx="13173">
                  <c:v>31.73</c:v>
                </c:pt>
                <c:pt idx="13174">
                  <c:v>31.74</c:v>
                </c:pt>
                <c:pt idx="13175">
                  <c:v>31.75</c:v>
                </c:pt>
                <c:pt idx="13176">
                  <c:v>31.76</c:v>
                </c:pt>
                <c:pt idx="13177">
                  <c:v>31.77</c:v>
                </c:pt>
                <c:pt idx="13178">
                  <c:v>31.78</c:v>
                </c:pt>
                <c:pt idx="13179">
                  <c:v>31.79</c:v>
                </c:pt>
                <c:pt idx="13180">
                  <c:v>31.8</c:v>
                </c:pt>
                <c:pt idx="13181">
                  <c:v>31.81</c:v>
                </c:pt>
                <c:pt idx="13182">
                  <c:v>31.82</c:v>
                </c:pt>
                <c:pt idx="13183">
                  <c:v>31.83</c:v>
                </c:pt>
                <c:pt idx="13184">
                  <c:v>31.84</c:v>
                </c:pt>
                <c:pt idx="13185">
                  <c:v>31.85</c:v>
                </c:pt>
                <c:pt idx="13186">
                  <c:v>31.86</c:v>
                </c:pt>
                <c:pt idx="13187">
                  <c:v>31.87</c:v>
                </c:pt>
                <c:pt idx="13188">
                  <c:v>31.88</c:v>
                </c:pt>
                <c:pt idx="13189">
                  <c:v>31.89</c:v>
                </c:pt>
                <c:pt idx="13190">
                  <c:v>31.9</c:v>
                </c:pt>
                <c:pt idx="13191">
                  <c:v>31.91</c:v>
                </c:pt>
                <c:pt idx="13192">
                  <c:v>31.92</c:v>
                </c:pt>
                <c:pt idx="13193">
                  <c:v>31.93</c:v>
                </c:pt>
                <c:pt idx="13194">
                  <c:v>31.94</c:v>
                </c:pt>
                <c:pt idx="13195">
                  <c:v>31.95</c:v>
                </c:pt>
                <c:pt idx="13196">
                  <c:v>31.96</c:v>
                </c:pt>
                <c:pt idx="13197">
                  <c:v>31.97</c:v>
                </c:pt>
                <c:pt idx="13198">
                  <c:v>31.98</c:v>
                </c:pt>
                <c:pt idx="13199">
                  <c:v>31.99</c:v>
                </c:pt>
                <c:pt idx="13200">
                  <c:v>32.0</c:v>
                </c:pt>
                <c:pt idx="13201">
                  <c:v>32.01</c:v>
                </c:pt>
                <c:pt idx="13202">
                  <c:v>32.02</c:v>
                </c:pt>
                <c:pt idx="13203">
                  <c:v>32.03</c:v>
                </c:pt>
                <c:pt idx="13204">
                  <c:v>32.04</c:v>
                </c:pt>
                <c:pt idx="13205">
                  <c:v>32.05</c:v>
                </c:pt>
                <c:pt idx="13206">
                  <c:v>32.06</c:v>
                </c:pt>
                <c:pt idx="13207">
                  <c:v>32.07</c:v>
                </c:pt>
                <c:pt idx="13208">
                  <c:v>32.08</c:v>
                </c:pt>
                <c:pt idx="13209">
                  <c:v>32.09</c:v>
                </c:pt>
                <c:pt idx="13210">
                  <c:v>32.1</c:v>
                </c:pt>
                <c:pt idx="13211">
                  <c:v>32.11</c:v>
                </c:pt>
                <c:pt idx="13212">
                  <c:v>32.12</c:v>
                </c:pt>
                <c:pt idx="13213">
                  <c:v>32.13</c:v>
                </c:pt>
                <c:pt idx="13214">
                  <c:v>32.14</c:v>
                </c:pt>
                <c:pt idx="13215">
                  <c:v>32.15</c:v>
                </c:pt>
                <c:pt idx="13216">
                  <c:v>32.16</c:v>
                </c:pt>
                <c:pt idx="13217">
                  <c:v>32.17</c:v>
                </c:pt>
                <c:pt idx="13218">
                  <c:v>32.18</c:v>
                </c:pt>
                <c:pt idx="13219">
                  <c:v>32.19</c:v>
                </c:pt>
                <c:pt idx="13220">
                  <c:v>32.2</c:v>
                </c:pt>
                <c:pt idx="13221">
                  <c:v>32.21</c:v>
                </c:pt>
                <c:pt idx="13222">
                  <c:v>32.22</c:v>
                </c:pt>
                <c:pt idx="13223">
                  <c:v>32.23</c:v>
                </c:pt>
                <c:pt idx="13224">
                  <c:v>32.24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32.27</c:v>
                </c:pt>
                <c:pt idx="13228">
                  <c:v>32.28</c:v>
                </c:pt>
                <c:pt idx="13229">
                  <c:v>32.29</c:v>
                </c:pt>
                <c:pt idx="13230">
                  <c:v>32.3</c:v>
                </c:pt>
                <c:pt idx="13231">
                  <c:v>32.31</c:v>
                </c:pt>
                <c:pt idx="13232">
                  <c:v>32.32</c:v>
                </c:pt>
                <c:pt idx="13233">
                  <c:v>32.33</c:v>
                </c:pt>
                <c:pt idx="13234">
                  <c:v>32.34</c:v>
                </c:pt>
                <c:pt idx="13235">
                  <c:v>32.35</c:v>
                </c:pt>
                <c:pt idx="13236">
                  <c:v>32.36</c:v>
                </c:pt>
                <c:pt idx="13237">
                  <c:v>32.37</c:v>
                </c:pt>
                <c:pt idx="13238">
                  <c:v>32.38</c:v>
                </c:pt>
                <c:pt idx="13239">
                  <c:v>32.39</c:v>
                </c:pt>
                <c:pt idx="13240">
                  <c:v>32.4</c:v>
                </c:pt>
                <c:pt idx="13241">
                  <c:v>32.41</c:v>
                </c:pt>
                <c:pt idx="13242">
                  <c:v>32.42</c:v>
                </c:pt>
                <c:pt idx="13243">
                  <c:v>32.43</c:v>
                </c:pt>
                <c:pt idx="13244">
                  <c:v>32.44</c:v>
                </c:pt>
                <c:pt idx="13245">
                  <c:v>32.45</c:v>
                </c:pt>
                <c:pt idx="13246">
                  <c:v>32.46</c:v>
                </c:pt>
                <c:pt idx="13247">
                  <c:v>32.47</c:v>
                </c:pt>
                <c:pt idx="13248">
                  <c:v>32.48</c:v>
                </c:pt>
                <c:pt idx="13249">
                  <c:v>32.49</c:v>
                </c:pt>
                <c:pt idx="13250">
                  <c:v>32.5</c:v>
                </c:pt>
                <c:pt idx="13251">
                  <c:v>32.51</c:v>
                </c:pt>
                <c:pt idx="13252">
                  <c:v>32.52</c:v>
                </c:pt>
                <c:pt idx="13253">
                  <c:v>32.53</c:v>
                </c:pt>
                <c:pt idx="13254">
                  <c:v>32.54</c:v>
                </c:pt>
                <c:pt idx="13255">
                  <c:v>32.55</c:v>
                </c:pt>
                <c:pt idx="13256">
                  <c:v>32.56</c:v>
                </c:pt>
                <c:pt idx="13257">
                  <c:v>32.57</c:v>
                </c:pt>
                <c:pt idx="13258">
                  <c:v>32.58</c:v>
                </c:pt>
                <c:pt idx="13259">
                  <c:v>32.59</c:v>
                </c:pt>
                <c:pt idx="13260">
                  <c:v>32.6</c:v>
                </c:pt>
                <c:pt idx="13261">
                  <c:v>32.61</c:v>
                </c:pt>
                <c:pt idx="13262">
                  <c:v>32.62</c:v>
                </c:pt>
                <c:pt idx="13263">
                  <c:v>32.63</c:v>
                </c:pt>
                <c:pt idx="13264">
                  <c:v>32.64</c:v>
                </c:pt>
                <c:pt idx="13265">
                  <c:v>32.65</c:v>
                </c:pt>
                <c:pt idx="13266">
                  <c:v>32.66</c:v>
                </c:pt>
                <c:pt idx="13267">
                  <c:v>32.67</c:v>
                </c:pt>
                <c:pt idx="13268">
                  <c:v>32.68</c:v>
                </c:pt>
                <c:pt idx="13269">
                  <c:v>32.69</c:v>
                </c:pt>
                <c:pt idx="13270">
                  <c:v>32.7</c:v>
                </c:pt>
                <c:pt idx="13271">
                  <c:v>32.71</c:v>
                </c:pt>
                <c:pt idx="13272">
                  <c:v>32.72</c:v>
                </c:pt>
                <c:pt idx="13273">
                  <c:v>32.73</c:v>
                </c:pt>
                <c:pt idx="13274">
                  <c:v>32.74</c:v>
                </c:pt>
                <c:pt idx="13275">
                  <c:v>32.75</c:v>
                </c:pt>
                <c:pt idx="13276">
                  <c:v>32.76</c:v>
                </c:pt>
                <c:pt idx="13277">
                  <c:v>32.77</c:v>
                </c:pt>
                <c:pt idx="13278">
                  <c:v>32.78</c:v>
                </c:pt>
                <c:pt idx="13279">
                  <c:v>32.79</c:v>
                </c:pt>
                <c:pt idx="13280">
                  <c:v>32.8</c:v>
                </c:pt>
                <c:pt idx="13281">
                  <c:v>32.81</c:v>
                </c:pt>
                <c:pt idx="13282">
                  <c:v>32.82</c:v>
                </c:pt>
                <c:pt idx="13283">
                  <c:v>32.83</c:v>
                </c:pt>
                <c:pt idx="13284">
                  <c:v>32.84</c:v>
                </c:pt>
                <c:pt idx="13285">
                  <c:v>32.85</c:v>
                </c:pt>
                <c:pt idx="13286">
                  <c:v>32.86</c:v>
                </c:pt>
                <c:pt idx="13287">
                  <c:v>32.87</c:v>
                </c:pt>
                <c:pt idx="13288">
                  <c:v>32.88</c:v>
                </c:pt>
                <c:pt idx="13289">
                  <c:v>32.89</c:v>
                </c:pt>
                <c:pt idx="13290">
                  <c:v>32.9</c:v>
                </c:pt>
                <c:pt idx="13291">
                  <c:v>32.91</c:v>
                </c:pt>
                <c:pt idx="13292">
                  <c:v>32.92</c:v>
                </c:pt>
                <c:pt idx="13293">
                  <c:v>32.93</c:v>
                </c:pt>
                <c:pt idx="13294">
                  <c:v>32.94</c:v>
                </c:pt>
                <c:pt idx="13295">
                  <c:v>32.95</c:v>
                </c:pt>
                <c:pt idx="13296">
                  <c:v>32.96</c:v>
                </c:pt>
                <c:pt idx="13297">
                  <c:v>32.97</c:v>
                </c:pt>
                <c:pt idx="13298">
                  <c:v>32.98</c:v>
                </c:pt>
                <c:pt idx="13299">
                  <c:v>32.99</c:v>
                </c:pt>
                <c:pt idx="13300">
                  <c:v>33.0</c:v>
                </c:pt>
                <c:pt idx="13301">
                  <c:v>33.01</c:v>
                </c:pt>
                <c:pt idx="13302">
                  <c:v>33.02</c:v>
                </c:pt>
                <c:pt idx="13303">
                  <c:v>33.03</c:v>
                </c:pt>
                <c:pt idx="13304">
                  <c:v>33.04</c:v>
                </c:pt>
                <c:pt idx="13305">
                  <c:v>33.05</c:v>
                </c:pt>
                <c:pt idx="13306">
                  <c:v>33.06</c:v>
                </c:pt>
                <c:pt idx="13307">
                  <c:v>33.07</c:v>
                </c:pt>
                <c:pt idx="13308">
                  <c:v>33.08</c:v>
                </c:pt>
                <c:pt idx="13309">
                  <c:v>33.09</c:v>
                </c:pt>
                <c:pt idx="13310">
                  <c:v>33.1</c:v>
                </c:pt>
                <c:pt idx="13311">
                  <c:v>33.11</c:v>
                </c:pt>
                <c:pt idx="13312">
                  <c:v>33.12</c:v>
                </c:pt>
                <c:pt idx="13313">
                  <c:v>33.13</c:v>
                </c:pt>
                <c:pt idx="13314">
                  <c:v>33.14</c:v>
                </c:pt>
                <c:pt idx="13315">
                  <c:v>33.15</c:v>
                </c:pt>
                <c:pt idx="13316">
                  <c:v>33.16</c:v>
                </c:pt>
                <c:pt idx="13317">
                  <c:v>33.17</c:v>
                </c:pt>
                <c:pt idx="13318">
                  <c:v>33.18</c:v>
                </c:pt>
                <c:pt idx="13319">
                  <c:v>33.19</c:v>
                </c:pt>
                <c:pt idx="13320">
                  <c:v>33.2</c:v>
                </c:pt>
                <c:pt idx="13321">
                  <c:v>33.21</c:v>
                </c:pt>
                <c:pt idx="13322">
                  <c:v>33.22</c:v>
                </c:pt>
                <c:pt idx="13323">
                  <c:v>33.23</c:v>
                </c:pt>
                <c:pt idx="13324">
                  <c:v>33.24</c:v>
                </c:pt>
                <c:pt idx="13325">
                  <c:v>33.25</c:v>
                </c:pt>
                <c:pt idx="13326">
                  <c:v>33.26</c:v>
                </c:pt>
                <c:pt idx="13327">
                  <c:v>33.27</c:v>
                </c:pt>
                <c:pt idx="13328">
                  <c:v>33.28</c:v>
                </c:pt>
                <c:pt idx="13329">
                  <c:v>33.29</c:v>
                </c:pt>
                <c:pt idx="13330">
                  <c:v>33.3</c:v>
                </c:pt>
                <c:pt idx="13331">
                  <c:v>33.31</c:v>
                </c:pt>
                <c:pt idx="13332">
                  <c:v>33.32</c:v>
                </c:pt>
                <c:pt idx="13333">
                  <c:v>33.33</c:v>
                </c:pt>
                <c:pt idx="13334">
                  <c:v>33.34</c:v>
                </c:pt>
                <c:pt idx="13335">
                  <c:v>33.35</c:v>
                </c:pt>
                <c:pt idx="13336">
                  <c:v>33.36</c:v>
                </c:pt>
                <c:pt idx="13337">
                  <c:v>33.37</c:v>
                </c:pt>
                <c:pt idx="13338">
                  <c:v>33.38</c:v>
                </c:pt>
                <c:pt idx="13339">
                  <c:v>33.39</c:v>
                </c:pt>
                <c:pt idx="13340">
                  <c:v>33.4</c:v>
                </c:pt>
                <c:pt idx="13341">
                  <c:v>33.41</c:v>
                </c:pt>
                <c:pt idx="13342">
                  <c:v>33.42</c:v>
                </c:pt>
                <c:pt idx="13343">
                  <c:v>33.43</c:v>
                </c:pt>
                <c:pt idx="13344">
                  <c:v>33.44</c:v>
                </c:pt>
                <c:pt idx="13345">
                  <c:v>33.45</c:v>
                </c:pt>
                <c:pt idx="13346">
                  <c:v>33.46</c:v>
                </c:pt>
                <c:pt idx="13347">
                  <c:v>33.47</c:v>
                </c:pt>
                <c:pt idx="13348">
                  <c:v>33.48</c:v>
                </c:pt>
                <c:pt idx="13349">
                  <c:v>33.49</c:v>
                </c:pt>
                <c:pt idx="13350">
                  <c:v>33.5</c:v>
                </c:pt>
                <c:pt idx="13351">
                  <c:v>33.51</c:v>
                </c:pt>
                <c:pt idx="13352">
                  <c:v>33.52</c:v>
                </c:pt>
                <c:pt idx="13353">
                  <c:v>33.53</c:v>
                </c:pt>
                <c:pt idx="13354">
                  <c:v>33.54</c:v>
                </c:pt>
                <c:pt idx="13355">
                  <c:v>33.55</c:v>
                </c:pt>
                <c:pt idx="13356">
                  <c:v>33.56</c:v>
                </c:pt>
                <c:pt idx="13357">
                  <c:v>33.57</c:v>
                </c:pt>
                <c:pt idx="13358">
                  <c:v>33.58</c:v>
                </c:pt>
                <c:pt idx="13359">
                  <c:v>33.59</c:v>
                </c:pt>
                <c:pt idx="13360">
                  <c:v>33.6</c:v>
                </c:pt>
                <c:pt idx="13361">
                  <c:v>33.61</c:v>
                </c:pt>
                <c:pt idx="13362">
                  <c:v>33.62</c:v>
                </c:pt>
                <c:pt idx="13363">
                  <c:v>33.63</c:v>
                </c:pt>
                <c:pt idx="13364">
                  <c:v>33.64</c:v>
                </c:pt>
                <c:pt idx="13365">
                  <c:v>33.65</c:v>
                </c:pt>
                <c:pt idx="13366">
                  <c:v>33.66</c:v>
                </c:pt>
                <c:pt idx="13367">
                  <c:v>33.67</c:v>
                </c:pt>
                <c:pt idx="13368">
                  <c:v>33.68</c:v>
                </c:pt>
                <c:pt idx="13369">
                  <c:v>33.69</c:v>
                </c:pt>
                <c:pt idx="13370">
                  <c:v>33.7</c:v>
                </c:pt>
                <c:pt idx="13371">
                  <c:v>33.71</c:v>
                </c:pt>
                <c:pt idx="13372">
                  <c:v>33.72</c:v>
                </c:pt>
                <c:pt idx="13373">
                  <c:v>33.73</c:v>
                </c:pt>
                <c:pt idx="13374">
                  <c:v>33.74</c:v>
                </c:pt>
                <c:pt idx="13375">
                  <c:v>33.75</c:v>
                </c:pt>
                <c:pt idx="13376">
                  <c:v>33.76</c:v>
                </c:pt>
                <c:pt idx="13377">
                  <c:v>33.77</c:v>
                </c:pt>
                <c:pt idx="13378">
                  <c:v>33.78</c:v>
                </c:pt>
                <c:pt idx="13379">
                  <c:v>33.79</c:v>
                </c:pt>
                <c:pt idx="13380">
                  <c:v>33.8</c:v>
                </c:pt>
                <c:pt idx="13381">
                  <c:v>33.81</c:v>
                </c:pt>
                <c:pt idx="13382">
                  <c:v>33.82</c:v>
                </c:pt>
                <c:pt idx="13383">
                  <c:v>33.83</c:v>
                </c:pt>
                <c:pt idx="13384">
                  <c:v>33.84</c:v>
                </c:pt>
                <c:pt idx="13385">
                  <c:v>33.85</c:v>
                </c:pt>
                <c:pt idx="13386">
                  <c:v>33.86</c:v>
                </c:pt>
                <c:pt idx="13387">
                  <c:v>33.87</c:v>
                </c:pt>
                <c:pt idx="13388">
                  <c:v>33.88</c:v>
                </c:pt>
                <c:pt idx="13389">
                  <c:v>33.89</c:v>
                </c:pt>
                <c:pt idx="13390">
                  <c:v>33.9</c:v>
                </c:pt>
                <c:pt idx="13391">
                  <c:v>33.91</c:v>
                </c:pt>
                <c:pt idx="13392">
                  <c:v>33.92</c:v>
                </c:pt>
                <c:pt idx="13393">
                  <c:v>33.93</c:v>
                </c:pt>
                <c:pt idx="13394">
                  <c:v>33.94</c:v>
                </c:pt>
                <c:pt idx="13395">
                  <c:v>33.95</c:v>
                </c:pt>
                <c:pt idx="13396">
                  <c:v>33.96</c:v>
                </c:pt>
                <c:pt idx="13397">
                  <c:v>33.97</c:v>
                </c:pt>
                <c:pt idx="13398">
                  <c:v>33.98</c:v>
                </c:pt>
                <c:pt idx="13399">
                  <c:v>33.99</c:v>
                </c:pt>
                <c:pt idx="13400">
                  <c:v>34.0</c:v>
                </c:pt>
                <c:pt idx="13401">
                  <c:v>34.01</c:v>
                </c:pt>
                <c:pt idx="13402">
                  <c:v>34.02</c:v>
                </c:pt>
                <c:pt idx="13403">
                  <c:v>34.03</c:v>
                </c:pt>
                <c:pt idx="13404">
                  <c:v>34.04</c:v>
                </c:pt>
                <c:pt idx="13405">
                  <c:v>34.05</c:v>
                </c:pt>
                <c:pt idx="13406">
                  <c:v>34.06</c:v>
                </c:pt>
                <c:pt idx="13407">
                  <c:v>34.07</c:v>
                </c:pt>
                <c:pt idx="13408">
                  <c:v>34.08</c:v>
                </c:pt>
                <c:pt idx="13409">
                  <c:v>34.09</c:v>
                </c:pt>
                <c:pt idx="13410">
                  <c:v>34.1</c:v>
                </c:pt>
                <c:pt idx="13411">
                  <c:v>34.11</c:v>
                </c:pt>
                <c:pt idx="13412">
                  <c:v>34.12</c:v>
                </c:pt>
                <c:pt idx="13413">
                  <c:v>34.13</c:v>
                </c:pt>
                <c:pt idx="13414">
                  <c:v>34.14</c:v>
                </c:pt>
                <c:pt idx="13415">
                  <c:v>34.15</c:v>
                </c:pt>
                <c:pt idx="13416">
                  <c:v>34.16</c:v>
                </c:pt>
                <c:pt idx="13417">
                  <c:v>34.17</c:v>
                </c:pt>
                <c:pt idx="13418">
                  <c:v>34.18</c:v>
                </c:pt>
                <c:pt idx="13419">
                  <c:v>34.19</c:v>
                </c:pt>
                <c:pt idx="13420">
                  <c:v>34.2</c:v>
                </c:pt>
                <c:pt idx="13421">
                  <c:v>34.21</c:v>
                </c:pt>
                <c:pt idx="13422">
                  <c:v>34.22</c:v>
                </c:pt>
                <c:pt idx="13423">
                  <c:v>34.23</c:v>
                </c:pt>
                <c:pt idx="13424">
                  <c:v>34.24</c:v>
                </c:pt>
                <c:pt idx="13425">
                  <c:v>34.25</c:v>
                </c:pt>
                <c:pt idx="13426">
                  <c:v>34.26</c:v>
                </c:pt>
                <c:pt idx="13427">
                  <c:v>34.27</c:v>
                </c:pt>
                <c:pt idx="13428">
                  <c:v>34.28</c:v>
                </c:pt>
                <c:pt idx="13429">
                  <c:v>34.29</c:v>
                </c:pt>
                <c:pt idx="13430">
                  <c:v>34.3</c:v>
                </c:pt>
                <c:pt idx="13431">
                  <c:v>34.31</c:v>
                </c:pt>
                <c:pt idx="13432">
                  <c:v>34.32</c:v>
                </c:pt>
                <c:pt idx="13433">
                  <c:v>34.33</c:v>
                </c:pt>
                <c:pt idx="13434">
                  <c:v>34.34</c:v>
                </c:pt>
                <c:pt idx="13435">
                  <c:v>34.35</c:v>
                </c:pt>
                <c:pt idx="13436">
                  <c:v>34.36</c:v>
                </c:pt>
                <c:pt idx="13437">
                  <c:v>34.37</c:v>
                </c:pt>
                <c:pt idx="13438">
                  <c:v>34.38</c:v>
                </c:pt>
                <c:pt idx="13439">
                  <c:v>34.39</c:v>
                </c:pt>
                <c:pt idx="13440">
                  <c:v>34.4</c:v>
                </c:pt>
                <c:pt idx="13441">
                  <c:v>34.41</c:v>
                </c:pt>
                <c:pt idx="13442">
                  <c:v>34.42</c:v>
                </c:pt>
                <c:pt idx="13443">
                  <c:v>34.43</c:v>
                </c:pt>
                <c:pt idx="13444">
                  <c:v>34.44</c:v>
                </c:pt>
                <c:pt idx="13445">
                  <c:v>34.45</c:v>
                </c:pt>
                <c:pt idx="13446">
                  <c:v>34.46</c:v>
                </c:pt>
                <c:pt idx="13447">
                  <c:v>34.47</c:v>
                </c:pt>
                <c:pt idx="13448">
                  <c:v>34.48</c:v>
                </c:pt>
                <c:pt idx="13449">
                  <c:v>34.49</c:v>
                </c:pt>
                <c:pt idx="13450">
                  <c:v>34.5</c:v>
                </c:pt>
                <c:pt idx="13451">
                  <c:v>34.51</c:v>
                </c:pt>
                <c:pt idx="13452">
                  <c:v>34.52</c:v>
                </c:pt>
                <c:pt idx="13453">
                  <c:v>34.53</c:v>
                </c:pt>
                <c:pt idx="13454">
                  <c:v>34.54</c:v>
                </c:pt>
                <c:pt idx="13455">
                  <c:v>34.55</c:v>
                </c:pt>
                <c:pt idx="13456">
                  <c:v>34.56</c:v>
                </c:pt>
                <c:pt idx="13457">
                  <c:v>34.57</c:v>
                </c:pt>
                <c:pt idx="13458">
                  <c:v>34.58</c:v>
                </c:pt>
                <c:pt idx="13459">
                  <c:v>34.59</c:v>
                </c:pt>
                <c:pt idx="13460">
                  <c:v>34.6</c:v>
                </c:pt>
                <c:pt idx="13461">
                  <c:v>34.61</c:v>
                </c:pt>
                <c:pt idx="13462">
                  <c:v>34.62</c:v>
                </c:pt>
                <c:pt idx="13463">
                  <c:v>34.63</c:v>
                </c:pt>
                <c:pt idx="13464">
                  <c:v>34.64</c:v>
                </c:pt>
                <c:pt idx="13465">
                  <c:v>34.65</c:v>
                </c:pt>
                <c:pt idx="13466">
                  <c:v>34.66</c:v>
                </c:pt>
                <c:pt idx="13467">
                  <c:v>34.67</c:v>
                </c:pt>
                <c:pt idx="13468">
                  <c:v>34.68</c:v>
                </c:pt>
                <c:pt idx="13469">
                  <c:v>34.69</c:v>
                </c:pt>
                <c:pt idx="13470">
                  <c:v>34.7</c:v>
                </c:pt>
                <c:pt idx="13471">
                  <c:v>34.71</c:v>
                </c:pt>
                <c:pt idx="13472">
                  <c:v>34.72</c:v>
                </c:pt>
                <c:pt idx="13473">
                  <c:v>34.73</c:v>
                </c:pt>
                <c:pt idx="13474">
                  <c:v>34.74</c:v>
                </c:pt>
                <c:pt idx="13475">
                  <c:v>34.75</c:v>
                </c:pt>
                <c:pt idx="13476">
                  <c:v>34.76</c:v>
                </c:pt>
                <c:pt idx="13477">
                  <c:v>34.77</c:v>
                </c:pt>
                <c:pt idx="13478">
                  <c:v>34.78</c:v>
                </c:pt>
                <c:pt idx="13479">
                  <c:v>34.79</c:v>
                </c:pt>
                <c:pt idx="13480">
                  <c:v>34.8</c:v>
                </c:pt>
                <c:pt idx="13481">
                  <c:v>34.81</c:v>
                </c:pt>
                <c:pt idx="13482">
                  <c:v>34.82</c:v>
                </c:pt>
                <c:pt idx="13483">
                  <c:v>34.83</c:v>
                </c:pt>
                <c:pt idx="13484">
                  <c:v>34.84</c:v>
                </c:pt>
                <c:pt idx="13485">
                  <c:v>34.85</c:v>
                </c:pt>
                <c:pt idx="13486">
                  <c:v>34.86</c:v>
                </c:pt>
                <c:pt idx="13487">
                  <c:v>34.87</c:v>
                </c:pt>
                <c:pt idx="13488">
                  <c:v>34.88</c:v>
                </c:pt>
                <c:pt idx="13489">
                  <c:v>34.89</c:v>
                </c:pt>
                <c:pt idx="13490">
                  <c:v>34.9</c:v>
                </c:pt>
                <c:pt idx="13491">
                  <c:v>34.91</c:v>
                </c:pt>
                <c:pt idx="13492">
                  <c:v>34.92</c:v>
                </c:pt>
                <c:pt idx="13493">
                  <c:v>34.93</c:v>
                </c:pt>
                <c:pt idx="13494">
                  <c:v>34.94</c:v>
                </c:pt>
                <c:pt idx="13495">
                  <c:v>34.95</c:v>
                </c:pt>
                <c:pt idx="13496">
                  <c:v>34.96</c:v>
                </c:pt>
                <c:pt idx="13497">
                  <c:v>34.97</c:v>
                </c:pt>
                <c:pt idx="13498">
                  <c:v>34.98</c:v>
                </c:pt>
                <c:pt idx="13499">
                  <c:v>34.99</c:v>
                </c:pt>
                <c:pt idx="13500">
                  <c:v>35.0</c:v>
                </c:pt>
                <c:pt idx="13501">
                  <c:v>35.01</c:v>
                </c:pt>
                <c:pt idx="13502">
                  <c:v>35.02</c:v>
                </c:pt>
                <c:pt idx="13503">
                  <c:v>35.03</c:v>
                </c:pt>
                <c:pt idx="13504">
                  <c:v>35.04</c:v>
                </c:pt>
                <c:pt idx="13505">
                  <c:v>35.05</c:v>
                </c:pt>
                <c:pt idx="13506">
                  <c:v>35.06</c:v>
                </c:pt>
                <c:pt idx="13507">
                  <c:v>35.07</c:v>
                </c:pt>
                <c:pt idx="13508">
                  <c:v>35.08</c:v>
                </c:pt>
                <c:pt idx="13509">
                  <c:v>35.09</c:v>
                </c:pt>
                <c:pt idx="13510">
                  <c:v>35.1</c:v>
                </c:pt>
                <c:pt idx="13511">
                  <c:v>35.11</c:v>
                </c:pt>
                <c:pt idx="13512">
                  <c:v>35.12</c:v>
                </c:pt>
                <c:pt idx="13513">
                  <c:v>35.13</c:v>
                </c:pt>
                <c:pt idx="13514">
                  <c:v>35.14</c:v>
                </c:pt>
                <c:pt idx="13515">
                  <c:v>35.15</c:v>
                </c:pt>
                <c:pt idx="13516">
                  <c:v>35.16</c:v>
                </c:pt>
                <c:pt idx="13517">
                  <c:v>35.17</c:v>
                </c:pt>
                <c:pt idx="13518">
                  <c:v>35.18</c:v>
                </c:pt>
                <c:pt idx="13519">
                  <c:v>35.19</c:v>
                </c:pt>
                <c:pt idx="13520">
                  <c:v>35.2</c:v>
                </c:pt>
                <c:pt idx="13521">
                  <c:v>35.21</c:v>
                </c:pt>
                <c:pt idx="13522">
                  <c:v>35.22</c:v>
                </c:pt>
                <c:pt idx="13523">
                  <c:v>35.23</c:v>
                </c:pt>
                <c:pt idx="13524">
                  <c:v>35.24</c:v>
                </c:pt>
                <c:pt idx="13525">
                  <c:v>35.25</c:v>
                </c:pt>
                <c:pt idx="13526">
                  <c:v>35.26</c:v>
                </c:pt>
                <c:pt idx="13527">
                  <c:v>35.27</c:v>
                </c:pt>
                <c:pt idx="13528">
                  <c:v>35.28</c:v>
                </c:pt>
                <c:pt idx="13529">
                  <c:v>35.29</c:v>
                </c:pt>
                <c:pt idx="13530">
                  <c:v>35.3</c:v>
                </c:pt>
                <c:pt idx="13531">
                  <c:v>35.31</c:v>
                </c:pt>
                <c:pt idx="13532">
                  <c:v>35.32</c:v>
                </c:pt>
                <c:pt idx="13533">
                  <c:v>35.33</c:v>
                </c:pt>
                <c:pt idx="13534">
                  <c:v>35.34</c:v>
                </c:pt>
                <c:pt idx="13535">
                  <c:v>35.35</c:v>
                </c:pt>
                <c:pt idx="13536">
                  <c:v>35.36</c:v>
                </c:pt>
                <c:pt idx="13537">
                  <c:v>35.37</c:v>
                </c:pt>
                <c:pt idx="13538">
                  <c:v>35.38</c:v>
                </c:pt>
                <c:pt idx="13539">
                  <c:v>35.39</c:v>
                </c:pt>
                <c:pt idx="13540">
                  <c:v>35.4</c:v>
                </c:pt>
                <c:pt idx="13541">
                  <c:v>35.41</c:v>
                </c:pt>
                <c:pt idx="13542">
                  <c:v>35.42</c:v>
                </c:pt>
                <c:pt idx="13543">
                  <c:v>35.43</c:v>
                </c:pt>
                <c:pt idx="13544">
                  <c:v>35.44</c:v>
                </c:pt>
                <c:pt idx="13545">
                  <c:v>35.45</c:v>
                </c:pt>
                <c:pt idx="13546">
                  <c:v>35.46</c:v>
                </c:pt>
                <c:pt idx="13547">
                  <c:v>35.47</c:v>
                </c:pt>
                <c:pt idx="13548">
                  <c:v>35.48</c:v>
                </c:pt>
                <c:pt idx="13549">
                  <c:v>35.49</c:v>
                </c:pt>
                <c:pt idx="13550">
                  <c:v>35.5</c:v>
                </c:pt>
                <c:pt idx="13551">
                  <c:v>35.51</c:v>
                </c:pt>
                <c:pt idx="13552">
                  <c:v>35.52</c:v>
                </c:pt>
                <c:pt idx="13553">
                  <c:v>35.53</c:v>
                </c:pt>
                <c:pt idx="13554">
                  <c:v>35.54</c:v>
                </c:pt>
                <c:pt idx="13555">
                  <c:v>35.55</c:v>
                </c:pt>
                <c:pt idx="13556">
                  <c:v>35.56</c:v>
                </c:pt>
                <c:pt idx="13557">
                  <c:v>35.57</c:v>
                </c:pt>
                <c:pt idx="13558">
                  <c:v>35.58</c:v>
                </c:pt>
                <c:pt idx="13559">
                  <c:v>35.59</c:v>
                </c:pt>
                <c:pt idx="13560">
                  <c:v>35.6</c:v>
                </c:pt>
                <c:pt idx="13561">
                  <c:v>35.61</c:v>
                </c:pt>
                <c:pt idx="13562">
                  <c:v>35.62</c:v>
                </c:pt>
                <c:pt idx="13563">
                  <c:v>35.63</c:v>
                </c:pt>
                <c:pt idx="13564">
                  <c:v>35.64</c:v>
                </c:pt>
                <c:pt idx="13565">
                  <c:v>35.65</c:v>
                </c:pt>
                <c:pt idx="13566">
                  <c:v>35.66</c:v>
                </c:pt>
                <c:pt idx="13567">
                  <c:v>35.67</c:v>
                </c:pt>
                <c:pt idx="13568">
                  <c:v>35.68</c:v>
                </c:pt>
                <c:pt idx="13569">
                  <c:v>35.69</c:v>
                </c:pt>
                <c:pt idx="13570">
                  <c:v>35.7</c:v>
                </c:pt>
                <c:pt idx="13571">
                  <c:v>35.71</c:v>
                </c:pt>
                <c:pt idx="13572">
                  <c:v>35.72</c:v>
                </c:pt>
                <c:pt idx="13573">
                  <c:v>35.73</c:v>
                </c:pt>
                <c:pt idx="13574">
                  <c:v>35.74</c:v>
                </c:pt>
                <c:pt idx="13575">
                  <c:v>35.75</c:v>
                </c:pt>
                <c:pt idx="13576">
                  <c:v>35.76</c:v>
                </c:pt>
                <c:pt idx="13577">
                  <c:v>35.77</c:v>
                </c:pt>
                <c:pt idx="13578">
                  <c:v>35.78</c:v>
                </c:pt>
                <c:pt idx="13579">
                  <c:v>35.79</c:v>
                </c:pt>
                <c:pt idx="13580">
                  <c:v>35.8</c:v>
                </c:pt>
                <c:pt idx="13581">
                  <c:v>35.81</c:v>
                </c:pt>
                <c:pt idx="13582">
                  <c:v>35.82</c:v>
                </c:pt>
                <c:pt idx="13583">
                  <c:v>35.83</c:v>
                </c:pt>
                <c:pt idx="13584">
                  <c:v>35.84</c:v>
                </c:pt>
                <c:pt idx="13585">
                  <c:v>35.85</c:v>
                </c:pt>
                <c:pt idx="13586">
                  <c:v>35.86</c:v>
                </c:pt>
                <c:pt idx="13587">
                  <c:v>35.87</c:v>
                </c:pt>
                <c:pt idx="13588">
                  <c:v>35.88</c:v>
                </c:pt>
                <c:pt idx="13589">
                  <c:v>35.89</c:v>
                </c:pt>
                <c:pt idx="13590">
                  <c:v>35.9</c:v>
                </c:pt>
                <c:pt idx="13591">
                  <c:v>35.91</c:v>
                </c:pt>
                <c:pt idx="13592">
                  <c:v>35.92</c:v>
                </c:pt>
                <c:pt idx="13593">
                  <c:v>35.93</c:v>
                </c:pt>
                <c:pt idx="13594">
                  <c:v>35.94</c:v>
                </c:pt>
                <c:pt idx="13595">
                  <c:v>35.95</c:v>
                </c:pt>
                <c:pt idx="13596">
                  <c:v>35.96</c:v>
                </c:pt>
                <c:pt idx="13597">
                  <c:v>35.97</c:v>
                </c:pt>
                <c:pt idx="13598">
                  <c:v>35.98</c:v>
                </c:pt>
                <c:pt idx="13599">
                  <c:v>35.99</c:v>
                </c:pt>
                <c:pt idx="13600">
                  <c:v>36.0</c:v>
                </c:pt>
                <c:pt idx="13601">
                  <c:v>36.01</c:v>
                </c:pt>
                <c:pt idx="13602">
                  <c:v>36.02</c:v>
                </c:pt>
                <c:pt idx="13603">
                  <c:v>36.03</c:v>
                </c:pt>
                <c:pt idx="13604">
                  <c:v>36.04</c:v>
                </c:pt>
                <c:pt idx="13605">
                  <c:v>36.05</c:v>
                </c:pt>
                <c:pt idx="13606">
                  <c:v>36.06</c:v>
                </c:pt>
                <c:pt idx="13607">
                  <c:v>36.07</c:v>
                </c:pt>
                <c:pt idx="13608">
                  <c:v>36.08</c:v>
                </c:pt>
                <c:pt idx="13609">
                  <c:v>36.09</c:v>
                </c:pt>
                <c:pt idx="13610">
                  <c:v>36.1</c:v>
                </c:pt>
                <c:pt idx="13611">
                  <c:v>36.11</c:v>
                </c:pt>
                <c:pt idx="13612">
                  <c:v>36.12</c:v>
                </c:pt>
                <c:pt idx="13613">
                  <c:v>36.13</c:v>
                </c:pt>
                <c:pt idx="13614">
                  <c:v>36.14</c:v>
                </c:pt>
                <c:pt idx="13615">
                  <c:v>36.15</c:v>
                </c:pt>
                <c:pt idx="13616">
                  <c:v>36.16</c:v>
                </c:pt>
                <c:pt idx="13617">
                  <c:v>36.17</c:v>
                </c:pt>
                <c:pt idx="13618">
                  <c:v>36.18</c:v>
                </c:pt>
                <c:pt idx="13619">
                  <c:v>36.19</c:v>
                </c:pt>
                <c:pt idx="13620">
                  <c:v>36.2</c:v>
                </c:pt>
                <c:pt idx="13621">
                  <c:v>36.21</c:v>
                </c:pt>
                <c:pt idx="13622">
                  <c:v>36.22</c:v>
                </c:pt>
                <c:pt idx="13623">
                  <c:v>36.23</c:v>
                </c:pt>
                <c:pt idx="13624">
                  <c:v>36.24</c:v>
                </c:pt>
                <c:pt idx="13625">
                  <c:v>36.25</c:v>
                </c:pt>
                <c:pt idx="13626">
                  <c:v>36.26</c:v>
                </c:pt>
                <c:pt idx="13627">
                  <c:v>36.27</c:v>
                </c:pt>
                <c:pt idx="13628">
                  <c:v>36.28</c:v>
                </c:pt>
                <c:pt idx="13629">
                  <c:v>36.29</c:v>
                </c:pt>
                <c:pt idx="13630">
                  <c:v>36.3</c:v>
                </c:pt>
                <c:pt idx="13631">
                  <c:v>36.31</c:v>
                </c:pt>
                <c:pt idx="13632">
                  <c:v>36.32</c:v>
                </c:pt>
                <c:pt idx="13633">
                  <c:v>36.33</c:v>
                </c:pt>
                <c:pt idx="13634">
                  <c:v>36.34</c:v>
                </c:pt>
                <c:pt idx="13635">
                  <c:v>36.35</c:v>
                </c:pt>
                <c:pt idx="13636">
                  <c:v>36.36</c:v>
                </c:pt>
                <c:pt idx="13637">
                  <c:v>36.37</c:v>
                </c:pt>
                <c:pt idx="13638">
                  <c:v>36.38</c:v>
                </c:pt>
                <c:pt idx="13639">
                  <c:v>36.39</c:v>
                </c:pt>
                <c:pt idx="13640">
                  <c:v>36.4</c:v>
                </c:pt>
                <c:pt idx="13641">
                  <c:v>36.41</c:v>
                </c:pt>
                <c:pt idx="13642">
                  <c:v>36.42</c:v>
                </c:pt>
                <c:pt idx="13643">
                  <c:v>36.43</c:v>
                </c:pt>
                <c:pt idx="13644">
                  <c:v>36.44</c:v>
                </c:pt>
                <c:pt idx="13645">
                  <c:v>36.45</c:v>
                </c:pt>
                <c:pt idx="13646">
                  <c:v>36.46</c:v>
                </c:pt>
                <c:pt idx="13647">
                  <c:v>36.47</c:v>
                </c:pt>
                <c:pt idx="13648">
                  <c:v>36.48</c:v>
                </c:pt>
                <c:pt idx="13649">
                  <c:v>36.49</c:v>
                </c:pt>
                <c:pt idx="13650">
                  <c:v>36.5</c:v>
                </c:pt>
                <c:pt idx="13651">
                  <c:v>36.51</c:v>
                </c:pt>
                <c:pt idx="13652">
                  <c:v>36.52</c:v>
                </c:pt>
                <c:pt idx="13653">
                  <c:v>36.53</c:v>
                </c:pt>
                <c:pt idx="13654">
                  <c:v>36.54</c:v>
                </c:pt>
                <c:pt idx="13655">
                  <c:v>36.55</c:v>
                </c:pt>
                <c:pt idx="13656">
                  <c:v>36.56</c:v>
                </c:pt>
                <c:pt idx="13657">
                  <c:v>36.57</c:v>
                </c:pt>
                <c:pt idx="13658">
                  <c:v>36.58</c:v>
                </c:pt>
                <c:pt idx="13659">
                  <c:v>36.59</c:v>
                </c:pt>
                <c:pt idx="13660">
                  <c:v>36.6</c:v>
                </c:pt>
                <c:pt idx="13661">
                  <c:v>36.61</c:v>
                </c:pt>
                <c:pt idx="13662">
                  <c:v>36.62</c:v>
                </c:pt>
                <c:pt idx="13663">
                  <c:v>36.63</c:v>
                </c:pt>
                <c:pt idx="13664">
                  <c:v>36.64</c:v>
                </c:pt>
                <c:pt idx="13665">
                  <c:v>36.65</c:v>
                </c:pt>
                <c:pt idx="13666">
                  <c:v>36.66</c:v>
                </c:pt>
                <c:pt idx="13667">
                  <c:v>36.67</c:v>
                </c:pt>
                <c:pt idx="13668">
                  <c:v>36.68</c:v>
                </c:pt>
                <c:pt idx="13669">
                  <c:v>36.69</c:v>
                </c:pt>
                <c:pt idx="13670">
                  <c:v>36.7</c:v>
                </c:pt>
                <c:pt idx="13671">
                  <c:v>36.71</c:v>
                </c:pt>
                <c:pt idx="13672">
                  <c:v>36.72</c:v>
                </c:pt>
                <c:pt idx="13673">
                  <c:v>36.73</c:v>
                </c:pt>
                <c:pt idx="13674">
                  <c:v>36.74</c:v>
                </c:pt>
                <c:pt idx="13675">
                  <c:v>36.75</c:v>
                </c:pt>
                <c:pt idx="13676">
                  <c:v>36.76</c:v>
                </c:pt>
                <c:pt idx="13677">
                  <c:v>36.77</c:v>
                </c:pt>
                <c:pt idx="13678">
                  <c:v>36.78</c:v>
                </c:pt>
                <c:pt idx="13679">
                  <c:v>36.79</c:v>
                </c:pt>
                <c:pt idx="13680">
                  <c:v>36.8</c:v>
                </c:pt>
                <c:pt idx="13681">
                  <c:v>36.81</c:v>
                </c:pt>
                <c:pt idx="13682">
                  <c:v>36.82</c:v>
                </c:pt>
                <c:pt idx="13683">
                  <c:v>36.83</c:v>
                </c:pt>
                <c:pt idx="13684">
                  <c:v>36.84</c:v>
                </c:pt>
                <c:pt idx="13685">
                  <c:v>36.85</c:v>
                </c:pt>
                <c:pt idx="13686">
                  <c:v>36.86</c:v>
                </c:pt>
                <c:pt idx="13687">
                  <c:v>36.87</c:v>
                </c:pt>
                <c:pt idx="13688">
                  <c:v>36.88</c:v>
                </c:pt>
                <c:pt idx="13689">
                  <c:v>36.89</c:v>
                </c:pt>
                <c:pt idx="13690">
                  <c:v>36.9</c:v>
                </c:pt>
                <c:pt idx="13691">
                  <c:v>36.91</c:v>
                </c:pt>
                <c:pt idx="13692">
                  <c:v>36.92</c:v>
                </c:pt>
                <c:pt idx="13693">
                  <c:v>36.93</c:v>
                </c:pt>
                <c:pt idx="13694">
                  <c:v>36.94</c:v>
                </c:pt>
                <c:pt idx="13695">
                  <c:v>36.95</c:v>
                </c:pt>
                <c:pt idx="13696">
                  <c:v>36.96</c:v>
                </c:pt>
                <c:pt idx="13697">
                  <c:v>36.97</c:v>
                </c:pt>
                <c:pt idx="13698">
                  <c:v>36.98</c:v>
                </c:pt>
                <c:pt idx="13699">
                  <c:v>36.99</c:v>
                </c:pt>
                <c:pt idx="13700">
                  <c:v>37.0</c:v>
                </c:pt>
                <c:pt idx="13701">
                  <c:v>37.01</c:v>
                </c:pt>
                <c:pt idx="13702">
                  <c:v>37.02</c:v>
                </c:pt>
                <c:pt idx="13703">
                  <c:v>37.03</c:v>
                </c:pt>
                <c:pt idx="13704">
                  <c:v>37.04</c:v>
                </c:pt>
                <c:pt idx="13705">
                  <c:v>37.05</c:v>
                </c:pt>
                <c:pt idx="13706">
                  <c:v>37.06</c:v>
                </c:pt>
                <c:pt idx="13707">
                  <c:v>37.07</c:v>
                </c:pt>
                <c:pt idx="13708">
                  <c:v>37.08</c:v>
                </c:pt>
                <c:pt idx="13709">
                  <c:v>37.09</c:v>
                </c:pt>
                <c:pt idx="13710">
                  <c:v>37.1</c:v>
                </c:pt>
                <c:pt idx="13711">
                  <c:v>37.11</c:v>
                </c:pt>
                <c:pt idx="13712">
                  <c:v>37.12</c:v>
                </c:pt>
                <c:pt idx="13713">
                  <c:v>37.13</c:v>
                </c:pt>
                <c:pt idx="13714">
                  <c:v>37.14</c:v>
                </c:pt>
                <c:pt idx="13715">
                  <c:v>37.15</c:v>
                </c:pt>
                <c:pt idx="13716">
                  <c:v>37.16</c:v>
                </c:pt>
                <c:pt idx="13717">
                  <c:v>37.17</c:v>
                </c:pt>
                <c:pt idx="13718">
                  <c:v>37.18</c:v>
                </c:pt>
                <c:pt idx="13719">
                  <c:v>37.19</c:v>
                </c:pt>
                <c:pt idx="13720">
                  <c:v>37.2</c:v>
                </c:pt>
                <c:pt idx="13721">
                  <c:v>37.21</c:v>
                </c:pt>
                <c:pt idx="13722">
                  <c:v>37.22</c:v>
                </c:pt>
                <c:pt idx="13723">
                  <c:v>37.23</c:v>
                </c:pt>
                <c:pt idx="13724">
                  <c:v>37.24</c:v>
                </c:pt>
                <c:pt idx="13725">
                  <c:v>37.25</c:v>
                </c:pt>
                <c:pt idx="13726">
                  <c:v>37.26</c:v>
                </c:pt>
                <c:pt idx="13727">
                  <c:v>37.27</c:v>
                </c:pt>
                <c:pt idx="13728">
                  <c:v>37.28</c:v>
                </c:pt>
                <c:pt idx="13729">
                  <c:v>37.29</c:v>
                </c:pt>
                <c:pt idx="13730">
                  <c:v>37.3</c:v>
                </c:pt>
                <c:pt idx="13731">
                  <c:v>37.31</c:v>
                </c:pt>
                <c:pt idx="13732">
                  <c:v>37.32</c:v>
                </c:pt>
                <c:pt idx="13733">
                  <c:v>37.33</c:v>
                </c:pt>
                <c:pt idx="13734">
                  <c:v>37.34</c:v>
                </c:pt>
                <c:pt idx="13735">
                  <c:v>37.35</c:v>
                </c:pt>
                <c:pt idx="13736">
                  <c:v>37.36</c:v>
                </c:pt>
                <c:pt idx="13737">
                  <c:v>37.37</c:v>
                </c:pt>
                <c:pt idx="13738">
                  <c:v>37.38</c:v>
                </c:pt>
                <c:pt idx="13739">
                  <c:v>37.39</c:v>
                </c:pt>
                <c:pt idx="13740">
                  <c:v>37.4</c:v>
                </c:pt>
                <c:pt idx="13741">
                  <c:v>37.41</c:v>
                </c:pt>
                <c:pt idx="13742">
                  <c:v>37.42</c:v>
                </c:pt>
                <c:pt idx="13743">
                  <c:v>37.43</c:v>
                </c:pt>
                <c:pt idx="13744">
                  <c:v>37.44</c:v>
                </c:pt>
                <c:pt idx="13745">
                  <c:v>37.45</c:v>
                </c:pt>
                <c:pt idx="13746">
                  <c:v>37.46</c:v>
                </c:pt>
                <c:pt idx="13747">
                  <c:v>37.47</c:v>
                </c:pt>
                <c:pt idx="13748">
                  <c:v>37.48</c:v>
                </c:pt>
                <c:pt idx="13749">
                  <c:v>37.49</c:v>
                </c:pt>
                <c:pt idx="13750">
                  <c:v>37.5</c:v>
                </c:pt>
                <c:pt idx="13751">
                  <c:v>37.51</c:v>
                </c:pt>
                <c:pt idx="13752">
                  <c:v>37.52</c:v>
                </c:pt>
                <c:pt idx="13753">
                  <c:v>37.53</c:v>
                </c:pt>
                <c:pt idx="13754">
                  <c:v>37.54</c:v>
                </c:pt>
                <c:pt idx="13755">
                  <c:v>37.55</c:v>
                </c:pt>
                <c:pt idx="13756">
                  <c:v>37.56</c:v>
                </c:pt>
                <c:pt idx="13757">
                  <c:v>37.57</c:v>
                </c:pt>
                <c:pt idx="13758">
                  <c:v>37.58</c:v>
                </c:pt>
                <c:pt idx="13759">
                  <c:v>37.59</c:v>
                </c:pt>
                <c:pt idx="13760">
                  <c:v>37.6</c:v>
                </c:pt>
                <c:pt idx="13761">
                  <c:v>37.61</c:v>
                </c:pt>
                <c:pt idx="13762">
                  <c:v>37.62</c:v>
                </c:pt>
                <c:pt idx="13763">
                  <c:v>37.63</c:v>
                </c:pt>
                <c:pt idx="13764">
                  <c:v>37.64</c:v>
                </c:pt>
                <c:pt idx="13765">
                  <c:v>37.65</c:v>
                </c:pt>
                <c:pt idx="13766">
                  <c:v>37.66</c:v>
                </c:pt>
                <c:pt idx="13767">
                  <c:v>37.67</c:v>
                </c:pt>
                <c:pt idx="13768">
                  <c:v>37.68</c:v>
                </c:pt>
                <c:pt idx="13769">
                  <c:v>37.69</c:v>
                </c:pt>
                <c:pt idx="13770">
                  <c:v>37.7</c:v>
                </c:pt>
                <c:pt idx="13771">
                  <c:v>37.71</c:v>
                </c:pt>
                <c:pt idx="13772">
                  <c:v>37.72</c:v>
                </c:pt>
                <c:pt idx="13773">
                  <c:v>37.73</c:v>
                </c:pt>
                <c:pt idx="13774">
                  <c:v>37.74</c:v>
                </c:pt>
                <c:pt idx="13775">
                  <c:v>37.75</c:v>
                </c:pt>
                <c:pt idx="13776">
                  <c:v>37.76</c:v>
                </c:pt>
                <c:pt idx="13777">
                  <c:v>37.77</c:v>
                </c:pt>
                <c:pt idx="13778">
                  <c:v>37.78</c:v>
                </c:pt>
                <c:pt idx="13779">
                  <c:v>37.79</c:v>
                </c:pt>
                <c:pt idx="13780">
                  <c:v>37.8</c:v>
                </c:pt>
                <c:pt idx="13781">
                  <c:v>37.81</c:v>
                </c:pt>
                <c:pt idx="13782">
                  <c:v>37.82</c:v>
                </c:pt>
                <c:pt idx="13783">
                  <c:v>37.83</c:v>
                </c:pt>
                <c:pt idx="13784">
                  <c:v>37.84</c:v>
                </c:pt>
                <c:pt idx="13785">
                  <c:v>37.85</c:v>
                </c:pt>
                <c:pt idx="13786">
                  <c:v>37.86</c:v>
                </c:pt>
                <c:pt idx="13787">
                  <c:v>37.87</c:v>
                </c:pt>
                <c:pt idx="13788">
                  <c:v>37.88</c:v>
                </c:pt>
                <c:pt idx="13789">
                  <c:v>37.89</c:v>
                </c:pt>
                <c:pt idx="13790">
                  <c:v>37.9</c:v>
                </c:pt>
                <c:pt idx="13791">
                  <c:v>37.91</c:v>
                </c:pt>
                <c:pt idx="13792">
                  <c:v>37.92</c:v>
                </c:pt>
                <c:pt idx="13793">
                  <c:v>37.93</c:v>
                </c:pt>
                <c:pt idx="13794">
                  <c:v>37.94</c:v>
                </c:pt>
                <c:pt idx="13795">
                  <c:v>37.95</c:v>
                </c:pt>
                <c:pt idx="13796">
                  <c:v>37.96</c:v>
                </c:pt>
                <c:pt idx="13797">
                  <c:v>37.97</c:v>
                </c:pt>
                <c:pt idx="13798">
                  <c:v>37.98</c:v>
                </c:pt>
                <c:pt idx="13799">
                  <c:v>37.99</c:v>
                </c:pt>
                <c:pt idx="13800">
                  <c:v>38.0</c:v>
                </c:pt>
                <c:pt idx="13801">
                  <c:v>38.01</c:v>
                </c:pt>
                <c:pt idx="13802">
                  <c:v>38.02</c:v>
                </c:pt>
                <c:pt idx="13803">
                  <c:v>38.03</c:v>
                </c:pt>
                <c:pt idx="13804">
                  <c:v>38.04</c:v>
                </c:pt>
                <c:pt idx="13805">
                  <c:v>38.05</c:v>
                </c:pt>
                <c:pt idx="13806">
                  <c:v>38.06</c:v>
                </c:pt>
                <c:pt idx="13807">
                  <c:v>38.07</c:v>
                </c:pt>
                <c:pt idx="13808">
                  <c:v>38.08</c:v>
                </c:pt>
                <c:pt idx="13809">
                  <c:v>38.09</c:v>
                </c:pt>
                <c:pt idx="13810">
                  <c:v>38.1</c:v>
                </c:pt>
                <c:pt idx="13811">
                  <c:v>38.11</c:v>
                </c:pt>
                <c:pt idx="13812">
                  <c:v>38.12</c:v>
                </c:pt>
                <c:pt idx="13813">
                  <c:v>38.13</c:v>
                </c:pt>
                <c:pt idx="13814">
                  <c:v>38.14</c:v>
                </c:pt>
                <c:pt idx="13815">
                  <c:v>38.15</c:v>
                </c:pt>
                <c:pt idx="13816">
                  <c:v>38.16</c:v>
                </c:pt>
                <c:pt idx="13817">
                  <c:v>38.17</c:v>
                </c:pt>
                <c:pt idx="13818">
                  <c:v>38.18</c:v>
                </c:pt>
                <c:pt idx="13819">
                  <c:v>38.19</c:v>
                </c:pt>
                <c:pt idx="13820">
                  <c:v>38.2</c:v>
                </c:pt>
                <c:pt idx="13821">
                  <c:v>38.21</c:v>
                </c:pt>
                <c:pt idx="13822">
                  <c:v>38.22</c:v>
                </c:pt>
                <c:pt idx="13823">
                  <c:v>38.23</c:v>
                </c:pt>
                <c:pt idx="13824">
                  <c:v>38.24</c:v>
                </c:pt>
                <c:pt idx="13825">
                  <c:v>38.25</c:v>
                </c:pt>
                <c:pt idx="13826">
                  <c:v>38.26</c:v>
                </c:pt>
                <c:pt idx="13827">
                  <c:v>38.27</c:v>
                </c:pt>
                <c:pt idx="13828">
                  <c:v>38.28</c:v>
                </c:pt>
                <c:pt idx="13829">
                  <c:v>38.29</c:v>
                </c:pt>
                <c:pt idx="13830">
                  <c:v>38.3</c:v>
                </c:pt>
                <c:pt idx="13831">
                  <c:v>38.31</c:v>
                </c:pt>
                <c:pt idx="13832">
                  <c:v>38.32</c:v>
                </c:pt>
                <c:pt idx="13833">
                  <c:v>38.33</c:v>
                </c:pt>
                <c:pt idx="13834">
                  <c:v>38.34</c:v>
                </c:pt>
                <c:pt idx="13835">
                  <c:v>38.35</c:v>
                </c:pt>
                <c:pt idx="13836">
                  <c:v>38.36</c:v>
                </c:pt>
                <c:pt idx="13837">
                  <c:v>38.37</c:v>
                </c:pt>
                <c:pt idx="13838">
                  <c:v>38.38</c:v>
                </c:pt>
                <c:pt idx="13839">
                  <c:v>38.39</c:v>
                </c:pt>
                <c:pt idx="13840">
                  <c:v>38.4</c:v>
                </c:pt>
                <c:pt idx="13841">
                  <c:v>38.41</c:v>
                </c:pt>
                <c:pt idx="13842">
                  <c:v>38.42</c:v>
                </c:pt>
                <c:pt idx="13843">
                  <c:v>38.43</c:v>
                </c:pt>
                <c:pt idx="13844">
                  <c:v>38.44</c:v>
                </c:pt>
                <c:pt idx="13845">
                  <c:v>38.45</c:v>
                </c:pt>
                <c:pt idx="13846">
                  <c:v>38.46</c:v>
                </c:pt>
                <c:pt idx="13847">
                  <c:v>38.47</c:v>
                </c:pt>
                <c:pt idx="13848">
                  <c:v>38.48</c:v>
                </c:pt>
                <c:pt idx="13849">
                  <c:v>38.49</c:v>
                </c:pt>
                <c:pt idx="13850">
                  <c:v>38.5</c:v>
                </c:pt>
                <c:pt idx="13851">
                  <c:v>38.51</c:v>
                </c:pt>
                <c:pt idx="13852">
                  <c:v>38.52</c:v>
                </c:pt>
                <c:pt idx="13853">
                  <c:v>38.53</c:v>
                </c:pt>
                <c:pt idx="13854">
                  <c:v>38.54</c:v>
                </c:pt>
                <c:pt idx="13855">
                  <c:v>38.55</c:v>
                </c:pt>
                <c:pt idx="13856">
                  <c:v>38.56</c:v>
                </c:pt>
                <c:pt idx="13857">
                  <c:v>38.57</c:v>
                </c:pt>
                <c:pt idx="13858">
                  <c:v>38.58</c:v>
                </c:pt>
                <c:pt idx="13859">
                  <c:v>38.59</c:v>
                </c:pt>
                <c:pt idx="13860">
                  <c:v>38.6</c:v>
                </c:pt>
                <c:pt idx="13861">
                  <c:v>38.61</c:v>
                </c:pt>
                <c:pt idx="13862">
                  <c:v>38.62</c:v>
                </c:pt>
                <c:pt idx="13863">
                  <c:v>38.63</c:v>
                </c:pt>
                <c:pt idx="13864">
                  <c:v>38.64</c:v>
                </c:pt>
                <c:pt idx="13865">
                  <c:v>38.65</c:v>
                </c:pt>
                <c:pt idx="13866">
                  <c:v>38.66</c:v>
                </c:pt>
                <c:pt idx="13867">
                  <c:v>38.67</c:v>
                </c:pt>
                <c:pt idx="13868">
                  <c:v>38.68</c:v>
                </c:pt>
                <c:pt idx="13869">
                  <c:v>38.69</c:v>
                </c:pt>
                <c:pt idx="13870">
                  <c:v>38.7</c:v>
                </c:pt>
                <c:pt idx="13871">
                  <c:v>38.71</c:v>
                </c:pt>
                <c:pt idx="13872">
                  <c:v>38.72</c:v>
                </c:pt>
                <c:pt idx="13873">
                  <c:v>38.73</c:v>
                </c:pt>
                <c:pt idx="13874">
                  <c:v>38.74</c:v>
                </c:pt>
                <c:pt idx="13875">
                  <c:v>38.75</c:v>
                </c:pt>
                <c:pt idx="13876">
                  <c:v>38.76</c:v>
                </c:pt>
                <c:pt idx="13877">
                  <c:v>38.77</c:v>
                </c:pt>
                <c:pt idx="13878">
                  <c:v>38.78</c:v>
                </c:pt>
                <c:pt idx="13879">
                  <c:v>38.79</c:v>
                </c:pt>
                <c:pt idx="13880">
                  <c:v>38.8</c:v>
                </c:pt>
                <c:pt idx="13881">
                  <c:v>38.81</c:v>
                </c:pt>
                <c:pt idx="13882">
                  <c:v>38.82</c:v>
                </c:pt>
                <c:pt idx="13883">
                  <c:v>38.83</c:v>
                </c:pt>
                <c:pt idx="13884">
                  <c:v>38.84</c:v>
                </c:pt>
                <c:pt idx="13885">
                  <c:v>38.85</c:v>
                </c:pt>
                <c:pt idx="13886">
                  <c:v>38.86</c:v>
                </c:pt>
                <c:pt idx="13887">
                  <c:v>38.87</c:v>
                </c:pt>
                <c:pt idx="13888">
                  <c:v>38.88</c:v>
                </c:pt>
                <c:pt idx="13889">
                  <c:v>38.89</c:v>
                </c:pt>
                <c:pt idx="13890">
                  <c:v>38.9</c:v>
                </c:pt>
                <c:pt idx="13891">
                  <c:v>38.91</c:v>
                </c:pt>
                <c:pt idx="13892">
                  <c:v>38.92</c:v>
                </c:pt>
                <c:pt idx="13893">
                  <c:v>38.93</c:v>
                </c:pt>
                <c:pt idx="13894">
                  <c:v>38.94</c:v>
                </c:pt>
                <c:pt idx="13895">
                  <c:v>38.95</c:v>
                </c:pt>
                <c:pt idx="13896">
                  <c:v>38.96</c:v>
                </c:pt>
                <c:pt idx="13897">
                  <c:v>38.97</c:v>
                </c:pt>
                <c:pt idx="13898">
                  <c:v>38.98</c:v>
                </c:pt>
                <c:pt idx="13899">
                  <c:v>38.99</c:v>
                </c:pt>
                <c:pt idx="13900">
                  <c:v>39.0</c:v>
                </c:pt>
                <c:pt idx="13901">
                  <c:v>39.01</c:v>
                </c:pt>
                <c:pt idx="13902">
                  <c:v>39.02</c:v>
                </c:pt>
                <c:pt idx="13903">
                  <c:v>39.03</c:v>
                </c:pt>
                <c:pt idx="13904">
                  <c:v>39.04</c:v>
                </c:pt>
                <c:pt idx="13905">
                  <c:v>39.05</c:v>
                </c:pt>
                <c:pt idx="13906">
                  <c:v>39.06</c:v>
                </c:pt>
                <c:pt idx="13907">
                  <c:v>39.07</c:v>
                </c:pt>
                <c:pt idx="13908">
                  <c:v>39.08</c:v>
                </c:pt>
                <c:pt idx="13909">
                  <c:v>39.09</c:v>
                </c:pt>
                <c:pt idx="13910">
                  <c:v>39.1</c:v>
                </c:pt>
                <c:pt idx="13911">
                  <c:v>39.11</c:v>
                </c:pt>
                <c:pt idx="13912">
                  <c:v>39.12</c:v>
                </c:pt>
                <c:pt idx="13913">
                  <c:v>39.13</c:v>
                </c:pt>
                <c:pt idx="13914">
                  <c:v>39.14</c:v>
                </c:pt>
                <c:pt idx="13915">
                  <c:v>39.15</c:v>
                </c:pt>
                <c:pt idx="13916">
                  <c:v>39.16</c:v>
                </c:pt>
                <c:pt idx="13917">
                  <c:v>39.17</c:v>
                </c:pt>
                <c:pt idx="13918">
                  <c:v>39.18</c:v>
                </c:pt>
                <c:pt idx="13919">
                  <c:v>39.19</c:v>
                </c:pt>
                <c:pt idx="13920">
                  <c:v>39.2</c:v>
                </c:pt>
                <c:pt idx="13921">
                  <c:v>39.21</c:v>
                </c:pt>
                <c:pt idx="13922">
                  <c:v>39.22</c:v>
                </c:pt>
                <c:pt idx="13923">
                  <c:v>39.23</c:v>
                </c:pt>
                <c:pt idx="13924">
                  <c:v>39.24</c:v>
                </c:pt>
                <c:pt idx="13925">
                  <c:v>39.25</c:v>
                </c:pt>
                <c:pt idx="13926">
                  <c:v>39.26</c:v>
                </c:pt>
                <c:pt idx="13927">
                  <c:v>39.27</c:v>
                </c:pt>
                <c:pt idx="13928">
                  <c:v>39.28</c:v>
                </c:pt>
                <c:pt idx="13929">
                  <c:v>39.29</c:v>
                </c:pt>
                <c:pt idx="13930">
                  <c:v>39.3</c:v>
                </c:pt>
                <c:pt idx="13931">
                  <c:v>39.31</c:v>
                </c:pt>
                <c:pt idx="13932">
                  <c:v>39.32</c:v>
                </c:pt>
                <c:pt idx="13933">
                  <c:v>39.33</c:v>
                </c:pt>
                <c:pt idx="13934">
                  <c:v>39.34</c:v>
                </c:pt>
                <c:pt idx="13935">
                  <c:v>39.35</c:v>
                </c:pt>
                <c:pt idx="13936">
                  <c:v>39.36</c:v>
                </c:pt>
                <c:pt idx="13937">
                  <c:v>39.37</c:v>
                </c:pt>
                <c:pt idx="13938">
                  <c:v>39.38</c:v>
                </c:pt>
                <c:pt idx="13939">
                  <c:v>39.39</c:v>
                </c:pt>
                <c:pt idx="13940">
                  <c:v>39.4</c:v>
                </c:pt>
                <c:pt idx="13941">
                  <c:v>39.41</c:v>
                </c:pt>
                <c:pt idx="13942">
                  <c:v>39.42</c:v>
                </c:pt>
                <c:pt idx="13943">
                  <c:v>39.43</c:v>
                </c:pt>
                <c:pt idx="13944">
                  <c:v>39.44</c:v>
                </c:pt>
                <c:pt idx="13945">
                  <c:v>39.45</c:v>
                </c:pt>
                <c:pt idx="13946">
                  <c:v>39.46</c:v>
                </c:pt>
                <c:pt idx="13947">
                  <c:v>39.47</c:v>
                </c:pt>
                <c:pt idx="13948">
                  <c:v>39.48</c:v>
                </c:pt>
                <c:pt idx="13949">
                  <c:v>39.49</c:v>
                </c:pt>
                <c:pt idx="13950">
                  <c:v>39.5</c:v>
                </c:pt>
                <c:pt idx="13951">
                  <c:v>39.51</c:v>
                </c:pt>
                <c:pt idx="13952">
                  <c:v>39.52</c:v>
                </c:pt>
                <c:pt idx="13953">
                  <c:v>39.53</c:v>
                </c:pt>
                <c:pt idx="13954">
                  <c:v>39.54</c:v>
                </c:pt>
                <c:pt idx="13955">
                  <c:v>39.55</c:v>
                </c:pt>
                <c:pt idx="13956">
                  <c:v>39.56</c:v>
                </c:pt>
                <c:pt idx="13957">
                  <c:v>39.57</c:v>
                </c:pt>
                <c:pt idx="13958">
                  <c:v>39.58</c:v>
                </c:pt>
                <c:pt idx="13959">
                  <c:v>39.59</c:v>
                </c:pt>
                <c:pt idx="13960">
                  <c:v>39.6</c:v>
                </c:pt>
                <c:pt idx="13961">
                  <c:v>39.61</c:v>
                </c:pt>
                <c:pt idx="13962">
                  <c:v>39.62</c:v>
                </c:pt>
                <c:pt idx="13963">
                  <c:v>39.63</c:v>
                </c:pt>
                <c:pt idx="13964">
                  <c:v>39.64</c:v>
                </c:pt>
                <c:pt idx="13965">
                  <c:v>39.65</c:v>
                </c:pt>
                <c:pt idx="13966">
                  <c:v>39.66</c:v>
                </c:pt>
                <c:pt idx="13967">
                  <c:v>39.67</c:v>
                </c:pt>
                <c:pt idx="13968">
                  <c:v>39.68</c:v>
                </c:pt>
                <c:pt idx="13969">
                  <c:v>39.69</c:v>
                </c:pt>
                <c:pt idx="13970">
                  <c:v>39.7</c:v>
                </c:pt>
                <c:pt idx="13971">
                  <c:v>39.71</c:v>
                </c:pt>
                <c:pt idx="13972">
                  <c:v>39.72</c:v>
                </c:pt>
                <c:pt idx="13973">
                  <c:v>39.73</c:v>
                </c:pt>
                <c:pt idx="13974">
                  <c:v>39.74</c:v>
                </c:pt>
                <c:pt idx="13975">
                  <c:v>39.75</c:v>
                </c:pt>
                <c:pt idx="13976">
                  <c:v>39.76</c:v>
                </c:pt>
                <c:pt idx="13977">
                  <c:v>39.77</c:v>
                </c:pt>
                <c:pt idx="13978">
                  <c:v>39.78</c:v>
                </c:pt>
                <c:pt idx="13979">
                  <c:v>39.79</c:v>
                </c:pt>
                <c:pt idx="13980">
                  <c:v>39.8</c:v>
                </c:pt>
                <c:pt idx="13981">
                  <c:v>39.81</c:v>
                </c:pt>
                <c:pt idx="13982">
                  <c:v>39.82</c:v>
                </c:pt>
                <c:pt idx="13983">
                  <c:v>39.83</c:v>
                </c:pt>
                <c:pt idx="13984">
                  <c:v>39.84</c:v>
                </c:pt>
                <c:pt idx="13985">
                  <c:v>39.85</c:v>
                </c:pt>
                <c:pt idx="13986">
                  <c:v>39.86</c:v>
                </c:pt>
                <c:pt idx="13987">
                  <c:v>39.87</c:v>
                </c:pt>
                <c:pt idx="13988">
                  <c:v>39.88</c:v>
                </c:pt>
                <c:pt idx="13989">
                  <c:v>39.89</c:v>
                </c:pt>
                <c:pt idx="13990">
                  <c:v>39.9</c:v>
                </c:pt>
                <c:pt idx="13991">
                  <c:v>39.91</c:v>
                </c:pt>
                <c:pt idx="13992">
                  <c:v>39.92</c:v>
                </c:pt>
                <c:pt idx="13993">
                  <c:v>39.93</c:v>
                </c:pt>
                <c:pt idx="13994">
                  <c:v>39.94</c:v>
                </c:pt>
                <c:pt idx="13995">
                  <c:v>39.95</c:v>
                </c:pt>
                <c:pt idx="13996">
                  <c:v>39.96</c:v>
                </c:pt>
                <c:pt idx="13997">
                  <c:v>39.97</c:v>
                </c:pt>
                <c:pt idx="13998">
                  <c:v>39.98</c:v>
                </c:pt>
                <c:pt idx="13999">
                  <c:v>39.99</c:v>
                </c:pt>
                <c:pt idx="14000">
                  <c:v>40.0</c:v>
                </c:pt>
                <c:pt idx="14001">
                  <c:v>40.01</c:v>
                </c:pt>
                <c:pt idx="14002">
                  <c:v>40.02</c:v>
                </c:pt>
                <c:pt idx="14003">
                  <c:v>40.03</c:v>
                </c:pt>
                <c:pt idx="14004">
                  <c:v>40.04</c:v>
                </c:pt>
                <c:pt idx="14005">
                  <c:v>40.05</c:v>
                </c:pt>
                <c:pt idx="14006">
                  <c:v>40.06</c:v>
                </c:pt>
                <c:pt idx="14007">
                  <c:v>40.07</c:v>
                </c:pt>
                <c:pt idx="14008">
                  <c:v>40.08</c:v>
                </c:pt>
                <c:pt idx="14009">
                  <c:v>40.09</c:v>
                </c:pt>
                <c:pt idx="14010">
                  <c:v>40.1</c:v>
                </c:pt>
                <c:pt idx="14011">
                  <c:v>40.11</c:v>
                </c:pt>
                <c:pt idx="14012">
                  <c:v>40.12</c:v>
                </c:pt>
                <c:pt idx="14013">
                  <c:v>40.13</c:v>
                </c:pt>
                <c:pt idx="14014">
                  <c:v>40.14</c:v>
                </c:pt>
                <c:pt idx="14015">
                  <c:v>40.15</c:v>
                </c:pt>
                <c:pt idx="14016">
                  <c:v>40.16</c:v>
                </c:pt>
                <c:pt idx="14017">
                  <c:v>40.17</c:v>
                </c:pt>
                <c:pt idx="14018">
                  <c:v>40.18</c:v>
                </c:pt>
                <c:pt idx="14019">
                  <c:v>40.19</c:v>
                </c:pt>
                <c:pt idx="14020">
                  <c:v>40.2</c:v>
                </c:pt>
                <c:pt idx="14021">
                  <c:v>40.21</c:v>
                </c:pt>
                <c:pt idx="14022">
                  <c:v>40.22</c:v>
                </c:pt>
                <c:pt idx="14023">
                  <c:v>40.23</c:v>
                </c:pt>
                <c:pt idx="14024">
                  <c:v>40.24</c:v>
                </c:pt>
                <c:pt idx="14025">
                  <c:v>40.25</c:v>
                </c:pt>
                <c:pt idx="14026">
                  <c:v>40.26</c:v>
                </c:pt>
                <c:pt idx="14027">
                  <c:v>40.27</c:v>
                </c:pt>
                <c:pt idx="14028">
                  <c:v>40.28</c:v>
                </c:pt>
                <c:pt idx="14029">
                  <c:v>40.29</c:v>
                </c:pt>
                <c:pt idx="14030">
                  <c:v>40.3</c:v>
                </c:pt>
                <c:pt idx="14031">
                  <c:v>40.31</c:v>
                </c:pt>
                <c:pt idx="14032">
                  <c:v>40.32</c:v>
                </c:pt>
                <c:pt idx="14033">
                  <c:v>40.33</c:v>
                </c:pt>
                <c:pt idx="14034">
                  <c:v>40.34</c:v>
                </c:pt>
                <c:pt idx="14035">
                  <c:v>40.35</c:v>
                </c:pt>
                <c:pt idx="14036">
                  <c:v>40.36</c:v>
                </c:pt>
                <c:pt idx="14037">
                  <c:v>40.37</c:v>
                </c:pt>
                <c:pt idx="14038">
                  <c:v>40.38</c:v>
                </c:pt>
                <c:pt idx="14039">
                  <c:v>40.39</c:v>
                </c:pt>
                <c:pt idx="14040">
                  <c:v>40.4</c:v>
                </c:pt>
                <c:pt idx="14041">
                  <c:v>40.41</c:v>
                </c:pt>
                <c:pt idx="14042">
                  <c:v>40.42</c:v>
                </c:pt>
                <c:pt idx="14043">
                  <c:v>40.43</c:v>
                </c:pt>
                <c:pt idx="14044">
                  <c:v>40.44</c:v>
                </c:pt>
                <c:pt idx="14045">
                  <c:v>40.45</c:v>
                </c:pt>
                <c:pt idx="14046">
                  <c:v>40.46</c:v>
                </c:pt>
                <c:pt idx="14047">
                  <c:v>40.47</c:v>
                </c:pt>
                <c:pt idx="14048">
                  <c:v>40.48</c:v>
                </c:pt>
                <c:pt idx="14049">
                  <c:v>40.49</c:v>
                </c:pt>
                <c:pt idx="14050">
                  <c:v>40.5</c:v>
                </c:pt>
                <c:pt idx="14051">
                  <c:v>40.51</c:v>
                </c:pt>
                <c:pt idx="14052">
                  <c:v>40.52</c:v>
                </c:pt>
                <c:pt idx="14053">
                  <c:v>40.53</c:v>
                </c:pt>
                <c:pt idx="14054">
                  <c:v>40.54</c:v>
                </c:pt>
                <c:pt idx="14055">
                  <c:v>40.55</c:v>
                </c:pt>
                <c:pt idx="14056">
                  <c:v>40.56</c:v>
                </c:pt>
                <c:pt idx="14057">
                  <c:v>40.57</c:v>
                </c:pt>
                <c:pt idx="14058">
                  <c:v>40.58</c:v>
                </c:pt>
                <c:pt idx="14059">
                  <c:v>40.59</c:v>
                </c:pt>
                <c:pt idx="14060">
                  <c:v>40.6</c:v>
                </c:pt>
                <c:pt idx="14061">
                  <c:v>40.61</c:v>
                </c:pt>
                <c:pt idx="14062">
                  <c:v>40.62</c:v>
                </c:pt>
                <c:pt idx="14063">
                  <c:v>40.63</c:v>
                </c:pt>
                <c:pt idx="14064">
                  <c:v>40.64</c:v>
                </c:pt>
                <c:pt idx="14065">
                  <c:v>40.65</c:v>
                </c:pt>
                <c:pt idx="14066">
                  <c:v>40.66</c:v>
                </c:pt>
                <c:pt idx="14067">
                  <c:v>40.67</c:v>
                </c:pt>
                <c:pt idx="14068">
                  <c:v>40.68</c:v>
                </c:pt>
                <c:pt idx="14069">
                  <c:v>40.69</c:v>
                </c:pt>
                <c:pt idx="14070">
                  <c:v>40.7</c:v>
                </c:pt>
                <c:pt idx="14071">
                  <c:v>40.71</c:v>
                </c:pt>
                <c:pt idx="14072">
                  <c:v>40.72</c:v>
                </c:pt>
                <c:pt idx="14073">
                  <c:v>40.73</c:v>
                </c:pt>
                <c:pt idx="14074">
                  <c:v>40.74</c:v>
                </c:pt>
                <c:pt idx="14075">
                  <c:v>40.75</c:v>
                </c:pt>
                <c:pt idx="14076">
                  <c:v>40.76</c:v>
                </c:pt>
                <c:pt idx="14077">
                  <c:v>40.77</c:v>
                </c:pt>
                <c:pt idx="14078">
                  <c:v>40.78</c:v>
                </c:pt>
                <c:pt idx="14079">
                  <c:v>40.79</c:v>
                </c:pt>
                <c:pt idx="14080">
                  <c:v>40.8</c:v>
                </c:pt>
                <c:pt idx="14081">
                  <c:v>40.81</c:v>
                </c:pt>
                <c:pt idx="14082">
                  <c:v>40.82</c:v>
                </c:pt>
                <c:pt idx="14083">
                  <c:v>40.83</c:v>
                </c:pt>
                <c:pt idx="14084">
                  <c:v>40.84</c:v>
                </c:pt>
                <c:pt idx="14085">
                  <c:v>40.85</c:v>
                </c:pt>
                <c:pt idx="14086">
                  <c:v>40.86</c:v>
                </c:pt>
                <c:pt idx="14087">
                  <c:v>40.87</c:v>
                </c:pt>
                <c:pt idx="14088">
                  <c:v>40.88</c:v>
                </c:pt>
                <c:pt idx="14089">
                  <c:v>40.89</c:v>
                </c:pt>
                <c:pt idx="14090">
                  <c:v>40.9</c:v>
                </c:pt>
                <c:pt idx="14091">
                  <c:v>40.91</c:v>
                </c:pt>
                <c:pt idx="14092">
                  <c:v>40.92</c:v>
                </c:pt>
                <c:pt idx="14093">
                  <c:v>40.93</c:v>
                </c:pt>
                <c:pt idx="14094">
                  <c:v>40.94</c:v>
                </c:pt>
                <c:pt idx="14095">
                  <c:v>40.95</c:v>
                </c:pt>
                <c:pt idx="14096">
                  <c:v>40.96</c:v>
                </c:pt>
                <c:pt idx="14097">
                  <c:v>40.97</c:v>
                </c:pt>
                <c:pt idx="14098">
                  <c:v>40.98</c:v>
                </c:pt>
                <c:pt idx="14099">
                  <c:v>40.99</c:v>
                </c:pt>
                <c:pt idx="14100">
                  <c:v>41.0</c:v>
                </c:pt>
                <c:pt idx="14101">
                  <c:v>41.01</c:v>
                </c:pt>
                <c:pt idx="14102">
                  <c:v>41.02</c:v>
                </c:pt>
                <c:pt idx="14103">
                  <c:v>41.03</c:v>
                </c:pt>
                <c:pt idx="14104">
                  <c:v>41.04</c:v>
                </c:pt>
                <c:pt idx="14105">
                  <c:v>41.05</c:v>
                </c:pt>
                <c:pt idx="14106">
                  <c:v>41.06</c:v>
                </c:pt>
                <c:pt idx="14107">
                  <c:v>41.07</c:v>
                </c:pt>
                <c:pt idx="14108">
                  <c:v>41.08</c:v>
                </c:pt>
                <c:pt idx="14109">
                  <c:v>41.09</c:v>
                </c:pt>
                <c:pt idx="14110">
                  <c:v>41.1</c:v>
                </c:pt>
                <c:pt idx="14111">
                  <c:v>41.11</c:v>
                </c:pt>
                <c:pt idx="14112">
                  <c:v>41.12</c:v>
                </c:pt>
                <c:pt idx="14113">
                  <c:v>41.13</c:v>
                </c:pt>
                <c:pt idx="14114">
                  <c:v>41.14</c:v>
                </c:pt>
                <c:pt idx="14115">
                  <c:v>41.15</c:v>
                </c:pt>
                <c:pt idx="14116">
                  <c:v>41.16</c:v>
                </c:pt>
                <c:pt idx="14117">
                  <c:v>41.17</c:v>
                </c:pt>
                <c:pt idx="14118">
                  <c:v>41.18</c:v>
                </c:pt>
                <c:pt idx="14119">
                  <c:v>41.19</c:v>
                </c:pt>
                <c:pt idx="14120">
                  <c:v>41.2</c:v>
                </c:pt>
                <c:pt idx="14121">
                  <c:v>41.21</c:v>
                </c:pt>
                <c:pt idx="14122">
                  <c:v>41.22</c:v>
                </c:pt>
                <c:pt idx="14123">
                  <c:v>41.23</c:v>
                </c:pt>
                <c:pt idx="14124">
                  <c:v>41.24</c:v>
                </c:pt>
                <c:pt idx="14125">
                  <c:v>41.25</c:v>
                </c:pt>
                <c:pt idx="14126">
                  <c:v>41.26</c:v>
                </c:pt>
                <c:pt idx="14127">
                  <c:v>41.27</c:v>
                </c:pt>
                <c:pt idx="14128">
                  <c:v>41.28</c:v>
                </c:pt>
                <c:pt idx="14129">
                  <c:v>41.29</c:v>
                </c:pt>
                <c:pt idx="14130">
                  <c:v>41.3</c:v>
                </c:pt>
                <c:pt idx="14131">
                  <c:v>41.31</c:v>
                </c:pt>
                <c:pt idx="14132">
                  <c:v>41.32</c:v>
                </c:pt>
                <c:pt idx="14133">
                  <c:v>41.33</c:v>
                </c:pt>
                <c:pt idx="14134">
                  <c:v>41.34</c:v>
                </c:pt>
                <c:pt idx="14135">
                  <c:v>41.35</c:v>
                </c:pt>
                <c:pt idx="14136">
                  <c:v>41.36</c:v>
                </c:pt>
                <c:pt idx="14137">
                  <c:v>41.37</c:v>
                </c:pt>
                <c:pt idx="14138">
                  <c:v>41.38</c:v>
                </c:pt>
                <c:pt idx="14139">
                  <c:v>41.39</c:v>
                </c:pt>
                <c:pt idx="14140">
                  <c:v>41.4</c:v>
                </c:pt>
                <c:pt idx="14141">
                  <c:v>41.41</c:v>
                </c:pt>
                <c:pt idx="14142">
                  <c:v>41.42</c:v>
                </c:pt>
                <c:pt idx="14143">
                  <c:v>41.43</c:v>
                </c:pt>
                <c:pt idx="14144">
                  <c:v>41.44</c:v>
                </c:pt>
                <c:pt idx="14145">
                  <c:v>41.45</c:v>
                </c:pt>
                <c:pt idx="14146">
                  <c:v>41.46</c:v>
                </c:pt>
                <c:pt idx="14147">
                  <c:v>41.47</c:v>
                </c:pt>
                <c:pt idx="14148">
                  <c:v>41.48</c:v>
                </c:pt>
                <c:pt idx="14149">
                  <c:v>41.49</c:v>
                </c:pt>
                <c:pt idx="14150">
                  <c:v>41.5</c:v>
                </c:pt>
                <c:pt idx="14151">
                  <c:v>41.51</c:v>
                </c:pt>
                <c:pt idx="14152">
                  <c:v>41.52</c:v>
                </c:pt>
                <c:pt idx="14153">
                  <c:v>41.53</c:v>
                </c:pt>
                <c:pt idx="14154">
                  <c:v>41.54</c:v>
                </c:pt>
                <c:pt idx="14155">
                  <c:v>41.55</c:v>
                </c:pt>
                <c:pt idx="14156">
                  <c:v>41.56</c:v>
                </c:pt>
                <c:pt idx="14157">
                  <c:v>41.57</c:v>
                </c:pt>
                <c:pt idx="14158">
                  <c:v>41.58</c:v>
                </c:pt>
                <c:pt idx="14159">
                  <c:v>41.59</c:v>
                </c:pt>
                <c:pt idx="14160">
                  <c:v>41.6</c:v>
                </c:pt>
                <c:pt idx="14161">
                  <c:v>41.61</c:v>
                </c:pt>
                <c:pt idx="14162">
                  <c:v>41.62</c:v>
                </c:pt>
                <c:pt idx="14163">
                  <c:v>41.63</c:v>
                </c:pt>
                <c:pt idx="14164">
                  <c:v>41.64</c:v>
                </c:pt>
                <c:pt idx="14165">
                  <c:v>41.65</c:v>
                </c:pt>
                <c:pt idx="14166">
                  <c:v>41.66</c:v>
                </c:pt>
                <c:pt idx="14167">
                  <c:v>41.67</c:v>
                </c:pt>
                <c:pt idx="14168">
                  <c:v>41.68</c:v>
                </c:pt>
                <c:pt idx="14169">
                  <c:v>41.69</c:v>
                </c:pt>
                <c:pt idx="14170">
                  <c:v>41.7</c:v>
                </c:pt>
                <c:pt idx="14171">
                  <c:v>41.71</c:v>
                </c:pt>
                <c:pt idx="14172">
                  <c:v>41.72</c:v>
                </c:pt>
                <c:pt idx="14173">
                  <c:v>41.73</c:v>
                </c:pt>
                <c:pt idx="14174">
                  <c:v>41.74</c:v>
                </c:pt>
                <c:pt idx="14175">
                  <c:v>41.75</c:v>
                </c:pt>
                <c:pt idx="14176">
                  <c:v>41.76</c:v>
                </c:pt>
                <c:pt idx="14177">
                  <c:v>41.77</c:v>
                </c:pt>
                <c:pt idx="14178">
                  <c:v>41.78</c:v>
                </c:pt>
                <c:pt idx="14179">
                  <c:v>41.79</c:v>
                </c:pt>
                <c:pt idx="14180">
                  <c:v>41.8</c:v>
                </c:pt>
                <c:pt idx="14181">
                  <c:v>41.81</c:v>
                </c:pt>
                <c:pt idx="14182">
                  <c:v>41.82</c:v>
                </c:pt>
                <c:pt idx="14183">
                  <c:v>41.83</c:v>
                </c:pt>
                <c:pt idx="14184">
                  <c:v>41.84</c:v>
                </c:pt>
                <c:pt idx="14185">
                  <c:v>41.85</c:v>
                </c:pt>
                <c:pt idx="14186">
                  <c:v>41.86</c:v>
                </c:pt>
                <c:pt idx="14187">
                  <c:v>41.87</c:v>
                </c:pt>
                <c:pt idx="14188">
                  <c:v>41.88</c:v>
                </c:pt>
                <c:pt idx="14189">
                  <c:v>41.89</c:v>
                </c:pt>
                <c:pt idx="14190">
                  <c:v>41.9</c:v>
                </c:pt>
                <c:pt idx="14191">
                  <c:v>41.91</c:v>
                </c:pt>
                <c:pt idx="14192">
                  <c:v>41.92</c:v>
                </c:pt>
                <c:pt idx="14193">
                  <c:v>41.93</c:v>
                </c:pt>
                <c:pt idx="14194">
                  <c:v>41.94</c:v>
                </c:pt>
                <c:pt idx="14195">
                  <c:v>41.95</c:v>
                </c:pt>
                <c:pt idx="14196">
                  <c:v>41.96</c:v>
                </c:pt>
                <c:pt idx="14197">
                  <c:v>41.97</c:v>
                </c:pt>
                <c:pt idx="14198">
                  <c:v>41.98</c:v>
                </c:pt>
                <c:pt idx="14199">
                  <c:v>41.99</c:v>
                </c:pt>
                <c:pt idx="14200">
                  <c:v>42.0</c:v>
                </c:pt>
                <c:pt idx="14201">
                  <c:v>42.01</c:v>
                </c:pt>
                <c:pt idx="14202">
                  <c:v>42.02</c:v>
                </c:pt>
                <c:pt idx="14203">
                  <c:v>42.03</c:v>
                </c:pt>
                <c:pt idx="14204">
                  <c:v>42.04</c:v>
                </c:pt>
                <c:pt idx="14205">
                  <c:v>42.05</c:v>
                </c:pt>
                <c:pt idx="14206">
                  <c:v>42.06</c:v>
                </c:pt>
                <c:pt idx="14207">
                  <c:v>42.07</c:v>
                </c:pt>
                <c:pt idx="14208">
                  <c:v>42.08</c:v>
                </c:pt>
                <c:pt idx="14209">
                  <c:v>42.09</c:v>
                </c:pt>
                <c:pt idx="14210">
                  <c:v>42.1</c:v>
                </c:pt>
                <c:pt idx="14211">
                  <c:v>42.11</c:v>
                </c:pt>
                <c:pt idx="14212">
                  <c:v>42.12</c:v>
                </c:pt>
                <c:pt idx="14213">
                  <c:v>42.13</c:v>
                </c:pt>
                <c:pt idx="14214">
                  <c:v>42.14</c:v>
                </c:pt>
                <c:pt idx="14215">
                  <c:v>42.15</c:v>
                </c:pt>
                <c:pt idx="14216">
                  <c:v>42.16</c:v>
                </c:pt>
                <c:pt idx="14217">
                  <c:v>42.17</c:v>
                </c:pt>
                <c:pt idx="14218">
                  <c:v>42.18</c:v>
                </c:pt>
                <c:pt idx="14219">
                  <c:v>42.19</c:v>
                </c:pt>
                <c:pt idx="14220">
                  <c:v>42.2</c:v>
                </c:pt>
                <c:pt idx="14221">
                  <c:v>42.21</c:v>
                </c:pt>
                <c:pt idx="14222">
                  <c:v>42.22</c:v>
                </c:pt>
                <c:pt idx="14223">
                  <c:v>42.23</c:v>
                </c:pt>
                <c:pt idx="14224">
                  <c:v>42.24</c:v>
                </c:pt>
                <c:pt idx="14225">
                  <c:v>42.25</c:v>
                </c:pt>
                <c:pt idx="14226">
                  <c:v>42.26</c:v>
                </c:pt>
                <c:pt idx="14227">
                  <c:v>42.27</c:v>
                </c:pt>
                <c:pt idx="14228">
                  <c:v>42.28</c:v>
                </c:pt>
                <c:pt idx="14229">
                  <c:v>42.29</c:v>
                </c:pt>
                <c:pt idx="14230">
                  <c:v>42.3</c:v>
                </c:pt>
                <c:pt idx="14231">
                  <c:v>42.31</c:v>
                </c:pt>
                <c:pt idx="14232">
                  <c:v>42.32</c:v>
                </c:pt>
                <c:pt idx="14233">
                  <c:v>42.33</c:v>
                </c:pt>
                <c:pt idx="14234">
                  <c:v>42.34</c:v>
                </c:pt>
                <c:pt idx="14235">
                  <c:v>42.35</c:v>
                </c:pt>
                <c:pt idx="14236">
                  <c:v>42.36</c:v>
                </c:pt>
                <c:pt idx="14237">
                  <c:v>42.37</c:v>
                </c:pt>
                <c:pt idx="14238">
                  <c:v>42.38</c:v>
                </c:pt>
                <c:pt idx="14239">
                  <c:v>42.39</c:v>
                </c:pt>
                <c:pt idx="14240">
                  <c:v>42.4</c:v>
                </c:pt>
                <c:pt idx="14241">
                  <c:v>42.41</c:v>
                </c:pt>
                <c:pt idx="14242">
                  <c:v>42.42</c:v>
                </c:pt>
                <c:pt idx="14243">
                  <c:v>42.43</c:v>
                </c:pt>
                <c:pt idx="14244">
                  <c:v>42.44</c:v>
                </c:pt>
                <c:pt idx="14245">
                  <c:v>42.45</c:v>
                </c:pt>
                <c:pt idx="14246">
                  <c:v>42.46</c:v>
                </c:pt>
                <c:pt idx="14247">
                  <c:v>42.47</c:v>
                </c:pt>
                <c:pt idx="14248">
                  <c:v>42.48</c:v>
                </c:pt>
                <c:pt idx="14249">
                  <c:v>42.49</c:v>
                </c:pt>
                <c:pt idx="14250">
                  <c:v>42.5</c:v>
                </c:pt>
                <c:pt idx="14251">
                  <c:v>42.51</c:v>
                </c:pt>
                <c:pt idx="14252">
                  <c:v>42.52</c:v>
                </c:pt>
                <c:pt idx="14253">
                  <c:v>42.53</c:v>
                </c:pt>
                <c:pt idx="14254">
                  <c:v>42.54</c:v>
                </c:pt>
                <c:pt idx="14255">
                  <c:v>42.55</c:v>
                </c:pt>
                <c:pt idx="14256">
                  <c:v>42.56</c:v>
                </c:pt>
                <c:pt idx="14257">
                  <c:v>42.57</c:v>
                </c:pt>
                <c:pt idx="14258">
                  <c:v>42.58</c:v>
                </c:pt>
                <c:pt idx="14259">
                  <c:v>42.59</c:v>
                </c:pt>
                <c:pt idx="14260">
                  <c:v>42.6</c:v>
                </c:pt>
                <c:pt idx="14261">
                  <c:v>42.61</c:v>
                </c:pt>
                <c:pt idx="14262">
                  <c:v>42.62</c:v>
                </c:pt>
                <c:pt idx="14263">
                  <c:v>42.63</c:v>
                </c:pt>
                <c:pt idx="14264">
                  <c:v>42.64</c:v>
                </c:pt>
                <c:pt idx="14265">
                  <c:v>42.65</c:v>
                </c:pt>
                <c:pt idx="14266">
                  <c:v>42.66</c:v>
                </c:pt>
                <c:pt idx="14267">
                  <c:v>42.67</c:v>
                </c:pt>
                <c:pt idx="14268">
                  <c:v>42.68</c:v>
                </c:pt>
                <c:pt idx="14269">
                  <c:v>42.69</c:v>
                </c:pt>
                <c:pt idx="14270">
                  <c:v>42.7</c:v>
                </c:pt>
                <c:pt idx="14271">
                  <c:v>42.71</c:v>
                </c:pt>
                <c:pt idx="14272">
                  <c:v>42.72</c:v>
                </c:pt>
                <c:pt idx="14273">
                  <c:v>42.73</c:v>
                </c:pt>
                <c:pt idx="14274">
                  <c:v>42.74</c:v>
                </c:pt>
                <c:pt idx="14275">
                  <c:v>42.75</c:v>
                </c:pt>
                <c:pt idx="14276">
                  <c:v>42.76</c:v>
                </c:pt>
                <c:pt idx="14277">
                  <c:v>42.77</c:v>
                </c:pt>
                <c:pt idx="14278">
                  <c:v>42.78</c:v>
                </c:pt>
                <c:pt idx="14279">
                  <c:v>42.79</c:v>
                </c:pt>
                <c:pt idx="14280">
                  <c:v>42.8</c:v>
                </c:pt>
                <c:pt idx="14281">
                  <c:v>42.81</c:v>
                </c:pt>
                <c:pt idx="14282">
                  <c:v>42.82</c:v>
                </c:pt>
                <c:pt idx="14283">
                  <c:v>42.83</c:v>
                </c:pt>
                <c:pt idx="14284">
                  <c:v>42.84</c:v>
                </c:pt>
                <c:pt idx="14285">
                  <c:v>42.85</c:v>
                </c:pt>
                <c:pt idx="14286">
                  <c:v>42.86</c:v>
                </c:pt>
                <c:pt idx="14287">
                  <c:v>42.87</c:v>
                </c:pt>
                <c:pt idx="14288">
                  <c:v>42.88</c:v>
                </c:pt>
                <c:pt idx="14289">
                  <c:v>42.89</c:v>
                </c:pt>
                <c:pt idx="14290">
                  <c:v>42.9</c:v>
                </c:pt>
                <c:pt idx="14291">
                  <c:v>42.91</c:v>
                </c:pt>
                <c:pt idx="14292">
                  <c:v>42.92</c:v>
                </c:pt>
                <c:pt idx="14293">
                  <c:v>42.93</c:v>
                </c:pt>
                <c:pt idx="14294">
                  <c:v>42.94</c:v>
                </c:pt>
                <c:pt idx="14295">
                  <c:v>42.95</c:v>
                </c:pt>
                <c:pt idx="14296">
                  <c:v>42.96</c:v>
                </c:pt>
                <c:pt idx="14297">
                  <c:v>42.97</c:v>
                </c:pt>
                <c:pt idx="14298">
                  <c:v>42.98</c:v>
                </c:pt>
                <c:pt idx="14299">
                  <c:v>42.99</c:v>
                </c:pt>
                <c:pt idx="14300">
                  <c:v>43.0</c:v>
                </c:pt>
                <c:pt idx="14301">
                  <c:v>43.01</c:v>
                </c:pt>
                <c:pt idx="14302">
                  <c:v>43.02</c:v>
                </c:pt>
                <c:pt idx="14303">
                  <c:v>43.03</c:v>
                </c:pt>
                <c:pt idx="14304">
                  <c:v>43.04</c:v>
                </c:pt>
                <c:pt idx="14305">
                  <c:v>43.05</c:v>
                </c:pt>
                <c:pt idx="14306">
                  <c:v>43.06</c:v>
                </c:pt>
                <c:pt idx="14307">
                  <c:v>43.07</c:v>
                </c:pt>
                <c:pt idx="14308">
                  <c:v>43.08</c:v>
                </c:pt>
                <c:pt idx="14309">
                  <c:v>43.09</c:v>
                </c:pt>
                <c:pt idx="14310">
                  <c:v>43.1</c:v>
                </c:pt>
                <c:pt idx="14311">
                  <c:v>43.11</c:v>
                </c:pt>
                <c:pt idx="14312">
                  <c:v>43.12</c:v>
                </c:pt>
                <c:pt idx="14313">
                  <c:v>43.13</c:v>
                </c:pt>
                <c:pt idx="14314">
                  <c:v>43.14</c:v>
                </c:pt>
                <c:pt idx="14315">
                  <c:v>43.15</c:v>
                </c:pt>
                <c:pt idx="14316">
                  <c:v>43.16</c:v>
                </c:pt>
                <c:pt idx="14317">
                  <c:v>43.17</c:v>
                </c:pt>
                <c:pt idx="14318">
                  <c:v>43.18</c:v>
                </c:pt>
                <c:pt idx="14319">
                  <c:v>43.19</c:v>
                </c:pt>
                <c:pt idx="14320">
                  <c:v>43.2</c:v>
                </c:pt>
                <c:pt idx="14321">
                  <c:v>43.21</c:v>
                </c:pt>
                <c:pt idx="14322">
                  <c:v>43.22</c:v>
                </c:pt>
                <c:pt idx="14323">
                  <c:v>43.23</c:v>
                </c:pt>
                <c:pt idx="14324">
                  <c:v>43.24</c:v>
                </c:pt>
                <c:pt idx="14325">
                  <c:v>43.25</c:v>
                </c:pt>
                <c:pt idx="14326">
                  <c:v>43.26</c:v>
                </c:pt>
                <c:pt idx="14327">
                  <c:v>43.27</c:v>
                </c:pt>
                <c:pt idx="14328">
                  <c:v>43.28</c:v>
                </c:pt>
                <c:pt idx="14329">
                  <c:v>43.29</c:v>
                </c:pt>
                <c:pt idx="14330">
                  <c:v>43.3</c:v>
                </c:pt>
                <c:pt idx="14331">
                  <c:v>43.31</c:v>
                </c:pt>
                <c:pt idx="14332">
                  <c:v>43.32</c:v>
                </c:pt>
                <c:pt idx="14333">
                  <c:v>43.33</c:v>
                </c:pt>
                <c:pt idx="14334">
                  <c:v>43.34</c:v>
                </c:pt>
                <c:pt idx="14335">
                  <c:v>43.35</c:v>
                </c:pt>
                <c:pt idx="14336">
                  <c:v>43.36</c:v>
                </c:pt>
                <c:pt idx="14337">
                  <c:v>43.37</c:v>
                </c:pt>
                <c:pt idx="14338">
                  <c:v>43.38</c:v>
                </c:pt>
                <c:pt idx="14339">
                  <c:v>43.39</c:v>
                </c:pt>
                <c:pt idx="14340">
                  <c:v>43.4</c:v>
                </c:pt>
                <c:pt idx="14341">
                  <c:v>43.41</c:v>
                </c:pt>
                <c:pt idx="14342">
                  <c:v>43.42</c:v>
                </c:pt>
                <c:pt idx="14343">
                  <c:v>43.43</c:v>
                </c:pt>
                <c:pt idx="14344">
                  <c:v>43.44</c:v>
                </c:pt>
                <c:pt idx="14345">
                  <c:v>43.45</c:v>
                </c:pt>
                <c:pt idx="14346">
                  <c:v>43.46</c:v>
                </c:pt>
                <c:pt idx="14347">
                  <c:v>43.47</c:v>
                </c:pt>
                <c:pt idx="14348">
                  <c:v>43.48</c:v>
                </c:pt>
                <c:pt idx="14349">
                  <c:v>43.49</c:v>
                </c:pt>
                <c:pt idx="14350">
                  <c:v>43.5</c:v>
                </c:pt>
                <c:pt idx="14351">
                  <c:v>43.51</c:v>
                </c:pt>
                <c:pt idx="14352">
                  <c:v>43.52</c:v>
                </c:pt>
                <c:pt idx="14353">
                  <c:v>43.53</c:v>
                </c:pt>
                <c:pt idx="14354">
                  <c:v>43.54</c:v>
                </c:pt>
                <c:pt idx="14355">
                  <c:v>43.55</c:v>
                </c:pt>
                <c:pt idx="14356">
                  <c:v>43.56</c:v>
                </c:pt>
                <c:pt idx="14357">
                  <c:v>43.57</c:v>
                </c:pt>
                <c:pt idx="14358">
                  <c:v>43.58</c:v>
                </c:pt>
                <c:pt idx="14359">
                  <c:v>43.59</c:v>
                </c:pt>
                <c:pt idx="14360">
                  <c:v>43.6</c:v>
                </c:pt>
                <c:pt idx="14361">
                  <c:v>43.61</c:v>
                </c:pt>
                <c:pt idx="14362">
                  <c:v>43.62</c:v>
                </c:pt>
                <c:pt idx="14363">
                  <c:v>43.63</c:v>
                </c:pt>
                <c:pt idx="14364">
                  <c:v>43.64</c:v>
                </c:pt>
                <c:pt idx="14365">
                  <c:v>43.65</c:v>
                </c:pt>
                <c:pt idx="14366">
                  <c:v>43.66</c:v>
                </c:pt>
                <c:pt idx="14367">
                  <c:v>43.67</c:v>
                </c:pt>
                <c:pt idx="14368">
                  <c:v>43.68</c:v>
                </c:pt>
                <c:pt idx="14369">
                  <c:v>43.69</c:v>
                </c:pt>
                <c:pt idx="14370">
                  <c:v>43.7</c:v>
                </c:pt>
                <c:pt idx="14371">
                  <c:v>43.71</c:v>
                </c:pt>
                <c:pt idx="14372">
                  <c:v>43.72</c:v>
                </c:pt>
                <c:pt idx="14373">
                  <c:v>43.73</c:v>
                </c:pt>
                <c:pt idx="14374">
                  <c:v>43.74</c:v>
                </c:pt>
                <c:pt idx="14375">
                  <c:v>43.75</c:v>
                </c:pt>
                <c:pt idx="14376">
                  <c:v>43.76</c:v>
                </c:pt>
                <c:pt idx="14377">
                  <c:v>43.77</c:v>
                </c:pt>
                <c:pt idx="14378">
                  <c:v>43.78</c:v>
                </c:pt>
                <c:pt idx="14379">
                  <c:v>43.79</c:v>
                </c:pt>
                <c:pt idx="14380">
                  <c:v>43.8</c:v>
                </c:pt>
                <c:pt idx="14381">
                  <c:v>43.81</c:v>
                </c:pt>
                <c:pt idx="14382">
                  <c:v>43.82</c:v>
                </c:pt>
                <c:pt idx="14383">
                  <c:v>43.83</c:v>
                </c:pt>
                <c:pt idx="14384">
                  <c:v>43.84</c:v>
                </c:pt>
                <c:pt idx="14385">
                  <c:v>43.85</c:v>
                </c:pt>
                <c:pt idx="14386">
                  <c:v>43.86</c:v>
                </c:pt>
                <c:pt idx="14387">
                  <c:v>43.87</c:v>
                </c:pt>
                <c:pt idx="14388">
                  <c:v>43.88</c:v>
                </c:pt>
                <c:pt idx="14389">
                  <c:v>43.89</c:v>
                </c:pt>
                <c:pt idx="14390">
                  <c:v>43.9</c:v>
                </c:pt>
                <c:pt idx="14391">
                  <c:v>43.91</c:v>
                </c:pt>
                <c:pt idx="14392">
                  <c:v>43.92</c:v>
                </c:pt>
                <c:pt idx="14393">
                  <c:v>43.93</c:v>
                </c:pt>
                <c:pt idx="14394">
                  <c:v>43.94</c:v>
                </c:pt>
                <c:pt idx="14395">
                  <c:v>43.95</c:v>
                </c:pt>
                <c:pt idx="14396">
                  <c:v>43.96</c:v>
                </c:pt>
                <c:pt idx="14397">
                  <c:v>43.97</c:v>
                </c:pt>
                <c:pt idx="14398">
                  <c:v>43.98</c:v>
                </c:pt>
                <c:pt idx="14399">
                  <c:v>43.99</c:v>
                </c:pt>
                <c:pt idx="14400">
                  <c:v>44.0</c:v>
                </c:pt>
                <c:pt idx="14401">
                  <c:v>44.01</c:v>
                </c:pt>
                <c:pt idx="14402">
                  <c:v>44.02</c:v>
                </c:pt>
                <c:pt idx="14403">
                  <c:v>44.03</c:v>
                </c:pt>
                <c:pt idx="14404">
                  <c:v>44.04</c:v>
                </c:pt>
                <c:pt idx="14405">
                  <c:v>44.05</c:v>
                </c:pt>
                <c:pt idx="14406">
                  <c:v>44.06</c:v>
                </c:pt>
                <c:pt idx="14407">
                  <c:v>44.07</c:v>
                </c:pt>
                <c:pt idx="14408">
                  <c:v>44.08</c:v>
                </c:pt>
                <c:pt idx="14409">
                  <c:v>44.09</c:v>
                </c:pt>
                <c:pt idx="14410">
                  <c:v>44.1</c:v>
                </c:pt>
                <c:pt idx="14411">
                  <c:v>44.11</c:v>
                </c:pt>
                <c:pt idx="14412">
                  <c:v>44.12</c:v>
                </c:pt>
                <c:pt idx="14413">
                  <c:v>44.13</c:v>
                </c:pt>
                <c:pt idx="14414">
                  <c:v>44.14</c:v>
                </c:pt>
                <c:pt idx="14415">
                  <c:v>44.15</c:v>
                </c:pt>
                <c:pt idx="14416">
                  <c:v>44.16</c:v>
                </c:pt>
                <c:pt idx="14417">
                  <c:v>44.17</c:v>
                </c:pt>
                <c:pt idx="14418">
                  <c:v>44.18</c:v>
                </c:pt>
                <c:pt idx="14419">
                  <c:v>44.19</c:v>
                </c:pt>
                <c:pt idx="14420">
                  <c:v>44.2</c:v>
                </c:pt>
                <c:pt idx="14421">
                  <c:v>44.21</c:v>
                </c:pt>
                <c:pt idx="14422">
                  <c:v>44.22</c:v>
                </c:pt>
                <c:pt idx="14423">
                  <c:v>44.23</c:v>
                </c:pt>
                <c:pt idx="14424">
                  <c:v>44.24</c:v>
                </c:pt>
                <c:pt idx="14425">
                  <c:v>44.25</c:v>
                </c:pt>
                <c:pt idx="14426">
                  <c:v>44.26</c:v>
                </c:pt>
                <c:pt idx="14427">
                  <c:v>44.27</c:v>
                </c:pt>
                <c:pt idx="14428">
                  <c:v>44.28</c:v>
                </c:pt>
                <c:pt idx="14429">
                  <c:v>44.29</c:v>
                </c:pt>
                <c:pt idx="14430">
                  <c:v>44.3</c:v>
                </c:pt>
                <c:pt idx="14431">
                  <c:v>44.31</c:v>
                </c:pt>
                <c:pt idx="14432">
                  <c:v>44.32</c:v>
                </c:pt>
                <c:pt idx="14433">
                  <c:v>44.33</c:v>
                </c:pt>
                <c:pt idx="14434">
                  <c:v>44.34</c:v>
                </c:pt>
                <c:pt idx="14435">
                  <c:v>44.35</c:v>
                </c:pt>
                <c:pt idx="14436">
                  <c:v>44.36</c:v>
                </c:pt>
                <c:pt idx="14437">
                  <c:v>44.37</c:v>
                </c:pt>
                <c:pt idx="14438">
                  <c:v>44.38</c:v>
                </c:pt>
                <c:pt idx="14439">
                  <c:v>44.39</c:v>
                </c:pt>
                <c:pt idx="14440">
                  <c:v>44.4</c:v>
                </c:pt>
                <c:pt idx="14441">
                  <c:v>44.41</c:v>
                </c:pt>
                <c:pt idx="14442">
                  <c:v>44.42</c:v>
                </c:pt>
                <c:pt idx="14443">
                  <c:v>44.43</c:v>
                </c:pt>
                <c:pt idx="14444">
                  <c:v>44.44</c:v>
                </c:pt>
                <c:pt idx="14445">
                  <c:v>44.45</c:v>
                </c:pt>
                <c:pt idx="14446">
                  <c:v>44.46</c:v>
                </c:pt>
                <c:pt idx="14447">
                  <c:v>44.47</c:v>
                </c:pt>
                <c:pt idx="14448">
                  <c:v>44.48</c:v>
                </c:pt>
                <c:pt idx="14449">
                  <c:v>44.49</c:v>
                </c:pt>
                <c:pt idx="14450">
                  <c:v>44.5</c:v>
                </c:pt>
                <c:pt idx="14451">
                  <c:v>44.51</c:v>
                </c:pt>
                <c:pt idx="14452">
                  <c:v>44.52</c:v>
                </c:pt>
                <c:pt idx="14453">
                  <c:v>44.53</c:v>
                </c:pt>
                <c:pt idx="14454">
                  <c:v>44.54</c:v>
                </c:pt>
                <c:pt idx="14455">
                  <c:v>44.55</c:v>
                </c:pt>
                <c:pt idx="14456">
                  <c:v>44.56</c:v>
                </c:pt>
                <c:pt idx="14457">
                  <c:v>44.57</c:v>
                </c:pt>
                <c:pt idx="14458">
                  <c:v>44.58</c:v>
                </c:pt>
                <c:pt idx="14459">
                  <c:v>44.59</c:v>
                </c:pt>
                <c:pt idx="14460">
                  <c:v>44.6</c:v>
                </c:pt>
                <c:pt idx="14461">
                  <c:v>44.61</c:v>
                </c:pt>
                <c:pt idx="14462">
                  <c:v>44.62</c:v>
                </c:pt>
                <c:pt idx="14463">
                  <c:v>44.63</c:v>
                </c:pt>
                <c:pt idx="14464">
                  <c:v>44.64</c:v>
                </c:pt>
                <c:pt idx="14465">
                  <c:v>44.65</c:v>
                </c:pt>
                <c:pt idx="14466">
                  <c:v>44.66</c:v>
                </c:pt>
                <c:pt idx="14467">
                  <c:v>44.67</c:v>
                </c:pt>
                <c:pt idx="14468">
                  <c:v>44.68</c:v>
                </c:pt>
                <c:pt idx="14469">
                  <c:v>44.69</c:v>
                </c:pt>
                <c:pt idx="14470">
                  <c:v>44.7</c:v>
                </c:pt>
                <c:pt idx="14471">
                  <c:v>44.71</c:v>
                </c:pt>
                <c:pt idx="14472">
                  <c:v>44.72</c:v>
                </c:pt>
                <c:pt idx="14473">
                  <c:v>44.73</c:v>
                </c:pt>
                <c:pt idx="14474">
                  <c:v>44.74</c:v>
                </c:pt>
                <c:pt idx="14475">
                  <c:v>44.75</c:v>
                </c:pt>
                <c:pt idx="14476">
                  <c:v>44.76</c:v>
                </c:pt>
                <c:pt idx="14477">
                  <c:v>44.77</c:v>
                </c:pt>
                <c:pt idx="14478">
                  <c:v>44.78</c:v>
                </c:pt>
                <c:pt idx="14479">
                  <c:v>44.79</c:v>
                </c:pt>
                <c:pt idx="14480">
                  <c:v>44.8</c:v>
                </c:pt>
                <c:pt idx="14481">
                  <c:v>44.81</c:v>
                </c:pt>
                <c:pt idx="14482">
                  <c:v>44.82</c:v>
                </c:pt>
                <c:pt idx="14483">
                  <c:v>44.83</c:v>
                </c:pt>
                <c:pt idx="14484">
                  <c:v>44.84</c:v>
                </c:pt>
                <c:pt idx="14485">
                  <c:v>44.85</c:v>
                </c:pt>
                <c:pt idx="14486">
                  <c:v>44.86</c:v>
                </c:pt>
                <c:pt idx="14487">
                  <c:v>44.87</c:v>
                </c:pt>
                <c:pt idx="14488">
                  <c:v>44.88</c:v>
                </c:pt>
                <c:pt idx="14489">
                  <c:v>44.89</c:v>
                </c:pt>
                <c:pt idx="14490">
                  <c:v>44.9</c:v>
                </c:pt>
                <c:pt idx="14491">
                  <c:v>44.91</c:v>
                </c:pt>
                <c:pt idx="14492">
                  <c:v>44.92</c:v>
                </c:pt>
                <c:pt idx="14493">
                  <c:v>44.93</c:v>
                </c:pt>
                <c:pt idx="14494">
                  <c:v>44.94</c:v>
                </c:pt>
                <c:pt idx="14495">
                  <c:v>44.95</c:v>
                </c:pt>
                <c:pt idx="14496">
                  <c:v>44.96</c:v>
                </c:pt>
                <c:pt idx="14497">
                  <c:v>44.97</c:v>
                </c:pt>
                <c:pt idx="14498">
                  <c:v>44.98</c:v>
                </c:pt>
                <c:pt idx="14499">
                  <c:v>44.99</c:v>
                </c:pt>
                <c:pt idx="14500">
                  <c:v>45.0</c:v>
                </c:pt>
                <c:pt idx="14501">
                  <c:v>45.01</c:v>
                </c:pt>
                <c:pt idx="14502">
                  <c:v>45.02</c:v>
                </c:pt>
                <c:pt idx="14503">
                  <c:v>45.03</c:v>
                </c:pt>
                <c:pt idx="14504">
                  <c:v>45.04</c:v>
                </c:pt>
                <c:pt idx="14505">
                  <c:v>45.05</c:v>
                </c:pt>
                <c:pt idx="14506">
                  <c:v>45.06</c:v>
                </c:pt>
                <c:pt idx="14507">
                  <c:v>45.07</c:v>
                </c:pt>
                <c:pt idx="14508">
                  <c:v>45.08</c:v>
                </c:pt>
                <c:pt idx="14509">
                  <c:v>45.09</c:v>
                </c:pt>
                <c:pt idx="14510">
                  <c:v>45.1</c:v>
                </c:pt>
                <c:pt idx="14511">
                  <c:v>45.11</c:v>
                </c:pt>
                <c:pt idx="14512">
                  <c:v>45.12</c:v>
                </c:pt>
                <c:pt idx="14513">
                  <c:v>45.13</c:v>
                </c:pt>
                <c:pt idx="14514">
                  <c:v>45.14</c:v>
                </c:pt>
                <c:pt idx="14515">
                  <c:v>45.15</c:v>
                </c:pt>
                <c:pt idx="14516">
                  <c:v>45.16</c:v>
                </c:pt>
                <c:pt idx="14517">
                  <c:v>45.17</c:v>
                </c:pt>
                <c:pt idx="14518">
                  <c:v>45.18</c:v>
                </c:pt>
                <c:pt idx="14519">
                  <c:v>45.19</c:v>
                </c:pt>
                <c:pt idx="14520">
                  <c:v>45.2</c:v>
                </c:pt>
                <c:pt idx="14521">
                  <c:v>45.21</c:v>
                </c:pt>
                <c:pt idx="14522">
                  <c:v>45.22</c:v>
                </c:pt>
                <c:pt idx="14523">
                  <c:v>45.23</c:v>
                </c:pt>
                <c:pt idx="14524">
                  <c:v>45.24</c:v>
                </c:pt>
                <c:pt idx="14525">
                  <c:v>45.25</c:v>
                </c:pt>
                <c:pt idx="14526">
                  <c:v>45.26</c:v>
                </c:pt>
                <c:pt idx="14527">
                  <c:v>45.27</c:v>
                </c:pt>
                <c:pt idx="14528">
                  <c:v>45.28</c:v>
                </c:pt>
                <c:pt idx="14529">
                  <c:v>45.29</c:v>
                </c:pt>
                <c:pt idx="14530">
                  <c:v>45.3</c:v>
                </c:pt>
                <c:pt idx="14531">
                  <c:v>45.31</c:v>
                </c:pt>
                <c:pt idx="14532">
                  <c:v>45.32</c:v>
                </c:pt>
                <c:pt idx="14533">
                  <c:v>45.33</c:v>
                </c:pt>
                <c:pt idx="14534">
                  <c:v>45.34</c:v>
                </c:pt>
                <c:pt idx="14535">
                  <c:v>45.35</c:v>
                </c:pt>
                <c:pt idx="14536">
                  <c:v>45.36</c:v>
                </c:pt>
                <c:pt idx="14537">
                  <c:v>45.37</c:v>
                </c:pt>
                <c:pt idx="14538">
                  <c:v>45.38</c:v>
                </c:pt>
                <c:pt idx="14539">
                  <c:v>45.39</c:v>
                </c:pt>
                <c:pt idx="14540">
                  <c:v>45.4</c:v>
                </c:pt>
                <c:pt idx="14541">
                  <c:v>45.41</c:v>
                </c:pt>
                <c:pt idx="14542">
                  <c:v>45.42</c:v>
                </c:pt>
                <c:pt idx="14543">
                  <c:v>45.43</c:v>
                </c:pt>
                <c:pt idx="14544">
                  <c:v>45.44</c:v>
                </c:pt>
                <c:pt idx="14545">
                  <c:v>45.45</c:v>
                </c:pt>
                <c:pt idx="14546">
                  <c:v>45.46</c:v>
                </c:pt>
                <c:pt idx="14547">
                  <c:v>45.47</c:v>
                </c:pt>
                <c:pt idx="14548">
                  <c:v>45.48</c:v>
                </c:pt>
                <c:pt idx="14549">
                  <c:v>45.49</c:v>
                </c:pt>
                <c:pt idx="14550">
                  <c:v>45.5</c:v>
                </c:pt>
                <c:pt idx="14551">
                  <c:v>45.51</c:v>
                </c:pt>
                <c:pt idx="14552">
                  <c:v>45.52</c:v>
                </c:pt>
                <c:pt idx="14553">
                  <c:v>45.53</c:v>
                </c:pt>
                <c:pt idx="14554">
                  <c:v>45.54</c:v>
                </c:pt>
                <c:pt idx="14555">
                  <c:v>45.55</c:v>
                </c:pt>
                <c:pt idx="14556">
                  <c:v>45.56</c:v>
                </c:pt>
                <c:pt idx="14557">
                  <c:v>45.57</c:v>
                </c:pt>
                <c:pt idx="14558">
                  <c:v>45.58</c:v>
                </c:pt>
                <c:pt idx="14559">
                  <c:v>45.59</c:v>
                </c:pt>
                <c:pt idx="14560">
                  <c:v>45.6</c:v>
                </c:pt>
                <c:pt idx="14561">
                  <c:v>45.61</c:v>
                </c:pt>
                <c:pt idx="14562">
                  <c:v>45.62</c:v>
                </c:pt>
                <c:pt idx="14563">
                  <c:v>45.63</c:v>
                </c:pt>
                <c:pt idx="14564">
                  <c:v>45.64</c:v>
                </c:pt>
                <c:pt idx="14565">
                  <c:v>45.65</c:v>
                </c:pt>
                <c:pt idx="14566">
                  <c:v>45.66</c:v>
                </c:pt>
                <c:pt idx="14567">
                  <c:v>45.67</c:v>
                </c:pt>
                <c:pt idx="14568">
                  <c:v>45.68</c:v>
                </c:pt>
                <c:pt idx="14569">
                  <c:v>45.69</c:v>
                </c:pt>
                <c:pt idx="14570">
                  <c:v>45.7</c:v>
                </c:pt>
                <c:pt idx="14571">
                  <c:v>45.71</c:v>
                </c:pt>
                <c:pt idx="14572">
                  <c:v>45.72</c:v>
                </c:pt>
                <c:pt idx="14573">
                  <c:v>45.73</c:v>
                </c:pt>
                <c:pt idx="14574">
                  <c:v>45.74</c:v>
                </c:pt>
                <c:pt idx="14575">
                  <c:v>45.75</c:v>
                </c:pt>
                <c:pt idx="14576">
                  <c:v>45.76</c:v>
                </c:pt>
                <c:pt idx="14577">
                  <c:v>45.77</c:v>
                </c:pt>
                <c:pt idx="14578">
                  <c:v>45.78</c:v>
                </c:pt>
                <c:pt idx="14579">
                  <c:v>45.79</c:v>
                </c:pt>
                <c:pt idx="14580">
                  <c:v>45.8</c:v>
                </c:pt>
                <c:pt idx="14581">
                  <c:v>45.81</c:v>
                </c:pt>
                <c:pt idx="14582">
                  <c:v>45.82</c:v>
                </c:pt>
                <c:pt idx="14583">
                  <c:v>45.83</c:v>
                </c:pt>
                <c:pt idx="14584">
                  <c:v>45.84</c:v>
                </c:pt>
                <c:pt idx="14585">
                  <c:v>45.85</c:v>
                </c:pt>
                <c:pt idx="14586">
                  <c:v>45.86</c:v>
                </c:pt>
                <c:pt idx="14587">
                  <c:v>45.87</c:v>
                </c:pt>
                <c:pt idx="14588">
                  <c:v>45.88</c:v>
                </c:pt>
                <c:pt idx="14589">
                  <c:v>45.89</c:v>
                </c:pt>
                <c:pt idx="14590">
                  <c:v>45.9</c:v>
                </c:pt>
                <c:pt idx="14591">
                  <c:v>45.91</c:v>
                </c:pt>
                <c:pt idx="14592">
                  <c:v>45.92</c:v>
                </c:pt>
                <c:pt idx="14593">
                  <c:v>45.93</c:v>
                </c:pt>
                <c:pt idx="14594">
                  <c:v>45.94</c:v>
                </c:pt>
                <c:pt idx="14595">
                  <c:v>45.95</c:v>
                </c:pt>
                <c:pt idx="14596">
                  <c:v>45.96</c:v>
                </c:pt>
                <c:pt idx="14597">
                  <c:v>45.97</c:v>
                </c:pt>
                <c:pt idx="14598">
                  <c:v>45.98</c:v>
                </c:pt>
                <c:pt idx="14599">
                  <c:v>45.99</c:v>
                </c:pt>
                <c:pt idx="14600">
                  <c:v>46.0</c:v>
                </c:pt>
                <c:pt idx="14601">
                  <c:v>46.01</c:v>
                </c:pt>
                <c:pt idx="14602">
                  <c:v>46.02</c:v>
                </c:pt>
                <c:pt idx="14603">
                  <c:v>46.03</c:v>
                </c:pt>
                <c:pt idx="14604">
                  <c:v>46.04</c:v>
                </c:pt>
                <c:pt idx="14605">
                  <c:v>46.05</c:v>
                </c:pt>
                <c:pt idx="14606">
                  <c:v>46.06</c:v>
                </c:pt>
                <c:pt idx="14607">
                  <c:v>46.07</c:v>
                </c:pt>
                <c:pt idx="14608">
                  <c:v>46.08</c:v>
                </c:pt>
                <c:pt idx="14609">
                  <c:v>46.09</c:v>
                </c:pt>
                <c:pt idx="14610">
                  <c:v>46.1</c:v>
                </c:pt>
                <c:pt idx="14611">
                  <c:v>46.11</c:v>
                </c:pt>
                <c:pt idx="14612">
                  <c:v>46.12</c:v>
                </c:pt>
                <c:pt idx="14613">
                  <c:v>46.13</c:v>
                </c:pt>
                <c:pt idx="14614">
                  <c:v>46.14</c:v>
                </c:pt>
                <c:pt idx="14615">
                  <c:v>46.15</c:v>
                </c:pt>
                <c:pt idx="14616">
                  <c:v>46.16</c:v>
                </c:pt>
                <c:pt idx="14617">
                  <c:v>46.17</c:v>
                </c:pt>
                <c:pt idx="14618">
                  <c:v>46.18</c:v>
                </c:pt>
                <c:pt idx="14619">
                  <c:v>46.19</c:v>
                </c:pt>
                <c:pt idx="14620">
                  <c:v>46.2</c:v>
                </c:pt>
                <c:pt idx="14621">
                  <c:v>46.21</c:v>
                </c:pt>
                <c:pt idx="14622">
                  <c:v>46.22</c:v>
                </c:pt>
                <c:pt idx="14623">
                  <c:v>46.23</c:v>
                </c:pt>
                <c:pt idx="14624">
                  <c:v>46.24</c:v>
                </c:pt>
                <c:pt idx="14625">
                  <c:v>46.25</c:v>
                </c:pt>
                <c:pt idx="14626">
                  <c:v>46.26</c:v>
                </c:pt>
                <c:pt idx="14627">
                  <c:v>46.27</c:v>
                </c:pt>
                <c:pt idx="14628">
                  <c:v>46.28</c:v>
                </c:pt>
                <c:pt idx="14629">
                  <c:v>46.29</c:v>
                </c:pt>
                <c:pt idx="14630">
                  <c:v>46.3</c:v>
                </c:pt>
                <c:pt idx="14631">
                  <c:v>46.31</c:v>
                </c:pt>
                <c:pt idx="14632">
                  <c:v>46.32</c:v>
                </c:pt>
                <c:pt idx="14633">
                  <c:v>46.33</c:v>
                </c:pt>
                <c:pt idx="14634">
                  <c:v>46.34</c:v>
                </c:pt>
                <c:pt idx="14635">
                  <c:v>46.35</c:v>
                </c:pt>
                <c:pt idx="14636">
                  <c:v>46.36</c:v>
                </c:pt>
                <c:pt idx="14637">
                  <c:v>46.37</c:v>
                </c:pt>
                <c:pt idx="14638">
                  <c:v>46.38</c:v>
                </c:pt>
                <c:pt idx="14639">
                  <c:v>46.39</c:v>
                </c:pt>
                <c:pt idx="14640">
                  <c:v>46.4</c:v>
                </c:pt>
                <c:pt idx="14641">
                  <c:v>46.41</c:v>
                </c:pt>
                <c:pt idx="14642">
                  <c:v>46.42</c:v>
                </c:pt>
                <c:pt idx="14643">
                  <c:v>46.43</c:v>
                </c:pt>
                <c:pt idx="14644">
                  <c:v>46.44</c:v>
                </c:pt>
                <c:pt idx="14645">
                  <c:v>46.45</c:v>
                </c:pt>
                <c:pt idx="14646">
                  <c:v>46.46</c:v>
                </c:pt>
                <c:pt idx="14647">
                  <c:v>46.47</c:v>
                </c:pt>
                <c:pt idx="14648">
                  <c:v>46.48</c:v>
                </c:pt>
                <c:pt idx="14649">
                  <c:v>46.49</c:v>
                </c:pt>
                <c:pt idx="14650">
                  <c:v>46.5</c:v>
                </c:pt>
                <c:pt idx="14651">
                  <c:v>46.51</c:v>
                </c:pt>
                <c:pt idx="14652">
                  <c:v>46.52</c:v>
                </c:pt>
                <c:pt idx="14653">
                  <c:v>46.53</c:v>
                </c:pt>
                <c:pt idx="14654">
                  <c:v>46.54</c:v>
                </c:pt>
                <c:pt idx="14655">
                  <c:v>46.55</c:v>
                </c:pt>
                <c:pt idx="14656">
                  <c:v>46.56</c:v>
                </c:pt>
                <c:pt idx="14657">
                  <c:v>46.57</c:v>
                </c:pt>
                <c:pt idx="14658">
                  <c:v>46.58</c:v>
                </c:pt>
                <c:pt idx="14659">
                  <c:v>46.59</c:v>
                </c:pt>
                <c:pt idx="14660">
                  <c:v>46.6</c:v>
                </c:pt>
                <c:pt idx="14661">
                  <c:v>46.61</c:v>
                </c:pt>
                <c:pt idx="14662">
                  <c:v>46.62</c:v>
                </c:pt>
                <c:pt idx="14663">
                  <c:v>46.63</c:v>
                </c:pt>
                <c:pt idx="14664">
                  <c:v>46.64</c:v>
                </c:pt>
                <c:pt idx="14665">
                  <c:v>46.65</c:v>
                </c:pt>
                <c:pt idx="14666">
                  <c:v>46.66</c:v>
                </c:pt>
                <c:pt idx="14667">
                  <c:v>46.67</c:v>
                </c:pt>
                <c:pt idx="14668">
                  <c:v>46.68</c:v>
                </c:pt>
                <c:pt idx="14669">
                  <c:v>46.69</c:v>
                </c:pt>
                <c:pt idx="14670">
                  <c:v>46.7</c:v>
                </c:pt>
                <c:pt idx="14671">
                  <c:v>46.71</c:v>
                </c:pt>
                <c:pt idx="14672">
                  <c:v>46.72</c:v>
                </c:pt>
                <c:pt idx="14673">
                  <c:v>46.73</c:v>
                </c:pt>
                <c:pt idx="14674">
                  <c:v>46.74</c:v>
                </c:pt>
                <c:pt idx="14675">
                  <c:v>46.75</c:v>
                </c:pt>
                <c:pt idx="14676">
                  <c:v>46.76</c:v>
                </c:pt>
                <c:pt idx="14677">
                  <c:v>46.77</c:v>
                </c:pt>
                <c:pt idx="14678">
                  <c:v>46.78</c:v>
                </c:pt>
                <c:pt idx="14679">
                  <c:v>46.79</c:v>
                </c:pt>
                <c:pt idx="14680">
                  <c:v>46.8</c:v>
                </c:pt>
                <c:pt idx="14681">
                  <c:v>46.81</c:v>
                </c:pt>
                <c:pt idx="14682">
                  <c:v>46.82</c:v>
                </c:pt>
                <c:pt idx="14683">
                  <c:v>46.83</c:v>
                </c:pt>
                <c:pt idx="14684">
                  <c:v>46.84</c:v>
                </c:pt>
                <c:pt idx="14685">
                  <c:v>46.85</c:v>
                </c:pt>
                <c:pt idx="14686">
                  <c:v>46.86</c:v>
                </c:pt>
                <c:pt idx="14687">
                  <c:v>46.87</c:v>
                </c:pt>
                <c:pt idx="14688">
                  <c:v>46.88</c:v>
                </c:pt>
                <c:pt idx="14689">
                  <c:v>46.89</c:v>
                </c:pt>
                <c:pt idx="14690">
                  <c:v>46.9</c:v>
                </c:pt>
                <c:pt idx="14691">
                  <c:v>46.91</c:v>
                </c:pt>
                <c:pt idx="14692">
                  <c:v>46.92</c:v>
                </c:pt>
                <c:pt idx="14693">
                  <c:v>46.93</c:v>
                </c:pt>
                <c:pt idx="14694">
                  <c:v>46.94</c:v>
                </c:pt>
                <c:pt idx="14695">
                  <c:v>46.95</c:v>
                </c:pt>
                <c:pt idx="14696">
                  <c:v>46.96</c:v>
                </c:pt>
                <c:pt idx="14697">
                  <c:v>46.97</c:v>
                </c:pt>
                <c:pt idx="14698">
                  <c:v>46.98</c:v>
                </c:pt>
                <c:pt idx="14699">
                  <c:v>46.99</c:v>
                </c:pt>
                <c:pt idx="14700">
                  <c:v>47.0</c:v>
                </c:pt>
                <c:pt idx="14701">
                  <c:v>47.01</c:v>
                </c:pt>
                <c:pt idx="14702">
                  <c:v>47.02</c:v>
                </c:pt>
                <c:pt idx="14703">
                  <c:v>47.03</c:v>
                </c:pt>
                <c:pt idx="14704">
                  <c:v>47.04</c:v>
                </c:pt>
                <c:pt idx="14705">
                  <c:v>47.05</c:v>
                </c:pt>
                <c:pt idx="14706">
                  <c:v>47.06</c:v>
                </c:pt>
                <c:pt idx="14707">
                  <c:v>47.07</c:v>
                </c:pt>
                <c:pt idx="14708">
                  <c:v>47.08</c:v>
                </c:pt>
                <c:pt idx="14709">
                  <c:v>47.09</c:v>
                </c:pt>
                <c:pt idx="14710">
                  <c:v>47.1</c:v>
                </c:pt>
                <c:pt idx="14711">
                  <c:v>47.11</c:v>
                </c:pt>
                <c:pt idx="14712">
                  <c:v>47.12</c:v>
                </c:pt>
                <c:pt idx="14713">
                  <c:v>47.13</c:v>
                </c:pt>
                <c:pt idx="14714">
                  <c:v>47.14</c:v>
                </c:pt>
                <c:pt idx="14715">
                  <c:v>47.15</c:v>
                </c:pt>
                <c:pt idx="14716">
                  <c:v>47.16</c:v>
                </c:pt>
                <c:pt idx="14717">
                  <c:v>47.17</c:v>
                </c:pt>
                <c:pt idx="14718">
                  <c:v>47.18</c:v>
                </c:pt>
                <c:pt idx="14719">
                  <c:v>47.19</c:v>
                </c:pt>
                <c:pt idx="14720">
                  <c:v>47.2</c:v>
                </c:pt>
                <c:pt idx="14721">
                  <c:v>47.21</c:v>
                </c:pt>
                <c:pt idx="14722">
                  <c:v>47.22</c:v>
                </c:pt>
                <c:pt idx="14723">
                  <c:v>47.23</c:v>
                </c:pt>
                <c:pt idx="14724">
                  <c:v>47.24</c:v>
                </c:pt>
                <c:pt idx="14725">
                  <c:v>47.25</c:v>
                </c:pt>
                <c:pt idx="14726">
                  <c:v>47.26</c:v>
                </c:pt>
                <c:pt idx="14727">
                  <c:v>47.27</c:v>
                </c:pt>
                <c:pt idx="14728">
                  <c:v>47.28</c:v>
                </c:pt>
                <c:pt idx="14729">
                  <c:v>47.29</c:v>
                </c:pt>
                <c:pt idx="14730">
                  <c:v>47.3</c:v>
                </c:pt>
                <c:pt idx="14731">
                  <c:v>47.31</c:v>
                </c:pt>
                <c:pt idx="14732">
                  <c:v>47.32</c:v>
                </c:pt>
                <c:pt idx="14733">
                  <c:v>47.33</c:v>
                </c:pt>
                <c:pt idx="14734">
                  <c:v>47.34</c:v>
                </c:pt>
                <c:pt idx="14735">
                  <c:v>47.35</c:v>
                </c:pt>
                <c:pt idx="14736">
                  <c:v>47.36</c:v>
                </c:pt>
                <c:pt idx="14737">
                  <c:v>47.37</c:v>
                </c:pt>
                <c:pt idx="14738">
                  <c:v>47.38</c:v>
                </c:pt>
                <c:pt idx="14739">
                  <c:v>47.39</c:v>
                </c:pt>
                <c:pt idx="14740">
                  <c:v>47.4</c:v>
                </c:pt>
                <c:pt idx="14741">
                  <c:v>47.41</c:v>
                </c:pt>
                <c:pt idx="14742">
                  <c:v>47.42</c:v>
                </c:pt>
                <c:pt idx="14743">
                  <c:v>47.43</c:v>
                </c:pt>
                <c:pt idx="14744">
                  <c:v>47.44</c:v>
                </c:pt>
                <c:pt idx="14745">
                  <c:v>47.45</c:v>
                </c:pt>
                <c:pt idx="14746">
                  <c:v>47.46</c:v>
                </c:pt>
                <c:pt idx="14747">
                  <c:v>47.47</c:v>
                </c:pt>
                <c:pt idx="14748">
                  <c:v>47.48</c:v>
                </c:pt>
                <c:pt idx="14749">
                  <c:v>47.49</c:v>
                </c:pt>
                <c:pt idx="14750">
                  <c:v>47.5</c:v>
                </c:pt>
                <c:pt idx="14751">
                  <c:v>47.51</c:v>
                </c:pt>
                <c:pt idx="14752">
                  <c:v>47.52</c:v>
                </c:pt>
                <c:pt idx="14753">
                  <c:v>47.53</c:v>
                </c:pt>
                <c:pt idx="14754">
                  <c:v>47.54</c:v>
                </c:pt>
                <c:pt idx="14755">
                  <c:v>47.55</c:v>
                </c:pt>
                <c:pt idx="14756">
                  <c:v>47.56</c:v>
                </c:pt>
                <c:pt idx="14757">
                  <c:v>47.57</c:v>
                </c:pt>
                <c:pt idx="14758">
                  <c:v>47.58</c:v>
                </c:pt>
                <c:pt idx="14759">
                  <c:v>47.59</c:v>
                </c:pt>
                <c:pt idx="14760">
                  <c:v>47.6</c:v>
                </c:pt>
                <c:pt idx="14761">
                  <c:v>47.61</c:v>
                </c:pt>
                <c:pt idx="14762">
                  <c:v>47.62</c:v>
                </c:pt>
                <c:pt idx="14763">
                  <c:v>47.63</c:v>
                </c:pt>
                <c:pt idx="14764">
                  <c:v>47.64</c:v>
                </c:pt>
                <c:pt idx="14765">
                  <c:v>47.65</c:v>
                </c:pt>
                <c:pt idx="14766">
                  <c:v>47.66</c:v>
                </c:pt>
                <c:pt idx="14767">
                  <c:v>47.67</c:v>
                </c:pt>
                <c:pt idx="14768">
                  <c:v>47.68</c:v>
                </c:pt>
                <c:pt idx="14769">
                  <c:v>47.69</c:v>
                </c:pt>
                <c:pt idx="14770">
                  <c:v>47.7</c:v>
                </c:pt>
                <c:pt idx="14771">
                  <c:v>47.71</c:v>
                </c:pt>
                <c:pt idx="14772">
                  <c:v>47.72</c:v>
                </c:pt>
                <c:pt idx="14773">
                  <c:v>47.73</c:v>
                </c:pt>
                <c:pt idx="14774">
                  <c:v>47.74</c:v>
                </c:pt>
                <c:pt idx="14775">
                  <c:v>47.75</c:v>
                </c:pt>
                <c:pt idx="14776">
                  <c:v>47.76</c:v>
                </c:pt>
                <c:pt idx="14777">
                  <c:v>47.77</c:v>
                </c:pt>
                <c:pt idx="14778">
                  <c:v>47.78</c:v>
                </c:pt>
                <c:pt idx="14779">
                  <c:v>47.79</c:v>
                </c:pt>
                <c:pt idx="14780">
                  <c:v>47.8</c:v>
                </c:pt>
                <c:pt idx="14781">
                  <c:v>47.81</c:v>
                </c:pt>
                <c:pt idx="14782">
                  <c:v>47.82</c:v>
                </c:pt>
                <c:pt idx="14783">
                  <c:v>47.83</c:v>
                </c:pt>
                <c:pt idx="14784">
                  <c:v>47.84</c:v>
                </c:pt>
                <c:pt idx="14785">
                  <c:v>47.85</c:v>
                </c:pt>
                <c:pt idx="14786">
                  <c:v>47.86</c:v>
                </c:pt>
                <c:pt idx="14787">
                  <c:v>47.87</c:v>
                </c:pt>
                <c:pt idx="14788">
                  <c:v>47.88</c:v>
                </c:pt>
                <c:pt idx="14789">
                  <c:v>47.89</c:v>
                </c:pt>
                <c:pt idx="14790">
                  <c:v>47.9</c:v>
                </c:pt>
                <c:pt idx="14791">
                  <c:v>47.91</c:v>
                </c:pt>
                <c:pt idx="14792">
                  <c:v>47.92</c:v>
                </c:pt>
                <c:pt idx="14793">
                  <c:v>47.93</c:v>
                </c:pt>
                <c:pt idx="14794">
                  <c:v>47.94</c:v>
                </c:pt>
                <c:pt idx="14795">
                  <c:v>47.95</c:v>
                </c:pt>
                <c:pt idx="14796">
                  <c:v>47.96</c:v>
                </c:pt>
                <c:pt idx="14797">
                  <c:v>47.97</c:v>
                </c:pt>
                <c:pt idx="14798">
                  <c:v>47.98</c:v>
                </c:pt>
                <c:pt idx="14799">
                  <c:v>47.99</c:v>
                </c:pt>
                <c:pt idx="14800">
                  <c:v>48.0</c:v>
                </c:pt>
                <c:pt idx="14801">
                  <c:v>48.01</c:v>
                </c:pt>
                <c:pt idx="14802">
                  <c:v>48.02</c:v>
                </c:pt>
                <c:pt idx="14803">
                  <c:v>48.03</c:v>
                </c:pt>
                <c:pt idx="14804">
                  <c:v>48.04</c:v>
                </c:pt>
                <c:pt idx="14805">
                  <c:v>48.05</c:v>
                </c:pt>
                <c:pt idx="14806">
                  <c:v>48.06</c:v>
                </c:pt>
                <c:pt idx="14807">
                  <c:v>48.07</c:v>
                </c:pt>
                <c:pt idx="14808">
                  <c:v>48.08</c:v>
                </c:pt>
                <c:pt idx="14809">
                  <c:v>48.09</c:v>
                </c:pt>
                <c:pt idx="14810">
                  <c:v>48.1</c:v>
                </c:pt>
                <c:pt idx="14811">
                  <c:v>48.11</c:v>
                </c:pt>
                <c:pt idx="14812">
                  <c:v>48.12</c:v>
                </c:pt>
                <c:pt idx="14813">
                  <c:v>48.13</c:v>
                </c:pt>
                <c:pt idx="14814">
                  <c:v>48.14</c:v>
                </c:pt>
                <c:pt idx="14815">
                  <c:v>48.15</c:v>
                </c:pt>
                <c:pt idx="14816">
                  <c:v>48.16</c:v>
                </c:pt>
                <c:pt idx="14817">
                  <c:v>48.17</c:v>
                </c:pt>
                <c:pt idx="14818">
                  <c:v>48.18</c:v>
                </c:pt>
                <c:pt idx="14819">
                  <c:v>48.19</c:v>
                </c:pt>
                <c:pt idx="14820">
                  <c:v>48.2</c:v>
                </c:pt>
                <c:pt idx="14821">
                  <c:v>48.21</c:v>
                </c:pt>
                <c:pt idx="14822">
                  <c:v>48.22</c:v>
                </c:pt>
                <c:pt idx="14823">
                  <c:v>48.23</c:v>
                </c:pt>
                <c:pt idx="14824">
                  <c:v>48.24</c:v>
                </c:pt>
                <c:pt idx="14825">
                  <c:v>48.25</c:v>
                </c:pt>
                <c:pt idx="14826">
                  <c:v>48.26</c:v>
                </c:pt>
                <c:pt idx="14827">
                  <c:v>48.27</c:v>
                </c:pt>
                <c:pt idx="14828">
                  <c:v>48.28</c:v>
                </c:pt>
                <c:pt idx="14829">
                  <c:v>48.29</c:v>
                </c:pt>
                <c:pt idx="14830">
                  <c:v>48.3</c:v>
                </c:pt>
                <c:pt idx="14831">
                  <c:v>48.31</c:v>
                </c:pt>
                <c:pt idx="14832">
                  <c:v>48.32</c:v>
                </c:pt>
                <c:pt idx="14833">
                  <c:v>48.33</c:v>
                </c:pt>
                <c:pt idx="14834">
                  <c:v>48.34</c:v>
                </c:pt>
                <c:pt idx="14835">
                  <c:v>48.35</c:v>
                </c:pt>
                <c:pt idx="14836">
                  <c:v>48.36</c:v>
                </c:pt>
                <c:pt idx="14837">
                  <c:v>48.37</c:v>
                </c:pt>
                <c:pt idx="14838">
                  <c:v>48.38</c:v>
                </c:pt>
                <c:pt idx="14839">
                  <c:v>48.39</c:v>
                </c:pt>
                <c:pt idx="14840">
                  <c:v>48.4</c:v>
                </c:pt>
                <c:pt idx="14841">
                  <c:v>48.41</c:v>
                </c:pt>
                <c:pt idx="14842">
                  <c:v>48.42</c:v>
                </c:pt>
                <c:pt idx="14843">
                  <c:v>48.43</c:v>
                </c:pt>
                <c:pt idx="14844">
                  <c:v>48.44</c:v>
                </c:pt>
                <c:pt idx="14845">
                  <c:v>48.45</c:v>
                </c:pt>
                <c:pt idx="14846">
                  <c:v>48.46</c:v>
                </c:pt>
                <c:pt idx="14847">
                  <c:v>48.47</c:v>
                </c:pt>
                <c:pt idx="14848">
                  <c:v>48.48</c:v>
                </c:pt>
                <c:pt idx="14849">
                  <c:v>48.49</c:v>
                </c:pt>
                <c:pt idx="14850">
                  <c:v>48.5</c:v>
                </c:pt>
                <c:pt idx="14851">
                  <c:v>48.51</c:v>
                </c:pt>
                <c:pt idx="14852">
                  <c:v>48.52</c:v>
                </c:pt>
                <c:pt idx="14853">
                  <c:v>48.53</c:v>
                </c:pt>
                <c:pt idx="14854">
                  <c:v>48.54</c:v>
                </c:pt>
                <c:pt idx="14855">
                  <c:v>48.55</c:v>
                </c:pt>
                <c:pt idx="14856">
                  <c:v>48.56</c:v>
                </c:pt>
                <c:pt idx="14857">
                  <c:v>48.57</c:v>
                </c:pt>
                <c:pt idx="14858">
                  <c:v>48.58</c:v>
                </c:pt>
                <c:pt idx="14859">
                  <c:v>48.59</c:v>
                </c:pt>
                <c:pt idx="14860">
                  <c:v>48.6</c:v>
                </c:pt>
                <c:pt idx="14861">
                  <c:v>48.61</c:v>
                </c:pt>
                <c:pt idx="14862">
                  <c:v>48.62</c:v>
                </c:pt>
                <c:pt idx="14863">
                  <c:v>48.63</c:v>
                </c:pt>
                <c:pt idx="14864">
                  <c:v>48.64</c:v>
                </c:pt>
                <c:pt idx="14865">
                  <c:v>48.65</c:v>
                </c:pt>
                <c:pt idx="14866">
                  <c:v>48.66</c:v>
                </c:pt>
                <c:pt idx="14867">
                  <c:v>48.67</c:v>
                </c:pt>
                <c:pt idx="14868">
                  <c:v>48.68</c:v>
                </c:pt>
                <c:pt idx="14869">
                  <c:v>48.69</c:v>
                </c:pt>
                <c:pt idx="14870">
                  <c:v>48.7</c:v>
                </c:pt>
                <c:pt idx="14871">
                  <c:v>48.71</c:v>
                </c:pt>
                <c:pt idx="14872">
                  <c:v>48.72</c:v>
                </c:pt>
                <c:pt idx="14873">
                  <c:v>48.73</c:v>
                </c:pt>
                <c:pt idx="14874">
                  <c:v>48.74</c:v>
                </c:pt>
                <c:pt idx="14875">
                  <c:v>48.75</c:v>
                </c:pt>
                <c:pt idx="14876">
                  <c:v>48.76</c:v>
                </c:pt>
                <c:pt idx="14877">
                  <c:v>48.77</c:v>
                </c:pt>
                <c:pt idx="14878">
                  <c:v>48.78</c:v>
                </c:pt>
                <c:pt idx="14879">
                  <c:v>48.79</c:v>
                </c:pt>
                <c:pt idx="14880">
                  <c:v>48.8</c:v>
                </c:pt>
                <c:pt idx="14881">
                  <c:v>48.81</c:v>
                </c:pt>
                <c:pt idx="14882">
                  <c:v>48.82</c:v>
                </c:pt>
                <c:pt idx="14883">
                  <c:v>48.83</c:v>
                </c:pt>
                <c:pt idx="14884">
                  <c:v>48.84</c:v>
                </c:pt>
                <c:pt idx="14885">
                  <c:v>48.85</c:v>
                </c:pt>
                <c:pt idx="14886">
                  <c:v>48.86</c:v>
                </c:pt>
                <c:pt idx="14887">
                  <c:v>48.87</c:v>
                </c:pt>
                <c:pt idx="14888">
                  <c:v>48.88</c:v>
                </c:pt>
                <c:pt idx="14889">
                  <c:v>48.89</c:v>
                </c:pt>
                <c:pt idx="14890">
                  <c:v>48.9</c:v>
                </c:pt>
                <c:pt idx="14891">
                  <c:v>48.91</c:v>
                </c:pt>
                <c:pt idx="14892">
                  <c:v>48.92</c:v>
                </c:pt>
                <c:pt idx="14893">
                  <c:v>48.93</c:v>
                </c:pt>
                <c:pt idx="14894">
                  <c:v>48.94</c:v>
                </c:pt>
                <c:pt idx="14895">
                  <c:v>48.95</c:v>
                </c:pt>
                <c:pt idx="14896">
                  <c:v>48.96</c:v>
                </c:pt>
                <c:pt idx="14897">
                  <c:v>48.97</c:v>
                </c:pt>
                <c:pt idx="14898">
                  <c:v>48.98</c:v>
                </c:pt>
                <c:pt idx="14899">
                  <c:v>48.99</c:v>
                </c:pt>
                <c:pt idx="14900">
                  <c:v>49.0</c:v>
                </c:pt>
                <c:pt idx="14901">
                  <c:v>49.01</c:v>
                </c:pt>
                <c:pt idx="14902">
                  <c:v>49.02</c:v>
                </c:pt>
                <c:pt idx="14903">
                  <c:v>49.03</c:v>
                </c:pt>
                <c:pt idx="14904">
                  <c:v>49.04</c:v>
                </c:pt>
                <c:pt idx="14905">
                  <c:v>49.05</c:v>
                </c:pt>
                <c:pt idx="14906">
                  <c:v>49.06</c:v>
                </c:pt>
                <c:pt idx="14907">
                  <c:v>49.07</c:v>
                </c:pt>
                <c:pt idx="14908">
                  <c:v>49.08</c:v>
                </c:pt>
                <c:pt idx="14909">
                  <c:v>49.09</c:v>
                </c:pt>
                <c:pt idx="14910">
                  <c:v>49.1</c:v>
                </c:pt>
                <c:pt idx="14911">
                  <c:v>49.11</c:v>
                </c:pt>
                <c:pt idx="14912">
                  <c:v>49.12</c:v>
                </c:pt>
                <c:pt idx="14913">
                  <c:v>49.13</c:v>
                </c:pt>
                <c:pt idx="14914">
                  <c:v>49.14</c:v>
                </c:pt>
                <c:pt idx="14915">
                  <c:v>49.15</c:v>
                </c:pt>
                <c:pt idx="14916">
                  <c:v>49.16</c:v>
                </c:pt>
                <c:pt idx="14917">
                  <c:v>49.17</c:v>
                </c:pt>
                <c:pt idx="14918">
                  <c:v>49.18</c:v>
                </c:pt>
                <c:pt idx="14919">
                  <c:v>49.19</c:v>
                </c:pt>
                <c:pt idx="14920">
                  <c:v>49.2</c:v>
                </c:pt>
                <c:pt idx="14921">
                  <c:v>49.21</c:v>
                </c:pt>
                <c:pt idx="14922">
                  <c:v>49.22</c:v>
                </c:pt>
                <c:pt idx="14923">
                  <c:v>49.23</c:v>
                </c:pt>
                <c:pt idx="14924">
                  <c:v>49.24</c:v>
                </c:pt>
                <c:pt idx="14925">
                  <c:v>49.25</c:v>
                </c:pt>
                <c:pt idx="14926">
                  <c:v>49.26</c:v>
                </c:pt>
                <c:pt idx="14927">
                  <c:v>49.27</c:v>
                </c:pt>
                <c:pt idx="14928">
                  <c:v>49.28</c:v>
                </c:pt>
                <c:pt idx="14929">
                  <c:v>49.29</c:v>
                </c:pt>
                <c:pt idx="14930">
                  <c:v>49.3</c:v>
                </c:pt>
                <c:pt idx="14931">
                  <c:v>49.31</c:v>
                </c:pt>
                <c:pt idx="14932">
                  <c:v>49.32</c:v>
                </c:pt>
                <c:pt idx="14933">
                  <c:v>49.33</c:v>
                </c:pt>
                <c:pt idx="14934">
                  <c:v>49.34</c:v>
                </c:pt>
                <c:pt idx="14935">
                  <c:v>49.35</c:v>
                </c:pt>
                <c:pt idx="14936">
                  <c:v>49.36</c:v>
                </c:pt>
                <c:pt idx="14937">
                  <c:v>49.37</c:v>
                </c:pt>
                <c:pt idx="14938">
                  <c:v>49.38</c:v>
                </c:pt>
                <c:pt idx="14939">
                  <c:v>49.39</c:v>
                </c:pt>
                <c:pt idx="14940">
                  <c:v>49.4</c:v>
                </c:pt>
                <c:pt idx="14941">
                  <c:v>49.41</c:v>
                </c:pt>
                <c:pt idx="14942">
                  <c:v>49.42</c:v>
                </c:pt>
                <c:pt idx="14943">
                  <c:v>49.43</c:v>
                </c:pt>
                <c:pt idx="14944">
                  <c:v>49.44</c:v>
                </c:pt>
                <c:pt idx="14945">
                  <c:v>49.45</c:v>
                </c:pt>
                <c:pt idx="14946">
                  <c:v>49.46</c:v>
                </c:pt>
                <c:pt idx="14947">
                  <c:v>49.47</c:v>
                </c:pt>
                <c:pt idx="14948">
                  <c:v>49.48</c:v>
                </c:pt>
                <c:pt idx="14949">
                  <c:v>49.49</c:v>
                </c:pt>
                <c:pt idx="14950">
                  <c:v>49.5</c:v>
                </c:pt>
                <c:pt idx="14951">
                  <c:v>49.51</c:v>
                </c:pt>
                <c:pt idx="14952">
                  <c:v>49.52</c:v>
                </c:pt>
                <c:pt idx="14953">
                  <c:v>49.53</c:v>
                </c:pt>
                <c:pt idx="14954">
                  <c:v>49.54</c:v>
                </c:pt>
                <c:pt idx="14955">
                  <c:v>49.55</c:v>
                </c:pt>
                <c:pt idx="14956">
                  <c:v>49.56</c:v>
                </c:pt>
                <c:pt idx="14957">
                  <c:v>49.57</c:v>
                </c:pt>
                <c:pt idx="14958">
                  <c:v>49.58</c:v>
                </c:pt>
                <c:pt idx="14959">
                  <c:v>49.59</c:v>
                </c:pt>
                <c:pt idx="14960">
                  <c:v>49.6</c:v>
                </c:pt>
                <c:pt idx="14961">
                  <c:v>49.61</c:v>
                </c:pt>
                <c:pt idx="14962">
                  <c:v>49.62</c:v>
                </c:pt>
                <c:pt idx="14963">
                  <c:v>49.63</c:v>
                </c:pt>
                <c:pt idx="14964">
                  <c:v>49.64</c:v>
                </c:pt>
                <c:pt idx="14965">
                  <c:v>49.65</c:v>
                </c:pt>
                <c:pt idx="14966">
                  <c:v>49.66</c:v>
                </c:pt>
                <c:pt idx="14967">
                  <c:v>49.67</c:v>
                </c:pt>
                <c:pt idx="14968">
                  <c:v>49.68</c:v>
                </c:pt>
                <c:pt idx="14969">
                  <c:v>49.69</c:v>
                </c:pt>
                <c:pt idx="14970">
                  <c:v>49.7</c:v>
                </c:pt>
                <c:pt idx="14971">
                  <c:v>49.71</c:v>
                </c:pt>
                <c:pt idx="14972">
                  <c:v>49.72</c:v>
                </c:pt>
                <c:pt idx="14973">
                  <c:v>49.73</c:v>
                </c:pt>
                <c:pt idx="14974">
                  <c:v>49.74</c:v>
                </c:pt>
                <c:pt idx="14975">
                  <c:v>49.75</c:v>
                </c:pt>
                <c:pt idx="14976">
                  <c:v>49.76</c:v>
                </c:pt>
                <c:pt idx="14977">
                  <c:v>49.77</c:v>
                </c:pt>
                <c:pt idx="14978">
                  <c:v>49.78</c:v>
                </c:pt>
                <c:pt idx="14979">
                  <c:v>49.79</c:v>
                </c:pt>
                <c:pt idx="14980">
                  <c:v>49.8</c:v>
                </c:pt>
                <c:pt idx="14981">
                  <c:v>49.81</c:v>
                </c:pt>
                <c:pt idx="14982">
                  <c:v>49.82</c:v>
                </c:pt>
                <c:pt idx="14983">
                  <c:v>49.83</c:v>
                </c:pt>
                <c:pt idx="14984">
                  <c:v>49.84</c:v>
                </c:pt>
                <c:pt idx="14985">
                  <c:v>49.85</c:v>
                </c:pt>
                <c:pt idx="14986">
                  <c:v>49.86</c:v>
                </c:pt>
                <c:pt idx="14987">
                  <c:v>49.87</c:v>
                </c:pt>
                <c:pt idx="14988">
                  <c:v>49.88</c:v>
                </c:pt>
                <c:pt idx="14989">
                  <c:v>49.89</c:v>
                </c:pt>
                <c:pt idx="14990">
                  <c:v>49.9</c:v>
                </c:pt>
                <c:pt idx="14991">
                  <c:v>49.91</c:v>
                </c:pt>
                <c:pt idx="14992">
                  <c:v>49.92</c:v>
                </c:pt>
                <c:pt idx="14993">
                  <c:v>49.93</c:v>
                </c:pt>
                <c:pt idx="14994">
                  <c:v>49.94</c:v>
                </c:pt>
                <c:pt idx="14995">
                  <c:v>49.95</c:v>
                </c:pt>
                <c:pt idx="14996">
                  <c:v>49.96</c:v>
                </c:pt>
                <c:pt idx="14997">
                  <c:v>49.97</c:v>
                </c:pt>
                <c:pt idx="14998">
                  <c:v>49.98</c:v>
                </c:pt>
                <c:pt idx="14999">
                  <c:v>49.99</c:v>
                </c:pt>
                <c:pt idx="15000">
                  <c:v>50.0</c:v>
                </c:pt>
                <c:pt idx="15001">
                  <c:v>50.01</c:v>
                </c:pt>
                <c:pt idx="15002">
                  <c:v>50.02</c:v>
                </c:pt>
                <c:pt idx="15003">
                  <c:v>50.03</c:v>
                </c:pt>
                <c:pt idx="15004">
                  <c:v>50.04</c:v>
                </c:pt>
                <c:pt idx="15005">
                  <c:v>50.05</c:v>
                </c:pt>
                <c:pt idx="15006">
                  <c:v>50.06</c:v>
                </c:pt>
                <c:pt idx="15007">
                  <c:v>50.07</c:v>
                </c:pt>
                <c:pt idx="15008">
                  <c:v>50.08</c:v>
                </c:pt>
                <c:pt idx="15009">
                  <c:v>50.09</c:v>
                </c:pt>
                <c:pt idx="15010">
                  <c:v>50.1</c:v>
                </c:pt>
                <c:pt idx="15011">
                  <c:v>50.11</c:v>
                </c:pt>
                <c:pt idx="15012">
                  <c:v>50.12</c:v>
                </c:pt>
                <c:pt idx="15013">
                  <c:v>50.13</c:v>
                </c:pt>
                <c:pt idx="15014">
                  <c:v>50.14</c:v>
                </c:pt>
                <c:pt idx="15015">
                  <c:v>50.15</c:v>
                </c:pt>
                <c:pt idx="15016">
                  <c:v>50.16</c:v>
                </c:pt>
                <c:pt idx="15017">
                  <c:v>50.17</c:v>
                </c:pt>
                <c:pt idx="15018">
                  <c:v>50.18</c:v>
                </c:pt>
                <c:pt idx="15019">
                  <c:v>50.19</c:v>
                </c:pt>
                <c:pt idx="15020">
                  <c:v>50.2</c:v>
                </c:pt>
                <c:pt idx="15021">
                  <c:v>50.21</c:v>
                </c:pt>
                <c:pt idx="15022">
                  <c:v>50.22</c:v>
                </c:pt>
                <c:pt idx="15023">
                  <c:v>50.23</c:v>
                </c:pt>
                <c:pt idx="15024">
                  <c:v>50.24</c:v>
                </c:pt>
                <c:pt idx="15025">
                  <c:v>50.25</c:v>
                </c:pt>
                <c:pt idx="15026">
                  <c:v>50.26</c:v>
                </c:pt>
                <c:pt idx="15027">
                  <c:v>50.27</c:v>
                </c:pt>
                <c:pt idx="15028">
                  <c:v>50.28</c:v>
                </c:pt>
                <c:pt idx="15029">
                  <c:v>50.29</c:v>
                </c:pt>
                <c:pt idx="15030">
                  <c:v>50.3</c:v>
                </c:pt>
                <c:pt idx="15031">
                  <c:v>50.31</c:v>
                </c:pt>
                <c:pt idx="15032">
                  <c:v>50.32</c:v>
                </c:pt>
                <c:pt idx="15033">
                  <c:v>50.33</c:v>
                </c:pt>
                <c:pt idx="15034">
                  <c:v>50.34</c:v>
                </c:pt>
                <c:pt idx="15035">
                  <c:v>50.35</c:v>
                </c:pt>
                <c:pt idx="15036">
                  <c:v>50.36</c:v>
                </c:pt>
                <c:pt idx="15037">
                  <c:v>50.37</c:v>
                </c:pt>
                <c:pt idx="15038">
                  <c:v>50.38</c:v>
                </c:pt>
                <c:pt idx="15039">
                  <c:v>50.39</c:v>
                </c:pt>
                <c:pt idx="15040">
                  <c:v>50.4</c:v>
                </c:pt>
                <c:pt idx="15041">
                  <c:v>50.41</c:v>
                </c:pt>
                <c:pt idx="15042">
                  <c:v>50.42</c:v>
                </c:pt>
                <c:pt idx="15043">
                  <c:v>50.43</c:v>
                </c:pt>
                <c:pt idx="15044">
                  <c:v>50.44</c:v>
                </c:pt>
                <c:pt idx="15045">
                  <c:v>50.45</c:v>
                </c:pt>
                <c:pt idx="15046">
                  <c:v>50.46</c:v>
                </c:pt>
                <c:pt idx="15047">
                  <c:v>50.47</c:v>
                </c:pt>
                <c:pt idx="15048">
                  <c:v>50.48</c:v>
                </c:pt>
                <c:pt idx="15049">
                  <c:v>50.49</c:v>
                </c:pt>
                <c:pt idx="15050">
                  <c:v>50.5</c:v>
                </c:pt>
                <c:pt idx="15051">
                  <c:v>50.51</c:v>
                </c:pt>
                <c:pt idx="15052">
                  <c:v>50.52</c:v>
                </c:pt>
                <c:pt idx="15053">
                  <c:v>50.53</c:v>
                </c:pt>
                <c:pt idx="15054">
                  <c:v>50.54</c:v>
                </c:pt>
                <c:pt idx="15055">
                  <c:v>50.55</c:v>
                </c:pt>
                <c:pt idx="15056">
                  <c:v>50.56</c:v>
                </c:pt>
                <c:pt idx="15057">
                  <c:v>50.57</c:v>
                </c:pt>
                <c:pt idx="15058">
                  <c:v>50.58</c:v>
                </c:pt>
                <c:pt idx="15059">
                  <c:v>50.59</c:v>
                </c:pt>
                <c:pt idx="15060">
                  <c:v>50.6</c:v>
                </c:pt>
                <c:pt idx="15061">
                  <c:v>50.61</c:v>
                </c:pt>
                <c:pt idx="15062">
                  <c:v>50.62</c:v>
                </c:pt>
                <c:pt idx="15063">
                  <c:v>50.63</c:v>
                </c:pt>
                <c:pt idx="15064">
                  <c:v>50.64</c:v>
                </c:pt>
                <c:pt idx="15065">
                  <c:v>50.65</c:v>
                </c:pt>
                <c:pt idx="15066">
                  <c:v>50.66</c:v>
                </c:pt>
                <c:pt idx="15067">
                  <c:v>50.67</c:v>
                </c:pt>
                <c:pt idx="15068">
                  <c:v>50.68</c:v>
                </c:pt>
                <c:pt idx="15069">
                  <c:v>50.69</c:v>
                </c:pt>
                <c:pt idx="15070">
                  <c:v>50.7</c:v>
                </c:pt>
                <c:pt idx="15071">
                  <c:v>50.71</c:v>
                </c:pt>
                <c:pt idx="15072">
                  <c:v>50.72</c:v>
                </c:pt>
                <c:pt idx="15073">
                  <c:v>50.73</c:v>
                </c:pt>
                <c:pt idx="15074">
                  <c:v>50.74</c:v>
                </c:pt>
                <c:pt idx="15075">
                  <c:v>50.75</c:v>
                </c:pt>
                <c:pt idx="15076">
                  <c:v>50.76</c:v>
                </c:pt>
                <c:pt idx="15077">
                  <c:v>50.77</c:v>
                </c:pt>
                <c:pt idx="15078">
                  <c:v>50.78</c:v>
                </c:pt>
                <c:pt idx="15079">
                  <c:v>50.79</c:v>
                </c:pt>
                <c:pt idx="15080">
                  <c:v>50.8</c:v>
                </c:pt>
                <c:pt idx="15081">
                  <c:v>50.81</c:v>
                </c:pt>
                <c:pt idx="15082">
                  <c:v>50.82</c:v>
                </c:pt>
                <c:pt idx="15083">
                  <c:v>50.83</c:v>
                </c:pt>
                <c:pt idx="15084">
                  <c:v>50.84</c:v>
                </c:pt>
                <c:pt idx="15085">
                  <c:v>50.85</c:v>
                </c:pt>
                <c:pt idx="15086">
                  <c:v>50.86</c:v>
                </c:pt>
                <c:pt idx="15087">
                  <c:v>50.87</c:v>
                </c:pt>
                <c:pt idx="15088">
                  <c:v>50.88</c:v>
                </c:pt>
                <c:pt idx="15089">
                  <c:v>50.89</c:v>
                </c:pt>
                <c:pt idx="15090">
                  <c:v>50.9</c:v>
                </c:pt>
                <c:pt idx="15091">
                  <c:v>50.91</c:v>
                </c:pt>
                <c:pt idx="15092">
                  <c:v>50.92</c:v>
                </c:pt>
                <c:pt idx="15093">
                  <c:v>50.93</c:v>
                </c:pt>
                <c:pt idx="15094">
                  <c:v>50.94</c:v>
                </c:pt>
                <c:pt idx="15095">
                  <c:v>50.95</c:v>
                </c:pt>
                <c:pt idx="15096">
                  <c:v>50.96</c:v>
                </c:pt>
                <c:pt idx="15097">
                  <c:v>50.97</c:v>
                </c:pt>
                <c:pt idx="15098">
                  <c:v>50.98</c:v>
                </c:pt>
                <c:pt idx="15099">
                  <c:v>50.99</c:v>
                </c:pt>
                <c:pt idx="15100">
                  <c:v>51.0</c:v>
                </c:pt>
                <c:pt idx="15101">
                  <c:v>51.01</c:v>
                </c:pt>
                <c:pt idx="15102">
                  <c:v>51.02</c:v>
                </c:pt>
                <c:pt idx="15103">
                  <c:v>51.03</c:v>
                </c:pt>
                <c:pt idx="15104">
                  <c:v>51.04</c:v>
                </c:pt>
                <c:pt idx="15105">
                  <c:v>51.05</c:v>
                </c:pt>
                <c:pt idx="15106">
                  <c:v>51.06</c:v>
                </c:pt>
                <c:pt idx="15107">
                  <c:v>51.07</c:v>
                </c:pt>
                <c:pt idx="15108">
                  <c:v>51.08</c:v>
                </c:pt>
                <c:pt idx="15109">
                  <c:v>51.09</c:v>
                </c:pt>
                <c:pt idx="15110">
                  <c:v>51.1</c:v>
                </c:pt>
                <c:pt idx="15111">
                  <c:v>51.11</c:v>
                </c:pt>
                <c:pt idx="15112">
                  <c:v>51.12</c:v>
                </c:pt>
                <c:pt idx="15113">
                  <c:v>51.13</c:v>
                </c:pt>
                <c:pt idx="15114">
                  <c:v>51.14</c:v>
                </c:pt>
                <c:pt idx="15115">
                  <c:v>51.15</c:v>
                </c:pt>
                <c:pt idx="15116">
                  <c:v>51.16</c:v>
                </c:pt>
                <c:pt idx="15117">
                  <c:v>51.17</c:v>
                </c:pt>
                <c:pt idx="15118">
                  <c:v>51.18</c:v>
                </c:pt>
                <c:pt idx="15119">
                  <c:v>51.19</c:v>
                </c:pt>
                <c:pt idx="15120">
                  <c:v>51.2</c:v>
                </c:pt>
                <c:pt idx="15121">
                  <c:v>51.21</c:v>
                </c:pt>
                <c:pt idx="15122">
                  <c:v>51.22</c:v>
                </c:pt>
                <c:pt idx="15123">
                  <c:v>51.23</c:v>
                </c:pt>
                <c:pt idx="15124">
                  <c:v>51.24</c:v>
                </c:pt>
                <c:pt idx="15125">
                  <c:v>51.25</c:v>
                </c:pt>
                <c:pt idx="15126">
                  <c:v>51.26</c:v>
                </c:pt>
                <c:pt idx="15127">
                  <c:v>51.27</c:v>
                </c:pt>
                <c:pt idx="15128">
                  <c:v>51.28</c:v>
                </c:pt>
                <c:pt idx="15129">
                  <c:v>51.29</c:v>
                </c:pt>
                <c:pt idx="15130">
                  <c:v>51.3</c:v>
                </c:pt>
                <c:pt idx="15131">
                  <c:v>51.31</c:v>
                </c:pt>
                <c:pt idx="15132">
                  <c:v>51.32</c:v>
                </c:pt>
                <c:pt idx="15133">
                  <c:v>51.33</c:v>
                </c:pt>
                <c:pt idx="15134">
                  <c:v>51.34</c:v>
                </c:pt>
                <c:pt idx="15135">
                  <c:v>51.35</c:v>
                </c:pt>
                <c:pt idx="15136">
                  <c:v>51.36</c:v>
                </c:pt>
                <c:pt idx="15137">
                  <c:v>51.37</c:v>
                </c:pt>
                <c:pt idx="15138">
                  <c:v>51.38</c:v>
                </c:pt>
                <c:pt idx="15139">
                  <c:v>51.39</c:v>
                </c:pt>
                <c:pt idx="15140">
                  <c:v>51.4</c:v>
                </c:pt>
                <c:pt idx="15141">
                  <c:v>51.41</c:v>
                </c:pt>
                <c:pt idx="15142">
                  <c:v>51.42</c:v>
                </c:pt>
                <c:pt idx="15143">
                  <c:v>51.43</c:v>
                </c:pt>
                <c:pt idx="15144">
                  <c:v>51.44</c:v>
                </c:pt>
                <c:pt idx="15145">
                  <c:v>51.45</c:v>
                </c:pt>
                <c:pt idx="15146">
                  <c:v>51.46</c:v>
                </c:pt>
                <c:pt idx="15147">
                  <c:v>51.47</c:v>
                </c:pt>
                <c:pt idx="15148">
                  <c:v>51.48</c:v>
                </c:pt>
                <c:pt idx="15149">
                  <c:v>51.49</c:v>
                </c:pt>
                <c:pt idx="15150">
                  <c:v>51.5</c:v>
                </c:pt>
                <c:pt idx="15151">
                  <c:v>51.51</c:v>
                </c:pt>
                <c:pt idx="15152">
                  <c:v>51.52</c:v>
                </c:pt>
                <c:pt idx="15153">
                  <c:v>51.53</c:v>
                </c:pt>
                <c:pt idx="15154">
                  <c:v>51.54</c:v>
                </c:pt>
                <c:pt idx="15155">
                  <c:v>51.55</c:v>
                </c:pt>
                <c:pt idx="15156">
                  <c:v>51.56</c:v>
                </c:pt>
                <c:pt idx="15157">
                  <c:v>51.57</c:v>
                </c:pt>
                <c:pt idx="15158">
                  <c:v>51.58</c:v>
                </c:pt>
                <c:pt idx="15159">
                  <c:v>51.59</c:v>
                </c:pt>
                <c:pt idx="15160">
                  <c:v>51.6</c:v>
                </c:pt>
                <c:pt idx="15161">
                  <c:v>51.61</c:v>
                </c:pt>
                <c:pt idx="15162">
                  <c:v>51.62</c:v>
                </c:pt>
                <c:pt idx="15163">
                  <c:v>51.63</c:v>
                </c:pt>
                <c:pt idx="15164">
                  <c:v>51.64</c:v>
                </c:pt>
                <c:pt idx="15165">
                  <c:v>51.65</c:v>
                </c:pt>
                <c:pt idx="15166">
                  <c:v>51.66</c:v>
                </c:pt>
                <c:pt idx="15167">
                  <c:v>51.67</c:v>
                </c:pt>
                <c:pt idx="15168">
                  <c:v>51.68</c:v>
                </c:pt>
                <c:pt idx="15169">
                  <c:v>51.69</c:v>
                </c:pt>
                <c:pt idx="15170">
                  <c:v>51.7</c:v>
                </c:pt>
                <c:pt idx="15171">
                  <c:v>51.71</c:v>
                </c:pt>
                <c:pt idx="15172">
                  <c:v>51.72</c:v>
                </c:pt>
                <c:pt idx="15173">
                  <c:v>51.73</c:v>
                </c:pt>
                <c:pt idx="15174">
                  <c:v>51.74</c:v>
                </c:pt>
                <c:pt idx="15175">
                  <c:v>51.75</c:v>
                </c:pt>
                <c:pt idx="15176">
                  <c:v>51.76</c:v>
                </c:pt>
                <c:pt idx="15177">
                  <c:v>51.77</c:v>
                </c:pt>
                <c:pt idx="15178">
                  <c:v>51.78</c:v>
                </c:pt>
                <c:pt idx="15179">
                  <c:v>51.79</c:v>
                </c:pt>
                <c:pt idx="15180">
                  <c:v>51.8</c:v>
                </c:pt>
                <c:pt idx="15181">
                  <c:v>51.81</c:v>
                </c:pt>
                <c:pt idx="15182">
                  <c:v>51.82</c:v>
                </c:pt>
                <c:pt idx="15183">
                  <c:v>51.83</c:v>
                </c:pt>
                <c:pt idx="15184">
                  <c:v>51.84</c:v>
                </c:pt>
                <c:pt idx="15185">
                  <c:v>51.85</c:v>
                </c:pt>
                <c:pt idx="15186">
                  <c:v>51.86</c:v>
                </c:pt>
                <c:pt idx="15187">
                  <c:v>51.87</c:v>
                </c:pt>
                <c:pt idx="15188">
                  <c:v>51.88</c:v>
                </c:pt>
                <c:pt idx="15189">
                  <c:v>51.89</c:v>
                </c:pt>
                <c:pt idx="15190">
                  <c:v>51.9</c:v>
                </c:pt>
                <c:pt idx="15191">
                  <c:v>51.91</c:v>
                </c:pt>
                <c:pt idx="15192">
                  <c:v>51.92</c:v>
                </c:pt>
                <c:pt idx="15193">
                  <c:v>51.93</c:v>
                </c:pt>
                <c:pt idx="15194">
                  <c:v>51.94</c:v>
                </c:pt>
                <c:pt idx="15195">
                  <c:v>51.95</c:v>
                </c:pt>
                <c:pt idx="15196">
                  <c:v>51.96</c:v>
                </c:pt>
                <c:pt idx="15197">
                  <c:v>51.97</c:v>
                </c:pt>
                <c:pt idx="15198">
                  <c:v>51.98</c:v>
                </c:pt>
                <c:pt idx="15199">
                  <c:v>51.99</c:v>
                </c:pt>
                <c:pt idx="15200">
                  <c:v>52.0</c:v>
                </c:pt>
                <c:pt idx="15201">
                  <c:v>52.01</c:v>
                </c:pt>
                <c:pt idx="15202">
                  <c:v>52.02</c:v>
                </c:pt>
                <c:pt idx="15203">
                  <c:v>52.03</c:v>
                </c:pt>
                <c:pt idx="15204">
                  <c:v>52.04</c:v>
                </c:pt>
                <c:pt idx="15205">
                  <c:v>52.05</c:v>
                </c:pt>
                <c:pt idx="15206">
                  <c:v>52.06</c:v>
                </c:pt>
                <c:pt idx="15207">
                  <c:v>52.07</c:v>
                </c:pt>
                <c:pt idx="15208">
                  <c:v>52.08</c:v>
                </c:pt>
                <c:pt idx="15209">
                  <c:v>52.09</c:v>
                </c:pt>
                <c:pt idx="15210">
                  <c:v>52.1</c:v>
                </c:pt>
                <c:pt idx="15211">
                  <c:v>52.11</c:v>
                </c:pt>
                <c:pt idx="15212">
                  <c:v>52.12</c:v>
                </c:pt>
                <c:pt idx="15213">
                  <c:v>52.13</c:v>
                </c:pt>
                <c:pt idx="15214">
                  <c:v>52.14</c:v>
                </c:pt>
                <c:pt idx="15215">
                  <c:v>52.15</c:v>
                </c:pt>
                <c:pt idx="15216">
                  <c:v>52.16</c:v>
                </c:pt>
                <c:pt idx="15217">
                  <c:v>52.17</c:v>
                </c:pt>
                <c:pt idx="15218">
                  <c:v>52.18</c:v>
                </c:pt>
                <c:pt idx="15219">
                  <c:v>52.19</c:v>
                </c:pt>
                <c:pt idx="15220">
                  <c:v>52.2</c:v>
                </c:pt>
                <c:pt idx="15221">
                  <c:v>52.21</c:v>
                </c:pt>
                <c:pt idx="15222">
                  <c:v>52.22</c:v>
                </c:pt>
                <c:pt idx="15223">
                  <c:v>52.23</c:v>
                </c:pt>
                <c:pt idx="15224">
                  <c:v>52.24</c:v>
                </c:pt>
                <c:pt idx="15225">
                  <c:v>52.25</c:v>
                </c:pt>
                <c:pt idx="15226">
                  <c:v>52.26</c:v>
                </c:pt>
                <c:pt idx="15227">
                  <c:v>52.27</c:v>
                </c:pt>
                <c:pt idx="15228">
                  <c:v>52.28</c:v>
                </c:pt>
                <c:pt idx="15229">
                  <c:v>52.29</c:v>
                </c:pt>
                <c:pt idx="15230">
                  <c:v>52.3</c:v>
                </c:pt>
                <c:pt idx="15231">
                  <c:v>52.31</c:v>
                </c:pt>
                <c:pt idx="15232">
                  <c:v>52.32</c:v>
                </c:pt>
                <c:pt idx="15233">
                  <c:v>52.33</c:v>
                </c:pt>
                <c:pt idx="15234">
                  <c:v>52.34</c:v>
                </c:pt>
                <c:pt idx="15235">
                  <c:v>52.35</c:v>
                </c:pt>
                <c:pt idx="15236">
                  <c:v>52.36</c:v>
                </c:pt>
                <c:pt idx="15237">
                  <c:v>52.37</c:v>
                </c:pt>
                <c:pt idx="15238">
                  <c:v>52.38</c:v>
                </c:pt>
                <c:pt idx="15239">
                  <c:v>52.39</c:v>
                </c:pt>
                <c:pt idx="15240">
                  <c:v>52.4</c:v>
                </c:pt>
                <c:pt idx="15241">
                  <c:v>52.41</c:v>
                </c:pt>
                <c:pt idx="15242">
                  <c:v>52.42</c:v>
                </c:pt>
                <c:pt idx="15243">
                  <c:v>52.43</c:v>
                </c:pt>
                <c:pt idx="15244">
                  <c:v>52.44</c:v>
                </c:pt>
                <c:pt idx="15245">
                  <c:v>52.45</c:v>
                </c:pt>
                <c:pt idx="15246">
                  <c:v>52.46</c:v>
                </c:pt>
                <c:pt idx="15247">
                  <c:v>52.47</c:v>
                </c:pt>
                <c:pt idx="15248">
                  <c:v>52.48</c:v>
                </c:pt>
                <c:pt idx="15249">
                  <c:v>52.49</c:v>
                </c:pt>
                <c:pt idx="15250">
                  <c:v>52.5</c:v>
                </c:pt>
                <c:pt idx="15251">
                  <c:v>52.51</c:v>
                </c:pt>
                <c:pt idx="15252">
                  <c:v>52.52</c:v>
                </c:pt>
                <c:pt idx="15253">
                  <c:v>52.53</c:v>
                </c:pt>
                <c:pt idx="15254">
                  <c:v>52.54</c:v>
                </c:pt>
                <c:pt idx="15255">
                  <c:v>52.55</c:v>
                </c:pt>
                <c:pt idx="15256">
                  <c:v>52.56</c:v>
                </c:pt>
                <c:pt idx="15257">
                  <c:v>52.57</c:v>
                </c:pt>
                <c:pt idx="15258">
                  <c:v>52.58</c:v>
                </c:pt>
                <c:pt idx="15259">
                  <c:v>52.59</c:v>
                </c:pt>
                <c:pt idx="15260">
                  <c:v>52.6</c:v>
                </c:pt>
                <c:pt idx="15261">
                  <c:v>52.61</c:v>
                </c:pt>
                <c:pt idx="15262">
                  <c:v>52.62</c:v>
                </c:pt>
                <c:pt idx="15263">
                  <c:v>52.63</c:v>
                </c:pt>
                <c:pt idx="15264">
                  <c:v>52.64</c:v>
                </c:pt>
                <c:pt idx="15265">
                  <c:v>52.65</c:v>
                </c:pt>
                <c:pt idx="15266">
                  <c:v>52.66</c:v>
                </c:pt>
                <c:pt idx="15267">
                  <c:v>52.67</c:v>
                </c:pt>
                <c:pt idx="15268">
                  <c:v>52.68</c:v>
                </c:pt>
                <c:pt idx="15269">
                  <c:v>52.69</c:v>
                </c:pt>
                <c:pt idx="15270">
                  <c:v>52.7</c:v>
                </c:pt>
                <c:pt idx="15271">
                  <c:v>52.71</c:v>
                </c:pt>
                <c:pt idx="15272">
                  <c:v>52.72</c:v>
                </c:pt>
                <c:pt idx="15273">
                  <c:v>52.73</c:v>
                </c:pt>
                <c:pt idx="15274">
                  <c:v>52.74</c:v>
                </c:pt>
                <c:pt idx="15275">
                  <c:v>52.75</c:v>
                </c:pt>
                <c:pt idx="15276">
                  <c:v>52.76</c:v>
                </c:pt>
                <c:pt idx="15277">
                  <c:v>52.77</c:v>
                </c:pt>
                <c:pt idx="15278">
                  <c:v>52.78</c:v>
                </c:pt>
                <c:pt idx="15279">
                  <c:v>52.79</c:v>
                </c:pt>
                <c:pt idx="15280">
                  <c:v>52.8</c:v>
                </c:pt>
                <c:pt idx="15281">
                  <c:v>52.81</c:v>
                </c:pt>
                <c:pt idx="15282">
                  <c:v>52.82</c:v>
                </c:pt>
                <c:pt idx="15283">
                  <c:v>52.83</c:v>
                </c:pt>
                <c:pt idx="15284">
                  <c:v>52.84</c:v>
                </c:pt>
                <c:pt idx="15285">
                  <c:v>52.85</c:v>
                </c:pt>
                <c:pt idx="15286">
                  <c:v>52.86</c:v>
                </c:pt>
                <c:pt idx="15287">
                  <c:v>52.87</c:v>
                </c:pt>
                <c:pt idx="15288">
                  <c:v>52.88</c:v>
                </c:pt>
                <c:pt idx="15289">
                  <c:v>52.89</c:v>
                </c:pt>
                <c:pt idx="15290">
                  <c:v>52.9</c:v>
                </c:pt>
                <c:pt idx="15291">
                  <c:v>52.91</c:v>
                </c:pt>
                <c:pt idx="15292">
                  <c:v>52.92</c:v>
                </c:pt>
                <c:pt idx="15293">
                  <c:v>52.93</c:v>
                </c:pt>
                <c:pt idx="15294">
                  <c:v>52.94</c:v>
                </c:pt>
                <c:pt idx="15295">
                  <c:v>52.95</c:v>
                </c:pt>
                <c:pt idx="15296">
                  <c:v>52.96</c:v>
                </c:pt>
                <c:pt idx="15297">
                  <c:v>52.97</c:v>
                </c:pt>
                <c:pt idx="15298">
                  <c:v>52.98</c:v>
                </c:pt>
                <c:pt idx="15299">
                  <c:v>52.99</c:v>
                </c:pt>
                <c:pt idx="15300">
                  <c:v>53.0</c:v>
                </c:pt>
                <c:pt idx="15301">
                  <c:v>53.01</c:v>
                </c:pt>
                <c:pt idx="15302">
                  <c:v>53.02</c:v>
                </c:pt>
                <c:pt idx="15303">
                  <c:v>53.03</c:v>
                </c:pt>
                <c:pt idx="15304">
                  <c:v>53.04</c:v>
                </c:pt>
                <c:pt idx="15305">
                  <c:v>53.05</c:v>
                </c:pt>
                <c:pt idx="15306">
                  <c:v>53.06</c:v>
                </c:pt>
                <c:pt idx="15307">
                  <c:v>53.07</c:v>
                </c:pt>
                <c:pt idx="15308">
                  <c:v>53.08</c:v>
                </c:pt>
                <c:pt idx="15309">
                  <c:v>53.09</c:v>
                </c:pt>
                <c:pt idx="15310">
                  <c:v>53.1</c:v>
                </c:pt>
                <c:pt idx="15311">
                  <c:v>53.11</c:v>
                </c:pt>
                <c:pt idx="15312">
                  <c:v>53.12</c:v>
                </c:pt>
                <c:pt idx="15313">
                  <c:v>53.13</c:v>
                </c:pt>
                <c:pt idx="15314">
                  <c:v>53.14</c:v>
                </c:pt>
                <c:pt idx="15315">
                  <c:v>53.15</c:v>
                </c:pt>
                <c:pt idx="15316">
                  <c:v>53.16</c:v>
                </c:pt>
                <c:pt idx="15317">
                  <c:v>53.17</c:v>
                </c:pt>
                <c:pt idx="15318">
                  <c:v>53.18</c:v>
                </c:pt>
                <c:pt idx="15319">
                  <c:v>53.19</c:v>
                </c:pt>
                <c:pt idx="15320">
                  <c:v>53.2</c:v>
                </c:pt>
                <c:pt idx="15321">
                  <c:v>53.21</c:v>
                </c:pt>
                <c:pt idx="15322">
                  <c:v>53.22</c:v>
                </c:pt>
                <c:pt idx="15323">
                  <c:v>53.23</c:v>
                </c:pt>
                <c:pt idx="15324">
                  <c:v>53.24</c:v>
                </c:pt>
                <c:pt idx="15325">
                  <c:v>53.25</c:v>
                </c:pt>
                <c:pt idx="15326">
                  <c:v>53.26</c:v>
                </c:pt>
                <c:pt idx="15327">
                  <c:v>53.27</c:v>
                </c:pt>
                <c:pt idx="15328">
                  <c:v>53.28</c:v>
                </c:pt>
                <c:pt idx="15329">
                  <c:v>53.29</c:v>
                </c:pt>
                <c:pt idx="15330">
                  <c:v>53.3</c:v>
                </c:pt>
                <c:pt idx="15331">
                  <c:v>53.31</c:v>
                </c:pt>
                <c:pt idx="15332">
                  <c:v>53.32</c:v>
                </c:pt>
                <c:pt idx="15333">
                  <c:v>53.33</c:v>
                </c:pt>
                <c:pt idx="15334">
                  <c:v>53.34</c:v>
                </c:pt>
                <c:pt idx="15335">
                  <c:v>53.35</c:v>
                </c:pt>
                <c:pt idx="15336">
                  <c:v>53.36</c:v>
                </c:pt>
                <c:pt idx="15337">
                  <c:v>53.37</c:v>
                </c:pt>
                <c:pt idx="15338">
                  <c:v>53.38</c:v>
                </c:pt>
                <c:pt idx="15339">
                  <c:v>53.39</c:v>
                </c:pt>
                <c:pt idx="15340">
                  <c:v>53.4</c:v>
                </c:pt>
                <c:pt idx="15341">
                  <c:v>53.41</c:v>
                </c:pt>
                <c:pt idx="15342">
                  <c:v>53.42</c:v>
                </c:pt>
                <c:pt idx="15343">
                  <c:v>53.43</c:v>
                </c:pt>
                <c:pt idx="15344">
                  <c:v>53.44</c:v>
                </c:pt>
                <c:pt idx="15345">
                  <c:v>53.45</c:v>
                </c:pt>
                <c:pt idx="15346">
                  <c:v>53.46</c:v>
                </c:pt>
                <c:pt idx="15347">
                  <c:v>53.47</c:v>
                </c:pt>
                <c:pt idx="15348">
                  <c:v>53.48</c:v>
                </c:pt>
                <c:pt idx="15349">
                  <c:v>53.49</c:v>
                </c:pt>
                <c:pt idx="15350">
                  <c:v>53.5</c:v>
                </c:pt>
                <c:pt idx="15351">
                  <c:v>53.51</c:v>
                </c:pt>
                <c:pt idx="15352">
                  <c:v>53.52</c:v>
                </c:pt>
                <c:pt idx="15353">
                  <c:v>53.53</c:v>
                </c:pt>
                <c:pt idx="15354">
                  <c:v>53.54</c:v>
                </c:pt>
                <c:pt idx="15355">
                  <c:v>53.55</c:v>
                </c:pt>
                <c:pt idx="15356">
                  <c:v>53.56</c:v>
                </c:pt>
                <c:pt idx="15357">
                  <c:v>53.57</c:v>
                </c:pt>
                <c:pt idx="15358">
                  <c:v>53.58</c:v>
                </c:pt>
                <c:pt idx="15359">
                  <c:v>53.59</c:v>
                </c:pt>
                <c:pt idx="15360">
                  <c:v>53.6</c:v>
                </c:pt>
                <c:pt idx="15361">
                  <c:v>53.61</c:v>
                </c:pt>
                <c:pt idx="15362">
                  <c:v>53.62</c:v>
                </c:pt>
                <c:pt idx="15363">
                  <c:v>53.63</c:v>
                </c:pt>
                <c:pt idx="15364">
                  <c:v>53.64</c:v>
                </c:pt>
                <c:pt idx="15365">
                  <c:v>53.65</c:v>
                </c:pt>
                <c:pt idx="15366">
                  <c:v>53.66</c:v>
                </c:pt>
                <c:pt idx="15367">
                  <c:v>53.67</c:v>
                </c:pt>
                <c:pt idx="15368">
                  <c:v>53.68</c:v>
                </c:pt>
                <c:pt idx="15369">
                  <c:v>53.69</c:v>
                </c:pt>
                <c:pt idx="15370">
                  <c:v>53.7</c:v>
                </c:pt>
                <c:pt idx="15371">
                  <c:v>53.71</c:v>
                </c:pt>
                <c:pt idx="15372">
                  <c:v>53.72</c:v>
                </c:pt>
                <c:pt idx="15373">
                  <c:v>53.73</c:v>
                </c:pt>
                <c:pt idx="15374">
                  <c:v>53.74</c:v>
                </c:pt>
                <c:pt idx="15375">
                  <c:v>53.75</c:v>
                </c:pt>
                <c:pt idx="15376">
                  <c:v>53.76</c:v>
                </c:pt>
                <c:pt idx="15377">
                  <c:v>53.77</c:v>
                </c:pt>
                <c:pt idx="15378">
                  <c:v>53.78</c:v>
                </c:pt>
                <c:pt idx="15379">
                  <c:v>53.79</c:v>
                </c:pt>
                <c:pt idx="15380">
                  <c:v>53.8</c:v>
                </c:pt>
                <c:pt idx="15381">
                  <c:v>53.81</c:v>
                </c:pt>
                <c:pt idx="15382">
                  <c:v>53.82</c:v>
                </c:pt>
                <c:pt idx="15383">
                  <c:v>53.83</c:v>
                </c:pt>
                <c:pt idx="15384">
                  <c:v>53.84</c:v>
                </c:pt>
                <c:pt idx="15385">
                  <c:v>53.85</c:v>
                </c:pt>
                <c:pt idx="15386">
                  <c:v>53.86</c:v>
                </c:pt>
                <c:pt idx="15387">
                  <c:v>53.87</c:v>
                </c:pt>
                <c:pt idx="15388">
                  <c:v>53.88</c:v>
                </c:pt>
                <c:pt idx="15389">
                  <c:v>53.89</c:v>
                </c:pt>
                <c:pt idx="15390">
                  <c:v>53.9</c:v>
                </c:pt>
                <c:pt idx="15391">
                  <c:v>53.91</c:v>
                </c:pt>
                <c:pt idx="15392">
                  <c:v>53.92</c:v>
                </c:pt>
                <c:pt idx="15393">
                  <c:v>53.93</c:v>
                </c:pt>
                <c:pt idx="15394">
                  <c:v>53.94</c:v>
                </c:pt>
                <c:pt idx="15395">
                  <c:v>53.95</c:v>
                </c:pt>
                <c:pt idx="15396">
                  <c:v>53.96</c:v>
                </c:pt>
                <c:pt idx="15397">
                  <c:v>53.97</c:v>
                </c:pt>
                <c:pt idx="15398">
                  <c:v>53.98</c:v>
                </c:pt>
                <c:pt idx="15399">
                  <c:v>53.99</c:v>
                </c:pt>
                <c:pt idx="15400">
                  <c:v>54.0</c:v>
                </c:pt>
                <c:pt idx="15401">
                  <c:v>54.01</c:v>
                </c:pt>
                <c:pt idx="15402">
                  <c:v>54.02</c:v>
                </c:pt>
                <c:pt idx="15403">
                  <c:v>54.03</c:v>
                </c:pt>
                <c:pt idx="15404">
                  <c:v>54.04</c:v>
                </c:pt>
                <c:pt idx="15405">
                  <c:v>54.05</c:v>
                </c:pt>
                <c:pt idx="15406">
                  <c:v>54.06</c:v>
                </c:pt>
                <c:pt idx="15407">
                  <c:v>54.07</c:v>
                </c:pt>
                <c:pt idx="15408">
                  <c:v>54.08</c:v>
                </c:pt>
                <c:pt idx="15409">
                  <c:v>54.09</c:v>
                </c:pt>
                <c:pt idx="15410">
                  <c:v>54.1</c:v>
                </c:pt>
                <c:pt idx="15411">
                  <c:v>54.11</c:v>
                </c:pt>
                <c:pt idx="15412">
                  <c:v>54.12</c:v>
                </c:pt>
                <c:pt idx="15413">
                  <c:v>54.13</c:v>
                </c:pt>
                <c:pt idx="15414">
                  <c:v>54.14</c:v>
                </c:pt>
                <c:pt idx="15415">
                  <c:v>54.15</c:v>
                </c:pt>
                <c:pt idx="15416">
                  <c:v>54.16</c:v>
                </c:pt>
                <c:pt idx="15417">
                  <c:v>54.17</c:v>
                </c:pt>
                <c:pt idx="15418">
                  <c:v>54.18</c:v>
                </c:pt>
                <c:pt idx="15419">
                  <c:v>54.19</c:v>
                </c:pt>
                <c:pt idx="15420">
                  <c:v>54.2</c:v>
                </c:pt>
                <c:pt idx="15421">
                  <c:v>54.21</c:v>
                </c:pt>
                <c:pt idx="15422">
                  <c:v>54.22</c:v>
                </c:pt>
                <c:pt idx="15423">
                  <c:v>54.23</c:v>
                </c:pt>
                <c:pt idx="15424">
                  <c:v>54.24</c:v>
                </c:pt>
                <c:pt idx="15425">
                  <c:v>54.25</c:v>
                </c:pt>
                <c:pt idx="15426">
                  <c:v>54.26</c:v>
                </c:pt>
                <c:pt idx="15427">
                  <c:v>54.27</c:v>
                </c:pt>
                <c:pt idx="15428">
                  <c:v>54.28</c:v>
                </c:pt>
                <c:pt idx="15429">
                  <c:v>54.29</c:v>
                </c:pt>
                <c:pt idx="15430">
                  <c:v>54.3</c:v>
                </c:pt>
                <c:pt idx="15431">
                  <c:v>54.31</c:v>
                </c:pt>
                <c:pt idx="15432">
                  <c:v>54.32</c:v>
                </c:pt>
                <c:pt idx="15433">
                  <c:v>54.33</c:v>
                </c:pt>
                <c:pt idx="15434">
                  <c:v>54.34</c:v>
                </c:pt>
                <c:pt idx="15435">
                  <c:v>54.35</c:v>
                </c:pt>
                <c:pt idx="15436">
                  <c:v>54.36</c:v>
                </c:pt>
                <c:pt idx="15437">
                  <c:v>54.37</c:v>
                </c:pt>
                <c:pt idx="15438">
                  <c:v>54.38</c:v>
                </c:pt>
                <c:pt idx="15439">
                  <c:v>54.39</c:v>
                </c:pt>
                <c:pt idx="15440">
                  <c:v>54.4</c:v>
                </c:pt>
                <c:pt idx="15441">
                  <c:v>54.41</c:v>
                </c:pt>
                <c:pt idx="15442">
                  <c:v>54.42</c:v>
                </c:pt>
                <c:pt idx="15443">
                  <c:v>54.43</c:v>
                </c:pt>
                <c:pt idx="15444">
                  <c:v>54.44</c:v>
                </c:pt>
                <c:pt idx="15445">
                  <c:v>54.45</c:v>
                </c:pt>
                <c:pt idx="15446">
                  <c:v>54.46</c:v>
                </c:pt>
                <c:pt idx="15447">
                  <c:v>54.47</c:v>
                </c:pt>
                <c:pt idx="15448">
                  <c:v>54.48</c:v>
                </c:pt>
                <c:pt idx="15449">
                  <c:v>54.49</c:v>
                </c:pt>
                <c:pt idx="15450">
                  <c:v>54.5</c:v>
                </c:pt>
                <c:pt idx="15451">
                  <c:v>54.51</c:v>
                </c:pt>
                <c:pt idx="15452">
                  <c:v>54.52</c:v>
                </c:pt>
                <c:pt idx="15453">
                  <c:v>54.53</c:v>
                </c:pt>
                <c:pt idx="15454">
                  <c:v>54.54</c:v>
                </c:pt>
                <c:pt idx="15455">
                  <c:v>54.55</c:v>
                </c:pt>
                <c:pt idx="15456">
                  <c:v>54.56</c:v>
                </c:pt>
                <c:pt idx="15457">
                  <c:v>54.57</c:v>
                </c:pt>
                <c:pt idx="15458">
                  <c:v>54.58</c:v>
                </c:pt>
                <c:pt idx="15459">
                  <c:v>54.59</c:v>
                </c:pt>
                <c:pt idx="15460">
                  <c:v>54.6</c:v>
                </c:pt>
                <c:pt idx="15461">
                  <c:v>54.61</c:v>
                </c:pt>
                <c:pt idx="15462">
                  <c:v>54.62</c:v>
                </c:pt>
                <c:pt idx="15463">
                  <c:v>54.63</c:v>
                </c:pt>
                <c:pt idx="15464">
                  <c:v>54.64</c:v>
                </c:pt>
                <c:pt idx="15465">
                  <c:v>54.65</c:v>
                </c:pt>
                <c:pt idx="15466">
                  <c:v>54.66</c:v>
                </c:pt>
                <c:pt idx="15467">
                  <c:v>54.67</c:v>
                </c:pt>
                <c:pt idx="15468">
                  <c:v>54.68</c:v>
                </c:pt>
                <c:pt idx="15469">
                  <c:v>54.69</c:v>
                </c:pt>
                <c:pt idx="15470">
                  <c:v>54.7</c:v>
                </c:pt>
                <c:pt idx="15471">
                  <c:v>54.71</c:v>
                </c:pt>
                <c:pt idx="15472">
                  <c:v>54.72</c:v>
                </c:pt>
                <c:pt idx="15473">
                  <c:v>54.73</c:v>
                </c:pt>
                <c:pt idx="15474">
                  <c:v>54.74</c:v>
                </c:pt>
                <c:pt idx="15475">
                  <c:v>54.75</c:v>
                </c:pt>
                <c:pt idx="15476">
                  <c:v>54.76</c:v>
                </c:pt>
                <c:pt idx="15477">
                  <c:v>54.77</c:v>
                </c:pt>
                <c:pt idx="15478">
                  <c:v>54.78</c:v>
                </c:pt>
                <c:pt idx="15479">
                  <c:v>54.79</c:v>
                </c:pt>
                <c:pt idx="15480">
                  <c:v>54.8</c:v>
                </c:pt>
                <c:pt idx="15481">
                  <c:v>54.81</c:v>
                </c:pt>
                <c:pt idx="15482">
                  <c:v>54.82</c:v>
                </c:pt>
                <c:pt idx="15483">
                  <c:v>54.83</c:v>
                </c:pt>
                <c:pt idx="15484">
                  <c:v>54.84</c:v>
                </c:pt>
                <c:pt idx="15485">
                  <c:v>54.85</c:v>
                </c:pt>
                <c:pt idx="15486">
                  <c:v>54.86</c:v>
                </c:pt>
                <c:pt idx="15487">
                  <c:v>54.87</c:v>
                </c:pt>
                <c:pt idx="15488">
                  <c:v>54.88</c:v>
                </c:pt>
                <c:pt idx="15489">
                  <c:v>54.89</c:v>
                </c:pt>
                <c:pt idx="15490">
                  <c:v>54.9</c:v>
                </c:pt>
                <c:pt idx="15491">
                  <c:v>54.91</c:v>
                </c:pt>
                <c:pt idx="15492">
                  <c:v>54.92</c:v>
                </c:pt>
                <c:pt idx="15493">
                  <c:v>54.93</c:v>
                </c:pt>
                <c:pt idx="15494">
                  <c:v>54.94</c:v>
                </c:pt>
                <c:pt idx="15495">
                  <c:v>54.95</c:v>
                </c:pt>
                <c:pt idx="15496">
                  <c:v>54.96</c:v>
                </c:pt>
                <c:pt idx="15497">
                  <c:v>54.97</c:v>
                </c:pt>
                <c:pt idx="15498">
                  <c:v>54.98</c:v>
                </c:pt>
                <c:pt idx="15499">
                  <c:v>54.99</c:v>
                </c:pt>
                <c:pt idx="15500">
                  <c:v>55.0</c:v>
                </c:pt>
                <c:pt idx="15501">
                  <c:v>55.01</c:v>
                </c:pt>
                <c:pt idx="15502">
                  <c:v>55.02</c:v>
                </c:pt>
                <c:pt idx="15503">
                  <c:v>55.03</c:v>
                </c:pt>
                <c:pt idx="15504">
                  <c:v>55.04</c:v>
                </c:pt>
                <c:pt idx="15505">
                  <c:v>55.05</c:v>
                </c:pt>
                <c:pt idx="15506">
                  <c:v>55.06</c:v>
                </c:pt>
                <c:pt idx="15507">
                  <c:v>55.07</c:v>
                </c:pt>
                <c:pt idx="15508">
                  <c:v>55.08</c:v>
                </c:pt>
                <c:pt idx="15509">
                  <c:v>55.09</c:v>
                </c:pt>
                <c:pt idx="15510">
                  <c:v>55.1</c:v>
                </c:pt>
                <c:pt idx="15511">
                  <c:v>55.11</c:v>
                </c:pt>
                <c:pt idx="15512">
                  <c:v>55.12</c:v>
                </c:pt>
                <c:pt idx="15513">
                  <c:v>55.13</c:v>
                </c:pt>
                <c:pt idx="15514">
                  <c:v>55.14</c:v>
                </c:pt>
                <c:pt idx="15515">
                  <c:v>55.15</c:v>
                </c:pt>
                <c:pt idx="15516">
                  <c:v>55.16</c:v>
                </c:pt>
                <c:pt idx="15517">
                  <c:v>55.17</c:v>
                </c:pt>
                <c:pt idx="15518">
                  <c:v>55.18</c:v>
                </c:pt>
                <c:pt idx="15519">
                  <c:v>55.19</c:v>
                </c:pt>
                <c:pt idx="15520">
                  <c:v>55.2</c:v>
                </c:pt>
                <c:pt idx="15521">
                  <c:v>55.21</c:v>
                </c:pt>
                <c:pt idx="15522">
                  <c:v>55.22</c:v>
                </c:pt>
                <c:pt idx="15523">
                  <c:v>55.23</c:v>
                </c:pt>
                <c:pt idx="15524">
                  <c:v>55.24</c:v>
                </c:pt>
                <c:pt idx="15525">
                  <c:v>55.25</c:v>
                </c:pt>
                <c:pt idx="15526">
                  <c:v>55.26</c:v>
                </c:pt>
                <c:pt idx="15527">
                  <c:v>55.27</c:v>
                </c:pt>
                <c:pt idx="15528">
                  <c:v>55.28</c:v>
                </c:pt>
                <c:pt idx="15529">
                  <c:v>55.29</c:v>
                </c:pt>
                <c:pt idx="15530">
                  <c:v>55.3</c:v>
                </c:pt>
                <c:pt idx="15531">
                  <c:v>55.31</c:v>
                </c:pt>
                <c:pt idx="15532">
                  <c:v>55.32</c:v>
                </c:pt>
                <c:pt idx="15533">
                  <c:v>55.33</c:v>
                </c:pt>
                <c:pt idx="15534">
                  <c:v>55.34</c:v>
                </c:pt>
                <c:pt idx="15535">
                  <c:v>55.35</c:v>
                </c:pt>
                <c:pt idx="15536">
                  <c:v>55.36</c:v>
                </c:pt>
                <c:pt idx="15537">
                  <c:v>55.37</c:v>
                </c:pt>
                <c:pt idx="15538">
                  <c:v>55.38</c:v>
                </c:pt>
                <c:pt idx="15539">
                  <c:v>55.39</c:v>
                </c:pt>
                <c:pt idx="15540">
                  <c:v>55.4</c:v>
                </c:pt>
                <c:pt idx="15541">
                  <c:v>55.41</c:v>
                </c:pt>
                <c:pt idx="15542">
                  <c:v>55.42</c:v>
                </c:pt>
                <c:pt idx="15543">
                  <c:v>55.43</c:v>
                </c:pt>
                <c:pt idx="15544">
                  <c:v>55.44</c:v>
                </c:pt>
                <c:pt idx="15545">
                  <c:v>55.45</c:v>
                </c:pt>
                <c:pt idx="15546">
                  <c:v>55.46</c:v>
                </c:pt>
                <c:pt idx="15547">
                  <c:v>55.47</c:v>
                </c:pt>
                <c:pt idx="15548">
                  <c:v>55.48</c:v>
                </c:pt>
                <c:pt idx="15549">
                  <c:v>55.49</c:v>
                </c:pt>
                <c:pt idx="15550">
                  <c:v>55.5</c:v>
                </c:pt>
                <c:pt idx="15551">
                  <c:v>55.51</c:v>
                </c:pt>
                <c:pt idx="15552">
                  <c:v>55.52</c:v>
                </c:pt>
                <c:pt idx="15553">
                  <c:v>55.53</c:v>
                </c:pt>
                <c:pt idx="15554">
                  <c:v>55.54</c:v>
                </c:pt>
                <c:pt idx="15555">
                  <c:v>55.55</c:v>
                </c:pt>
                <c:pt idx="15556">
                  <c:v>55.56</c:v>
                </c:pt>
                <c:pt idx="15557">
                  <c:v>55.57</c:v>
                </c:pt>
                <c:pt idx="15558">
                  <c:v>55.58</c:v>
                </c:pt>
                <c:pt idx="15559">
                  <c:v>55.59</c:v>
                </c:pt>
                <c:pt idx="15560">
                  <c:v>55.6</c:v>
                </c:pt>
                <c:pt idx="15561">
                  <c:v>55.61</c:v>
                </c:pt>
                <c:pt idx="15562">
                  <c:v>55.62</c:v>
                </c:pt>
                <c:pt idx="15563">
                  <c:v>55.63</c:v>
                </c:pt>
                <c:pt idx="15564">
                  <c:v>55.64</c:v>
                </c:pt>
                <c:pt idx="15565">
                  <c:v>55.65</c:v>
                </c:pt>
                <c:pt idx="15566">
                  <c:v>55.66</c:v>
                </c:pt>
                <c:pt idx="15567">
                  <c:v>55.67</c:v>
                </c:pt>
                <c:pt idx="15568">
                  <c:v>55.68</c:v>
                </c:pt>
                <c:pt idx="15569">
                  <c:v>55.69</c:v>
                </c:pt>
                <c:pt idx="15570">
                  <c:v>55.7</c:v>
                </c:pt>
                <c:pt idx="15571">
                  <c:v>55.71</c:v>
                </c:pt>
                <c:pt idx="15572">
                  <c:v>55.72</c:v>
                </c:pt>
                <c:pt idx="15573">
                  <c:v>55.73</c:v>
                </c:pt>
                <c:pt idx="15574">
                  <c:v>55.74</c:v>
                </c:pt>
                <c:pt idx="15575">
                  <c:v>55.75</c:v>
                </c:pt>
                <c:pt idx="15576">
                  <c:v>55.76</c:v>
                </c:pt>
                <c:pt idx="15577">
                  <c:v>55.77</c:v>
                </c:pt>
                <c:pt idx="15578">
                  <c:v>55.78</c:v>
                </c:pt>
                <c:pt idx="15579">
                  <c:v>55.79</c:v>
                </c:pt>
                <c:pt idx="15580">
                  <c:v>55.8</c:v>
                </c:pt>
                <c:pt idx="15581">
                  <c:v>55.81</c:v>
                </c:pt>
                <c:pt idx="15582">
                  <c:v>55.82</c:v>
                </c:pt>
                <c:pt idx="15583">
                  <c:v>55.83</c:v>
                </c:pt>
                <c:pt idx="15584">
                  <c:v>55.84</c:v>
                </c:pt>
                <c:pt idx="15585">
                  <c:v>55.85</c:v>
                </c:pt>
                <c:pt idx="15586">
                  <c:v>55.86</c:v>
                </c:pt>
                <c:pt idx="15587">
                  <c:v>55.87</c:v>
                </c:pt>
                <c:pt idx="15588">
                  <c:v>55.88</c:v>
                </c:pt>
                <c:pt idx="15589">
                  <c:v>55.89</c:v>
                </c:pt>
                <c:pt idx="15590">
                  <c:v>55.9</c:v>
                </c:pt>
                <c:pt idx="15591">
                  <c:v>55.91</c:v>
                </c:pt>
                <c:pt idx="15592">
                  <c:v>55.92</c:v>
                </c:pt>
                <c:pt idx="15593">
                  <c:v>55.93</c:v>
                </c:pt>
                <c:pt idx="15594">
                  <c:v>55.94</c:v>
                </c:pt>
                <c:pt idx="15595">
                  <c:v>55.95</c:v>
                </c:pt>
                <c:pt idx="15596">
                  <c:v>55.96</c:v>
                </c:pt>
                <c:pt idx="15597">
                  <c:v>55.97</c:v>
                </c:pt>
                <c:pt idx="15598">
                  <c:v>55.98</c:v>
                </c:pt>
                <c:pt idx="15599">
                  <c:v>55.99</c:v>
                </c:pt>
                <c:pt idx="15600">
                  <c:v>56.0</c:v>
                </c:pt>
                <c:pt idx="15601">
                  <c:v>56.01</c:v>
                </c:pt>
                <c:pt idx="15602">
                  <c:v>56.02</c:v>
                </c:pt>
                <c:pt idx="15603">
                  <c:v>56.03</c:v>
                </c:pt>
                <c:pt idx="15604">
                  <c:v>56.04</c:v>
                </c:pt>
                <c:pt idx="15605">
                  <c:v>56.05</c:v>
                </c:pt>
                <c:pt idx="15606">
                  <c:v>56.06</c:v>
                </c:pt>
                <c:pt idx="15607">
                  <c:v>56.07</c:v>
                </c:pt>
                <c:pt idx="15608">
                  <c:v>56.08</c:v>
                </c:pt>
                <c:pt idx="15609">
                  <c:v>56.09</c:v>
                </c:pt>
                <c:pt idx="15610">
                  <c:v>56.1</c:v>
                </c:pt>
                <c:pt idx="15611">
                  <c:v>56.11</c:v>
                </c:pt>
                <c:pt idx="15612">
                  <c:v>56.12</c:v>
                </c:pt>
                <c:pt idx="15613">
                  <c:v>56.13</c:v>
                </c:pt>
                <c:pt idx="15614">
                  <c:v>56.14</c:v>
                </c:pt>
                <c:pt idx="15615">
                  <c:v>56.15</c:v>
                </c:pt>
                <c:pt idx="15616">
                  <c:v>56.16</c:v>
                </c:pt>
                <c:pt idx="15617">
                  <c:v>56.17</c:v>
                </c:pt>
                <c:pt idx="15618">
                  <c:v>56.18</c:v>
                </c:pt>
                <c:pt idx="15619">
                  <c:v>56.19</c:v>
                </c:pt>
                <c:pt idx="15620">
                  <c:v>56.2</c:v>
                </c:pt>
                <c:pt idx="15621">
                  <c:v>56.21</c:v>
                </c:pt>
                <c:pt idx="15622">
                  <c:v>56.22</c:v>
                </c:pt>
                <c:pt idx="15623">
                  <c:v>56.23</c:v>
                </c:pt>
                <c:pt idx="15624">
                  <c:v>56.24</c:v>
                </c:pt>
                <c:pt idx="15625">
                  <c:v>56.25</c:v>
                </c:pt>
                <c:pt idx="15626">
                  <c:v>56.26</c:v>
                </c:pt>
                <c:pt idx="15627">
                  <c:v>56.27</c:v>
                </c:pt>
                <c:pt idx="15628">
                  <c:v>56.28</c:v>
                </c:pt>
                <c:pt idx="15629">
                  <c:v>56.29</c:v>
                </c:pt>
                <c:pt idx="15630">
                  <c:v>56.3</c:v>
                </c:pt>
                <c:pt idx="15631">
                  <c:v>56.31</c:v>
                </c:pt>
                <c:pt idx="15632">
                  <c:v>56.32</c:v>
                </c:pt>
                <c:pt idx="15633">
                  <c:v>56.33</c:v>
                </c:pt>
                <c:pt idx="15634">
                  <c:v>56.34</c:v>
                </c:pt>
                <c:pt idx="15635">
                  <c:v>56.35</c:v>
                </c:pt>
                <c:pt idx="15636">
                  <c:v>56.36</c:v>
                </c:pt>
                <c:pt idx="15637">
                  <c:v>56.37</c:v>
                </c:pt>
                <c:pt idx="15638">
                  <c:v>56.38</c:v>
                </c:pt>
                <c:pt idx="15639">
                  <c:v>56.39</c:v>
                </c:pt>
                <c:pt idx="15640">
                  <c:v>56.4</c:v>
                </c:pt>
                <c:pt idx="15641">
                  <c:v>56.41</c:v>
                </c:pt>
                <c:pt idx="15642">
                  <c:v>56.42</c:v>
                </c:pt>
                <c:pt idx="15643">
                  <c:v>56.43</c:v>
                </c:pt>
                <c:pt idx="15644">
                  <c:v>56.44</c:v>
                </c:pt>
                <c:pt idx="15645">
                  <c:v>56.45</c:v>
                </c:pt>
                <c:pt idx="15646">
                  <c:v>56.46</c:v>
                </c:pt>
                <c:pt idx="15647">
                  <c:v>56.47</c:v>
                </c:pt>
                <c:pt idx="15648">
                  <c:v>56.48</c:v>
                </c:pt>
                <c:pt idx="15649">
                  <c:v>56.49</c:v>
                </c:pt>
                <c:pt idx="15650">
                  <c:v>56.5</c:v>
                </c:pt>
                <c:pt idx="15651">
                  <c:v>56.51</c:v>
                </c:pt>
                <c:pt idx="15652">
                  <c:v>56.52</c:v>
                </c:pt>
                <c:pt idx="15653">
                  <c:v>56.53</c:v>
                </c:pt>
                <c:pt idx="15654">
                  <c:v>56.54</c:v>
                </c:pt>
                <c:pt idx="15655">
                  <c:v>56.55</c:v>
                </c:pt>
                <c:pt idx="15656">
                  <c:v>56.56</c:v>
                </c:pt>
                <c:pt idx="15657">
                  <c:v>56.57</c:v>
                </c:pt>
                <c:pt idx="15658">
                  <c:v>56.58</c:v>
                </c:pt>
                <c:pt idx="15659">
                  <c:v>56.59</c:v>
                </c:pt>
                <c:pt idx="15660">
                  <c:v>56.6</c:v>
                </c:pt>
                <c:pt idx="15661">
                  <c:v>56.61</c:v>
                </c:pt>
                <c:pt idx="15662">
                  <c:v>56.62</c:v>
                </c:pt>
                <c:pt idx="15663">
                  <c:v>56.63</c:v>
                </c:pt>
                <c:pt idx="15664">
                  <c:v>56.64</c:v>
                </c:pt>
                <c:pt idx="15665">
                  <c:v>56.65</c:v>
                </c:pt>
                <c:pt idx="15666">
                  <c:v>56.66</c:v>
                </c:pt>
                <c:pt idx="15667">
                  <c:v>56.67</c:v>
                </c:pt>
                <c:pt idx="15668">
                  <c:v>56.68</c:v>
                </c:pt>
                <c:pt idx="15669">
                  <c:v>56.69</c:v>
                </c:pt>
                <c:pt idx="15670">
                  <c:v>56.7</c:v>
                </c:pt>
                <c:pt idx="15671">
                  <c:v>56.71</c:v>
                </c:pt>
                <c:pt idx="15672">
                  <c:v>56.72</c:v>
                </c:pt>
                <c:pt idx="15673">
                  <c:v>56.73</c:v>
                </c:pt>
                <c:pt idx="15674">
                  <c:v>56.74</c:v>
                </c:pt>
                <c:pt idx="15675">
                  <c:v>56.75</c:v>
                </c:pt>
                <c:pt idx="15676">
                  <c:v>56.76</c:v>
                </c:pt>
                <c:pt idx="15677">
                  <c:v>56.77</c:v>
                </c:pt>
                <c:pt idx="15678">
                  <c:v>56.78</c:v>
                </c:pt>
                <c:pt idx="15679">
                  <c:v>56.79</c:v>
                </c:pt>
                <c:pt idx="15680">
                  <c:v>56.8</c:v>
                </c:pt>
                <c:pt idx="15681">
                  <c:v>56.81</c:v>
                </c:pt>
                <c:pt idx="15682">
                  <c:v>56.82</c:v>
                </c:pt>
                <c:pt idx="15683">
                  <c:v>56.83</c:v>
                </c:pt>
                <c:pt idx="15684">
                  <c:v>56.84</c:v>
                </c:pt>
                <c:pt idx="15685">
                  <c:v>56.85</c:v>
                </c:pt>
                <c:pt idx="15686">
                  <c:v>56.86</c:v>
                </c:pt>
                <c:pt idx="15687">
                  <c:v>56.87</c:v>
                </c:pt>
                <c:pt idx="15688">
                  <c:v>56.88</c:v>
                </c:pt>
                <c:pt idx="15689">
                  <c:v>56.89</c:v>
                </c:pt>
                <c:pt idx="15690">
                  <c:v>56.9</c:v>
                </c:pt>
                <c:pt idx="15691">
                  <c:v>56.91</c:v>
                </c:pt>
                <c:pt idx="15692">
                  <c:v>56.92</c:v>
                </c:pt>
                <c:pt idx="15693">
                  <c:v>56.93</c:v>
                </c:pt>
                <c:pt idx="15694">
                  <c:v>56.94</c:v>
                </c:pt>
                <c:pt idx="15695">
                  <c:v>56.95</c:v>
                </c:pt>
                <c:pt idx="15696">
                  <c:v>56.96</c:v>
                </c:pt>
                <c:pt idx="15697">
                  <c:v>56.97</c:v>
                </c:pt>
                <c:pt idx="15698">
                  <c:v>56.98</c:v>
                </c:pt>
                <c:pt idx="15699">
                  <c:v>56.99</c:v>
                </c:pt>
                <c:pt idx="15700">
                  <c:v>57.0</c:v>
                </c:pt>
                <c:pt idx="15701">
                  <c:v>57.01</c:v>
                </c:pt>
                <c:pt idx="15702">
                  <c:v>57.02</c:v>
                </c:pt>
                <c:pt idx="15703">
                  <c:v>57.03</c:v>
                </c:pt>
                <c:pt idx="15704">
                  <c:v>57.04</c:v>
                </c:pt>
                <c:pt idx="15705">
                  <c:v>57.05</c:v>
                </c:pt>
                <c:pt idx="15706">
                  <c:v>57.06</c:v>
                </c:pt>
                <c:pt idx="15707">
                  <c:v>57.07</c:v>
                </c:pt>
                <c:pt idx="15708">
                  <c:v>57.08</c:v>
                </c:pt>
                <c:pt idx="15709">
                  <c:v>57.09</c:v>
                </c:pt>
                <c:pt idx="15710">
                  <c:v>57.1</c:v>
                </c:pt>
                <c:pt idx="15711">
                  <c:v>57.11</c:v>
                </c:pt>
                <c:pt idx="15712">
                  <c:v>57.12</c:v>
                </c:pt>
                <c:pt idx="15713">
                  <c:v>57.13</c:v>
                </c:pt>
                <c:pt idx="15714">
                  <c:v>57.14</c:v>
                </c:pt>
                <c:pt idx="15715">
                  <c:v>57.15</c:v>
                </c:pt>
                <c:pt idx="15716">
                  <c:v>57.16</c:v>
                </c:pt>
                <c:pt idx="15717">
                  <c:v>57.17</c:v>
                </c:pt>
                <c:pt idx="15718">
                  <c:v>57.18</c:v>
                </c:pt>
                <c:pt idx="15719">
                  <c:v>57.19</c:v>
                </c:pt>
                <c:pt idx="15720">
                  <c:v>57.2</c:v>
                </c:pt>
                <c:pt idx="15721">
                  <c:v>57.21</c:v>
                </c:pt>
                <c:pt idx="15722">
                  <c:v>57.22</c:v>
                </c:pt>
                <c:pt idx="15723">
                  <c:v>57.23</c:v>
                </c:pt>
                <c:pt idx="15724">
                  <c:v>57.24</c:v>
                </c:pt>
                <c:pt idx="15725">
                  <c:v>57.25</c:v>
                </c:pt>
                <c:pt idx="15726">
                  <c:v>57.26</c:v>
                </c:pt>
                <c:pt idx="15727">
                  <c:v>57.27</c:v>
                </c:pt>
                <c:pt idx="15728">
                  <c:v>57.28</c:v>
                </c:pt>
                <c:pt idx="15729">
                  <c:v>57.29</c:v>
                </c:pt>
                <c:pt idx="15730">
                  <c:v>57.3</c:v>
                </c:pt>
                <c:pt idx="15731">
                  <c:v>57.31</c:v>
                </c:pt>
                <c:pt idx="15732">
                  <c:v>57.32</c:v>
                </c:pt>
                <c:pt idx="15733">
                  <c:v>57.33</c:v>
                </c:pt>
                <c:pt idx="15734">
                  <c:v>57.34</c:v>
                </c:pt>
                <c:pt idx="15735">
                  <c:v>57.35</c:v>
                </c:pt>
                <c:pt idx="15736">
                  <c:v>57.36</c:v>
                </c:pt>
                <c:pt idx="15737">
                  <c:v>57.37</c:v>
                </c:pt>
                <c:pt idx="15738">
                  <c:v>57.38</c:v>
                </c:pt>
                <c:pt idx="15739">
                  <c:v>57.39</c:v>
                </c:pt>
                <c:pt idx="15740">
                  <c:v>57.4</c:v>
                </c:pt>
                <c:pt idx="15741">
                  <c:v>57.41</c:v>
                </c:pt>
                <c:pt idx="15742">
                  <c:v>57.42</c:v>
                </c:pt>
                <c:pt idx="15743">
                  <c:v>57.43</c:v>
                </c:pt>
                <c:pt idx="15744">
                  <c:v>57.44</c:v>
                </c:pt>
                <c:pt idx="15745">
                  <c:v>57.45</c:v>
                </c:pt>
                <c:pt idx="15746">
                  <c:v>57.46</c:v>
                </c:pt>
                <c:pt idx="15747">
                  <c:v>57.47</c:v>
                </c:pt>
                <c:pt idx="15748">
                  <c:v>57.48</c:v>
                </c:pt>
                <c:pt idx="15749">
                  <c:v>57.49</c:v>
                </c:pt>
                <c:pt idx="15750">
                  <c:v>57.5</c:v>
                </c:pt>
                <c:pt idx="15751">
                  <c:v>57.51</c:v>
                </c:pt>
                <c:pt idx="15752">
                  <c:v>57.52</c:v>
                </c:pt>
                <c:pt idx="15753">
                  <c:v>57.53</c:v>
                </c:pt>
                <c:pt idx="15754">
                  <c:v>57.54</c:v>
                </c:pt>
                <c:pt idx="15755">
                  <c:v>57.55</c:v>
                </c:pt>
                <c:pt idx="15756">
                  <c:v>57.56</c:v>
                </c:pt>
                <c:pt idx="15757">
                  <c:v>57.57</c:v>
                </c:pt>
                <c:pt idx="15758">
                  <c:v>57.58</c:v>
                </c:pt>
                <c:pt idx="15759">
                  <c:v>57.59</c:v>
                </c:pt>
                <c:pt idx="15760">
                  <c:v>57.6</c:v>
                </c:pt>
                <c:pt idx="15761">
                  <c:v>57.61</c:v>
                </c:pt>
                <c:pt idx="15762">
                  <c:v>57.62</c:v>
                </c:pt>
                <c:pt idx="15763">
                  <c:v>57.63</c:v>
                </c:pt>
                <c:pt idx="15764">
                  <c:v>57.64</c:v>
                </c:pt>
                <c:pt idx="15765">
                  <c:v>57.65</c:v>
                </c:pt>
                <c:pt idx="15766">
                  <c:v>57.66</c:v>
                </c:pt>
                <c:pt idx="15767">
                  <c:v>57.67</c:v>
                </c:pt>
                <c:pt idx="15768">
                  <c:v>57.68</c:v>
                </c:pt>
                <c:pt idx="15769">
                  <c:v>57.69</c:v>
                </c:pt>
                <c:pt idx="15770">
                  <c:v>57.7</c:v>
                </c:pt>
                <c:pt idx="15771">
                  <c:v>57.71</c:v>
                </c:pt>
                <c:pt idx="15772">
                  <c:v>57.72</c:v>
                </c:pt>
                <c:pt idx="15773">
                  <c:v>57.73</c:v>
                </c:pt>
                <c:pt idx="15774">
                  <c:v>57.74</c:v>
                </c:pt>
                <c:pt idx="15775">
                  <c:v>57.75</c:v>
                </c:pt>
                <c:pt idx="15776">
                  <c:v>57.76</c:v>
                </c:pt>
                <c:pt idx="15777">
                  <c:v>57.77</c:v>
                </c:pt>
                <c:pt idx="15778">
                  <c:v>57.78</c:v>
                </c:pt>
                <c:pt idx="15779">
                  <c:v>57.79</c:v>
                </c:pt>
                <c:pt idx="15780">
                  <c:v>57.8</c:v>
                </c:pt>
                <c:pt idx="15781">
                  <c:v>57.81</c:v>
                </c:pt>
                <c:pt idx="15782">
                  <c:v>57.82</c:v>
                </c:pt>
                <c:pt idx="15783">
                  <c:v>57.83</c:v>
                </c:pt>
                <c:pt idx="15784">
                  <c:v>57.84</c:v>
                </c:pt>
                <c:pt idx="15785">
                  <c:v>57.85</c:v>
                </c:pt>
                <c:pt idx="15786">
                  <c:v>57.86</c:v>
                </c:pt>
                <c:pt idx="15787">
                  <c:v>57.87</c:v>
                </c:pt>
                <c:pt idx="15788">
                  <c:v>57.88</c:v>
                </c:pt>
                <c:pt idx="15789">
                  <c:v>57.89</c:v>
                </c:pt>
                <c:pt idx="15790">
                  <c:v>57.9</c:v>
                </c:pt>
                <c:pt idx="15791">
                  <c:v>57.91</c:v>
                </c:pt>
                <c:pt idx="15792">
                  <c:v>57.92</c:v>
                </c:pt>
                <c:pt idx="15793">
                  <c:v>57.93</c:v>
                </c:pt>
                <c:pt idx="15794">
                  <c:v>57.94</c:v>
                </c:pt>
                <c:pt idx="15795">
                  <c:v>57.95</c:v>
                </c:pt>
                <c:pt idx="15796">
                  <c:v>57.96</c:v>
                </c:pt>
                <c:pt idx="15797">
                  <c:v>57.97</c:v>
                </c:pt>
                <c:pt idx="15798">
                  <c:v>57.98</c:v>
                </c:pt>
                <c:pt idx="15799">
                  <c:v>57.99</c:v>
                </c:pt>
                <c:pt idx="15800">
                  <c:v>58.0</c:v>
                </c:pt>
                <c:pt idx="15801">
                  <c:v>58.01</c:v>
                </c:pt>
                <c:pt idx="15802">
                  <c:v>58.02</c:v>
                </c:pt>
                <c:pt idx="15803">
                  <c:v>58.03</c:v>
                </c:pt>
                <c:pt idx="15804">
                  <c:v>58.04</c:v>
                </c:pt>
                <c:pt idx="15805">
                  <c:v>58.05</c:v>
                </c:pt>
                <c:pt idx="15806">
                  <c:v>58.06</c:v>
                </c:pt>
                <c:pt idx="15807">
                  <c:v>58.07</c:v>
                </c:pt>
                <c:pt idx="15808">
                  <c:v>58.08</c:v>
                </c:pt>
                <c:pt idx="15809">
                  <c:v>58.09</c:v>
                </c:pt>
                <c:pt idx="15810">
                  <c:v>58.1</c:v>
                </c:pt>
                <c:pt idx="15811">
                  <c:v>58.11</c:v>
                </c:pt>
                <c:pt idx="15812">
                  <c:v>58.12</c:v>
                </c:pt>
                <c:pt idx="15813">
                  <c:v>58.13</c:v>
                </c:pt>
                <c:pt idx="15814">
                  <c:v>58.14</c:v>
                </c:pt>
                <c:pt idx="15815">
                  <c:v>58.15</c:v>
                </c:pt>
                <c:pt idx="15816">
                  <c:v>58.16</c:v>
                </c:pt>
                <c:pt idx="15817">
                  <c:v>58.17</c:v>
                </c:pt>
                <c:pt idx="15818">
                  <c:v>58.18</c:v>
                </c:pt>
                <c:pt idx="15819">
                  <c:v>58.19</c:v>
                </c:pt>
                <c:pt idx="15820">
                  <c:v>58.2</c:v>
                </c:pt>
                <c:pt idx="15821">
                  <c:v>58.21</c:v>
                </c:pt>
                <c:pt idx="15822">
                  <c:v>58.22</c:v>
                </c:pt>
                <c:pt idx="15823">
                  <c:v>58.23</c:v>
                </c:pt>
                <c:pt idx="15824">
                  <c:v>58.24</c:v>
                </c:pt>
                <c:pt idx="15825">
                  <c:v>58.25</c:v>
                </c:pt>
                <c:pt idx="15826">
                  <c:v>58.26</c:v>
                </c:pt>
                <c:pt idx="15827">
                  <c:v>58.27</c:v>
                </c:pt>
                <c:pt idx="15828">
                  <c:v>58.28</c:v>
                </c:pt>
                <c:pt idx="15829">
                  <c:v>58.29</c:v>
                </c:pt>
                <c:pt idx="15830">
                  <c:v>58.3</c:v>
                </c:pt>
                <c:pt idx="15831">
                  <c:v>58.31</c:v>
                </c:pt>
                <c:pt idx="15832">
                  <c:v>58.32</c:v>
                </c:pt>
                <c:pt idx="15833">
                  <c:v>58.33</c:v>
                </c:pt>
                <c:pt idx="15834">
                  <c:v>58.34</c:v>
                </c:pt>
                <c:pt idx="15835">
                  <c:v>58.35</c:v>
                </c:pt>
                <c:pt idx="15836">
                  <c:v>58.36</c:v>
                </c:pt>
                <c:pt idx="15837">
                  <c:v>58.37</c:v>
                </c:pt>
                <c:pt idx="15838">
                  <c:v>58.38</c:v>
                </c:pt>
                <c:pt idx="15839">
                  <c:v>58.39</c:v>
                </c:pt>
                <c:pt idx="15840">
                  <c:v>58.4</c:v>
                </c:pt>
                <c:pt idx="15841">
                  <c:v>58.41</c:v>
                </c:pt>
                <c:pt idx="15842">
                  <c:v>58.42</c:v>
                </c:pt>
                <c:pt idx="15843">
                  <c:v>58.43</c:v>
                </c:pt>
                <c:pt idx="15844">
                  <c:v>58.44</c:v>
                </c:pt>
                <c:pt idx="15845">
                  <c:v>58.45</c:v>
                </c:pt>
                <c:pt idx="15846">
                  <c:v>58.46</c:v>
                </c:pt>
                <c:pt idx="15847">
                  <c:v>58.47</c:v>
                </c:pt>
                <c:pt idx="15848">
                  <c:v>58.48</c:v>
                </c:pt>
                <c:pt idx="15849">
                  <c:v>58.49</c:v>
                </c:pt>
                <c:pt idx="15850">
                  <c:v>58.5</c:v>
                </c:pt>
                <c:pt idx="15851">
                  <c:v>58.51</c:v>
                </c:pt>
                <c:pt idx="15852">
                  <c:v>58.52</c:v>
                </c:pt>
                <c:pt idx="15853">
                  <c:v>58.53</c:v>
                </c:pt>
                <c:pt idx="15854">
                  <c:v>58.54</c:v>
                </c:pt>
                <c:pt idx="15855">
                  <c:v>58.55</c:v>
                </c:pt>
                <c:pt idx="15856">
                  <c:v>58.56</c:v>
                </c:pt>
                <c:pt idx="15857">
                  <c:v>58.57</c:v>
                </c:pt>
                <c:pt idx="15858">
                  <c:v>58.58</c:v>
                </c:pt>
                <c:pt idx="15859">
                  <c:v>58.59</c:v>
                </c:pt>
                <c:pt idx="15860">
                  <c:v>58.6</c:v>
                </c:pt>
                <c:pt idx="15861">
                  <c:v>58.61</c:v>
                </c:pt>
                <c:pt idx="15862">
                  <c:v>58.62</c:v>
                </c:pt>
                <c:pt idx="15863">
                  <c:v>58.63</c:v>
                </c:pt>
                <c:pt idx="15864">
                  <c:v>58.64</c:v>
                </c:pt>
                <c:pt idx="15865">
                  <c:v>58.65</c:v>
                </c:pt>
                <c:pt idx="15866">
                  <c:v>58.66</c:v>
                </c:pt>
                <c:pt idx="15867">
                  <c:v>58.67</c:v>
                </c:pt>
                <c:pt idx="15868">
                  <c:v>58.68</c:v>
                </c:pt>
                <c:pt idx="15869">
                  <c:v>58.69</c:v>
                </c:pt>
                <c:pt idx="15870">
                  <c:v>58.7</c:v>
                </c:pt>
                <c:pt idx="15871">
                  <c:v>58.71</c:v>
                </c:pt>
                <c:pt idx="15872">
                  <c:v>58.72</c:v>
                </c:pt>
                <c:pt idx="15873">
                  <c:v>58.73</c:v>
                </c:pt>
                <c:pt idx="15874">
                  <c:v>58.74</c:v>
                </c:pt>
                <c:pt idx="15875">
                  <c:v>58.75</c:v>
                </c:pt>
                <c:pt idx="15876">
                  <c:v>58.76</c:v>
                </c:pt>
                <c:pt idx="15877">
                  <c:v>58.77</c:v>
                </c:pt>
                <c:pt idx="15878">
                  <c:v>58.78</c:v>
                </c:pt>
                <c:pt idx="15879">
                  <c:v>58.79</c:v>
                </c:pt>
                <c:pt idx="15880">
                  <c:v>58.8</c:v>
                </c:pt>
                <c:pt idx="15881">
                  <c:v>58.81</c:v>
                </c:pt>
                <c:pt idx="15882">
                  <c:v>58.82</c:v>
                </c:pt>
                <c:pt idx="15883">
                  <c:v>58.83</c:v>
                </c:pt>
                <c:pt idx="15884">
                  <c:v>58.84</c:v>
                </c:pt>
                <c:pt idx="15885">
                  <c:v>58.85</c:v>
                </c:pt>
                <c:pt idx="15886">
                  <c:v>58.86</c:v>
                </c:pt>
                <c:pt idx="15887">
                  <c:v>58.87</c:v>
                </c:pt>
                <c:pt idx="15888">
                  <c:v>58.88</c:v>
                </c:pt>
                <c:pt idx="15889">
                  <c:v>58.89</c:v>
                </c:pt>
                <c:pt idx="15890">
                  <c:v>58.9</c:v>
                </c:pt>
                <c:pt idx="15891">
                  <c:v>58.91</c:v>
                </c:pt>
                <c:pt idx="15892">
                  <c:v>58.92</c:v>
                </c:pt>
                <c:pt idx="15893">
                  <c:v>58.93</c:v>
                </c:pt>
                <c:pt idx="15894">
                  <c:v>58.94</c:v>
                </c:pt>
                <c:pt idx="15895">
                  <c:v>58.95</c:v>
                </c:pt>
                <c:pt idx="15896">
                  <c:v>58.96</c:v>
                </c:pt>
                <c:pt idx="15897">
                  <c:v>58.97</c:v>
                </c:pt>
                <c:pt idx="15898">
                  <c:v>58.98</c:v>
                </c:pt>
                <c:pt idx="15899">
                  <c:v>58.99</c:v>
                </c:pt>
                <c:pt idx="15900">
                  <c:v>59.0</c:v>
                </c:pt>
                <c:pt idx="15901">
                  <c:v>59.01</c:v>
                </c:pt>
                <c:pt idx="15902">
                  <c:v>59.02</c:v>
                </c:pt>
                <c:pt idx="15903">
                  <c:v>59.03</c:v>
                </c:pt>
                <c:pt idx="15904">
                  <c:v>59.04</c:v>
                </c:pt>
                <c:pt idx="15905">
                  <c:v>59.05</c:v>
                </c:pt>
                <c:pt idx="15906">
                  <c:v>59.06</c:v>
                </c:pt>
                <c:pt idx="15907">
                  <c:v>59.07</c:v>
                </c:pt>
                <c:pt idx="15908">
                  <c:v>59.08</c:v>
                </c:pt>
                <c:pt idx="15909">
                  <c:v>59.09</c:v>
                </c:pt>
                <c:pt idx="15910">
                  <c:v>59.1</c:v>
                </c:pt>
                <c:pt idx="15911">
                  <c:v>59.11</c:v>
                </c:pt>
                <c:pt idx="15912">
                  <c:v>59.12</c:v>
                </c:pt>
                <c:pt idx="15913">
                  <c:v>59.13</c:v>
                </c:pt>
                <c:pt idx="15914">
                  <c:v>59.14</c:v>
                </c:pt>
                <c:pt idx="15915">
                  <c:v>59.15</c:v>
                </c:pt>
                <c:pt idx="15916">
                  <c:v>59.16</c:v>
                </c:pt>
                <c:pt idx="15917">
                  <c:v>59.17</c:v>
                </c:pt>
                <c:pt idx="15918">
                  <c:v>59.18</c:v>
                </c:pt>
                <c:pt idx="15919">
                  <c:v>59.19</c:v>
                </c:pt>
                <c:pt idx="15920">
                  <c:v>59.2</c:v>
                </c:pt>
                <c:pt idx="15921">
                  <c:v>59.21</c:v>
                </c:pt>
                <c:pt idx="15922">
                  <c:v>59.22</c:v>
                </c:pt>
                <c:pt idx="15923">
                  <c:v>59.23</c:v>
                </c:pt>
                <c:pt idx="15924">
                  <c:v>59.24</c:v>
                </c:pt>
                <c:pt idx="15925">
                  <c:v>59.25</c:v>
                </c:pt>
                <c:pt idx="15926">
                  <c:v>59.26</c:v>
                </c:pt>
                <c:pt idx="15927">
                  <c:v>59.27</c:v>
                </c:pt>
                <c:pt idx="15928">
                  <c:v>59.28</c:v>
                </c:pt>
                <c:pt idx="15929">
                  <c:v>59.29</c:v>
                </c:pt>
                <c:pt idx="15930">
                  <c:v>59.3</c:v>
                </c:pt>
                <c:pt idx="15931">
                  <c:v>59.31</c:v>
                </c:pt>
                <c:pt idx="15932">
                  <c:v>59.32</c:v>
                </c:pt>
                <c:pt idx="15933">
                  <c:v>59.33</c:v>
                </c:pt>
                <c:pt idx="15934">
                  <c:v>59.34</c:v>
                </c:pt>
                <c:pt idx="15935">
                  <c:v>59.35</c:v>
                </c:pt>
                <c:pt idx="15936">
                  <c:v>59.36</c:v>
                </c:pt>
                <c:pt idx="15937">
                  <c:v>59.37</c:v>
                </c:pt>
                <c:pt idx="15938">
                  <c:v>59.38</c:v>
                </c:pt>
                <c:pt idx="15939">
                  <c:v>59.39</c:v>
                </c:pt>
                <c:pt idx="15940">
                  <c:v>59.4</c:v>
                </c:pt>
                <c:pt idx="15941">
                  <c:v>59.41</c:v>
                </c:pt>
                <c:pt idx="15942">
                  <c:v>59.42</c:v>
                </c:pt>
                <c:pt idx="15943">
                  <c:v>59.43</c:v>
                </c:pt>
                <c:pt idx="15944">
                  <c:v>59.44</c:v>
                </c:pt>
                <c:pt idx="15945">
                  <c:v>59.45</c:v>
                </c:pt>
                <c:pt idx="15946">
                  <c:v>59.46</c:v>
                </c:pt>
                <c:pt idx="15947">
                  <c:v>59.47</c:v>
                </c:pt>
                <c:pt idx="15948">
                  <c:v>59.48</c:v>
                </c:pt>
                <c:pt idx="15949">
                  <c:v>59.49</c:v>
                </c:pt>
                <c:pt idx="15950">
                  <c:v>59.5</c:v>
                </c:pt>
                <c:pt idx="15951">
                  <c:v>59.51</c:v>
                </c:pt>
                <c:pt idx="15952">
                  <c:v>59.52</c:v>
                </c:pt>
                <c:pt idx="15953">
                  <c:v>59.53</c:v>
                </c:pt>
                <c:pt idx="15954">
                  <c:v>59.54</c:v>
                </c:pt>
                <c:pt idx="15955">
                  <c:v>59.55</c:v>
                </c:pt>
                <c:pt idx="15956">
                  <c:v>59.56</c:v>
                </c:pt>
                <c:pt idx="15957">
                  <c:v>59.57</c:v>
                </c:pt>
                <c:pt idx="15958">
                  <c:v>59.58</c:v>
                </c:pt>
                <c:pt idx="15959">
                  <c:v>59.59</c:v>
                </c:pt>
                <c:pt idx="15960">
                  <c:v>59.6</c:v>
                </c:pt>
                <c:pt idx="15961">
                  <c:v>59.61</c:v>
                </c:pt>
                <c:pt idx="15962">
                  <c:v>59.62</c:v>
                </c:pt>
                <c:pt idx="15963">
                  <c:v>59.63</c:v>
                </c:pt>
                <c:pt idx="15964">
                  <c:v>59.64</c:v>
                </c:pt>
                <c:pt idx="15965">
                  <c:v>59.65</c:v>
                </c:pt>
                <c:pt idx="15966">
                  <c:v>59.66</c:v>
                </c:pt>
                <c:pt idx="15967">
                  <c:v>59.67</c:v>
                </c:pt>
                <c:pt idx="15968">
                  <c:v>59.68</c:v>
                </c:pt>
                <c:pt idx="15969">
                  <c:v>59.69</c:v>
                </c:pt>
                <c:pt idx="15970">
                  <c:v>59.7</c:v>
                </c:pt>
                <c:pt idx="15971">
                  <c:v>59.71</c:v>
                </c:pt>
                <c:pt idx="15972">
                  <c:v>59.72</c:v>
                </c:pt>
                <c:pt idx="15973">
                  <c:v>59.73</c:v>
                </c:pt>
                <c:pt idx="15974">
                  <c:v>59.74</c:v>
                </c:pt>
                <c:pt idx="15975">
                  <c:v>59.75</c:v>
                </c:pt>
                <c:pt idx="15976">
                  <c:v>59.76</c:v>
                </c:pt>
                <c:pt idx="15977">
                  <c:v>59.77</c:v>
                </c:pt>
                <c:pt idx="15978">
                  <c:v>59.78</c:v>
                </c:pt>
                <c:pt idx="15979">
                  <c:v>59.79</c:v>
                </c:pt>
                <c:pt idx="15980">
                  <c:v>59.8</c:v>
                </c:pt>
                <c:pt idx="15981">
                  <c:v>59.81</c:v>
                </c:pt>
                <c:pt idx="15982">
                  <c:v>59.82</c:v>
                </c:pt>
                <c:pt idx="15983">
                  <c:v>59.83</c:v>
                </c:pt>
                <c:pt idx="15984">
                  <c:v>59.84</c:v>
                </c:pt>
                <c:pt idx="15985">
                  <c:v>59.85</c:v>
                </c:pt>
                <c:pt idx="15986">
                  <c:v>59.86</c:v>
                </c:pt>
                <c:pt idx="15987">
                  <c:v>59.87</c:v>
                </c:pt>
                <c:pt idx="15988">
                  <c:v>59.88</c:v>
                </c:pt>
                <c:pt idx="15989">
                  <c:v>59.89</c:v>
                </c:pt>
                <c:pt idx="15990">
                  <c:v>59.9</c:v>
                </c:pt>
                <c:pt idx="15991">
                  <c:v>59.91</c:v>
                </c:pt>
                <c:pt idx="15992">
                  <c:v>59.92</c:v>
                </c:pt>
                <c:pt idx="15993">
                  <c:v>59.93</c:v>
                </c:pt>
                <c:pt idx="15994">
                  <c:v>59.94</c:v>
                </c:pt>
                <c:pt idx="15995">
                  <c:v>59.95</c:v>
                </c:pt>
                <c:pt idx="15996">
                  <c:v>59.96</c:v>
                </c:pt>
                <c:pt idx="15997">
                  <c:v>59.97</c:v>
                </c:pt>
                <c:pt idx="15998">
                  <c:v>59.98</c:v>
                </c:pt>
                <c:pt idx="15999">
                  <c:v>59.99</c:v>
                </c:pt>
                <c:pt idx="16000">
                  <c:v>60.0</c:v>
                </c:pt>
                <c:pt idx="16001">
                  <c:v>60.01</c:v>
                </c:pt>
                <c:pt idx="16002">
                  <c:v>60.02</c:v>
                </c:pt>
                <c:pt idx="16003">
                  <c:v>60.03</c:v>
                </c:pt>
                <c:pt idx="16004">
                  <c:v>60.04</c:v>
                </c:pt>
                <c:pt idx="16005">
                  <c:v>60.05</c:v>
                </c:pt>
                <c:pt idx="16006">
                  <c:v>60.06</c:v>
                </c:pt>
                <c:pt idx="16007">
                  <c:v>60.07</c:v>
                </c:pt>
                <c:pt idx="16008">
                  <c:v>60.08</c:v>
                </c:pt>
                <c:pt idx="16009">
                  <c:v>60.09</c:v>
                </c:pt>
                <c:pt idx="16010">
                  <c:v>60.1</c:v>
                </c:pt>
                <c:pt idx="16011">
                  <c:v>60.11</c:v>
                </c:pt>
                <c:pt idx="16012">
                  <c:v>60.12</c:v>
                </c:pt>
                <c:pt idx="16013">
                  <c:v>60.13</c:v>
                </c:pt>
                <c:pt idx="16014">
                  <c:v>60.14</c:v>
                </c:pt>
                <c:pt idx="16015">
                  <c:v>60.15</c:v>
                </c:pt>
                <c:pt idx="16016">
                  <c:v>60.16</c:v>
                </c:pt>
                <c:pt idx="16017">
                  <c:v>60.17</c:v>
                </c:pt>
                <c:pt idx="16018">
                  <c:v>60.18</c:v>
                </c:pt>
                <c:pt idx="16019">
                  <c:v>60.19</c:v>
                </c:pt>
                <c:pt idx="16020">
                  <c:v>60.2</c:v>
                </c:pt>
                <c:pt idx="16021">
                  <c:v>60.21</c:v>
                </c:pt>
                <c:pt idx="16022">
                  <c:v>60.22</c:v>
                </c:pt>
                <c:pt idx="16023">
                  <c:v>60.23</c:v>
                </c:pt>
                <c:pt idx="16024">
                  <c:v>60.24</c:v>
                </c:pt>
                <c:pt idx="16025">
                  <c:v>60.25</c:v>
                </c:pt>
                <c:pt idx="16026">
                  <c:v>60.26</c:v>
                </c:pt>
                <c:pt idx="16027">
                  <c:v>60.27</c:v>
                </c:pt>
                <c:pt idx="16028">
                  <c:v>60.28</c:v>
                </c:pt>
                <c:pt idx="16029">
                  <c:v>60.29</c:v>
                </c:pt>
                <c:pt idx="16030">
                  <c:v>60.3</c:v>
                </c:pt>
                <c:pt idx="16031">
                  <c:v>60.31</c:v>
                </c:pt>
                <c:pt idx="16032">
                  <c:v>60.32</c:v>
                </c:pt>
                <c:pt idx="16033">
                  <c:v>60.33</c:v>
                </c:pt>
                <c:pt idx="16034">
                  <c:v>60.34</c:v>
                </c:pt>
                <c:pt idx="16035">
                  <c:v>60.35</c:v>
                </c:pt>
                <c:pt idx="16036">
                  <c:v>60.36</c:v>
                </c:pt>
                <c:pt idx="16037">
                  <c:v>60.37</c:v>
                </c:pt>
                <c:pt idx="16038">
                  <c:v>60.38</c:v>
                </c:pt>
                <c:pt idx="16039">
                  <c:v>60.39</c:v>
                </c:pt>
                <c:pt idx="16040">
                  <c:v>60.4</c:v>
                </c:pt>
                <c:pt idx="16041">
                  <c:v>60.41</c:v>
                </c:pt>
                <c:pt idx="16042">
                  <c:v>60.42</c:v>
                </c:pt>
                <c:pt idx="16043">
                  <c:v>60.43</c:v>
                </c:pt>
                <c:pt idx="16044">
                  <c:v>60.44</c:v>
                </c:pt>
                <c:pt idx="16045">
                  <c:v>60.45</c:v>
                </c:pt>
                <c:pt idx="16046">
                  <c:v>60.46</c:v>
                </c:pt>
                <c:pt idx="16047">
                  <c:v>60.47</c:v>
                </c:pt>
                <c:pt idx="16048">
                  <c:v>60.48</c:v>
                </c:pt>
                <c:pt idx="16049">
                  <c:v>60.49</c:v>
                </c:pt>
                <c:pt idx="16050">
                  <c:v>60.5</c:v>
                </c:pt>
                <c:pt idx="16051">
                  <c:v>60.51</c:v>
                </c:pt>
                <c:pt idx="16052">
                  <c:v>60.52</c:v>
                </c:pt>
                <c:pt idx="16053">
                  <c:v>60.53</c:v>
                </c:pt>
                <c:pt idx="16054">
                  <c:v>60.54</c:v>
                </c:pt>
                <c:pt idx="16055">
                  <c:v>60.55</c:v>
                </c:pt>
                <c:pt idx="16056">
                  <c:v>60.56</c:v>
                </c:pt>
                <c:pt idx="16057">
                  <c:v>60.57</c:v>
                </c:pt>
                <c:pt idx="16058">
                  <c:v>60.58</c:v>
                </c:pt>
                <c:pt idx="16059">
                  <c:v>60.59</c:v>
                </c:pt>
                <c:pt idx="16060">
                  <c:v>60.6</c:v>
                </c:pt>
                <c:pt idx="16061">
                  <c:v>60.61</c:v>
                </c:pt>
                <c:pt idx="16062">
                  <c:v>60.62</c:v>
                </c:pt>
                <c:pt idx="16063">
                  <c:v>60.63</c:v>
                </c:pt>
                <c:pt idx="16064">
                  <c:v>60.64</c:v>
                </c:pt>
                <c:pt idx="16065">
                  <c:v>60.65</c:v>
                </c:pt>
                <c:pt idx="16066">
                  <c:v>60.66</c:v>
                </c:pt>
                <c:pt idx="16067">
                  <c:v>60.67</c:v>
                </c:pt>
                <c:pt idx="16068">
                  <c:v>60.68</c:v>
                </c:pt>
                <c:pt idx="16069">
                  <c:v>60.69</c:v>
                </c:pt>
                <c:pt idx="16070">
                  <c:v>60.7</c:v>
                </c:pt>
                <c:pt idx="16071">
                  <c:v>60.71</c:v>
                </c:pt>
                <c:pt idx="16072">
                  <c:v>60.72</c:v>
                </c:pt>
                <c:pt idx="16073">
                  <c:v>60.73</c:v>
                </c:pt>
                <c:pt idx="16074">
                  <c:v>60.74</c:v>
                </c:pt>
                <c:pt idx="16075">
                  <c:v>60.75</c:v>
                </c:pt>
                <c:pt idx="16076">
                  <c:v>60.76</c:v>
                </c:pt>
                <c:pt idx="16077">
                  <c:v>60.77</c:v>
                </c:pt>
                <c:pt idx="16078">
                  <c:v>60.78</c:v>
                </c:pt>
                <c:pt idx="16079">
                  <c:v>60.79</c:v>
                </c:pt>
                <c:pt idx="16080">
                  <c:v>60.8</c:v>
                </c:pt>
                <c:pt idx="16081">
                  <c:v>60.81</c:v>
                </c:pt>
                <c:pt idx="16082">
                  <c:v>60.82</c:v>
                </c:pt>
                <c:pt idx="16083">
                  <c:v>60.83</c:v>
                </c:pt>
                <c:pt idx="16084">
                  <c:v>60.84</c:v>
                </c:pt>
                <c:pt idx="16085">
                  <c:v>60.85</c:v>
                </c:pt>
                <c:pt idx="16086">
                  <c:v>60.86</c:v>
                </c:pt>
                <c:pt idx="16087">
                  <c:v>60.87</c:v>
                </c:pt>
                <c:pt idx="16088">
                  <c:v>60.88</c:v>
                </c:pt>
                <c:pt idx="16089">
                  <c:v>60.89</c:v>
                </c:pt>
                <c:pt idx="16090">
                  <c:v>60.9</c:v>
                </c:pt>
                <c:pt idx="16091">
                  <c:v>60.91</c:v>
                </c:pt>
                <c:pt idx="16092">
                  <c:v>60.92</c:v>
                </c:pt>
                <c:pt idx="16093">
                  <c:v>60.93</c:v>
                </c:pt>
                <c:pt idx="16094">
                  <c:v>60.94</c:v>
                </c:pt>
                <c:pt idx="16095">
                  <c:v>60.95</c:v>
                </c:pt>
                <c:pt idx="16096">
                  <c:v>60.96</c:v>
                </c:pt>
                <c:pt idx="16097">
                  <c:v>60.97</c:v>
                </c:pt>
                <c:pt idx="16098">
                  <c:v>60.98</c:v>
                </c:pt>
                <c:pt idx="16099">
                  <c:v>60.99</c:v>
                </c:pt>
                <c:pt idx="16100">
                  <c:v>61.0</c:v>
                </c:pt>
                <c:pt idx="16101">
                  <c:v>61.01</c:v>
                </c:pt>
                <c:pt idx="16102">
                  <c:v>61.02</c:v>
                </c:pt>
                <c:pt idx="16103">
                  <c:v>61.03</c:v>
                </c:pt>
                <c:pt idx="16104">
                  <c:v>61.04</c:v>
                </c:pt>
                <c:pt idx="16105">
                  <c:v>61.05</c:v>
                </c:pt>
                <c:pt idx="16106">
                  <c:v>61.06</c:v>
                </c:pt>
                <c:pt idx="16107">
                  <c:v>61.07</c:v>
                </c:pt>
                <c:pt idx="16108">
                  <c:v>61.08</c:v>
                </c:pt>
                <c:pt idx="16109">
                  <c:v>61.09</c:v>
                </c:pt>
                <c:pt idx="16110">
                  <c:v>61.1</c:v>
                </c:pt>
                <c:pt idx="16111">
                  <c:v>61.11</c:v>
                </c:pt>
                <c:pt idx="16112">
                  <c:v>61.12</c:v>
                </c:pt>
                <c:pt idx="16113">
                  <c:v>61.13</c:v>
                </c:pt>
                <c:pt idx="16114">
                  <c:v>61.14</c:v>
                </c:pt>
                <c:pt idx="16115">
                  <c:v>61.15</c:v>
                </c:pt>
                <c:pt idx="16116">
                  <c:v>61.16</c:v>
                </c:pt>
                <c:pt idx="16117">
                  <c:v>61.17</c:v>
                </c:pt>
                <c:pt idx="16118">
                  <c:v>61.18</c:v>
                </c:pt>
                <c:pt idx="16119">
                  <c:v>61.19</c:v>
                </c:pt>
                <c:pt idx="16120">
                  <c:v>61.2</c:v>
                </c:pt>
                <c:pt idx="16121">
                  <c:v>61.21</c:v>
                </c:pt>
                <c:pt idx="16122">
                  <c:v>61.22</c:v>
                </c:pt>
                <c:pt idx="16123">
                  <c:v>61.23</c:v>
                </c:pt>
                <c:pt idx="16124">
                  <c:v>61.24</c:v>
                </c:pt>
                <c:pt idx="16125">
                  <c:v>61.25</c:v>
                </c:pt>
                <c:pt idx="16126">
                  <c:v>61.26</c:v>
                </c:pt>
                <c:pt idx="16127">
                  <c:v>61.27</c:v>
                </c:pt>
                <c:pt idx="16128">
                  <c:v>61.28</c:v>
                </c:pt>
                <c:pt idx="16129">
                  <c:v>61.29</c:v>
                </c:pt>
                <c:pt idx="16130">
                  <c:v>61.3</c:v>
                </c:pt>
                <c:pt idx="16131">
                  <c:v>61.31</c:v>
                </c:pt>
                <c:pt idx="16132">
                  <c:v>61.32</c:v>
                </c:pt>
                <c:pt idx="16133">
                  <c:v>61.33</c:v>
                </c:pt>
                <c:pt idx="16134">
                  <c:v>61.34</c:v>
                </c:pt>
                <c:pt idx="16135">
                  <c:v>61.35</c:v>
                </c:pt>
                <c:pt idx="16136">
                  <c:v>61.36</c:v>
                </c:pt>
                <c:pt idx="16137">
                  <c:v>61.37</c:v>
                </c:pt>
                <c:pt idx="16138">
                  <c:v>61.38</c:v>
                </c:pt>
                <c:pt idx="16139">
                  <c:v>61.39</c:v>
                </c:pt>
                <c:pt idx="16140">
                  <c:v>61.4</c:v>
                </c:pt>
                <c:pt idx="16141">
                  <c:v>61.41</c:v>
                </c:pt>
                <c:pt idx="16142">
                  <c:v>61.42</c:v>
                </c:pt>
                <c:pt idx="16143">
                  <c:v>61.43</c:v>
                </c:pt>
                <c:pt idx="16144">
                  <c:v>61.44</c:v>
                </c:pt>
                <c:pt idx="16145">
                  <c:v>61.45</c:v>
                </c:pt>
                <c:pt idx="16146">
                  <c:v>61.46</c:v>
                </c:pt>
                <c:pt idx="16147">
                  <c:v>61.47</c:v>
                </c:pt>
                <c:pt idx="16148">
                  <c:v>61.48</c:v>
                </c:pt>
                <c:pt idx="16149">
                  <c:v>61.49</c:v>
                </c:pt>
                <c:pt idx="16150">
                  <c:v>61.5</c:v>
                </c:pt>
                <c:pt idx="16151">
                  <c:v>61.51</c:v>
                </c:pt>
                <c:pt idx="16152">
                  <c:v>61.52</c:v>
                </c:pt>
                <c:pt idx="16153">
                  <c:v>61.53</c:v>
                </c:pt>
                <c:pt idx="16154">
                  <c:v>61.54</c:v>
                </c:pt>
                <c:pt idx="16155">
                  <c:v>61.55</c:v>
                </c:pt>
                <c:pt idx="16156">
                  <c:v>61.56</c:v>
                </c:pt>
                <c:pt idx="16157">
                  <c:v>61.57</c:v>
                </c:pt>
                <c:pt idx="16158">
                  <c:v>61.58</c:v>
                </c:pt>
                <c:pt idx="16159">
                  <c:v>61.59</c:v>
                </c:pt>
                <c:pt idx="16160">
                  <c:v>61.6</c:v>
                </c:pt>
                <c:pt idx="16161">
                  <c:v>61.61</c:v>
                </c:pt>
                <c:pt idx="16162">
                  <c:v>61.62</c:v>
                </c:pt>
                <c:pt idx="16163">
                  <c:v>61.63</c:v>
                </c:pt>
                <c:pt idx="16164">
                  <c:v>61.64</c:v>
                </c:pt>
                <c:pt idx="16165">
                  <c:v>61.65</c:v>
                </c:pt>
                <c:pt idx="16166">
                  <c:v>61.66</c:v>
                </c:pt>
                <c:pt idx="16167">
                  <c:v>61.67</c:v>
                </c:pt>
                <c:pt idx="16168">
                  <c:v>61.68</c:v>
                </c:pt>
                <c:pt idx="16169">
                  <c:v>61.69</c:v>
                </c:pt>
                <c:pt idx="16170">
                  <c:v>61.7</c:v>
                </c:pt>
                <c:pt idx="16171">
                  <c:v>61.71</c:v>
                </c:pt>
                <c:pt idx="16172">
                  <c:v>61.72</c:v>
                </c:pt>
                <c:pt idx="16173">
                  <c:v>61.73</c:v>
                </c:pt>
                <c:pt idx="16174">
                  <c:v>61.74</c:v>
                </c:pt>
                <c:pt idx="16175">
                  <c:v>61.75</c:v>
                </c:pt>
                <c:pt idx="16176">
                  <c:v>61.76</c:v>
                </c:pt>
                <c:pt idx="16177">
                  <c:v>61.77</c:v>
                </c:pt>
                <c:pt idx="16178">
                  <c:v>61.78</c:v>
                </c:pt>
                <c:pt idx="16179">
                  <c:v>61.79</c:v>
                </c:pt>
                <c:pt idx="16180">
                  <c:v>61.8</c:v>
                </c:pt>
                <c:pt idx="16181">
                  <c:v>61.81</c:v>
                </c:pt>
                <c:pt idx="16182">
                  <c:v>61.82</c:v>
                </c:pt>
                <c:pt idx="16183">
                  <c:v>61.83</c:v>
                </c:pt>
                <c:pt idx="16184">
                  <c:v>61.84</c:v>
                </c:pt>
                <c:pt idx="16185">
                  <c:v>61.85</c:v>
                </c:pt>
                <c:pt idx="16186">
                  <c:v>61.86</c:v>
                </c:pt>
                <c:pt idx="16187">
                  <c:v>61.87</c:v>
                </c:pt>
                <c:pt idx="16188">
                  <c:v>61.88</c:v>
                </c:pt>
                <c:pt idx="16189">
                  <c:v>61.89</c:v>
                </c:pt>
                <c:pt idx="16190">
                  <c:v>61.9</c:v>
                </c:pt>
                <c:pt idx="16191">
                  <c:v>61.91</c:v>
                </c:pt>
                <c:pt idx="16192">
                  <c:v>61.92</c:v>
                </c:pt>
                <c:pt idx="16193">
                  <c:v>61.93</c:v>
                </c:pt>
                <c:pt idx="16194">
                  <c:v>61.94</c:v>
                </c:pt>
                <c:pt idx="16195">
                  <c:v>61.95</c:v>
                </c:pt>
                <c:pt idx="16196">
                  <c:v>61.96</c:v>
                </c:pt>
                <c:pt idx="16197">
                  <c:v>61.97</c:v>
                </c:pt>
                <c:pt idx="16198">
                  <c:v>61.98</c:v>
                </c:pt>
                <c:pt idx="16199">
                  <c:v>61.99</c:v>
                </c:pt>
                <c:pt idx="16200">
                  <c:v>62.0</c:v>
                </c:pt>
                <c:pt idx="16201">
                  <c:v>62.01</c:v>
                </c:pt>
                <c:pt idx="16202">
                  <c:v>62.02</c:v>
                </c:pt>
                <c:pt idx="16203">
                  <c:v>62.03</c:v>
                </c:pt>
                <c:pt idx="16204">
                  <c:v>62.04</c:v>
                </c:pt>
                <c:pt idx="16205">
                  <c:v>62.05</c:v>
                </c:pt>
                <c:pt idx="16206">
                  <c:v>62.06</c:v>
                </c:pt>
                <c:pt idx="16207">
                  <c:v>62.07</c:v>
                </c:pt>
                <c:pt idx="16208">
                  <c:v>62.08</c:v>
                </c:pt>
                <c:pt idx="16209">
                  <c:v>62.09</c:v>
                </c:pt>
                <c:pt idx="16210">
                  <c:v>62.1</c:v>
                </c:pt>
                <c:pt idx="16211">
                  <c:v>62.11</c:v>
                </c:pt>
                <c:pt idx="16212">
                  <c:v>62.12</c:v>
                </c:pt>
                <c:pt idx="16213">
                  <c:v>62.13</c:v>
                </c:pt>
                <c:pt idx="16214">
                  <c:v>62.14</c:v>
                </c:pt>
                <c:pt idx="16215">
                  <c:v>62.15</c:v>
                </c:pt>
                <c:pt idx="16216">
                  <c:v>62.16</c:v>
                </c:pt>
                <c:pt idx="16217">
                  <c:v>62.17</c:v>
                </c:pt>
                <c:pt idx="16218">
                  <c:v>62.18</c:v>
                </c:pt>
                <c:pt idx="16219">
                  <c:v>62.19</c:v>
                </c:pt>
                <c:pt idx="16220">
                  <c:v>62.2</c:v>
                </c:pt>
                <c:pt idx="16221">
                  <c:v>62.21</c:v>
                </c:pt>
                <c:pt idx="16222">
                  <c:v>62.22</c:v>
                </c:pt>
                <c:pt idx="16223">
                  <c:v>62.23</c:v>
                </c:pt>
                <c:pt idx="16224">
                  <c:v>62.24</c:v>
                </c:pt>
                <c:pt idx="16225">
                  <c:v>62.25</c:v>
                </c:pt>
                <c:pt idx="16226">
                  <c:v>62.26</c:v>
                </c:pt>
                <c:pt idx="16227">
                  <c:v>62.27</c:v>
                </c:pt>
                <c:pt idx="16228">
                  <c:v>62.28</c:v>
                </c:pt>
                <c:pt idx="16229">
                  <c:v>62.29</c:v>
                </c:pt>
                <c:pt idx="16230">
                  <c:v>62.3</c:v>
                </c:pt>
                <c:pt idx="16231">
                  <c:v>62.31</c:v>
                </c:pt>
                <c:pt idx="16232">
                  <c:v>62.32</c:v>
                </c:pt>
                <c:pt idx="16233">
                  <c:v>62.33</c:v>
                </c:pt>
                <c:pt idx="16234">
                  <c:v>62.34</c:v>
                </c:pt>
                <c:pt idx="16235">
                  <c:v>62.35</c:v>
                </c:pt>
                <c:pt idx="16236">
                  <c:v>62.36</c:v>
                </c:pt>
                <c:pt idx="16237">
                  <c:v>62.37</c:v>
                </c:pt>
                <c:pt idx="16238">
                  <c:v>62.38</c:v>
                </c:pt>
                <c:pt idx="16239">
                  <c:v>62.39</c:v>
                </c:pt>
                <c:pt idx="16240">
                  <c:v>62.4</c:v>
                </c:pt>
                <c:pt idx="16241">
                  <c:v>62.41</c:v>
                </c:pt>
                <c:pt idx="16242">
                  <c:v>62.42</c:v>
                </c:pt>
                <c:pt idx="16243">
                  <c:v>62.43</c:v>
                </c:pt>
                <c:pt idx="16244">
                  <c:v>62.44</c:v>
                </c:pt>
                <c:pt idx="16245">
                  <c:v>62.45</c:v>
                </c:pt>
                <c:pt idx="16246">
                  <c:v>62.46</c:v>
                </c:pt>
                <c:pt idx="16247">
                  <c:v>62.47</c:v>
                </c:pt>
                <c:pt idx="16248">
                  <c:v>62.48</c:v>
                </c:pt>
                <c:pt idx="16249">
                  <c:v>62.49</c:v>
                </c:pt>
                <c:pt idx="16250">
                  <c:v>62.5</c:v>
                </c:pt>
                <c:pt idx="16251">
                  <c:v>62.51</c:v>
                </c:pt>
                <c:pt idx="16252">
                  <c:v>62.52</c:v>
                </c:pt>
                <c:pt idx="16253">
                  <c:v>62.53</c:v>
                </c:pt>
                <c:pt idx="16254">
                  <c:v>62.54</c:v>
                </c:pt>
                <c:pt idx="16255">
                  <c:v>62.55</c:v>
                </c:pt>
                <c:pt idx="16256">
                  <c:v>62.56</c:v>
                </c:pt>
                <c:pt idx="16257">
                  <c:v>62.57</c:v>
                </c:pt>
                <c:pt idx="16258">
                  <c:v>62.58</c:v>
                </c:pt>
                <c:pt idx="16259">
                  <c:v>62.59</c:v>
                </c:pt>
                <c:pt idx="16260">
                  <c:v>62.6</c:v>
                </c:pt>
                <c:pt idx="16261">
                  <c:v>62.61</c:v>
                </c:pt>
                <c:pt idx="16262">
                  <c:v>62.62</c:v>
                </c:pt>
                <c:pt idx="16263">
                  <c:v>62.63</c:v>
                </c:pt>
                <c:pt idx="16264">
                  <c:v>62.64</c:v>
                </c:pt>
                <c:pt idx="16265">
                  <c:v>62.65</c:v>
                </c:pt>
                <c:pt idx="16266">
                  <c:v>62.66</c:v>
                </c:pt>
                <c:pt idx="16267">
                  <c:v>62.67</c:v>
                </c:pt>
                <c:pt idx="16268">
                  <c:v>62.68</c:v>
                </c:pt>
                <c:pt idx="16269">
                  <c:v>62.69</c:v>
                </c:pt>
                <c:pt idx="16270">
                  <c:v>62.7</c:v>
                </c:pt>
                <c:pt idx="16271">
                  <c:v>62.71</c:v>
                </c:pt>
                <c:pt idx="16272">
                  <c:v>62.72</c:v>
                </c:pt>
                <c:pt idx="16273">
                  <c:v>62.73</c:v>
                </c:pt>
                <c:pt idx="16274">
                  <c:v>62.74</c:v>
                </c:pt>
                <c:pt idx="16275">
                  <c:v>62.75</c:v>
                </c:pt>
                <c:pt idx="16276">
                  <c:v>62.76</c:v>
                </c:pt>
                <c:pt idx="16277">
                  <c:v>62.77</c:v>
                </c:pt>
                <c:pt idx="16278">
                  <c:v>62.78</c:v>
                </c:pt>
                <c:pt idx="16279">
                  <c:v>62.79</c:v>
                </c:pt>
                <c:pt idx="16280">
                  <c:v>62.8</c:v>
                </c:pt>
                <c:pt idx="16281">
                  <c:v>62.81</c:v>
                </c:pt>
                <c:pt idx="16282">
                  <c:v>62.82</c:v>
                </c:pt>
                <c:pt idx="16283">
                  <c:v>62.83</c:v>
                </c:pt>
                <c:pt idx="16284">
                  <c:v>62.84</c:v>
                </c:pt>
                <c:pt idx="16285">
                  <c:v>62.85</c:v>
                </c:pt>
                <c:pt idx="16286">
                  <c:v>62.86</c:v>
                </c:pt>
                <c:pt idx="16287">
                  <c:v>62.87</c:v>
                </c:pt>
                <c:pt idx="16288">
                  <c:v>62.88</c:v>
                </c:pt>
                <c:pt idx="16289">
                  <c:v>62.89</c:v>
                </c:pt>
                <c:pt idx="16290">
                  <c:v>62.9</c:v>
                </c:pt>
                <c:pt idx="16291">
                  <c:v>62.91</c:v>
                </c:pt>
                <c:pt idx="16292">
                  <c:v>62.92</c:v>
                </c:pt>
                <c:pt idx="16293">
                  <c:v>62.93</c:v>
                </c:pt>
                <c:pt idx="16294">
                  <c:v>62.94</c:v>
                </c:pt>
                <c:pt idx="16295">
                  <c:v>62.95</c:v>
                </c:pt>
                <c:pt idx="16296">
                  <c:v>62.96</c:v>
                </c:pt>
                <c:pt idx="16297">
                  <c:v>62.97</c:v>
                </c:pt>
                <c:pt idx="16298">
                  <c:v>62.98</c:v>
                </c:pt>
                <c:pt idx="16299">
                  <c:v>62.99</c:v>
                </c:pt>
                <c:pt idx="16300">
                  <c:v>63.0</c:v>
                </c:pt>
                <c:pt idx="16301">
                  <c:v>63.01</c:v>
                </c:pt>
                <c:pt idx="16302">
                  <c:v>63.02</c:v>
                </c:pt>
                <c:pt idx="16303">
                  <c:v>63.03</c:v>
                </c:pt>
                <c:pt idx="16304">
                  <c:v>63.04</c:v>
                </c:pt>
                <c:pt idx="16305">
                  <c:v>63.05</c:v>
                </c:pt>
                <c:pt idx="16306">
                  <c:v>63.06</c:v>
                </c:pt>
                <c:pt idx="16307">
                  <c:v>63.07</c:v>
                </c:pt>
                <c:pt idx="16308">
                  <c:v>63.08</c:v>
                </c:pt>
                <c:pt idx="16309">
                  <c:v>63.09</c:v>
                </c:pt>
                <c:pt idx="16310">
                  <c:v>63.1</c:v>
                </c:pt>
                <c:pt idx="16311">
                  <c:v>63.11</c:v>
                </c:pt>
                <c:pt idx="16312">
                  <c:v>63.12</c:v>
                </c:pt>
                <c:pt idx="16313">
                  <c:v>63.13</c:v>
                </c:pt>
                <c:pt idx="16314">
                  <c:v>63.14</c:v>
                </c:pt>
                <c:pt idx="16315">
                  <c:v>63.15</c:v>
                </c:pt>
                <c:pt idx="16316">
                  <c:v>63.16</c:v>
                </c:pt>
                <c:pt idx="16317">
                  <c:v>63.17</c:v>
                </c:pt>
                <c:pt idx="16318">
                  <c:v>63.18</c:v>
                </c:pt>
                <c:pt idx="16319">
                  <c:v>63.19</c:v>
                </c:pt>
                <c:pt idx="16320">
                  <c:v>63.2</c:v>
                </c:pt>
                <c:pt idx="16321">
                  <c:v>63.21</c:v>
                </c:pt>
                <c:pt idx="16322">
                  <c:v>63.22</c:v>
                </c:pt>
                <c:pt idx="16323">
                  <c:v>63.23</c:v>
                </c:pt>
                <c:pt idx="16324">
                  <c:v>63.24</c:v>
                </c:pt>
                <c:pt idx="16325">
                  <c:v>63.25</c:v>
                </c:pt>
                <c:pt idx="16326">
                  <c:v>63.26</c:v>
                </c:pt>
                <c:pt idx="16327">
                  <c:v>63.27</c:v>
                </c:pt>
                <c:pt idx="16328">
                  <c:v>63.28</c:v>
                </c:pt>
                <c:pt idx="16329">
                  <c:v>63.29</c:v>
                </c:pt>
                <c:pt idx="16330">
                  <c:v>63.3</c:v>
                </c:pt>
                <c:pt idx="16331">
                  <c:v>63.31</c:v>
                </c:pt>
                <c:pt idx="16332">
                  <c:v>63.32</c:v>
                </c:pt>
                <c:pt idx="16333">
                  <c:v>63.33</c:v>
                </c:pt>
                <c:pt idx="16334">
                  <c:v>63.34</c:v>
                </c:pt>
                <c:pt idx="16335">
                  <c:v>63.35</c:v>
                </c:pt>
                <c:pt idx="16336">
                  <c:v>63.36</c:v>
                </c:pt>
                <c:pt idx="16337">
                  <c:v>63.37</c:v>
                </c:pt>
                <c:pt idx="16338">
                  <c:v>63.38</c:v>
                </c:pt>
                <c:pt idx="16339">
                  <c:v>63.39</c:v>
                </c:pt>
                <c:pt idx="16340">
                  <c:v>63.4</c:v>
                </c:pt>
                <c:pt idx="16341">
                  <c:v>63.41</c:v>
                </c:pt>
                <c:pt idx="16342">
                  <c:v>63.42</c:v>
                </c:pt>
                <c:pt idx="16343">
                  <c:v>63.43</c:v>
                </c:pt>
                <c:pt idx="16344">
                  <c:v>63.44</c:v>
                </c:pt>
                <c:pt idx="16345">
                  <c:v>63.45</c:v>
                </c:pt>
                <c:pt idx="16346">
                  <c:v>63.46</c:v>
                </c:pt>
                <c:pt idx="16347">
                  <c:v>63.47</c:v>
                </c:pt>
                <c:pt idx="16348">
                  <c:v>63.48</c:v>
                </c:pt>
                <c:pt idx="16349">
                  <c:v>63.49</c:v>
                </c:pt>
                <c:pt idx="16350">
                  <c:v>63.5</c:v>
                </c:pt>
                <c:pt idx="16351">
                  <c:v>63.51</c:v>
                </c:pt>
                <c:pt idx="16352">
                  <c:v>63.52</c:v>
                </c:pt>
                <c:pt idx="16353">
                  <c:v>63.53</c:v>
                </c:pt>
                <c:pt idx="16354">
                  <c:v>63.54</c:v>
                </c:pt>
                <c:pt idx="16355">
                  <c:v>63.55</c:v>
                </c:pt>
                <c:pt idx="16356">
                  <c:v>63.56</c:v>
                </c:pt>
                <c:pt idx="16357">
                  <c:v>63.57</c:v>
                </c:pt>
                <c:pt idx="16358">
                  <c:v>63.58</c:v>
                </c:pt>
                <c:pt idx="16359">
                  <c:v>63.59</c:v>
                </c:pt>
                <c:pt idx="16360">
                  <c:v>63.6</c:v>
                </c:pt>
                <c:pt idx="16361">
                  <c:v>63.61</c:v>
                </c:pt>
                <c:pt idx="16362">
                  <c:v>63.62</c:v>
                </c:pt>
                <c:pt idx="16363">
                  <c:v>63.63</c:v>
                </c:pt>
                <c:pt idx="16364">
                  <c:v>63.64</c:v>
                </c:pt>
                <c:pt idx="16365">
                  <c:v>63.65</c:v>
                </c:pt>
                <c:pt idx="16366">
                  <c:v>63.66</c:v>
                </c:pt>
                <c:pt idx="16367">
                  <c:v>63.67</c:v>
                </c:pt>
                <c:pt idx="16368">
                  <c:v>63.68</c:v>
                </c:pt>
                <c:pt idx="16369">
                  <c:v>63.69</c:v>
                </c:pt>
                <c:pt idx="16370">
                  <c:v>63.7</c:v>
                </c:pt>
                <c:pt idx="16371">
                  <c:v>63.71</c:v>
                </c:pt>
                <c:pt idx="16372">
                  <c:v>63.72</c:v>
                </c:pt>
                <c:pt idx="16373">
                  <c:v>63.73</c:v>
                </c:pt>
                <c:pt idx="16374">
                  <c:v>63.74</c:v>
                </c:pt>
                <c:pt idx="16375">
                  <c:v>63.75</c:v>
                </c:pt>
                <c:pt idx="16376">
                  <c:v>63.76</c:v>
                </c:pt>
                <c:pt idx="16377">
                  <c:v>63.77</c:v>
                </c:pt>
                <c:pt idx="16378">
                  <c:v>63.78</c:v>
                </c:pt>
                <c:pt idx="16379">
                  <c:v>63.79</c:v>
                </c:pt>
                <c:pt idx="16380">
                  <c:v>63.8</c:v>
                </c:pt>
                <c:pt idx="16381">
                  <c:v>63.81</c:v>
                </c:pt>
                <c:pt idx="16382">
                  <c:v>63.82</c:v>
                </c:pt>
                <c:pt idx="16383">
                  <c:v>63.83</c:v>
                </c:pt>
                <c:pt idx="16384">
                  <c:v>63.84</c:v>
                </c:pt>
                <c:pt idx="16385">
                  <c:v>63.85</c:v>
                </c:pt>
                <c:pt idx="16386">
                  <c:v>63.86</c:v>
                </c:pt>
                <c:pt idx="16387">
                  <c:v>63.87</c:v>
                </c:pt>
                <c:pt idx="16388">
                  <c:v>63.88</c:v>
                </c:pt>
                <c:pt idx="16389">
                  <c:v>63.89</c:v>
                </c:pt>
                <c:pt idx="16390">
                  <c:v>63.9</c:v>
                </c:pt>
                <c:pt idx="16391">
                  <c:v>63.91</c:v>
                </c:pt>
                <c:pt idx="16392">
                  <c:v>63.92</c:v>
                </c:pt>
                <c:pt idx="16393">
                  <c:v>63.93</c:v>
                </c:pt>
                <c:pt idx="16394">
                  <c:v>63.94</c:v>
                </c:pt>
                <c:pt idx="16395">
                  <c:v>63.95</c:v>
                </c:pt>
                <c:pt idx="16396">
                  <c:v>63.96</c:v>
                </c:pt>
                <c:pt idx="16397">
                  <c:v>63.97</c:v>
                </c:pt>
                <c:pt idx="16398">
                  <c:v>63.98</c:v>
                </c:pt>
                <c:pt idx="16399">
                  <c:v>63.99</c:v>
                </c:pt>
                <c:pt idx="16400">
                  <c:v>64.0</c:v>
                </c:pt>
                <c:pt idx="16401">
                  <c:v>64.01</c:v>
                </c:pt>
                <c:pt idx="16402">
                  <c:v>64.02</c:v>
                </c:pt>
                <c:pt idx="16403">
                  <c:v>64.03</c:v>
                </c:pt>
                <c:pt idx="16404">
                  <c:v>64.04</c:v>
                </c:pt>
                <c:pt idx="16405">
                  <c:v>64.05</c:v>
                </c:pt>
                <c:pt idx="16406">
                  <c:v>64.06</c:v>
                </c:pt>
                <c:pt idx="16407">
                  <c:v>64.07</c:v>
                </c:pt>
                <c:pt idx="16408">
                  <c:v>64.08</c:v>
                </c:pt>
                <c:pt idx="16409">
                  <c:v>64.09</c:v>
                </c:pt>
                <c:pt idx="16410">
                  <c:v>64.1</c:v>
                </c:pt>
                <c:pt idx="16411">
                  <c:v>64.11</c:v>
                </c:pt>
                <c:pt idx="16412">
                  <c:v>64.12</c:v>
                </c:pt>
                <c:pt idx="16413">
                  <c:v>64.13</c:v>
                </c:pt>
                <c:pt idx="16414">
                  <c:v>64.14</c:v>
                </c:pt>
                <c:pt idx="16415">
                  <c:v>64.15</c:v>
                </c:pt>
                <c:pt idx="16416">
                  <c:v>64.16</c:v>
                </c:pt>
                <c:pt idx="16417">
                  <c:v>64.17</c:v>
                </c:pt>
                <c:pt idx="16418">
                  <c:v>64.18</c:v>
                </c:pt>
                <c:pt idx="16419">
                  <c:v>64.19</c:v>
                </c:pt>
                <c:pt idx="16420">
                  <c:v>64.2</c:v>
                </c:pt>
                <c:pt idx="16421">
                  <c:v>64.21</c:v>
                </c:pt>
                <c:pt idx="16422">
                  <c:v>64.22</c:v>
                </c:pt>
                <c:pt idx="16423">
                  <c:v>64.23</c:v>
                </c:pt>
                <c:pt idx="16424">
                  <c:v>64.24</c:v>
                </c:pt>
                <c:pt idx="16425">
                  <c:v>64.25</c:v>
                </c:pt>
                <c:pt idx="16426">
                  <c:v>64.26</c:v>
                </c:pt>
                <c:pt idx="16427">
                  <c:v>64.27</c:v>
                </c:pt>
                <c:pt idx="16428">
                  <c:v>64.28</c:v>
                </c:pt>
                <c:pt idx="16429">
                  <c:v>64.29</c:v>
                </c:pt>
                <c:pt idx="16430">
                  <c:v>64.3</c:v>
                </c:pt>
                <c:pt idx="16431">
                  <c:v>64.31</c:v>
                </c:pt>
                <c:pt idx="16432">
                  <c:v>64.32</c:v>
                </c:pt>
                <c:pt idx="16433">
                  <c:v>64.33</c:v>
                </c:pt>
                <c:pt idx="16434">
                  <c:v>64.34</c:v>
                </c:pt>
                <c:pt idx="16435">
                  <c:v>64.35</c:v>
                </c:pt>
                <c:pt idx="16436">
                  <c:v>64.36</c:v>
                </c:pt>
                <c:pt idx="16437">
                  <c:v>64.37</c:v>
                </c:pt>
                <c:pt idx="16438">
                  <c:v>64.38</c:v>
                </c:pt>
                <c:pt idx="16439">
                  <c:v>64.39</c:v>
                </c:pt>
                <c:pt idx="16440">
                  <c:v>64.4</c:v>
                </c:pt>
                <c:pt idx="16441">
                  <c:v>64.41</c:v>
                </c:pt>
                <c:pt idx="16442">
                  <c:v>64.42</c:v>
                </c:pt>
                <c:pt idx="16443">
                  <c:v>64.43</c:v>
                </c:pt>
                <c:pt idx="16444">
                  <c:v>64.44</c:v>
                </c:pt>
                <c:pt idx="16445">
                  <c:v>64.45</c:v>
                </c:pt>
                <c:pt idx="16446">
                  <c:v>64.46</c:v>
                </c:pt>
                <c:pt idx="16447">
                  <c:v>64.47</c:v>
                </c:pt>
                <c:pt idx="16448">
                  <c:v>64.48</c:v>
                </c:pt>
                <c:pt idx="16449">
                  <c:v>64.49</c:v>
                </c:pt>
                <c:pt idx="16450">
                  <c:v>64.5</c:v>
                </c:pt>
                <c:pt idx="16451">
                  <c:v>64.51</c:v>
                </c:pt>
                <c:pt idx="16452">
                  <c:v>64.52</c:v>
                </c:pt>
                <c:pt idx="16453">
                  <c:v>64.53</c:v>
                </c:pt>
                <c:pt idx="16454">
                  <c:v>64.54</c:v>
                </c:pt>
                <c:pt idx="16455">
                  <c:v>64.55</c:v>
                </c:pt>
                <c:pt idx="16456">
                  <c:v>64.56</c:v>
                </c:pt>
                <c:pt idx="16457">
                  <c:v>64.57</c:v>
                </c:pt>
                <c:pt idx="16458">
                  <c:v>64.58</c:v>
                </c:pt>
                <c:pt idx="16459">
                  <c:v>64.59</c:v>
                </c:pt>
                <c:pt idx="16460">
                  <c:v>64.6</c:v>
                </c:pt>
                <c:pt idx="16461">
                  <c:v>64.61</c:v>
                </c:pt>
                <c:pt idx="16462">
                  <c:v>64.62</c:v>
                </c:pt>
                <c:pt idx="16463">
                  <c:v>64.63</c:v>
                </c:pt>
                <c:pt idx="16464">
                  <c:v>64.64</c:v>
                </c:pt>
                <c:pt idx="16465">
                  <c:v>64.65</c:v>
                </c:pt>
                <c:pt idx="16466">
                  <c:v>64.66</c:v>
                </c:pt>
                <c:pt idx="16467">
                  <c:v>64.67</c:v>
                </c:pt>
                <c:pt idx="16468">
                  <c:v>64.68</c:v>
                </c:pt>
                <c:pt idx="16469">
                  <c:v>64.69</c:v>
                </c:pt>
                <c:pt idx="16470">
                  <c:v>64.7</c:v>
                </c:pt>
                <c:pt idx="16471">
                  <c:v>64.71</c:v>
                </c:pt>
                <c:pt idx="16472">
                  <c:v>64.72</c:v>
                </c:pt>
                <c:pt idx="16473">
                  <c:v>64.73</c:v>
                </c:pt>
                <c:pt idx="16474">
                  <c:v>64.74</c:v>
                </c:pt>
                <c:pt idx="16475">
                  <c:v>64.75</c:v>
                </c:pt>
                <c:pt idx="16476">
                  <c:v>64.76</c:v>
                </c:pt>
                <c:pt idx="16477">
                  <c:v>64.77</c:v>
                </c:pt>
                <c:pt idx="16478">
                  <c:v>64.78</c:v>
                </c:pt>
                <c:pt idx="16479">
                  <c:v>64.79</c:v>
                </c:pt>
                <c:pt idx="16480">
                  <c:v>64.8</c:v>
                </c:pt>
                <c:pt idx="16481">
                  <c:v>64.81</c:v>
                </c:pt>
                <c:pt idx="16482">
                  <c:v>64.82</c:v>
                </c:pt>
                <c:pt idx="16483">
                  <c:v>64.83</c:v>
                </c:pt>
                <c:pt idx="16484">
                  <c:v>64.84</c:v>
                </c:pt>
                <c:pt idx="16485">
                  <c:v>64.85</c:v>
                </c:pt>
                <c:pt idx="16486">
                  <c:v>64.86</c:v>
                </c:pt>
                <c:pt idx="16487">
                  <c:v>64.87</c:v>
                </c:pt>
                <c:pt idx="16488">
                  <c:v>64.88</c:v>
                </c:pt>
                <c:pt idx="16489">
                  <c:v>64.89</c:v>
                </c:pt>
                <c:pt idx="16490">
                  <c:v>64.9</c:v>
                </c:pt>
                <c:pt idx="16491">
                  <c:v>64.91</c:v>
                </c:pt>
                <c:pt idx="16492">
                  <c:v>64.92</c:v>
                </c:pt>
                <c:pt idx="16493">
                  <c:v>64.93</c:v>
                </c:pt>
                <c:pt idx="16494">
                  <c:v>64.94</c:v>
                </c:pt>
                <c:pt idx="16495">
                  <c:v>64.95</c:v>
                </c:pt>
                <c:pt idx="16496">
                  <c:v>64.96</c:v>
                </c:pt>
                <c:pt idx="16497">
                  <c:v>64.97</c:v>
                </c:pt>
                <c:pt idx="16498">
                  <c:v>64.98</c:v>
                </c:pt>
                <c:pt idx="16499">
                  <c:v>64.99</c:v>
                </c:pt>
                <c:pt idx="16500">
                  <c:v>65.0</c:v>
                </c:pt>
                <c:pt idx="16501">
                  <c:v>65.01</c:v>
                </c:pt>
                <c:pt idx="16502">
                  <c:v>65.02</c:v>
                </c:pt>
                <c:pt idx="16503">
                  <c:v>65.03</c:v>
                </c:pt>
                <c:pt idx="16504">
                  <c:v>65.04</c:v>
                </c:pt>
                <c:pt idx="16505">
                  <c:v>65.05</c:v>
                </c:pt>
                <c:pt idx="16506">
                  <c:v>65.06</c:v>
                </c:pt>
                <c:pt idx="16507">
                  <c:v>65.07</c:v>
                </c:pt>
                <c:pt idx="16508">
                  <c:v>65.08</c:v>
                </c:pt>
                <c:pt idx="16509">
                  <c:v>65.09</c:v>
                </c:pt>
                <c:pt idx="16510">
                  <c:v>65.1</c:v>
                </c:pt>
                <c:pt idx="16511">
                  <c:v>65.11</c:v>
                </c:pt>
                <c:pt idx="16512">
                  <c:v>65.12</c:v>
                </c:pt>
                <c:pt idx="16513">
                  <c:v>65.13</c:v>
                </c:pt>
                <c:pt idx="16514">
                  <c:v>65.14</c:v>
                </c:pt>
                <c:pt idx="16515">
                  <c:v>65.15</c:v>
                </c:pt>
                <c:pt idx="16516">
                  <c:v>65.16</c:v>
                </c:pt>
                <c:pt idx="16517">
                  <c:v>65.17</c:v>
                </c:pt>
                <c:pt idx="16518">
                  <c:v>65.18</c:v>
                </c:pt>
                <c:pt idx="16519">
                  <c:v>65.19</c:v>
                </c:pt>
                <c:pt idx="16520">
                  <c:v>65.2</c:v>
                </c:pt>
                <c:pt idx="16521">
                  <c:v>65.21</c:v>
                </c:pt>
                <c:pt idx="16522">
                  <c:v>65.22</c:v>
                </c:pt>
                <c:pt idx="16523">
                  <c:v>65.23</c:v>
                </c:pt>
                <c:pt idx="16524">
                  <c:v>65.24</c:v>
                </c:pt>
                <c:pt idx="16525">
                  <c:v>65.25</c:v>
                </c:pt>
                <c:pt idx="16526">
                  <c:v>65.26</c:v>
                </c:pt>
                <c:pt idx="16527">
                  <c:v>65.27</c:v>
                </c:pt>
                <c:pt idx="16528">
                  <c:v>65.28</c:v>
                </c:pt>
                <c:pt idx="16529">
                  <c:v>65.29</c:v>
                </c:pt>
                <c:pt idx="16530">
                  <c:v>65.3</c:v>
                </c:pt>
                <c:pt idx="16531">
                  <c:v>65.31</c:v>
                </c:pt>
                <c:pt idx="16532">
                  <c:v>65.32</c:v>
                </c:pt>
                <c:pt idx="16533">
                  <c:v>65.33</c:v>
                </c:pt>
                <c:pt idx="16534">
                  <c:v>65.34</c:v>
                </c:pt>
                <c:pt idx="16535">
                  <c:v>65.35</c:v>
                </c:pt>
                <c:pt idx="16536">
                  <c:v>65.36</c:v>
                </c:pt>
                <c:pt idx="16537">
                  <c:v>65.37</c:v>
                </c:pt>
                <c:pt idx="16538">
                  <c:v>65.38</c:v>
                </c:pt>
                <c:pt idx="16539">
                  <c:v>65.39</c:v>
                </c:pt>
                <c:pt idx="16540">
                  <c:v>65.4</c:v>
                </c:pt>
                <c:pt idx="16541">
                  <c:v>65.41</c:v>
                </c:pt>
                <c:pt idx="16542">
                  <c:v>65.42</c:v>
                </c:pt>
                <c:pt idx="16543">
                  <c:v>65.43</c:v>
                </c:pt>
                <c:pt idx="16544">
                  <c:v>65.44</c:v>
                </c:pt>
                <c:pt idx="16545">
                  <c:v>65.45</c:v>
                </c:pt>
                <c:pt idx="16546">
                  <c:v>65.46</c:v>
                </c:pt>
                <c:pt idx="16547">
                  <c:v>65.47</c:v>
                </c:pt>
                <c:pt idx="16548">
                  <c:v>65.48</c:v>
                </c:pt>
                <c:pt idx="16549">
                  <c:v>65.49</c:v>
                </c:pt>
                <c:pt idx="16550">
                  <c:v>65.5</c:v>
                </c:pt>
                <c:pt idx="16551">
                  <c:v>65.51</c:v>
                </c:pt>
                <c:pt idx="16552">
                  <c:v>65.52</c:v>
                </c:pt>
                <c:pt idx="16553">
                  <c:v>65.53</c:v>
                </c:pt>
                <c:pt idx="16554">
                  <c:v>65.54</c:v>
                </c:pt>
                <c:pt idx="16555">
                  <c:v>65.55</c:v>
                </c:pt>
                <c:pt idx="16556">
                  <c:v>65.56</c:v>
                </c:pt>
                <c:pt idx="16557">
                  <c:v>65.57</c:v>
                </c:pt>
                <c:pt idx="16558">
                  <c:v>65.58</c:v>
                </c:pt>
                <c:pt idx="16559">
                  <c:v>65.59</c:v>
                </c:pt>
                <c:pt idx="16560">
                  <c:v>65.6</c:v>
                </c:pt>
                <c:pt idx="16561">
                  <c:v>65.61</c:v>
                </c:pt>
                <c:pt idx="16562">
                  <c:v>65.62</c:v>
                </c:pt>
                <c:pt idx="16563">
                  <c:v>65.63</c:v>
                </c:pt>
                <c:pt idx="16564">
                  <c:v>65.64</c:v>
                </c:pt>
                <c:pt idx="16565">
                  <c:v>65.65</c:v>
                </c:pt>
                <c:pt idx="16566">
                  <c:v>65.66</c:v>
                </c:pt>
                <c:pt idx="16567">
                  <c:v>65.67</c:v>
                </c:pt>
                <c:pt idx="16568">
                  <c:v>65.68</c:v>
                </c:pt>
                <c:pt idx="16569">
                  <c:v>65.69</c:v>
                </c:pt>
                <c:pt idx="16570">
                  <c:v>65.7</c:v>
                </c:pt>
                <c:pt idx="16571">
                  <c:v>65.71</c:v>
                </c:pt>
                <c:pt idx="16572">
                  <c:v>65.72</c:v>
                </c:pt>
                <c:pt idx="16573">
                  <c:v>65.73</c:v>
                </c:pt>
                <c:pt idx="16574">
                  <c:v>65.74</c:v>
                </c:pt>
                <c:pt idx="16575">
                  <c:v>65.75</c:v>
                </c:pt>
                <c:pt idx="16576">
                  <c:v>65.76</c:v>
                </c:pt>
                <c:pt idx="16577">
                  <c:v>65.77</c:v>
                </c:pt>
                <c:pt idx="16578">
                  <c:v>65.78</c:v>
                </c:pt>
                <c:pt idx="16579">
                  <c:v>65.79</c:v>
                </c:pt>
                <c:pt idx="16580">
                  <c:v>65.8</c:v>
                </c:pt>
                <c:pt idx="16581">
                  <c:v>65.81</c:v>
                </c:pt>
                <c:pt idx="16582">
                  <c:v>65.82</c:v>
                </c:pt>
                <c:pt idx="16583">
                  <c:v>65.83</c:v>
                </c:pt>
                <c:pt idx="16584">
                  <c:v>65.84</c:v>
                </c:pt>
                <c:pt idx="16585">
                  <c:v>65.85</c:v>
                </c:pt>
                <c:pt idx="16586">
                  <c:v>65.86</c:v>
                </c:pt>
                <c:pt idx="16587">
                  <c:v>65.87</c:v>
                </c:pt>
                <c:pt idx="16588">
                  <c:v>65.88</c:v>
                </c:pt>
                <c:pt idx="16589">
                  <c:v>65.89</c:v>
                </c:pt>
                <c:pt idx="16590">
                  <c:v>65.9</c:v>
                </c:pt>
                <c:pt idx="16591">
                  <c:v>65.91</c:v>
                </c:pt>
                <c:pt idx="16592">
                  <c:v>65.92</c:v>
                </c:pt>
                <c:pt idx="16593">
                  <c:v>65.93</c:v>
                </c:pt>
                <c:pt idx="16594">
                  <c:v>65.94</c:v>
                </c:pt>
                <c:pt idx="16595">
                  <c:v>65.95</c:v>
                </c:pt>
                <c:pt idx="16596">
                  <c:v>65.96</c:v>
                </c:pt>
                <c:pt idx="16597">
                  <c:v>65.97</c:v>
                </c:pt>
                <c:pt idx="16598">
                  <c:v>65.98</c:v>
                </c:pt>
                <c:pt idx="16599">
                  <c:v>65.99</c:v>
                </c:pt>
                <c:pt idx="16600">
                  <c:v>66.0</c:v>
                </c:pt>
                <c:pt idx="16601">
                  <c:v>66.01</c:v>
                </c:pt>
                <c:pt idx="16602">
                  <c:v>66.02</c:v>
                </c:pt>
                <c:pt idx="16603">
                  <c:v>66.03</c:v>
                </c:pt>
                <c:pt idx="16604">
                  <c:v>66.04</c:v>
                </c:pt>
                <c:pt idx="16605">
                  <c:v>66.05</c:v>
                </c:pt>
                <c:pt idx="16606">
                  <c:v>66.06</c:v>
                </c:pt>
                <c:pt idx="16607">
                  <c:v>66.07</c:v>
                </c:pt>
                <c:pt idx="16608">
                  <c:v>66.08</c:v>
                </c:pt>
                <c:pt idx="16609">
                  <c:v>66.09</c:v>
                </c:pt>
                <c:pt idx="16610">
                  <c:v>66.1</c:v>
                </c:pt>
                <c:pt idx="16611">
                  <c:v>66.11</c:v>
                </c:pt>
                <c:pt idx="16612">
                  <c:v>66.12</c:v>
                </c:pt>
                <c:pt idx="16613">
                  <c:v>66.13</c:v>
                </c:pt>
                <c:pt idx="16614">
                  <c:v>66.14</c:v>
                </c:pt>
                <c:pt idx="16615">
                  <c:v>66.15</c:v>
                </c:pt>
                <c:pt idx="16616">
                  <c:v>66.16</c:v>
                </c:pt>
                <c:pt idx="16617">
                  <c:v>66.17</c:v>
                </c:pt>
                <c:pt idx="16618">
                  <c:v>66.18</c:v>
                </c:pt>
                <c:pt idx="16619">
                  <c:v>66.19</c:v>
                </c:pt>
                <c:pt idx="16620">
                  <c:v>66.2</c:v>
                </c:pt>
                <c:pt idx="16621">
                  <c:v>66.21</c:v>
                </c:pt>
                <c:pt idx="16622">
                  <c:v>66.22</c:v>
                </c:pt>
                <c:pt idx="16623">
                  <c:v>66.23</c:v>
                </c:pt>
                <c:pt idx="16624">
                  <c:v>66.24</c:v>
                </c:pt>
                <c:pt idx="16625">
                  <c:v>66.25</c:v>
                </c:pt>
                <c:pt idx="16626">
                  <c:v>66.26</c:v>
                </c:pt>
                <c:pt idx="16627">
                  <c:v>66.27</c:v>
                </c:pt>
                <c:pt idx="16628">
                  <c:v>66.28</c:v>
                </c:pt>
                <c:pt idx="16629">
                  <c:v>66.29</c:v>
                </c:pt>
                <c:pt idx="16630">
                  <c:v>66.3</c:v>
                </c:pt>
                <c:pt idx="16631">
                  <c:v>66.31</c:v>
                </c:pt>
                <c:pt idx="16632">
                  <c:v>66.32</c:v>
                </c:pt>
                <c:pt idx="16633">
                  <c:v>66.33</c:v>
                </c:pt>
                <c:pt idx="16634">
                  <c:v>66.34</c:v>
                </c:pt>
                <c:pt idx="16635">
                  <c:v>66.35</c:v>
                </c:pt>
                <c:pt idx="16636">
                  <c:v>66.36</c:v>
                </c:pt>
                <c:pt idx="16637">
                  <c:v>66.37</c:v>
                </c:pt>
                <c:pt idx="16638">
                  <c:v>66.38</c:v>
                </c:pt>
                <c:pt idx="16639">
                  <c:v>66.39</c:v>
                </c:pt>
                <c:pt idx="16640">
                  <c:v>66.4</c:v>
                </c:pt>
                <c:pt idx="16641">
                  <c:v>66.41</c:v>
                </c:pt>
                <c:pt idx="16642">
                  <c:v>66.42</c:v>
                </c:pt>
                <c:pt idx="16643">
                  <c:v>66.43</c:v>
                </c:pt>
                <c:pt idx="16644">
                  <c:v>66.44</c:v>
                </c:pt>
                <c:pt idx="16645">
                  <c:v>66.45</c:v>
                </c:pt>
                <c:pt idx="16646">
                  <c:v>66.46</c:v>
                </c:pt>
                <c:pt idx="16647">
                  <c:v>66.47</c:v>
                </c:pt>
                <c:pt idx="16648">
                  <c:v>66.48</c:v>
                </c:pt>
                <c:pt idx="16649">
                  <c:v>66.49</c:v>
                </c:pt>
                <c:pt idx="16650">
                  <c:v>66.5</c:v>
                </c:pt>
                <c:pt idx="16651">
                  <c:v>66.51</c:v>
                </c:pt>
                <c:pt idx="16652">
                  <c:v>66.52</c:v>
                </c:pt>
                <c:pt idx="16653">
                  <c:v>66.53</c:v>
                </c:pt>
                <c:pt idx="16654">
                  <c:v>66.54</c:v>
                </c:pt>
                <c:pt idx="16655">
                  <c:v>66.55</c:v>
                </c:pt>
                <c:pt idx="16656">
                  <c:v>66.56</c:v>
                </c:pt>
                <c:pt idx="16657">
                  <c:v>66.57</c:v>
                </c:pt>
                <c:pt idx="16658">
                  <c:v>66.58</c:v>
                </c:pt>
                <c:pt idx="16659">
                  <c:v>66.59</c:v>
                </c:pt>
                <c:pt idx="16660">
                  <c:v>66.6</c:v>
                </c:pt>
                <c:pt idx="16661">
                  <c:v>66.61</c:v>
                </c:pt>
                <c:pt idx="16662">
                  <c:v>66.62</c:v>
                </c:pt>
                <c:pt idx="16663">
                  <c:v>66.63</c:v>
                </c:pt>
                <c:pt idx="16664">
                  <c:v>66.64</c:v>
                </c:pt>
                <c:pt idx="16665">
                  <c:v>66.65</c:v>
                </c:pt>
                <c:pt idx="16666">
                  <c:v>66.66</c:v>
                </c:pt>
                <c:pt idx="16667">
                  <c:v>66.67</c:v>
                </c:pt>
                <c:pt idx="16668">
                  <c:v>66.68</c:v>
                </c:pt>
                <c:pt idx="16669">
                  <c:v>66.69</c:v>
                </c:pt>
                <c:pt idx="16670">
                  <c:v>66.7</c:v>
                </c:pt>
                <c:pt idx="16671">
                  <c:v>66.71</c:v>
                </c:pt>
                <c:pt idx="16672">
                  <c:v>66.72</c:v>
                </c:pt>
                <c:pt idx="16673">
                  <c:v>66.73</c:v>
                </c:pt>
                <c:pt idx="16674">
                  <c:v>66.74</c:v>
                </c:pt>
                <c:pt idx="16675">
                  <c:v>66.75</c:v>
                </c:pt>
                <c:pt idx="16676">
                  <c:v>66.76</c:v>
                </c:pt>
                <c:pt idx="16677">
                  <c:v>66.77</c:v>
                </c:pt>
                <c:pt idx="16678">
                  <c:v>66.78</c:v>
                </c:pt>
                <c:pt idx="16679">
                  <c:v>66.79</c:v>
                </c:pt>
                <c:pt idx="16680">
                  <c:v>66.8</c:v>
                </c:pt>
                <c:pt idx="16681">
                  <c:v>66.81</c:v>
                </c:pt>
                <c:pt idx="16682">
                  <c:v>66.82</c:v>
                </c:pt>
                <c:pt idx="16683">
                  <c:v>66.83</c:v>
                </c:pt>
                <c:pt idx="16684">
                  <c:v>66.84</c:v>
                </c:pt>
                <c:pt idx="16685">
                  <c:v>66.85</c:v>
                </c:pt>
                <c:pt idx="16686">
                  <c:v>66.86</c:v>
                </c:pt>
                <c:pt idx="16687">
                  <c:v>66.87</c:v>
                </c:pt>
                <c:pt idx="16688">
                  <c:v>66.88</c:v>
                </c:pt>
                <c:pt idx="16689">
                  <c:v>66.89</c:v>
                </c:pt>
                <c:pt idx="16690">
                  <c:v>66.9</c:v>
                </c:pt>
                <c:pt idx="16691">
                  <c:v>66.91</c:v>
                </c:pt>
                <c:pt idx="16692">
                  <c:v>66.92</c:v>
                </c:pt>
                <c:pt idx="16693">
                  <c:v>66.93</c:v>
                </c:pt>
                <c:pt idx="16694">
                  <c:v>66.94</c:v>
                </c:pt>
                <c:pt idx="16695">
                  <c:v>66.95</c:v>
                </c:pt>
                <c:pt idx="16696">
                  <c:v>66.96</c:v>
                </c:pt>
                <c:pt idx="16697">
                  <c:v>66.97</c:v>
                </c:pt>
                <c:pt idx="16698">
                  <c:v>66.98</c:v>
                </c:pt>
                <c:pt idx="16699">
                  <c:v>66.99</c:v>
                </c:pt>
                <c:pt idx="16700">
                  <c:v>67.0</c:v>
                </c:pt>
                <c:pt idx="16701">
                  <c:v>67.01</c:v>
                </c:pt>
                <c:pt idx="16702">
                  <c:v>67.02</c:v>
                </c:pt>
                <c:pt idx="16703">
                  <c:v>67.03</c:v>
                </c:pt>
                <c:pt idx="16704">
                  <c:v>67.04</c:v>
                </c:pt>
                <c:pt idx="16705">
                  <c:v>67.05</c:v>
                </c:pt>
                <c:pt idx="16706">
                  <c:v>67.06</c:v>
                </c:pt>
                <c:pt idx="16707">
                  <c:v>67.07</c:v>
                </c:pt>
                <c:pt idx="16708">
                  <c:v>67.08</c:v>
                </c:pt>
                <c:pt idx="16709">
                  <c:v>67.09</c:v>
                </c:pt>
                <c:pt idx="16710">
                  <c:v>67.1</c:v>
                </c:pt>
                <c:pt idx="16711">
                  <c:v>67.11</c:v>
                </c:pt>
                <c:pt idx="16712">
                  <c:v>67.12</c:v>
                </c:pt>
                <c:pt idx="16713">
                  <c:v>67.13</c:v>
                </c:pt>
                <c:pt idx="16714">
                  <c:v>67.14</c:v>
                </c:pt>
                <c:pt idx="16715">
                  <c:v>67.15</c:v>
                </c:pt>
                <c:pt idx="16716">
                  <c:v>67.16</c:v>
                </c:pt>
                <c:pt idx="16717">
                  <c:v>67.17</c:v>
                </c:pt>
                <c:pt idx="16718">
                  <c:v>67.18</c:v>
                </c:pt>
                <c:pt idx="16719">
                  <c:v>67.19</c:v>
                </c:pt>
                <c:pt idx="16720">
                  <c:v>67.2</c:v>
                </c:pt>
                <c:pt idx="16721">
                  <c:v>67.21</c:v>
                </c:pt>
                <c:pt idx="16722">
                  <c:v>67.22</c:v>
                </c:pt>
                <c:pt idx="16723">
                  <c:v>67.23</c:v>
                </c:pt>
                <c:pt idx="16724">
                  <c:v>67.24</c:v>
                </c:pt>
                <c:pt idx="16725">
                  <c:v>67.25</c:v>
                </c:pt>
                <c:pt idx="16726">
                  <c:v>67.26</c:v>
                </c:pt>
                <c:pt idx="16727">
                  <c:v>67.27</c:v>
                </c:pt>
                <c:pt idx="16728">
                  <c:v>67.28</c:v>
                </c:pt>
                <c:pt idx="16729">
                  <c:v>67.29</c:v>
                </c:pt>
                <c:pt idx="16730">
                  <c:v>67.3</c:v>
                </c:pt>
                <c:pt idx="16731">
                  <c:v>67.31</c:v>
                </c:pt>
                <c:pt idx="16732">
                  <c:v>67.32</c:v>
                </c:pt>
                <c:pt idx="16733">
                  <c:v>67.33</c:v>
                </c:pt>
                <c:pt idx="16734">
                  <c:v>67.34</c:v>
                </c:pt>
                <c:pt idx="16735">
                  <c:v>67.35</c:v>
                </c:pt>
                <c:pt idx="16736">
                  <c:v>67.36</c:v>
                </c:pt>
                <c:pt idx="16737">
                  <c:v>67.37</c:v>
                </c:pt>
                <c:pt idx="16738">
                  <c:v>67.38</c:v>
                </c:pt>
                <c:pt idx="16739">
                  <c:v>67.39</c:v>
                </c:pt>
                <c:pt idx="16740">
                  <c:v>67.4</c:v>
                </c:pt>
                <c:pt idx="16741">
                  <c:v>67.41</c:v>
                </c:pt>
                <c:pt idx="16742">
                  <c:v>67.42</c:v>
                </c:pt>
                <c:pt idx="16743">
                  <c:v>67.43</c:v>
                </c:pt>
                <c:pt idx="16744">
                  <c:v>67.44</c:v>
                </c:pt>
                <c:pt idx="16745">
                  <c:v>67.45</c:v>
                </c:pt>
                <c:pt idx="16746">
                  <c:v>67.46</c:v>
                </c:pt>
                <c:pt idx="16747">
                  <c:v>67.47</c:v>
                </c:pt>
                <c:pt idx="16748">
                  <c:v>67.48</c:v>
                </c:pt>
                <c:pt idx="16749">
                  <c:v>67.49</c:v>
                </c:pt>
                <c:pt idx="16750">
                  <c:v>67.5</c:v>
                </c:pt>
                <c:pt idx="16751">
                  <c:v>67.51</c:v>
                </c:pt>
                <c:pt idx="16752">
                  <c:v>67.52</c:v>
                </c:pt>
                <c:pt idx="16753">
                  <c:v>67.53</c:v>
                </c:pt>
                <c:pt idx="16754">
                  <c:v>67.54</c:v>
                </c:pt>
                <c:pt idx="16755">
                  <c:v>67.55</c:v>
                </c:pt>
                <c:pt idx="16756">
                  <c:v>67.56</c:v>
                </c:pt>
                <c:pt idx="16757">
                  <c:v>67.57</c:v>
                </c:pt>
                <c:pt idx="16758">
                  <c:v>67.58</c:v>
                </c:pt>
                <c:pt idx="16759">
                  <c:v>67.59</c:v>
                </c:pt>
                <c:pt idx="16760">
                  <c:v>67.6</c:v>
                </c:pt>
                <c:pt idx="16761">
                  <c:v>67.61</c:v>
                </c:pt>
                <c:pt idx="16762">
                  <c:v>67.62</c:v>
                </c:pt>
                <c:pt idx="16763">
                  <c:v>67.63</c:v>
                </c:pt>
                <c:pt idx="16764">
                  <c:v>67.64</c:v>
                </c:pt>
                <c:pt idx="16765">
                  <c:v>67.65</c:v>
                </c:pt>
                <c:pt idx="16766">
                  <c:v>67.66</c:v>
                </c:pt>
                <c:pt idx="16767">
                  <c:v>67.67</c:v>
                </c:pt>
                <c:pt idx="16768">
                  <c:v>67.68</c:v>
                </c:pt>
                <c:pt idx="16769">
                  <c:v>67.69</c:v>
                </c:pt>
                <c:pt idx="16770">
                  <c:v>67.7</c:v>
                </c:pt>
                <c:pt idx="16771">
                  <c:v>67.71</c:v>
                </c:pt>
                <c:pt idx="16772">
                  <c:v>67.72</c:v>
                </c:pt>
                <c:pt idx="16773">
                  <c:v>67.73</c:v>
                </c:pt>
                <c:pt idx="16774">
                  <c:v>67.74</c:v>
                </c:pt>
                <c:pt idx="16775">
                  <c:v>67.75</c:v>
                </c:pt>
                <c:pt idx="16776">
                  <c:v>67.76</c:v>
                </c:pt>
                <c:pt idx="16777">
                  <c:v>67.77</c:v>
                </c:pt>
                <c:pt idx="16778">
                  <c:v>67.78</c:v>
                </c:pt>
                <c:pt idx="16779">
                  <c:v>67.79</c:v>
                </c:pt>
                <c:pt idx="16780">
                  <c:v>67.8</c:v>
                </c:pt>
                <c:pt idx="16781">
                  <c:v>67.81</c:v>
                </c:pt>
                <c:pt idx="16782">
                  <c:v>67.82</c:v>
                </c:pt>
                <c:pt idx="16783">
                  <c:v>67.83</c:v>
                </c:pt>
                <c:pt idx="16784">
                  <c:v>67.84</c:v>
                </c:pt>
                <c:pt idx="16785">
                  <c:v>67.85</c:v>
                </c:pt>
                <c:pt idx="16786">
                  <c:v>67.86</c:v>
                </c:pt>
                <c:pt idx="16787">
                  <c:v>67.87</c:v>
                </c:pt>
                <c:pt idx="16788">
                  <c:v>67.88</c:v>
                </c:pt>
                <c:pt idx="16789">
                  <c:v>67.89</c:v>
                </c:pt>
                <c:pt idx="16790">
                  <c:v>67.9</c:v>
                </c:pt>
                <c:pt idx="16791">
                  <c:v>67.91</c:v>
                </c:pt>
                <c:pt idx="16792">
                  <c:v>67.92</c:v>
                </c:pt>
                <c:pt idx="16793">
                  <c:v>67.93</c:v>
                </c:pt>
                <c:pt idx="16794">
                  <c:v>67.94</c:v>
                </c:pt>
                <c:pt idx="16795">
                  <c:v>67.95</c:v>
                </c:pt>
                <c:pt idx="16796">
                  <c:v>67.96</c:v>
                </c:pt>
                <c:pt idx="16797">
                  <c:v>67.97</c:v>
                </c:pt>
                <c:pt idx="16798">
                  <c:v>67.98</c:v>
                </c:pt>
                <c:pt idx="16799">
                  <c:v>67.99</c:v>
                </c:pt>
                <c:pt idx="16800">
                  <c:v>68.0</c:v>
                </c:pt>
                <c:pt idx="16801">
                  <c:v>68.01</c:v>
                </c:pt>
                <c:pt idx="16802">
                  <c:v>68.02</c:v>
                </c:pt>
                <c:pt idx="16803">
                  <c:v>68.03</c:v>
                </c:pt>
                <c:pt idx="16804">
                  <c:v>68.04</c:v>
                </c:pt>
                <c:pt idx="16805">
                  <c:v>68.05</c:v>
                </c:pt>
                <c:pt idx="16806">
                  <c:v>68.06</c:v>
                </c:pt>
                <c:pt idx="16807">
                  <c:v>68.07</c:v>
                </c:pt>
                <c:pt idx="16808">
                  <c:v>68.08</c:v>
                </c:pt>
                <c:pt idx="16809">
                  <c:v>68.09</c:v>
                </c:pt>
                <c:pt idx="16810">
                  <c:v>68.1</c:v>
                </c:pt>
                <c:pt idx="16811">
                  <c:v>68.11</c:v>
                </c:pt>
                <c:pt idx="16812">
                  <c:v>68.12</c:v>
                </c:pt>
                <c:pt idx="16813">
                  <c:v>68.13</c:v>
                </c:pt>
                <c:pt idx="16814">
                  <c:v>68.14</c:v>
                </c:pt>
                <c:pt idx="16815">
                  <c:v>68.15</c:v>
                </c:pt>
                <c:pt idx="16816">
                  <c:v>68.16</c:v>
                </c:pt>
                <c:pt idx="16817">
                  <c:v>68.17</c:v>
                </c:pt>
                <c:pt idx="16818">
                  <c:v>68.18</c:v>
                </c:pt>
                <c:pt idx="16819">
                  <c:v>68.19</c:v>
                </c:pt>
                <c:pt idx="16820">
                  <c:v>68.2</c:v>
                </c:pt>
                <c:pt idx="16821">
                  <c:v>68.21</c:v>
                </c:pt>
                <c:pt idx="16822">
                  <c:v>68.22</c:v>
                </c:pt>
                <c:pt idx="16823">
                  <c:v>68.23</c:v>
                </c:pt>
                <c:pt idx="16824">
                  <c:v>68.24</c:v>
                </c:pt>
                <c:pt idx="16825">
                  <c:v>68.25</c:v>
                </c:pt>
                <c:pt idx="16826">
                  <c:v>68.26</c:v>
                </c:pt>
                <c:pt idx="16827">
                  <c:v>68.27</c:v>
                </c:pt>
                <c:pt idx="16828">
                  <c:v>68.28</c:v>
                </c:pt>
                <c:pt idx="16829">
                  <c:v>68.29</c:v>
                </c:pt>
                <c:pt idx="16830">
                  <c:v>68.3</c:v>
                </c:pt>
                <c:pt idx="16831">
                  <c:v>68.31</c:v>
                </c:pt>
                <c:pt idx="16832">
                  <c:v>68.32</c:v>
                </c:pt>
                <c:pt idx="16833">
                  <c:v>68.33</c:v>
                </c:pt>
                <c:pt idx="16834">
                  <c:v>68.34</c:v>
                </c:pt>
                <c:pt idx="16835">
                  <c:v>68.35</c:v>
                </c:pt>
                <c:pt idx="16836">
                  <c:v>68.36</c:v>
                </c:pt>
                <c:pt idx="16837">
                  <c:v>68.37</c:v>
                </c:pt>
                <c:pt idx="16838">
                  <c:v>68.38</c:v>
                </c:pt>
                <c:pt idx="16839">
                  <c:v>68.39</c:v>
                </c:pt>
                <c:pt idx="16840">
                  <c:v>68.4</c:v>
                </c:pt>
                <c:pt idx="16841">
                  <c:v>68.41</c:v>
                </c:pt>
                <c:pt idx="16842">
                  <c:v>68.42</c:v>
                </c:pt>
                <c:pt idx="16843">
                  <c:v>68.43</c:v>
                </c:pt>
                <c:pt idx="16844">
                  <c:v>68.44</c:v>
                </c:pt>
                <c:pt idx="16845">
                  <c:v>68.45</c:v>
                </c:pt>
                <c:pt idx="16846">
                  <c:v>68.46</c:v>
                </c:pt>
                <c:pt idx="16847">
                  <c:v>68.47</c:v>
                </c:pt>
                <c:pt idx="16848">
                  <c:v>68.48</c:v>
                </c:pt>
                <c:pt idx="16849">
                  <c:v>68.49</c:v>
                </c:pt>
                <c:pt idx="16850">
                  <c:v>68.5</c:v>
                </c:pt>
                <c:pt idx="16851">
                  <c:v>68.51</c:v>
                </c:pt>
                <c:pt idx="16852">
                  <c:v>68.52</c:v>
                </c:pt>
                <c:pt idx="16853">
                  <c:v>68.53</c:v>
                </c:pt>
                <c:pt idx="16854">
                  <c:v>68.54</c:v>
                </c:pt>
                <c:pt idx="16855">
                  <c:v>68.55</c:v>
                </c:pt>
                <c:pt idx="16856">
                  <c:v>68.56</c:v>
                </c:pt>
                <c:pt idx="16857">
                  <c:v>68.57</c:v>
                </c:pt>
                <c:pt idx="16858">
                  <c:v>68.58</c:v>
                </c:pt>
                <c:pt idx="16859">
                  <c:v>68.59</c:v>
                </c:pt>
                <c:pt idx="16860">
                  <c:v>68.6</c:v>
                </c:pt>
                <c:pt idx="16861">
                  <c:v>68.61</c:v>
                </c:pt>
                <c:pt idx="16862">
                  <c:v>68.62</c:v>
                </c:pt>
                <c:pt idx="16863">
                  <c:v>68.63</c:v>
                </c:pt>
                <c:pt idx="16864">
                  <c:v>68.64</c:v>
                </c:pt>
                <c:pt idx="16865">
                  <c:v>68.65</c:v>
                </c:pt>
                <c:pt idx="16866">
                  <c:v>68.66</c:v>
                </c:pt>
                <c:pt idx="16867">
                  <c:v>68.67</c:v>
                </c:pt>
                <c:pt idx="16868">
                  <c:v>68.68</c:v>
                </c:pt>
                <c:pt idx="16869">
                  <c:v>68.69</c:v>
                </c:pt>
                <c:pt idx="16870">
                  <c:v>68.7</c:v>
                </c:pt>
                <c:pt idx="16871">
                  <c:v>68.71</c:v>
                </c:pt>
                <c:pt idx="16872">
                  <c:v>68.72</c:v>
                </c:pt>
                <c:pt idx="16873">
                  <c:v>68.73</c:v>
                </c:pt>
                <c:pt idx="16874">
                  <c:v>68.74</c:v>
                </c:pt>
                <c:pt idx="16875">
                  <c:v>68.75</c:v>
                </c:pt>
                <c:pt idx="16876">
                  <c:v>68.76</c:v>
                </c:pt>
                <c:pt idx="16877">
                  <c:v>68.77</c:v>
                </c:pt>
                <c:pt idx="16878">
                  <c:v>68.78</c:v>
                </c:pt>
                <c:pt idx="16879">
                  <c:v>68.79</c:v>
                </c:pt>
                <c:pt idx="16880">
                  <c:v>68.8</c:v>
                </c:pt>
                <c:pt idx="16881">
                  <c:v>68.81</c:v>
                </c:pt>
                <c:pt idx="16882">
                  <c:v>68.82</c:v>
                </c:pt>
                <c:pt idx="16883">
                  <c:v>68.83</c:v>
                </c:pt>
                <c:pt idx="16884">
                  <c:v>68.84</c:v>
                </c:pt>
                <c:pt idx="16885">
                  <c:v>68.85</c:v>
                </c:pt>
                <c:pt idx="16886">
                  <c:v>68.86</c:v>
                </c:pt>
                <c:pt idx="16887">
                  <c:v>68.87</c:v>
                </c:pt>
                <c:pt idx="16888">
                  <c:v>68.88</c:v>
                </c:pt>
                <c:pt idx="16889">
                  <c:v>68.89</c:v>
                </c:pt>
                <c:pt idx="16890">
                  <c:v>68.9</c:v>
                </c:pt>
                <c:pt idx="16891">
                  <c:v>68.91</c:v>
                </c:pt>
                <c:pt idx="16892">
                  <c:v>68.92</c:v>
                </c:pt>
                <c:pt idx="16893">
                  <c:v>68.93</c:v>
                </c:pt>
                <c:pt idx="16894">
                  <c:v>68.94</c:v>
                </c:pt>
                <c:pt idx="16895">
                  <c:v>68.95</c:v>
                </c:pt>
                <c:pt idx="16896">
                  <c:v>68.96</c:v>
                </c:pt>
                <c:pt idx="16897">
                  <c:v>68.97</c:v>
                </c:pt>
                <c:pt idx="16898">
                  <c:v>68.98</c:v>
                </c:pt>
                <c:pt idx="16899">
                  <c:v>68.99</c:v>
                </c:pt>
                <c:pt idx="16900">
                  <c:v>69.0</c:v>
                </c:pt>
                <c:pt idx="16901">
                  <c:v>69.01</c:v>
                </c:pt>
                <c:pt idx="16902">
                  <c:v>69.02</c:v>
                </c:pt>
                <c:pt idx="16903">
                  <c:v>69.03</c:v>
                </c:pt>
                <c:pt idx="16904">
                  <c:v>69.04</c:v>
                </c:pt>
                <c:pt idx="16905">
                  <c:v>69.05</c:v>
                </c:pt>
                <c:pt idx="16906">
                  <c:v>69.06</c:v>
                </c:pt>
                <c:pt idx="16907">
                  <c:v>69.07</c:v>
                </c:pt>
                <c:pt idx="16908">
                  <c:v>69.08</c:v>
                </c:pt>
                <c:pt idx="16909">
                  <c:v>69.09</c:v>
                </c:pt>
                <c:pt idx="16910">
                  <c:v>69.1</c:v>
                </c:pt>
                <c:pt idx="16911">
                  <c:v>69.11</c:v>
                </c:pt>
                <c:pt idx="16912">
                  <c:v>69.12</c:v>
                </c:pt>
                <c:pt idx="16913">
                  <c:v>69.13</c:v>
                </c:pt>
                <c:pt idx="16914">
                  <c:v>69.14</c:v>
                </c:pt>
                <c:pt idx="16915">
                  <c:v>69.15</c:v>
                </c:pt>
                <c:pt idx="16916">
                  <c:v>69.16</c:v>
                </c:pt>
                <c:pt idx="16917">
                  <c:v>69.17</c:v>
                </c:pt>
                <c:pt idx="16918">
                  <c:v>69.18</c:v>
                </c:pt>
                <c:pt idx="16919">
                  <c:v>69.19</c:v>
                </c:pt>
                <c:pt idx="16920">
                  <c:v>69.2</c:v>
                </c:pt>
                <c:pt idx="16921">
                  <c:v>69.21</c:v>
                </c:pt>
                <c:pt idx="16922">
                  <c:v>69.22</c:v>
                </c:pt>
                <c:pt idx="16923">
                  <c:v>69.23</c:v>
                </c:pt>
                <c:pt idx="16924">
                  <c:v>69.24</c:v>
                </c:pt>
                <c:pt idx="16925">
                  <c:v>69.25</c:v>
                </c:pt>
                <c:pt idx="16926">
                  <c:v>69.26</c:v>
                </c:pt>
                <c:pt idx="16927">
                  <c:v>69.27</c:v>
                </c:pt>
                <c:pt idx="16928">
                  <c:v>69.28</c:v>
                </c:pt>
                <c:pt idx="16929">
                  <c:v>69.29</c:v>
                </c:pt>
                <c:pt idx="16930">
                  <c:v>69.3</c:v>
                </c:pt>
                <c:pt idx="16931">
                  <c:v>69.31</c:v>
                </c:pt>
                <c:pt idx="16932">
                  <c:v>69.32</c:v>
                </c:pt>
                <c:pt idx="16933">
                  <c:v>69.33</c:v>
                </c:pt>
                <c:pt idx="16934">
                  <c:v>69.34</c:v>
                </c:pt>
                <c:pt idx="16935">
                  <c:v>69.35</c:v>
                </c:pt>
                <c:pt idx="16936">
                  <c:v>69.36</c:v>
                </c:pt>
                <c:pt idx="16937">
                  <c:v>69.37</c:v>
                </c:pt>
                <c:pt idx="16938">
                  <c:v>69.38</c:v>
                </c:pt>
                <c:pt idx="16939">
                  <c:v>69.39</c:v>
                </c:pt>
                <c:pt idx="16940">
                  <c:v>69.4</c:v>
                </c:pt>
                <c:pt idx="16941">
                  <c:v>69.41</c:v>
                </c:pt>
                <c:pt idx="16942">
                  <c:v>69.42</c:v>
                </c:pt>
                <c:pt idx="16943">
                  <c:v>69.43</c:v>
                </c:pt>
                <c:pt idx="16944">
                  <c:v>69.44</c:v>
                </c:pt>
                <c:pt idx="16945">
                  <c:v>69.45</c:v>
                </c:pt>
                <c:pt idx="16946">
                  <c:v>69.46</c:v>
                </c:pt>
                <c:pt idx="16947">
                  <c:v>69.47</c:v>
                </c:pt>
                <c:pt idx="16948">
                  <c:v>69.48</c:v>
                </c:pt>
                <c:pt idx="16949">
                  <c:v>69.49</c:v>
                </c:pt>
                <c:pt idx="16950">
                  <c:v>69.5</c:v>
                </c:pt>
                <c:pt idx="16951">
                  <c:v>69.51</c:v>
                </c:pt>
                <c:pt idx="16952">
                  <c:v>69.52</c:v>
                </c:pt>
                <c:pt idx="16953">
                  <c:v>69.53</c:v>
                </c:pt>
                <c:pt idx="16954">
                  <c:v>69.54</c:v>
                </c:pt>
                <c:pt idx="16955">
                  <c:v>69.55</c:v>
                </c:pt>
                <c:pt idx="16956">
                  <c:v>69.56</c:v>
                </c:pt>
                <c:pt idx="16957">
                  <c:v>69.57</c:v>
                </c:pt>
                <c:pt idx="16958">
                  <c:v>69.58</c:v>
                </c:pt>
                <c:pt idx="16959">
                  <c:v>69.59</c:v>
                </c:pt>
                <c:pt idx="16960">
                  <c:v>69.6</c:v>
                </c:pt>
                <c:pt idx="16961">
                  <c:v>69.61</c:v>
                </c:pt>
                <c:pt idx="16962">
                  <c:v>69.62</c:v>
                </c:pt>
                <c:pt idx="16963">
                  <c:v>69.63</c:v>
                </c:pt>
                <c:pt idx="16964">
                  <c:v>69.64</c:v>
                </c:pt>
                <c:pt idx="16965">
                  <c:v>69.65</c:v>
                </c:pt>
                <c:pt idx="16966">
                  <c:v>69.66</c:v>
                </c:pt>
                <c:pt idx="16967">
                  <c:v>69.67</c:v>
                </c:pt>
                <c:pt idx="16968">
                  <c:v>69.68</c:v>
                </c:pt>
                <c:pt idx="16969">
                  <c:v>69.69</c:v>
                </c:pt>
                <c:pt idx="16970">
                  <c:v>69.7</c:v>
                </c:pt>
                <c:pt idx="16971">
                  <c:v>69.71</c:v>
                </c:pt>
                <c:pt idx="16972">
                  <c:v>69.72</c:v>
                </c:pt>
                <c:pt idx="16973">
                  <c:v>69.73</c:v>
                </c:pt>
                <c:pt idx="16974">
                  <c:v>69.74</c:v>
                </c:pt>
                <c:pt idx="16975">
                  <c:v>69.75</c:v>
                </c:pt>
                <c:pt idx="16976">
                  <c:v>69.76</c:v>
                </c:pt>
                <c:pt idx="16977">
                  <c:v>69.77</c:v>
                </c:pt>
                <c:pt idx="16978">
                  <c:v>69.78</c:v>
                </c:pt>
                <c:pt idx="16979">
                  <c:v>69.79</c:v>
                </c:pt>
                <c:pt idx="16980">
                  <c:v>69.8</c:v>
                </c:pt>
                <c:pt idx="16981">
                  <c:v>69.81</c:v>
                </c:pt>
                <c:pt idx="16982">
                  <c:v>69.82</c:v>
                </c:pt>
                <c:pt idx="16983">
                  <c:v>69.83</c:v>
                </c:pt>
                <c:pt idx="16984">
                  <c:v>69.84</c:v>
                </c:pt>
                <c:pt idx="16985">
                  <c:v>69.85</c:v>
                </c:pt>
                <c:pt idx="16986">
                  <c:v>69.86</c:v>
                </c:pt>
                <c:pt idx="16987">
                  <c:v>69.87</c:v>
                </c:pt>
                <c:pt idx="16988">
                  <c:v>69.88</c:v>
                </c:pt>
                <c:pt idx="16989">
                  <c:v>69.89</c:v>
                </c:pt>
                <c:pt idx="16990">
                  <c:v>69.9</c:v>
                </c:pt>
                <c:pt idx="16991">
                  <c:v>69.91</c:v>
                </c:pt>
                <c:pt idx="16992">
                  <c:v>69.92</c:v>
                </c:pt>
                <c:pt idx="16993">
                  <c:v>69.93</c:v>
                </c:pt>
                <c:pt idx="16994">
                  <c:v>69.94</c:v>
                </c:pt>
                <c:pt idx="16995">
                  <c:v>69.95</c:v>
                </c:pt>
                <c:pt idx="16996">
                  <c:v>69.96</c:v>
                </c:pt>
                <c:pt idx="16997">
                  <c:v>69.97</c:v>
                </c:pt>
                <c:pt idx="16998">
                  <c:v>69.98</c:v>
                </c:pt>
                <c:pt idx="16999">
                  <c:v>69.99</c:v>
                </c:pt>
                <c:pt idx="17000">
                  <c:v>70.0</c:v>
                </c:pt>
                <c:pt idx="17001">
                  <c:v>70.01</c:v>
                </c:pt>
                <c:pt idx="17002">
                  <c:v>70.02</c:v>
                </c:pt>
                <c:pt idx="17003">
                  <c:v>70.03</c:v>
                </c:pt>
                <c:pt idx="17004">
                  <c:v>70.04</c:v>
                </c:pt>
                <c:pt idx="17005">
                  <c:v>70.05</c:v>
                </c:pt>
                <c:pt idx="17006">
                  <c:v>70.06</c:v>
                </c:pt>
                <c:pt idx="17007">
                  <c:v>70.07</c:v>
                </c:pt>
                <c:pt idx="17008">
                  <c:v>70.08</c:v>
                </c:pt>
                <c:pt idx="17009">
                  <c:v>70.09</c:v>
                </c:pt>
                <c:pt idx="17010">
                  <c:v>70.1</c:v>
                </c:pt>
                <c:pt idx="17011">
                  <c:v>70.11</c:v>
                </c:pt>
                <c:pt idx="17012">
                  <c:v>70.12</c:v>
                </c:pt>
                <c:pt idx="17013">
                  <c:v>70.13</c:v>
                </c:pt>
                <c:pt idx="17014">
                  <c:v>70.14</c:v>
                </c:pt>
                <c:pt idx="17015">
                  <c:v>70.15</c:v>
                </c:pt>
                <c:pt idx="17016">
                  <c:v>70.16</c:v>
                </c:pt>
                <c:pt idx="17017">
                  <c:v>70.17</c:v>
                </c:pt>
                <c:pt idx="17018">
                  <c:v>70.18</c:v>
                </c:pt>
                <c:pt idx="17019">
                  <c:v>70.19</c:v>
                </c:pt>
                <c:pt idx="17020">
                  <c:v>70.2</c:v>
                </c:pt>
                <c:pt idx="17021">
                  <c:v>70.21</c:v>
                </c:pt>
                <c:pt idx="17022">
                  <c:v>70.22</c:v>
                </c:pt>
                <c:pt idx="17023">
                  <c:v>70.23</c:v>
                </c:pt>
                <c:pt idx="17024">
                  <c:v>70.24</c:v>
                </c:pt>
                <c:pt idx="17025">
                  <c:v>70.25</c:v>
                </c:pt>
                <c:pt idx="17026">
                  <c:v>70.26</c:v>
                </c:pt>
                <c:pt idx="17027">
                  <c:v>70.27</c:v>
                </c:pt>
                <c:pt idx="17028">
                  <c:v>70.28</c:v>
                </c:pt>
                <c:pt idx="17029">
                  <c:v>70.29</c:v>
                </c:pt>
                <c:pt idx="17030">
                  <c:v>70.3</c:v>
                </c:pt>
                <c:pt idx="17031">
                  <c:v>70.31</c:v>
                </c:pt>
                <c:pt idx="17032">
                  <c:v>70.32</c:v>
                </c:pt>
                <c:pt idx="17033">
                  <c:v>70.33</c:v>
                </c:pt>
                <c:pt idx="17034">
                  <c:v>70.34</c:v>
                </c:pt>
                <c:pt idx="17035">
                  <c:v>70.35</c:v>
                </c:pt>
                <c:pt idx="17036">
                  <c:v>70.36</c:v>
                </c:pt>
                <c:pt idx="17037">
                  <c:v>70.37</c:v>
                </c:pt>
                <c:pt idx="17038">
                  <c:v>70.38</c:v>
                </c:pt>
                <c:pt idx="17039">
                  <c:v>70.39</c:v>
                </c:pt>
                <c:pt idx="17040">
                  <c:v>70.4</c:v>
                </c:pt>
                <c:pt idx="17041">
                  <c:v>70.41</c:v>
                </c:pt>
                <c:pt idx="17042">
                  <c:v>70.42</c:v>
                </c:pt>
                <c:pt idx="17043">
                  <c:v>70.43</c:v>
                </c:pt>
                <c:pt idx="17044">
                  <c:v>70.44</c:v>
                </c:pt>
                <c:pt idx="17045">
                  <c:v>70.45</c:v>
                </c:pt>
                <c:pt idx="17046">
                  <c:v>70.46</c:v>
                </c:pt>
                <c:pt idx="17047">
                  <c:v>70.47</c:v>
                </c:pt>
                <c:pt idx="17048">
                  <c:v>70.48</c:v>
                </c:pt>
                <c:pt idx="17049">
                  <c:v>70.49</c:v>
                </c:pt>
                <c:pt idx="17050">
                  <c:v>70.5</c:v>
                </c:pt>
                <c:pt idx="17051">
                  <c:v>70.51</c:v>
                </c:pt>
                <c:pt idx="17052">
                  <c:v>70.52</c:v>
                </c:pt>
                <c:pt idx="17053">
                  <c:v>70.53</c:v>
                </c:pt>
                <c:pt idx="17054">
                  <c:v>70.54</c:v>
                </c:pt>
                <c:pt idx="17055">
                  <c:v>70.55</c:v>
                </c:pt>
                <c:pt idx="17056">
                  <c:v>70.56</c:v>
                </c:pt>
                <c:pt idx="17057">
                  <c:v>70.57</c:v>
                </c:pt>
                <c:pt idx="17058">
                  <c:v>70.58</c:v>
                </c:pt>
                <c:pt idx="17059">
                  <c:v>70.59</c:v>
                </c:pt>
                <c:pt idx="17060">
                  <c:v>70.6</c:v>
                </c:pt>
                <c:pt idx="17061">
                  <c:v>70.61</c:v>
                </c:pt>
                <c:pt idx="17062">
                  <c:v>70.62</c:v>
                </c:pt>
                <c:pt idx="17063">
                  <c:v>70.63</c:v>
                </c:pt>
                <c:pt idx="17064">
                  <c:v>70.64</c:v>
                </c:pt>
                <c:pt idx="17065">
                  <c:v>70.65</c:v>
                </c:pt>
                <c:pt idx="17066">
                  <c:v>70.66</c:v>
                </c:pt>
                <c:pt idx="17067">
                  <c:v>70.67</c:v>
                </c:pt>
                <c:pt idx="17068">
                  <c:v>70.68</c:v>
                </c:pt>
                <c:pt idx="17069">
                  <c:v>70.69</c:v>
                </c:pt>
                <c:pt idx="17070">
                  <c:v>70.7</c:v>
                </c:pt>
                <c:pt idx="17071">
                  <c:v>70.71</c:v>
                </c:pt>
                <c:pt idx="17072">
                  <c:v>70.72</c:v>
                </c:pt>
                <c:pt idx="17073">
                  <c:v>70.73</c:v>
                </c:pt>
                <c:pt idx="17074">
                  <c:v>70.74</c:v>
                </c:pt>
                <c:pt idx="17075">
                  <c:v>70.75</c:v>
                </c:pt>
                <c:pt idx="17076">
                  <c:v>70.76</c:v>
                </c:pt>
                <c:pt idx="17077">
                  <c:v>70.77</c:v>
                </c:pt>
                <c:pt idx="17078">
                  <c:v>70.78</c:v>
                </c:pt>
                <c:pt idx="17079">
                  <c:v>70.79</c:v>
                </c:pt>
                <c:pt idx="17080">
                  <c:v>70.8</c:v>
                </c:pt>
                <c:pt idx="17081">
                  <c:v>70.81</c:v>
                </c:pt>
                <c:pt idx="17082">
                  <c:v>70.82</c:v>
                </c:pt>
                <c:pt idx="17083">
                  <c:v>70.83</c:v>
                </c:pt>
                <c:pt idx="17084">
                  <c:v>70.84</c:v>
                </c:pt>
                <c:pt idx="17085">
                  <c:v>70.85</c:v>
                </c:pt>
                <c:pt idx="17086">
                  <c:v>70.86</c:v>
                </c:pt>
                <c:pt idx="17087">
                  <c:v>70.87</c:v>
                </c:pt>
                <c:pt idx="17088">
                  <c:v>70.88</c:v>
                </c:pt>
                <c:pt idx="17089">
                  <c:v>70.89</c:v>
                </c:pt>
                <c:pt idx="17090">
                  <c:v>70.9</c:v>
                </c:pt>
                <c:pt idx="17091">
                  <c:v>70.91</c:v>
                </c:pt>
                <c:pt idx="17092">
                  <c:v>70.92</c:v>
                </c:pt>
                <c:pt idx="17093">
                  <c:v>70.93</c:v>
                </c:pt>
                <c:pt idx="17094">
                  <c:v>70.94</c:v>
                </c:pt>
                <c:pt idx="17095">
                  <c:v>70.95</c:v>
                </c:pt>
                <c:pt idx="17096">
                  <c:v>70.96</c:v>
                </c:pt>
                <c:pt idx="17097">
                  <c:v>70.97</c:v>
                </c:pt>
                <c:pt idx="17098">
                  <c:v>70.98</c:v>
                </c:pt>
                <c:pt idx="17099">
                  <c:v>70.99</c:v>
                </c:pt>
                <c:pt idx="17100">
                  <c:v>71.0</c:v>
                </c:pt>
                <c:pt idx="17101">
                  <c:v>71.01</c:v>
                </c:pt>
                <c:pt idx="17102">
                  <c:v>71.02</c:v>
                </c:pt>
                <c:pt idx="17103">
                  <c:v>71.03</c:v>
                </c:pt>
                <c:pt idx="17104">
                  <c:v>71.04</c:v>
                </c:pt>
                <c:pt idx="17105">
                  <c:v>71.05</c:v>
                </c:pt>
                <c:pt idx="17106">
                  <c:v>71.06</c:v>
                </c:pt>
                <c:pt idx="17107">
                  <c:v>71.07</c:v>
                </c:pt>
                <c:pt idx="17108">
                  <c:v>71.08</c:v>
                </c:pt>
                <c:pt idx="17109">
                  <c:v>71.09</c:v>
                </c:pt>
                <c:pt idx="17110">
                  <c:v>71.1</c:v>
                </c:pt>
                <c:pt idx="17111">
                  <c:v>71.11</c:v>
                </c:pt>
                <c:pt idx="17112">
                  <c:v>71.12</c:v>
                </c:pt>
                <c:pt idx="17113">
                  <c:v>71.13</c:v>
                </c:pt>
                <c:pt idx="17114">
                  <c:v>71.14</c:v>
                </c:pt>
                <c:pt idx="17115">
                  <c:v>71.15</c:v>
                </c:pt>
                <c:pt idx="17116">
                  <c:v>71.16</c:v>
                </c:pt>
                <c:pt idx="17117">
                  <c:v>71.17</c:v>
                </c:pt>
                <c:pt idx="17118">
                  <c:v>71.18</c:v>
                </c:pt>
                <c:pt idx="17119">
                  <c:v>71.19</c:v>
                </c:pt>
                <c:pt idx="17120">
                  <c:v>71.2</c:v>
                </c:pt>
                <c:pt idx="17121">
                  <c:v>71.21</c:v>
                </c:pt>
                <c:pt idx="17122">
                  <c:v>71.22</c:v>
                </c:pt>
                <c:pt idx="17123">
                  <c:v>71.23</c:v>
                </c:pt>
                <c:pt idx="17124">
                  <c:v>71.24</c:v>
                </c:pt>
                <c:pt idx="17125">
                  <c:v>71.25</c:v>
                </c:pt>
                <c:pt idx="17126">
                  <c:v>71.26</c:v>
                </c:pt>
                <c:pt idx="17127">
                  <c:v>71.27</c:v>
                </c:pt>
                <c:pt idx="17128">
                  <c:v>71.28</c:v>
                </c:pt>
                <c:pt idx="17129">
                  <c:v>71.29</c:v>
                </c:pt>
                <c:pt idx="17130">
                  <c:v>71.3</c:v>
                </c:pt>
                <c:pt idx="17131">
                  <c:v>71.31</c:v>
                </c:pt>
                <c:pt idx="17132">
                  <c:v>71.32</c:v>
                </c:pt>
                <c:pt idx="17133">
                  <c:v>71.33</c:v>
                </c:pt>
                <c:pt idx="17134">
                  <c:v>71.34</c:v>
                </c:pt>
                <c:pt idx="17135">
                  <c:v>71.35</c:v>
                </c:pt>
                <c:pt idx="17136">
                  <c:v>71.36</c:v>
                </c:pt>
                <c:pt idx="17137">
                  <c:v>71.37</c:v>
                </c:pt>
                <c:pt idx="17138">
                  <c:v>71.38</c:v>
                </c:pt>
                <c:pt idx="17139">
                  <c:v>71.39</c:v>
                </c:pt>
                <c:pt idx="17140">
                  <c:v>71.4</c:v>
                </c:pt>
                <c:pt idx="17141">
                  <c:v>71.41</c:v>
                </c:pt>
                <c:pt idx="17142">
                  <c:v>71.42</c:v>
                </c:pt>
                <c:pt idx="17143">
                  <c:v>71.43</c:v>
                </c:pt>
                <c:pt idx="17144">
                  <c:v>71.44</c:v>
                </c:pt>
                <c:pt idx="17145">
                  <c:v>71.45</c:v>
                </c:pt>
                <c:pt idx="17146">
                  <c:v>71.46</c:v>
                </c:pt>
                <c:pt idx="17147">
                  <c:v>71.47</c:v>
                </c:pt>
                <c:pt idx="17148">
                  <c:v>71.48</c:v>
                </c:pt>
                <c:pt idx="17149">
                  <c:v>71.49</c:v>
                </c:pt>
                <c:pt idx="17150">
                  <c:v>71.5</c:v>
                </c:pt>
                <c:pt idx="17151">
                  <c:v>71.51</c:v>
                </c:pt>
                <c:pt idx="17152">
                  <c:v>71.52</c:v>
                </c:pt>
                <c:pt idx="17153">
                  <c:v>71.53</c:v>
                </c:pt>
                <c:pt idx="17154">
                  <c:v>71.54</c:v>
                </c:pt>
                <c:pt idx="17155">
                  <c:v>71.55</c:v>
                </c:pt>
                <c:pt idx="17156">
                  <c:v>71.56</c:v>
                </c:pt>
                <c:pt idx="17157">
                  <c:v>71.57</c:v>
                </c:pt>
                <c:pt idx="17158">
                  <c:v>71.58</c:v>
                </c:pt>
                <c:pt idx="17159">
                  <c:v>71.59</c:v>
                </c:pt>
                <c:pt idx="17160">
                  <c:v>71.6</c:v>
                </c:pt>
                <c:pt idx="17161">
                  <c:v>71.61</c:v>
                </c:pt>
                <c:pt idx="17162">
                  <c:v>71.62</c:v>
                </c:pt>
                <c:pt idx="17163">
                  <c:v>71.63</c:v>
                </c:pt>
                <c:pt idx="17164">
                  <c:v>71.64</c:v>
                </c:pt>
                <c:pt idx="17165">
                  <c:v>71.65</c:v>
                </c:pt>
                <c:pt idx="17166">
                  <c:v>71.66</c:v>
                </c:pt>
                <c:pt idx="17167">
                  <c:v>71.67</c:v>
                </c:pt>
                <c:pt idx="17168">
                  <c:v>71.68</c:v>
                </c:pt>
                <c:pt idx="17169">
                  <c:v>71.69</c:v>
                </c:pt>
                <c:pt idx="17170">
                  <c:v>71.7</c:v>
                </c:pt>
                <c:pt idx="17171">
                  <c:v>71.71</c:v>
                </c:pt>
                <c:pt idx="17172">
                  <c:v>71.72</c:v>
                </c:pt>
                <c:pt idx="17173">
                  <c:v>71.73</c:v>
                </c:pt>
                <c:pt idx="17174">
                  <c:v>71.74</c:v>
                </c:pt>
                <c:pt idx="17175">
                  <c:v>71.75</c:v>
                </c:pt>
                <c:pt idx="17176">
                  <c:v>71.76</c:v>
                </c:pt>
                <c:pt idx="17177">
                  <c:v>71.77</c:v>
                </c:pt>
                <c:pt idx="17178">
                  <c:v>71.78</c:v>
                </c:pt>
                <c:pt idx="17179">
                  <c:v>71.79</c:v>
                </c:pt>
                <c:pt idx="17180">
                  <c:v>71.8</c:v>
                </c:pt>
                <c:pt idx="17181">
                  <c:v>71.81</c:v>
                </c:pt>
                <c:pt idx="17182">
                  <c:v>71.82</c:v>
                </c:pt>
                <c:pt idx="17183">
                  <c:v>71.83</c:v>
                </c:pt>
                <c:pt idx="17184">
                  <c:v>71.84</c:v>
                </c:pt>
                <c:pt idx="17185">
                  <c:v>71.85</c:v>
                </c:pt>
                <c:pt idx="17186">
                  <c:v>71.86</c:v>
                </c:pt>
                <c:pt idx="17187">
                  <c:v>71.87</c:v>
                </c:pt>
                <c:pt idx="17188">
                  <c:v>71.88</c:v>
                </c:pt>
                <c:pt idx="17189">
                  <c:v>71.89</c:v>
                </c:pt>
                <c:pt idx="17190">
                  <c:v>71.9</c:v>
                </c:pt>
                <c:pt idx="17191">
                  <c:v>71.91</c:v>
                </c:pt>
                <c:pt idx="17192">
                  <c:v>71.92</c:v>
                </c:pt>
                <c:pt idx="17193">
                  <c:v>71.93</c:v>
                </c:pt>
                <c:pt idx="17194">
                  <c:v>71.94</c:v>
                </c:pt>
                <c:pt idx="17195">
                  <c:v>71.95</c:v>
                </c:pt>
                <c:pt idx="17196">
                  <c:v>71.96</c:v>
                </c:pt>
                <c:pt idx="17197">
                  <c:v>71.97</c:v>
                </c:pt>
                <c:pt idx="17198">
                  <c:v>71.98</c:v>
                </c:pt>
                <c:pt idx="17199">
                  <c:v>71.99</c:v>
                </c:pt>
                <c:pt idx="17200">
                  <c:v>72.0</c:v>
                </c:pt>
                <c:pt idx="17201">
                  <c:v>72.01</c:v>
                </c:pt>
                <c:pt idx="17202">
                  <c:v>72.02</c:v>
                </c:pt>
                <c:pt idx="17203">
                  <c:v>72.03</c:v>
                </c:pt>
                <c:pt idx="17204">
                  <c:v>72.04</c:v>
                </c:pt>
                <c:pt idx="17205">
                  <c:v>72.05</c:v>
                </c:pt>
                <c:pt idx="17206">
                  <c:v>72.06</c:v>
                </c:pt>
                <c:pt idx="17207">
                  <c:v>72.07</c:v>
                </c:pt>
                <c:pt idx="17208">
                  <c:v>72.08</c:v>
                </c:pt>
                <c:pt idx="17209">
                  <c:v>72.09</c:v>
                </c:pt>
                <c:pt idx="17210">
                  <c:v>72.1</c:v>
                </c:pt>
                <c:pt idx="17211">
                  <c:v>72.11</c:v>
                </c:pt>
                <c:pt idx="17212">
                  <c:v>72.12</c:v>
                </c:pt>
                <c:pt idx="17213">
                  <c:v>72.13</c:v>
                </c:pt>
                <c:pt idx="17214">
                  <c:v>72.14</c:v>
                </c:pt>
                <c:pt idx="17215">
                  <c:v>72.15</c:v>
                </c:pt>
                <c:pt idx="17216">
                  <c:v>72.16</c:v>
                </c:pt>
                <c:pt idx="17217">
                  <c:v>72.17</c:v>
                </c:pt>
                <c:pt idx="17218">
                  <c:v>72.18</c:v>
                </c:pt>
                <c:pt idx="17219">
                  <c:v>72.19</c:v>
                </c:pt>
                <c:pt idx="17220">
                  <c:v>72.2</c:v>
                </c:pt>
                <c:pt idx="17221">
                  <c:v>72.21</c:v>
                </c:pt>
                <c:pt idx="17222">
                  <c:v>72.22</c:v>
                </c:pt>
                <c:pt idx="17223">
                  <c:v>72.23</c:v>
                </c:pt>
                <c:pt idx="17224">
                  <c:v>72.24</c:v>
                </c:pt>
                <c:pt idx="17225">
                  <c:v>72.25</c:v>
                </c:pt>
                <c:pt idx="17226">
                  <c:v>72.26</c:v>
                </c:pt>
                <c:pt idx="17227">
                  <c:v>72.27</c:v>
                </c:pt>
                <c:pt idx="17228">
                  <c:v>72.28</c:v>
                </c:pt>
                <c:pt idx="17229">
                  <c:v>72.29</c:v>
                </c:pt>
                <c:pt idx="17230">
                  <c:v>72.3</c:v>
                </c:pt>
                <c:pt idx="17231">
                  <c:v>72.31</c:v>
                </c:pt>
                <c:pt idx="17232">
                  <c:v>72.32</c:v>
                </c:pt>
                <c:pt idx="17233">
                  <c:v>72.33</c:v>
                </c:pt>
                <c:pt idx="17234">
                  <c:v>72.34</c:v>
                </c:pt>
                <c:pt idx="17235">
                  <c:v>72.35</c:v>
                </c:pt>
                <c:pt idx="17236">
                  <c:v>72.36</c:v>
                </c:pt>
                <c:pt idx="17237">
                  <c:v>72.37</c:v>
                </c:pt>
                <c:pt idx="17238">
                  <c:v>72.38</c:v>
                </c:pt>
                <c:pt idx="17239">
                  <c:v>72.39</c:v>
                </c:pt>
                <c:pt idx="17240">
                  <c:v>72.4</c:v>
                </c:pt>
                <c:pt idx="17241">
                  <c:v>72.41</c:v>
                </c:pt>
                <c:pt idx="17242">
                  <c:v>72.42</c:v>
                </c:pt>
                <c:pt idx="17243">
                  <c:v>72.43</c:v>
                </c:pt>
                <c:pt idx="17244">
                  <c:v>72.44</c:v>
                </c:pt>
                <c:pt idx="17245">
                  <c:v>72.45</c:v>
                </c:pt>
                <c:pt idx="17246">
                  <c:v>72.46</c:v>
                </c:pt>
                <c:pt idx="17247">
                  <c:v>72.47</c:v>
                </c:pt>
                <c:pt idx="17248">
                  <c:v>72.48</c:v>
                </c:pt>
                <c:pt idx="17249">
                  <c:v>72.49</c:v>
                </c:pt>
                <c:pt idx="17250">
                  <c:v>72.5</c:v>
                </c:pt>
                <c:pt idx="17251">
                  <c:v>72.51</c:v>
                </c:pt>
                <c:pt idx="17252">
                  <c:v>72.52</c:v>
                </c:pt>
                <c:pt idx="17253">
                  <c:v>72.53</c:v>
                </c:pt>
                <c:pt idx="17254">
                  <c:v>72.54</c:v>
                </c:pt>
                <c:pt idx="17255">
                  <c:v>72.55</c:v>
                </c:pt>
                <c:pt idx="17256">
                  <c:v>72.56</c:v>
                </c:pt>
                <c:pt idx="17257">
                  <c:v>72.57</c:v>
                </c:pt>
                <c:pt idx="17258">
                  <c:v>72.58</c:v>
                </c:pt>
                <c:pt idx="17259">
                  <c:v>72.59</c:v>
                </c:pt>
                <c:pt idx="17260">
                  <c:v>72.6</c:v>
                </c:pt>
                <c:pt idx="17261">
                  <c:v>72.61</c:v>
                </c:pt>
                <c:pt idx="17262">
                  <c:v>72.62</c:v>
                </c:pt>
                <c:pt idx="17263">
                  <c:v>72.63</c:v>
                </c:pt>
                <c:pt idx="17264">
                  <c:v>72.64</c:v>
                </c:pt>
                <c:pt idx="17265">
                  <c:v>72.65</c:v>
                </c:pt>
                <c:pt idx="17266">
                  <c:v>72.66</c:v>
                </c:pt>
                <c:pt idx="17267">
                  <c:v>72.67</c:v>
                </c:pt>
                <c:pt idx="17268">
                  <c:v>72.68</c:v>
                </c:pt>
                <c:pt idx="17269">
                  <c:v>72.69</c:v>
                </c:pt>
                <c:pt idx="17270">
                  <c:v>72.7</c:v>
                </c:pt>
                <c:pt idx="17271">
                  <c:v>72.71</c:v>
                </c:pt>
                <c:pt idx="17272">
                  <c:v>72.72</c:v>
                </c:pt>
                <c:pt idx="17273">
                  <c:v>72.73</c:v>
                </c:pt>
                <c:pt idx="17274">
                  <c:v>72.74</c:v>
                </c:pt>
                <c:pt idx="17275">
                  <c:v>72.75</c:v>
                </c:pt>
                <c:pt idx="17276">
                  <c:v>72.76</c:v>
                </c:pt>
                <c:pt idx="17277">
                  <c:v>72.77</c:v>
                </c:pt>
                <c:pt idx="17278">
                  <c:v>72.78</c:v>
                </c:pt>
                <c:pt idx="17279">
                  <c:v>72.79</c:v>
                </c:pt>
                <c:pt idx="17280">
                  <c:v>72.8</c:v>
                </c:pt>
                <c:pt idx="17281">
                  <c:v>72.81</c:v>
                </c:pt>
                <c:pt idx="17282">
                  <c:v>72.82</c:v>
                </c:pt>
                <c:pt idx="17283">
                  <c:v>72.83</c:v>
                </c:pt>
                <c:pt idx="17284">
                  <c:v>72.84</c:v>
                </c:pt>
                <c:pt idx="17285">
                  <c:v>72.85</c:v>
                </c:pt>
                <c:pt idx="17286">
                  <c:v>72.86</c:v>
                </c:pt>
                <c:pt idx="17287">
                  <c:v>72.87</c:v>
                </c:pt>
                <c:pt idx="17288">
                  <c:v>72.88</c:v>
                </c:pt>
                <c:pt idx="17289">
                  <c:v>72.89</c:v>
                </c:pt>
                <c:pt idx="17290">
                  <c:v>72.9</c:v>
                </c:pt>
                <c:pt idx="17291">
                  <c:v>72.91</c:v>
                </c:pt>
                <c:pt idx="17292">
                  <c:v>72.92</c:v>
                </c:pt>
                <c:pt idx="17293">
                  <c:v>72.93</c:v>
                </c:pt>
                <c:pt idx="17294">
                  <c:v>72.94</c:v>
                </c:pt>
                <c:pt idx="17295">
                  <c:v>72.95</c:v>
                </c:pt>
                <c:pt idx="17296">
                  <c:v>72.96</c:v>
                </c:pt>
                <c:pt idx="17297">
                  <c:v>72.97</c:v>
                </c:pt>
                <c:pt idx="17298">
                  <c:v>72.98</c:v>
                </c:pt>
                <c:pt idx="17299">
                  <c:v>72.99</c:v>
                </c:pt>
                <c:pt idx="17300">
                  <c:v>73.0</c:v>
                </c:pt>
                <c:pt idx="17301">
                  <c:v>73.01</c:v>
                </c:pt>
                <c:pt idx="17302">
                  <c:v>73.02</c:v>
                </c:pt>
                <c:pt idx="17303">
                  <c:v>73.03</c:v>
                </c:pt>
                <c:pt idx="17304">
                  <c:v>73.04</c:v>
                </c:pt>
                <c:pt idx="17305">
                  <c:v>73.05</c:v>
                </c:pt>
                <c:pt idx="17306">
                  <c:v>73.06</c:v>
                </c:pt>
                <c:pt idx="17307">
                  <c:v>73.07</c:v>
                </c:pt>
                <c:pt idx="17308">
                  <c:v>73.08</c:v>
                </c:pt>
                <c:pt idx="17309">
                  <c:v>73.09</c:v>
                </c:pt>
                <c:pt idx="17310">
                  <c:v>73.1</c:v>
                </c:pt>
                <c:pt idx="17311">
                  <c:v>73.11</c:v>
                </c:pt>
                <c:pt idx="17312">
                  <c:v>73.12</c:v>
                </c:pt>
                <c:pt idx="17313">
                  <c:v>73.13</c:v>
                </c:pt>
                <c:pt idx="17314">
                  <c:v>73.14</c:v>
                </c:pt>
                <c:pt idx="17315">
                  <c:v>73.15</c:v>
                </c:pt>
                <c:pt idx="17316">
                  <c:v>73.16</c:v>
                </c:pt>
                <c:pt idx="17317">
                  <c:v>73.17</c:v>
                </c:pt>
                <c:pt idx="17318">
                  <c:v>73.18</c:v>
                </c:pt>
                <c:pt idx="17319">
                  <c:v>73.19</c:v>
                </c:pt>
                <c:pt idx="17320">
                  <c:v>73.2</c:v>
                </c:pt>
                <c:pt idx="17321">
                  <c:v>73.21</c:v>
                </c:pt>
                <c:pt idx="17322">
                  <c:v>73.22</c:v>
                </c:pt>
                <c:pt idx="17323">
                  <c:v>73.23</c:v>
                </c:pt>
                <c:pt idx="17324">
                  <c:v>73.24</c:v>
                </c:pt>
                <c:pt idx="17325">
                  <c:v>73.25</c:v>
                </c:pt>
                <c:pt idx="17326">
                  <c:v>73.26</c:v>
                </c:pt>
                <c:pt idx="17327">
                  <c:v>73.27</c:v>
                </c:pt>
                <c:pt idx="17328">
                  <c:v>73.28</c:v>
                </c:pt>
                <c:pt idx="17329">
                  <c:v>73.29</c:v>
                </c:pt>
                <c:pt idx="17330">
                  <c:v>73.3</c:v>
                </c:pt>
                <c:pt idx="17331">
                  <c:v>73.31</c:v>
                </c:pt>
                <c:pt idx="17332">
                  <c:v>73.32</c:v>
                </c:pt>
                <c:pt idx="17333">
                  <c:v>73.33</c:v>
                </c:pt>
                <c:pt idx="17334">
                  <c:v>73.34</c:v>
                </c:pt>
                <c:pt idx="17335">
                  <c:v>73.35</c:v>
                </c:pt>
                <c:pt idx="17336">
                  <c:v>73.36</c:v>
                </c:pt>
                <c:pt idx="17337">
                  <c:v>73.37</c:v>
                </c:pt>
                <c:pt idx="17338">
                  <c:v>73.38</c:v>
                </c:pt>
                <c:pt idx="17339">
                  <c:v>73.39</c:v>
                </c:pt>
                <c:pt idx="17340">
                  <c:v>73.4</c:v>
                </c:pt>
                <c:pt idx="17341">
                  <c:v>73.41</c:v>
                </c:pt>
                <c:pt idx="17342">
                  <c:v>73.42</c:v>
                </c:pt>
                <c:pt idx="17343">
                  <c:v>73.43</c:v>
                </c:pt>
                <c:pt idx="17344">
                  <c:v>73.44</c:v>
                </c:pt>
                <c:pt idx="17345">
                  <c:v>73.45</c:v>
                </c:pt>
                <c:pt idx="17346">
                  <c:v>73.46</c:v>
                </c:pt>
                <c:pt idx="17347">
                  <c:v>73.47</c:v>
                </c:pt>
                <c:pt idx="17348">
                  <c:v>73.48</c:v>
                </c:pt>
                <c:pt idx="17349">
                  <c:v>73.49</c:v>
                </c:pt>
                <c:pt idx="17350">
                  <c:v>73.5</c:v>
                </c:pt>
                <c:pt idx="17351">
                  <c:v>73.51</c:v>
                </c:pt>
                <c:pt idx="17352">
                  <c:v>73.52</c:v>
                </c:pt>
                <c:pt idx="17353">
                  <c:v>73.53</c:v>
                </c:pt>
                <c:pt idx="17354">
                  <c:v>73.54</c:v>
                </c:pt>
                <c:pt idx="17355">
                  <c:v>73.55</c:v>
                </c:pt>
                <c:pt idx="17356">
                  <c:v>73.56</c:v>
                </c:pt>
                <c:pt idx="17357">
                  <c:v>73.57</c:v>
                </c:pt>
                <c:pt idx="17358">
                  <c:v>73.58</c:v>
                </c:pt>
                <c:pt idx="17359">
                  <c:v>73.59</c:v>
                </c:pt>
                <c:pt idx="17360">
                  <c:v>73.6</c:v>
                </c:pt>
                <c:pt idx="17361">
                  <c:v>73.61</c:v>
                </c:pt>
                <c:pt idx="17362">
                  <c:v>73.62</c:v>
                </c:pt>
                <c:pt idx="17363">
                  <c:v>73.63</c:v>
                </c:pt>
                <c:pt idx="17364">
                  <c:v>73.64</c:v>
                </c:pt>
                <c:pt idx="17365">
                  <c:v>73.65</c:v>
                </c:pt>
                <c:pt idx="17366">
                  <c:v>73.66</c:v>
                </c:pt>
                <c:pt idx="17367">
                  <c:v>73.67</c:v>
                </c:pt>
                <c:pt idx="17368">
                  <c:v>73.68</c:v>
                </c:pt>
                <c:pt idx="17369">
                  <c:v>73.69</c:v>
                </c:pt>
                <c:pt idx="17370">
                  <c:v>73.7</c:v>
                </c:pt>
                <c:pt idx="17371">
                  <c:v>73.71</c:v>
                </c:pt>
                <c:pt idx="17372">
                  <c:v>73.72</c:v>
                </c:pt>
                <c:pt idx="17373">
                  <c:v>73.73</c:v>
                </c:pt>
                <c:pt idx="17374">
                  <c:v>73.74</c:v>
                </c:pt>
                <c:pt idx="17375">
                  <c:v>73.75</c:v>
                </c:pt>
                <c:pt idx="17376">
                  <c:v>73.76</c:v>
                </c:pt>
                <c:pt idx="17377">
                  <c:v>73.77</c:v>
                </c:pt>
                <c:pt idx="17378">
                  <c:v>73.78</c:v>
                </c:pt>
                <c:pt idx="17379">
                  <c:v>73.79</c:v>
                </c:pt>
                <c:pt idx="17380">
                  <c:v>73.8</c:v>
                </c:pt>
                <c:pt idx="17381">
                  <c:v>73.81</c:v>
                </c:pt>
                <c:pt idx="17382">
                  <c:v>73.82</c:v>
                </c:pt>
                <c:pt idx="17383">
                  <c:v>73.83</c:v>
                </c:pt>
                <c:pt idx="17384">
                  <c:v>73.84</c:v>
                </c:pt>
                <c:pt idx="17385">
                  <c:v>73.85</c:v>
                </c:pt>
                <c:pt idx="17386">
                  <c:v>73.86</c:v>
                </c:pt>
                <c:pt idx="17387">
                  <c:v>73.87</c:v>
                </c:pt>
                <c:pt idx="17388">
                  <c:v>73.88</c:v>
                </c:pt>
                <c:pt idx="17389">
                  <c:v>73.89</c:v>
                </c:pt>
                <c:pt idx="17390">
                  <c:v>73.9</c:v>
                </c:pt>
                <c:pt idx="17391">
                  <c:v>73.91</c:v>
                </c:pt>
                <c:pt idx="17392">
                  <c:v>73.92</c:v>
                </c:pt>
                <c:pt idx="17393">
                  <c:v>73.93</c:v>
                </c:pt>
                <c:pt idx="17394">
                  <c:v>73.94</c:v>
                </c:pt>
                <c:pt idx="17395">
                  <c:v>73.95</c:v>
                </c:pt>
                <c:pt idx="17396">
                  <c:v>73.96</c:v>
                </c:pt>
                <c:pt idx="17397">
                  <c:v>73.97</c:v>
                </c:pt>
                <c:pt idx="17398">
                  <c:v>73.98</c:v>
                </c:pt>
                <c:pt idx="17399">
                  <c:v>73.99</c:v>
                </c:pt>
                <c:pt idx="17400">
                  <c:v>74.0</c:v>
                </c:pt>
                <c:pt idx="17401">
                  <c:v>74.01</c:v>
                </c:pt>
                <c:pt idx="17402">
                  <c:v>74.02</c:v>
                </c:pt>
                <c:pt idx="17403">
                  <c:v>74.03</c:v>
                </c:pt>
                <c:pt idx="17404">
                  <c:v>74.04</c:v>
                </c:pt>
                <c:pt idx="17405">
                  <c:v>74.05</c:v>
                </c:pt>
                <c:pt idx="17406">
                  <c:v>74.06</c:v>
                </c:pt>
                <c:pt idx="17407">
                  <c:v>74.07</c:v>
                </c:pt>
                <c:pt idx="17408">
                  <c:v>74.08</c:v>
                </c:pt>
                <c:pt idx="17409">
                  <c:v>74.09</c:v>
                </c:pt>
                <c:pt idx="17410">
                  <c:v>74.1</c:v>
                </c:pt>
                <c:pt idx="17411">
                  <c:v>74.11</c:v>
                </c:pt>
                <c:pt idx="17412">
                  <c:v>74.12</c:v>
                </c:pt>
                <c:pt idx="17413">
                  <c:v>74.13</c:v>
                </c:pt>
                <c:pt idx="17414">
                  <c:v>74.14</c:v>
                </c:pt>
                <c:pt idx="17415">
                  <c:v>74.15</c:v>
                </c:pt>
                <c:pt idx="17416">
                  <c:v>74.16</c:v>
                </c:pt>
                <c:pt idx="17417">
                  <c:v>74.17</c:v>
                </c:pt>
                <c:pt idx="17418">
                  <c:v>74.18</c:v>
                </c:pt>
                <c:pt idx="17419">
                  <c:v>74.19</c:v>
                </c:pt>
                <c:pt idx="17420">
                  <c:v>74.2</c:v>
                </c:pt>
                <c:pt idx="17421">
                  <c:v>74.21</c:v>
                </c:pt>
                <c:pt idx="17422">
                  <c:v>74.22</c:v>
                </c:pt>
                <c:pt idx="17423">
                  <c:v>74.23</c:v>
                </c:pt>
                <c:pt idx="17424">
                  <c:v>74.24</c:v>
                </c:pt>
                <c:pt idx="17425">
                  <c:v>74.25</c:v>
                </c:pt>
                <c:pt idx="17426">
                  <c:v>74.26</c:v>
                </c:pt>
                <c:pt idx="17427">
                  <c:v>74.27</c:v>
                </c:pt>
                <c:pt idx="17428">
                  <c:v>74.28</c:v>
                </c:pt>
                <c:pt idx="17429">
                  <c:v>74.29</c:v>
                </c:pt>
                <c:pt idx="17430">
                  <c:v>74.3</c:v>
                </c:pt>
                <c:pt idx="17431">
                  <c:v>74.31</c:v>
                </c:pt>
                <c:pt idx="17432">
                  <c:v>74.32</c:v>
                </c:pt>
                <c:pt idx="17433">
                  <c:v>74.33</c:v>
                </c:pt>
                <c:pt idx="17434">
                  <c:v>74.34</c:v>
                </c:pt>
                <c:pt idx="17435">
                  <c:v>74.35</c:v>
                </c:pt>
                <c:pt idx="17436">
                  <c:v>74.36</c:v>
                </c:pt>
                <c:pt idx="17437">
                  <c:v>74.37</c:v>
                </c:pt>
                <c:pt idx="17438">
                  <c:v>74.38</c:v>
                </c:pt>
                <c:pt idx="17439">
                  <c:v>74.39</c:v>
                </c:pt>
                <c:pt idx="17440">
                  <c:v>74.4</c:v>
                </c:pt>
                <c:pt idx="17441">
                  <c:v>74.41</c:v>
                </c:pt>
                <c:pt idx="17442">
                  <c:v>74.42</c:v>
                </c:pt>
                <c:pt idx="17443">
                  <c:v>74.43</c:v>
                </c:pt>
                <c:pt idx="17444">
                  <c:v>74.44</c:v>
                </c:pt>
                <c:pt idx="17445">
                  <c:v>74.45</c:v>
                </c:pt>
                <c:pt idx="17446">
                  <c:v>74.46</c:v>
                </c:pt>
                <c:pt idx="17447">
                  <c:v>74.47</c:v>
                </c:pt>
                <c:pt idx="17448">
                  <c:v>74.48</c:v>
                </c:pt>
                <c:pt idx="17449">
                  <c:v>74.49</c:v>
                </c:pt>
                <c:pt idx="17450">
                  <c:v>74.5</c:v>
                </c:pt>
                <c:pt idx="17451">
                  <c:v>74.51</c:v>
                </c:pt>
                <c:pt idx="17452">
                  <c:v>74.52</c:v>
                </c:pt>
                <c:pt idx="17453">
                  <c:v>74.53</c:v>
                </c:pt>
                <c:pt idx="17454">
                  <c:v>74.54</c:v>
                </c:pt>
                <c:pt idx="17455">
                  <c:v>74.55</c:v>
                </c:pt>
                <c:pt idx="17456">
                  <c:v>74.56</c:v>
                </c:pt>
                <c:pt idx="17457">
                  <c:v>74.57</c:v>
                </c:pt>
                <c:pt idx="17458">
                  <c:v>74.58</c:v>
                </c:pt>
                <c:pt idx="17459">
                  <c:v>74.59</c:v>
                </c:pt>
                <c:pt idx="17460">
                  <c:v>74.6</c:v>
                </c:pt>
                <c:pt idx="17461">
                  <c:v>74.61</c:v>
                </c:pt>
                <c:pt idx="17462">
                  <c:v>74.62</c:v>
                </c:pt>
                <c:pt idx="17463">
                  <c:v>74.63</c:v>
                </c:pt>
                <c:pt idx="17464">
                  <c:v>74.64</c:v>
                </c:pt>
                <c:pt idx="17465">
                  <c:v>74.65</c:v>
                </c:pt>
                <c:pt idx="17466">
                  <c:v>74.66</c:v>
                </c:pt>
                <c:pt idx="17467">
                  <c:v>74.67</c:v>
                </c:pt>
                <c:pt idx="17468">
                  <c:v>74.68</c:v>
                </c:pt>
                <c:pt idx="17469">
                  <c:v>74.69</c:v>
                </c:pt>
                <c:pt idx="17470">
                  <c:v>74.7</c:v>
                </c:pt>
                <c:pt idx="17471">
                  <c:v>74.71</c:v>
                </c:pt>
                <c:pt idx="17472">
                  <c:v>74.72</c:v>
                </c:pt>
                <c:pt idx="17473">
                  <c:v>74.73</c:v>
                </c:pt>
                <c:pt idx="17474">
                  <c:v>74.74</c:v>
                </c:pt>
                <c:pt idx="17475">
                  <c:v>74.75</c:v>
                </c:pt>
                <c:pt idx="17476">
                  <c:v>74.76</c:v>
                </c:pt>
                <c:pt idx="17477">
                  <c:v>74.77</c:v>
                </c:pt>
                <c:pt idx="17478">
                  <c:v>74.78</c:v>
                </c:pt>
                <c:pt idx="17479">
                  <c:v>74.79</c:v>
                </c:pt>
                <c:pt idx="17480">
                  <c:v>74.8</c:v>
                </c:pt>
                <c:pt idx="17481">
                  <c:v>74.81</c:v>
                </c:pt>
                <c:pt idx="17482">
                  <c:v>74.82</c:v>
                </c:pt>
                <c:pt idx="17483">
                  <c:v>74.83</c:v>
                </c:pt>
                <c:pt idx="17484">
                  <c:v>74.84</c:v>
                </c:pt>
                <c:pt idx="17485">
                  <c:v>74.85</c:v>
                </c:pt>
                <c:pt idx="17486">
                  <c:v>74.86</c:v>
                </c:pt>
                <c:pt idx="17487">
                  <c:v>74.87</c:v>
                </c:pt>
                <c:pt idx="17488">
                  <c:v>74.88</c:v>
                </c:pt>
                <c:pt idx="17489">
                  <c:v>74.89</c:v>
                </c:pt>
                <c:pt idx="17490">
                  <c:v>74.9</c:v>
                </c:pt>
                <c:pt idx="17491">
                  <c:v>74.91</c:v>
                </c:pt>
                <c:pt idx="17492">
                  <c:v>74.92</c:v>
                </c:pt>
                <c:pt idx="17493">
                  <c:v>74.93</c:v>
                </c:pt>
                <c:pt idx="17494">
                  <c:v>74.94</c:v>
                </c:pt>
                <c:pt idx="17495">
                  <c:v>74.95</c:v>
                </c:pt>
                <c:pt idx="17496">
                  <c:v>74.96</c:v>
                </c:pt>
                <c:pt idx="17497">
                  <c:v>74.97</c:v>
                </c:pt>
                <c:pt idx="17498">
                  <c:v>74.98</c:v>
                </c:pt>
                <c:pt idx="17499">
                  <c:v>74.99</c:v>
                </c:pt>
                <c:pt idx="17500">
                  <c:v>75.0</c:v>
                </c:pt>
                <c:pt idx="17501">
                  <c:v>75.01</c:v>
                </c:pt>
                <c:pt idx="17502">
                  <c:v>75.02</c:v>
                </c:pt>
                <c:pt idx="17503">
                  <c:v>75.03</c:v>
                </c:pt>
                <c:pt idx="17504">
                  <c:v>75.04</c:v>
                </c:pt>
                <c:pt idx="17505">
                  <c:v>75.05</c:v>
                </c:pt>
                <c:pt idx="17506">
                  <c:v>75.06</c:v>
                </c:pt>
                <c:pt idx="17507">
                  <c:v>75.07</c:v>
                </c:pt>
                <c:pt idx="17508">
                  <c:v>75.08</c:v>
                </c:pt>
                <c:pt idx="17509">
                  <c:v>75.09</c:v>
                </c:pt>
                <c:pt idx="17510">
                  <c:v>75.1</c:v>
                </c:pt>
                <c:pt idx="17511">
                  <c:v>75.11</c:v>
                </c:pt>
                <c:pt idx="17512">
                  <c:v>75.12</c:v>
                </c:pt>
                <c:pt idx="17513">
                  <c:v>75.13</c:v>
                </c:pt>
                <c:pt idx="17514">
                  <c:v>75.14</c:v>
                </c:pt>
                <c:pt idx="17515">
                  <c:v>75.15</c:v>
                </c:pt>
                <c:pt idx="17516">
                  <c:v>75.16</c:v>
                </c:pt>
                <c:pt idx="17517">
                  <c:v>75.17</c:v>
                </c:pt>
                <c:pt idx="17518">
                  <c:v>75.18</c:v>
                </c:pt>
                <c:pt idx="17519">
                  <c:v>75.19</c:v>
                </c:pt>
                <c:pt idx="17520">
                  <c:v>75.2</c:v>
                </c:pt>
                <c:pt idx="17521">
                  <c:v>75.21</c:v>
                </c:pt>
                <c:pt idx="17522">
                  <c:v>75.22</c:v>
                </c:pt>
                <c:pt idx="17523">
                  <c:v>75.23</c:v>
                </c:pt>
                <c:pt idx="17524">
                  <c:v>75.24</c:v>
                </c:pt>
                <c:pt idx="17525">
                  <c:v>75.25</c:v>
                </c:pt>
                <c:pt idx="17526">
                  <c:v>75.26</c:v>
                </c:pt>
                <c:pt idx="17527">
                  <c:v>75.27</c:v>
                </c:pt>
                <c:pt idx="17528">
                  <c:v>75.28</c:v>
                </c:pt>
                <c:pt idx="17529">
                  <c:v>75.29</c:v>
                </c:pt>
                <c:pt idx="17530">
                  <c:v>75.3</c:v>
                </c:pt>
                <c:pt idx="17531">
                  <c:v>75.31</c:v>
                </c:pt>
                <c:pt idx="17532">
                  <c:v>75.32</c:v>
                </c:pt>
                <c:pt idx="17533">
                  <c:v>75.33</c:v>
                </c:pt>
                <c:pt idx="17534">
                  <c:v>75.34</c:v>
                </c:pt>
                <c:pt idx="17535">
                  <c:v>75.35</c:v>
                </c:pt>
                <c:pt idx="17536">
                  <c:v>75.36</c:v>
                </c:pt>
                <c:pt idx="17537">
                  <c:v>75.37</c:v>
                </c:pt>
                <c:pt idx="17538">
                  <c:v>75.38</c:v>
                </c:pt>
                <c:pt idx="17539">
                  <c:v>75.39</c:v>
                </c:pt>
                <c:pt idx="17540">
                  <c:v>75.4</c:v>
                </c:pt>
                <c:pt idx="17541">
                  <c:v>75.41</c:v>
                </c:pt>
                <c:pt idx="17542">
                  <c:v>75.42</c:v>
                </c:pt>
                <c:pt idx="17543">
                  <c:v>75.43</c:v>
                </c:pt>
                <c:pt idx="17544">
                  <c:v>75.44</c:v>
                </c:pt>
                <c:pt idx="17545">
                  <c:v>75.45</c:v>
                </c:pt>
                <c:pt idx="17546">
                  <c:v>75.46</c:v>
                </c:pt>
                <c:pt idx="17547">
                  <c:v>75.47</c:v>
                </c:pt>
                <c:pt idx="17548">
                  <c:v>75.48</c:v>
                </c:pt>
                <c:pt idx="17549">
                  <c:v>75.49</c:v>
                </c:pt>
                <c:pt idx="17550">
                  <c:v>75.5</c:v>
                </c:pt>
                <c:pt idx="17551">
                  <c:v>75.51</c:v>
                </c:pt>
                <c:pt idx="17552">
                  <c:v>75.52</c:v>
                </c:pt>
                <c:pt idx="17553">
                  <c:v>75.53</c:v>
                </c:pt>
                <c:pt idx="17554">
                  <c:v>75.54</c:v>
                </c:pt>
                <c:pt idx="17555">
                  <c:v>75.55</c:v>
                </c:pt>
                <c:pt idx="17556">
                  <c:v>75.56</c:v>
                </c:pt>
                <c:pt idx="17557">
                  <c:v>75.57</c:v>
                </c:pt>
                <c:pt idx="17558">
                  <c:v>75.58</c:v>
                </c:pt>
                <c:pt idx="17559">
                  <c:v>75.59</c:v>
                </c:pt>
                <c:pt idx="17560">
                  <c:v>75.6</c:v>
                </c:pt>
                <c:pt idx="17561">
                  <c:v>75.61</c:v>
                </c:pt>
                <c:pt idx="17562">
                  <c:v>75.62</c:v>
                </c:pt>
                <c:pt idx="17563">
                  <c:v>75.63</c:v>
                </c:pt>
                <c:pt idx="17564">
                  <c:v>75.64</c:v>
                </c:pt>
                <c:pt idx="17565">
                  <c:v>75.65</c:v>
                </c:pt>
                <c:pt idx="17566">
                  <c:v>75.66</c:v>
                </c:pt>
                <c:pt idx="17567">
                  <c:v>75.67</c:v>
                </c:pt>
                <c:pt idx="17568">
                  <c:v>75.68</c:v>
                </c:pt>
                <c:pt idx="17569">
                  <c:v>75.69</c:v>
                </c:pt>
                <c:pt idx="17570">
                  <c:v>75.7</c:v>
                </c:pt>
                <c:pt idx="17571">
                  <c:v>75.71</c:v>
                </c:pt>
                <c:pt idx="17572">
                  <c:v>75.72</c:v>
                </c:pt>
                <c:pt idx="17573">
                  <c:v>75.73</c:v>
                </c:pt>
                <c:pt idx="17574">
                  <c:v>75.74</c:v>
                </c:pt>
                <c:pt idx="17575">
                  <c:v>75.75</c:v>
                </c:pt>
                <c:pt idx="17576">
                  <c:v>75.76</c:v>
                </c:pt>
                <c:pt idx="17577">
                  <c:v>75.77</c:v>
                </c:pt>
                <c:pt idx="17578">
                  <c:v>75.78</c:v>
                </c:pt>
                <c:pt idx="17579">
                  <c:v>75.79</c:v>
                </c:pt>
                <c:pt idx="17580">
                  <c:v>75.8</c:v>
                </c:pt>
                <c:pt idx="17581">
                  <c:v>75.81</c:v>
                </c:pt>
                <c:pt idx="17582">
                  <c:v>75.82</c:v>
                </c:pt>
                <c:pt idx="17583">
                  <c:v>75.83</c:v>
                </c:pt>
                <c:pt idx="17584">
                  <c:v>75.84</c:v>
                </c:pt>
                <c:pt idx="17585">
                  <c:v>75.85</c:v>
                </c:pt>
                <c:pt idx="17586">
                  <c:v>75.86</c:v>
                </c:pt>
                <c:pt idx="17587">
                  <c:v>75.87</c:v>
                </c:pt>
                <c:pt idx="17588">
                  <c:v>75.88</c:v>
                </c:pt>
                <c:pt idx="17589">
                  <c:v>75.89</c:v>
                </c:pt>
                <c:pt idx="17590">
                  <c:v>75.9</c:v>
                </c:pt>
                <c:pt idx="17591">
                  <c:v>75.91</c:v>
                </c:pt>
                <c:pt idx="17592">
                  <c:v>75.92</c:v>
                </c:pt>
                <c:pt idx="17593">
                  <c:v>75.93</c:v>
                </c:pt>
                <c:pt idx="17594">
                  <c:v>75.94</c:v>
                </c:pt>
                <c:pt idx="17595">
                  <c:v>75.95</c:v>
                </c:pt>
                <c:pt idx="17596">
                  <c:v>75.96</c:v>
                </c:pt>
                <c:pt idx="17597">
                  <c:v>75.97</c:v>
                </c:pt>
                <c:pt idx="17598">
                  <c:v>75.98</c:v>
                </c:pt>
                <c:pt idx="17599">
                  <c:v>75.99</c:v>
                </c:pt>
                <c:pt idx="17600">
                  <c:v>76.0</c:v>
                </c:pt>
                <c:pt idx="17601">
                  <c:v>76.01</c:v>
                </c:pt>
                <c:pt idx="17602">
                  <c:v>76.02</c:v>
                </c:pt>
                <c:pt idx="17603">
                  <c:v>76.03</c:v>
                </c:pt>
                <c:pt idx="17604">
                  <c:v>76.04</c:v>
                </c:pt>
                <c:pt idx="17605">
                  <c:v>76.05</c:v>
                </c:pt>
                <c:pt idx="17606">
                  <c:v>76.06</c:v>
                </c:pt>
                <c:pt idx="17607">
                  <c:v>76.07</c:v>
                </c:pt>
                <c:pt idx="17608">
                  <c:v>76.08</c:v>
                </c:pt>
                <c:pt idx="17609">
                  <c:v>76.09</c:v>
                </c:pt>
                <c:pt idx="17610">
                  <c:v>76.1</c:v>
                </c:pt>
                <c:pt idx="17611">
                  <c:v>76.11</c:v>
                </c:pt>
                <c:pt idx="17612">
                  <c:v>76.12</c:v>
                </c:pt>
                <c:pt idx="17613">
                  <c:v>76.13</c:v>
                </c:pt>
                <c:pt idx="17614">
                  <c:v>76.14</c:v>
                </c:pt>
                <c:pt idx="17615">
                  <c:v>76.15</c:v>
                </c:pt>
                <c:pt idx="17616">
                  <c:v>76.16</c:v>
                </c:pt>
                <c:pt idx="17617">
                  <c:v>76.17</c:v>
                </c:pt>
                <c:pt idx="17618">
                  <c:v>76.18</c:v>
                </c:pt>
                <c:pt idx="17619">
                  <c:v>76.19</c:v>
                </c:pt>
                <c:pt idx="17620">
                  <c:v>76.2</c:v>
                </c:pt>
                <c:pt idx="17621">
                  <c:v>76.21</c:v>
                </c:pt>
                <c:pt idx="17622">
                  <c:v>76.22</c:v>
                </c:pt>
                <c:pt idx="17623">
                  <c:v>76.23</c:v>
                </c:pt>
                <c:pt idx="17624">
                  <c:v>76.24</c:v>
                </c:pt>
                <c:pt idx="17625">
                  <c:v>76.25</c:v>
                </c:pt>
                <c:pt idx="17626">
                  <c:v>76.26</c:v>
                </c:pt>
                <c:pt idx="17627">
                  <c:v>76.27</c:v>
                </c:pt>
                <c:pt idx="17628">
                  <c:v>76.28</c:v>
                </c:pt>
                <c:pt idx="17629">
                  <c:v>76.29</c:v>
                </c:pt>
                <c:pt idx="17630">
                  <c:v>76.3</c:v>
                </c:pt>
                <c:pt idx="17631">
                  <c:v>76.31</c:v>
                </c:pt>
                <c:pt idx="17632">
                  <c:v>76.32</c:v>
                </c:pt>
                <c:pt idx="17633">
                  <c:v>76.33</c:v>
                </c:pt>
                <c:pt idx="17634">
                  <c:v>76.34</c:v>
                </c:pt>
                <c:pt idx="17635">
                  <c:v>76.35</c:v>
                </c:pt>
                <c:pt idx="17636">
                  <c:v>76.36</c:v>
                </c:pt>
                <c:pt idx="17637">
                  <c:v>76.37</c:v>
                </c:pt>
                <c:pt idx="17638">
                  <c:v>76.38</c:v>
                </c:pt>
                <c:pt idx="17639">
                  <c:v>76.39</c:v>
                </c:pt>
                <c:pt idx="17640">
                  <c:v>76.4</c:v>
                </c:pt>
                <c:pt idx="17641">
                  <c:v>76.41</c:v>
                </c:pt>
                <c:pt idx="17642">
                  <c:v>76.42</c:v>
                </c:pt>
                <c:pt idx="17643">
                  <c:v>76.43</c:v>
                </c:pt>
                <c:pt idx="17644">
                  <c:v>76.44</c:v>
                </c:pt>
                <c:pt idx="17645">
                  <c:v>76.45</c:v>
                </c:pt>
                <c:pt idx="17646">
                  <c:v>76.46</c:v>
                </c:pt>
                <c:pt idx="17647">
                  <c:v>76.47</c:v>
                </c:pt>
                <c:pt idx="17648">
                  <c:v>76.48</c:v>
                </c:pt>
                <c:pt idx="17649">
                  <c:v>76.49</c:v>
                </c:pt>
                <c:pt idx="17650">
                  <c:v>76.5</c:v>
                </c:pt>
                <c:pt idx="17651">
                  <c:v>76.51</c:v>
                </c:pt>
                <c:pt idx="17652">
                  <c:v>76.52</c:v>
                </c:pt>
                <c:pt idx="17653">
                  <c:v>76.53</c:v>
                </c:pt>
                <c:pt idx="17654">
                  <c:v>76.54</c:v>
                </c:pt>
                <c:pt idx="17655">
                  <c:v>76.55</c:v>
                </c:pt>
                <c:pt idx="17656">
                  <c:v>76.56</c:v>
                </c:pt>
                <c:pt idx="17657">
                  <c:v>76.57</c:v>
                </c:pt>
                <c:pt idx="17658">
                  <c:v>76.58</c:v>
                </c:pt>
                <c:pt idx="17659">
                  <c:v>76.59</c:v>
                </c:pt>
                <c:pt idx="17660">
                  <c:v>76.6</c:v>
                </c:pt>
                <c:pt idx="17661">
                  <c:v>76.61</c:v>
                </c:pt>
                <c:pt idx="17662">
                  <c:v>76.62</c:v>
                </c:pt>
                <c:pt idx="17663">
                  <c:v>76.63</c:v>
                </c:pt>
                <c:pt idx="17664">
                  <c:v>76.64</c:v>
                </c:pt>
                <c:pt idx="17665">
                  <c:v>76.65</c:v>
                </c:pt>
                <c:pt idx="17666">
                  <c:v>76.66</c:v>
                </c:pt>
                <c:pt idx="17667">
                  <c:v>76.67</c:v>
                </c:pt>
                <c:pt idx="17668">
                  <c:v>76.68</c:v>
                </c:pt>
                <c:pt idx="17669">
                  <c:v>76.69</c:v>
                </c:pt>
                <c:pt idx="17670">
                  <c:v>76.7</c:v>
                </c:pt>
                <c:pt idx="17671">
                  <c:v>76.71</c:v>
                </c:pt>
                <c:pt idx="17672">
                  <c:v>76.72</c:v>
                </c:pt>
                <c:pt idx="17673">
                  <c:v>76.73</c:v>
                </c:pt>
                <c:pt idx="17674">
                  <c:v>76.74</c:v>
                </c:pt>
                <c:pt idx="17675">
                  <c:v>76.75</c:v>
                </c:pt>
                <c:pt idx="17676">
                  <c:v>76.76</c:v>
                </c:pt>
                <c:pt idx="17677">
                  <c:v>76.77</c:v>
                </c:pt>
                <c:pt idx="17678">
                  <c:v>76.78</c:v>
                </c:pt>
                <c:pt idx="17679">
                  <c:v>76.79</c:v>
                </c:pt>
                <c:pt idx="17680">
                  <c:v>76.8</c:v>
                </c:pt>
                <c:pt idx="17681">
                  <c:v>76.81</c:v>
                </c:pt>
                <c:pt idx="17682">
                  <c:v>76.82</c:v>
                </c:pt>
                <c:pt idx="17683">
                  <c:v>76.83</c:v>
                </c:pt>
                <c:pt idx="17684">
                  <c:v>76.84</c:v>
                </c:pt>
                <c:pt idx="17685">
                  <c:v>76.85</c:v>
                </c:pt>
                <c:pt idx="17686">
                  <c:v>76.86</c:v>
                </c:pt>
                <c:pt idx="17687">
                  <c:v>76.87</c:v>
                </c:pt>
                <c:pt idx="17688">
                  <c:v>76.88</c:v>
                </c:pt>
                <c:pt idx="17689">
                  <c:v>76.89</c:v>
                </c:pt>
                <c:pt idx="17690">
                  <c:v>76.9</c:v>
                </c:pt>
                <c:pt idx="17691">
                  <c:v>76.91</c:v>
                </c:pt>
                <c:pt idx="17692">
                  <c:v>76.92</c:v>
                </c:pt>
                <c:pt idx="17693">
                  <c:v>76.93</c:v>
                </c:pt>
                <c:pt idx="17694">
                  <c:v>76.94</c:v>
                </c:pt>
                <c:pt idx="17695">
                  <c:v>76.95</c:v>
                </c:pt>
                <c:pt idx="17696">
                  <c:v>76.96</c:v>
                </c:pt>
                <c:pt idx="17697">
                  <c:v>76.97</c:v>
                </c:pt>
                <c:pt idx="17698">
                  <c:v>76.98</c:v>
                </c:pt>
                <c:pt idx="17699">
                  <c:v>76.99</c:v>
                </c:pt>
                <c:pt idx="17700">
                  <c:v>77.0</c:v>
                </c:pt>
                <c:pt idx="17701">
                  <c:v>77.01</c:v>
                </c:pt>
                <c:pt idx="17702">
                  <c:v>77.02</c:v>
                </c:pt>
                <c:pt idx="17703">
                  <c:v>77.03</c:v>
                </c:pt>
                <c:pt idx="17704">
                  <c:v>77.04</c:v>
                </c:pt>
                <c:pt idx="17705">
                  <c:v>77.05</c:v>
                </c:pt>
                <c:pt idx="17706">
                  <c:v>77.06</c:v>
                </c:pt>
                <c:pt idx="17707">
                  <c:v>77.07</c:v>
                </c:pt>
                <c:pt idx="17708">
                  <c:v>77.08</c:v>
                </c:pt>
                <c:pt idx="17709">
                  <c:v>77.09</c:v>
                </c:pt>
                <c:pt idx="17710">
                  <c:v>77.1</c:v>
                </c:pt>
                <c:pt idx="17711">
                  <c:v>77.11</c:v>
                </c:pt>
                <c:pt idx="17712">
                  <c:v>77.12</c:v>
                </c:pt>
                <c:pt idx="17713">
                  <c:v>77.13</c:v>
                </c:pt>
                <c:pt idx="17714">
                  <c:v>77.14</c:v>
                </c:pt>
                <c:pt idx="17715">
                  <c:v>77.15</c:v>
                </c:pt>
                <c:pt idx="17716">
                  <c:v>77.16</c:v>
                </c:pt>
                <c:pt idx="17717">
                  <c:v>77.17</c:v>
                </c:pt>
                <c:pt idx="17718">
                  <c:v>77.18</c:v>
                </c:pt>
                <c:pt idx="17719">
                  <c:v>77.19</c:v>
                </c:pt>
                <c:pt idx="17720">
                  <c:v>77.2</c:v>
                </c:pt>
                <c:pt idx="17721">
                  <c:v>77.21</c:v>
                </c:pt>
                <c:pt idx="17722">
                  <c:v>77.22</c:v>
                </c:pt>
                <c:pt idx="17723">
                  <c:v>77.23</c:v>
                </c:pt>
                <c:pt idx="17724">
                  <c:v>77.24</c:v>
                </c:pt>
                <c:pt idx="17725">
                  <c:v>77.25</c:v>
                </c:pt>
                <c:pt idx="17726">
                  <c:v>77.26</c:v>
                </c:pt>
                <c:pt idx="17727">
                  <c:v>77.27</c:v>
                </c:pt>
                <c:pt idx="17728">
                  <c:v>77.28</c:v>
                </c:pt>
                <c:pt idx="17729">
                  <c:v>77.29</c:v>
                </c:pt>
                <c:pt idx="17730">
                  <c:v>77.3</c:v>
                </c:pt>
                <c:pt idx="17731">
                  <c:v>77.31</c:v>
                </c:pt>
                <c:pt idx="17732">
                  <c:v>77.32</c:v>
                </c:pt>
                <c:pt idx="17733">
                  <c:v>77.33</c:v>
                </c:pt>
                <c:pt idx="17734">
                  <c:v>77.34</c:v>
                </c:pt>
                <c:pt idx="17735">
                  <c:v>77.35</c:v>
                </c:pt>
                <c:pt idx="17736">
                  <c:v>77.36</c:v>
                </c:pt>
                <c:pt idx="17737">
                  <c:v>77.37</c:v>
                </c:pt>
                <c:pt idx="17738">
                  <c:v>77.38</c:v>
                </c:pt>
                <c:pt idx="17739">
                  <c:v>77.39</c:v>
                </c:pt>
                <c:pt idx="17740">
                  <c:v>77.4</c:v>
                </c:pt>
                <c:pt idx="17741">
                  <c:v>77.41</c:v>
                </c:pt>
                <c:pt idx="17742">
                  <c:v>77.42</c:v>
                </c:pt>
                <c:pt idx="17743">
                  <c:v>77.43</c:v>
                </c:pt>
                <c:pt idx="17744">
                  <c:v>77.44</c:v>
                </c:pt>
                <c:pt idx="17745">
                  <c:v>77.45</c:v>
                </c:pt>
                <c:pt idx="17746">
                  <c:v>77.46</c:v>
                </c:pt>
                <c:pt idx="17747">
                  <c:v>77.47</c:v>
                </c:pt>
                <c:pt idx="17748">
                  <c:v>77.48</c:v>
                </c:pt>
                <c:pt idx="17749">
                  <c:v>77.49</c:v>
                </c:pt>
                <c:pt idx="17750">
                  <c:v>77.5</c:v>
                </c:pt>
                <c:pt idx="17751">
                  <c:v>77.51</c:v>
                </c:pt>
                <c:pt idx="17752">
                  <c:v>77.52</c:v>
                </c:pt>
                <c:pt idx="17753">
                  <c:v>77.53</c:v>
                </c:pt>
                <c:pt idx="17754">
                  <c:v>77.54</c:v>
                </c:pt>
                <c:pt idx="17755">
                  <c:v>77.55</c:v>
                </c:pt>
                <c:pt idx="17756">
                  <c:v>77.56</c:v>
                </c:pt>
                <c:pt idx="17757">
                  <c:v>77.57</c:v>
                </c:pt>
                <c:pt idx="17758">
                  <c:v>77.58</c:v>
                </c:pt>
                <c:pt idx="17759">
                  <c:v>77.59</c:v>
                </c:pt>
                <c:pt idx="17760">
                  <c:v>77.6</c:v>
                </c:pt>
                <c:pt idx="17761">
                  <c:v>77.61</c:v>
                </c:pt>
                <c:pt idx="17762">
                  <c:v>77.62</c:v>
                </c:pt>
                <c:pt idx="17763">
                  <c:v>77.63</c:v>
                </c:pt>
                <c:pt idx="17764">
                  <c:v>77.64</c:v>
                </c:pt>
                <c:pt idx="17765">
                  <c:v>77.65</c:v>
                </c:pt>
                <c:pt idx="17766">
                  <c:v>77.66</c:v>
                </c:pt>
                <c:pt idx="17767">
                  <c:v>77.67</c:v>
                </c:pt>
                <c:pt idx="17768">
                  <c:v>77.68</c:v>
                </c:pt>
                <c:pt idx="17769">
                  <c:v>77.69</c:v>
                </c:pt>
                <c:pt idx="17770">
                  <c:v>77.7</c:v>
                </c:pt>
                <c:pt idx="17771">
                  <c:v>77.71</c:v>
                </c:pt>
                <c:pt idx="17772">
                  <c:v>77.72</c:v>
                </c:pt>
                <c:pt idx="17773">
                  <c:v>77.73</c:v>
                </c:pt>
                <c:pt idx="17774">
                  <c:v>77.74</c:v>
                </c:pt>
                <c:pt idx="17775">
                  <c:v>77.75</c:v>
                </c:pt>
                <c:pt idx="17776">
                  <c:v>77.76</c:v>
                </c:pt>
                <c:pt idx="17777">
                  <c:v>77.77</c:v>
                </c:pt>
                <c:pt idx="17778">
                  <c:v>77.78</c:v>
                </c:pt>
                <c:pt idx="17779">
                  <c:v>77.79</c:v>
                </c:pt>
                <c:pt idx="17780">
                  <c:v>77.8</c:v>
                </c:pt>
                <c:pt idx="17781">
                  <c:v>77.81</c:v>
                </c:pt>
                <c:pt idx="17782">
                  <c:v>77.82</c:v>
                </c:pt>
                <c:pt idx="17783">
                  <c:v>77.83</c:v>
                </c:pt>
                <c:pt idx="17784">
                  <c:v>77.84</c:v>
                </c:pt>
                <c:pt idx="17785">
                  <c:v>77.85</c:v>
                </c:pt>
                <c:pt idx="17786">
                  <c:v>77.86</c:v>
                </c:pt>
                <c:pt idx="17787">
                  <c:v>77.87</c:v>
                </c:pt>
                <c:pt idx="17788">
                  <c:v>77.88</c:v>
                </c:pt>
                <c:pt idx="17789">
                  <c:v>77.89</c:v>
                </c:pt>
                <c:pt idx="17790">
                  <c:v>77.9</c:v>
                </c:pt>
                <c:pt idx="17791">
                  <c:v>77.91</c:v>
                </c:pt>
                <c:pt idx="17792">
                  <c:v>77.92</c:v>
                </c:pt>
                <c:pt idx="17793">
                  <c:v>77.93</c:v>
                </c:pt>
                <c:pt idx="17794">
                  <c:v>77.94</c:v>
                </c:pt>
                <c:pt idx="17795">
                  <c:v>77.95</c:v>
                </c:pt>
                <c:pt idx="17796">
                  <c:v>77.96</c:v>
                </c:pt>
                <c:pt idx="17797">
                  <c:v>77.97</c:v>
                </c:pt>
                <c:pt idx="17798">
                  <c:v>77.98</c:v>
                </c:pt>
                <c:pt idx="17799">
                  <c:v>77.99</c:v>
                </c:pt>
                <c:pt idx="17800">
                  <c:v>78.0</c:v>
                </c:pt>
                <c:pt idx="17801">
                  <c:v>78.01</c:v>
                </c:pt>
                <c:pt idx="17802">
                  <c:v>78.02</c:v>
                </c:pt>
                <c:pt idx="17803">
                  <c:v>78.03</c:v>
                </c:pt>
                <c:pt idx="17804">
                  <c:v>78.04</c:v>
                </c:pt>
                <c:pt idx="17805">
                  <c:v>78.05</c:v>
                </c:pt>
                <c:pt idx="17806">
                  <c:v>78.06</c:v>
                </c:pt>
                <c:pt idx="17807">
                  <c:v>78.07</c:v>
                </c:pt>
                <c:pt idx="17808">
                  <c:v>78.08</c:v>
                </c:pt>
                <c:pt idx="17809">
                  <c:v>78.09</c:v>
                </c:pt>
                <c:pt idx="17810">
                  <c:v>78.1</c:v>
                </c:pt>
                <c:pt idx="17811">
                  <c:v>78.11</c:v>
                </c:pt>
                <c:pt idx="17812">
                  <c:v>78.12</c:v>
                </c:pt>
                <c:pt idx="17813">
                  <c:v>78.13</c:v>
                </c:pt>
                <c:pt idx="17814">
                  <c:v>78.14</c:v>
                </c:pt>
                <c:pt idx="17815">
                  <c:v>78.15</c:v>
                </c:pt>
                <c:pt idx="17816">
                  <c:v>78.16</c:v>
                </c:pt>
                <c:pt idx="17817">
                  <c:v>78.17</c:v>
                </c:pt>
                <c:pt idx="17818">
                  <c:v>78.18</c:v>
                </c:pt>
                <c:pt idx="17819">
                  <c:v>78.19</c:v>
                </c:pt>
                <c:pt idx="17820">
                  <c:v>78.2</c:v>
                </c:pt>
                <c:pt idx="17821">
                  <c:v>78.21</c:v>
                </c:pt>
                <c:pt idx="17822">
                  <c:v>78.22</c:v>
                </c:pt>
                <c:pt idx="17823">
                  <c:v>78.23</c:v>
                </c:pt>
                <c:pt idx="17824">
                  <c:v>78.24</c:v>
                </c:pt>
                <c:pt idx="17825">
                  <c:v>78.25</c:v>
                </c:pt>
                <c:pt idx="17826">
                  <c:v>78.26</c:v>
                </c:pt>
                <c:pt idx="17827">
                  <c:v>78.27</c:v>
                </c:pt>
                <c:pt idx="17828">
                  <c:v>78.28</c:v>
                </c:pt>
                <c:pt idx="17829">
                  <c:v>78.29</c:v>
                </c:pt>
                <c:pt idx="17830">
                  <c:v>78.3</c:v>
                </c:pt>
                <c:pt idx="17831">
                  <c:v>78.31</c:v>
                </c:pt>
                <c:pt idx="17832">
                  <c:v>78.32</c:v>
                </c:pt>
                <c:pt idx="17833">
                  <c:v>78.33</c:v>
                </c:pt>
                <c:pt idx="17834">
                  <c:v>78.34</c:v>
                </c:pt>
                <c:pt idx="17835">
                  <c:v>78.35</c:v>
                </c:pt>
                <c:pt idx="17836">
                  <c:v>78.36</c:v>
                </c:pt>
                <c:pt idx="17837">
                  <c:v>78.37</c:v>
                </c:pt>
                <c:pt idx="17838">
                  <c:v>78.38</c:v>
                </c:pt>
                <c:pt idx="17839">
                  <c:v>78.39</c:v>
                </c:pt>
                <c:pt idx="17840">
                  <c:v>78.4</c:v>
                </c:pt>
                <c:pt idx="17841">
                  <c:v>78.41</c:v>
                </c:pt>
                <c:pt idx="17842">
                  <c:v>78.42</c:v>
                </c:pt>
                <c:pt idx="17843">
                  <c:v>78.43</c:v>
                </c:pt>
                <c:pt idx="17844">
                  <c:v>78.44</c:v>
                </c:pt>
                <c:pt idx="17845">
                  <c:v>78.45</c:v>
                </c:pt>
                <c:pt idx="17846">
                  <c:v>78.46</c:v>
                </c:pt>
                <c:pt idx="17847">
                  <c:v>78.47</c:v>
                </c:pt>
                <c:pt idx="17848">
                  <c:v>78.48</c:v>
                </c:pt>
                <c:pt idx="17849">
                  <c:v>78.49</c:v>
                </c:pt>
                <c:pt idx="17850">
                  <c:v>78.5</c:v>
                </c:pt>
                <c:pt idx="17851">
                  <c:v>78.51</c:v>
                </c:pt>
                <c:pt idx="17852">
                  <c:v>78.52</c:v>
                </c:pt>
                <c:pt idx="17853">
                  <c:v>78.53</c:v>
                </c:pt>
                <c:pt idx="17854">
                  <c:v>78.54</c:v>
                </c:pt>
                <c:pt idx="17855">
                  <c:v>78.55</c:v>
                </c:pt>
                <c:pt idx="17856">
                  <c:v>78.56</c:v>
                </c:pt>
                <c:pt idx="17857">
                  <c:v>78.57</c:v>
                </c:pt>
                <c:pt idx="17858">
                  <c:v>78.58</c:v>
                </c:pt>
                <c:pt idx="17859">
                  <c:v>78.59</c:v>
                </c:pt>
                <c:pt idx="17860">
                  <c:v>78.6</c:v>
                </c:pt>
                <c:pt idx="17861">
                  <c:v>78.61</c:v>
                </c:pt>
                <c:pt idx="17862">
                  <c:v>78.62</c:v>
                </c:pt>
                <c:pt idx="17863">
                  <c:v>78.63</c:v>
                </c:pt>
                <c:pt idx="17864">
                  <c:v>78.64</c:v>
                </c:pt>
                <c:pt idx="17865">
                  <c:v>78.65</c:v>
                </c:pt>
                <c:pt idx="17866">
                  <c:v>78.66</c:v>
                </c:pt>
                <c:pt idx="17867">
                  <c:v>78.67</c:v>
                </c:pt>
                <c:pt idx="17868">
                  <c:v>78.68</c:v>
                </c:pt>
                <c:pt idx="17869">
                  <c:v>78.69</c:v>
                </c:pt>
                <c:pt idx="17870">
                  <c:v>78.7</c:v>
                </c:pt>
                <c:pt idx="17871">
                  <c:v>78.71</c:v>
                </c:pt>
                <c:pt idx="17872">
                  <c:v>78.72</c:v>
                </c:pt>
                <c:pt idx="17873">
                  <c:v>78.73</c:v>
                </c:pt>
                <c:pt idx="17874">
                  <c:v>78.74</c:v>
                </c:pt>
                <c:pt idx="17875">
                  <c:v>78.75</c:v>
                </c:pt>
                <c:pt idx="17876">
                  <c:v>78.76</c:v>
                </c:pt>
                <c:pt idx="17877">
                  <c:v>78.77</c:v>
                </c:pt>
                <c:pt idx="17878">
                  <c:v>78.78</c:v>
                </c:pt>
                <c:pt idx="17879">
                  <c:v>78.79</c:v>
                </c:pt>
                <c:pt idx="17880">
                  <c:v>78.8</c:v>
                </c:pt>
                <c:pt idx="17881">
                  <c:v>78.81</c:v>
                </c:pt>
                <c:pt idx="17882">
                  <c:v>78.82</c:v>
                </c:pt>
                <c:pt idx="17883">
                  <c:v>78.83</c:v>
                </c:pt>
                <c:pt idx="17884">
                  <c:v>78.84</c:v>
                </c:pt>
                <c:pt idx="17885">
                  <c:v>78.85</c:v>
                </c:pt>
                <c:pt idx="17886">
                  <c:v>78.86</c:v>
                </c:pt>
                <c:pt idx="17887">
                  <c:v>78.87</c:v>
                </c:pt>
                <c:pt idx="17888">
                  <c:v>78.88</c:v>
                </c:pt>
                <c:pt idx="17889">
                  <c:v>78.89</c:v>
                </c:pt>
                <c:pt idx="17890">
                  <c:v>78.9</c:v>
                </c:pt>
                <c:pt idx="17891">
                  <c:v>78.91</c:v>
                </c:pt>
                <c:pt idx="17892">
                  <c:v>78.92</c:v>
                </c:pt>
                <c:pt idx="17893">
                  <c:v>78.93</c:v>
                </c:pt>
                <c:pt idx="17894">
                  <c:v>78.94</c:v>
                </c:pt>
                <c:pt idx="17895">
                  <c:v>78.95</c:v>
                </c:pt>
                <c:pt idx="17896">
                  <c:v>78.96</c:v>
                </c:pt>
                <c:pt idx="17897">
                  <c:v>78.97</c:v>
                </c:pt>
                <c:pt idx="17898">
                  <c:v>78.98</c:v>
                </c:pt>
                <c:pt idx="17899">
                  <c:v>78.99</c:v>
                </c:pt>
                <c:pt idx="17900">
                  <c:v>79.0</c:v>
                </c:pt>
                <c:pt idx="17901">
                  <c:v>79.01</c:v>
                </c:pt>
                <c:pt idx="17902">
                  <c:v>79.02</c:v>
                </c:pt>
                <c:pt idx="17903">
                  <c:v>79.03</c:v>
                </c:pt>
                <c:pt idx="17904">
                  <c:v>79.04</c:v>
                </c:pt>
                <c:pt idx="17905">
                  <c:v>79.05</c:v>
                </c:pt>
                <c:pt idx="17906">
                  <c:v>79.06</c:v>
                </c:pt>
                <c:pt idx="17907">
                  <c:v>79.07</c:v>
                </c:pt>
                <c:pt idx="17908">
                  <c:v>79.08</c:v>
                </c:pt>
                <c:pt idx="17909">
                  <c:v>79.09</c:v>
                </c:pt>
                <c:pt idx="17910">
                  <c:v>79.1</c:v>
                </c:pt>
                <c:pt idx="17911">
                  <c:v>79.11</c:v>
                </c:pt>
                <c:pt idx="17912">
                  <c:v>79.12</c:v>
                </c:pt>
                <c:pt idx="17913">
                  <c:v>79.13</c:v>
                </c:pt>
                <c:pt idx="17914">
                  <c:v>79.14</c:v>
                </c:pt>
                <c:pt idx="17915">
                  <c:v>79.15</c:v>
                </c:pt>
                <c:pt idx="17916">
                  <c:v>79.16</c:v>
                </c:pt>
                <c:pt idx="17917">
                  <c:v>79.17</c:v>
                </c:pt>
                <c:pt idx="17918">
                  <c:v>79.18</c:v>
                </c:pt>
                <c:pt idx="17919">
                  <c:v>79.19</c:v>
                </c:pt>
                <c:pt idx="17920">
                  <c:v>79.2</c:v>
                </c:pt>
                <c:pt idx="17921">
                  <c:v>79.21</c:v>
                </c:pt>
                <c:pt idx="17922">
                  <c:v>79.22</c:v>
                </c:pt>
                <c:pt idx="17923">
                  <c:v>79.23</c:v>
                </c:pt>
                <c:pt idx="17924">
                  <c:v>79.24</c:v>
                </c:pt>
                <c:pt idx="17925">
                  <c:v>79.25</c:v>
                </c:pt>
                <c:pt idx="17926">
                  <c:v>79.26</c:v>
                </c:pt>
                <c:pt idx="17927">
                  <c:v>79.27</c:v>
                </c:pt>
                <c:pt idx="17928">
                  <c:v>79.28</c:v>
                </c:pt>
                <c:pt idx="17929">
                  <c:v>79.29</c:v>
                </c:pt>
                <c:pt idx="17930">
                  <c:v>79.3</c:v>
                </c:pt>
                <c:pt idx="17931">
                  <c:v>79.31</c:v>
                </c:pt>
                <c:pt idx="17932">
                  <c:v>79.32</c:v>
                </c:pt>
                <c:pt idx="17933">
                  <c:v>79.33</c:v>
                </c:pt>
                <c:pt idx="17934">
                  <c:v>79.34</c:v>
                </c:pt>
                <c:pt idx="17935">
                  <c:v>79.35</c:v>
                </c:pt>
                <c:pt idx="17936">
                  <c:v>79.36</c:v>
                </c:pt>
                <c:pt idx="17937">
                  <c:v>79.37</c:v>
                </c:pt>
                <c:pt idx="17938">
                  <c:v>79.38</c:v>
                </c:pt>
                <c:pt idx="17939">
                  <c:v>79.39</c:v>
                </c:pt>
                <c:pt idx="17940">
                  <c:v>79.4</c:v>
                </c:pt>
                <c:pt idx="17941">
                  <c:v>79.41</c:v>
                </c:pt>
                <c:pt idx="17942">
                  <c:v>79.42</c:v>
                </c:pt>
                <c:pt idx="17943">
                  <c:v>79.43</c:v>
                </c:pt>
                <c:pt idx="17944">
                  <c:v>79.44</c:v>
                </c:pt>
                <c:pt idx="17945">
                  <c:v>79.45</c:v>
                </c:pt>
                <c:pt idx="17946">
                  <c:v>79.46</c:v>
                </c:pt>
                <c:pt idx="17947">
                  <c:v>79.47</c:v>
                </c:pt>
                <c:pt idx="17948">
                  <c:v>79.48</c:v>
                </c:pt>
                <c:pt idx="17949">
                  <c:v>79.49</c:v>
                </c:pt>
                <c:pt idx="17950">
                  <c:v>79.5</c:v>
                </c:pt>
                <c:pt idx="17951">
                  <c:v>79.51</c:v>
                </c:pt>
                <c:pt idx="17952">
                  <c:v>79.52</c:v>
                </c:pt>
                <c:pt idx="17953">
                  <c:v>79.53</c:v>
                </c:pt>
                <c:pt idx="17954">
                  <c:v>79.54</c:v>
                </c:pt>
                <c:pt idx="17955">
                  <c:v>79.55</c:v>
                </c:pt>
                <c:pt idx="17956">
                  <c:v>79.56</c:v>
                </c:pt>
                <c:pt idx="17957">
                  <c:v>79.57</c:v>
                </c:pt>
                <c:pt idx="17958">
                  <c:v>79.58</c:v>
                </c:pt>
                <c:pt idx="17959">
                  <c:v>79.59</c:v>
                </c:pt>
                <c:pt idx="17960">
                  <c:v>79.6</c:v>
                </c:pt>
                <c:pt idx="17961">
                  <c:v>79.61</c:v>
                </c:pt>
                <c:pt idx="17962">
                  <c:v>79.62</c:v>
                </c:pt>
                <c:pt idx="17963">
                  <c:v>79.63</c:v>
                </c:pt>
                <c:pt idx="17964">
                  <c:v>79.64</c:v>
                </c:pt>
                <c:pt idx="17965">
                  <c:v>79.65</c:v>
                </c:pt>
                <c:pt idx="17966">
                  <c:v>79.66</c:v>
                </c:pt>
                <c:pt idx="17967">
                  <c:v>79.67</c:v>
                </c:pt>
                <c:pt idx="17968">
                  <c:v>79.68</c:v>
                </c:pt>
                <c:pt idx="17969">
                  <c:v>79.69</c:v>
                </c:pt>
                <c:pt idx="17970">
                  <c:v>79.7</c:v>
                </c:pt>
                <c:pt idx="17971">
                  <c:v>79.71</c:v>
                </c:pt>
                <c:pt idx="17972">
                  <c:v>79.72</c:v>
                </c:pt>
                <c:pt idx="17973">
                  <c:v>79.73</c:v>
                </c:pt>
                <c:pt idx="17974">
                  <c:v>79.74</c:v>
                </c:pt>
                <c:pt idx="17975">
                  <c:v>79.75</c:v>
                </c:pt>
                <c:pt idx="17976">
                  <c:v>79.76</c:v>
                </c:pt>
                <c:pt idx="17977">
                  <c:v>79.77</c:v>
                </c:pt>
                <c:pt idx="17978">
                  <c:v>79.78</c:v>
                </c:pt>
                <c:pt idx="17979">
                  <c:v>79.79</c:v>
                </c:pt>
                <c:pt idx="17980">
                  <c:v>79.8</c:v>
                </c:pt>
                <c:pt idx="17981">
                  <c:v>79.81</c:v>
                </c:pt>
                <c:pt idx="17982">
                  <c:v>79.82</c:v>
                </c:pt>
                <c:pt idx="17983">
                  <c:v>79.83</c:v>
                </c:pt>
                <c:pt idx="17984">
                  <c:v>79.84</c:v>
                </c:pt>
                <c:pt idx="17985">
                  <c:v>79.85</c:v>
                </c:pt>
                <c:pt idx="17986">
                  <c:v>79.86</c:v>
                </c:pt>
                <c:pt idx="17987">
                  <c:v>79.87</c:v>
                </c:pt>
                <c:pt idx="17988">
                  <c:v>79.88</c:v>
                </c:pt>
                <c:pt idx="17989">
                  <c:v>79.89</c:v>
                </c:pt>
                <c:pt idx="17990">
                  <c:v>79.9</c:v>
                </c:pt>
                <c:pt idx="17991">
                  <c:v>79.91</c:v>
                </c:pt>
                <c:pt idx="17992">
                  <c:v>79.92</c:v>
                </c:pt>
                <c:pt idx="17993">
                  <c:v>79.93</c:v>
                </c:pt>
                <c:pt idx="17994">
                  <c:v>79.94</c:v>
                </c:pt>
                <c:pt idx="17995">
                  <c:v>79.95</c:v>
                </c:pt>
                <c:pt idx="17996">
                  <c:v>79.96</c:v>
                </c:pt>
                <c:pt idx="17997">
                  <c:v>79.97</c:v>
                </c:pt>
                <c:pt idx="17998">
                  <c:v>79.98</c:v>
                </c:pt>
                <c:pt idx="17999">
                  <c:v>79.99</c:v>
                </c:pt>
                <c:pt idx="18000">
                  <c:v>80.0</c:v>
                </c:pt>
                <c:pt idx="18001">
                  <c:v>80.01</c:v>
                </c:pt>
                <c:pt idx="18002">
                  <c:v>80.02</c:v>
                </c:pt>
                <c:pt idx="18003">
                  <c:v>80.03</c:v>
                </c:pt>
                <c:pt idx="18004">
                  <c:v>80.04</c:v>
                </c:pt>
                <c:pt idx="18005">
                  <c:v>80.05</c:v>
                </c:pt>
                <c:pt idx="18006">
                  <c:v>80.06</c:v>
                </c:pt>
                <c:pt idx="18007">
                  <c:v>80.07</c:v>
                </c:pt>
                <c:pt idx="18008">
                  <c:v>80.08</c:v>
                </c:pt>
                <c:pt idx="18009">
                  <c:v>80.09</c:v>
                </c:pt>
                <c:pt idx="18010">
                  <c:v>80.1</c:v>
                </c:pt>
                <c:pt idx="18011">
                  <c:v>80.11</c:v>
                </c:pt>
                <c:pt idx="18012">
                  <c:v>80.12</c:v>
                </c:pt>
                <c:pt idx="18013">
                  <c:v>80.13</c:v>
                </c:pt>
                <c:pt idx="18014">
                  <c:v>80.14</c:v>
                </c:pt>
                <c:pt idx="18015">
                  <c:v>80.15</c:v>
                </c:pt>
                <c:pt idx="18016">
                  <c:v>80.16</c:v>
                </c:pt>
                <c:pt idx="18017">
                  <c:v>80.17</c:v>
                </c:pt>
                <c:pt idx="18018">
                  <c:v>80.18</c:v>
                </c:pt>
                <c:pt idx="18019">
                  <c:v>80.19</c:v>
                </c:pt>
                <c:pt idx="18020">
                  <c:v>80.2</c:v>
                </c:pt>
                <c:pt idx="18021">
                  <c:v>80.21</c:v>
                </c:pt>
                <c:pt idx="18022">
                  <c:v>80.22</c:v>
                </c:pt>
                <c:pt idx="18023">
                  <c:v>80.23</c:v>
                </c:pt>
                <c:pt idx="18024">
                  <c:v>80.24</c:v>
                </c:pt>
                <c:pt idx="18025">
                  <c:v>80.25</c:v>
                </c:pt>
                <c:pt idx="18026">
                  <c:v>80.26</c:v>
                </c:pt>
                <c:pt idx="18027">
                  <c:v>80.27</c:v>
                </c:pt>
                <c:pt idx="18028">
                  <c:v>80.28</c:v>
                </c:pt>
                <c:pt idx="18029">
                  <c:v>80.29</c:v>
                </c:pt>
                <c:pt idx="18030">
                  <c:v>80.3</c:v>
                </c:pt>
                <c:pt idx="18031">
                  <c:v>80.31</c:v>
                </c:pt>
                <c:pt idx="18032">
                  <c:v>80.32</c:v>
                </c:pt>
                <c:pt idx="18033">
                  <c:v>80.33</c:v>
                </c:pt>
                <c:pt idx="18034">
                  <c:v>80.34</c:v>
                </c:pt>
                <c:pt idx="18035">
                  <c:v>80.35</c:v>
                </c:pt>
                <c:pt idx="18036">
                  <c:v>80.36</c:v>
                </c:pt>
                <c:pt idx="18037">
                  <c:v>80.37</c:v>
                </c:pt>
                <c:pt idx="18038">
                  <c:v>80.38</c:v>
                </c:pt>
                <c:pt idx="18039">
                  <c:v>80.39</c:v>
                </c:pt>
                <c:pt idx="18040">
                  <c:v>80.4</c:v>
                </c:pt>
                <c:pt idx="18041">
                  <c:v>80.41</c:v>
                </c:pt>
                <c:pt idx="18042">
                  <c:v>80.42</c:v>
                </c:pt>
                <c:pt idx="18043">
                  <c:v>80.43</c:v>
                </c:pt>
                <c:pt idx="18044">
                  <c:v>80.44</c:v>
                </c:pt>
                <c:pt idx="18045">
                  <c:v>80.45</c:v>
                </c:pt>
                <c:pt idx="18046">
                  <c:v>80.46</c:v>
                </c:pt>
                <c:pt idx="18047">
                  <c:v>80.47</c:v>
                </c:pt>
                <c:pt idx="18048">
                  <c:v>80.48</c:v>
                </c:pt>
                <c:pt idx="18049">
                  <c:v>80.49</c:v>
                </c:pt>
                <c:pt idx="18050">
                  <c:v>80.5</c:v>
                </c:pt>
                <c:pt idx="18051">
                  <c:v>80.51</c:v>
                </c:pt>
                <c:pt idx="18052">
                  <c:v>80.52</c:v>
                </c:pt>
                <c:pt idx="18053">
                  <c:v>80.53</c:v>
                </c:pt>
                <c:pt idx="18054">
                  <c:v>80.54</c:v>
                </c:pt>
                <c:pt idx="18055">
                  <c:v>80.55</c:v>
                </c:pt>
                <c:pt idx="18056">
                  <c:v>80.56</c:v>
                </c:pt>
                <c:pt idx="18057">
                  <c:v>80.57</c:v>
                </c:pt>
                <c:pt idx="18058">
                  <c:v>80.58</c:v>
                </c:pt>
                <c:pt idx="18059">
                  <c:v>80.59</c:v>
                </c:pt>
                <c:pt idx="18060">
                  <c:v>80.6</c:v>
                </c:pt>
                <c:pt idx="18061">
                  <c:v>80.61</c:v>
                </c:pt>
                <c:pt idx="18062">
                  <c:v>80.62</c:v>
                </c:pt>
                <c:pt idx="18063">
                  <c:v>80.63</c:v>
                </c:pt>
                <c:pt idx="18064">
                  <c:v>80.64</c:v>
                </c:pt>
                <c:pt idx="18065">
                  <c:v>80.65</c:v>
                </c:pt>
                <c:pt idx="18066">
                  <c:v>80.66</c:v>
                </c:pt>
                <c:pt idx="18067">
                  <c:v>80.67</c:v>
                </c:pt>
                <c:pt idx="18068">
                  <c:v>80.68</c:v>
                </c:pt>
                <c:pt idx="18069">
                  <c:v>80.69</c:v>
                </c:pt>
                <c:pt idx="18070">
                  <c:v>80.7</c:v>
                </c:pt>
                <c:pt idx="18071">
                  <c:v>80.71</c:v>
                </c:pt>
                <c:pt idx="18072">
                  <c:v>80.72</c:v>
                </c:pt>
                <c:pt idx="18073">
                  <c:v>80.73</c:v>
                </c:pt>
                <c:pt idx="18074">
                  <c:v>80.74</c:v>
                </c:pt>
                <c:pt idx="18075">
                  <c:v>80.75</c:v>
                </c:pt>
                <c:pt idx="18076">
                  <c:v>80.76</c:v>
                </c:pt>
                <c:pt idx="18077">
                  <c:v>80.77</c:v>
                </c:pt>
                <c:pt idx="18078">
                  <c:v>80.78</c:v>
                </c:pt>
                <c:pt idx="18079">
                  <c:v>80.79</c:v>
                </c:pt>
                <c:pt idx="18080">
                  <c:v>80.8</c:v>
                </c:pt>
                <c:pt idx="18081">
                  <c:v>80.81</c:v>
                </c:pt>
                <c:pt idx="18082">
                  <c:v>80.82</c:v>
                </c:pt>
                <c:pt idx="18083">
                  <c:v>80.83</c:v>
                </c:pt>
                <c:pt idx="18084">
                  <c:v>80.84</c:v>
                </c:pt>
                <c:pt idx="18085">
                  <c:v>80.85</c:v>
                </c:pt>
                <c:pt idx="18086">
                  <c:v>80.86</c:v>
                </c:pt>
                <c:pt idx="18087">
                  <c:v>80.87</c:v>
                </c:pt>
                <c:pt idx="18088">
                  <c:v>80.88</c:v>
                </c:pt>
                <c:pt idx="18089">
                  <c:v>80.89</c:v>
                </c:pt>
                <c:pt idx="18090">
                  <c:v>80.9</c:v>
                </c:pt>
                <c:pt idx="18091">
                  <c:v>80.91</c:v>
                </c:pt>
                <c:pt idx="18092">
                  <c:v>80.92</c:v>
                </c:pt>
                <c:pt idx="18093">
                  <c:v>80.93</c:v>
                </c:pt>
                <c:pt idx="18094">
                  <c:v>80.94</c:v>
                </c:pt>
                <c:pt idx="18095">
                  <c:v>80.95</c:v>
                </c:pt>
                <c:pt idx="18096">
                  <c:v>80.96</c:v>
                </c:pt>
                <c:pt idx="18097">
                  <c:v>80.97</c:v>
                </c:pt>
                <c:pt idx="18098">
                  <c:v>80.98</c:v>
                </c:pt>
                <c:pt idx="18099">
                  <c:v>80.99</c:v>
                </c:pt>
                <c:pt idx="18100">
                  <c:v>81.0</c:v>
                </c:pt>
                <c:pt idx="18101">
                  <c:v>81.01</c:v>
                </c:pt>
                <c:pt idx="18102">
                  <c:v>81.02</c:v>
                </c:pt>
                <c:pt idx="18103">
                  <c:v>81.03</c:v>
                </c:pt>
                <c:pt idx="18104">
                  <c:v>81.04</c:v>
                </c:pt>
                <c:pt idx="18105">
                  <c:v>81.05</c:v>
                </c:pt>
                <c:pt idx="18106">
                  <c:v>81.06</c:v>
                </c:pt>
                <c:pt idx="18107">
                  <c:v>81.07</c:v>
                </c:pt>
                <c:pt idx="18108">
                  <c:v>81.08</c:v>
                </c:pt>
                <c:pt idx="18109">
                  <c:v>81.09</c:v>
                </c:pt>
                <c:pt idx="18110">
                  <c:v>81.1</c:v>
                </c:pt>
                <c:pt idx="18111">
                  <c:v>81.11</c:v>
                </c:pt>
                <c:pt idx="18112">
                  <c:v>81.12</c:v>
                </c:pt>
                <c:pt idx="18113">
                  <c:v>81.13</c:v>
                </c:pt>
                <c:pt idx="18114">
                  <c:v>81.14</c:v>
                </c:pt>
                <c:pt idx="18115">
                  <c:v>81.15</c:v>
                </c:pt>
                <c:pt idx="18116">
                  <c:v>81.16</c:v>
                </c:pt>
                <c:pt idx="18117">
                  <c:v>81.17</c:v>
                </c:pt>
                <c:pt idx="18118">
                  <c:v>81.18</c:v>
                </c:pt>
                <c:pt idx="18119">
                  <c:v>81.19</c:v>
                </c:pt>
                <c:pt idx="18120">
                  <c:v>81.2</c:v>
                </c:pt>
                <c:pt idx="18121">
                  <c:v>81.21</c:v>
                </c:pt>
                <c:pt idx="18122">
                  <c:v>81.22</c:v>
                </c:pt>
                <c:pt idx="18123">
                  <c:v>81.23</c:v>
                </c:pt>
                <c:pt idx="18124">
                  <c:v>81.24</c:v>
                </c:pt>
                <c:pt idx="18125">
                  <c:v>81.25</c:v>
                </c:pt>
                <c:pt idx="18126">
                  <c:v>81.26</c:v>
                </c:pt>
                <c:pt idx="18127">
                  <c:v>81.27</c:v>
                </c:pt>
                <c:pt idx="18128">
                  <c:v>81.28</c:v>
                </c:pt>
                <c:pt idx="18129">
                  <c:v>81.29</c:v>
                </c:pt>
                <c:pt idx="18130">
                  <c:v>81.3</c:v>
                </c:pt>
                <c:pt idx="18131">
                  <c:v>81.31</c:v>
                </c:pt>
                <c:pt idx="18132">
                  <c:v>81.32</c:v>
                </c:pt>
                <c:pt idx="18133">
                  <c:v>81.33</c:v>
                </c:pt>
                <c:pt idx="18134">
                  <c:v>81.34</c:v>
                </c:pt>
                <c:pt idx="18135">
                  <c:v>81.35</c:v>
                </c:pt>
                <c:pt idx="18136">
                  <c:v>81.36</c:v>
                </c:pt>
                <c:pt idx="18137">
                  <c:v>81.37</c:v>
                </c:pt>
                <c:pt idx="18138">
                  <c:v>81.38</c:v>
                </c:pt>
                <c:pt idx="18139">
                  <c:v>81.39</c:v>
                </c:pt>
                <c:pt idx="18140">
                  <c:v>81.4</c:v>
                </c:pt>
                <c:pt idx="18141">
                  <c:v>81.41</c:v>
                </c:pt>
                <c:pt idx="18142">
                  <c:v>81.42</c:v>
                </c:pt>
                <c:pt idx="18143">
                  <c:v>81.43</c:v>
                </c:pt>
                <c:pt idx="18144">
                  <c:v>81.44</c:v>
                </c:pt>
                <c:pt idx="18145">
                  <c:v>81.45</c:v>
                </c:pt>
                <c:pt idx="18146">
                  <c:v>81.46</c:v>
                </c:pt>
                <c:pt idx="18147">
                  <c:v>81.47</c:v>
                </c:pt>
                <c:pt idx="18148">
                  <c:v>81.48</c:v>
                </c:pt>
                <c:pt idx="18149">
                  <c:v>81.49</c:v>
                </c:pt>
                <c:pt idx="18150">
                  <c:v>81.5</c:v>
                </c:pt>
                <c:pt idx="18151">
                  <c:v>81.51</c:v>
                </c:pt>
                <c:pt idx="18152">
                  <c:v>81.52</c:v>
                </c:pt>
                <c:pt idx="18153">
                  <c:v>81.53</c:v>
                </c:pt>
                <c:pt idx="18154">
                  <c:v>81.54</c:v>
                </c:pt>
                <c:pt idx="18155">
                  <c:v>81.55</c:v>
                </c:pt>
                <c:pt idx="18156">
                  <c:v>81.56</c:v>
                </c:pt>
                <c:pt idx="18157">
                  <c:v>81.57</c:v>
                </c:pt>
                <c:pt idx="18158">
                  <c:v>81.58</c:v>
                </c:pt>
                <c:pt idx="18159">
                  <c:v>81.59</c:v>
                </c:pt>
                <c:pt idx="18160">
                  <c:v>81.6</c:v>
                </c:pt>
                <c:pt idx="18161">
                  <c:v>81.61</c:v>
                </c:pt>
                <c:pt idx="18162">
                  <c:v>81.62</c:v>
                </c:pt>
                <c:pt idx="18163">
                  <c:v>81.63</c:v>
                </c:pt>
                <c:pt idx="18164">
                  <c:v>81.64</c:v>
                </c:pt>
                <c:pt idx="18165">
                  <c:v>81.65</c:v>
                </c:pt>
                <c:pt idx="18166">
                  <c:v>81.66</c:v>
                </c:pt>
                <c:pt idx="18167">
                  <c:v>81.67</c:v>
                </c:pt>
                <c:pt idx="18168">
                  <c:v>81.68</c:v>
                </c:pt>
                <c:pt idx="18169">
                  <c:v>81.69</c:v>
                </c:pt>
                <c:pt idx="18170">
                  <c:v>81.7</c:v>
                </c:pt>
                <c:pt idx="18171">
                  <c:v>81.71</c:v>
                </c:pt>
                <c:pt idx="18172">
                  <c:v>81.72</c:v>
                </c:pt>
                <c:pt idx="18173">
                  <c:v>81.73</c:v>
                </c:pt>
                <c:pt idx="18174">
                  <c:v>81.74</c:v>
                </c:pt>
                <c:pt idx="18175">
                  <c:v>81.75</c:v>
                </c:pt>
                <c:pt idx="18176">
                  <c:v>81.76</c:v>
                </c:pt>
                <c:pt idx="18177">
                  <c:v>81.77</c:v>
                </c:pt>
                <c:pt idx="18178">
                  <c:v>81.78</c:v>
                </c:pt>
                <c:pt idx="18179">
                  <c:v>81.79</c:v>
                </c:pt>
                <c:pt idx="18180">
                  <c:v>81.8</c:v>
                </c:pt>
                <c:pt idx="18181">
                  <c:v>81.81</c:v>
                </c:pt>
                <c:pt idx="18182">
                  <c:v>81.82</c:v>
                </c:pt>
                <c:pt idx="18183">
                  <c:v>81.83</c:v>
                </c:pt>
                <c:pt idx="18184">
                  <c:v>81.84</c:v>
                </c:pt>
                <c:pt idx="18185">
                  <c:v>81.85</c:v>
                </c:pt>
                <c:pt idx="18186">
                  <c:v>81.86</c:v>
                </c:pt>
                <c:pt idx="18187">
                  <c:v>81.87</c:v>
                </c:pt>
                <c:pt idx="18188">
                  <c:v>81.88</c:v>
                </c:pt>
                <c:pt idx="18189">
                  <c:v>81.89</c:v>
                </c:pt>
                <c:pt idx="18190">
                  <c:v>81.9</c:v>
                </c:pt>
                <c:pt idx="18191">
                  <c:v>81.91</c:v>
                </c:pt>
                <c:pt idx="18192">
                  <c:v>81.92</c:v>
                </c:pt>
                <c:pt idx="18193">
                  <c:v>81.93</c:v>
                </c:pt>
                <c:pt idx="18194">
                  <c:v>81.94</c:v>
                </c:pt>
                <c:pt idx="18195">
                  <c:v>81.95</c:v>
                </c:pt>
                <c:pt idx="18196">
                  <c:v>81.96</c:v>
                </c:pt>
                <c:pt idx="18197">
                  <c:v>81.97</c:v>
                </c:pt>
                <c:pt idx="18198">
                  <c:v>81.98</c:v>
                </c:pt>
                <c:pt idx="18199">
                  <c:v>81.99</c:v>
                </c:pt>
                <c:pt idx="18200">
                  <c:v>82.0</c:v>
                </c:pt>
                <c:pt idx="18201">
                  <c:v>82.01</c:v>
                </c:pt>
                <c:pt idx="18202">
                  <c:v>82.02</c:v>
                </c:pt>
                <c:pt idx="18203">
                  <c:v>82.03</c:v>
                </c:pt>
                <c:pt idx="18204">
                  <c:v>82.04</c:v>
                </c:pt>
                <c:pt idx="18205">
                  <c:v>82.05</c:v>
                </c:pt>
                <c:pt idx="18206">
                  <c:v>82.06</c:v>
                </c:pt>
                <c:pt idx="18207">
                  <c:v>82.07</c:v>
                </c:pt>
                <c:pt idx="18208">
                  <c:v>82.08</c:v>
                </c:pt>
                <c:pt idx="18209">
                  <c:v>82.09</c:v>
                </c:pt>
                <c:pt idx="18210">
                  <c:v>82.1</c:v>
                </c:pt>
                <c:pt idx="18211">
                  <c:v>82.11</c:v>
                </c:pt>
                <c:pt idx="18212">
                  <c:v>82.12</c:v>
                </c:pt>
                <c:pt idx="18213">
                  <c:v>82.13</c:v>
                </c:pt>
                <c:pt idx="18214">
                  <c:v>82.14</c:v>
                </c:pt>
                <c:pt idx="18215">
                  <c:v>82.15</c:v>
                </c:pt>
                <c:pt idx="18216">
                  <c:v>82.16</c:v>
                </c:pt>
                <c:pt idx="18217">
                  <c:v>82.17</c:v>
                </c:pt>
                <c:pt idx="18218">
                  <c:v>82.18</c:v>
                </c:pt>
                <c:pt idx="18219">
                  <c:v>82.19</c:v>
                </c:pt>
                <c:pt idx="18220">
                  <c:v>82.2</c:v>
                </c:pt>
                <c:pt idx="18221">
                  <c:v>82.21</c:v>
                </c:pt>
                <c:pt idx="18222">
                  <c:v>82.22</c:v>
                </c:pt>
                <c:pt idx="18223">
                  <c:v>82.23</c:v>
                </c:pt>
                <c:pt idx="18224">
                  <c:v>82.24</c:v>
                </c:pt>
                <c:pt idx="18225">
                  <c:v>82.25</c:v>
                </c:pt>
                <c:pt idx="18226">
                  <c:v>82.26</c:v>
                </c:pt>
                <c:pt idx="18227">
                  <c:v>82.27</c:v>
                </c:pt>
                <c:pt idx="18228">
                  <c:v>82.28</c:v>
                </c:pt>
                <c:pt idx="18229">
                  <c:v>82.29</c:v>
                </c:pt>
                <c:pt idx="18230">
                  <c:v>82.3</c:v>
                </c:pt>
                <c:pt idx="18231">
                  <c:v>82.31</c:v>
                </c:pt>
                <c:pt idx="18232">
                  <c:v>82.32</c:v>
                </c:pt>
                <c:pt idx="18233">
                  <c:v>82.33</c:v>
                </c:pt>
                <c:pt idx="18234">
                  <c:v>82.34</c:v>
                </c:pt>
                <c:pt idx="18235">
                  <c:v>82.35</c:v>
                </c:pt>
                <c:pt idx="18236">
                  <c:v>82.36</c:v>
                </c:pt>
                <c:pt idx="18237">
                  <c:v>82.37</c:v>
                </c:pt>
                <c:pt idx="18238">
                  <c:v>82.38</c:v>
                </c:pt>
                <c:pt idx="18239">
                  <c:v>82.39</c:v>
                </c:pt>
                <c:pt idx="18240">
                  <c:v>82.4</c:v>
                </c:pt>
                <c:pt idx="18241">
                  <c:v>82.41</c:v>
                </c:pt>
                <c:pt idx="18242">
                  <c:v>82.42</c:v>
                </c:pt>
                <c:pt idx="18243">
                  <c:v>82.43</c:v>
                </c:pt>
                <c:pt idx="18244">
                  <c:v>82.44</c:v>
                </c:pt>
                <c:pt idx="18245">
                  <c:v>82.45</c:v>
                </c:pt>
                <c:pt idx="18246">
                  <c:v>82.46</c:v>
                </c:pt>
                <c:pt idx="18247">
                  <c:v>82.47</c:v>
                </c:pt>
                <c:pt idx="18248">
                  <c:v>82.48</c:v>
                </c:pt>
                <c:pt idx="18249">
                  <c:v>82.49</c:v>
                </c:pt>
                <c:pt idx="18250">
                  <c:v>82.5</c:v>
                </c:pt>
                <c:pt idx="18251">
                  <c:v>82.51</c:v>
                </c:pt>
                <c:pt idx="18252">
                  <c:v>82.52</c:v>
                </c:pt>
                <c:pt idx="18253">
                  <c:v>82.53</c:v>
                </c:pt>
                <c:pt idx="18254">
                  <c:v>82.54</c:v>
                </c:pt>
                <c:pt idx="18255">
                  <c:v>82.55</c:v>
                </c:pt>
                <c:pt idx="18256">
                  <c:v>82.56</c:v>
                </c:pt>
                <c:pt idx="18257">
                  <c:v>82.57</c:v>
                </c:pt>
                <c:pt idx="18258">
                  <c:v>82.58</c:v>
                </c:pt>
                <c:pt idx="18259">
                  <c:v>82.59</c:v>
                </c:pt>
                <c:pt idx="18260">
                  <c:v>82.6</c:v>
                </c:pt>
                <c:pt idx="18261">
                  <c:v>82.61</c:v>
                </c:pt>
                <c:pt idx="18262">
                  <c:v>82.62</c:v>
                </c:pt>
                <c:pt idx="18263">
                  <c:v>82.63</c:v>
                </c:pt>
                <c:pt idx="18264">
                  <c:v>82.64</c:v>
                </c:pt>
                <c:pt idx="18265">
                  <c:v>82.65</c:v>
                </c:pt>
                <c:pt idx="18266">
                  <c:v>82.66</c:v>
                </c:pt>
                <c:pt idx="18267">
                  <c:v>82.67</c:v>
                </c:pt>
                <c:pt idx="18268">
                  <c:v>82.68</c:v>
                </c:pt>
                <c:pt idx="18269">
                  <c:v>82.69</c:v>
                </c:pt>
                <c:pt idx="18270">
                  <c:v>82.7</c:v>
                </c:pt>
                <c:pt idx="18271">
                  <c:v>82.71</c:v>
                </c:pt>
                <c:pt idx="18272">
                  <c:v>82.72</c:v>
                </c:pt>
                <c:pt idx="18273">
                  <c:v>82.73</c:v>
                </c:pt>
                <c:pt idx="18274">
                  <c:v>82.74</c:v>
                </c:pt>
                <c:pt idx="18275">
                  <c:v>82.75</c:v>
                </c:pt>
                <c:pt idx="18276">
                  <c:v>82.76</c:v>
                </c:pt>
                <c:pt idx="18277">
                  <c:v>82.77</c:v>
                </c:pt>
                <c:pt idx="18278">
                  <c:v>82.78</c:v>
                </c:pt>
                <c:pt idx="18279">
                  <c:v>82.79</c:v>
                </c:pt>
                <c:pt idx="18280">
                  <c:v>82.8</c:v>
                </c:pt>
                <c:pt idx="18281">
                  <c:v>82.81</c:v>
                </c:pt>
                <c:pt idx="18282">
                  <c:v>82.82</c:v>
                </c:pt>
                <c:pt idx="18283">
                  <c:v>82.83</c:v>
                </c:pt>
                <c:pt idx="18284">
                  <c:v>82.84</c:v>
                </c:pt>
                <c:pt idx="18285">
                  <c:v>82.85</c:v>
                </c:pt>
                <c:pt idx="18286">
                  <c:v>82.86</c:v>
                </c:pt>
                <c:pt idx="18287">
                  <c:v>82.87</c:v>
                </c:pt>
                <c:pt idx="18288">
                  <c:v>82.88</c:v>
                </c:pt>
                <c:pt idx="18289">
                  <c:v>82.89</c:v>
                </c:pt>
                <c:pt idx="18290">
                  <c:v>82.9</c:v>
                </c:pt>
                <c:pt idx="18291">
                  <c:v>82.91</c:v>
                </c:pt>
                <c:pt idx="18292">
                  <c:v>82.92</c:v>
                </c:pt>
                <c:pt idx="18293">
                  <c:v>82.93</c:v>
                </c:pt>
                <c:pt idx="18294">
                  <c:v>82.94</c:v>
                </c:pt>
                <c:pt idx="18295">
                  <c:v>82.95</c:v>
                </c:pt>
                <c:pt idx="18296">
                  <c:v>82.96</c:v>
                </c:pt>
                <c:pt idx="18297">
                  <c:v>82.97</c:v>
                </c:pt>
                <c:pt idx="18298">
                  <c:v>82.98</c:v>
                </c:pt>
                <c:pt idx="18299">
                  <c:v>82.99</c:v>
                </c:pt>
                <c:pt idx="18300">
                  <c:v>83.0</c:v>
                </c:pt>
                <c:pt idx="18301">
                  <c:v>83.01</c:v>
                </c:pt>
                <c:pt idx="18302">
                  <c:v>83.02</c:v>
                </c:pt>
                <c:pt idx="18303">
                  <c:v>83.03</c:v>
                </c:pt>
                <c:pt idx="18304">
                  <c:v>83.04</c:v>
                </c:pt>
                <c:pt idx="18305">
                  <c:v>83.05</c:v>
                </c:pt>
                <c:pt idx="18306">
                  <c:v>83.06</c:v>
                </c:pt>
                <c:pt idx="18307">
                  <c:v>83.07</c:v>
                </c:pt>
                <c:pt idx="18308">
                  <c:v>83.08</c:v>
                </c:pt>
                <c:pt idx="18309">
                  <c:v>83.09</c:v>
                </c:pt>
                <c:pt idx="18310">
                  <c:v>83.1</c:v>
                </c:pt>
                <c:pt idx="18311">
                  <c:v>83.11</c:v>
                </c:pt>
                <c:pt idx="18312">
                  <c:v>83.12</c:v>
                </c:pt>
                <c:pt idx="18313">
                  <c:v>83.13</c:v>
                </c:pt>
                <c:pt idx="18314">
                  <c:v>83.14</c:v>
                </c:pt>
                <c:pt idx="18315">
                  <c:v>83.15</c:v>
                </c:pt>
                <c:pt idx="18316">
                  <c:v>83.16</c:v>
                </c:pt>
                <c:pt idx="18317">
                  <c:v>83.17</c:v>
                </c:pt>
                <c:pt idx="18318">
                  <c:v>83.18</c:v>
                </c:pt>
                <c:pt idx="18319">
                  <c:v>83.19</c:v>
                </c:pt>
                <c:pt idx="18320">
                  <c:v>83.2</c:v>
                </c:pt>
                <c:pt idx="18321">
                  <c:v>83.21</c:v>
                </c:pt>
                <c:pt idx="18322">
                  <c:v>83.22</c:v>
                </c:pt>
                <c:pt idx="18323">
                  <c:v>83.23</c:v>
                </c:pt>
                <c:pt idx="18324">
                  <c:v>83.24</c:v>
                </c:pt>
                <c:pt idx="18325">
                  <c:v>83.25</c:v>
                </c:pt>
                <c:pt idx="18326">
                  <c:v>83.26</c:v>
                </c:pt>
                <c:pt idx="18327">
                  <c:v>83.27</c:v>
                </c:pt>
                <c:pt idx="18328">
                  <c:v>83.28</c:v>
                </c:pt>
                <c:pt idx="18329">
                  <c:v>83.29</c:v>
                </c:pt>
                <c:pt idx="18330">
                  <c:v>83.3</c:v>
                </c:pt>
                <c:pt idx="18331">
                  <c:v>83.31</c:v>
                </c:pt>
                <c:pt idx="18332">
                  <c:v>83.32</c:v>
                </c:pt>
                <c:pt idx="18333">
                  <c:v>83.33</c:v>
                </c:pt>
                <c:pt idx="18334">
                  <c:v>83.34</c:v>
                </c:pt>
                <c:pt idx="18335">
                  <c:v>83.35</c:v>
                </c:pt>
                <c:pt idx="18336">
                  <c:v>83.36</c:v>
                </c:pt>
                <c:pt idx="18337">
                  <c:v>83.37</c:v>
                </c:pt>
                <c:pt idx="18338">
                  <c:v>83.38</c:v>
                </c:pt>
                <c:pt idx="18339">
                  <c:v>83.39</c:v>
                </c:pt>
                <c:pt idx="18340">
                  <c:v>83.4</c:v>
                </c:pt>
                <c:pt idx="18341">
                  <c:v>83.41</c:v>
                </c:pt>
                <c:pt idx="18342">
                  <c:v>83.42</c:v>
                </c:pt>
                <c:pt idx="18343">
                  <c:v>83.43</c:v>
                </c:pt>
                <c:pt idx="18344">
                  <c:v>83.44</c:v>
                </c:pt>
                <c:pt idx="18345">
                  <c:v>83.45</c:v>
                </c:pt>
                <c:pt idx="18346">
                  <c:v>83.46</c:v>
                </c:pt>
                <c:pt idx="18347">
                  <c:v>83.47</c:v>
                </c:pt>
                <c:pt idx="18348">
                  <c:v>83.48</c:v>
                </c:pt>
                <c:pt idx="18349">
                  <c:v>83.49</c:v>
                </c:pt>
                <c:pt idx="18350">
                  <c:v>83.5</c:v>
                </c:pt>
                <c:pt idx="18351">
                  <c:v>83.51</c:v>
                </c:pt>
                <c:pt idx="18352">
                  <c:v>83.52</c:v>
                </c:pt>
                <c:pt idx="18353">
                  <c:v>83.53</c:v>
                </c:pt>
                <c:pt idx="18354">
                  <c:v>83.54</c:v>
                </c:pt>
                <c:pt idx="18355">
                  <c:v>83.55</c:v>
                </c:pt>
                <c:pt idx="18356">
                  <c:v>83.56</c:v>
                </c:pt>
                <c:pt idx="18357">
                  <c:v>83.57</c:v>
                </c:pt>
                <c:pt idx="18358">
                  <c:v>83.58</c:v>
                </c:pt>
                <c:pt idx="18359">
                  <c:v>83.59</c:v>
                </c:pt>
                <c:pt idx="18360">
                  <c:v>83.6</c:v>
                </c:pt>
                <c:pt idx="18361">
                  <c:v>83.61</c:v>
                </c:pt>
                <c:pt idx="18362">
                  <c:v>83.62</c:v>
                </c:pt>
                <c:pt idx="18363">
                  <c:v>83.63</c:v>
                </c:pt>
                <c:pt idx="18364">
                  <c:v>83.64</c:v>
                </c:pt>
                <c:pt idx="18365">
                  <c:v>83.65</c:v>
                </c:pt>
                <c:pt idx="18366">
                  <c:v>83.66</c:v>
                </c:pt>
                <c:pt idx="18367">
                  <c:v>83.67</c:v>
                </c:pt>
                <c:pt idx="18368">
                  <c:v>83.68</c:v>
                </c:pt>
                <c:pt idx="18369">
                  <c:v>83.69</c:v>
                </c:pt>
                <c:pt idx="18370">
                  <c:v>83.7</c:v>
                </c:pt>
                <c:pt idx="18371">
                  <c:v>83.71</c:v>
                </c:pt>
                <c:pt idx="18372">
                  <c:v>83.72</c:v>
                </c:pt>
                <c:pt idx="18373">
                  <c:v>83.73</c:v>
                </c:pt>
                <c:pt idx="18374">
                  <c:v>83.74</c:v>
                </c:pt>
                <c:pt idx="18375">
                  <c:v>83.75</c:v>
                </c:pt>
                <c:pt idx="18376">
                  <c:v>83.76</c:v>
                </c:pt>
                <c:pt idx="18377">
                  <c:v>83.77</c:v>
                </c:pt>
                <c:pt idx="18378">
                  <c:v>83.78</c:v>
                </c:pt>
                <c:pt idx="18379">
                  <c:v>83.79</c:v>
                </c:pt>
                <c:pt idx="18380">
                  <c:v>83.8</c:v>
                </c:pt>
                <c:pt idx="18381">
                  <c:v>83.81</c:v>
                </c:pt>
                <c:pt idx="18382">
                  <c:v>83.82</c:v>
                </c:pt>
                <c:pt idx="18383">
                  <c:v>83.83</c:v>
                </c:pt>
                <c:pt idx="18384">
                  <c:v>83.84</c:v>
                </c:pt>
                <c:pt idx="18385">
                  <c:v>83.85</c:v>
                </c:pt>
                <c:pt idx="18386">
                  <c:v>83.86</c:v>
                </c:pt>
                <c:pt idx="18387">
                  <c:v>83.87</c:v>
                </c:pt>
                <c:pt idx="18388">
                  <c:v>83.88</c:v>
                </c:pt>
                <c:pt idx="18389">
                  <c:v>83.89</c:v>
                </c:pt>
                <c:pt idx="18390">
                  <c:v>83.9</c:v>
                </c:pt>
                <c:pt idx="18391">
                  <c:v>83.91</c:v>
                </c:pt>
                <c:pt idx="18392">
                  <c:v>83.92</c:v>
                </c:pt>
                <c:pt idx="18393">
                  <c:v>83.93</c:v>
                </c:pt>
                <c:pt idx="18394">
                  <c:v>83.94</c:v>
                </c:pt>
                <c:pt idx="18395">
                  <c:v>83.95</c:v>
                </c:pt>
                <c:pt idx="18396">
                  <c:v>83.96</c:v>
                </c:pt>
                <c:pt idx="18397">
                  <c:v>83.97</c:v>
                </c:pt>
                <c:pt idx="18398">
                  <c:v>83.98</c:v>
                </c:pt>
                <c:pt idx="18399">
                  <c:v>83.99</c:v>
                </c:pt>
                <c:pt idx="18400">
                  <c:v>84.0</c:v>
                </c:pt>
                <c:pt idx="18401">
                  <c:v>84.01</c:v>
                </c:pt>
                <c:pt idx="18402">
                  <c:v>84.02</c:v>
                </c:pt>
                <c:pt idx="18403">
                  <c:v>84.03</c:v>
                </c:pt>
                <c:pt idx="18404">
                  <c:v>84.04</c:v>
                </c:pt>
                <c:pt idx="18405">
                  <c:v>84.05</c:v>
                </c:pt>
                <c:pt idx="18406">
                  <c:v>84.06</c:v>
                </c:pt>
                <c:pt idx="18407">
                  <c:v>84.07</c:v>
                </c:pt>
                <c:pt idx="18408">
                  <c:v>84.08</c:v>
                </c:pt>
                <c:pt idx="18409">
                  <c:v>84.09</c:v>
                </c:pt>
                <c:pt idx="18410">
                  <c:v>84.1</c:v>
                </c:pt>
                <c:pt idx="18411">
                  <c:v>84.11</c:v>
                </c:pt>
                <c:pt idx="18412">
                  <c:v>84.12</c:v>
                </c:pt>
                <c:pt idx="18413">
                  <c:v>84.13</c:v>
                </c:pt>
                <c:pt idx="18414">
                  <c:v>84.14</c:v>
                </c:pt>
                <c:pt idx="18415">
                  <c:v>84.15</c:v>
                </c:pt>
                <c:pt idx="18416">
                  <c:v>84.16</c:v>
                </c:pt>
                <c:pt idx="18417">
                  <c:v>84.17</c:v>
                </c:pt>
                <c:pt idx="18418">
                  <c:v>84.18</c:v>
                </c:pt>
                <c:pt idx="18419">
                  <c:v>84.19</c:v>
                </c:pt>
                <c:pt idx="18420">
                  <c:v>84.2</c:v>
                </c:pt>
                <c:pt idx="18421">
                  <c:v>84.21</c:v>
                </c:pt>
                <c:pt idx="18422">
                  <c:v>84.22</c:v>
                </c:pt>
                <c:pt idx="18423">
                  <c:v>84.23</c:v>
                </c:pt>
                <c:pt idx="18424">
                  <c:v>84.24</c:v>
                </c:pt>
                <c:pt idx="18425">
                  <c:v>84.25</c:v>
                </c:pt>
                <c:pt idx="18426">
                  <c:v>84.26</c:v>
                </c:pt>
                <c:pt idx="18427">
                  <c:v>84.27</c:v>
                </c:pt>
                <c:pt idx="18428">
                  <c:v>84.28</c:v>
                </c:pt>
                <c:pt idx="18429">
                  <c:v>84.29</c:v>
                </c:pt>
                <c:pt idx="18430">
                  <c:v>84.3</c:v>
                </c:pt>
                <c:pt idx="18431">
                  <c:v>84.31</c:v>
                </c:pt>
                <c:pt idx="18432">
                  <c:v>84.32</c:v>
                </c:pt>
                <c:pt idx="18433">
                  <c:v>84.33</c:v>
                </c:pt>
                <c:pt idx="18434">
                  <c:v>84.34</c:v>
                </c:pt>
                <c:pt idx="18435">
                  <c:v>84.35</c:v>
                </c:pt>
                <c:pt idx="18436">
                  <c:v>84.36</c:v>
                </c:pt>
                <c:pt idx="18437">
                  <c:v>84.37</c:v>
                </c:pt>
                <c:pt idx="18438">
                  <c:v>84.38</c:v>
                </c:pt>
                <c:pt idx="18439">
                  <c:v>84.39</c:v>
                </c:pt>
                <c:pt idx="18440">
                  <c:v>84.4</c:v>
                </c:pt>
                <c:pt idx="18441">
                  <c:v>84.41</c:v>
                </c:pt>
                <c:pt idx="18442">
                  <c:v>84.42</c:v>
                </c:pt>
                <c:pt idx="18443">
                  <c:v>84.43</c:v>
                </c:pt>
                <c:pt idx="18444">
                  <c:v>84.44</c:v>
                </c:pt>
                <c:pt idx="18445">
                  <c:v>84.45</c:v>
                </c:pt>
                <c:pt idx="18446">
                  <c:v>84.46</c:v>
                </c:pt>
                <c:pt idx="18447">
                  <c:v>84.47</c:v>
                </c:pt>
                <c:pt idx="18448">
                  <c:v>84.48</c:v>
                </c:pt>
                <c:pt idx="18449">
                  <c:v>84.49</c:v>
                </c:pt>
                <c:pt idx="18450">
                  <c:v>84.5</c:v>
                </c:pt>
                <c:pt idx="18451">
                  <c:v>84.51</c:v>
                </c:pt>
                <c:pt idx="18452">
                  <c:v>84.52</c:v>
                </c:pt>
                <c:pt idx="18453">
                  <c:v>84.53</c:v>
                </c:pt>
                <c:pt idx="18454">
                  <c:v>84.54</c:v>
                </c:pt>
                <c:pt idx="18455">
                  <c:v>84.55</c:v>
                </c:pt>
                <c:pt idx="18456">
                  <c:v>84.56</c:v>
                </c:pt>
                <c:pt idx="18457">
                  <c:v>84.57</c:v>
                </c:pt>
                <c:pt idx="18458">
                  <c:v>84.58</c:v>
                </c:pt>
                <c:pt idx="18459">
                  <c:v>84.59</c:v>
                </c:pt>
                <c:pt idx="18460">
                  <c:v>84.6</c:v>
                </c:pt>
                <c:pt idx="18461">
                  <c:v>84.61</c:v>
                </c:pt>
                <c:pt idx="18462">
                  <c:v>84.62</c:v>
                </c:pt>
                <c:pt idx="18463">
                  <c:v>84.63</c:v>
                </c:pt>
                <c:pt idx="18464">
                  <c:v>84.64</c:v>
                </c:pt>
                <c:pt idx="18465">
                  <c:v>84.65</c:v>
                </c:pt>
                <c:pt idx="18466">
                  <c:v>84.66</c:v>
                </c:pt>
                <c:pt idx="18467">
                  <c:v>84.67</c:v>
                </c:pt>
                <c:pt idx="18468">
                  <c:v>84.68</c:v>
                </c:pt>
                <c:pt idx="18469">
                  <c:v>84.69</c:v>
                </c:pt>
                <c:pt idx="18470">
                  <c:v>84.7</c:v>
                </c:pt>
                <c:pt idx="18471">
                  <c:v>84.71</c:v>
                </c:pt>
                <c:pt idx="18472">
                  <c:v>84.72</c:v>
                </c:pt>
                <c:pt idx="18473">
                  <c:v>84.73</c:v>
                </c:pt>
                <c:pt idx="18474">
                  <c:v>84.74</c:v>
                </c:pt>
                <c:pt idx="18475">
                  <c:v>84.75</c:v>
                </c:pt>
                <c:pt idx="18476">
                  <c:v>84.76</c:v>
                </c:pt>
                <c:pt idx="18477">
                  <c:v>84.77</c:v>
                </c:pt>
                <c:pt idx="18478">
                  <c:v>84.78</c:v>
                </c:pt>
                <c:pt idx="18479">
                  <c:v>84.79</c:v>
                </c:pt>
                <c:pt idx="18480">
                  <c:v>84.8</c:v>
                </c:pt>
                <c:pt idx="18481">
                  <c:v>84.81</c:v>
                </c:pt>
                <c:pt idx="18482">
                  <c:v>84.82</c:v>
                </c:pt>
                <c:pt idx="18483">
                  <c:v>84.83</c:v>
                </c:pt>
                <c:pt idx="18484">
                  <c:v>84.84</c:v>
                </c:pt>
                <c:pt idx="18485">
                  <c:v>84.85</c:v>
                </c:pt>
                <c:pt idx="18486">
                  <c:v>84.86</c:v>
                </c:pt>
                <c:pt idx="18487">
                  <c:v>84.87</c:v>
                </c:pt>
                <c:pt idx="18488">
                  <c:v>84.88</c:v>
                </c:pt>
                <c:pt idx="18489">
                  <c:v>84.89</c:v>
                </c:pt>
                <c:pt idx="18490">
                  <c:v>84.9</c:v>
                </c:pt>
                <c:pt idx="18491">
                  <c:v>84.91</c:v>
                </c:pt>
                <c:pt idx="18492">
                  <c:v>84.92</c:v>
                </c:pt>
                <c:pt idx="18493">
                  <c:v>84.93</c:v>
                </c:pt>
                <c:pt idx="18494">
                  <c:v>84.94</c:v>
                </c:pt>
                <c:pt idx="18495">
                  <c:v>84.95</c:v>
                </c:pt>
                <c:pt idx="18496">
                  <c:v>84.96</c:v>
                </c:pt>
                <c:pt idx="18497">
                  <c:v>84.97</c:v>
                </c:pt>
                <c:pt idx="18498">
                  <c:v>84.98</c:v>
                </c:pt>
                <c:pt idx="18499">
                  <c:v>84.99</c:v>
                </c:pt>
                <c:pt idx="18500">
                  <c:v>85.0</c:v>
                </c:pt>
                <c:pt idx="18501">
                  <c:v>85.01</c:v>
                </c:pt>
                <c:pt idx="18502">
                  <c:v>85.02</c:v>
                </c:pt>
                <c:pt idx="18503">
                  <c:v>85.03</c:v>
                </c:pt>
                <c:pt idx="18504">
                  <c:v>85.04</c:v>
                </c:pt>
                <c:pt idx="18505">
                  <c:v>85.05</c:v>
                </c:pt>
                <c:pt idx="18506">
                  <c:v>85.06</c:v>
                </c:pt>
                <c:pt idx="18507">
                  <c:v>85.07</c:v>
                </c:pt>
                <c:pt idx="18508">
                  <c:v>85.08</c:v>
                </c:pt>
                <c:pt idx="18509">
                  <c:v>85.09</c:v>
                </c:pt>
                <c:pt idx="18510">
                  <c:v>85.1</c:v>
                </c:pt>
                <c:pt idx="18511">
                  <c:v>85.11</c:v>
                </c:pt>
                <c:pt idx="18512">
                  <c:v>85.12</c:v>
                </c:pt>
                <c:pt idx="18513">
                  <c:v>85.13</c:v>
                </c:pt>
                <c:pt idx="18514">
                  <c:v>85.14</c:v>
                </c:pt>
                <c:pt idx="18515">
                  <c:v>85.15</c:v>
                </c:pt>
                <c:pt idx="18516">
                  <c:v>85.16</c:v>
                </c:pt>
                <c:pt idx="18517">
                  <c:v>85.17</c:v>
                </c:pt>
                <c:pt idx="18518">
                  <c:v>85.18</c:v>
                </c:pt>
                <c:pt idx="18519">
                  <c:v>85.19</c:v>
                </c:pt>
                <c:pt idx="18520">
                  <c:v>85.2</c:v>
                </c:pt>
                <c:pt idx="18521">
                  <c:v>85.21</c:v>
                </c:pt>
                <c:pt idx="18522">
                  <c:v>85.22</c:v>
                </c:pt>
                <c:pt idx="18523">
                  <c:v>85.23</c:v>
                </c:pt>
                <c:pt idx="18524">
                  <c:v>85.24</c:v>
                </c:pt>
                <c:pt idx="18525">
                  <c:v>85.25</c:v>
                </c:pt>
                <c:pt idx="18526">
                  <c:v>85.26</c:v>
                </c:pt>
                <c:pt idx="18527">
                  <c:v>85.27</c:v>
                </c:pt>
                <c:pt idx="18528">
                  <c:v>85.28</c:v>
                </c:pt>
                <c:pt idx="18529">
                  <c:v>85.29</c:v>
                </c:pt>
                <c:pt idx="18530">
                  <c:v>85.3</c:v>
                </c:pt>
                <c:pt idx="18531">
                  <c:v>85.31</c:v>
                </c:pt>
                <c:pt idx="18532">
                  <c:v>85.32</c:v>
                </c:pt>
                <c:pt idx="18533">
                  <c:v>85.33</c:v>
                </c:pt>
                <c:pt idx="18534">
                  <c:v>85.34</c:v>
                </c:pt>
                <c:pt idx="18535">
                  <c:v>85.35</c:v>
                </c:pt>
                <c:pt idx="18536">
                  <c:v>85.36</c:v>
                </c:pt>
                <c:pt idx="18537">
                  <c:v>85.37</c:v>
                </c:pt>
                <c:pt idx="18538">
                  <c:v>85.38</c:v>
                </c:pt>
                <c:pt idx="18539">
                  <c:v>85.39</c:v>
                </c:pt>
                <c:pt idx="18540">
                  <c:v>85.4</c:v>
                </c:pt>
                <c:pt idx="18541">
                  <c:v>85.41</c:v>
                </c:pt>
                <c:pt idx="18542">
                  <c:v>85.42</c:v>
                </c:pt>
                <c:pt idx="18543">
                  <c:v>85.43</c:v>
                </c:pt>
                <c:pt idx="18544">
                  <c:v>85.44</c:v>
                </c:pt>
                <c:pt idx="18545">
                  <c:v>85.45</c:v>
                </c:pt>
                <c:pt idx="18546">
                  <c:v>85.46</c:v>
                </c:pt>
                <c:pt idx="18547">
                  <c:v>85.47</c:v>
                </c:pt>
                <c:pt idx="18548">
                  <c:v>85.48</c:v>
                </c:pt>
                <c:pt idx="18549">
                  <c:v>85.49</c:v>
                </c:pt>
                <c:pt idx="18550">
                  <c:v>85.5</c:v>
                </c:pt>
                <c:pt idx="18551">
                  <c:v>85.51</c:v>
                </c:pt>
                <c:pt idx="18552">
                  <c:v>85.52</c:v>
                </c:pt>
                <c:pt idx="18553">
                  <c:v>85.53</c:v>
                </c:pt>
                <c:pt idx="18554">
                  <c:v>85.54</c:v>
                </c:pt>
                <c:pt idx="18555">
                  <c:v>85.55</c:v>
                </c:pt>
                <c:pt idx="18556">
                  <c:v>85.56</c:v>
                </c:pt>
                <c:pt idx="18557">
                  <c:v>85.57</c:v>
                </c:pt>
                <c:pt idx="18558">
                  <c:v>85.58</c:v>
                </c:pt>
                <c:pt idx="18559">
                  <c:v>85.59</c:v>
                </c:pt>
                <c:pt idx="18560">
                  <c:v>85.6</c:v>
                </c:pt>
                <c:pt idx="18561">
                  <c:v>85.61</c:v>
                </c:pt>
                <c:pt idx="18562">
                  <c:v>85.62</c:v>
                </c:pt>
                <c:pt idx="18563">
                  <c:v>85.63</c:v>
                </c:pt>
                <c:pt idx="18564">
                  <c:v>85.64</c:v>
                </c:pt>
                <c:pt idx="18565">
                  <c:v>85.65</c:v>
                </c:pt>
                <c:pt idx="18566">
                  <c:v>85.66</c:v>
                </c:pt>
                <c:pt idx="18567">
                  <c:v>85.67</c:v>
                </c:pt>
                <c:pt idx="18568">
                  <c:v>85.68</c:v>
                </c:pt>
                <c:pt idx="18569">
                  <c:v>85.69</c:v>
                </c:pt>
                <c:pt idx="18570">
                  <c:v>85.7</c:v>
                </c:pt>
                <c:pt idx="18571">
                  <c:v>85.71</c:v>
                </c:pt>
                <c:pt idx="18572">
                  <c:v>85.72</c:v>
                </c:pt>
                <c:pt idx="18573">
                  <c:v>85.73</c:v>
                </c:pt>
                <c:pt idx="18574">
                  <c:v>85.74</c:v>
                </c:pt>
                <c:pt idx="18575">
                  <c:v>85.75</c:v>
                </c:pt>
                <c:pt idx="18576">
                  <c:v>85.76</c:v>
                </c:pt>
                <c:pt idx="18577">
                  <c:v>85.77</c:v>
                </c:pt>
                <c:pt idx="18578">
                  <c:v>85.78</c:v>
                </c:pt>
                <c:pt idx="18579">
                  <c:v>85.79</c:v>
                </c:pt>
                <c:pt idx="18580">
                  <c:v>85.8</c:v>
                </c:pt>
                <c:pt idx="18581">
                  <c:v>85.81</c:v>
                </c:pt>
                <c:pt idx="18582">
                  <c:v>85.82</c:v>
                </c:pt>
                <c:pt idx="18583">
                  <c:v>85.83</c:v>
                </c:pt>
                <c:pt idx="18584">
                  <c:v>85.84</c:v>
                </c:pt>
                <c:pt idx="18585">
                  <c:v>85.85</c:v>
                </c:pt>
                <c:pt idx="18586">
                  <c:v>85.86</c:v>
                </c:pt>
                <c:pt idx="18587">
                  <c:v>85.87</c:v>
                </c:pt>
                <c:pt idx="18588">
                  <c:v>85.88</c:v>
                </c:pt>
                <c:pt idx="18589">
                  <c:v>85.89</c:v>
                </c:pt>
                <c:pt idx="18590">
                  <c:v>85.9</c:v>
                </c:pt>
                <c:pt idx="18591">
                  <c:v>85.91</c:v>
                </c:pt>
                <c:pt idx="18592">
                  <c:v>85.92</c:v>
                </c:pt>
                <c:pt idx="18593">
                  <c:v>85.93</c:v>
                </c:pt>
                <c:pt idx="18594">
                  <c:v>85.94</c:v>
                </c:pt>
                <c:pt idx="18595">
                  <c:v>85.95</c:v>
                </c:pt>
                <c:pt idx="18596">
                  <c:v>85.96</c:v>
                </c:pt>
                <c:pt idx="18597">
                  <c:v>85.97</c:v>
                </c:pt>
                <c:pt idx="18598">
                  <c:v>85.98</c:v>
                </c:pt>
                <c:pt idx="18599">
                  <c:v>85.99</c:v>
                </c:pt>
                <c:pt idx="18600">
                  <c:v>86.0</c:v>
                </c:pt>
                <c:pt idx="18601">
                  <c:v>86.01</c:v>
                </c:pt>
                <c:pt idx="18602">
                  <c:v>86.02</c:v>
                </c:pt>
                <c:pt idx="18603">
                  <c:v>86.03</c:v>
                </c:pt>
                <c:pt idx="18604">
                  <c:v>86.04</c:v>
                </c:pt>
                <c:pt idx="18605">
                  <c:v>86.05</c:v>
                </c:pt>
                <c:pt idx="18606">
                  <c:v>86.06</c:v>
                </c:pt>
                <c:pt idx="18607">
                  <c:v>86.07</c:v>
                </c:pt>
                <c:pt idx="18608">
                  <c:v>86.08</c:v>
                </c:pt>
                <c:pt idx="18609">
                  <c:v>86.09</c:v>
                </c:pt>
                <c:pt idx="18610">
                  <c:v>86.1</c:v>
                </c:pt>
                <c:pt idx="18611">
                  <c:v>86.11</c:v>
                </c:pt>
                <c:pt idx="18612">
                  <c:v>86.12</c:v>
                </c:pt>
                <c:pt idx="18613">
                  <c:v>86.13</c:v>
                </c:pt>
                <c:pt idx="18614">
                  <c:v>86.14</c:v>
                </c:pt>
                <c:pt idx="18615">
                  <c:v>86.15</c:v>
                </c:pt>
                <c:pt idx="18616">
                  <c:v>86.16</c:v>
                </c:pt>
                <c:pt idx="18617">
                  <c:v>86.17</c:v>
                </c:pt>
                <c:pt idx="18618">
                  <c:v>86.18</c:v>
                </c:pt>
                <c:pt idx="18619">
                  <c:v>86.19</c:v>
                </c:pt>
                <c:pt idx="18620">
                  <c:v>86.2</c:v>
                </c:pt>
                <c:pt idx="18621">
                  <c:v>86.21</c:v>
                </c:pt>
                <c:pt idx="18622">
                  <c:v>86.22</c:v>
                </c:pt>
                <c:pt idx="18623">
                  <c:v>86.23</c:v>
                </c:pt>
                <c:pt idx="18624">
                  <c:v>86.24</c:v>
                </c:pt>
                <c:pt idx="18625">
                  <c:v>86.25</c:v>
                </c:pt>
                <c:pt idx="18626">
                  <c:v>86.26</c:v>
                </c:pt>
                <c:pt idx="18627">
                  <c:v>86.27</c:v>
                </c:pt>
                <c:pt idx="18628">
                  <c:v>86.28</c:v>
                </c:pt>
                <c:pt idx="18629">
                  <c:v>86.29</c:v>
                </c:pt>
                <c:pt idx="18630">
                  <c:v>86.3</c:v>
                </c:pt>
                <c:pt idx="18631">
                  <c:v>86.31</c:v>
                </c:pt>
                <c:pt idx="18632">
                  <c:v>86.32</c:v>
                </c:pt>
                <c:pt idx="18633">
                  <c:v>86.33</c:v>
                </c:pt>
                <c:pt idx="18634">
                  <c:v>86.34</c:v>
                </c:pt>
                <c:pt idx="18635">
                  <c:v>86.35</c:v>
                </c:pt>
                <c:pt idx="18636">
                  <c:v>86.36</c:v>
                </c:pt>
                <c:pt idx="18637">
                  <c:v>86.37</c:v>
                </c:pt>
                <c:pt idx="18638">
                  <c:v>86.38</c:v>
                </c:pt>
                <c:pt idx="18639">
                  <c:v>86.39</c:v>
                </c:pt>
                <c:pt idx="18640">
                  <c:v>86.4</c:v>
                </c:pt>
                <c:pt idx="18641">
                  <c:v>86.41</c:v>
                </c:pt>
                <c:pt idx="18642">
                  <c:v>86.42</c:v>
                </c:pt>
                <c:pt idx="18643">
                  <c:v>86.43</c:v>
                </c:pt>
                <c:pt idx="18644">
                  <c:v>86.44</c:v>
                </c:pt>
                <c:pt idx="18645">
                  <c:v>86.45</c:v>
                </c:pt>
                <c:pt idx="18646">
                  <c:v>86.46</c:v>
                </c:pt>
                <c:pt idx="18647">
                  <c:v>86.47</c:v>
                </c:pt>
                <c:pt idx="18648">
                  <c:v>86.48</c:v>
                </c:pt>
                <c:pt idx="18649">
                  <c:v>86.49</c:v>
                </c:pt>
                <c:pt idx="18650">
                  <c:v>86.5</c:v>
                </c:pt>
                <c:pt idx="18651">
                  <c:v>86.51</c:v>
                </c:pt>
                <c:pt idx="18652">
                  <c:v>86.52</c:v>
                </c:pt>
                <c:pt idx="18653">
                  <c:v>86.53</c:v>
                </c:pt>
                <c:pt idx="18654">
                  <c:v>86.54</c:v>
                </c:pt>
                <c:pt idx="18655">
                  <c:v>86.55</c:v>
                </c:pt>
                <c:pt idx="18656">
                  <c:v>86.56</c:v>
                </c:pt>
                <c:pt idx="18657">
                  <c:v>86.57</c:v>
                </c:pt>
                <c:pt idx="18658">
                  <c:v>86.58</c:v>
                </c:pt>
                <c:pt idx="18659">
                  <c:v>86.59</c:v>
                </c:pt>
                <c:pt idx="18660">
                  <c:v>86.6</c:v>
                </c:pt>
                <c:pt idx="18661">
                  <c:v>86.61</c:v>
                </c:pt>
                <c:pt idx="18662">
                  <c:v>86.62</c:v>
                </c:pt>
                <c:pt idx="18663">
                  <c:v>86.63</c:v>
                </c:pt>
                <c:pt idx="18664">
                  <c:v>86.64</c:v>
                </c:pt>
                <c:pt idx="18665">
                  <c:v>86.65</c:v>
                </c:pt>
                <c:pt idx="18666">
                  <c:v>86.66</c:v>
                </c:pt>
                <c:pt idx="18667">
                  <c:v>86.67</c:v>
                </c:pt>
                <c:pt idx="18668">
                  <c:v>86.68</c:v>
                </c:pt>
                <c:pt idx="18669">
                  <c:v>86.69</c:v>
                </c:pt>
                <c:pt idx="18670">
                  <c:v>86.7</c:v>
                </c:pt>
                <c:pt idx="18671">
                  <c:v>86.71</c:v>
                </c:pt>
                <c:pt idx="18672">
                  <c:v>86.72</c:v>
                </c:pt>
                <c:pt idx="18673">
                  <c:v>86.73</c:v>
                </c:pt>
                <c:pt idx="18674">
                  <c:v>86.74</c:v>
                </c:pt>
                <c:pt idx="18675">
                  <c:v>86.75</c:v>
                </c:pt>
                <c:pt idx="18676">
                  <c:v>86.76</c:v>
                </c:pt>
                <c:pt idx="18677">
                  <c:v>86.77</c:v>
                </c:pt>
                <c:pt idx="18678">
                  <c:v>86.78</c:v>
                </c:pt>
                <c:pt idx="18679">
                  <c:v>86.79</c:v>
                </c:pt>
                <c:pt idx="18680">
                  <c:v>86.8</c:v>
                </c:pt>
                <c:pt idx="18681">
                  <c:v>86.81</c:v>
                </c:pt>
                <c:pt idx="18682">
                  <c:v>86.82</c:v>
                </c:pt>
                <c:pt idx="18683">
                  <c:v>86.83</c:v>
                </c:pt>
                <c:pt idx="18684">
                  <c:v>86.84</c:v>
                </c:pt>
                <c:pt idx="18685">
                  <c:v>86.85</c:v>
                </c:pt>
                <c:pt idx="18686">
                  <c:v>86.86</c:v>
                </c:pt>
                <c:pt idx="18687">
                  <c:v>86.87</c:v>
                </c:pt>
                <c:pt idx="18688">
                  <c:v>86.88</c:v>
                </c:pt>
                <c:pt idx="18689">
                  <c:v>86.89</c:v>
                </c:pt>
                <c:pt idx="18690">
                  <c:v>86.9</c:v>
                </c:pt>
                <c:pt idx="18691">
                  <c:v>86.91</c:v>
                </c:pt>
                <c:pt idx="18692">
                  <c:v>86.92</c:v>
                </c:pt>
                <c:pt idx="18693">
                  <c:v>86.93</c:v>
                </c:pt>
                <c:pt idx="18694">
                  <c:v>86.94</c:v>
                </c:pt>
                <c:pt idx="18695">
                  <c:v>86.95</c:v>
                </c:pt>
                <c:pt idx="18696">
                  <c:v>86.96</c:v>
                </c:pt>
                <c:pt idx="18697">
                  <c:v>86.97</c:v>
                </c:pt>
                <c:pt idx="18698">
                  <c:v>86.98</c:v>
                </c:pt>
                <c:pt idx="18699">
                  <c:v>86.99</c:v>
                </c:pt>
                <c:pt idx="18700">
                  <c:v>87.0</c:v>
                </c:pt>
                <c:pt idx="18701">
                  <c:v>87.01</c:v>
                </c:pt>
                <c:pt idx="18702">
                  <c:v>87.02</c:v>
                </c:pt>
                <c:pt idx="18703">
                  <c:v>87.03</c:v>
                </c:pt>
                <c:pt idx="18704">
                  <c:v>87.04</c:v>
                </c:pt>
                <c:pt idx="18705">
                  <c:v>87.05</c:v>
                </c:pt>
                <c:pt idx="18706">
                  <c:v>87.06</c:v>
                </c:pt>
                <c:pt idx="18707">
                  <c:v>87.07</c:v>
                </c:pt>
                <c:pt idx="18708">
                  <c:v>87.08</c:v>
                </c:pt>
                <c:pt idx="18709">
                  <c:v>87.09</c:v>
                </c:pt>
                <c:pt idx="18710">
                  <c:v>87.1</c:v>
                </c:pt>
                <c:pt idx="18711">
                  <c:v>87.11</c:v>
                </c:pt>
                <c:pt idx="18712">
                  <c:v>87.12</c:v>
                </c:pt>
                <c:pt idx="18713">
                  <c:v>87.13</c:v>
                </c:pt>
                <c:pt idx="18714">
                  <c:v>87.14</c:v>
                </c:pt>
                <c:pt idx="18715">
                  <c:v>87.15</c:v>
                </c:pt>
                <c:pt idx="18716">
                  <c:v>87.16</c:v>
                </c:pt>
                <c:pt idx="18717">
                  <c:v>87.17</c:v>
                </c:pt>
                <c:pt idx="18718">
                  <c:v>87.18</c:v>
                </c:pt>
                <c:pt idx="18719">
                  <c:v>87.19</c:v>
                </c:pt>
                <c:pt idx="18720">
                  <c:v>87.2</c:v>
                </c:pt>
                <c:pt idx="18721">
                  <c:v>87.21</c:v>
                </c:pt>
                <c:pt idx="18722">
                  <c:v>87.22</c:v>
                </c:pt>
                <c:pt idx="18723">
                  <c:v>87.23</c:v>
                </c:pt>
                <c:pt idx="18724">
                  <c:v>87.24</c:v>
                </c:pt>
                <c:pt idx="18725">
                  <c:v>87.25</c:v>
                </c:pt>
                <c:pt idx="18726">
                  <c:v>87.26</c:v>
                </c:pt>
                <c:pt idx="18727">
                  <c:v>87.27</c:v>
                </c:pt>
                <c:pt idx="18728">
                  <c:v>87.28</c:v>
                </c:pt>
                <c:pt idx="18729">
                  <c:v>87.29</c:v>
                </c:pt>
                <c:pt idx="18730">
                  <c:v>87.3</c:v>
                </c:pt>
                <c:pt idx="18731">
                  <c:v>87.31</c:v>
                </c:pt>
                <c:pt idx="18732">
                  <c:v>87.32</c:v>
                </c:pt>
                <c:pt idx="18733">
                  <c:v>87.33</c:v>
                </c:pt>
                <c:pt idx="18734">
                  <c:v>87.34</c:v>
                </c:pt>
                <c:pt idx="18735">
                  <c:v>87.35</c:v>
                </c:pt>
                <c:pt idx="18736">
                  <c:v>87.36</c:v>
                </c:pt>
                <c:pt idx="18737">
                  <c:v>87.37</c:v>
                </c:pt>
                <c:pt idx="18738">
                  <c:v>87.38</c:v>
                </c:pt>
                <c:pt idx="18739">
                  <c:v>87.39</c:v>
                </c:pt>
                <c:pt idx="18740">
                  <c:v>87.4</c:v>
                </c:pt>
                <c:pt idx="18741">
                  <c:v>87.41</c:v>
                </c:pt>
                <c:pt idx="18742">
                  <c:v>87.42</c:v>
                </c:pt>
                <c:pt idx="18743">
                  <c:v>87.43</c:v>
                </c:pt>
                <c:pt idx="18744">
                  <c:v>87.44</c:v>
                </c:pt>
                <c:pt idx="18745">
                  <c:v>87.45</c:v>
                </c:pt>
                <c:pt idx="18746">
                  <c:v>87.46</c:v>
                </c:pt>
                <c:pt idx="18747">
                  <c:v>87.47</c:v>
                </c:pt>
                <c:pt idx="18748">
                  <c:v>87.48</c:v>
                </c:pt>
                <c:pt idx="18749">
                  <c:v>87.49</c:v>
                </c:pt>
                <c:pt idx="18750">
                  <c:v>87.5</c:v>
                </c:pt>
                <c:pt idx="18751">
                  <c:v>87.51</c:v>
                </c:pt>
                <c:pt idx="18752">
                  <c:v>87.52</c:v>
                </c:pt>
                <c:pt idx="18753">
                  <c:v>87.53</c:v>
                </c:pt>
                <c:pt idx="18754">
                  <c:v>87.54</c:v>
                </c:pt>
                <c:pt idx="18755">
                  <c:v>87.55</c:v>
                </c:pt>
                <c:pt idx="18756">
                  <c:v>87.56</c:v>
                </c:pt>
                <c:pt idx="18757">
                  <c:v>87.57</c:v>
                </c:pt>
                <c:pt idx="18758">
                  <c:v>87.58</c:v>
                </c:pt>
                <c:pt idx="18759">
                  <c:v>87.59</c:v>
                </c:pt>
                <c:pt idx="18760">
                  <c:v>87.6</c:v>
                </c:pt>
                <c:pt idx="18761">
                  <c:v>87.61</c:v>
                </c:pt>
                <c:pt idx="18762">
                  <c:v>87.62</c:v>
                </c:pt>
                <c:pt idx="18763">
                  <c:v>87.63</c:v>
                </c:pt>
                <c:pt idx="18764">
                  <c:v>87.64</c:v>
                </c:pt>
                <c:pt idx="18765">
                  <c:v>87.65</c:v>
                </c:pt>
                <c:pt idx="18766">
                  <c:v>87.66</c:v>
                </c:pt>
                <c:pt idx="18767">
                  <c:v>87.67</c:v>
                </c:pt>
                <c:pt idx="18768">
                  <c:v>87.68</c:v>
                </c:pt>
                <c:pt idx="18769">
                  <c:v>87.69</c:v>
                </c:pt>
                <c:pt idx="18770">
                  <c:v>87.7</c:v>
                </c:pt>
                <c:pt idx="18771">
                  <c:v>87.71</c:v>
                </c:pt>
                <c:pt idx="18772">
                  <c:v>87.72</c:v>
                </c:pt>
                <c:pt idx="18773">
                  <c:v>87.73</c:v>
                </c:pt>
                <c:pt idx="18774">
                  <c:v>87.74</c:v>
                </c:pt>
                <c:pt idx="18775">
                  <c:v>87.75</c:v>
                </c:pt>
                <c:pt idx="18776">
                  <c:v>87.76</c:v>
                </c:pt>
                <c:pt idx="18777">
                  <c:v>87.77</c:v>
                </c:pt>
                <c:pt idx="18778">
                  <c:v>87.78</c:v>
                </c:pt>
                <c:pt idx="18779">
                  <c:v>87.79</c:v>
                </c:pt>
                <c:pt idx="18780">
                  <c:v>87.8</c:v>
                </c:pt>
                <c:pt idx="18781">
                  <c:v>87.81</c:v>
                </c:pt>
                <c:pt idx="18782">
                  <c:v>87.82</c:v>
                </c:pt>
                <c:pt idx="18783">
                  <c:v>87.83</c:v>
                </c:pt>
                <c:pt idx="18784">
                  <c:v>87.84</c:v>
                </c:pt>
                <c:pt idx="18785">
                  <c:v>87.85</c:v>
                </c:pt>
                <c:pt idx="18786">
                  <c:v>87.86</c:v>
                </c:pt>
                <c:pt idx="18787">
                  <c:v>87.87</c:v>
                </c:pt>
                <c:pt idx="18788">
                  <c:v>87.88</c:v>
                </c:pt>
                <c:pt idx="18789">
                  <c:v>87.89</c:v>
                </c:pt>
                <c:pt idx="18790">
                  <c:v>87.9</c:v>
                </c:pt>
                <c:pt idx="18791">
                  <c:v>87.91</c:v>
                </c:pt>
                <c:pt idx="18792">
                  <c:v>87.92</c:v>
                </c:pt>
                <c:pt idx="18793">
                  <c:v>87.93</c:v>
                </c:pt>
                <c:pt idx="18794">
                  <c:v>87.94</c:v>
                </c:pt>
                <c:pt idx="18795">
                  <c:v>87.95</c:v>
                </c:pt>
                <c:pt idx="18796">
                  <c:v>87.96</c:v>
                </c:pt>
                <c:pt idx="18797">
                  <c:v>87.97</c:v>
                </c:pt>
                <c:pt idx="18798">
                  <c:v>87.98</c:v>
                </c:pt>
                <c:pt idx="18799">
                  <c:v>87.99</c:v>
                </c:pt>
                <c:pt idx="18800">
                  <c:v>88.0</c:v>
                </c:pt>
                <c:pt idx="18801">
                  <c:v>88.01</c:v>
                </c:pt>
                <c:pt idx="18802">
                  <c:v>88.02</c:v>
                </c:pt>
                <c:pt idx="18803">
                  <c:v>88.03</c:v>
                </c:pt>
                <c:pt idx="18804">
                  <c:v>88.04</c:v>
                </c:pt>
                <c:pt idx="18805">
                  <c:v>88.05</c:v>
                </c:pt>
                <c:pt idx="18806">
                  <c:v>88.06</c:v>
                </c:pt>
                <c:pt idx="18807">
                  <c:v>88.07</c:v>
                </c:pt>
                <c:pt idx="18808">
                  <c:v>88.08</c:v>
                </c:pt>
                <c:pt idx="18809">
                  <c:v>88.09</c:v>
                </c:pt>
                <c:pt idx="18810">
                  <c:v>88.1</c:v>
                </c:pt>
                <c:pt idx="18811">
                  <c:v>88.11</c:v>
                </c:pt>
                <c:pt idx="18812">
                  <c:v>88.12</c:v>
                </c:pt>
                <c:pt idx="18813">
                  <c:v>88.13</c:v>
                </c:pt>
                <c:pt idx="18814">
                  <c:v>88.14</c:v>
                </c:pt>
                <c:pt idx="18815">
                  <c:v>88.15</c:v>
                </c:pt>
                <c:pt idx="18816">
                  <c:v>88.16</c:v>
                </c:pt>
                <c:pt idx="18817">
                  <c:v>88.17</c:v>
                </c:pt>
                <c:pt idx="18818">
                  <c:v>88.18</c:v>
                </c:pt>
                <c:pt idx="18819">
                  <c:v>88.19</c:v>
                </c:pt>
                <c:pt idx="18820">
                  <c:v>88.2</c:v>
                </c:pt>
                <c:pt idx="18821">
                  <c:v>88.21</c:v>
                </c:pt>
                <c:pt idx="18822">
                  <c:v>88.22</c:v>
                </c:pt>
                <c:pt idx="18823">
                  <c:v>88.23</c:v>
                </c:pt>
                <c:pt idx="18824">
                  <c:v>88.24</c:v>
                </c:pt>
                <c:pt idx="18825">
                  <c:v>88.25</c:v>
                </c:pt>
                <c:pt idx="18826">
                  <c:v>88.26</c:v>
                </c:pt>
                <c:pt idx="18827">
                  <c:v>88.27</c:v>
                </c:pt>
                <c:pt idx="18828">
                  <c:v>88.28</c:v>
                </c:pt>
                <c:pt idx="18829">
                  <c:v>88.29</c:v>
                </c:pt>
                <c:pt idx="18830">
                  <c:v>88.3</c:v>
                </c:pt>
                <c:pt idx="18831">
                  <c:v>88.31</c:v>
                </c:pt>
                <c:pt idx="18832">
                  <c:v>88.32</c:v>
                </c:pt>
                <c:pt idx="18833">
                  <c:v>88.33</c:v>
                </c:pt>
                <c:pt idx="18834">
                  <c:v>88.34</c:v>
                </c:pt>
                <c:pt idx="18835">
                  <c:v>88.35</c:v>
                </c:pt>
                <c:pt idx="18836">
                  <c:v>88.36</c:v>
                </c:pt>
                <c:pt idx="18837">
                  <c:v>88.37</c:v>
                </c:pt>
                <c:pt idx="18838">
                  <c:v>88.38</c:v>
                </c:pt>
                <c:pt idx="18839">
                  <c:v>88.39</c:v>
                </c:pt>
                <c:pt idx="18840">
                  <c:v>88.4</c:v>
                </c:pt>
                <c:pt idx="18841">
                  <c:v>88.41</c:v>
                </c:pt>
                <c:pt idx="18842">
                  <c:v>88.42</c:v>
                </c:pt>
                <c:pt idx="18843">
                  <c:v>88.43</c:v>
                </c:pt>
                <c:pt idx="18844">
                  <c:v>88.44</c:v>
                </c:pt>
                <c:pt idx="18845">
                  <c:v>88.45</c:v>
                </c:pt>
                <c:pt idx="18846">
                  <c:v>88.46</c:v>
                </c:pt>
                <c:pt idx="18847">
                  <c:v>88.47</c:v>
                </c:pt>
                <c:pt idx="18848">
                  <c:v>88.48</c:v>
                </c:pt>
                <c:pt idx="18849">
                  <c:v>88.49</c:v>
                </c:pt>
                <c:pt idx="18850">
                  <c:v>88.5</c:v>
                </c:pt>
                <c:pt idx="18851">
                  <c:v>88.51</c:v>
                </c:pt>
                <c:pt idx="18852">
                  <c:v>88.52</c:v>
                </c:pt>
                <c:pt idx="18853">
                  <c:v>88.53</c:v>
                </c:pt>
                <c:pt idx="18854">
                  <c:v>88.54</c:v>
                </c:pt>
                <c:pt idx="18855">
                  <c:v>88.55</c:v>
                </c:pt>
                <c:pt idx="18856">
                  <c:v>88.56</c:v>
                </c:pt>
                <c:pt idx="18857">
                  <c:v>88.57</c:v>
                </c:pt>
                <c:pt idx="18858">
                  <c:v>88.58</c:v>
                </c:pt>
                <c:pt idx="18859">
                  <c:v>88.59</c:v>
                </c:pt>
                <c:pt idx="18860">
                  <c:v>88.6</c:v>
                </c:pt>
                <c:pt idx="18861">
                  <c:v>88.61</c:v>
                </c:pt>
                <c:pt idx="18862">
                  <c:v>88.62</c:v>
                </c:pt>
                <c:pt idx="18863">
                  <c:v>88.63</c:v>
                </c:pt>
                <c:pt idx="18864">
                  <c:v>88.64</c:v>
                </c:pt>
                <c:pt idx="18865">
                  <c:v>88.65</c:v>
                </c:pt>
                <c:pt idx="18866">
                  <c:v>88.66</c:v>
                </c:pt>
                <c:pt idx="18867">
                  <c:v>88.67</c:v>
                </c:pt>
                <c:pt idx="18868">
                  <c:v>88.68</c:v>
                </c:pt>
                <c:pt idx="18869">
                  <c:v>88.69</c:v>
                </c:pt>
                <c:pt idx="18870">
                  <c:v>88.7</c:v>
                </c:pt>
                <c:pt idx="18871">
                  <c:v>88.71</c:v>
                </c:pt>
                <c:pt idx="18872">
                  <c:v>88.72</c:v>
                </c:pt>
                <c:pt idx="18873">
                  <c:v>88.73</c:v>
                </c:pt>
                <c:pt idx="18874">
                  <c:v>88.74</c:v>
                </c:pt>
                <c:pt idx="18875">
                  <c:v>88.75</c:v>
                </c:pt>
                <c:pt idx="18876">
                  <c:v>88.76</c:v>
                </c:pt>
                <c:pt idx="18877">
                  <c:v>88.77</c:v>
                </c:pt>
                <c:pt idx="18878">
                  <c:v>88.78</c:v>
                </c:pt>
                <c:pt idx="18879">
                  <c:v>88.79</c:v>
                </c:pt>
                <c:pt idx="18880">
                  <c:v>88.8</c:v>
                </c:pt>
                <c:pt idx="18881">
                  <c:v>88.81</c:v>
                </c:pt>
                <c:pt idx="18882">
                  <c:v>88.82</c:v>
                </c:pt>
                <c:pt idx="18883">
                  <c:v>88.83</c:v>
                </c:pt>
                <c:pt idx="18884">
                  <c:v>88.84</c:v>
                </c:pt>
                <c:pt idx="18885">
                  <c:v>88.85</c:v>
                </c:pt>
                <c:pt idx="18886">
                  <c:v>88.86</c:v>
                </c:pt>
                <c:pt idx="18887">
                  <c:v>88.87</c:v>
                </c:pt>
                <c:pt idx="18888">
                  <c:v>88.88</c:v>
                </c:pt>
                <c:pt idx="18889">
                  <c:v>88.89</c:v>
                </c:pt>
                <c:pt idx="18890">
                  <c:v>88.9</c:v>
                </c:pt>
                <c:pt idx="18891">
                  <c:v>88.91</c:v>
                </c:pt>
                <c:pt idx="18892">
                  <c:v>88.92</c:v>
                </c:pt>
                <c:pt idx="18893">
                  <c:v>88.93</c:v>
                </c:pt>
                <c:pt idx="18894">
                  <c:v>88.94</c:v>
                </c:pt>
                <c:pt idx="18895">
                  <c:v>88.95</c:v>
                </c:pt>
                <c:pt idx="18896">
                  <c:v>88.96</c:v>
                </c:pt>
                <c:pt idx="18897">
                  <c:v>88.97</c:v>
                </c:pt>
                <c:pt idx="18898">
                  <c:v>88.98</c:v>
                </c:pt>
                <c:pt idx="18899">
                  <c:v>88.99</c:v>
                </c:pt>
                <c:pt idx="18900">
                  <c:v>89.0</c:v>
                </c:pt>
                <c:pt idx="18901">
                  <c:v>89.01</c:v>
                </c:pt>
                <c:pt idx="18902">
                  <c:v>89.02</c:v>
                </c:pt>
                <c:pt idx="18903">
                  <c:v>89.03</c:v>
                </c:pt>
                <c:pt idx="18904">
                  <c:v>89.04</c:v>
                </c:pt>
                <c:pt idx="18905">
                  <c:v>89.05</c:v>
                </c:pt>
                <c:pt idx="18906">
                  <c:v>89.06</c:v>
                </c:pt>
                <c:pt idx="18907">
                  <c:v>89.07</c:v>
                </c:pt>
                <c:pt idx="18908">
                  <c:v>89.08</c:v>
                </c:pt>
                <c:pt idx="18909">
                  <c:v>89.09</c:v>
                </c:pt>
                <c:pt idx="18910">
                  <c:v>89.1</c:v>
                </c:pt>
                <c:pt idx="18911">
                  <c:v>89.11</c:v>
                </c:pt>
                <c:pt idx="18912">
                  <c:v>89.12</c:v>
                </c:pt>
                <c:pt idx="18913">
                  <c:v>89.13</c:v>
                </c:pt>
                <c:pt idx="18914">
                  <c:v>89.14</c:v>
                </c:pt>
                <c:pt idx="18915">
                  <c:v>89.15</c:v>
                </c:pt>
                <c:pt idx="18916">
                  <c:v>89.16</c:v>
                </c:pt>
                <c:pt idx="18917">
                  <c:v>89.17</c:v>
                </c:pt>
                <c:pt idx="18918">
                  <c:v>89.18</c:v>
                </c:pt>
                <c:pt idx="18919">
                  <c:v>89.19</c:v>
                </c:pt>
                <c:pt idx="18920">
                  <c:v>89.2</c:v>
                </c:pt>
                <c:pt idx="18921">
                  <c:v>89.21</c:v>
                </c:pt>
                <c:pt idx="18922">
                  <c:v>89.22</c:v>
                </c:pt>
                <c:pt idx="18923">
                  <c:v>89.23</c:v>
                </c:pt>
                <c:pt idx="18924">
                  <c:v>89.24</c:v>
                </c:pt>
                <c:pt idx="18925">
                  <c:v>89.25</c:v>
                </c:pt>
                <c:pt idx="18926">
                  <c:v>89.26</c:v>
                </c:pt>
                <c:pt idx="18927">
                  <c:v>89.27</c:v>
                </c:pt>
                <c:pt idx="18928">
                  <c:v>89.28</c:v>
                </c:pt>
                <c:pt idx="18929">
                  <c:v>89.29</c:v>
                </c:pt>
                <c:pt idx="18930">
                  <c:v>89.3</c:v>
                </c:pt>
                <c:pt idx="18931">
                  <c:v>89.31</c:v>
                </c:pt>
                <c:pt idx="18932">
                  <c:v>89.32</c:v>
                </c:pt>
                <c:pt idx="18933">
                  <c:v>89.33</c:v>
                </c:pt>
                <c:pt idx="18934">
                  <c:v>89.34</c:v>
                </c:pt>
                <c:pt idx="18935">
                  <c:v>89.35</c:v>
                </c:pt>
                <c:pt idx="18936">
                  <c:v>89.36</c:v>
                </c:pt>
                <c:pt idx="18937">
                  <c:v>89.37</c:v>
                </c:pt>
                <c:pt idx="18938">
                  <c:v>89.38</c:v>
                </c:pt>
                <c:pt idx="18939">
                  <c:v>89.39</c:v>
                </c:pt>
                <c:pt idx="18940">
                  <c:v>89.4</c:v>
                </c:pt>
                <c:pt idx="18941">
                  <c:v>89.41</c:v>
                </c:pt>
                <c:pt idx="18942">
                  <c:v>89.42</c:v>
                </c:pt>
                <c:pt idx="18943">
                  <c:v>89.43</c:v>
                </c:pt>
                <c:pt idx="18944">
                  <c:v>89.44</c:v>
                </c:pt>
                <c:pt idx="18945">
                  <c:v>89.45</c:v>
                </c:pt>
                <c:pt idx="18946">
                  <c:v>89.46</c:v>
                </c:pt>
                <c:pt idx="18947">
                  <c:v>89.47</c:v>
                </c:pt>
                <c:pt idx="18948">
                  <c:v>89.48</c:v>
                </c:pt>
                <c:pt idx="18949">
                  <c:v>89.49</c:v>
                </c:pt>
                <c:pt idx="18950">
                  <c:v>89.5</c:v>
                </c:pt>
                <c:pt idx="18951">
                  <c:v>89.51</c:v>
                </c:pt>
                <c:pt idx="18952">
                  <c:v>89.52</c:v>
                </c:pt>
                <c:pt idx="18953">
                  <c:v>89.53</c:v>
                </c:pt>
                <c:pt idx="18954">
                  <c:v>89.54</c:v>
                </c:pt>
                <c:pt idx="18955">
                  <c:v>89.55</c:v>
                </c:pt>
                <c:pt idx="18956">
                  <c:v>89.56</c:v>
                </c:pt>
                <c:pt idx="18957">
                  <c:v>89.57</c:v>
                </c:pt>
                <c:pt idx="18958">
                  <c:v>89.58</c:v>
                </c:pt>
                <c:pt idx="18959">
                  <c:v>89.59</c:v>
                </c:pt>
                <c:pt idx="18960">
                  <c:v>89.6</c:v>
                </c:pt>
                <c:pt idx="18961">
                  <c:v>89.61</c:v>
                </c:pt>
                <c:pt idx="18962">
                  <c:v>89.62</c:v>
                </c:pt>
                <c:pt idx="18963">
                  <c:v>89.63</c:v>
                </c:pt>
                <c:pt idx="18964">
                  <c:v>89.64</c:v>
                </c:pt>
                <c:pt idx="18965">
                  <c:v>89.65</c:v>
                </c:pt>
                <c:pt idx="18966">
                  <c:v>89.66</c:v>
                </c:pt>
                <c:pt idx="18967">
                  <c:v>89.67</c:v>
                </c:pt>
                <c:pt idx="18968">
                  <c:v>89.68</c:v>
                </c:pt>
                <c:pt idx="18969">
                  <c:v>89.69</c:v>
                </c:pt>
                <c:pt idx="18970">
                  <c:v>89.7</c:v>
                </c:pt>
                <c:pt idx="18971">
                  <c:v>89.71</c:v>
                </c:pt>
                <c:pt idx="18972">
                  <c:v>89.72</c:v>
                </c:pt>
                <c:pt idx="18973">
                  <c:v>89.73</c:v>
                </c:pt>
                <c:pt idx="18974">
                  <c:v>89.74</c:v>
                </c:pt>
                <c:pt idx="18975">
                  <c:v>89.75</c:v>
                </c:pt>
                <c:pt idx="18976">
                  <c:v>89.76</c:v>
                </c:pt>
                <c:pt idx="18977">
                  <c:v>89.77</c:v>
                </c:pt>
                <c:pt idx="18978">
                  <c:v>89.78</c:v>
                </c:pt>
                <c:pt idx="18979">
                  <c:v>89.79</c:v>
                </c:pt>
                <c:pt idx="18980">
                  <c:v>89.8</c:v>
                </c:pt>
                <c:pt idx="18981">
                  <c:v>89.81</c:v>
                </c:pt>
                <c:pt idx="18982">
                  <c:v>89.82</c:v>
                </c:pt>
                <c:pt idx="18983">
                  <c:v>89.83</c:v>
                </c:pt>
                <c:pt idx="18984">
                  <c:v>89.84</c:v>
                </c:pt>
                <c:pt idx="18985">
                  <c:v>89.85</c:v>
                </c:pt>
                <c:pt idx="18986">
                  <c:v>89.86</c:v>
                </c:pt>
                <c:pt idx="18987">
                  <c:v>89.87</c:v>
                </c:pt>
                <c:pt idx="18988">
                  <c:v>89.88</c:v>
                </c:pt>
                <c:pt idx="18989">
                  <c:v>89.89</c:v>
                </c:pt>
                <c:pt idx="18990">
                  <c:v>89.9</c:v>
                </c:pt>
                <c:pt idx="18991">
                  <c:v>89.91</c:v>
                </c:pt>
                <c:pt idx="18992">
                  <c:v>89.92</c:v>
                </c:pt>
                <c:pt idx="18993">
                  <c:v>89.93</c:v>
                </c:pt>
                <c:pt idx="18994">
                  <c:v>89.94</c:v>
                </c:pt>
                <c:pt idx="18995">
                  <c:v>89.95</c:v>
                </c:pt>
                <c:pt idx="18996">
                  <c:v>89.96</c:v>
                </c:pt>
                <c:pt idx="18997">
                  <c:v>89.97</c:v>
                </c:pt>
                <c:pt idx="18998">
                  <c:v>89.98</c:v>
                </c:pt>
                <c:pt idx="18999">
                  <c:v>89.99</c:v>
                </c:pt>
                <c:pt idx="19000">
                  <c:v>90.0</c:v>
                </c:pt>
                <c:pt idx="19001">
                  <c:v>90.01</c:v>
                </c:pt>
                <c:pt idx="19002">
                  <c:v>90.02</c:v>
                </c:pt>
                <c:pt idx="19003">
                  <c:v>90.03</c:v>
                </c:pt>
                <c:pt idx="19004">
                  <c:v>90.04</c:v>
                </c:pt>
                <c:pt idx="19005">
                  <c:v>90.05</c:v>
                </c:pt>
                <c:pt idx="19006">
                  <c:v>90.06</c:v>
                </c:pt>
                <c:pt idx="19007">
                  <c:v>90.07</c:v>
                </c:pt>
                <c:pt idx="19008">
                  <c:v>90.08</c:v>
                </c:pt>
                <c:pt idx="19009">
                  <c:v>90.09</c:v>
                </c:pt>
                <c:pt idx="19010">
                  <c:v>90.1</c:v>
                </c:pt>
                <c:pt idx="19011">
                  <c:v>90.11</c:v>
                </c:pt>
                <c:pt idx="19012">
                  <c:v>90.12</c:v>
                </c:pt>
                <c:pt idx="19013">
                  <c:v>90.13</c:v>
                </c:pt>
                <c:pt idx="19014">
                  <c:v>90.14</c:v>
                </c:pt>
                <c:pt idx="19015">
                  <c:v>90.15</c:v>
                </c:pt>
                <c:pt idx="19016">
                  <c:v>90.16</c:v>
                </c:pt>
                <c:pt idx="19017">
                  <c:v>90.17</c:v>
                </c:pt>
                <c:pt idx="19018">
                  <c:v>90.18</c:v>
                </c:pt>
                <c:pt idx="19019">
                  <c:v>90.19</c:v>
                </c:pt>
                <c:pt idx="19020">
                  <c:v>90.2</c:v>
                </c:pt>
                <c:pt idx="19021">
                  <c:v>90.21</c:v>
                </c:pt>
                <c:pt idx="19022">
                  <c:v>90.22</c:v>
                </c:pt>
                <c:pt idx="19023">
                  <c:v>90.23</c:v>
                </c:pt>
                <c:pt idx="19024">
                  <c:v>90.24</c:v>
                </c:pt>
                <c:pt idx="19025">
                  <c:v>90.25</c:v>
                </c:pt>
                <c:pt idx="19026">
                  <c:v>90.26</c:v>
                </c:pt>
                <c:pt idx="19027">
                  <c:v>90.27</c:v>
                </c:pt>
                <c:pt idx="19028">
                  <c:v>90.28</c:v>
                </c:pt>
                <c:pt idx="19029">
                  <c:v>90.29</c:v>
                </c:pt>
                <c:pt idx="19030">
                  <c:v>90.3</c:v>
                </c:pt>
                <c:pt idx="19031">
                  <c:v>90.31</c:v>
                </c:pt>
                <c:pt idx="19032">
                  <c:v>90.32</c:v>
                </c:pt>
                <c:pt idx="19033">
                  <c:v>90.33</c:v>
                </c:pt>
                <c:pt idx="19034">
                  <c:v>90.34</c:v>
                </c:pt>
                <c:pt idx="19035">
                  <c:v>90.35</c:v>
                </c:pt>
                <c:pt idx="19036">
                  <c:v>90.36</c:v>
                </c:pt>
                <c:pt idx="19037">
                  <c:v>90.37</c:v>
                </c:pt>
                <c:pt idx="19038">
                  <c:v>90.38</c:v>
                </c:pt>
                <c:pt idx="19039">
                  <c:v>90.39</c:v>
                </c:pt>
                <c:pt idx="19040">
                  <c:v>90.4</c:v>
                </c:pt>
                <c:pt idx="19041">
                  <c:v>90.41</c:v>
                </c:pt>
                <c:pt idx="19042">
                  <c:v>90.42</c:v>
                </c:pt>
                <c:pt idx="19043">
                  <c:v>90.43</c:v>
                </c:pt>
                <c:pt idx="19044">
                  <c:v>90.44</c:v>
                </c:pt>
                <c:pt idx="19045">
                  <c:v>90.45</c:v>
                </c:pt>
                <c:pt idx="19046">
                  <c:v>90.46</c:v>
                </c:pt>
                <c:pt idx="19047">
                  <c:v>90.47</c:v>
                </c:pt>
                <c:pt idx="19048">
                  <c:v>90.48</c:v>
                </c:pt>
                <c:pt idx="19049">
                  <c:v>90.49</c:v>
                </c:pt>
                <c:pt idx="19050">
                  <c:v>90.5</c:v>
                </c:pt>
                <c:pt idx="19051">
                  <c:v>90.51</c:v>
                </c:pt>
                <c:pt idx="19052">
                  <c:v>90.52</c:v>
                </c:pt>
                <c:pt idx="19053">
                  <c:v>90.53</c:v>
                </c:pt>
                <c:pt idx="19054">
                  <c:v>90.54</c:v>
                </c:pt>
                <c:pt idx="19055">
                  <c:v>90.55</c:v>
                </c:pt>
                <c:pt idx="19056">
                  <c:v>90.56</c:v>
                </c:pt>
                <c:pt idx="19057">
                  <c:v>90.57</c:v>
                </c:pt>
                <c:pt idx="19058">
                  <c:v>90.58</c:v>
                </c:pt>
                <c:pt idx="19059">
                  <c:v>90.59</c:v>
                </c:pt>
                <c:pt idx="19060">
                  <c:v>90.6</c:v>
                </c:pt>
                <c:pt idx="19061">
                  <c:v>90.61</c:v>
                </c:pt>
                <c:pt idx="19062">
                  <c:v>90.62</c:v>
                </c:pt>
                <c:pt idx="19063">
                  <c:v>90.63</c:v>
                </c:pt>
                <c:pt idx="19064">
                  <c:v>90.64</c:v>
                </c:pt>
                <c:pt idx="19065">
                  <c:v>90.65</c:v>
                </c:pt>
                <c:pt idx="19066">
                  <c:v>90.66</c:v>
                </c:pt>
                <c:pt idx="19067">
                  <c:v>90.67</c:v>
                </c:pt>
                <c:pt idx="19068">
                  <c:v>90.68</c:v>
                </c:pt>
                <c:pt idx="19069">
                  <c:v>90.69</c:v>
                </c:pt>
                <c:pt idx="19070">
                  <c:v>90.7</c:v>
                </c:pt>
                <c:pt idx="19071">
                  <c:v>90.71</c:v>
                </c:pt>
                <c:pt idx="19072">
                  <c:v>90.72</c:v>
                </c:pt>
                <c:pt idx="19073">
                  <c:v>90.73</c:v>
                </c:pt>
                <c:pt idx="19074">
                  <c:v>90.74</c:v>
                </c:pt>
                <c:pt idx="19075">
                  <c:v>90.75</c:v>
                </c:pt>
                <c:pt idx="19076">
                  <c:v>90.76</c:v>
                </c:pt>
                <c:pt idx="19077">
                  <c:v>90.77</c:v>
                </c:pt>
                <c:pt idx="19078">
                  <c:v>90.78</c:v>
                </c:pt>
                <c:pt idx="19079">
                  <c:v>90.79</c:v>
                </c:pt>
                <c:pt idx="19080">
                  <c:v>90.8</c:v>
                </c:pt>
                <c:pt idx="19081">
                  <c:v>90.81</c:v>
                </c:pt>
                <c:pt idx="19082">
                  <c:v>90.82</c:v>
                </c:pt>
                <c:pt idx="19083">
                  <c:v>90.83</c:v>
                </c:pt>
                <c:pt idx="19084">
                  <c:v>90.84</c:v>
                </c:pt>
                <c:pt idx="19085">
                  <c:v>90.85</c:v>
                </c:pt>
                <c:pt idx="19086">
                  <c:v>90.86</c:v>
                </c:pt>
                <c:pt idx="19087">
                  <c:v>90.87</c:v>
                </c:pt>
                <c:pt idx="19088">
                  <c:v>90.88</c:v>
                </c:pt>
                <c:pt idx="19089">
                  <c:v>90.89</c:v>
                </c:pt>
                <c:pt idx="19090">
                  <c:v>90.9</c:v>
                </c:pt>
                <c:pt idx="19091">
                  <c:v>90.91</c:v>
                </c:pt>
                <c:pt idx="19092">
                  <c:v>90.92</c:v>
                </c:pt>
                <c:pt idx="19093">
                  <c:v>90.93</c:v>
                </c:pt>
                <c:pt idx="19094">
                  <c:v>90.94</c:v>
                </c:pt>
                <c:pt idx="19095">
                  <c:v>90.95</c:v>
                </c:pt>
                <c:pt idx="19096">
                  <c:v>90.96</c:v>
                </c:pt>
                <c:pt idx="19097">
                  <c:v>90.97</c:v>
                </c:pt>
                <c:pt idx="19098">
                  <c:v>90.98</c:v>
                </c:pt>
                <c:pt idx="19099">
                  <c:v>90.99</c:v>
                </c:pt>
                <c:pt idx="19100">
                  <c:v>91.0</c:v>
                </c:pt>
                <c:pt idx="19101">
                  <c:v>91.01</c:v>
                </c:pt>
                <c:pt idx="19102">
                  <c:v>91.02</c:v>
                </c:pt>
                <c:pt idx="19103">
                  <c:v>91.03</c:v>
                </c:pt>
                <c:pt idx="19104">
                  <c:v>91.04</c:v>
                </c:pt>
                <c:pt idx="19105">
                  <c:v>91.05</c:v>
                </c:pt>
                <c:pt idx="19106">
                  <c:v>91.06</c:v>
                </c:pt>
                <c:pt idx="19107">
                  <c:v>91.07</c:v>
                </c:pt>
                <c:pt idx="19108">
                  <c:v>91.08</c:v>
                </c:pt>
                <c:pt idx="19109">
                  <c:v>91.09</c:v>
                </c:pt>
                <c:pt idx="19110">
                  <c:v>91.1</c:v>
                </c:pt>
                <c:pt idx="19111">
                  <c:v>91.11</c:v>
                </c:pt>
                <c:pt idx="19112">
                  <c:v>91.12</c:v>
                </c:pt>
                <c:pt idx="19113">
                  <c:v>91.13</c:v>
                </c:pt>
                <c:pt idx="19114">
                  <c:v>91.14</c:v>
                </c:pt>
                <c:pt idx="19115">
                  <c:v>91.15</c:v>
                </c:pt>
                <c:pt idx="19116">
                  <c:v>91.16</c:v>
                </c:pt>
                <c:pt idx="19117">
                  <c:v>91.17</c:v>
                </c:pt>
                <c:pt idx="19118">
                  <c:v>91.18</c:v>
                </c:pt>
                <c:pt idx="19119">
                  <c:v>91.19</c:v>
                </c:pt>
                <c:pt idx="19120">
                  <c:v>91.2</c:v>
                </c:pt>
                <c:pt idx="19121">
                  <c:v>91.21</c:v>
                </c:pt>
                <c:pt idx="19122">
                  <c:v>91.22</c:v>
                </c:pt>
                <c:pt idx="19123">
                  <c:v>91.23</c:v>
                </c:pt>
                <c:pt idx="19124">
                  <c:v>91.24</c:v>
                </c:pt>
                <c:pt idx="19125">
                  <c:v>91.25</c:v>
                </c:pt>
                <c:pt idx="19126">
                  <c:v>91.26</c:v>
                </c:pt>
                <c:pt idx="19127">
                  <c:v>91.27</c:v>
                </c:pt>
                <c:pt idx="19128">
                  <c:v>91.28</c:v>
                </c:pt>
                <c:pt idx="19129">
                  <c:v>91.29</c:v>
                </c:pt>
                <c:pt idx="19130">
                  <c:v>91.3</c:v>
                </c:pt>
                <c:pt idx="19131">
                  <c:v>91.31</c:v>
                </c:pt>
                <c:pt idx="19132">
                  <c:v>91.32</c:v>
                </c:pt>
                <c:pt idx="19133">
                  <c:v>91.33</c:v>
                </c:pt>
                <c:pt idx="19134">
                  <c:v>91.34</c:v>
                </c:pt>
                <c:pt idx="19135">
                  <c:v>91.35</c:v>
                </c:pt>
                <c:pt idx="19136">
                  <c:v>91.36</c:v>
                </c:pt>
                <c:pt idx="19137">
                  <c:v>91.37</c:v>
                </c:pt>
                <c:pt idx="19138">
                  <c:v>91.38</c:v>
                </c:pt>
                <c:pt idx="19139">
                  <c:v>91.39</c:v>
                </c:pt>
                <c:pt idx="19140">
                  <c:v>91.4</c:v>
                </c:pt>
                <c:pt idx="19141">
                  <c:v>91.41</c:v>
                </c:pt>
                <c:pt idx="19142">
                  <c:v>91.42</c:v>
                </c:pt>
                <c:pt idx="19143">
                  <c:v>91.43</c:v>
                </c:pt>
                <c:pt idx="19144">
                  <c:v>91.44</c:v>
                </c:pt>
                <c:pt idx="19145">
                  <c:v>91.45</c:v>
                </c:pt>
                <c:pt idx="19146">
                  <c:v>91.46</c:v>
                </c:pt>
                <c:pt idx="19147">
                  <c:v>91.47</c:v>
                </c:pt>
                <c:pt idx="19148">
                  <c:v>91.48</c:v>
                </c:pt>
                <c:pt idx="19149">
                  <c:v>91.49</c:v>
                </c:pt>
                <c:pt idx="19150">
                  <c:v>91.5</c:v>
                </c:pt>
                <c:pt idx="19151">
                  <c:v>91.51</c:v>
                </c:pt>
                <c:pt idx="19152">
                  <c:v>91.52</c:v>
                </c:pt>
                <c:pt idx="19153">
                  <c:v>91.53</c:v>
                </c:pt>
                <c:pt idx="19154">
                  <c:v>91.54</c:v>
                </c:pt>
                <c:pt idx="19155">
                  <c:v>91.55</c:v>
                </c:pt>
                <c:pt idx="19156">
                  <c:v>91.56</c:v>
                </c:pt>
                <c:pt idx="19157">
                  <c:v>91.57</c:v>
                </c:pt>
                <c:pt idx="19158">
                  <c:v>91.58</c:v>
                </c:pt>
                <c:pt idx="19159">
                  <c:v>91.59</c:v>
                </c:pt>
                <c:pt idx="19160">
                  <c:v>91.6</c:v>
                </c:pt>
                <c:pt idx="19161">
                  <c:v>91.61</c:v>
                </c:pt>
                <c:pt idx="19162">
                  <c:v>91.62</c:v>
                </c:pt>
                <c:pt idx="19163">
                  <c:v>91.63</c:v>
                </c:pt>
                <c:pt idx="19164">
                  <c:v>91.64</c:v>
                </c:pt>
                <c:pt idx="19165">
                  <c:v>91.65</c:v>
                </c:pt>
                <c:pt idx="19166">
                  <c:v>91.66</c:v>
                </c:pt>
                <c:pt idx="19167">
                  <c:v>91.67</c:v>
                </c:pt>
                <c:pt idx="19168">
                  <c:v>91.68</c:v>
                </c:pt>
                <c:pt idx="19169">
                  <c:v>91.69</c:v>
                </c:pt>
                <c:pt idx="19170">
                  <c:v>91.7</c:v>
                </c:pt>
                <c:pt idx="19171">
                  <c:v>91.71</c:v>
                </c:pt>
                <c:pt idx="19172">
                  <c:v>91.72</c:v>
                </c:pt>
                <c:pt idx="19173">
                  <c:v>91.73</c:v>
                </c:pt>
                <c:pt idx="19174">
                  <c:v>91.74</c:v>
                </c:pt>
                <c:pt idx="19175">
                  <c:v>91.75</c:v>
                </c:pt>
                <c:pt idx="19176">
                  <c:v>91.76</c:v>
                </c:pt>
                <c:pt idx="19177">
                  <c:v>91.77</c:v>
                </c:pt>
                <c:pt idx="19178">
                  <c:v>91.78</c:v>
                </c:pt>
                <c:pt idx="19179">
                  <c:v>91.79</c:v>
                </c:pt>
                <c:pt idx="19180">
                  <c:v>91.8</c:v>
                </c:pt>
                <c:pt idx="19181">
                  <c:v>91.81</c:v>
                </c:pt>
                <c:pt idx="19182">
                  <c:v>91.82</c:v>
                </c:pt>
                <c:pt idx="19183">
                  <c:v>91.83</c:v>
                </c:pt>
                <c:pt idx="19184">
                  <c:v>91.84</c:v>
                </c:pt>
                <c:pt idx="19185">
                  <c:v>91.85</c:v>
                </c:pt>
                <c:pt idx="19186">
                  <c:v>91.86</c:v>
                </c:pt>
                <c:pt idx="19187">
                  <c:v>91.87</c:v>
                </c:pt>
                <c:pt idx="19188">
                  <c:v>91.88</c:v>
                </c:pt>
                <c:pt idx="19189">
                  <c:v>91.89</c:v>
                </c:pt>
                <c:pt idx="19190">
                  <c:v>91.9</c:v>
                </c:pt>
                <c:pt idx="19191">
                  <c:v>91.91</c:v>
                </c:pt>
                <c:pt idx="19192">
                  <c:v>91.92</c:v>
                </c:pt>
                <c:pt idx="19193">
                  <c:v>91.93</c:v>
                </c:pt>
                <c:pt idx="19194">
                  <c:v>91.94</c:v>
                </c:pt>
                <c:pt idx="19195">
                  <c:v>91.95</c:v>
                </c:pt>
                <c:pt idx="19196">
                  <c:v>91.96</c:v>
                </c:pt>
                <c:pt idx="19197">
                  <c:v>91.97</c:v>
                </c:pt>
                <c:pt idx="19198">
                  <c:v>91.98</c:v>
                </c:pt>
                <c:pt idx="19199">
                  <c:v>91.99</c:v>
                </c:pt>
                <c:pt idx="19200">
                  <c:v>92.0</c:v>
                </c:pt>
                <c:pt idx="19201">
                  <c:v>92.01</c:v>
                </c:pt>
                <c:pt idx="19202">
                  <c:v>92.02</c:v>
                </c:pt>
                <c:pt idx="19203">
                  <c:v>92.03</c:v>
                </c:pt>
                <c:pt idx="19204">
                  <c:v>92.04</c:v>
                </c:pt>
                <c:pt idx="19205">
                  <c:v>92.05</c:v>
                </c:pt>
                <c:pt idx="19206">
                  <c:v>92.06</c:v>
                </c:pt>
                <c:pt idx="19207">
                  <c:v>92.07</c:v>
                </c:pt>
                <c:pt idx="19208">
                  <c:v>92.08</c:v>
                </c:pt>
                <c:pt idx="19209">
                  <c:v>92.09</c:v>
                </c:pt>
                <c:pt idx="19210">
                  <c:v>92.1</c:v>
                </c:pt>
                <c:pt idx="19211">
                  <c:v>92.11</c:v>
                </c:pt>
                <c:pt idx="19212">
                  <c:v>92.12</c:v>
                </c:pt>
                <c:pt idx="19213">
                  <c:v>92.13</c:v>
                </c:pt>
                <c:pt idx="19214">
                  <c:v>92.14</c:v>
                </c:pt>
                <c:pt idx="19215">
                  <c:v>92.15</c:v>
                </c:pt>
                <c:pt idx="19216">
                  <c:v>92.16</c:v>
                </c:pt>
                <c:pt idx="19217">
                  <c:v>92.17</c:v>
                </c:pt>
                <c:pt idx="19218">
                  <c:v>92.18</c:v>
                </c:pt>
                <c:pt idx="19219">
                  <c:v>92.19</c:v>
                </c:pt>
                <c:pt idx="19220">
                  <c:v>92.2</c:v>
                </c:pt>
                <c:pt idx="19221">
                  <c:v>92.21</c:v>
                </c:pt>
                <c:pt idx="19222">
                  <c:v>92.22</c:v>
                </c:pt>
                <c:pt idx="19223">
                  <c:v>92.23</c:v>
                </c:pt>
                <c:pt idx="19224">
                  <c:v>92.24</c:v>
                </c:pt>
                <c:pt idx="19225">
                  <c:v>92.25</c:v>
                </c:pt>
                <c:pt idx="19226">
                  <c:v>92.26</c:v>
                </c:pt>
                <c:pt idx="19227">
                  <c:v>92.27</c:v>
                </c:pt>
                <c:pt idx="19228">
                  <c:v>92.28</c:v>
                </c:pt>
                <c:pt idx="19229">
                  <c:v>92.29</c:v>
                </c:pt>
                <c:pt idx="19230">
                  <c:v>92.3</c:v>
                </c:pt>
                <c:pt idx="19231">
                  <c:v>92.31</c:v>
                </c:pt>
                <c:pt idx="19232">
                  <c:v>92.32</c:v>
                </c:pt>
                <c:pt idx="19233">
                  <c:v>92.33</c:v>
                </c:pt>
                <c:pt idx="19234">
                  <c:v>92.34</c:v>
                </c:pt>
                <c:pt idx="19235">
                  <c:v>92.35</c:v>
                </c:pt>
                <c:pt idx="19236">
                  <c:v>92.36</c:v>
                </c:pt>
                <c:pt idx="19237">
                  <c:v>92.37</c:v>
                </c:pt>
                <c:pt idx="19238">
                  <c:v>92.38</c:v>
                </c:pt>
                <c:pt idx="19239">
                  <c:v>92.39</c:v>
                </c:pt>
                <c:pt idx="19240">
                  <c:v>92.4</c:v>
                </c:pt>
                <c:pt idx="19241">
                  <c:v>92.41</c:v>
                </c:pt>
                <c:pt idx="19242">
                  <c:v>92.42</c:v>
                </c:pt>
                <c:pt idx="19243">
                  <c:v>92.43</c:v>
                </c:pt>
                <c:pt idx="19244">
                  <c:v>92.44</c:v>
                </c:pt>
                <c:pt idx="19245">
                  <c:v>92.45</c:v>
                </c:pt>
                <c:pt idx="19246">
                  <c:v>92.46</c:v>
                </c:pt>
                <c:pt idx="19247">
                  <c:v>92.47</c:v>
                </c:pt>
                <c:pt idx="19248">
                  <c:v>92.48</c:v>
                </c:pt>
                <c:pt idx="19249">
                  <c:v>92.49</c:v>
                </c:pt>
                <c:pt idx="19250">
                  <c:v>92.5</c:v>
                </c:pt>
                <c:pt idx="19251">
                  <c:v>92.51</c:v>
                </c:pt>
                <c:pt idx="19252">
                  <c:v>92.52</c:v>
                </c:pt>
                <c:pt idx="19253">
                  <c:v>92.53</c:v>
                </c:pt>
                <c:pt idx="19254">
                  <c:v>92.54</c:v>
                </c:pt>
                <c:pt idx="19255">
                  <c:v>92.55</c:v>
                </c:pt>
                <c:pt idx="19256">
                  <c:v>92.56</c:v>
                </c:pt>
                <c:pt idx="19257">
                  <c:v>92.57</c:v>
                </c:pt>
                <c:pt idx="19258">
                  <c:v>92.58</c:v>
                </c:pt>
                <c:pt idx="19259">
                  <c:v>92.59</c:v>
                </c:pt>
                <c:pt idx="19260">
                  <c:v>92.6</c:v>
                </c:pt>
                <c:pt idx="19261">
                  <c:v>92.61</c:v>
                </c:pt>
                <c:pt idx="19262">
                  <c:v>92.62</c:v>
                </c:pt>
                <c:pt idx="19263">
                  <c:v>92.63</c:v>
                </c:pt>
                <c:pt idx="19264">
                  <c:v>92.64</c:v>
                </c:pt>
                <c:pt idx="19265">
                  <c:v>92.65</c:v>
                </c:pt>
                <c:pt idx="19266">
                  <c:v>92.66</c:v>
                </c:pt>
                <c:pt idx="19267">
                  <c:v>92.67</c:v>
                </c:pt>
                <c:pt idx="19268">
                  <c:v>92.68</c:v>
                </c:pt>
                <c:pt idx="19269">
                  <c:v>92.69</c:v>
                </c:pt>
                <c:pt idx="19270">
                  <c:v>92.7</c:v>
                </c:pt>
                <c:pt idx="19271">
                  <c:v>92.71</c:v>
                </c:pt>
                <c:pt idx="19272">
                  <c:v>92.72</c:v>
                </c:pt>
                <c:pt idx="19273">
                  <c:v>92.73</c:v>
                </c:pt>
                <c:pt idx="19274">
                  <c:v>92.74</c:v>
                </c:pt>
                <c:pt idx="19275">
                  <c:v>92.75</c:v>
                </c:pt>
                <c:pt idx="19276">
                  <c:v>92.76</c:v>
                </c:pt>
                <c:pt idx="19277">
                  <c:v>92.77</c:v>
                </c:pt>
                <c:pt idx="19278">
                  <c:v>92.78</c:v>
                </c:pt>
                <c:pt idx="19279">
                  <c:v>92.79</c:v>
                </c:pt>
                <c:pt idx="19280">
                  <c:v>92.8</c:v>
                </c:pt>
                <c:pt idx="19281">
                  <c:v>92.81</c:v>
                </c:pt>
                <c:pt idx="19282">
                  <c:v>92.82</c:v>
                </c:pt>
                <c:pt idx="19283">
                  <c:v>92.83</c:v>
                </c:pt>
                <c:pt idx="19284">
                  <c:v>92.84</c:v>
                </c:pt>
                <c:pt idx="19285">
                  <c:v>92.85</c:v>
                </c:pt>
                <c:pt idx="19286">
                  <c:v>92.86</c:v>
                </c:pt>
                <c:pt idx="19287">
                  <c:v>92.87</c:v>
                </c:pt>
                <c:pt idx="19288">
                  <c:v>92.88</c:v>
                </c:pt>
                <c:pt idx="19289">
                  <c:v>92.89</c:v>
                </c:pt>
                <c:pt idx="19290">
                  <c:v>92.9</c:v>
                </c:pt>
                <c:pt idx="19291">
                  <c:v>92.91</c:v>
                </c:pt>
                <c:pt idx="19292">
                  <c:v>92.92</c:v>
                </c:pt>
                <c:pt idx="19293">
                  <c:v>92.93</c:v>
                </c:pt>
                <c:pt idx="19294">
                  <c:v>92.94</c:v>
                </c:pt>
                <c:pt idx="19295">
                  <c:v>92.95</c:v>
                </c:pt>
                <c:pt idx="19296">
                  <c:v>92.96</c:v>
                </c:pt>
                <c:pt idx="19297">
                  <c:v>92.97</c:v>
                </c:pt>
                <c:pt idx="19298">
                  <c:v>92.98</c:v>
                </c:pt>
                <c:pt idx="19299">
                  <c:v>92.99</c:v>
                </c:pt>
                <c:pt idx="19300">
                  <c:v>93.0</c:v>
                </c:pt>
                <c:pt idx="19301">
                  <c:v>93.01</c:v>
                </c:pt>
                <c:pt idx="19302">
                  <c:v>93.02</c:v>
                </c:pt>
                <c:pt idx="19303">
                  <c:v>93.03</c:v>
                </c:pt>
                <c:pt idx="19304">
                  <c:v>93.04</c:v>
                </c:pt>
                <c:pt idx="19305">
                  <c:v>93.05</c:v>
                </c:pt>
                <c:pt idx="19306">
                  <c:v>93.06</c:v>
                </c:pt>
                <c:pt idx="19307">
                  <c:v>93.07</c:v>
                </c:pt>
                <c:pt idx="19308">
                  <c:v>93.08</c:v>
                </c:pt>
                <c:pt idx="19309">
                  <c:v>93.09</c:v>
                </c:pt>
                <c:pt idx="19310">
                  <c:v>93.1</c:v>
                </c:pt>
                <c:pt idx="19311">
                  <c:v>93.11</c:v>
                </c:pt>
                <c:pt idx="19312">
                  <c:v>93.12</c:v>
                </c:pt>
                <c:pt idx="19313">
                  <c:v>93.13</c:v>
                </c:pt>
                <c:pt idx="19314">
                  <c:v>93.14</c:v>
                </c:pt>
                <c:pt idx="19315">
                  <c:v>93.15</c:v>
                </c:pt>
                <c:pt idx="19316">
                  <c:v>93.16</c:v>
                </c:pt>
                <c:pt idx="19317">
                  <c:v>93.17</c:v>
                </c:pt>
                <c:pt idx="19318">
                  <c:v>93.18</c:v>
                </c:pt>
                <c:pt idx="19319">
                  <c:v>93.19</c:v>
                </c:pt>
                <c:pt idx="19320">
                  <c:v>93.2</c:v>
                </c:pt>
                <c:pt idx="19321">
                  <c:v>93.21</c:v>
                </c:pt>
                <c:pt idx="19322">
                  <c:v>93.22</c:v>
                </c:pt>
                <c:pt idx="19323">
                  <c:v>93.23</c:v>
                </c:pt>
                <c:pt idx="19324">
                  <c:v>93.24</c:v>
                </c:pt>
                <c:pt idx="19325">
                  <c:v>93.25</c:v>
                </c:pt>
                <c:pt idx="19326">
                  <c:v>93.26</c:v>
                </c:pt>
                <c:pt idx="19327">
                  <c:v>93.27</c:v>
                </c:pt>
                <c:pt idx="19328">
                  <c:v>93.28</c:v>
                </c:pt>
                <c:pt idx="19329">
                  <c:v>93.29</c:v>
                </c:pt>
                <c:pt idx="19330">
                  <c:v>93.3</c:v>
                </c:pt>
                <c:pt idx="19331">
                  <c:v>93.31</c:v>
                </c:pt>
                <c:pt idx="19332">
                  <c:v>93.32</c:v>
                </c:pt>
                <c:pt idx="19333">
                  <c:v>93.33</c:v>
                </c:pt>
                <c:pt idx="19334">
                  <c:v>93.34</c:v>
                </c:pt>
                <c:pt idx="19335">
                  <c:v>93.35</c:v>
                </c:pt>
                <c:pt idx="19336">
                  <c:v>93.36</c:v>
                </c:pt>
                <c:pt idx="19337">
                  <c:v>93.37</c:v>
                </c:pt>
                <c:pt idx="19338">
                  <c:v>93.38</c:v>
                </c:pt>
                <c:pt idx="19339">
                  <c:v>93.39</c:v>
                </c:pt>
                <c:pt idx="19340">
                  <c:v>93.4</c:v>
                </c:pt>
                <c:pt idx="19341">
                  <c:v>93.41</c:v>
                </c:pt>
                <c:pt idx="19342">
                  <c:v>93.42</c:v>
                </c:pt>
                <c:pt idx="19343">
                  <c:v>93.43</c:v>
                </c:pt>
                <c:pt idx="19344">
                  <c:v>93.44</c:v>
                </c:pt>
                <c:pt idx="19345">
                  <c:v>93.45</c:v>
                </c:pt>
                <c:pt idx="19346">
                  <c:v>93.46</c:v>
                </c:pt>
                <c:pt idx="19347">
                  <c:v>93.47</c:v>
                </c:pt>
                <c:pt idx="19348">
                  <c:v>93.48</c:v>
                </c:pt>
                <c:pt idx="19349">
                  <c:v>93.49</c:v>
                </c:pt>
                <c:pt idx="19350">
                  <c:v>93.5</c:v>
                </c:pt>
                <c:pt idx="19351">
                  <c:v>93.51</c:v>
                </c:pt>
                <c:pt idx="19352">
                  <c:v>93.52</c:v>
                </c:pt>
                <c:pt idx="19353">
                  <c:v>93.53</c:v>
                </c:pt>
                <c:pt idx="19354">
                  <c:v>93.54</c:v>
                </c:pt>
                <c:pt idx="19355">
                  <c:v>93.55</c:v>
                </c:pt>
                <c:pt idx="19356">
                  <c:v>93.56</c:v>
                </c:pt>
                <c:pt idx="19357">
                  <c:v>93.57</c:v>
                </c:pt>
                <c:pt idx="19358">
                  <c:v>93.58</c:v>
                </c:pt>
                <c:pt idx="19359">
                  <c:v>93.59</c:v>
                </c:pt>
                <c:pt idx="19360">
                  <c:v>93.6</c:v>
                </c:pt>
                <c:pt idx="19361">
                  <c:v>93.61</c:v>
                </c:pt>
                <c:pt idx="19362">
                  <c:v>93.62</c:v>
                </c:pt>
                <c:pt idx="19363">
                  <c:v>93.63</c:v>
                </c:pt>
                <c:pt idx="19364">
                  <c:v>93.64</c:v>
                </c:pt>
                <c:pt idx="19365">
                  <c:v>93.65</c:v>
                </c:pt>
                <c:pt idx="19366">
                  <c:v>93.66</c:v>
                </c:pt>
                <c:pt idx="19367">
                  <c:v>93.67</c:v>
                </c:pt>
                <c:pt idx="19368">
                  <c:v>93.68</c:v>
                </c:pt>
                <c:pt idx="19369">
                  <c:v>93.69</c:v>
                </c:pt>
                <c:pt idx="19370">
                  <c:v>93.7</c:v>
                </c:pt>
                <c:pt idx="19371">
                  <c:v>93.71</c:v>
                </c:pt>
                <c:pt idx="19372">
                  <c:v>93.72</c:v>
                </c:pt>
                <c:pt idx="19373">
                  <c:v>93.73</c:v>
                </c:pt>
                <c:pt idx="19374">
                  <c:v>93.74</c:v>
                </c:pt>
                <c:pt idx="19375">
                  <c:v>93.75</c:v>
                </c:pt>
                <c:pt idx="19376">
                  <c:v>93.76</c:v>
                </c:pt>
                <c:pt idx="19377">
                  <c:v>93.77</c:v>
                </c:pt>
                <c:pt idx="19378">
                  <c:v>93.78</c:v>
                </c:pt>
                <c:pt idx="19379">
                  <c:v>93.79</c:v>
                </c:pt>
                <c:pt idx="19380">
                  <c:v>93.8</c:v>
                </c:pt>
                <c:pt idx="19381">
                  <c:v>93.81</c:v>
                </c:pt>
                <c:pt idx="19382">
                  <c:v>93.82</c:v>
                </c:pt>
                <c:pt idx="19383">
                  <c:v>93.83</c:v>
                </c:pt>
                <c:pt idx="19384">
                  <c:v>93.84</c:v>
                </c:pt>
                <c:pt idx="19385">
                  <c:v>93.85</c:v>
                </c:pt>
                <c:pt idx="19386">
                  <c:v>93.86</c:v>
                </c:pt>
                <c:pt idx="19387">
                  <c:v>93.87</c:v>
                </c:pt>
                <c:pt idx="19388">
                  <c:v>93.88</c:v>
                </c:pt>
                <c:pt idx="19389">
                  <c:v>93.89</c:v>
                </c:pt>
                <c:pt idx="19390">
                  <c:v>93.9</c:v>
                </c:pt>
                <c:pt idx="19391">
                  <c:v>93.91</c:v>
                </c:pt>
                <c:pt idx="19392">
                  <c:v>93.92</c:v>
                </c:pt>
                <c:pt idx="19393">
                  <c:v>93.93</c:v>
                </c:pt>
                <c:pt idx="19394">
                  <c:v>93.94</c:v>
                </c:pt>
                <c:pt idx="19395">
                  <c:v>93.95</c:v>
                </c:pt>
                <c:pt idx="19396">
                  <c:v>93.96</c:v>
                </c:pt>
                <c:pt idx="19397">
                  <c:v>93.97</c:v>
                </c:pt>
                <c:pt idx="19398">
                  <c:v>93.98</c:v>
                </c:pt>
                <c:pt idx="19399">
                  <c:v>93.99</c:v>
                </c:pt>
                <c:pt idx="19400">
                  <c:v>94.0</c:v>
                </c:pt>
                <c:pt idx="19401">
                  <c:v>94.01</c:v>
                </c:pt>
                <c:pt idx="19402">
                  <c:v>94.02</c:v>
                </c:pt>
                <c:pt idx="19403">
                  <c:v>94.03</c:v>
                </c:pt>
                <c:pt idx="19404">
                  <c:v>94.04</c:v>
                </c:pt>
                <c:pt idx="19405">
                  <c:v>94.05</c:v>
                </c:pt>
                <c:pt idx="19406">
                  <c:v>94.06</c:v>
                </c:pt>
                <c:pt idx="19407">
                  <c:v>94.07</c:v>
                </c:pt>
                <c:pt idx="19408">
                  <c:v>94.08</c:v>
                </c:pt>
                <c:pt idx="19409">
                  <c:v>94.09</c:v>
                </c:pt>
                <c:pt idx="19410">
                  <c:v>94.1</c:v>
                </c:pt>
                <c:pt idx="19411">
                  <c:v>94.11</c:v>
                </c:pt>
                <c:pt idx="19412">
                  <c:v>94.12</c:v>
                </c:pt>
                <c:pt idx="19413">
                  <c:v>94.13</c:v>
                </c:pt>
                <c:pt idx="19414">
                  <c:v>94.14</c:v>
                </c:pt>
                <c:pt idx="19415">
                  <c:v>94.15</c:v>
                </c:pt>
                <c:pt idx="19416">
                  <c:v>94.16</c:v>
                </c:pt>
                <c:pt idx="19417">
                  <c:v>94.17</c:v>
                </c:pt>
                <c:pt idx="19418">
                  <c:v>94.18</c:v>
                </c:pt>
                <c:pt idx="19419">
                  <c:v>94.19</c:v>
                </c:pt>
                <c:pt idx="19420">
                  <c:v>94.2</c:v>
                </c:pt>
                <c:pt idx="19421">
                  <c:v>94.21</c:v>
                </c:pt>
                <c:pt idx="19422">
                  <c:v>94.22</c:v>
                </c:pt>
                <c:pt idx="19423">
                  <c:v>94.23</c:v>
                </c:pt>
                <c:pt idx="19424">
                  <c:v>94.24</c:v>
                </c:pt>
                <c:pt idx="19425">
                  <c:v>94.25</c:v>
                </c:pt>
                <c:pt idx="19426">
                  <c:v>94.26</c:v>
                </c:pt>
                <c:pt idx="19427">
                  <c:v>94.27</c:v>
                </c:pt>
                <c:pt idx="19428">
                  <c:v>94.28</c:v>
                </c:pt>
                <c:pt idx="19429">
                  <c:v>94.29</c:v>
                </c:pt>
                <c:pt idx="19430">
                  <c:v>94.3</c:v>
                </c:pt>
                <c:pt idx="19431">
                  <c:v>94.31</c:v>
                </c:pt>
                <c:pt idx="19432">
                  <c:v>94.32</c:v>
                </c:pt>
                <c:pt idx="19433">
                  <c:v>94.33</c:v>
                </c:pt>
                <c:pt idx="19434">
                  <c:v>94.34</c:v>
                </c:pt>
                <c:pt idx="19435">
                  <c:v>94.35</c:v>
                </c:pt>
                <c:pt idx="19436">
                  <c:v>94.36</c:v>
                </c:pt>
                <c:pt idx="19437">
                  <c:v>94.37</c:v>
                </c:pt>
                <c:pt idx="19438">
                  <c:v>94.38</c:v>
                </c:pt>
                <c:pt idx="19439">
                  <c:v>94.39</c:v>
                </c:pt>
                <c:pt idx="19440">
                  <c:v>94.4</c:v>
                </c:pt>
                <c:pt idx="19441">
                  <c:v>94.41</c:v>
                </c:pt>
                <c:pt idx="19442">
                  <c:v>94.42</c:v>
                </c:pt>
                <c:pt idx="19443">
                  <c:v>94.43</c:v>
                </c:pt>
                <c:pt idx="19444">
                  <c:v>94.44</c:v>
                </c:pt>
                <c:pt idx="19445">
                  <c:v>94.45</c:v>
                </c:pt>
                <c:pt idx="19446">
                  <c:v>94.46</c:v>
                </c:pt>
                <c:pt idx="19447">
                  <c:v>94.47</c:v>
                </c:pt>
                <c:pt idx="19448">
                  <c:v>94.48</c:v>
                </c:pt>
                <c:pt idx="19449">
                  <c:v>94.49</c:v>
                </c:pt>
                <c:pt idx="19450">
                  <c:v>94.5</c:v>
                </c:pt>
                <c:pt idx="19451">
                  <c:v>94.51</c:v>
                </c:pt>
                <c:pt idx="19452">
                  <c:v>94.52</c:v>
                </c:pt>
                <c:pt idx="19453">
                  <c:v>94.53</c:v>
                </c:pt>
                <c:pt idx="19454">
                  <c:v>94.54</c:v>
                </c:pt>
                <c:pt idx="19455">
                  <c:v>94.55</c:v>
                </c:pt>
                <c:pt idx="19456">
                  <c:v>94.56</c:v>
                </c:pt>
                <c:pt idx="19457">
                  <c:v>94.57</c:v>
                </c:pt>
                <c:pt idx="19458">
                  <c:v>94.58</c:v>
                </c:pt>
                <c:pt idx="19459">
                  <c:v>94.59</c:v>
                </c:pt>
                <c:pt idx="19460">
                  <c:v>94.6</c:v>
                </c:pt>
                <c:pt idx="19461">
                  <c:v>94.61</c:v>
                </c:pt>
                <c:pt idx="19462">
                  <c:v>94.62</c:v>
                </c:pt>
                <c:pt idx="19463">
                  <c:v>94.63</c:v>
                </c:pt>
                <c:pt idx="19464">
                  <c:v>94.64</c:v>
                </c:pt>
                <c:pt idx="19465">
                  <c:v>94.65</c:v>
                </c:pt>
                <c:pt idx="19466">
                  <c:v>94.66</c:v>
                </c:pt>
                <c:pt idx="19467">
                  <c:v>94.67</c:v>
                </c:pt>
                <c:pt idx="19468">
                  <c:v>94.68</c:v>
                </c:pt>
                <c:pt idx="19469">
                  <c:v>94.69</c:v>
                </c:pt>
                <c:pt idx="19470">
                  <c:v>94.7</c:v>
                </c:pt>
                <c:pt idx="19471">
                  <c:v>94.71</c:v>
                </c:pt>
                <c:pt idx="19472">
                  <c:v>94.72</c:v>
                </c:pt>
                <c:pt idx="19473">
                  <c:v>94.73</c:v>
                </c:pt>
                <c:pt idx="19474">
                  <c:v>94.74</c:v>
                </c:pt>
                <c:pt idx="19475">
                  <c:v>94.75</c:v>
                </c:pt>
                <c:pt idx="19476">
                  <c:v>94.76</c:v>
                </c:pt>
                <c:pt idx="19477">
                  <c:v>94.77</c:v>
                </c:pt>
                <c:pt idx="19478">
                  <c:v>94.78</c:v>
                </c:pt>
                <c:pt idx="19479">
                  <c:v>94.79</c:v>
                </c:pt>
                <c:pt idx="19480">
                  <c:v>94.8</c:v>
                </c:pt>
                <c:pt idx="19481">
                  <c:v>94.81</c:v>
                </c:pt>
                <c:pt idx="19482">
                  <c:v>94.82</c:v>
                </c:pt>
                <c:pt idx="19483">
                  <c:v>94.83</c:v>
                </c:pt>
                <c:pt idx="19484">
                  <c:v>94.84</c:v>
                </c:pt>
                <c:pt idx="19485">
                  <c:v>94.85</c:v>
                </c:pt>
                <c:pt idx="19486">
                  <c:v>94.86</c:v>
                </c:pt>
                <c:pt idx="19487">
                  <c:v>94.87</c:v>
                </c:pt>
                <c:pt idx="19488">
                  <c:v>94.88</c:v>
                </c:pt>
                <c:pt idx="19489">
                  <c:v>94.89</c:v>
                </c:pt>
                <c:pt idx="19490">
                  <c:v>94.9</c:v>
                </c:pt>
                <c:pt idx="19491">
                  <c:v>94.91</c:v>
                </c:pt>
                <c:pt idx="19492">
                  <c:v>94.92</c:v>
                </c:pt>
                <c:pt idx="19493">
                  <c:v>94.93</c:v>
                </c:pt>
                <c:pt idx="19494">
                  <c:v>94.94</c:v>
                </c:pt>
                <c:pt idx="19495">
                  <c:v>94.95</c:v>
                </c:pt>
                <c:pt idx="19496">
                  <c:v>94.96</c:v>
                </c:pt>
                <c:pt idx="19497">
                  <c:v>94.97</c:v>
                </c:pt>
                <c:pt idx="19498">
                  <c:v>94.98</c:v>
                </c:pt>
                <c:pt idx="19499">
                  <c:v>94.99</c:v>
                </c:pt>
                <c:pt idx="19500">
                  <c:v>95.0</c:v>
                </c:pt>
                <c:pt idx="19501">
                  <c:v>95.01</c:v>
                </c:pt>
                <c:pt idx="19502">
                  <c:v>95.02</c:v>
                </c:pt>
                <c:pt idx="19503">
                  <c:v>95.03</c:v>
                </c:pt>
                <c:pt idx="19504">
                  <c:v>95.04</c:v>
                </c:pt>
                <c:pt idx="19505">
                  <c:v>95.05</c:v>
                </c:pt>
                <c:pt idx="19506">
                  <c:v>95.06</c:v>
                </c:pt>
                <c:pt idx="19507">
                  <c:v>95.07</c:v>
                </c:pt>
                <c:pt idx="19508">
                  <c:v>95.08</c:v>
                </c:pt>
                <c:pt idx="19509">
                  <c:v>95.09</c:v>
                </c:pt>
                <c:pt idx="19510">
                  <c:v>95.1</c:v>
                </c:pt>
                <c:pt idx="19511">
                  <c:v>95.11</c:v>
                </c:pt>
                <c:pt idx="19512">
                  <c:v>95.12</c:v>
                </c:pt>
                <c:pt idx="19513">
                  <c:v>95.13</c:v>
                </c:pt>
                <c:pt idx="19514">
                  <c:v>95.14</c:v>
                </c:pt>
                <c:pt idx="19515">
                  <c:v>95.15</c:v>
                </c:pt>
                <c:pt idx="19516">
                  <c:v>95.16</c:v>
                </c:pt>
                <c:pt idx="19517">
                  <c:v>95.17</c:v>
                </c:pt>
                <c:pt idx="19518">
                  <c:v>95.18</c:v>
                </c:pt>
                <c:pt idx="19519">
                  <c:v>95.19</c:v>
                </c:pt>
                <c:pt idx="19520">
                  <c:v>95.2</c:v>
                </c:pt>
                <c:pt idx="19521">
                  <c:v>95.21</c:v>
                </c:pt>
                <c:pt idx="19522">
                  <c:v>95.22</c:v>
                </c:pt>
                <c:pt idx="19523">
                  <c:v>95.23</c:v>
                </c:pt>
                <c:pt idx="19524">
                  <c:v>95.24</c:v>
                </c:pt>
                <c:pt idx="19525">
                  <c:v>95.25</c:v>
                </c:pt>
                <c:pt idx="19526">
                  <c:v>95.26</c:v>
                </c:pt>
                <c:pt idx="19527">
                  <c:v>95.27</c:v>
                </c:pt>
                <c:pt idx="19528">
                  <c:v>95.28</c:v>
                </c:pt>
                <c:pt idx="19529">
                  <c:v>95.29</c:v>
                </c:pt>
                <c:pt idx="19530">
                  <c:v>95.3</c:v>
                </c:pt>
                <c:pt idx="19531">
                  <c:v>95.31</c:v>
                </c:pt>
                <c:pt idx="19532">
                  <c:v>95.32</c:v>
                </c:pt>
                <c:pt idx="19533">
                  <c:v>95.33</c:v>
                </c:pt>
                <c:pt idx="19534">
                  <c:v>95.34</c:v>
                </c:pt>
                <c:pt idx="19535">
                  <c:v>95.35</c:v>
                </c:pt>
                <c:pt idx="19536">
                  <c:v>95.36</c:v>
                </c:pt>
                <c:pt idx="19537">
                  <c:v>95.37</c:v>
                </c:pt>
                <c:pt idx="19538">
                  <c:v>95.38</c:v>
                </c:pt>
                <c:pt idx="19539">
                  <c:v>95.39</c:v>
                </c:pt>
                <c:pt idx="19540">
                  <c:v>95.4</c:v>
                </c:pt>
                <c:pt idx="19541">
                  <c:v>95.41</c:v>
                </c:pt>
                <c:pt idx="19542">
                  <c:v>95.42</c:v>
                </c:pt>
                <c:pt idx="19543">
                  <c:v>95.43</c:v>
                </c:pt>
                <c:pt idx="19544">
                  <c:v>95.44</c:v>
                </c:pt>
                <c:pt idx="19545">
                  <c:v>95.45</c:v>
                </c:pt>
                <c:pt idx="19546">
                  <c:v>95.46</c:v>
                </c:pt>
                <c:pt idx="19547">
                  <c:v>95.47</c:v>
                </c:pt>
                <c:pt idx="19548">
                  <c:v>95.48</c:v>
                </c:pt>
                <c:pt idx="19549">
                  <c:v>95.49</c:v>
                </c:pt>
                <c:pt idx="19550">
                  <c:v>95.5</c:v>
                </c:pt>
                <c:pt idx="19551">
                  <c:v>95.51</c:v>
                </c:pt>
                <c:pt idx="19552">
                  <c:v>95.52</c:v>
                </c:pt>
                <c:pt idx="19553">
                  <c:v>95.53</c:v>
                </c:pt>
                <c:pt idx="19554">
                  <c:v>95.54</c:v>
                </c:pt>
                <c:pt idx="19555">
                  <c:v>95.55</c:v>
                </c:pt>
                <c:pt idx="19556">
                  <c:v>95.56</c:v>
                </c:pt>
                <c:pt idx="19557">
                  <c:v>95.57</c:v>
                </c:pt>
                <c:pt idx="19558">
                  <c:v>95.58</c:v>
                </c:pt>
                <c:pt idx="19559">
                  <c:v>95.59</c:v>
                </c:pt>
                <c:pt idx="19560">
                  <c:v>95.6</c:v>
                </c:pt>
                <c:pt idx="19561">
                  <c:v>95.61</c:v>
                </c:pt>
                <c:pt idx="19562">
                  <c:v>95.62</c:v>
                </c:pt>
                <c:pt idx="19563">
                  <c:v>95.63</c:v>
                </c:pt>
                <c:pt idx="19564">
                  <c:v>95.64</c:v>
                </c:pt>
                <c:pt idx="19565">
                  <c:v>95.65</c:v>
                </c:pt>
                <c:pt idx="19566">
                  <c:v>95.66</c:v>
                </c:pt>
                <c:pt idx="19567">
                  <c:v>95.67</c:v>
                </c:pt>
                <c:pt idx="19568">
                  <c:v>95.68</c:v>
                </c:pt>
                <c:pt idx="19569">
                  <c:v>95.69</c:v>
                </c:pt>
                <c:pt idx="19570">
                  <c:v>95.7</c:v>
                </c:pt>
                <c:pt idx="19571">
                  <c:v>95.71</c:v>
                </c:pt>
                <c:pt idx="19572">
                  <c:v>95.72</c:v>
                </c:pt>
                <c:pt idx="19573">
                  <c:v>95.73</c:v>
                </c:pt>
                <c:pt idx="19574">
                  <c:v>95.74</c:v>
                </c:pt>
                <c:pt idx="19575">
                  <c:v>95.75</c:v>
                </c:pt>
                <c:pt idx="19576">
                  <c:v>95.76</c:v>
                </c:pt>
                <c:pt idx="19577">
                  <c:v>95.77</c:v>
                </c:pt>
                <c:pt idx="19578">
                  <c:v>95.78</c:v>
                </c:pt>
                <c:pt idx="19579">
                  <c:v>95.79</c:v>
                </c:pt>
                <c:pt idx="19580">
                  <c:v>95.8</c:v>
                </c:pt>
                <c:pt idx="19581">
                  <c:v>95.81</c:v>
                </c:pt>
                <c:pt idx="19582">
                  <c:v>95.82</c:v>
                </c:pt>
                <c:pt idx="19583">
                  <c:v>95.83</c:v>
                </c:pt>
                <c:pt idx="19584">
                  <c:v>95.84</c:v>
                </c:pt>
                <c:pt idx="19585">
                  <c:v>95.85</c:v>
                </c:pt>
                <c:pt idx="19586">
                  <c:v>95.86</c:v>
                </c:pt>
                <c:pt idx="19587">
                  <c:v>95.87</c:v>
                </c:pt>
                <c:pt idx="19588">
                  <c:v>95.88</c:v>
                </c:pt>
                <c:pt idx="19589">
                  <c:v>95.89</c:v>
                </c:pt>
                <c:pt idx="19590">
                  <c:v>95.9</c:v>
                </c:pt>
                <c:pt idx="19591">
                  <c:v>95.91</c:v>
                </c:pt>
                <c:pt idx="19592">
                  <c:v>95.92</c:v>
                </c:pt>
                <c:pt idx="19593">
                  <c:v>95.93</c:v>
                </c:pt>
                <c:pt idx="19594">
                  <c:v>95.94</c:v>
                </c:pt>
                <c:pt idx="19595">
                  <c:v>95.95</c:v>
                </c:pt>
                <c:pt idx="19596">
                  <c:v>95.96</c:v>
                </c:pt>
                <c:pt idx="19597">
                  <c:v>95.97</c:v>
                </c:pt>
                <c:pt idx="19598">
                  <c:v>95.98</c:v>
                </c:pt>
                <c:pt idx="19599">
                  <c:v>95.99</c:v>
                </c:pt>
                <c:pt idx="19600">
                  <c:v>96.0</c:v>
                </c:pt>
                <c:pt idx="19601">
                  <c:v>96.01</c:v>
                </c:pt>
                <c:pt idx="19602">
                  <c:v>96.02</c:v>
                </c:pt>
                <c:pt idx="19603">
                  <c:v>96.03</c:v>
                </c:pt>
                <c:pt idx="19604">
                  <c:v>96.04</c:v>
                </c:pt>
                <c:pt idx="19605">
                  <c:v>96.05</c:v>
                </c:pt>
                <c:pt idx="19606">
                  <c:v>96.06</c:v>
                </c:pt>
                <c:pt idx="19607">
                  <c:v>96.07</c:v>
                </c:pt>
                <c:pt idx="19608">
                  <c:v>96.08</c:v>
                </c:pt>
                <c:pt idx="19609">
                  <c:v>96.09</c:v>
                </c:pt>
                <c:pt idx="19610">
                  <c:v>96.1</c:v>
                </c:pt>
                <c:pt idx="19611">
                  <c:v>96.11</c:v>
                </c:pt>
                <c:pt idx="19612">
                  <c:v>96.12</c:v>
                </c:pt>
                <c:pt idx="19613">
                  <c:v>96.13</c:v>
                </c:pt>
                <c:pt idx="19614">
                  <c:v>96.14</c:v>
                </c:pt>
                <c:pt idx="19615">
                  <c:v>96.15</c:v>
                </c:pt>
                <c:pt idx="19616">
                  <c:v>96.16</c:v>
                </c:pt>
                <c:pt idx="19617">
                  <c:v>96.17</c:v>
                </c:pt>
                <c:pt idx="19618">
                  <c:v>96.18</c:v>
                </c:pt>
                <c:pt idx="19619">
                  <c:v>96.19</c:v>
                </c:pt>
                <c:pt idx="19620">
                  <c:v>96.2</c:v>
                </c:pt>
                <c:pt idx="19621">
                  <c:v>96.21</c:v>
                </c:pt>
                <c:pt idx="19622">
                  <c:v>96.22</c:v>
                </c:pt>
                <c:pt idx="19623">
                  <c:v>96.23</c:v>
                </c:pt>
                <c:pt idx="19624">
                  <c:v>96.24</c:v>
                </c:pt>
                <c:pt idx="19625">
                  <c:v>96.25</c:v>
                </c:pt>
                <c:pt idx="19626">
                  <c:v>96.26</c:v>
                </c:pt>
                <c:pt idx="19627">
                  <c:v>96.27</c:v>
                </c:pt>
                <c:pt idx="19628">
                  <c:v>96.28</c:v>
                </c:pt>
                <c:pt idx="19629">
                  <c:v>96.29</c:v>
                </c:pt>
                <c:pt idx="19630">
                  <c:v>96.3</c:v>
                </c:pt>
                <c:pt idx="19631">
                  <c:v>96.31</c:v>
                </c:pt>
                <c:pt idx="19632">
                  <c:v>96.32</c:v>
                </c:pt>
                <c:pt idx="19633">
                  <c:v>96.33</c:v>
                </c:pt>
                <c:pt idx="19634">
                  <c:v>96.34</c:v>
                </c:pt>
                <c:pt idx="19635">
                  <c:v>96.35</c:v>
                </c:pt>
                <c:pt idx="19636">
                  <c:v>96.36</c:v>
                </c:pt>
                <c:pt idx="19637">
                  <c:v>96.37</c:v>
                </c:pt>
                <c:pt idx="19638">
                  <c:v>96.38</c:v>
                </c:pt>
                <c:pt idx="19639">
                  <c:v>96.39</c:v>
                </c:pt>
                <c:pt idx="19640">
                  <c:v>96.4</c:v>
                </c:pt>
                <c:pt idx="19641">
                  <c:v>96.41</c:v>
                </c:pt>
                <c:pt idx="19642">
                  <c:v>96.42</c:v>
                </c:pt>
                <c:pt idx="19643">
                  <c:v>96.43</c:v>
                </c:pt>
                <c:pt idx="19644">
                  <c:v>96.44</c:v>
                </c:pt>
                <c:pt idx="19645">
                  <c:v>96.45</c:v>
                </c:pt>
                <c:pt idx="19646">
                  <c:v>96.46</c:v>
                </c:pt>
                <c:pt idx="19647">
                  <c:v>96.47</c:v>
                </c:pt>
                <c:pt idx="19648">
                  <c:v>96.48</c:v>
                </c:pt>
                <c:pt idx="19649">
                  <c:v>96.49</c:v>
                </c:pt>
                <c:pt idx="19650">
                  <c:v>96.5</c:v>
                </c:pt>
                <c:pt idx="19651">
                  <c:v>96.51</c:v>
                </c:pt>
                <c:pt idx="19652">
                  <c:v>96.52</c:v>
                </c:pt>
                <c:pt idx="19653">
                  <c:v>96.53</c:v>
                </c:pt>
                <c:pt idx="19654">
                  <c:v>96.54</c:v>
                </c:pt>
                <c:pt idx="19655">
                  <c:v>96.55</c:v>
                </c:pt>
                <c:pt idx="19656">
                  <c:v>96.56</c:v>
                </c:pt>
                <c:pt idx="19657">
                  <c:v>96.57</c:v>
                </c:pt>
                <c:pt idx="19658">
                  <c:v>96.58</c:v>
                </c:pt>
                <c:pt idx="19659">
                  <c:v>96.59</c:v>
                </c:pt>
                <c:pt idx="19660">
                  <c:v>96.6</c:v>
                </c:pt>
                <c:pt idx="19661">
                  <c:v>96.61</c:v>
                </c:pt>
                <c:pt idx="19662">
                  <c:v>96.62</c:v>
                </c:pt>
                <c:pt idx="19663">
                  <c:v>96.63</c:v>
                </c:pt>
                <c:pt idx="19664">
                  <c:v>96.64</c:v>
                </c:pt>
                <c:pt idx="19665">
                  <c:v>96.65</c:v>
                </c:pt>
                <c:pt idx="19666">
                  <c:v>96.66</c:v>
                </c:pt>
                <c:pt idx="19667">
                  <c:v>96.67</c:v>
                </c:pt>
                <c:pt idx="19668">
                  <c:v>96.68</c:v>
                </c:pt>
                <c:pt idx="19669">
                  <c:v>96.69</c:v>
                </c:pt>
                <c:pt idx="19670">
                  <c:v>96.7</c:v>
                </c:pt>
                <c:pt idx="19671">
                  <c:v>96.71</c:v>
                </c:pt>
                <c:pt idx="19672">
                  <c:v>96.72</c:v>
                </c:pt>
                <c:pt idx="19673">
                  <c:v>96.73</c:v>
                </c:pt>
                <c:pt idx="19674">
                  <c:v>96.74</c:v>
                </c:pt>
                <c:pt idx="19675">
                  <c:v>96.75</c:v>
                </c:pt>
                <c:pt idx="19676">
                  <c:v>96.76</c:v>
                </c:pt>
                <c:pt idx="19677">
                  <c:v>96.77</c:v>
                </c:pt>
                <c:pt idx="19678">
                  <c:v>96.78</c:v>
                </c:pt>
                <c:pt idx="19679">
                  <c:v>96.79</c:v>
                </c:pt>
                <c:pt idx="19680">
                  <c:v>96.8</c:v>
                </c:pt>
                <c:pt idx="19681">
                  <c:v>96.81</c:v>
                </c:pt>
                <c:pt idx="19682">
                  <c:v>96.82</c:v>
                </c:pt>
                <c:pt idx="19683">
                  <c:v>96.83</c:v>
                </c:pt>
                <c:pt idx="19684">
                  <c:v>96.84</c:v>
                </c:pt>
                <c:pt idx="19685">
                  <c:v>96.85</c:v>
                </c:pt>
                <c:pt idx="19686">
                  <c:v>96.86</c:v>
                </c:pt>
                <c:pt idx="19687">
                  <c:v>96.87</c:v>
                </c:pt>
                <c:pt idx="19688">
                  <c:v>96.88</c:v>
                </c:pt>
                <c:pt idx="19689">
                  <c:v>96.89</c:v>
                </c:pt>
                <c:pt idx="19690">
                  <c:v>96.9</c:v>
                </c:pt>
                <c:pt idx="19691">
                  <c:v>96.91</c:v>
                </c:pt>
                <c:pt idx="19692">
                  <c:v>96.92</c:v>
                </c:pt>
                <c:pt idx="19693">
                  <c:v>96.93</c:v>
                </c:pt>
                <c:pt idx="19694">
                  <c:v>96.94</c:v>
                </c:pt>
                <c:pt idx="19695">
                  <c:v>96.95</c:v>
                </c:pt>
                <c:pt idx="19696">
                  <c:v>96.96</c:v>
                </c:pt>
                <c:pt idx="19697">
                  <c:v>96.97</c:v>
                </c:pt>
                <c:pt idx="19698">
                  <c:v>96.98</c:v>
                </c:pt>
                <c:pt idx="19699">
                  <c:v>96.99</c:v>
                </c:pt>
                <c:pt idx="19700">
                  <c:v>97.0</c:v>
                </c:pt>
                <c:pt idx="19701">
                  <c:v>97.01</c:v>
                </c:pt>
                <c:pt idx="19702">
                  <c:v>97.02</c:v>
                </c:pt>
                <c:pt idx="19703">
                  <c:v>97.03</c:v>
                </c:pt>
                <c:pt idx="19704">
                  <c:v>97.04</c:v>
                </c:pt>
                <c:pt idx="19705">
                  <c:v>97.05</c:v>
                </c:pt>
                <c:pt idx="19706">
                  <c:v>97.06</c:v>
                </c:pt>
                <c:pt idx="19707">
                  <c:v>97.07</c:v>
                </c:pt>
                <c:pt idx="19708">
                  <c:v>97.08</c:v>
                </c:pt>
                <c:pt idx="19709">
                  <c:v>97.09</c:v>
                </c:pt>
                <c:pt idx="19710">
                  <c:v>97.1</c:v>
                </c:pt>
                <c:pt idx="19711">
                  <c:v>97.11</c:v>
                </c:pt>
                <c:pt idx="19712">
                  <c:v>97.12</c:v>
                </c:pt>
                <c:pt idx="19713">
                  <c:v>97.13</c:v>
                </c:pt>
                <c:pt idx="19714">
                  <c:v>97.14</c:v>
                </c:pt>
                <c:pt idx="19715">
                  <c:v>97.15</c:v>
                </c:pt>
                <c:pt idx="19716">
                  <c:v>97.16</c:v>
                </c:pt>
                <c:pt idx="19717">
                  <c:v>97.17</c:v>
                </c:pt>
                <c:pt idx="19718">
                  <c:v>97.18</c:v>
                </c:pt>
                <c:pt idx="19719">
                  <c:v>97.19</c:v>
                </c:pt>
                <c:pt idx="19720">
                  <c:v>97.2</c:v>
                </c:pt>
                <c:pt idx="19721">
                  <c:v>97.21</c:v>
                </c:pt>
                <c:pt idx="19722">
                  <c:v>97.22</c:v>
                </c:pt>
                <c:pt idx="19723">
                  <c:v>97.23</c:v>
                </c:pt>
                <c:pt idx="19724">
                  <c:v>97.24</c:v>
                </c:pt>
                <c:pt idx="19725">
                  <c:v>97.25</c:v>
                </c:pt>
                <c:pt idx="19726">
                  <c:v>97.26</c:v>
                </c:pt>
                <c:pt idx="19727">
                  <c:v>97.27</c:v>
                </c:pt>
                <c:pt idx="19728">
                  <c:v>97.28</c:v>
                </c:pt>
                <c:pt idx="19729">
                  <c:v>97.29</c:v>
                </c:pt>
                <c:pt idx="19730">
                  <c:v>97.3</c:v>
                </c:pt>
                <c:pt idx="19731">
                  <c:v>97.31</c:v>
                </c:pt>
                <c:pt idx="19732">
                  <c:v>97.32</c:v>
                </c:pt>
                <c:pt idx="19733">
                  <c:v>97.33</c:v>
                </c:pt>
                <c:pt idx="19734">
                  <c:v>97.34</c:v>
                </c:pt>
                <c:pt idx="19735">
                  <c:v>97.35</c:v>
                </c:pt>
                <c:pt idx="19736">
                  <c:v>97.36</c:v>
                </c:pt>
                <c:pt idx="19737">
                  <c:v>97.37</c:v>
                </c:pt>
                <c:pt idx="19738">
                  <c:v>97.38</c:v>
                </c:pt>
                <c:pt idx="19739">
                  <c:v>97.39</c:v>
                </c:pt>
                <c:pt idx="19740">
                  <c:v>97.4</c:v>
                </c:pt>
                <c:pt idx="19741">
                  <c:v>97.41</c:v>
                </c:pt>
                <c:pt idx="19742">
                  <c:v>97.42</c:v>
                </c:pt>
                <c:pt idx="19743">
                  <c:v>97.43</c:v>
                </c:pt>
                <c:pt idx="19744">
                  <c:v>97.44</c:v>
                </c:pt>
                <c:pt idx="19745">
                  <c:v>97.45</c:v>
                </c:pt>
                <c:pt idx="19746">
                  <c:v>97.46</c:v>
                </c:pt>
                <c:pt idx="19747">
                  <c:v>97.47</c:v>
                </c:pt>
                <c:pt idx="19748">
                  <c:v>97.48</c:v>
                </c:pt>
                <c:pt idx="19749">
                  <c:v>97.49</c:v>
                </c:pt>
                <c:pt idx="19750">
                  <c:v>97.5</c:v>
                </c:pt>
                <c:pt idx="19751">
                  <c:v>97.51</c:v>
                </c:pt>
                <c:pt idx="19752">
                  <c:v>97.52</c:v>
                </c:pt>
                <c:pt idx="19753">
                  <c:v>97.53</c:v>
                </c:pt>
                <c:pt idx="19754">
                  <c:v>97.54</c:v>
                </c:pt>
                <c:pt idx="19755">
                  <c:v>97.55</c:v>
                </c:pt>
                <c:pt idx="19756">
                  <c:v>97.56</c:v>
                </c:pt>
                <c:pt idx="19757">
                  <c:v>97.57</c:v>
                </c:pt>
                <c:pt idx="19758">
                  <c:v>97.58</c:v>
                </c:pt>
                <c:pt idx="19759">
                  <c:v>97.59</c:v>
                </c:pt>
                <c:pt idx="19760">
                  <c:v>97.6</c:v>
                </c:pt>
                <c:pt idx="19761">
                  <c:v>97.61</c:v>
                </c:pt>
                <c:pt idx="19762">
                  <c:v>97.62</c:v>
                </c:pt>
                <c:pt idx="19763">
                  <c:v>97.63</c:v>
                </c:pt>
                <c:pt idx="19764">
                  <c:v>97.64</c:v>
                </c:pt>
                <c:pt idx="19765">
                  <c:v>97.65</c:v>
                </c:pt>
                <c:pt idx="19766">
                  <c:v>97.66</c:v>
                </c:pt>
                <c:pt idx="19767">
                  <c:v>97.67</c:v>
                </c:pt>
                <c:pt idx="19768">
                  <c:v>97.68</c:v>
                </c:pt>
                <c:pt idx="19769">
                  <c:v>97.69</c:v>
                </c:pt>
                <c:pt idx="19770">
                  <c:v>97.7</c:v>
                </c:pt>
                <c:pt idx="19771">
                  <c:v>97.71</c:v>
                </c:pt>
                <c:pt idx="19772">
                  <c:v>97.72</c:v>
                </c:pt>
                <c:pt idx="19773">
                  <c:v>97.73</c:v>
                </c:pt>
                <c:pt idx="19774">
                  <c:v>97.74</c:v>
                </c:pt>
                <c:pt idx="19775">
                  <c:v>97.75</c:v>
                </c:pt>
                <c:pt idx="19776">
                  <c:v>97.76</c:v>
                </c:pt>
                <c:pt idx="19777">
                  <c:v>97.77</c:v>
                </c:pt>
                <c:pt idx="19778">
                  <c:v>97.78</c:v>
                </c:pt>
                <c:pt idx="19779">
                  <c:v>97.79</c:v>
                </c:pt>
                <c:pt idx="19780">
                  <c:v>97.8</c:v>
                </c:pt>
                <c:pt idx="19781">
                  <c:v>97.81</c:v>
                </c:pt>
                <c:pt idx="19782">
                  <c:v>97.82</c:v>
                </c:pt>
                <c:pt idx="19783">
                  <c:v>97.83</c:v>
                </c:pt>
                <c:pt idx="19784">
                  <c:v>97.84</c:v>
                </c:pt>
                <c:pt idx="19785">
                  <c:v>97.85</c:v>
                </c:pt>
                <c:pt idx="19786">
                  <c:v>97.86</c:v>
                </c:pt>
                <c:pt idx="19787">
                  <c:v>97.87</c:v>
                </c:pt>
                <c:pt idx="19788">
                  <c:v>97.88</c:v>
                </c:pt>
                <c:pt idx="19789">
                  <c:v>97.89</c:v>
                </c:pt>
                <c:pt idx="19790">
                  <c:v>97.9</c:v>
                </c:pt>
                <c:pt idx="19791">
                  <c:v>97.91</c:v>
                </c:pt>
                <c:pt idx="19792">
                  <c:v>97.92</c:v>
                </c:pt>
                <c:pt idx="19793">
                  <c:v>97.93</c:v>
                </c:pt>
                <c:pt idx="19794">
                  <c:v>97.94</c:v>
                </c:pt>
                <c:pt idx="19795">
                  <c:v>97.95</c:v>
                </c:pt>
                <c:pt idx="19796">
                  <c:v>97.96</c:v>
                </c:pt>
                <c:pt idx="19797">
                  <c:v>97.97</c:v>
                </c:pt>
                <c:pt idx="19798">
                  <c:v>97.98</c:v>
                </c:pt>
                <c:pt idx="19799">
                  <c:v>97.99</c:v>
                </c:pt>
                <c:pt idx="19800">
                  <c:v>98.0</c:v>
                </c:pt>
                <c:pt idx="19801">
                  <c:v>98.01</c:v>
                </c:pt>
                <c:pt idx="19802">
                  <c:v>98.02</c:v>
                </c:pt>
                <c:pt idx="19803">
                  <c:v>98.03</c:v>
                </c:pt>
                <c:pt idx="19804">
                  <c:v>98.04</c:v>
                </c:pt>
                <c:pt idx="19805">
                  <c:v>98.05</c:v>
                </c:pt>
                <c:pt idx="19806">
                  <c:v>98.06</c:v>
                </c:pt>
                <c:pt idx="19807">
                  <c:v>98.07</c:v>
                </c:pt>
                <c:pt idx="19808">
                  <c:v>98.08</c:v>
                </c:pt>
                <c:pt idx="19809">
                  <c:v>98.09</c:v>
                </c:pt>
                <c:pt idx="19810">
                  <c:v>98.1</c:v>
                </c:pt>
                <c:pt idx="19811">
                  <c:v>98.11</c:v>
                </c:pt>
                <c:pt idx="19812">
                  <c:v>98.12</c:v>
                </c:pt>
                <c:pt idx="19813">
                  <c:v>98.13</c:v>
                </c:pt>
                <c:pt idx="19814">
                  <c:v>98.14</c:v>
                </c:pt>
                <c:pt idx="19815">
                  <c:v>98.15</c:v>
                </c:pt>
                <c:pt idx="19816">
                  <c:v>98.16</c:v>
                </c:pt>
                <c:pt idx="19817">
                  <c:v>98.17</c:v>
                </c:pt>
                <c:pt idx="19818">
                  <c:v>98.18</c:v>
                </c:pt>
                <c:pt idx="19819">
                  <c:v>98.19</c:v>
                </c:pt>
                <c:pt idx="19820">
                  <c:v>98.2</c:v>
                </c:pt>
                <c:pt idx="19821">
                  <c:v>98.21</c:v>
                </c:pt>
                <c:pt idx="19822">
                  <c:v>98.22</c:v>
                </c:pt>
                <c:pt idx="19823">
                  <c:v>98.23</c:v>
                </c:pt>
                <c:pt idx="19824">
                  <c:v>98.24</c:v>
                </c:pt>
                <c:pt idx="19825">
                  <c:v>98.25</c:v>
                </c:pt>
                <c:pt idx="19826">
                  <c:v>98.26</c:v>
                </c:pt>
                <c:pt idx="19827">
                  <c:v>98.27</c:v>
                </c:pt>
                <c:pt idx="19828">
                  <c:v>98.28</c:v>
                </c:pt>
                <c:pt idx="19829">
                  <c:v>98.29</c:v>
                </c:pt>
                <c:pt idx="19830">
                  <c:v>98.3</c:v>
                </c:pt>
                <c:pt idx="19831">
                  <c:v>98.31</c:v>
                </c:pt>
                <c:pt idx="19832">
                  <c:v>98.32</c:v>
                </c:pt>
                <c:pt idx="19833">
                  <c:v>98.33</c:v>
                </c:pt>
                <c:pt idx="19834">
                  <c:v>98.34</c:v>
                </c:pt>
                <c:pt idx="19835">
                  <c:v>98.35</c:v>
                </c:pt>
                <c:pt idx="19836">
                  <c:v>98.36</c:v>
                </c:pt>
                <c:pt idx="19837">
                  <c:v>98.37</c:v>
                </c:pt>
                <c:pt idx="19838">
                  <c:v>98.38</c:v>
                </c:pt>
                <c:pt idx="19839">
                  <c:v>98.39</c:v>
                </c:pt>
                <c:pt idx="19840">
                  <c:v>98.4</c:v>
                </c:pt>
                <c:pt idx="19841">
                  <c:v>98.41</c:v>
                </c:pt>
                <c:pt idx="19842">
                  <c:v>98.42</c:v>
                </c:pt>
                <c:pt idx="19843">
                  <c:v>98.43</c:v>
                </c:pt>
                <c:pt idx="19844">
                  <c:v>98.44</c:v>
                </c:pt>
                <c:pt idx="19845">
                  <c:v>98.45</c:v>
                </c:pt>
                <c:pt idx="19846">
                  <c:v>98.46</c:v>
                </c:pt>
                <c:pt idx="19847">
                  <c:v>98.47</c:v>
                </c:pt>
                <c:pt idx="19848">
                  <c:v>98.48</c:v>
                </c:pt>
                <c:pt idx="19849">
                  <c:v>98.49</c:v>
                </c:pt>
                <c:pt idx="19850">
                  <c:v>98.5</c:v>
                </c:pt>
                <c:pt idx="19851">
                  <c:v>98.51</c:v>
                </c:pt>
                <c:pt idx="19852">
                  <c:v>98.52</c:v>
                </c:pt>
                <c:pt idx="19853">
                  <c:v>98.53</c:v>
                </c:pt>
                <c:pt idx="19854">
                  <c:v>98.54</c:v>
                </c:pt>
                <c:pt idx="19855">
                  <c:v>98.55</c:v>
                </c:pt>
                <c:pt idx="19856">
                  <c:v>98.56</c:v>
                </c:pt>
                <c:pt idx="19857">
                  <c:v>98.57</c:v>
                </c:pt>
                <c:pt idx="19858">
                  <c:v>98.58</c:v>
                </c:pt>
                <c:pt idx="19859">
                  <c:v>98.59</c:v>
                </c:pt>
                <c:pt idx="19860">
                  <c:v>98.6</c:v>
                </c:pt>
                <c:pt idx="19861">
                  <c:v>98.61</c:v>
                </c:pt>
                <c:pt idx="19862">
                  <c:v>98.62</c:v>
                </c:pt>
                <c:pt idx="19863">
                  <c:v>98.63</c:v>
                </c:pt>
                <c:pt idx="19864">
                  <c:v>98.64</c:v>
                </c:pt>
                <c:pt idx="19865">
                  <c:v>98.65</c:v>
                </c:pt>
                <c:pt idx="19866">
                  <c:v>98.66</c:v>
                </c:pt>
                <c:pt idx="19867">
                  <c:v>98.67</c:v>
                </c:pt>
                <c:pt idx="19868">
                  <c:v>98.68</c:v>
                </c:pt>
                <c:pt idx="19869">
                  <c:v>98.69</c:v>
                </c:pt>
                <c:pt idx="19870">
                  <c:v>98.7</c:v>
                </c:pt>
                <c:pt idx="19871">
                  <c:v>98.71</c:v>
                </c:pt>
                <c:pt idx="19872">
                  <c:v>98.72</c:v>
                </c:pt>
                <c:pt idx="19873">
                  <c:v>98.73</c:v>
                </c:pt>
                <c:pt idx="19874">
                  <c:v>98.74</c:v>
                </c:pt>
                <c:pt idx="19875">
                  <c:v>98.75</c:v>
                </c:pt>
                <c:pt idx="19876">
                  <c:v>98.76</c:v>
                </c:pt>
                <c:pt idx="19877">
                  <c:v>98.77</c:v>
                </c:pt>
                <c:pt idx="19878">
                  <c:v>98.78</c:v>
                </c:pt>
                <c:pt idx="19879">
                  <c:v>98.79</c:v>
                </c:pt>
                <c:pt idx="19880">
                  <c:v>98.8</c:v>
                </c:pt>
                <c:pt idx="19881">
                  <c:v>98.81</c:v>
                </c:pt>
                <c:pt idx="19882">
                  <c:v>98.82</c:v>
                </c:pt>
                <c:pt idx="19883">
                  <c:v>98.83</c:v>
                </c:pt>
                <c:pt idx="19884">
                  <c:v>98.84</c:v>
                </c:pt>
                <c:pt idx="19885">
                  <c:v>98.85</c:v>
                </c:pt>
                <c:pt idx="19886">
                  <c:v>98.86</c:v>
                </c:pt>
                <c:pt idx="19887">
                  <c:v>98.87</c:v>
                </c:pt>
                <c:pt idx="19888">
                  <c:v>98.88</c:v>
                </c:pt>
                <c:pt idx="19889">
                  <c:v>98.89</c:v>
                </c:pt>
                <c:pt idx="19890">
                  <c:v>98.9</c:v>
                </c:pt>
                <c:pt idx="19891">
                  <c:v>98.91</c:v>
                </c:pt>
                <c:pt idx="19892">
                  <c:v>98.92</c:v>
                </c:pt>
                <c:pt idx="19893">
                  <c:v>98.93</c:v>
                </c:pt>
                <c:pt idx="19894">
                  <c:v>98.94</c:v>
                </c:pt>
                <c:pt idx="19895">
                  <c:v>98.95</c:v>
                </c:pt>
                <c:pt idx="19896">
                  <c:v>98.96</c:v>
                </c:pt>
                <c:pt idx="19897">
                  <c:v>98.97</c:v>
                </c:pt>
                <c:pt idx="19898">
                  <c:v>98.98</c:v>
                </c:pt>
                <c:pt idx="19899">
                  <c:v>98.99</c:v>
                </c:pt>
                <c:pt idx="19900">
                  <c:v>99.0</c:v>
                </c:pt>
                <c:pt idx="19901">
                  <c:v>99.01</c:v>
                </c:pt>
                <c:pt idx="19902">
                  <c:v>99.02</c:v>
                </c:pt>
                <c:pt idx="19903">
                  <c:v>99.03</c:v>
                </c:pt>
                <c:pt idx="19904">
                  <c:v>99.04</c:v>
                </c:pt>
                <c:pt idx="19905">
                  <c:v>99.05</c:v>
                </c:pt>
                <c:pt idx="19906">
                  <c:v>99.06</c:v>
                </c:pt>
                <c:pt idx="19907">
                  <c:v>99.07</c:v>
                </c:pt>
                <c:pt idx="19908">
                  <c:v>99.08</c:v>
                </c:pt>
                <c:pt idx="19909">
                  <c:v>99.09</c:v>
                </c:pt>
                <c:pt idx="19910">
                  <c:v>99.1</c:v>
                </c:pt>
                <c:pt idx="19911">
                  <c:v>99.11</c:v>
                </c:pt>
                <c:pt idx="19912">
                  <c:v>99.12</c:v>
                </c:pt>
                <c:pt idx="19913">
                  <c:v>99.13</c:v>
                </c:pt>
                <c:pt idx="19914">
                  <c:v>99.14</c:v>
                </c:pt>
                <c:pt idx="19915">
                  <c:v>99.15</c:v>
                </c:pt>
                <c:pt idx="19916">
                  <c:v>99.16</c:v>
                </c:pt>
                <c:pt idx="19917">
                  <c:v>99.17</c:v>
                </c:pt>
                <c:pt idx="19918">
                  <c:v>99.18</c:v>
                </c:pt>
                <c:pt idx="19919">
                  <c:v>99.19</c:v>
                </c:pt>
                <c:pt idx="19920">
                  <c:v>99.2</c:v>
                </c:pt>
                <c:pt idx="19921">
                  <c:v>99.21</c:v>
                </c:pt>
                <c:pt idx="19922">
                  <c:v>99.22</c:v>
                </c:pt>
                <c:pt idx="19923">
                  <c:v>99.23</c:v>
                </c:pt>
                <c:pt idx="19924">
                  <c:v>99.24</c:v>
                </c:pt>
                <c:pt idx="19925">
                  <c:v>99.25</c:v>
                </c:pt>
                <c:pt idx="19926">
                  <c:v>99.26</c:v>
                </c:pt>
                <c:pt idx="19927">
                  <c:v>99.27</c:v>
                </c:pt>
                <c:pt idx="19928">
                  <c:v>99.28</c:v>
                </c:pt>
                <c:pt idx="19929">
                  <c:v>99.29</c:v>
                </c:pt>
                <c:pt idx="19930">
                  <c:v>99.3</c:v>
                </c:pt>
                <c:pt idx="19931">
                  <c:v>99.31</c:v>
                </c:pt>
                <c:pt idx="19932">
                  <c:v>99.32</c:v>
                </c:pt>
                <c:pt idx="19933">
                  <c:v>99.33</c:v>
                </c:pt>
                <c:pt idx="19934">
                  <c:v>99.34</c:v>
                </c:pt>
                <c:pt idx="19935">
                  <c:v>99.35</c:v>
                </c:pt>
                <c:pt idx="19936">
                  <c:v>99.36</c:v>
                </c:pt>
                <c:pt idx="19937">
                  <c:v>99.37</c:v>
                </c:pt>
                <c:pt idx="19938">
                  <c:v>99.38</c:v>
                </c:pt>
                <c:pt idx="19939">
                  <c:v>99.39</c:v>
                </c:pt>
                <c:pt idx="19940">
                  <c:v>99.4</c:v>
                </c:pt>
                <c:pt idx="19941">
                  <c:v>99.41</c:v>
                </c:pt>
                <c:pt idx="19942">
                  <c:v>99.42</c:v>
                </c:pt>
                <c:pt idx="19943">
                  <c:v>99.43</c:v>
                </c:pt>
                <c:pt idx="19944">
                  <c:v>99.44</c:v>
                </c:pt>
                <c:pt idx="19945">
                  <c:v>99.45</c:v>
                </c:pt>
                <c:pt idx="19946">
                  <c:v>99.46</c:v>
                </c:pt>
                <c:pt idx="19947">
                  <c:v>99.47</c:v>
                </c:pt>
                <c:pt idx="19948">
                  <c:v>99.48</c:v>
                </c:pt>
                <c:pt idx="19949">
                  <c:v>99.49</c:v>
                </c:pt>
                <c:pt idx="19950">
                  <c:v>99.5</c:v>
                </c:pt>
                <c:pt idx="19951">
                  <c:v>99.51</c:v>
                </c:pt>
                <c:pt idx="19952">
                  <c:v>99.52</c:v>
                </c:pt>
                <c:pt idx="19953">
                  <c:v>99.53</c:v>
                </c:pt>
                <c:pt idx="19954">
                  <c:v>99.54</c:v>
                </c:pt>
                <c:pt idx="19955">
                  <c:v>99.55</c:v>
                </c:pt>
                <c:pt idx="19956">
                  <c:v>99.56</c:v>
                </c:pt>
                <c:pt idx="19957">
                  <c:v>99.57</c:v>
                </c:pt>
                <c:pt idx="19958">
                  <c:v>99.58</c:v>
                </c:pt>
                <c:pt idx="19959">
                  <c:v>99.59</c:v>
                </c:pt>
                <c:pt idx="19960">
                  <c:v>99.6</c:v>
                </c:pt>
                <c:pt idx="19961">
                  <c:v>99.61</c:v>
                </c:pt>
                <c:pt idx="19962">
                  <c:v>99.62</c:v>
                </c:pt>
                <c:pt idx="19963">
                  <c:v>99.63</c:v>
                </c:pt>
                <c:pt idx="19964">
                  <c:v>99.64</c:v>
                </c:pt>
                <c:pt idx="19965">
                  <c:v>99.65</c:v>
                </c:pt>
                <c:pt idx="19966">
                  <c:v>99.66</c:v>
                </c:pt>
                <c:pt idx="19967">
                  <c:v>99.67</c:v>
                </c:pt>
                <c:pt idx="19968">
                  <c:v>99.68</c:v>
                </c:pt>
                <c:pt idx="19969">
                  <c:v>99.69</c:v>
                </c:pt>
                <c:pt idx="19970">
                  <c:v>99.7</c:v>
                </c:pt>
                <c:pt idx="19971">
                  <c:v>99.71</c:v>
                </c:pt>
                <c:pt idx="19972">
                  <c:v>99.72</c:v>
                </c:pt>
                <c:pt idx="19973">
                  <c:v>99.73</c:v>
                </c:pt>
                <c:pt idx="19974">
                  <c:v>99.74</c:v>
                </c:pt>
                <c:pt idx="19975">
                  <c:v>99.75</c:v>
                </c:pt>
                <c:pt idx="19976">
                  <c:v>99.76</c:v>
                </c:pt>
                <c:pt idx="19977">
                  <c:v>99.77</c:v>
                </c:pt>
                <c:pt idx="19978">
                  <c:v>99.78</c:v>
                </c:pt>
                <c:pt idx="19979">
                  <c:v>99.79</c:v>
                </c:pt>
                <c:pt idx="19980">
                  <c:v>99.8</c:v>
                </c:pt>
                <c:pt idx="19981">
                  <c:v>99.81</c:v>
                </c:pt>
                <c:pt idx="19982">
                  <c:v>99.82</c:v>
                </c:pt>
                <c:pt idx="19983">
                  <c:v>99.83</c:v>
                </c:pt>
                <c:pt idx="19984">
                  <c:v>99.84</c:v>
                </c:pt>
                <c:pt idx="19985">
                  <c:v>99.85</c:v>
                </c:pt>
                <c:pt idx="19986">
                  <c:v>99.86</c:v>
                </c:pt>
                <c:pt idx="19987">
                  <c:v>99.87</c:v>
                </c:pt>
                <c:pt idx="19988">
                  <c:v>99.88</c:v>
                </c:pt>
                <c:pt idx="19989">
                  <c:v>99.89</c:v>
                </c:pt>
                <c:pt idx="19990">
                  <c:v>99.9</c:v>
                </c:pt>
                <c:pt idx="19991">
                  <c:v>99.91</c:v>
                </c:pt>
                <c:pt idx="19992">
                  <c:v>99.92</c:v>
                </c:pt>
                <c:pt idx="19993">
                  <c:v>99.93</c:v>
                </c:pt>
                <c:pt idx="19994">
                  <c:v>99.94</c:v>
                </c:pt>
                <c:pt idx="19995">
                  <c:v>99.95</c:v>
                </c:pt>
                <c:pt idx="19996">
                  <c:v>99.96</c:v>
                </c:pt>
                <c:pt idx="19997">
                  <c:v>99.97</c:v>
                </c:pt>
                <c:pt idx="19998">
                  <c:v>99.98</c:v>
                </c:pt>
                <c:pt idx="19999">
                  <c:v>99.99</c:v>
                </c:pt>
              </c:numCache>
            </c:numRef>
          </c:cat>
          <c:val>
            <c:numRef>
              <c:f>'GP plots'!$B$1:$B$20000</c:f>
              <c:numCache>
                <c:ptCount val="20000"/>
                <c:pt idx="0">
                  <c:v>-5020317.0</c:v>
                </c:pt>
                <c:pt idx="1">
                  <c:v>-5018813.120195</c:v>
                </c:pt>
                <c:pt idx="2">
                  <c:v>-5017309.54076</c:v>
                </c:pt>
                <c:pt idx="3">
                  <c:v>-5015806.261665001</c:v>
                </c:pt>
                <c:pt idx="4">
                  <c:v>-5014303.28288</c:v>
                </c:pt>
                <c:pt idx="5">
                  <c:v>-5012800.604375</c:v>
                </c:pt>
                <c:pt idx="6">
                  <c:v>-5011298.22612</c:v>
                </c:pt>
                <c:pt idx="7">
                  <c:v>-5009796.148085</c:v>
                </c:pt>
                <c:pt idx="8">
                  <c:v>-5008294.37024</c:v>
                </c:pt>
                <c:pt idx="9">
                  <c:v>-5006792.892555</c:v>
                </c:pt>
                <c:pt idx="10">
                  <c:v>-5005291.715</c:v>
                </c:pt>
                <c:pt idx="11">
                  <c:v>-5003790.837545</c:v>
                </c:pt>
                <c:pt idx="12">
                  <c:v>-5002290.26016</c:v>
                </c:pt>
                <c:pt idx="13">
                  <c:v>-5000789.982815</c:v>
                </c:pt>
                <c:pt idx="14">
                  <c:v>-4999290.00548</c:v>
                </c:pt>
                <c:pt idx="15">
                  <c:v>-4997790.328125</c:v>
                </c:pt>
                <c:pt idx="16">
                  <c:v>-4996290.95072</c:v>
                </c:pt>
                <c:pt idx="17">
                  <c:v>-4994791.873234999</c:v>
                </c:pt>
                <c:pt idx="18">
                  <c:v>-4993293.095640001</c:v>
                </c:pt>
                <c:pt idx="19">
                  <c:v>-4991794.617905</c:v>
                </c:pt>
                <c:pt idx="20">
                  <c:v>-4990296.44</c:v>
                </c:pt>
                <c:pt idx="21">
                  <c:v>-4988798.561895</c:v>
                </c:pt>
                <c:pt idx="22">
                  <c:v>-4987300.98356</c:v>
                </c:pt>
                <c:pt idx="23">
                  <c:v>-4985803.704965</c:v>
                </c:pt>
                <c:pt idx="24">
                  <c:v>-4984306.72608</c:v>
                </c:pt>
                <c:pt idx="25">
                  <c:v>-4982810.046875</c:v>
                </c:pt>
                <c:pt idx="26">
                  <c:v>-4981313.66732</c:v>
                </c:pt>
                <c:pt idx="27">
                  <c:v>-4979817.587385</c:v>
                </c:pt>
                <c:pt idx="28">
                  <c:v>-4978321.80704</c:v>
                </c:pt>
                <c:pt idx="29">
                  <c:v>-4976826.326254999</c:v>
                </c:pt>
                <c:pt idx="30">
                  <c:v>-4975331.1450000005</c:v>
                </c:pt>
                <c:pt idx="31">
                  <c:v>-4973836.2632450005</c:v>
                </c:pt>
                <c:pt idx="32">
                  <c:v>-4972341.6809600005</c:v>
                </c:pt>
                <c:pt idx="33">
                  <c:v>-4970847.398115</c:v>
                </c:pt>
                <c:pt idx="34">
                  <c:v>-4969353.41468</c:v>
                </c:pt>
                <c:pt idx="35">
                  <c:v>-4967859.730625001</c:v>
                </c:pt>
                <c:pt idx="36">
                  <c:v>-4966366.34592</c:v>
                </c:pt>
                <c:pt idx="37">
                  <c:v>-4964873.260535</c:v>
                </c:pt>
                <c:pt idx="38">
                  <c:v>-4963380.47444</c:v>
                </c:pt>
                <c:pt idx="39">
                  <c:v>-4961887.987605</c:v>
                </c:pt>
                <c:pt idx="40">
                  <c:v>-4960395.8</c:v>
                </c:pt>
                <c:pt idx="41">
                  <c:v>-4958903.911595001</c:v>
                </c:pt>
                <c:pt idx="42">
                  <c:v>-4957412.32236</c:v>
                </c:pt>
                <c:pt idx="43">
                  <c:v>-4955921.032265</c:v>
                </c:pt>
                <c:pt idx="44">
                  <c:v>-4954430.0412800005</c:v>
                </c:pt>
                <c:pt idx="45">
                  <c:v>-4952939.349375</c:v>
                </c:pt>
                <c:pt idx="46">
                  <c:v>-4951448.9565200005</c:v>
                </c:pt>
                <c:pt idx="47">
                  <c:v>-4949958.862685</c:v>
                </c:pt>
                <c:pt idx="48">
                  <c:v>-4948469.067840001</c:v>
                </c:pt>
                <c:pt idx="49">
                  <c:v>-4946979.571955</c:v>
                </c:pt>
                <c:pt idx="50">
                  <c:v>-4945490.375</c:v>
                </c:pt>
                <c:pt idx="51">
                  <c:v>-4944001.476945</c:v>
                </c:pt>
                <c:pt idx="52">
                  <c:v>-4942512.8777600005</c:v>
                </c:pt>
                <c:pt idx="53">
                  <c:v>-4941024.577415</c:v>
                </c:pt>
                <c:pt idx="54">
                  <c:v>-4939536.575879999</c:v>
                </c:pt>
                <c:pt idx="55">
                  <c:v>-4938048.873125</c:v>
                </c:pt>
                <c:pt idx="56">
                  <c:v>-4936561.46912</c:v>
                </c:pt>
                <c:pt idx="57">
                  <c:v>-4935074.3638349995</c:v>
                </c:pt>
                <c:pt idx="58">
                  <c:v>-4933587.55724</c:v>
                </c:pt>
                <c:pt idx="59">
                  <c:v>-4932101.049304999</c:v>
                </c:pt>
                <c:pt idx="60">
                  <c:v>-4930614.84</c:v>
                </c:pt>
                <c:pt idx="61">
                  <c:v>-4929128.929295</c:v>
                </c:pt>
                <c:pt idx="62">
                  <c:v>-4927643.31716</c:v>
                </c:pt>
                <c:pt idx="63">
                  <c:v>-4926158.003565</c:v>
                </c:pt>
                <c:pt idx="64">
                  <c:v>-4924672.98848</c:v>
                </c:pt>
                <c:pt idx="65">
                  <c:v>-4923188.271875</c:v>
                </c:pt>
                <c:pt idx="66">
                  <c:v>-4921703.85372</c:v>
                </c:pt>
                <c:pt idx="67">
                  <c:v>-4920219.733985</c:v>
                </c:pt>
                <c:pt idx="68">
                  <c:v>-4918735.91264</c:v>
                </c:pt>
                <c:pt idx="69">
                  <c:v>-4917252.389655</c:v>
                </c:pt>
                <c:pt idx="70">
                  <c:v>-4915769.165</c:v>
                </c:pt>
                <c:pt idx="71">
                  <c:v>-4914286.238645</c:v>
                </c:pt>
                <c:pt idx="72">
                  <c:v>-4912803.61056</c:v>
                </c:pt>
                <c:pt idx="73">
                  <c:v>-4911321.280715</c:v>
                </c:pt>
                <c:pt idx="74">
                  <c:v>-4909839.2490799995</c:v>
                </c:pt>
                <c:pt idx="75">
                  <c:v>-4908357.515625</c:v>
                </c:pt>
                <c:pt idx="76">
                  <c:v>-4906876.08032</c:v>
                </c:pt>
                <c:pt idx="77">
                  <c:v>-4905394.943135</c:v>
                </c:pt>
                <c:pt idx="78">
                  <c:v>-4903914.104040001</c:v>
                </c:pt>
                <c:pt idx="79">
                  <c:v>-4902433.563004999</c:v>
                </c:pt>
                <c:pt idx="80">
                  <c:v>-4900953.319999999</c:v>
                </c:pt>
                <c:pt idx="81">
                  <c:v>-4899473.374995001</c:v>
                </c:pt>
                <c:pt idx="82">
                  <c:v>-4897993.72796</c:v>
                </c:pt>
                <c:pt idx="83">
                  <c:v>-4896514.378865</c:v>
                </c:pt>
                <c:pt idx="84">
                  <c:v>-4895035.32768</c:v>
                </c:pt>
                <c:pt idx="85">
                  <c:v>-4893556.574375</c:v>
                </c:pt>
                <c:pt idx="86">
                  <c:v>-4892078.118919999</c:v>
                </c:pt>
                <c:pt idx="87">
                  <c:v>-4890599.961285</c:v>
                </c:pt>
                <c:pt idx="88">
                  <c:v>-4889122.10144</c:v>
                </c:pt>
                <c:pt idx="89">
                  <c:v>-4887644.5393550005</c:v>
                </c:pt>
                <c:pt idx="90">
                  <c:v>-4886167.275</c:v>
                </c:pt>
                <c:pt idx="91">
                  <c:v>-4884690.308345</c:v>
                </c:pt>
                <c:pt idx="92">
                  <c:v>-4883213.63936</c:v>
                </c:pt>
                <c:pt idx="93">
                  <c:v>-4881737.268015</c:v>
                </c:pt>
                <c:pt idx="94">
                  <c:v>-4880261.1942799995</c:v>
                </c:pt>
                <c:pt idx="95">
                  <c:v>-4878785.418125</c:v>
                </c:pt>
                <c:pt idx="96">
                  <c:v>-4877309.9395200005</c:v>
                </c:pt>
                <c:pt idx="97">
                  <c:v>-4875834.758435</c:v>
                </c:pt>
                <c:pt idx="98">
                  <c:v>-4874359.87484</c:v>
                </c:pt>
                <c:pt idx="99">
                  <c:v>-4872885.288705001</c:v>
                </c:pt>
                <c:pt idx="100">
                  <c:v>-4871411.0</c:v>
                </c:pt>
                <c:pt idx="101">
                  <c:v>-4869937.008695</c:v>
                </c:pt>
                <c:pt idx="102">
                  <c:v>-4868463.31476</c:v>
                </c:pt>
                <c:pt idx="103">
                  <c:v>-4866989.918165</c:v>
                </c:pt>
                <c:pt idx="104">
                  <c:v>-4865516.818879999</c:v>
                </c:pt>
                <c:pt idx="105">
                  <c:v>-4864044.016875</c:v>
                </c:pt>
                <c:pt idx="106">
                  <c:v>-4862571.51212</c:v>
                </c:pt>
                <c:pt idx="107">
                  <c:v>-4861099.3045850005</c:v>
                </c:pt>
                <c:pt idx="108">
                  <c:v>-4859627.394239999</c:v>
                </c:pt>
                <c:pt idx="109">
                  <c:v>-4858155.781055</c:v>
                </c:pt>
                <c:pt idx="110">
                  <c:v>-4856684.465</c:v>
                </c:pt>
                <c:pt idx="111">
                  <c:v>-4855213.446045</c:v>
                </c:pt>
                <c:pt idx="112">
                  <c:v>-4853742.72416</c:v>
                </c:pt>
                <c:pt idx="113">
                  <c:v>-4852272.299315</c:v>
                </c:pt>
                <c:pt idx="114">
                  <c:v>-4850802.17148</c:v>
                </c:pt>
                <c:pt idx="115">
                  <c:v>-4849332.340625</c:v>
                </c:pt>
                <c:pt idx="116">
                  <c:v>-4847862.80672</c:v>
                </c:pt>
                <c:pt idx="117">
                  <c:v>-4846393.569735</c:v>
                </c:pt>
                <c:pt idx="118">
                  <c:v>-4844924.62964</c:v>
                </c:pt>
                <c:pt idx="119">
                  <c:v>-4843455.986405</c:v>
                </c:pt>
                <c:pt idx="120">
                  <c:v>-4841987.640000001</c:v>
                </c:pt>
                <c:pt idx="121">
                  <c:v>-4840519.590395</c:v>
                </c:pt>
                <c:pt idx="122">
                  <c:v>-4839051.83756</c:v>
                </c:pt>
                <c:pt idx="123">
                  <c:v>-4837584.381465</c:v>
                </c:pt>
                <c:pt idx="124">
                  <c:v>-4836117.22208</c:v>
                </c:pt>
                <c:pt idx="125">
                  <c:v>-4834650.359375</c:v>
                </c:pt>
                <c:pt idx="126">
                  <c:v>-4833183.793319999</c:v>
                </c:pt>
                <c:pt idx="127">
                  <c:v>-4831717.523885</c:v>
                </c:pt>
                <c:pt idx="128">
                  <c:v>-4830251.551039999</c:v>
                </c:pt>
                <c:pt idx="129">
                  <c:v>-4828785.874755001</c:v>
                </c:pt>
                <c:pt idx="130">
                  <c:v>-4827320.495</c:v>
                </c:pt>
                <c:pt idx="131">
                  <c:v>-4825855.411745</c:v>
                </c:pt>
                <c:pt idx="132">
                  <c:v>-4824390.62496</c:v>
                </c:pt>
                <c:pt idx="133">
                  <c:v>-4822926.134614999</c:v>
                </c:pt>
                <c:pt idx="134">
                  <c:v>-4821461.94068</c:v>
                </c:pt>
                <c:pt idx="135">
                  <c:v>-4819998.043125</c:v>
                </c:pt>
                <c:pt idx="136">
                  <c:v>-4818534.44192</c:v>
                </c:pt>
                <c:pt idx="137">
                  <c:v>-4817071.137035</c:v>
                </c:pt>
                <c:pt idx="138">
                  <c:v>-4815608.12844</c:v>
                </c:pt>
                <c:pt idx="139">
                  <c:v>-4814145.416104999</c:v>
                </c:pt>
                <c:pt idx="140">
                  <c:v>-4812683.0</c:v>
                </c:pt>
                <c:pt idx="141">
                  <c:v>-4811220.880095</c:v>
                </c:pt>
                <c:pt idx="142">
                  <c:v>-4809759.05636</c:v>
                </c:pt>
                <c:pt idx="143">
                  <c:v>-4808297.528765</c:v>
                </c:pt>
                <c:pt idx="144">
                  <c:v>-4806836.29728</c:v>
                </c:pt>
                <c:pt idx="145">
                  <c:v>-4805375.361875</c:v>
                </c:pt>
                <c:pt idx="146">
                  <c:v>-4803914.72252</c:v>
                </c:pt>
                <c:pt idx="147">
                  <c:v>-4802454.379185</c:v>
                </c:pt>
                <c:pt idx="148">
                  <c:v>-4800994.33184</c:v>
                </c:pt>
                <c:pt idx="149">
                  <c:v>-4799534.580455</c:v>
                </c:pt>
                <c:pt idx="150">
                  <c:v>-4798075.125</c:v>
                </c:pt>
                <c:pt idx="151">
                  <c:v>-4796615.965445</c:v>
                </c:pt>
                <c:pt idx="152">
                  <c:v>-4795157.10176</c:v>
                </c:pt>
                <c:pt idx="153">
                  <c:v>-4793698.533915</c:v>
                </c:pt>
                <c:pt idx="154">
                  <c:v>-4792240.26188</c:v>
                </c:pt>
                <c:pt idx="155">
                  <c:v>-4790782.2856250005</c:v>
                </c:pt>
                <c:pt idx="156">
                  <c:v>-4789324.6051199995</c:v>
                </c:pt>
                <c:pt idx="157">
                  <c:v>-4787867.220334999</c:v>
                </c:pt>
                <c:pt idx="158">
                  <c:v>-4786410.13124</c:v>
                </c:pt>
                <c:pt idx="159">
                  <c:v>-4784953.337805</c:v>
                </c:pt>
                <c:pt idx="160">
                  <c:v>-4783496.840000001</c:v>
                </c:pt>
                <c:pt idx="161">
                  <c:v>-4782040.637794999</c:v>
                </c:pt>
                <c:pt idx="162">
                  <c:v>-4780584.73116</c:v>
                </c:pt>
                <c:pt idx="163">
                  <c:v>-4779129.120065</c:v>
                </c:pt>
                <c:pt idx="164">
                  <c:v>-4777673.80448</c:v>
                </c:pt>
                <c:pt idx="165">
                  <c:v>-4776218.784375</c:v>
                </c:pt>
                <c:pt idx="166">
                  <c:v>-4774764.05972</c:v>
                </c:pt>
                <c:pt idx="167">
                  <c:v>-4773309.630485</c:v>
                </c:pt>
                <c:pt idx="168">
                  <c:v>-4771855.4966400005</c:v>
                </c:pt>
                <c:pt idx="169">
                  <c:v>-4770401.658155</c:v>
                </c:pt>
                <c:pt idx="170">
                  <c:v>-4768948.115</c:v>
                </c:pt>
                <c:pt idx="171">
                  <c:v>-4767494.867145</c:v>
                </c:pt>
                <c:pt idx="172">
                  <c:v>-4766041.91456</c:v>
                </c:pt>
                <c:pt idx="173">
                  <c:v>-4764589.257215</c:v>
                </c:pt>
                <c:pt idx="174">
                  <c:v>-4763136.89508</c:v>
                </c:pt>
                <c:pt idx="175">
                  <c:v>-4761684.828125</c:v>
                </c:pt>
                <c:pt idx="176">
                  <c:v>-4760233.05632</c:v>
                </c:pt>
                <c:pt idx="177">
                  <c:v>-4758781.579635</c:v>
                </c:pt>
                <c:pt idx="178">
                  <c:v>-4757330.39804</c:v>
                </c:pt>
                <c:pt idx="179">
                  <c:v>-4755879.511505</c:v>
                </c:pt>
                <c:pt idx="180">
                  <c:v>-4754428.92</c:v>
                </c:pt>
                <c:pt idx="181">
                  <c:v>-4752978.623495</c:v>
                </c:pt>
                <c:pt idx="182">
                  <c:v>-4751528.62196</c:v>
                </c:pt>
                <c:pt idx="183">
                  <c:v>-4750078.915365</c:v>
                </c:pt>
                <c:pt idx="184">
                  <c:v>-4748629.50368</c:v>
                </c:pt>
                <c:pt idx="185">
                  <c:v>-4747180.386875</c:v>
                </c:pt>
                <c:pt idx="186">
                  <c:v>-4745731.56492</c:v>
                </c:pt>
                <c:pt idx="187">
                  <c:v>-4744283.037785</c:v>
                </c:pt>
                <c:pt idx="188">
                  <c:v>-4742834.80544</c:v>
                </c:pt>
                <c:pt idx="189">
                  <c:v>-4741386.867855</c:v>
                </c:pt>
                <c:pt idx="190">
                  <c:v>-4739939.225</c:v>
                </c:pt>
                <c:pt idx="191">
                  <c:v>-4738491.876844999</c:v>
                </c:pt>
                <c:pt idx="192">
                  <c:v>-4737044.823360001</c:v>
                </c:pt>
                <c:pt idx="193">
                  <c:v>-4735598.064514999</c:v>
                </c:pt>
                <c:pt idx="194">
                  <c:v>-4734151.60028</c:v>
                </c:pt>
                <c:pt idx="195">
                  <c:v>-4732705.430625</c:v>
                </c:pt>
                <c:pt idx="196">
                  <c:v>-4731259.55552</c:v>
                </c:pt>
                <c:pt idx="197">
                  <c:v>-4729813.974935</c:v>
                </c:pt>
                <c:pt idx="198">
                  <c:v>-4728368.68884</c:v>
                </c:pt>
                <c:pt idx="199">
                  <c:v>-4726923.697205001</c:v>
                </c:pt>
                <c:pt idx="200">
                  <c:v>-4725479.0</c:v>
                </c:pt>
                <c:pt idx="201">
                  <c:v>-4724034.597195</c:v>
                </c:pt>
                <c:pt idx="202">
                  <c:v>-4722590.48876</c:v>
                </c:pt>
                <c:pt idx="203">
                  <c:v>-4721146.674665</c:v>
                </c:pt>
                <c:pt idx="204">
                  <c:v>-4719703.15488</c:v>
                </c:pt>
                <c:pt idx="205">
                  <c:v>-4718259.929374999</c:v>
                </c:pt>
                <c:pt idx="206">
                  <c:v>-4716816.998120001</c:v>
                </c:pt>
                <c:pt idx="207">
                  <c:v>-4715374.361085</c:v>
                </c:pt>
                <c:pt idx="208">
                  <c:v>-4713932.01824</c:v>
                </c:pt>
                <c:pt idx="209">
                  <c:v>-4712489.969555001</c:v>
                </c:pt>
                <c:pt idx="210">
                  <c:v>-4711048.215</c:v>
                </c:pt>
                <c:pt idx="211">
                  <c:v>-4709606.754544999</c:v>
                </c:pt>
                <c:pt idx="212">
                  <c:v>-4708165.58816</c:v>
                </c:pt>
                <c:pt idx="213">
                  <c:v>-4706724.715815</c:v>
                </c:pt>
                <c:pt idx="214">
                  <c:v>-4705284.13748</c:v>
                </c:pt>
                <c:pt idx="215">
                  <c:v>-4703843.853125</c:v>
                </c:pt>
                <c:pt idx="216">
                  <c:v>-4702403.862720001</c:v>
                </c:pt>
                <c:pt idx="217">
                  <c:v>-4700964.166235</c:v>
                </c:pt>
                <c:pt idx="218">
                  <c:v>-4699524.7636400005</c:v>
                </c:pt>
                <c:pt idx="219">
                  <c:v>-4698085.654905001</c:v>
                </c:pt>
                <c:pt idx="220">
                  <c:v>-4696646.84</c:v>
                </c:pt>
                <c:pt idx="221">
                  <c:v>-4695208.318895</c:v>
                </c:pt>
                <c:pt idx="222">
                  <c:v>-4693770.09156</c:v>
                </c:pt>
                <c:pt idx="223">
                  <c:v>-4692332.157965</c:v>
                </c:pt>
                <c:pt idx="224">
                  <c:v>-4690894.51808</c:v>
                </c:pt>
                <c:pt idx="225">
                  <c:v>-4689457.171875</c:v>
                </c:pt>
                <c:pt idx="226">
                  <c:v>-4688020.1193200005</c:v>
                </c:pt>
                <c:pt idx="227">
                  <c:v>-4686583.360385</c:v>
                </c:pt>
                <c:pt idx="228">
                  <c:v>-4685146.89504</c:v>
                </c:pt>
                <c:pt idx="229">
                  <c:v>-4683710.723255</c:v>
                </c:pt>
                <c:pt idx="230">
                  <c:v>-4682274.845</c:v>
                </c:pt>
                <c:pt idx="231">
                  <c:v>-4680839.260245</c:v>
                </c:pt>
                <c:pt idx="232">
                  <c:v>-4679403.968959999</c:v>
                </c:pt>
                <c:pt idx="233">
                  <c:v>-4677968.971115001</c:v>
                </c:pt>
                <c:pt idx="234">
                  <c:v>-4676534.266679999</c:v>
                </c:pt>
                <c:pt idx="235">
                  <c:v>-4675099.855625</c:v>
                </c:pt>
                <c:pt idx="236">
                  <c:v>-4673665.73792</c:v>
                </c:pt>
                <c:pt idx="237">
                  <c:v>-4672231.913535</c:v>
                </c:pt>
                <c:pt idx="238">
                  <c:v>-4670798.38244</c:v>
                </c:pt>
                <c:pt idx="239">
                  <c:v>-4669365.1446050005</c:v>
                </c:pt>
                <c:pt idx="240">
                  <c:v>-4667932.2</c:v>
                </c:pt>
                <c:pt idx="241">
                  <c:v>-4666499.548595</c:v>
                </c:pt>
                <c:pt idx="242">
                  <c:v>-4665067.19036</c:v>
                </c:pt>
                <c:pt idx="243">
                  <c:v>-4663635.125265</c:v>
                </c:pt>
                <c:pt idx="244">
                  <c:v>-4662203.35328</c:v>
                </c:pt>
                <c:pt idx="245">
                  <c:v>-4660771.874375001</c:v>
                </c:pt>
                <c:pt idx="246">
                  <c:v>-4659340.68852</c:v>
                </c:pt>
                <c:pt idx="247">
                  <c:v>-4657909.795685</c:v>
                </c:pt>
                <c:pt idx="248">
                  <c:v>-4656479.19584</c:v>
                </c:pt>
                <c:pt idx="249">
                  <c:v>-4655048.888955</c:v>
                </c:pt>
                <c:pt idx="250">
                  <c:v>-4653618.875</c:v>
                </c:pt>
                <c:pt idx="251">
                  <c:v>-4652189.153945</c:v>
                </c:pt>
                <c:pt idx="252">
                  <c:v>-4650759.72576</c:v>
                </c:pt>
                <c:pt idx="253">
                  <c:v>-4649330.590415</c:v>
                </c:pt>
                <c:pt idx="254">
                  <c:v>-4647901.747880001</c:v>
                </c:pt>
                <c:pt idx="255">
                  <c:v>-4646473.198125</c:v>
                </c:pt>
                <c:pt idx="256">
                  <c:v>-4645044.941120001</c:v>
                </c:pt>
                <c:pt idx="257">
                  <c:v>-4643616.976835</c:v>
                </c:pt>
                <c:pt idx="258">
                  <c:v>-4642189.305240001</c:v>
                </c:pt>
                <c:pt idx="259">
                  <c:v>-4640761.926305</c:v>
                </c:pt>
                <c:pt idx="260">
                  <c:v>-4639334.84</c:v>
                </c:pt>
                <c:pt idx="261">
                  <c:v>-4637908.046295</c:v>
                </c:pt>
                <c:pt idx="262">
                  <c:v>-4636481.54516</c:v>
                </c:pt>
                <c:pt idx="263">
                  <c:v>-4635055.336565</c:v>
                </c:pt>
                <c:pt idx="264">
                  <c:v>-4633629.42048</c:v>
                </c:pt>
                <c:pt idx="265">
                  <c:v>-4632203.796875</c:v>
                </c:pt>
                <c:pt idx="266">
                  <c:v>-4630778.46572</c:v>
                </c:pt>
                <c:pt idx="267">
                  <c:v>-4629353.426984999</c:v>
                </c:pt>
                <c:pt idx="268">
                  <c:v>-4627928.68064</c:v>
                </c:pt>
                <c:pt idx="269">
                  <c:v>-4626504.226655</c:v>
                </c:pt>
                <c:pt idx="270">
                  <c:v>-4625080.065</c:v>
                </c:pt>
                <c:pt idx="271">
                  <c:v>-4623656.195645001</c:v>
                </c:pt>
                <c:pt idx="272">
                  <c:v>-4622232.61856</c:v>
                </c:pt>
                <c:pt idx="273">
                  <c:v>-4620809.333715</c:v>
                </c:pt>
                <c:pt idx="274">
                  <c:v>-4619386.34108</c:v>
                </c:pt>
                <c:pt idx="275">
                  <c:v>-4617963.640625</c:v>
                </c:pt>
                <c:pt idx="276">
                  <c:v>-4616541.23232</c:v>
                </c:pt>
                <c:pt idx="277">
                  <c:v>-4615119.116134999</c:v>
                </c:pt>
                <c:pt idx="278">
                  <c:v>-4613697.29204</c:v>
                </c:pt>
                <c:pt idx="279">
                  <c:v>-4612275.760005</c:v>
                </c:pt>
                <c:pt idx="280">
                  <c:v>-4610854.5200000005</c:v>
                </c:pt>
                <c:pt idx="281">
                  <c:v>-4609433.571994999</c:v>
                </c:pt>
                <c:pt idx="282">
                  <c:v>-4608012.91596</c:v>
                </c:pt>
                <c:pt idx="283">
                  <c:v>-4606592.551865</c:v>
                </c:pt>
                <c:pt idx="284">
                  <c:v>-4605172.47968</c:v>
                </c:pt>
                <c:pt idx="285">
                  <c:v>-4603752.699375001</c:v>
                </c:pt>
                <c:pt idx="286">
                  <c:v>-4602333.2109199995</c:v>
                </c:pt>
                <c:pt idx="287">
                  <c:v>-4600914.014285</c:v>
                </c:pt>
                <c:pt idx="288">
                  <c:v>-4599495.109440001</c:v>
                </c:pt>
                <c:pt idx="289">
                  <c:v>-4598076.496355</c:v>
                </c:pt>
                <c:pt idx="290">
                  <c:v>-4596658.175</c:v>
                </c:pt>
                <c:pt idx="291">
                  <c:v>-4595240.145345</c:v>
                </c:pt>
                <c:pt idx="292">
                  <c:v>-4593822.40736</c:v>
                </c:pt>
                <c:pt idx="293">
                  <c:v>-4592404.961015</c:v>
                </c:pt>
                <c:pt idx="294">
                  <c:v>-4590987.80628</c:v>
                </c:pt>
                <c:pt idx="295">
                  <c:v>-4589570.943125</c:v>
                </c:pt>
                <c:pt idx="296">
                  <c:v>-4588154.3715200005</c:v>
                </c:pt>
                <c:pt idx="297">
                  <c:v>-4586738.091434999</c:v>
                </c:pt>
                <c:pt idx="298">
                  <c:v>-4585322.10284</c:v>
                </c:pt>
                <c:pt idx="299">
                  <c:v>-4583906.405704999</c:v>
                </c:pt>
                <c:pt idx="300">
                  <c:v>-4582491.0</c:v>
                </c:pt>
                <c:pt idx="301">
                  <c:v>-4581075.885695</c:v>
                </c:pt>
                <c:pt idx="302">
                  <c:v>-4579661.06276</c:v>
                </c:pt>
                <c:pt idx="303">
                  <c:v>-4578246.531165</c:v>
                </c:pt>
                <c:pt idx="304">
                  <c:v>-4576832.29088</c:v>
                </c:pt>
                <c:pt idx="305">
                  <c:v>-4575418.341875</c:v>
                </c:pt>
                <c:pt idx="306">
                  <c:v>-4574004.68412</c:v>
                </c:pt>
                <c:pt idx="307">
                  <c:v>-4572591.317585</c:v>
                </c:pt>
                <c:pt idx="308">
                  <c:v>-4571178.2422400005</c:v>
                </c:pt>
                <c:pt idx="309">
                  <c:v>-4569765.458055</c:v>
                </c:pt>
                <c:pt idx="310">
                  <c:v>-4568352.965</c:v>
                </c:pt>
                <c:pt idx="311">
                  <c:v>-4566940.763045</c:v>
                </c:pt>
                <c:pt idx="312">
                  <c:v>-4565528.852159999</c:v>
                </c:pt>
                <c:pt idx="313">
                  <c:v>-4564117.232314999</c:v>
                </c:pt>
                <c:pt idx="314">
                  <c:v>-4562705.90348</c:v>
                </c:pt>
                <c:pt idx="315">
                  <c:v>-4561294.865625</c:v>
                </c:pt>
                <c:pt idx="316">
                  <c:v>-4559884.11872</c:v>
                </c:pt>
                <c:pt idx="317">
                  <c:v>-4558473.662734999</c:v>
                </c:pt>
                <c:pt idx="318">
                  <c:v>-4557063.497640001</c:v>
                </c:pt>
                <c:pt idx="319">
                  <c:v>-4555653.623404999</c:v>
                </c:pt>
                <c:pt idx="320">
                  <c:v>-4554244.04</c:v>
                </c:pt>
                <c:pt idx="321">
                  <c:v>-4552834.7473949995</c:v>
                </c:pt>
                <c:pt idx="322">
                  <c:v>-4551425.74556</c:v>
                </c:pt>
                <c:pt idx="323">
                  <c:v>-4550017.034465</c:v>
                </c:pt>
                <c:pt idx="324">
                  <c:v>-4548608.614080001</c:v>
                </c:pt>
                <c:pt idx="325">
                  <c:v>-4547200.484375</c:v>
                </c:pt>
                <c:pt idx="326">
                  <c:v>-4545792.64532</c:v>
                </c:pt>
                <c:pt idx="327">
                  <c:v>-4544385.096884999</c:v>
                </c:pt>
                <c:pt idx="328">
                  <c:v>-4542977.83904</c:v>
                </c:pt>
                <c:pt idx="329">
                  <c:v>-4541570.871755</c:v>
                </c:pt>
                <c:pt idx="330">
                  <c:v>-4540164.194999999</c:v>
                </c:pt>
                <c:pt idx="331">
                  <c:v>-4538757.808745</c:v>
                </c:pt>
                <c:pt idx="332">
                  <c:v>-4537351.71296</c:v>
                </c:pt>
                <c:pt idx="333">
                  <c:v>-4535945.907615</c:v>
                </c:pt>
                <c:pt idx="334">
                  <c:v>-4534540.3926800005</c:v>
                </c:pt>
                <c:pt idx="335">
                  <c:v>-4533135.168125</c:v>
                </c:pt>
                <c:pt idx="336">
                  <c:v>-4531730.23392</c:v>
                </c:pt>
                <c:pt idx="337">
                  <c:v>-4530325.590035001</c:v>
                </c:pt>
                <c:pt idx="338">
                  <c:v>-4528921.23644</c:v>
                </c:pt>
                <c:pt idx="339">
                  <c:v>-4527517.173105</c:v>
                </c:pt>
                <c:pt idx="340">
                  <c:v>-4526113.4</c:v>
                </c:pt>
                <c:pt idx="341">
                  <c:v>-4524709.917095</c:v>
                </c:pt>
                <c:pt idx="342">
                  <c:v>-4523306.724359999</c:v>
                </c:pt>
                <c:pt idx="343">
                  <c:v>-4521903.821765</c:v>
                </c:pt>
                <c:pt idx="344">
                  <c:v>-4520501.20928</c:v>
                </c:pt>
                <c:pt idx="345">
                  <c:v>-4519098.886875</c:v>
                </c:pt>
                <c:pt idx="346">
                  <c:v>-4517696.85452</c:v>
                </c:pt>
                <c:pt idx="347">
                  <c:v>-4516295.112185</c:v>
                </c:pt>
                <c:pt idx="348">
                  <c:v>-4514893.65984</c:v>
                </c:pt>
                <c:pt idx="349">
                  <c:v>-4513492.497455</c:v>
                </c:pt>
                <c:pt idx="350">
                  <c:v>-4512091.625</c:v>
                </c:pt>
                <c:pt idx="351">
                  <c:v>-4510691.042444999</c:v>
                </c:pt>
                <c:pt idx="352">
                  <c:v>-4509290.74976</c:v>
                </c:pt>
                <c:pt idx="353">
                  <c:v>-4507890.7469150005</c:v>
                </c:pt>
                <c:pt idx="354">
                  <c:v>-4506491.03388</c:v>
                </c:pt>
                <c:pt idx="355">
                  <c:v>-4505091.610625</c:v>
                </c:pt>
                <c:pt idx="356">
                  <c:v>-4503692.47712</c:v>
                </c:pt>
                <c:pt idx="357">
                  <c:v>-4502293.633335</c:v>
                </c:pt>
                <c:pt idx="358">
                  <c:v>-4500895.07924</c:v>
                </c:pt>
                <c:pt idx="359">
                  <c:v>-4499496.814805</c:v>
                </c:pt>
                <c:pt idx="360">
                  <c:v>-4498098.84</c:v>
                </c:pt>
                <c:pt idx="361">
                  <c:v>-4496701.154794999</c:v>
                </c:pt>
                <c:pt idx="362">
                  <c:v>-4495303.75916</c:v>
                </c:pt>
                <c:pt idx="363">
                  <c:v>-4493906.653065</c:v>
                </c:pt>
                <c:pt idx="364">
                  <c:v>-4492509.83648</c:v>
                </c:pt>
                <c:pt idx="365">
                  <c:v>-4491113.309375</c:v>
                </c:pt>
                <c:pt idx="366">
                  <c:v>-4489717.071719999</c:v>
                </c:pt>
                <c:pt idx="367">
                  <c:v>-4488321.123485</c:v>
                </c:pt>
                <c:pt idx="368">
                  <c:v>-4486925.46464</c:v>
                </c:pt>
                <c:pt idx="369">
                  <c:v>-4485530.095155</c:v>
                </c:pt>
                <c:pt idx="370">
                  <c:v>-4484135.015000001</c:v>
                </c:pt>
                <c:pt idx="371">
                  <c:v>-4482740.224145</c:v>
                </c:pt>
                <c:pt idx="372">
                  <c:v>-4481345.72256</c:v>
                </c:pt>
                <c:pt idx="373">
                  <c:v>-4479951.510215</c:v>
                </c:pt>
                <c:pt idx="374">
                  <c:v>-4478557.58708</c:v>
                </c:pt>
                <c:pt idx="375">
                  <c:v>-4477163.953125</c:v>
                </c:pt>
                <c:pt idx="376">
                  <c:v>-4475770.60832</c:v>
                </c:pt>
                <c:pt idx="377">
                  <c:v>-4474377.552634999</c:v>
                </c:pt>
                <c:pt idx="378">
                  <c:v>-4472984.78604</c:v>
                </c:pt>
                <c:pt idx="379">
                  <c:v>-4471592.308505</c:v>
                </c:pt>
                <c:pt idx="380">
                  <c:v>-4470200.12</c:v>
                </c:pt>
                <c:pt idx="381">
                  <c:v>-4468808.2204950005</c:v>
                </c:pt>
                <c:pt idx="382">
                  <c:v>-4467416.60996</c:v>
                </c:pt>
                <c:pt idx="383">
                  <c:v>-4466025.288365</c:v>
                </c:pt>
                <c:pt idx="384">
                  <c:v>-4464634.2556799995</c:v>
                </c:pt>
                <c:pt idx="385">
                  <c:v>-4463243.511875</c:v>
                </c:pt>
                <c:pt idx="386">
                  <c:v>-4461853.05692</c:v>
                </c:pt>
                <c:pt idx="387">
                  <c:v>-4460462.890785</c:v>
                </c:pt>
                <c:pt idx="388">
                  <c:v>-4459073.01344</c:v>
                </c:pt>
                <c:pt idx="389">
                  <c:v>-4457683.424855</c:v>
                </c:pt>
                <c:pt idx="390">
                  <c:v>-4456294.125</c:v>
                </c:pt>
                <c:pt idx="391">
                  <c:v>-4454905.113845</c:v>
                </c:pt>
                <c:pt idx="392">
                  <c:v>-4453516.39136</c:v>
                </c:pt>
                <c:pt idx="393">
                  <c:v>-4452127.957515</c:v>
                </c:pt>
                <c:pt idx="394">
                  <c:v>-4450739.81228</c:v>
                </c:pt>
                <c:pt idx="395">
                  <c:v>-4449351.955625</c:v>
                </c:pt>
                <c:pt idx="396">
                  <c:v>-4447964.387519999</c:v>
                </c:pt>
                <c:pt idx="397">
                  <c:v>-4446577.107935</c:v>
                </c:pt>
                <c:pt idx="398">
                  <c:v>-4445190.11684</c:v>
                </c:pt>
                <c:pt idx="399">
                  <c:v>-4443803.414205</c:v>
                </c:pt>
                <c:pt idx="400">
                  <c:v>-4442417.0</c:v>
                </c:pt>
                <c:pt idx="401">
                  <c:v>-4441030.874195</c:v>
                </c:pt>
                <c:pt idx="402">
                  <c:v>-4439645.0367600005</c:v>
                </c:pt>
                <c:pt idx="403">
                  <c:v>-4438259.487664999</c:v>
                </c:pt>
                <c:pt idx="404">
                  <c:v>-4436874.22688</c:v>
                </c:pt>
                <c:pt idx="405">
                  <c:v>-4435489.2543750005</c:v>
                </c:pt>
                <c:pt idx="406">
                  <c:v>-4434104.57012</c:v>
                </c:pt>
                <c:pt idx="407">
                  <c:v>-4432720.1740850005</c:v>
                </c:pt>
                <c:pt idx="408">
                  <c:v>-4431336.06624</c:v>
                </c:pt>
                <c:pt idx="409">
                  <c:v>-4429952.246555</c:v>
                </c:pt>
                <c:pt idx="410">
                  <c:v>-4428568.715000001</c:v>
                </c:pt>
                <c:pt idx="411">
                  <c:v>-4427185.471545</c:v>
                </c:pt>
                <c:pt idx="412">
                  <c:v>-4425802.51616</c:v>
                </c:pt>
                <c:pt idx="413">
                  <c:v>-4424419.848815</c:v>
                </c:pt>
                <c:pt idx="414">
                  <c:v>-4423037.4694799995</c:v>
                </c:pt>
                <c:pt idx="415">
                  <c:v>-4421655.378125</c:v>
                </c:pt>
                <c:pt idx="416">
                  <c:v>-4420273.57472</c:v>
                </c:pt>
                <c:pt idx="417">
                  <c:v>-4418892.059235</c:v>
                </c:pt>
                <c:pt idx="418">
                  <c:v>-4417510.8316399995</c:v>
                </c:pt>
                <c:pt idx="419">
                  <c:v>-4416129.8919049995</c:v>
                </c:pt>
                <c:pt idx="420">
                  <c:v>-4414749.24</c:v>
                </c:pt>
                <c:pt idx="421">
                  <c:v>-4413368.875895</c:v>
                </c:pt>
                <c:pt idx="422">
                  <c:v>-4411988.79956</c:v>
                </c:pt>
                <c:pt idx="423">
                  <c:v>-4410609.010965</c:v>
                </c:pt>
                <c:pt idx="424">
                  <c:v>-4409229.51008</c:v>
                </c:pt>
                <c:pt idx="425">
                  <c:v>-4407850.296875</c:v>
                </c:pt>
                <c:pt idx="426">
                  <c:v>-4406471.37132</c:v>
                </c:pt>
                <c:pt idx="427">
                  <c:v>-4405092.733384999</c:v>
                </c:pt>
                <c:pt idx="428">
                  <c:v>-4403714.383040001</c:v>
                </c:pt>
                <c:pt idx="429">
                  <c:v>-4402336.320255</c:v>
                </c:pt>
                <c:pt idx="430">
                  <c:v>-4400958.545</c:v>
                </c:pt>
                <c:pt idx="431">
                  <c:v>-4399581.057245</c:v>
                </c:pt>
                <c:pt idx="432">
                  <c:v>-4398203.8569600005</c:v>
                </c:pt>
                <c:pt idx="433">
                  <c:v>-4396826.944115</c:v>
                </c:pt>
                <c:pt idx="434">
                  <c:v>-4395450.31868</c:v>
                </c:pt>
                <c:pt idx="435">
                  <c:v>-4394073.980625</c:v>
                </c:pt>
                <c:pt idx="436">
                  <c:v>-4392697.92992</c:v>
                </c:pt>
                <c:pt idx="437">
                  <c:v>-4391322.166535</c:v>
                </c:pt>
                <c:pt idx="438">
                  <c:v>-4389946.69044</c:v>
                </c:pt>
                <c:pt idx="439">
                  <c:v>-4388571.501605</c:v>
                </c:pt>
                <c:pt idx="440">
                  <c:v>-4387196.6</c:v>
                </c:pt>
                <c:pt idx="441">
                  <c:v>-4385821.985595</c:v>
                </c:pt>
                <c:pt idx="442">
                  <c:v>-4384447.65836</c:v>
                </c:pt>
                <c:pt idx="443">
                  <c:v>-4383073.618265</c:v>
                </c:pt>
                <c:pt idx="444">
                  <c:v>-4381699.8652800005</c:v>
                </c:pt>
                <c:pt idx="445">
                  <c:v>-4380326.399375</c:v>
                </c:pt>
                <c:pt idx="446">
                  <c:v>-4378953.22052</c:v>
                </c:pt>
                <c:pt idx="447">
                  <c:v>-4377580.328685001</c:v>
                </c:pt>
                <c:pt idx="448">
                  <c:v>-4376207.72384</c:v>
                </c:pt>
                <c:pt idx="449">
                  <c:v>-4374835.405955</c:v>
                </c:pt>
                <c:pt idx="450">
                  <c:v>-4373463.375</c:v>
                </c:pt>
                <c:pt idx="451">
                  <c:v>-4372091.630945</c:v>
                </c:pt>
                <c:pt idx="452">
                  <c:v>-4370720.17376</c:v>
                </c:pt>
                <c:pt idx="453">
                  <c:v>-4369349.003415</c:v>
                </c:pt>
                <c:pt idx="454">
                  <c:v>-4367978.11988</c:v>
                </c:pt>
                <c:pt idx="455">
                  <c:v>-4366607.523124999</c:v>
                </c:pt>
                <c:pt idx="456">
                  <c:v>-4365237.2131199995</c:v>
                </c:pt>
                <c:pt idx="457">
                  <c:v>-4363867.189835</c:v>
                </c:pt>
                <c:pt idx="458">
                  <c:v>-4362497.45324</c:v>
                </c:pt>
                <c:pt idx="459">
                  <c:v>-4361128.003305</c:v>
                </c:pt>
                <c:pt idx="460">
                  <c:v>-4359758.84</c:v>
                </c:pt>
                <c:pt idx="461">
                  <c:v>-4358389.963295001</c:v>
                </c:pt>
                <c:pt idx="462">
                  <c:v>-4357021.37316</c:v>
                </c:pt>
                <c:pt idx="463">
                  <c:v>-4355653.069565</c:v>
                </c:pt>
                <c:pt idx="464">
                  <c:v>-4354285.05248</c:v>
                </c:pt>
                <c:pt idx="465">
                  <c:v>-4352917.321875</c:v>
                </c:pt>
                <c:pt idx="466">
                  <c:v>-4351549.87772</c:v>
                </c:pt>
                <c:pt idx="467">
                  <c:v>-4350182.719985</c:v>
                </c:pt>
                <c:pt idx="468">
                  <c:v>-4348815.84864</c:v>
                </c:pt>
                <c:pt idx="469">
                  <c:v>-4347449.263655</c:v>
                </c:pt>
                <c:pt idx="470">
                  <c:v>-4346082.965</c:v>
                </c:pt>
                <c:pt idx="471">
                  <c:v>-4344716.952645</c:v>
                </c:pt>
                <c:pt idx="472">
                  <c:v>-4343351.226559999</c:v>
                </c:pt>
                <c:pt idx="473">
                  <c:v>-4341985.786715</c:v>
                </c:pt>
                <c:pt idx="474">
                  <c:v>-4340620.63308</c:v>
                </c:pt>
                <c:pt idx="475">
                  <c:v>-4339255.765625</c:v>
                </c:pt>
                <c:pt idx="476">
                  <c:v>-4337891.18432</c:v>
                </c:pt>
                <c:pt idx="477">
                  <c:v>-4336526.889134999</c:v>
                </c:pt>
                <c:pt idx="478">
                  <c:v>-4335162.88004</c:v>
                </c:pt>
                <c:pt idx="479">
                  <c:v>-4333799.157005</c:v>
                </c:pt>
                <c:pt idx="480">
                  <c:v>-4332435.72</c:v>
                </c:pt>
                <c:pt idx="481">
                  <c:v>-4331072.568995</c:v>
                </c:pt>
                <c:pt idx="482">
                  <c:v>-4329709.70396</c:v>
                </c:pt>
                <c:pt idx="483">
                  <c:v>-4328347.124864999</c:v>
                </c:pt>
                <c:pt idx="484">
                  <c:v>-4326984.83168</c:v>
                </c:pt>
                <c:pt idx="485">
                  <c:v>-4325622.824375</c:v>
                </c:pt>
                <c:pt idx="486">
                  <c:v>-4324261.1029199995</c:v>
                </c:pt>
                <c:pt idx="487">
                  <c:v>-4322899.667285</c:v>
                </c:pt>
                <c:pt idx="488">
                  <c:v>-4321538.517440001</c:v>
                </c:pt>
                <c:pt idx="489">
                  <c:v>-4320177.653355</c:v>
                </c:pt>
                <c:pt idx="490">
                  <c:v>-4318817.075</c:v>
                </c:pt>
                <c:pt idx="491">
                  <c:v>-4317456.782345</c:v>
                </c:pt>
                <c:pt idx="492">
                  <c:v>-4316096.77536</c:v>
                </c:pt>
                <c:pt idx="493">
                  <c:v>-4314737.054014999</c:v>
                </c:pt>
                <c:pt idx="494">
                  <c:v>-4313377.61828</c:v>
                </c:pt>
                <c:pt idx="495">
                  <c:v>-4312018.468125001</c:v>
                </c:pt>
                <c:pt idx="496">
                  <c:v>-4310659.603519999</c:v>
                </c:pt>
                <c:pt idx="497">
                  <c:v>-4309301.024435</c:v>
                </c:pt>
                <c:pt idx="498">
                  <c:v>-4307942.73084</c:v>
                </c:pt>
                <c:pt idx="499">
                  <c:v>-4306584.722705</c:v>
                </c:pt>
                <c:pt idx="500">
                  <c:v>-4305227.0</c:v>
                </c:pt>
                <c:pt idx="501">
                  <c:v>-4303869.562695</c:v>
                </c:pt>
                <c:pt idx="502">
                  <c:v>-4302512.41076</c:v>
                </c:pt>
                <c:pt idx="503">
                  <c:v>-4301155.544164999</c:v>
                </c:pt>
                <c:pt idx="504">
                  <c:v>-4299798.96288</c:v>
                </c:pt>
                <c:pt idx="505">
                  <c:v>-4298442.666875</c:v>
                </c:pt>
                <c:pt idx="506">
                  <c:v>-4297086.6561199995</c:v>
                </c:pt>
                <c:pt idx="507">
                  <c:v>-4295730.930585</c:v>
                </c:pt>
                <c:pt idx="508">
                  <c:v>-4294375.49024</c:v>
                </c:pt>
                <c:pt idx="509">
                  <c:v>-4293020.335055</c:v>
                </c:pt>
                <c:pt idx="510">
                  <c:v>-4291665.465</c:v>
                </c:pt>
                <c:pt idx="511">
                  <c:v>-4290310.880045</c:v>
                </c:pt>
                <c:pt idx="512">
                  <c:v>-4288956.580159999</c:v>
                </c:pt>
                <c:pt idx="513">
                  <c:v>-4287602.565315</c:v>
                </c:pt>
                <c:pt idx="514">
                  <c:v>-4286248.83548</c:v>
                </c:pt>
                <c:pt idx="515">
                  <c:v>-4284895.390625</c:v>
                </c:pt>
                <c:pt idx="516">
                  <c:v>-4283542.230719999</c:v>
                </c:pt>
                <c:pt idx="517">
                  <c:v>-4282189.355735</c:v>
                </c:pt>
                <c:pt idx="518">
                  <c:v>-4280836.76564</c:v>
                </c:pt>
                <c:pt idx="519">
                  <c:v>-4279484.4604050005</c:v>
                </c:pt>
                <c:pt idx="520">
                  <c:v>-4278132.44</c:v>
                </c:pt>
                <c:pt idx="521">
                  <c:v>-4276780.704395</c:v>
                </c:pt>
                <c:pt idx="522">
                  <c:v>-4275429.25356</c:v>
                </c:pt>
                <c:pt idx="523">
                  <c:v>-4274078.087465</c:v>
                </c:pt>
                <c:pt idx="524">
                  <c:v>-4272727.20608</c:v>
                </c:pt>
                <c:pt idx="525">
                  <c:v>-4271376.609375</c:v>
                </c:pt>
                <c:pt idx="526">
                  <c:v>-4270026.29732</c:v>
                </c:pt>
                <c:pt idx="527">
                  <c:v>-4268676.269885001</c:v>
                </c:pt>
                <c:pt idx="528">
                  <c:v>-4267326.52704</c:v>
                </c:pt>
                <c:pt idx="529">
                  <c:v>-4265977.068755</c:v>
                </c:pt>
                <c:pt idx="530">
                  <c:v>-4264627.8950000005</c:v>
                </c:pt>
                <c:pt idx="531">
                  <c:v>-4263279.005745</c:v>
                </c:pt>
                <c:pt idx="532">
                  <c:v>-4261930.40096</c:v>
                </c:pt>
                <c:pt idx="533">
                  <c:v>-4260582.080615</c:v>
                </c:pt>
                <c:pt idx="534">
                  <c:v>-4259234.044679999</c:v>
                </c:pt>
                <c:pt idx="535">
                  <c:v>-4257886.293125001</c:v>
                </c:pt>
                <c:pt idx="536">
                  <c:v>-4256538.82592</c:v>
                </c:pt>
                <c:pt idx="537">
                  <c:v>-4255191.643034999</c:v>
                </c:pt>
                <c:pt idx="538">
                  <c:v>-4253844.74444</c:v>
                </c:pt>
                <c:pt idx="539">
                  <c:v>-4252498.130105</c:v>
                </c:pt>
                <c:pt idx="540">
                  <c:v>-4251151.8</c:v>
                </c:pt>
                <c:pt idx="541">
                  <c:v>-4249805.754095</c:v>
                </c:pt>
                <c:pt idx="542">
                  <c:v>-4248459.9923600005</c:v>
                </c:pt>
                <c:pt idx="543">
                  <c:v>-4247114.514765</c:v>
                </c:pt>
                <c:pt idx="544">
                  <c:v>-4245769.32128</c:v>
                </c:pt>
                <c:pt idx="545">
                  <c:v>-4244424.411875</c:v>
                </c:pt>
                <c:pt idx="546">
                  <c:v>-4243079.78652</c:v>
                </c:pt>
                <c:pt idx="547">
                  <c:v>-4241735.445184999</c:v>
                </c:pt>
                <c:pt idx="548">
                  <c:v>-4240391.38784</c:v>
                </c:pt>
                <c:pt idx="549">
                  <c:v>-4239047.6144550005</c:v>
                </c:pt>
                <c:pt idx="550">
                  <c:v>-4237704.125</c:v>
                </c:pt>
                <c:pt idx="551">
                  <c:v>-4236360.919445</c:v>
                </c:pt>
                <c:pt idx="552">
                  <c:v>-4235017.99776</c:v>
                </c:pt>
                <c:pt idx="553">
                  <c:v>-4233675.359915</c:v>
                </c:pt>
                <c:pt idx="554">
                  <c:v>-4232333.00588</c:v>
                </c:pt>
                <c:pt idx="555">
                  <c:v>-4230990.935625</c:v>
                </c:pt>
                <c:pt idx="556">
                  <c:v>-4229649.149119999</c:v>
                </c:pt>
                <c:pt idx="557">
                  <c:v>-4228307.646334999</c:v>
                </c:pt>
                <c:pt idx="558">
                  <c:v>-4226966.42724</c:v>
                </c:pt>
                <c:pt idx="559">
                  <c:v>-4225625.491804999</c:v>
                </c:pt>
                <c:pt idx="560">
                  <c:v>-4224284.84</c:v>
                </c:pt>
                <c:pt idx="561">
                  <c:v>-4222944.471795</c:v>
                </c:pt>
                <c:pt idx="562">
                  <c:v>-4221604.38716</c:v>
                </c:pt>
                <c:pt idx="563">
                  <c:v>-4220264.586065</c:v>
                </c:pt>
                <c:pt idx="564">
                  <c:v>-4218925.06848</c:v>
                </c:pt>
                <c:pt idx="565">
                  <c:v>-4217585.834375</c:v>
                </c:pt>
                <c:pt idx="566">
                  <c:v>-4216246.88372</c:v>
                </c:pt>
                <c:pt idx="567">
                  <c:v>-4214908.216484999</c:v>
                </c:pt>
                <c:pt idx="568">
                  <c:v>-4213569.83264</c:v>
                </c:pt>
                <c:pt idx="569">
                  <c:v>-4212231.732155</c:v>
                </c:pt>
                <c:pt idx="570">
                  <c:v>-4210893.915</c:v>
                </c:pt>
                <c:pt idx="571">
                  <c:v>-4209556.3811449995</c:v>
                </c:pt>
                <c:pt idx="572">
                  <c:v>-4208219.1305599995</c:v>
                </c:pt>
                <c:pt idx="573">
                  <c:v>-4206882.163215</c:v>
                </c:pt>
                <c:pt idx="574">
                  <c:v>-4205545.47908</c:v>
                </c:pt>
                <c:pt idx="575">
                  <c:v>-4204209.078125</c:v>
                </c:pt>
                <c:pt idx="576">
                  <c:v>-4202872.96032</c:v>
                </c:pt>
                <c:pt idx="577">
                  <c:v>-4201537.125635</c:v>
                </c:pt>
                <c:pt idx="578">
                  <c:v>-4200201.574039999</c:v>
                </c:pt>
                <c:pt idx="579">
                  <c:v>-4198866.305505</c:v>
                </c:pt>
                <c:pt idx="580">
                  <c:v>-4197531.319999999</c:v>
                </c:pt>
                <c:pt idx="581">
                  <c:v>-4196196.617495</c:v>
                </c:pt>
                <c:pt idx="582">
                  <c:v>-4194862.1979600005</c:v>
                </c:pt>
                <c:pt idx="583">
                  <c:v>-4193528.061365</c:v>
                </c:pt>
                <c:pt idx="584">
                  <c:v>-4192194.20768</c:v>
                </c:pt>
                <c:pt idx="585">
                  <c:v>-4190860.6368749994</c:v>
                </c:pt>
                <c:pt idx="586">
                  <c:v>-4189527.3489200003</c:v>
                </c:pt>
                <c:pt idx="587">
                  <c:v>-4188194.3437849996</c:v>
                </c:pt>
                <c:pt idx="588">
                  <c:v>-4186861.62144</c:v>
                </c:pt>
                <c:pt idx="589">
                  <c:v>-4185529.1818550006</c:v>
                </c:pt>
                <c:pt idx="590">
                  <c:v>-4184197.025</c:v>
                </c:pt>
                <c:pt idx="591">
                  <c:v>-4182865.1508450005</c:v>
                </c:pt>
                <c:pt idx="592">
                  <c:v>-4181533.55936</c:v>
                </c:pt>
                <c:pt idx="593">
                  <c:v>-4180202.250515</c:v>
                </c:pt>
                <c:pt idx="594">
                  <c:v>-4178871.2242799997</c:v>
                </c:pt>
                <c:pt idx="595">
                  <c:v>-4177540.4806250003</c:v>
                </c:pt>
                <c:pt idx="596">
                  <c:v>-4176210.01952</c:v>
                </c:pt>
                <c:pt idx="597">
                  <c:v>-4174879.840935</c:v>
                </c:pt>
                <c:pt idx="598">
                  <c:v>-4173549.94484</c:v>
                </c:pt>
                <c:pt idx="599">
                  <c:v>-4172220.331205</c:v>
                </c:pt>
                <c:pt idx="600">
                  <c:v>-4170891.0</c:v>
                </c:pt>
                <c:pt idx="601">
                  <c:v>-4169561.951195</c:v>
                </c:pt>
                <c:pt idx="602">
                  <c:v>-4168233.18476</c:v>
                </c:pt>
                <c:pt idx="603">
                  <c:v>-4166904.700665</c:v>
                </c:pt>
                <c:pt idx="604">
                  <c:v>-4165576.4988800003</c:v>
                </c:pt>
                <c:pt idx="605">
                  <c:v>-4164248.579375</c:v>
                </c:pt>
                <c:pt idx="606">
                  <c:v>-4162920.94212</c:v>
                </c:pt>
                <c:pt idx="607">
                  <c:v>-4161593.587085</c:v>
                </c:pt>
                <c:pt idx="608">
                  <c:v>-4160266.51424</c:v>
                </c:pt>
                <c:pt idx="609">
                  <c:v>-4158939.723555</c:v>
                </c:pt>
                <c:pt idx="610">
                  <c:v>-4157613.2150000003</c:v>
                </c:pt>
                <c:pt idx="611">
                  <c:v>-4156286.988545</c:v>
                </c:pt>
                <c:pt idx="612">
                  <c:v>-4154961.04416</c:v>
                </c:pt>
                <c:pt idx="613">
                  <c:v>-4153635.381815</c:v>
                </c:pt>
                <c:pt idx="614">
                  <c:v>-4152310.00148</c:v>
                </c:pt>
                <c:pt idx="615">
                  <c:v>-4150984.9031249997</c:v>
                </c:pt>
                <c:pt idx="616">
                  <c:v>-4149660.08672</c:v>
                </c:pt>
                <c:pt idx="617">
                  <c:v>-4148335.5522350003</c:v>
                </c:pt>
                <c:pt idx="618">
                  <c:v>-4147011.2996400003</c:v>
                </c:pt>
                <c:pt idx="619">
                  <c:v>-4145687.328905</c:v>
                </c:pt>
                <c:pt idx="620">
                  <c:v>-4144363.6399999997</c:v>
                </c:pt>
                <c:pt idx="621">
                  <c:v>-4143040.232895</c:v>
                </c:pt>
                <c:pt idx="622">
                  <c:v>-4141717.10756</c:v>
                </c:pt>
                <c:pt idx="623">
                  <c:v>-4140394.263965</c:v>
                </c:pt>
                <c:pt idx="624">
                  <c:v>-4139071.7020799997</c:v>
                </c:pt>
                <c:pt idx="625">
                  <c:v>-4137749.421875</c:v>
                </c:pt>
                <c:pt idx="626">
                  <c:v>-4136427.42332</c:v>
                </c:pt>
                <c:pt idx="627">
                  <c:v>-4135105.7063849997</c:v>
                </c:pt>
                <c:pt idx="628">
                  <c:v>-4133784.27104</c:v>
                </c:pt>
                <c:pt idx="629">
                  <c:v>-4132463.117255</c:v>
                </c:pt>
                <c:pt idx="630">
                  <c:v>-4131142.245</c:v>
                </c:pt>
                <c:pt idx="631">
                  <c:v>-4129821.654245</c:v>
                </c:pt>
                <c:pt idx="632">
                  <c:v>-4128501.34496</c:v>
                </c:pt>
                <c:pt idx="633">
                  <c:v>-4127181.317115</c:v>
                </c:pt>
                <c:pt idx="634">
                  <c:v>-4125861.5706800004</c:v>
                </c:pt>
                <c:pt idx="635">
                  <c:v>-4124542.105625</c:v>
                </c:pt>
                <c:pt idx="636">
                  <c:v>-4123222.92192</c:v>
                </c:pt>
                <c:pt idx="637">
                  <c:v>-4121904.019535</c:v>
                </c:pt>
                <c:pt idx="638">
                  <c:v>-4120585.39844</c:v>
                </c:pt>
                <c:pt idx="639">
                  <c:v>-4119267.058605</c:v>
                </c:pt>
                <c:pt idx="640">
                  <c:v>-4117949.0</c:v>
                </c:pt>
                <c:pt idx="641">
                  <c:v>-4116631.2225949997</c:v>
                </c:pt>
                <c:pt idx="642">
                  <c:v>-4115313.72636</c:v>
                </c:pt>
                <c:pt idx="643">
                  <c:v>-4113996.511265</c:v>
                </c:pt>
                <c:pt idx="644">
                  <c:v>-4112679.57728</c:v>
                </c:pt>
                <c:pt idx="645">
                  <c:v>-4111362.924375</c:v>
                </c:pt>
                <c:pt idx="646">
                  <c:v>-4110046.55252</c:v>
                </c:pt>
                <c:pt idx="647">
                  <c:v>-4108730.461685</c:v>
                </c:pt>
                <c:pt idx="648">
                  <c:v>-4107414.65184</c:v>
                </c:pt>
                <c:pt idx="649">
                  <c:v>-4106099.122955</c:v>
                </c:pt>
                <c:pt idx="650">
                  <c:v>-4104783.875</c:v>
                </c:pt>
                <c:pt idx="651">
                  <c:v>-4103468.907945</c:v>
                </c:pt>
                <c:pt idx="652">
                  <c:v>-4102154.2217599996</c:v>
                </c:pt>
                <c:pt idx="653">
                  <c:v>-4100839.816415</c:v>
                </c:pt>
                <c:pt idx="654">
                  <c:v>-4099525.6918800003</c:v>
                </c:pt>
                <c:pt idx="655">
                  <c:v>-4098211.848125</c:v>
                </c:pt>
                <c:pt idx="656">
                  <c:v>-4096898.2851199997</c:v>
                </c:pt>
                <c:pt idx="657">
                  <c:v>-4095585.002835</c:v>
                </c:pt>
                <c:pt idx="658">
                  <c:v>-4094272.00124</c:v>
                </c:pt>
                <c:pt idx="659">
                  <c:v>-4092959.280305</c:v>
                </c:pt>
                <c:pt idx="660">
                  <c:v>-4091646.84</c:v>
                </c:pt>
                <c:pt idx="661">
                  <c:v>-4090334.680295</c:v>
                </c:pt>
                <c:pt idx="662">
                  <c:v>-4089022.80116</c:v>
                </c:pt>
                <c:pt idx="663">
                  <c:v>-4087711.2025650004</c:v>
                </c:pt>
                <c:pt idx="664">
                  <c:v>-4086399.88448</c:v>
                </c:pt>
                <c:pt idx="665">
                  <c:v>-4085088.8468750003</c:v>
                </c:pt>
                <c:pt idx="666">
                  <c:v>-4083778.08972</c:v>
                </c:pt>
                <c:pt idx="667">
                  <c:v>-4082467.612985</c:v>
                </c:pt>
                <c:pt idx="668">
                  <c:v>-4081157.41664</c:v>
                </c:pt>
                <c:pt idx="669">
                  <c:v>-4079847.500655</c:v>
                </c:pt>
                <c:pt idx="670">
                  <c:v>-4078537.8649999998</c:v>
                </c:pt>
                <c:pt idx="671">
                  <c:v>-4077228.509645</c:v>
                </c:pt>
                <c:pt idx="672">
                  <c:v>-4075919.43456</c:v>
                </c:pt>
                <c:pt idx="673">
                  <c:v>-4074610.639715</c:v>
                </c:pt>
                <c:pt idx="674">
                  <c:v>-4073302.12508</c:v>
                </c:pt>
                <c:pt idx="675">
                  <c:v>-4071993.890625</c:v>
                </c:pt>
                <c:pt idx="676">
                  <c:v>-4070685.93632</c:v>
                </c:pt>
                <c:pt idx="677">
                  <c:v>-4069378.262135</c:v>
                </c:pt>
                <c:pt idx="678">
                  <c:v>-4068070.86804</c:v>
                </c:pt>
                <c:pt idx="679">
                  <c:v>-4066763.754005</c:v>
                </c:pt>
                <c:pt idx="680">
                  <c:v>-4065456.92</c:v>
                </c:pt>
                <c:pt idx="681">
                  <c:v>-4064150.3659949997</c:v>
                </c:pt>
                <c:pt idx="682">
                  <c:v>-4062844.09196</c:v>
                </c:pt>
                <c:pt idx="683">
                  <c:v>-4061538.097865</c:v>
                </c:pt>
                <c:pt idx="684">
                  <c:v>-4060232.38368</c:v>
                </c:pt>
                <c:pt idx="685">
                  <c:v>-4058926.949375</c:v>
                </c:pt>
                <c:pt idx="686">
                  <c:v>-4057621.79492</c:v>
                </c:pt>
                <c:pt idx="687">
                  <c:v>-4056316.920285</c:v>
                </c:pt>
                <c:pt idx="688">
                  <c:v>-4055012.32544</c:v>
                </c:pt>
                <c:pt idx="689">
                  <c:v>-4053708.010355</c:v>
                </c:pt>
                <c:pt idx="690">
                  <c:v>-4052403.975</c:v>
                </c:pt>
                <c:pt idx="691">
                  <c:v>-4051100.219345</c:v>
                </c:pt>
                <c:pt idx="692">
                  <c:v>-4049796.7433599997</c:v>
                </c:pt>
                <c:pt idx="693">
                  <c:v>-4048493.547015</c:v>
                </c:pt>
                <c:pt idx="694">
                  <c:v>-4047190.63028</c:v>
                </c:pt>
                <c:pt idx="695">
                  <c:v>-4045887.993125</c:v>
                </c:pt>
                <c:pt idx="696">
                  <c:v>-4044585.63552</c:v>
                </c:pt>
                <c:pt idx="697">
                  <c:v>-4043283.5574350003</c:v>
                </c:pt>
                <c:pt idx="698">
                  <c:v>-4041981.7588400003</c:v>
                </c:pt>
                <c:pt idx="699">
                  <c:v>-4040680.239705</c:v>
                </c:pt>
                <c:pt idx="700">
                  <c:v>-4039379.0</c:v>
                </c:pt>
                <c:pt idx="701">
                  <c:v>-4038078.039695</c:v>
                </c:pt>
                <c:pt idx="702">
                  <c:v>-4036777.3587599997</c:v>
                </c:pt>
                <c:pt idx="703">
                  <c:v>-4035476.957165</c:v>
                </c:pt>
                <c:pt idx="704">
                  <c:v>-4034176.83488</c:v>
                </c:pt>
                <c:pt idx="705">
                  <c:v>-4032876.991875</c:v>
                </c:pt>
                <c:pt idx="706">
                  <c:v>-4031577.4281200003</c:v>
                </c:pt>
                <c:pt idx="707">
                  <c:v>-4030278.143585</c:v>
                </c:pt>
                <c:pt idx="708">
                  <c:v>-4028979.13824</c:v>
                </c:pt>
                <c:pt idx="709">
                  <c:v>-4027680.412055</c:v>
                </c:pt>
                <c:pt idx="710">
                  <c:v>-4026381.965</c:v>
                </c:pt>
                <c:pt idx="711">
                  <c:v>-4025083.797045</c:v>
                </c:pt>
                <c:pt idx="712">
                  <c:v>-4023785.90816</c:v>
                </c:pt>
                <c:pt idx="713">
                  <c:v>-4022488.298315</c:v>
                </c:pt>
                <c:pt idx="714">
                  <c:v>-4021190.96748</c:v>
                </c:pt>
                <c:pt idx="715">
                  <c:v>-4019893.915625</c:v>
                </c:pt>
                <c:pt idx="716">
                  <c:v>-4018597.14272</c:v>
                </c:pt>
                <c:pt idx="717">
                  <c:v>-4017300.648735</c:v>
                </c:pt>
                <c:pt idx="718">
                  <c:v>-4016004.43364</c:v>
                </c:pt>
                <c:pt idx="719">
                  <c:v>-4014708.497405</c:v>
                </c:pt>
                <c:pt idx="720">
                  <c:v>-4013412.84</c:v>
                </c:pt>
                <c:pt idx="721">
                  <c:v>-4012117.461395</c:v>
                </c:pt>
                <c:pt idx="722">
                  <c:v>-4010822.36156</c:v>
                </c:pt>
                <c:pt idx="723">
                  <c:v>-4009527.540465</c:v>
                </c:pt>
                <c:pt idx="724">
                  <c:v>-4008232.99808</c:v>
                </c:pt>
                <c:pt idx="725">
                  <c:v>-4006938.734375</c:v>
                </c:pt>
                <c:pt idx="726">
                  <c:v>-4005644.74932</c:v>
                </c:pt>
                <c:pt idx="727">
                  <c:v>-4004351.042885</c:v>
                </c:pt>
                <c:pt idx="728">
                  <c:v>-4003057.61504</c:v>
                </c:pt>
                <c:pt idx="729">
                  <c:v>-4001764.4657550002</c:v>
                </c:pt>
                <c:pt idx="730">
                  <c:v>-4000471.595</c:v>
                </c:pt>
                <c:pt idx="731">
                  <c:v>-3999179.002745</c:v>
                </c:pt>
                <c:pt idx="732">
                  <c:v>-3997886.68896</c:v>
                </c:pt>
                <c:pt idx="733">
                  <c:v>-3996594.653615</c:v>
                </c:pt>
                <c:pt idx="734">
                  <c:v>-3995302.89668</c:v>
                </c:pt>
                <c:pt idx="735">
                  <c:v>-3994011.4181250003</c:v>
                </c:pt>
                <c:pt idx="736">
                  <c:v>-3992720.2179199997</c:v>
                </c:pt>
                <c:pt idx="737">
                  <c:v>-3991429.296035</c:v>
                </c:pt>
                <c:pt idx="738">
                  <c:v>-3990138.6524400003</c:v>
                </c:pt>
                <c:pt idx="739">
                  <c:v>-3988848.287105</c:v>
                </c:pt>
                <c:pt idx="740">
                  <c:v>-3987558.1999999997</c:v>
                </c:pt>
                <c:pt idx="741">
                  <c:v>-3986268.3910950003</c:v>
                </c:pt>
                <c:pt idx="742">
                  <c:v>-3984978.8603600003</c:v>
                </c:pt>
                <c:pt idx="743">
                  <c:v>-3983689.607765</c:v>
                </c:pt>
                <c:pt idx="744">
                  <c:v>-3982400.63328</c:v>
                </c:pt>
                <c:pt idx="745">
                  <c:v>-3981111.9368749997</c:v>
                </c:pt>
                <c:pt idx="746">
                  <c:v>-3979823.5185200004</c:v>
                </c:pt>
                <c:pt idx="747">
                  <c:v>-3978535.378185</c:v>
                </c:pt>
                <c:pt idx="748">
                  <c:v>-3977247.51584</c:v>
                </c:pt>
                <c:pt idx="749">
                  <c:v>-3975959.9314550003</c:v>
                </c:pt>
                <c:pt idx="750">
                  <c:v>-3974672.625</c:v>
                </c:pt>
                <c:pt idx="751">
                  <c:v>-3973385.596445</c:v>
                </c:pt>
                <c:pt idx="752">
                  <c:v>-3972098.84576</c:v>
                </c:pt>
                <c:pt idx="753">
                  <c:v>-3970812.3729149997</c:v>
                </c:pt>
                <c:pt idx="754">
                  <c:v>-3969526.17788</c:v>
                </c:pt>
                <c:pt idx="755">
                  <c:v>-3968240.260625</c:v>
                </c:pt>
                <c:pt idx="756">
                  <c:v>-3966954.6211200003</c:v>
                </c:pt>
                <c:pt idx="757">
                  <c:v>-3965669.259335</c:v>
                </c:pt>
                <c:pt idx="758">
                  <c:v>-3964384.1752400002</c:v>
                </c:pt>
                <c:pt idx="759">
                  <c:v>-3963099.368805</c:v>
                </c:pt>
                <c:pt idx="760">
                  <c:v>-3961814.84</c:v>
                </c:pt>
                <c:pt idx="761">
                  <c:v>-3960530.5887949998</c:v>
                </c:pt>
                <c:pt idx="762">
                  <c:v>-3959246.61516</c:v>
                </c:pt>
                <c:pt idx="763">
                  <c:v>-3957962.919065</c:v>
                </c:pt>
                <c:pt idx="764">
                  <c:v>-3956679.5004800004</c:v>
                </c:pt>
                <c:pt idx="765">
                  <c:v>-3955396.359375</c:v>
                </c:pt>
                <c:pt idx="766">
                  <c:v>-3954113.49572</c:v>
                </c:pt>
                <c:pt idx="767">
                  <c:v>-3952830.909485</c:v>
                </c:pt>
                <c:pt idx="768">
                  <c:v>-3951548.60064</c:v>
                </c:pt>
                <c:pt idx="769">
                  <c:v>-3950266.569155</c:v>
                </c:pt>
                <c:pt idx="770">
                  <c:v>-3948984.815</c:v>
                </c:pt>
                <c:pt idx="771">
                  <c:v>-3947703.3381450004</c:v>
                </c:pt>
                <c:pt idx="772">
                  <c:v>-3946422.13856</c:v>
                </c:pt>
                <c:pt idx="773">
                  <c:v>-3945141.216215</c:v>
                </c:pt>
                <c:pt idx="774">
                  <c:v>-3943860.57108</c:v>
                </c:pt>
                <c:pt idx="775">
                  <c:v>-3942580.203125</c:v>
                </c:pt>
                <c:pt idx="776">
                  <c:v>-3941300.11232</c:v>
                </c:pt>
                <c:pt idx="777">
                  <c:v>-3940020.298635</c:v>
                </c:pt>
                <c:pt idx="778">
                  <c:v>-3938740.76204</c:v>
                </c:pt>
                <c:pt idx="779">
                  <c:v>-3937461.5025049997</c:v>
                </c:pt>
                <c:pt idx="780">
                  <c:v>-3936182.52</c:v>
                </c:pt>
                <c:pt idx="781">
                  <c:v>-3934903.814495</c:v>
                </c:pt>
                <c:pt idx="782">
                  <c:v>-3933625.38596</c:v>
                </c:pt>
                <c:pt idx="783">
                  <c:v>-3932347.234365</c:v>
                </c:pt>
                <c:pt idx="784">
                  <c:v>-3931069.35968</c:v>
                </c:pt>
                <c:pt idx="785">
                  <c:v>-3929791.761875</c:v>
                </c:pt>
                <c:pt idx="786">
                  <c:v>-3928514.44092</c:v>
                </c:pt>
                <c:pt idx="787">
                  <c:v>-3927237.396785</c:v>
                </c:pt>
                <c:pt idx="788">
                  <c:v>-3925960.62944</c:v>
                </c:pt>
                <c:pt idx="789">
                  <c:v>-3924684.138855</c:v>
                </c:pt>
                <c:pt idx="790">
                  <c:v>-3923407.9250000003</c:v>
                </c:pt>
                <c:pt idx="791">
                  <c:v>-3922131.987845</c:v>
                </c:pt>
                <c:pt idx="792">
                  <c:v>-3920856.32736</c:v>
                </c:pt>
                <c:pt idx="793">
                  <c:v>-3919580.943515</c:v>
                </c:pt>
                <c:pt idx="794">
                  <c:v>-3918305.83628</c:v>
                </c:pt>
                <c:pt idx="795">
                  <c:v>-3917031.0056249998</c:v>
                </c:pt>
                <c:pt idx="796">
                  <c:v>-3915756.4515199997</c:v>
                </c:pt>
                <c:pt idx="797">
                  <c:v>-3914482.173935</c:v>
                </c:pt>
                <c:pt idx="798">
                  <c:v>-3913208.17284</c:v>
                </c:pt>
                <c:pt idx="799">
                  <c:v>-3911934.4482050003</c:v>
                </c:pt>
                <c:pt idx="800">
                  <c:v>-3910661.0</c:v>
                </c:pt>
                <c:pt idx="801">
                  <c:v>-3909387.828195</c:v>
                </c:pt>
                <c:pt idx="802">
                  <c:v>-3908114.93276</c:v>
                </c:pt>
                <c:pt idx="803">
                  <c:v>-3906842.3136650003</c:v>
                </c:pt>
                <c:pt idx="804">
                  <c:v>-3905569.97088</c:v>
                </c:pt>
                <c:pt idx="805">
                  <c:v>-3904297.904375</c:v>
                </c:pt>
                <c:pt idx="806">
                  <c:v>-3903026.11412</c:v>
                </c:pt>
                <c:pt idx="807">
                  <c:v>-3901754.600085</c:v>
                </c:pt>
                <c:pt idx="808">
                  <c:v>-3900483.36224</c:v>
                </c:pt>
                <c:pt idx="809">
                  <c:v>-3899212.4005549997</c:v>
                </c:pt>
                <c:pt idx="810">
                  <c:v>-3897941.715</c:v>
                </c:pt>
                <c:pt idx="811">
                  <c:v>-3896671.3055450004</c:v>
                </c:pt>
                <c:pt idx="812">
                  <c:v>-3895401.17216</c:v>
                </c:pt>
                <c:pt idx="813">
                  <c:v>-3894131.314815</c:v>
                </c:pt>
                <c:pt idx="814">
                  <c:v>-3892861.73348</c:v>
                </c:pt>
                <c:pt idx="815">
                  <c:v>-3891592.428125</c:v>
                </c:pt>
                <c:pt idx="816">
                  <c:v>-3890323.39872</c:v>
                </c:pt>
                <c:pt idx="817">
                  <c:v>-3889054.6452349997</c:v>
                </c:pt>
                <c:pt idx="818">
                  <c:v>-3887786.16764</c:v>
                </c:pt>
                <c:pt idx="819">
                  <c:v>-3886517.965905</c:v>
                </c:pt>
                <c:pt idx="820">
                  <c:v>-3885250.04</c:v>
                </c:pt>
                <c:pt idx="821">
                  <c:v>-3883982.389895</c:v>
                </c:pt>
                <c:pt idx="822">
                  <c:v>-3882715.01556</c:v>
                </c:pt>
                <c:pt idx="823">
                  <c:v>-3881447.9169650003</c:v>
                </c:pt>
                <c:pt idx="824">
                  <c:v>-3880181.09408</c:v>
                </c:pt>
                <c:pt idx="825">
                  <c:v>-3878914.546875</c:v>
                </c:pt>
                <c:pt idx="826">
                  <c:v>-3877648.27532</c:v>
                </c:pt>
                <c:pt idx="827">
                  <c:v>-3876382.279385</c:v>
                </c:pt>
                <c:pt idx="828">
                  <c:v>-3875116.5590399997</c:v>
                </c:pt>
                <c:pt idx="829">
                  <c:v>-3873851.114255</c:v>
                </c:pt>
                <c:pt idx="830">
                  <c:v>-3872585.945</c:v>
                </c:pt>
                <c:pt idx="831">
                  <c:v>-3871321.0512449997</c:v>
                </c:pt>
                <c:pt idx="832">
                  <c:v>-3870056.43296</c:v>
                </c:pt>
                <c:pt idx="833">
                  <c:v>-3868792.090115</c:v>
                </c:pt>
                <c:pt idx="834">
                  <c:v>-3867528.02268</c:v>
                </c:pt>
                <c:pt idx="835">
                  <c:v>-3866264.230625</c:v>
                </c:pt>
                <c:pt idx="836">
                  <c:v>-3865000.71392</c:v>
                </c:pt>
                <c:pt idx="837">
                  <c:v>-3863737.472535</c:v>
                </c:pt>
                <c:pt idx="838">
                  <c:v>-3862474.50644</c:v>
                </c:pt>
                <c:pt idx="839">
                  <c:v>-3861211.8156049997</c:v>
                </c:pt>
                <c:pt idx="840">
                  <c:v>-3859949.4</c:v>
                </c:pt>
                <c:pt idx="841">
                  <c:v>-3858687.259595</c:v>
                </c:pt>
                <c:pt idx="842">
                  <c:v>-3857425.39436</c:v>
                </c:pt>
                <c:pt idx="843">
                  <c:v>-3856163.804265</c:v>
                </c:pt>
                <c:pt idx="844">
                  <c:v>-3854902.48928</c:v>
                </c:pt>
                <c:pt idx="845">
                  <c:v>-3853641.449375</c:v>
                </c:pt>
                <c:pt idx="846">
                  <c:v>-3852380.6845199997</c:v>
                </c:pt>
                <c:pt idx="847">
                  <c:v>-3851120.194685</c:v>
                </c:pt>
                <c:pt idx="848">
                  <c:v>-3849859.97984</c:v>
                </c:pt>
                <c:pt idx="849">
                  <c:v>-3848600.0399550004</c:v>
                </c:pt>
                <c:pt idx="850">
                  <c:v>-3847340.375</c:v>
                </c:pt>
                <c:pt idx="851">
                  <c:v>-3846080.984945</c:v>
                </c:pt>
                <c:pt idx="852">
                  <c:v>-3844821.86976</c:v>
                </c:pt>
                <c:pt idx="853">
                  <c:v>-3843563.029415</c:v>
                </c:pt>
                <c:pt idx="854">
                  <c:v>-3842304.4638799997</c:v>
                </c:pt>
                <c:pt idx="855">
                  <c:v>-3841046.173125</c:v>
                </c:pt>
                <c:pt idx="856">
                  <c:v>-3839788.1571199996</c:v>
                </c:pt>
                <c:pt idx="857">
                  <c:v>-3838530.415835</c:v>
                </c:pt>
                <c:pt idx="858">
                  <c:v>-3837272.94924</c:v>
                </c:pt>
                <c:pt idx="859">
                  <c:v>-3836015.757305</c:v>
                </c:pt>
                <c:pt idx="860">
                  <c:v>-3834758.8400000003</c:v>
                </c:pt>
                <c:pt idx="861">
                  <c:v>-3833502.197295</c:v>
                </c:pt>
                <c:pt idx="862">
                  <c:v>-3832245.82916</c:v>
                </c:pt>
                <c:pt idx="863">
                  <c:v>-3830989.735565</c:v>
                </c:pt>
                <c:pt idx="864">
                  <c:v>-3829733.91648</c:v>
                </c:pt>
                <c:pt idx="865">
                  <c:v>-3828478.3718749997</c:v>
                </c:pt>
                <c:pt idx="866">
                  <c:v>-3827223.1017199997</c:v>
                </c:pt>
                <c:pt idx="867">
                  <c:v>-3825968.105985</c:v>
                </c:pt>
                <c:pt idx="868">
                  <c:v>-3824713.38464</c:v>
                </c:pt>
                <c:pt idx="869">
                  <c:v>-3823458.937655</c:v>
                </c:pt>
                <c:pt idx="870">
                  <c:v>-3822204.7649999997</c:v>
                </c:pt>
                <c:pt idx="871">
                  <c:v>-3820950.866645</c:v>
                </c:pt>
                <c:pt idx="872">
                  <c:v>-3819697.24256</c:v>
                </c:pt>
                <c:pt idx="873">
                  <c:v>-3818443.892715</c:v>
                </c:pt>
                <c:pt idx="874">
                  <c:v>-3817190.81708</c:v>
                </c:pt>
                <c:pt idx="875">
                  <c:v>-3815938.015625</c:v>
                </c:pt>
                <c:pt idx="876">
                  <c:v>-3814685.48832</c:v>
                </c:pt>
                <c:pt idx="877">
                  <c:v>-3813433.235135</c:v>
                </c:pt>
                <c:pt idx="878">
                  <c:v>-3812181.25604</c:v>
                </c:pt>
                <c:pt idx="879">
                  <c:v>-3810929.551005</c:v>
                </c:pt>
                <c:pt idx="880">
                  <c:v>-3809678.12</c:v>
                </c:pt>
                <c:pt idx="881">
                  <c:v>-3808426.9629949997</c:v>
                </c:pt>
                <c:pt idx="882">
                  <c:v>-3807176.07996</c:v>
                </c:pt>
                <c:pt idx="883">
                  <c:v>-3805925.470865</c:v>
                </c:pt>
                <c:pt idx="884">
                  <c:v>-3804675.13568</c:v>
                </c:pt>
                <c:pt idx="885">
                  <c:v>-3803425.074375</c:v>
                </c:pt>
                <c:pt idx="886">
                  <c:v>-3802175.28692</c:v>
                </c:pt>
                <c:pt idx="887">
                  <c:v>-3800925.7732849997</c:v>
                </c:pt>
                <c:pt idx="888">
                  <c:v>-3799676.53344</c:v>
                </c:pt>
                <c:pt idx="889">
                  <c:v>-3798427.567355</c:v>
                </c:pt>
                <c:pt idx="890">
                  <c:v>-3797178.875</c:v>
                </c:pt>
                <c:pt idx="891">
                  <c:v>-3795930.4563450003</c:v>
                </c:pt>
                <c:pt idx="892">
                  <c:v>-3794682.31136</c:v>
                </c:pt>
                <c:pt idx="893">
                  <c:v>-3793434.4400150003</c:v>
                </c:pt>
                <c:pt idx="894">
                  <c:v>-3792186.84228</c:v>
                </c:pt>
                <c:pt idx="895">
                  <c:v>-3790939.518125</c:v>
                </c:pt>
                <c:pt idx="896">
                  <c:v>-3789692.46752</c:v>
                </c:pt>
                <c:pt idx="897">
                  <c:v>-3788445.6904349998</c:v>
                </c:pt>
                <c:pt idx="898">
                  <c:v>-3787199.1868399996</c:v>
                </c:pt>
                <c:pt idx="899">
                  <c:v>-3785952.956705</c:v>
                </c:pt>
                <c:pt idx="900">
                  <c:v>-3784707.0</c:v>
                </c:pt>
                <c:pt idx="901">
                  <c:v>-3783461.316695</c:v>
                </c:pt>
                <c:pt idx="902">
                  <c:v>-3782215.90676</c:v>
                </c:pt>
                <c:pt idx="903">
                  <c:v>-3780970.770165</c:v>
                </c:pt>
                <c:pt idx="904">
                  <c:v>-3779725.90688</c:v>
                </c:pt>
                <c:pt idx="905">
                  <c:v>-3778481.316875</c:v>
                </c:pt>
                <c:pt idx="906">
                  <c:v>-3777237.0001200004</c:v>
                </c:pt>
                <c:pt idx="907">
                  <c:v>-3775992.9565850003</c:v>
                </c:pt>
                <c:pt idx="908">
                  <c:v>-3774749.18624</c:v>
                </c:pt>
                <c:pt idx="909">
                  <c:v>-3773505.689055</c:v>
                </c:pt>
                <c:pt idx="910">
                  <c:v>-3772262.465</c:v>
                </c:pt>
                <c:pt idx="911">
                  <c:v>-3771019.514045</c:v>
                </c:pt>
                <c:pt idx="912">
                  <c:v>-3769776.8361600004</c:v>
                </c:pt>
                <c:pt idx="913">
                  <c:v>-3768534.431315</c:v>
                </c:pt>
                <c:pt idx="914">
                  <c:v>-3767292.29948</c:v>
                </c:pt>
                <c:pt idx="915">
                  <c:v>-3766050.4406250003</c:v>
                </c:pt>
                <c:pt idx="916">
                  <c:v>-3764808.85472</c:v>
                </c:pt>
                <c:pt idx="917">
                  <c:v>-3763567.541735</c:v>
                </c:pt>
                <c:pt idx="918">
                  <c:v>-3762326.50164</c:v>
                </c:pt>
                <c:pt idx="919">
                  <c:v>-3761085.734405</c:v>
                </c:pt>
                <c:pt idx="920">
                  <c:v>-3759845.2399999998</c:v>
                </c:pt>
                <c:pt idx="921">
                  <c:v>-3758605.018395</c:v>
                </c:pt>
                <c:pt idx="922">
                  <c:v>-3757365.0695599997</c:v>
                </c:pt>
                <c:pt idx="923">
                  <c:v>-3756125.3934649997</c:v>
                </c:pt>
                <c:pt idx="924">
                  <c:v>-3754885.99008</c:v>
                </c:pt>
                <c:pt idx="925">
                  <c:v>-3753646.859375</c:v>
                </c:pt>
                <c:pt idx="926">
                  <c:v>-3752408.0013200003</c:v>
                </c:pt>
                <c:pt idx="927">
                  <c:v>-3751169.415885</c:v>
                </c:pt>
                <c:pt idx="928">
                  <c:v>-3749931.10304</c:v>
                </c:pt>
                <c:pt idx="929">
                  <c:v>-3748693.0627550003</c:v>
                </c:pt>
                <c:pt idx="930">
                  <c:v>-3747455.295</c:v>
                </c:pt>
                <c:pt idx="931">
                  <c:v>-3746217.799745</c:v>
                </c:pt>
                <c:pt idx="932">
                  <c:v>-3744980.5769599997</c:v>
                </c:pt>
                <c:pt idx="933">
                  <c:v>-3743743.626615</c:v>
                </c:pt>
                <c:pt idx="934">
                  <c:v>-3742506.94868</c:v>
                </c:pt>
                <c:pt idx="935">
                  <c:v>-3741270.543125</c:v>
                </c:pt>
                <c:pt idx="936">
                  <c:v>-3740034.40992</c:v>
                </c:pt>
                <c:pt idx="937">
                  <c:v>-3738798.549035</c:v>
                </c:pt>
                <c:pt idx="938">
                  <c:v>-3737562.96044</c:v>
                </c:pt>
                <c:pt idx="939">
                  <c:v>-3736327.644105</c:v>
                </c:pt>
                <c:pt idx="940">
                  <c:v>-3735092.6</c:v>
                </c:pt>
                <c:pt idx="941">
                  <c:v>-3733857.828095</c:v>
                </c:pt>
                <c:pt idx="942">
                  <c:v>-3732623.32836</c:v>
                </c:pt>
                <c:pt idx="943">
                  <c:v>-3731389.1007649996</c:v>
                </c:pt>
                <c:pt idx="944">
                  <c:v>-3730155.1452800003</c:v>
                </c:pt>
                <c:pt idx="945">
                  <c:v>-3728921.461875</c:v>
                </c:pt>
                <c:pt idx="946">
                  <c:v>-3727688.05052</c:v>
                </c:pt>
                <c:pt idx="947">
                  <c:v>-3726454.911185</c:v>
                </c:pt>
                <c:pt idx="948">
                  <c:v>-3725222.04384</c:v>
                </c:pt>
                <c:pt idx="949">
                  <c:v>-3723989.448455</c:v>
                </c:pt>
                <c:pt idx="950">
                  <c:v>-3722757.125</c:v>
                </c:pt>
                <c:pt idx="951">
                  <c:v>-3721525.0734449998</c:v>
                </c:pt>
                <c:pt idx="952">
                  <c:v>-3720293.2937600003</c:v>
                </c:pt>
                <c:pt idx="953">
                  <c:v>-3719061.785915</c:v>
                </c:pt>
                <c:pt idx="954">
                  <c:v>-3717830.5498800003</c:v>
                </c:pt>
                <c:pt idx="955">
                  <c:v>-3716599.585625</c:v>
                </c:pt>
                <c:pt idx="956">
                  <c:v>-3715368.89312</c:v>
                </c:pt>
                <c:pt idx="957">
                  <c:v>-3714138.472335</c:v>
                </c:pt>
                <c:pt idx="958">
                  <c:v>-3712908.32324</c:v>
                </c:pt>
                <c:pt idx="959">
                  <c:v>-3711678.4458049997</c:v>
                </c:pt>
                <c:pt idx="960">
                  <c:v>-3710448.84</c:v>
                </c:pt>
                <c:pt idx="961">
                  <c:v>-3709219.505795</c:v>
                </c:pt>
                <c:pt idx="962">
                  <c:v>-3707990.44316</c:v>
                </c:pt>
                <c:pt idx="963">
                  <c:v>-3706761.652065</c:v>
                </c:pt>
                <c:pt idx="964">
                  <c:v>-3705533.13248</c:v>
                </c:pt>
                <c:pt idx="965">
                  <c:v>-3704304.884375</c:v>
                </c:pt>
                <c:pt idx="966">
                  <c:v>-3703076.90772</c:v>
                </c:pt>
                <c:pt idx="967">
                  <c:v>-3701849.202485</c:v>
                </c:pt>
                <c:pt idx="968">
                  <c:v>-3700621.76864</c:v>
                </c:pt>
                <c:pt idx="969">
                  <c:v>-3699394.606155</c:v>
                </c:pt>
                <c:pt idx="970">
                  <c:v>-3698167.715</c:v>
                </c:pt>
                <c:pt idx="971">
                  <c:v>-3696941.095145</c:v>
                </c:pt>
                <c:pt idx="972">
                  <c:v>-3695714.74656</c:v>
                </c:pt>
                <c:pt idx="973">
                  <c:v>-3694488.669215</c:v>
                </c:pt>
                <c:pt idx="974">
                  <c:v>-3693262.86308</c:v>
                </c:pt>
                <c:pt idx="975">
                  <c:v>-3692037.328125</c:v>
                </c:pt>
                <c:pt idx="976">
                  <c:v>-3690812.0643200004</c:v>
                </c:pt>
                <c:pt idx="977">
                  <c:v>-3689587.071635</c:v>
                </c:pt>
                <c:pt idx="978">
                  <c:v>-3688362.3500400004</c:v>
                </c:pt>
                <c:pt idx="979">
                  <c:v>-3687137.899505</c:v>
                </c:pt>
                <c:pt idx="980">
                  <c:v>-3685913.72</c:v>
                </c:pt>
                <c:pt idx="981">
                  <c:v>-3684689.811495</c:v>
                </c:pt>
                <c:pt idx="982">
                  <c:v>-3683466.1739600003</c:v>
                </c:pt>
                <c:pt idx="983">
                  <c:v>-3682242.807365</c:v>
                </c:pt>
                <c:pt idx="984">
                  <c:v>-3681019.7116799997</c:v>
                </c:pt>
                <c:pt idx="985">
                  <c:v>-3679796.8868750003</c:v>
                </c:pt>
                <c:pt idx="986">
                  <c:v>-3678574.33292</c:v>
                </c:pt>
                <c:pt idx="987">
                  <c:v>-3677352.049785</c:v>
                </c:pt>
                <c:pt idx="988">
                  <c:v>-3676130.0374399996</c:v>
                </c:pt>
                <c:pt idx="989">
                  <c:v>-3674908.295855</c:v>
                </c:pt>
                <c:pt idx="990">
                  <c:v>-3673686.8249999997</c:v>
                </c:pt>
                <c:pt idx="991">
                  <c:v>-3672465.624845</c:v>
                </c:pt>
                <c:pt idx="992">
                  <c:v>-3671244.69536</c:v>
                </c:pt>
                <c:pt idx="993">
                  <c:v>-3670024.036515</c:v>
                </c:pt>
                <c:pt idx="994">
                  <c:v>-3668803.64828</c:v>
                </c:pt>
                <c:pt idx="995">
                  <c:v>-3667583.5306249997</c:v>
                </c:pt>
                <c:pt idx="996">
                  <c:v>-3666363.68352</c:v>
                </c:pt>
                <c:pt idx="997">
                  <c:v>-3665144.106935</c:v>
                </c:pt>
                <c:pt idx="998">
                  <c:v>-3663924.8008399997</c:v>
                </c:pt>
                <c:pt idx="999">
                  <c:v>-3662705.7652049996</c:v>
                </c:pt>
                <c:pt idx="1000">
                  <c:v>-3661487.0</c:v>
                </c:pt>
                <c:pt idx="1001">
                  <c:v>-3660268.5051949997</c:v>
                </c:pt>
                <c:pt idx="1002">
                  <c:v>-3659050.28076</c:v>
                </c:pt>
                <c:pt idx="1003">
                  <c:v>-3657832.326665</c:v>
                </c:pt>
                <c:pt idx="1004">
                  <c:v>-3656614.64288</c:v>
                </c:pt>
                <c:pt idx="1005">
                  <c:v>-3655397.229375</c:v>
                </c:pt>
                <c:pt idx="1006">
                  <c:v>-3654180.08612</c:v>
                </c:pt>
                <c:pt idx="1007">
                  <c:v>-3652963.213085</c:v>
                </c:pt>
                <c:pt idx="1008">
                  <c:v>-3651746.61024</c:v>
                </c:pt>
                <c:pt idx="1009">
                  <c:v>-3650530.277555</c:v>
                </c:pt>
                <c:pt idx="1010">
                  <c:v>-3649314.215</c:v>
                </c:pt>
                <c:pt idx="1011">
                  <c:v>-3648098.422545</c:v>
                </c:pt>
                <c:pt idx="1012">
                  <c:v>-3646882.9001599997</c:v>
                </c:pt>
                <c:pt idx="1013">
                  <c:v>-3645667.647815</c:v>
                </c:pt>
                <c:pt idx="1014">
                  <c:v>-3644452.66548</c:v>
                </c:pt>
                <c:pt idx="1015">
                  <c:v>-3643237.953125</c:v>
                </c:pt>
                <c:pt idx="1016">
                  <c:v>-3642023.5107199997</c:v>
                </c:pt>
                <c:pt idx="1017">
                  <c:v>-3640809.338235</c:v>
                </c:pt>
                <c:pt idx="1018">
                  <c:v>-3639595.43564</c:v>
                </c:pt>
                <c:pt idx="1019">
                  <c:v>-3638381.802905</c:v>
                </c:pt>
                <c:pt idx="1020">
                  <c:v>-3637168.44</c:v>
                </c:pt>
                <c:pt idx="1021">
                  <c:v>-3635955.346895</c:v>
                </c:pt>
                <c:pt idx="1022">
                  <c:v>-3634742.52356</c:v>
                </c:pt>
                <c:pt idx="1023">
                  <c:v>-3633529.9699649997</c:v>
                </c:pt>
                <c:pt idx="1024">
                  <c:v>-3632317.68608</c:v>
                </c:pt>
                <c:pt idx="1025">
                  <c:v>-3631105.671875</c:v>
                </c:pt>
                <c:pt idx="1026">
                  <c:v>-3629893.9273200002</c:v>
                </c:pt>
                <c:pt idx="1027">
                  <c:v>-3628682.452385</c:v>
                </c:pt>
                <c:pt idx="1028">
                  <c:v>-3627471.2470400003</c:v>
                </c:pt>
                <c:pt idx="1029">
                  <c:v>-3626260.311255</c:v>
                </c:pt>
                <c:pt idx="1030">
                  <c:v>-3625049.645</c:v>
                </c:pt>
                <c:pt idx="1031">
                  <c:v>-3623839.248245</c:v>
                </c:pt>
                <c:pt idx="1032">
                  <c:v>-3622629.12096</c:v>
                </c:pt>
                <c:pt idx="1033">
                  <c:v>-3621419.2631150004</c:v>
                </c:pt>
                <c:pt idx="1034">
                  <c:v>-3620209.67468</c:v>
                </c:pt>
                <c:pt idx="1035">
                  <c:v>-3619000.355625</c:v>
                </c:pt>
                <c:pt idx="1036">
                  <c:v>-3617791.3059199997</c:v>
                </c:pt>
                <c:pt idx="1037">
                  <c:v>-3616582.525535</c:v>
                </c:pt>
                <c:pt idx="1038">
                  <c:v>-3615374.01444</c:v>
                </c:pt>
                <c:pt idx="1039">
                  <c:v>-3614165.772605</c:v>
                </c:pt>
                <c:pt idx="1040">
                  <c:v>-3612957.8000000003</c:v>
                </c:pt>
                <c:pt idx="1041">
                  <c:v>-3611750.096595</c:v>
                </c:pt>
                <c:pt idx="1042">
                  <c:v>-3610542.66236</c:v>
                </c:pt>
                <c:pt idx="1043">
                  <c:v>-3609335.497265</c:v>
                </c:pt>
                <c:pt idx="1044">
                  <c:v>-3608128.60128</c:v>
                </c:pt>
                <c:pt idx="1045">
                  <c:v>-3606921.9743749998</c:v>
                </c:pt>
                <c:pt idx="1046">
                  <c:v>-3605715.61652</c:v>
                </c:pt>
                <c:pt idx="1047">
                  <c:v>-3604509.527685</c:v>
                </c:pt>
                <c:pt idx="1048">
                  <c:v>-3603303.70784</c:v>
                </c:pt>
                <c:pt idx="1049">
                  <c:v>-3602098.156955</c:v>
                </c:pt>
                <c:pt idx="1050">
                  <c:v>-3600892.875</c:v>
                </c:pt>
                <c:pt idx="1051">
                  <c:v>-3599687.861945</c:v>
                </c:pt>
                <c:pt idx="1052">
                  <c:v>-3598483.11776</c:v>
                </c:pt>
                <c:pt idx="1053">
                  <c:v>-3597278.642415</c:v>
                </c:pt>
                <c:pt idx="1054">
                  <c:v>-3596074.43588</c:v>
                </c:pt>
                <c:pt idx="1055">
                  <c:v>-3594870.498125</c:v>
                </c:pt>
                <c:pt idx="1056">
                  <c:v>-3593666.82912</c:v>
                </c:pt>
                <c:pt idx="1057">
                  <c:v>-3592463.4288350004</c:v>
                </c:pt>
                <c:pt idx="1058">
                  <c:v>-3591260.29724</c:v>
                </c:pt>
                <c:pt idx="1059">
                  <c:v>-3590057.434305</c:v>
                </c:pt>
                <c:pt idx="1060">
                  <c:v>-3588854.84</c:v>
                </c:pt>
                <c:pt idx="1061">
                  <c:v>-3587652.514295</c:v>
                </c:pt>
                <c:pt idx="1062">
                  <c:v>-3586450.45716</c:v>
                </c:pt>
                <c:pt idx="1063">
                  <c:v>-3585248.668565</c:v>
                </c:pt>
                <c:pt idx="1064">
                  <c:v>-3584047.14848</c:v>
                </c:pt>
                <c:pt idx="1065">
                  <c:v>-3582845.896875</c:v>
                </c:pt>
                <c:pt idx="1066">
                  <c:v>-3581644.91372</c:v>
                </c:pt>
                <c:pt idx="1067">
                  <c:v>-3580444.198985</c:v>
                </c:pt>
                <c:pt idx="1068">
                  <c:v>-3579243.75264</c:v>
                </c:pt>
                <c:pt idx="1069">
                  <c:v>-3578043.574655</c:v>
                </c:pt>
                <c:pt idx="1070">
                  <c:v>-3576843.665</c:v>
                </c:pt>
                <c:pt idx="1071">
                  <c:v>-3575644.023645</c:v>
                </c:pt>
                <c:pt idx="1072">
                  <c:v>-3574444.65056</c:v>
                </c:pt>
                <c:pt idx="1073">
                  <c:v>-3573245.545715</c:v>
                </c:pt>
                <c:pt idx="1074">
                  <c:v>-3572046.70908</c:v>
                </c:pt>
                <c:pt idx="1075">
                  <c:v>-3570848.140625</c:v>
                </c:pt>
                <c:pt idx="1076">
                  <c:v>-3569649.84032</c:v>
                </c:pt>
                <c:pt idx="1077">
                  <c:v>-3568451.808135</c:v>
                </c:pt>
                <c:pt idx="1078">
                  <c:v>-3567254.04404</c:v>
                </c:pt>
                <c:pt idx="1079">
                  <c:v>-3566056.5480049998</c:v>
                </c:pt>
                <c:pt idx="1080">
                  <c:v>-3564859.32</c:v>
                </c:pt>
                <c:pt idx="1081">
                  <c:v>-3563662.3599949996</c:v>
                </c:pt>
                <c:pt idx="1082">
                  <c:v>-3562465.6679599998</c:v>
                </c:pt>
                <c:pt idx="1083">
                  <c:v>-3561269.243865</c:v>
                </c:pt>
                <c:pt idx="1084">
                  <c:v>-3560073.08768</c:v>
                </c:pt>
                <c:pt idx="1085">
                  <c:v>-3558877.199375</c:v>
                </c:pt>
                <c:pt idx="1086">
                  <c:v>-3557681.57892</c:v>
                </c:pt>
                <c:pt idx="1087">
                  <c:v>-3556486.226285</c:v>
                </c:pt>
                <c:pt idx="1088">
                  <c:v>-3555291.14144</c:v>
                </c:pt>
                <c:pt idx="1089">
                  <c:v>-3554096.3243549997</c:v>
                </c:pt>
                <c:pt idx="1090">
                  <c:v>-3552901.775</c:v>
                </c:pt>
                <c:pt idx="1091">
                  <c:v>-3551707.493345</c:v>
                </c:pt>
                <c:pt idx="1092">
                  <c:v>-3550513.47936</c:v>
                </c:pt>
                <c:pt idx="1093">
                  <c:v>-3549319.7330150004</c:v>
                </c:pt>
                <c:pt idx="1094">
                  <c:v>-3548126.25428</c:v>
                </c:pt>
                <c:pt idx="1095">
                  <c:v>-3546933.043125</c:v>
                </c:pt>
                <c:pt idx="1096">
                  <c:v>-3545740.0995199997</c:v>
                </c:pt>
                <c:pt idx="1097">
                  <c:v>-3544547.4234350002</c:v>
                </c:pt>
                <c:pt idx="1098">
                  <c:v>-3543355.01484</c:v>
                </c:pt>
                <c:pt idx="1099">
                  <c:v>-3542162.8737049997</c:v>
                </c:pt>
                <c:pt idx="1100">
                  <c:v>-3540971.0</c:v>
                </c:pt>
                <c:pt idx="1101">
                  <c:v>-3539779.393695</c:v>
                </c:pt>
                <c:pt idx="1102">
                  <c:v>-3538588.05476</c:v>
                </c:pt>
                <c:pt idx="1103">
                  <c:v>-3537396.9831649996</c:v>
                </c:pt>
                <c:pt idx="1104">
                  <c:v>-3536206.17888</c:v>
                </c:pt>
                <c:pt idx="1105">
                  <c:v>-3535015.641875</c:v>
                </c:pt>
                <c:pt idx="1106">
                  <c:v>-3533825.37212</c:v>
                </c:pt>
                <c:pt idx="1107">
                  <c:v>-3532635.369585</c:v>
                </c:pt>
                <c:pt idx="1108">
                  <c:v>-3531445.63424</c:v>
                </c:pt>
                <c:pt idx="1109">
                  <c:v>-3530256.1660550004</c:v>
                </c:pt>
                <c:pt idx="1110">
                  <c:v>-3529066.9650000003</c:v>
                </c:pt>
                <c:pt idx="1111">
                  <c:v>-3527878.031045</c:v>
                </c:pt>
                <c:pt idx="1112">
                  <c:v>-3526689.36416</c:v>
                </c:pt>
                <c:pt idx="1113">
                  <c:v>-3525500.964315</c:v>
                </c:pt>
                <c:pt idx="1114">
                  <c:v>-3524312.8314799997</c:v>
                </c:pt>
                <c:pt idx="1115">
                  <c:v>-3523124.9656249997</c:v>
                </c:pt>
                <c:pt idx="1116">
                  <c:v>-3521937.3667200003</c:v>
                </c:pt>
                <c:pt idx="1117">
                  <c:v>-3520750.0347349998</c:v>
                </c:pt>
                <c:pt idx="1118">
                  <c:v>-3519562.9696400003</c:v>
                </c:pt>
                <c:pt idx="1119">
                  <c:v>-3518376.171405</c:v>
                </c:pt>
                <c:pt idx="1120">
                  <c:v>-3517189.6399999997</c:v>
                </c:pt>
                <c:pt idx="1121">
                  <c:v>-3516003.375395</c:v>
                </c:pt>
                <c:pt idx="1122">
                  <c:v>-3514817.37756</c:v>
                </c:pt>
                <c:pt idx="1123">
                  <c:v>-3513631.6464649998</c:v>
                </c:pt>
                <c:pt idx="1124">
                  <c:v>-3512446.18208</c:v>
                </c:pt>
                <c:pt idx="1125">
                  <c:v>-3511260.984375</c:v>
                </c:pt>
                <c:pt idx="1126">
                  <c:v>-3510076.05332</c:v>
                </c:pt>
                <c:pt idx="1127">
                  <c:v>-3508891.388885</c:v>
                </c:pt>
                <c:pt idx="1128">
                  <c:v>-3507706.99104</c:v>
                </c:pt>
                <c:pt idx="1129">
                  <c:v>-3506522.859755</c:v>
                </c:pt>
                <c:pt idx="1130">
                  <c:v>-3505338.995</c:v>
                </c:pt>
                <c:pt idx="1131">
                  <c:v>-3504155.396745</c:v>
                </c:pt>
                <c:pt idx="1132">
                  <c:v>-3502972.06496</c:v>
                </c:pt>
                <c:pt idx="1133">
                  <c:v>-3501788.999615</c:v>
                </c:pt>
                <c:pt idx="1134">
                  <c:v>-3500606.20068</c:v>
                </c:pt>
                <c:pt idx="1135">
                  <c:v>-3499423.668125</c:v>
                </c:pt>
                <c:pt idx="1136">
                  <c:v>-3498241.40192</c:v>
                </c:pt>
                <c:pt idx="1137">
                  <c:v>-3497059.4020350003</c:v>
                </c:pt>
                <c:pt idx="1138">
                  <c:v>-3495877.66844</c:v>
                </c:pt>
                <c:pt idx="1139">
                  <c:v>-3494696.201105</c:v>
                </c:pt>
                <c:pt idx="1140">
                  <c:v>-3493515.0</c:v>
                </c:pt>
                <c:pt idx="1141">
                  <c:v>-3492334.065095</c:v>
                </c:pt>
                <c:pt idx="1142">
                  <c:v>-3491153.3963599997</c:v>
                </c:pt>
                <c:pt idx="1143">
                  <c:v>-3489972.993765</c:v>
                </c:pt>
                <c:pt idx="1144">
                  <c:v>-3488792.85728</c:v>
                </c:pt>
                <c:pt idx="1145">
                  <c:v>-3487612.986875</c:v>
                </c:pt>
                <c:pt idx="1146">
                  <c:v>-3486433.38252</c:v>
                </c:pt>
                <c:pt idx="1147">
                  <c:v>-3485254.044185</c:v>
                </c:pt>
                <c:pt idx="1148">
                  <c:v>-3484074.97184</c:v>
                </c:pt>
                <c:pt idx="1149">
                  <c:v>-3482896.165455</c:v>
                </c:pt>
                <c:pt idx="1150">
                  <c:v>-3481717.625</c:v>
                </c:pt>
                <c:pt idx="1151">
                  <c:v>-3480539.350445</c:v>
                </c:pt>
                <c:pt idx="1152">
                  <c:v>-3479361.3417599997</c:v>
                </c:pt>
                <c:pt idx="1153">
                  <c:v>-3478183.598915</c:v>
                </c:pt>
                <c:pt idx="1154">
                  <c:v>-3477006.12188</c:v>
                </c:pt>
                <c:pt idx="1155">
                  <c:v>-3475828.910625</c:v>
                </c:pt>
                <c:pt idx="1156">
                  <c:v>-3474651.9651200003</c:v>
                </c:pt>
                <c:pt idx="1157">
                  <c:v>-3473475.2853349997</c:v>
                </c:pt>
                <c:pt idx="1158">
                  <c:v>-3472298.87124</c:v>
                </c:pt>
                <c:pt idx="1159">
                  <c:v>-3471122.722805</c:v>
                </c:pt>
                <c:pt idx="1160">
                  <c:v>-3469946.84</c:v>
                </c:pt>
                <c:pt idx="1161">
                  <c:v>-3468771.2227950003</c:v>
                </c:pt>
                <c:pt idx="1162">
                  <c:v>-3467595.87116</c:v>
                </c:pt>
                <c:pt idx="1163">
                  <c:v>-3466420.785065</c:v>
                </c:pt>
                <c:pt idx="1164">
                  <c:v>-3465245.96448</c:v>
                </c:pt>
                <c:pt idx="1165">
                  <c:v>-3464071.4093750003</c:v>
                </c:pt>
                <c:pt idx="1166">
                  <c:v>-3462897.11972</c:v>
                </c:pt>
                <c:pt idx="1167">
                  <c:v>-3461723.095485</c:v>
                </c:pt>
                <c:pt idx="1168">
                  <c:v>-3460549.3366400003</c:v>
                </c:pt>
                <c:pt idx="1169">
                  <c:v>-3459375.8431550004</c:v>
                </c:pt>
                <c:pt idx="1170">
                  <c:v>-3458202.6149999998</c:v>
                </c:pt>
                <c:pt idx="1171">
                  <c:v>-3457029.6521449997</c:v>
                </c:pt>
                <c:pt idx="1172">
                  <c:v>-3455856.95456</c:v>
                </c:pt>
                <c:pt idx="1173">
                  <c:v>-3454684.522215</c:v>
                </c:pt>
                <c:pt idx="1174">
                  <c:v>-3453512.35508</c:v>
                </c:pt>
                <c:pt idx="1175">
                  <c:v>-3452340.453125</c:v>
                </c:pt>
                <c:pt idx="1176">
                  <c:v>-3451168.81632</c:v>
                </c:pt>
                <c:pt idx="1177">
                  <c:v>-3449997.444635</c:v>
                </c:pt>
                <c:pt idx="1178">
                  <c:v>-3448826.33804</c:v>
                </c:pt>
                <c:pt idx="1179">
                  <c:v>-3447655.4965049997</c:v>
                </c:pt>
                <c:pt idx="1180">
                  <c:v>-3446484.92</c:v>
                </c:pt>
                <c:pt idx="1181">
                  <c:v>-3445314.6084950003</c:v>
                </c:pt>
                <c:pt idx="1182">
                  <c:v>-3444144.56196</c:v>
                </c:pt>
                <c:pt idx="1183">
                  <c:v>-3442974.780365</c:v>
                </c:pt>
                <c:pt idx="1184">
                  <c:v>-3441805.2636800003</c:v>
                </c:pt>
                <c:pt idx="1185">
                  <c:v>-3440636.011875</c:v>
                </c:pt>
                <c:pt idx="1186">
                  <c:v>-3439467.0249199998</c:v>
                </c:pt>
                <c:pt idx="1187">
                  <c:v>-3438298.302785</c:v>
                </c:pt>
                <c:pt idx="1188">
                  <c:v>-3437129.84544</c:v>
                </c:pt>
                <c:pt idx="1189">
                  <c:v>-3435961.652855</c:v>
                </c:pt>
                <c:pt idx="1190">
                  <c:v>-3434793.725</c:v>
                </c:pt>
                <c:pt idx="1191">
                  <c:v>-3433626.0618450004</c:v>
                </c:pt>
                <c:pt idx="1192">
                  <c:v>-3432458.66336</c:v>
                </c:pt>
                <c:pt idx="1193">
                  <c:v>-3431291.529515</c:v>
                </c:pt>
                <c:pt idx="1194">
                  <c:v>-3430124.66028</c:v>
                </c:pt>
                <c:pt idx="1195">
                  <c:v>-3428958.055625</c:v>
                </c:pt>
                <c:pt idx="1196">
                  <c:v>-3427791.71552</c:v>
                </c:pt>
                <c:pt idx="1197">
                  <c:v>-3426625.639935</c:v>
                </c:pt>
                <c:pt idx="1198">
                  <c:v>-3425459.82884</c:v>
                </c:pt>
                <c:pt idx="1199">
                  <c:v>-3424294.282205</c:v>
                </c:pt>
                <c:pt idx="1200">
                  <c:v>-3423129.0</c:v>
                </c:pt>
                <c:pt idx="1201">
                  <c:v>-3421963.9821949997</c:v>
                </c:pt>
                <c:pt idx="1202">
                  <c:v>-3420799.22876</c:v>
                </c:pt>
                <c:pt idx="1203">
                  <c:v>-3419634.7396650002</c:v>
                </c:pt>
                <c:pt idx="1204">
                  <c:v>-3418470.5148799997</c:v>
                </c:pt>
                <c:pt idx="1205">
                  <c:v>-3417306.554375</c:v>
                </c:pt>
                <c:pt idx="1206">
                  <c:v>-3416142.85812</c:v>
                </c:pt>
                <c:pt idx="1207">
                  <c:v>-3414979.4260850004</c:v>
                </c:pt>
                <c:pt idx="1208">
                  <c:v>-3413816.2582400003</c:v>
                </c:pt>
                <c:pt idx="1209">
                  <c:v>-3412653.354555</c:v>
                </c:pt>
                <c:pt idx="1210">
                  <c:v>-3411490.715</c:v>
                </c:pt>
                <c:pt idx="1211">
                  <c:v>-3410328.339545</c:v>
                </c:pt>
                <c:pt idx="1212">
                  <c:v>-3409166.22816</c:v>
                </c:pt>
                <c:pt idx="1213">
                  <c:v>-3408004.380815</c:v>
                </c:pt>
                <c:pt idx="1214">
                  <c:v>-3406842.79748</c:v>
                </c:pt>
                <c:pt idx="1215">
                  <c:v>-3405681.478125</c:v>
                </c:pt>
                <c:pt idx="1216">
                  <c:v>-3404520.42272</c:v>
                </c:pt>
                <c:pt idx="1217">
                  <c:v>-3403359.631235</c:v>
                </c:pt>
                <c:pt idx="1218">
                  <c:v>-3402199.10364</c:v>
                </c:pt>
                <c:pt idx="1219">
                  <c:v>-3401038.839905</c:v>
                </c:pt>
                <c:pt idx="1220">
                  <c:v>-3399878.84</c:v>
                </c:pt>
                <c:pt idx="1221">
                  <c:v>-3398719.103895</c:v>
                </c:pt>
                <c:pt idx="1222">
                  <c:v>-3397559.63156</c:v>
                </c:pt>
                <c:pt idx="1223">
                  <c:v>-3396400.422965</c:v>
                </c:pt>
                <c:pt idx="1224">
                  <c:v>-3395241.4780800003</c:v>
                </c:pt>
                <c:pt idx="1225">
                  <c:v>-3394082.796875</c:v>
                </c:pt>
                <c:pt idx="1226">
                  <c:v>-3392924.3793200003</c:v>
                </c:pt>
                <c:pt idx="1227">
                  <c:v>-3391766.225385</c:v>
                </c:pt>
                <c:pt idx="1228">
                  <c:v>-3390608.33504</c:v>
                </c:pt>
                <c:pt idx="1229">
                  <c:v>-3389450.7082550004</c:v>
                </c:pt>
                <c:pt idx="1230">
                  <c:v>-3388293.345</c:v>
                </c:pt>
                <c:pt idx="1231">
                  <c:v>-3387136.245245</c:v>
                </c:pt>
                <c:pt idx="1232">
                  <c:v>-3385979.40896</c:v>
                </c:pt>
                <c:pt idx="1233">
                  <c:v>-3384822.8361150003</c:v>
                </c:pt>
                <c:pt idx="1234">
                  <c:v>-3383666.52668</c:v>
                </c:pt>
                <c:pt idx="1235">
                  <c:v>-3382510.4806250003</c:v>
                </c:pt>
                <c:pt idx="1236">
                  <c:v>-3381354.69792</c:v>
                </c:pt>
                <c:pt idx="1237">
                  <c:v>-3380199.178535</c:v>
                </c:pt>
                <c:pt idx="1238">
                  <c:v>-3379043.92244</c:v>
                </c:pt>
                <c:pt idx="1239">
                  <c:v>-3377888.929605</c:v>
                </c:pt>
                <c:pt idx="1240">
                  <c:v>-3376734.1999999997</c:v>
                </c:pt>
                <c:pt idx="1241">
                  <c:v>-3375579.733595</c:v>
                </c:pt>
                <c:pt idx="1242">
                  <c:v>-3374425.53036</c:v>
                </c:pt>
                <c:pt idx="1243">
                  <c:v>-3373271.5902650002</c:v>
                </c:pt>
                <c:pt idx="1244">
                  <c:v>-3372117.91328</c:v>
                </c:pt>
                <c:pt idx="1245">
                  <c:v>-3370964.4993749997</c:v>
                </c:pt>
                <c:pt idx="1246">
                  <c:v>-3369811.34852</c:v>
                </c:pt>
                <c:pt idx="1247">
                  <c:v>-3368658.460685</c:v>
                </c:pt>
                <c:pt idx="1248">
                  <c:v>-3367505.83584</c:v>
                </c:pt>
                <c:pt idx="1249">
                  <c:v>-3366353.473955</c:v>
                </c:pt>
                <c:pt idx="1250">
                  <c:v>-3365201.375</c:v>
                </c:pt>
                <c:pt idx="1251">
                  <c:v>-3364049.5389449997</c:v>
                </c:pt>
                <c:pt idx="1252">
                  <c:v>-3362897.96576</c:v>
                </c:pt>
                <c:pt idx="1253">
                  <c:v>-3361746.655415</c:v>
                </c:pt>
                <c:pt idx="1254">
                  <c:v>-3360595.60788</c:v>
                </c:pt>
                <c:pt idx="1255">
                  <c:v>-3359444.823125</c:v>
                </c:pt>
                <c:pt idx="1256">
                  <c:v>-3358294.30112</c:v>
                </c:pt>
                <c:pt idx="1257">
                  <c:v>-3357144.0418350003</c:v>
                </c:pt>
                <c:pt idx="1258">
                  <c:v>-3355994.04524</c:v>
                </c:pt>
                <c:pt idx="1259">
                  <c:v>-3354844.311305</c:v>
                </c:pt>
                <c:pt idx="1260">
                  <c:v>-3353694.84</c:v>
                </c:pt>
                <c:pt idx="1261">
                  <c:v>-3352545.631295</c:v>
                </c:pt>
                <c:pt idx="1262">
                  <c:v>-3351396.68516</c:v>
                </c:pt>
                <c:pt idx="1263">
                  <c:v>-3350248.001565</c:v>
                </c:pt>
                <c:pt idx="1264">
                  <c:v>-3349099.58048</c:v>
                </c:pt>
                <c:pt idx="1265">
                  <c:v>-3347951.421875</c:v>
                </c:pt>
                <c:pt idx="1266">
                  <c:v>-3346803.5257200003</c:v>
                </c:pt>
                <c:pt idx="1267">
                  <c:v>-3345655.891985</c:v>
                </c:pt>
                <c:pt idx="1268">
                  <c:v>-3344508.52064</c:v>
                </c:pt>
                <c:pt idx="1269">
                  <c:v>-3343361.411655</c:v>
                </c:pt>
                <c:pt idx="1270">
                  <c:v>-3342214.565</c:v>
                </c:pt>
                <c:pt idx="1271">
                  <c:v>-3341067.980645</c:v>
                </c:pt>
                <c:pt idx="1272">
                  <c:v>-3339921.6585600004</c:v>
                </c:pt>
                <c:pt idx="1273">
                  <c:v>-3338775.598715</c:v>
                </c:pt>
                <c:pt idx="1274">
                  <c:v>-3337629.80108</c:v>
                </c:pt>
                <c:pt idx="1275">
                  <c:v>-3336484.265625</c:v>
                </c:pt>
                <c:pt idx="1276">
                  <c:v>-3335338.99232</c:v>
                </c:pt>
                <c:pt idx="1277">
                  <c:v>-3334193.981135</c:v>
                </c:pt>
                <c:pt idx="1278">
                  <c:v>-3333049.2320399997</c:v>
                </c:pt>
                <c:pt idx="1279">
                  <c:v>-3331904.745005</c:v>
                </c:pt>
                <c:pt idx="1280">
                  <c:v>-3330760.52</c:v>
                </c:pt>
                <c:pt idx="1281">
                  <c:v>-3329616.5569949998</c:v>
                </c:pt>
                <c:pt idx="1282">
                  <c:v>-3328472.85596</c:v>
                </c:pt>
                <c:pt idx="1283">
                  <c:v>-3327329.416865</c:v>
                </c:pt>
                <c:pt idx="1284">
                  <c:v>-3326186.2396799996</c:v>
                </c:pt>
                <c:pt idx="1285">
                  <c:v>-3325043.324375</c:v>
                </c:pt>
                <c:pt idx="1286">
                  <c:v>-3323900.67092</c:v>
                </c:pt>
                <c:pt idx="1287">
                  <c:v>-3322758.2792849997</c:v>
                </c:pt>
                <c:pt idx="1288">
                  <c:v>-3321616.14944</c:v>
                </c:pt>
                <c:pt idx="1289">
                  <c:v>-3320474.2813549996</c:v>
                </c:pt>
                <c:pt idx="1290">
                  <c:v>-3319332.6750000003</c:v>
                </c:pt>
                <c:pt idx="1291">
                  <c:v>-3318191.330345</c:v>
                </c:pt>
                <c:pt idx="1292">
                  <c:v>-3317050.24736</c:v>
                </c:pt>
                <c:pt idx="1293">
                  <c:v>-3315909.426015</c:v>
                </c:pt>
                <c:pt idx="1294">
                  <c:v>-3314768.86628</c:v>
                </c:pt>
                <c:pt idx="1295">
                  <c:v>-3313628.5681249998</c:v>
                </c:pt>
                <c:pt idx="1296">
                  <c:v>-3312488.53152</c:v>
                </c:pt>
                <c:pt idx="1297">
                  <c:v>-3311348.756435</c:v>
                </c:pt>
                <c:pt idx="1298">
                  <c:v>-3310209.24284</c:v>
                </c:pt>
                <c:pt idx="1299">
                  <c:v>-3309069.990705</c:v>
                </c:pt>
                <c:pt idx="1300">
                  <c:v>-3307931.0</c:v>
                </c:pt>
                <c:pt idx="1301">
                  <c:v>-3306792.270695</c:v>
                </c:pt>
                <c:pt idx="1302">
                  <c:v>-3305653.80276</c:v>
                </c:pt>
                <c:pt idx="1303">
                  <c:v>-3304515.596165</c:v>
                </c:pt>
                <c:pt idx="1304">
                  <c:v>-3303377.65088</c:v>
                </c:pt>
                <c:pt idx="1305">
                  <c:v>-3302239.966875</c:v>
                </c:pt>
                <c:pt idx="1306">
                  <c:v>-3301102.5441199997</c:v>
                </c:pt>
                <c:pt idx="1307">
                  <c:v>-3299965.382585</c:v>
                </c:pt>
                <c:pt idx="1308">
                  <c:v>-3298828.48224</c:v>
                </c:pt>
                <c:pt idx="1309">
                  <c:v>-3297691.843055</c:v>
                </c:pt>
                <c:pt idx="1310">
                  <c:v>-3296555.465</c:v>
                </c:pt>
                <c:pt idx="1311">
                  <c:v>-3295419.348045</c:v>
                </c:pt>
                <c:pt idx="1312">
                  <c:v>-3294283.49216</c:v>
                </c:pt>
                <c:pt idx="1313">
                  <c:v>-3293147.8973149997</c:v>
                </c:pt>
                <c:pt idx="1314">
                  <c:v>-3292012.56348</c:v>
                </c:pt>
                <c:pt idx="1315">
                  <c:v>-3290877.490625</c:v>
                </c:pt>
                <c:pt idx="1316">
                  <c:v>-3289742.6787199997</c:v>
                </c:pt>
                <c:pt idx="1317">
                  <c:v>-3288608.127735</c:v>
                </c:pt>
                <c:pt idx="1318">
                  <c:v>-3287473.83764</c:v>
                </c:pt>
                <c:pt idx="1319">
                  <c:v>-3286339.8084050003</c:v>
                </c:pt>
                <c:pt idx="1320">
                  <c:v>-3285206.04</c:v>
                </c:pt>
                <c:pt idx="1321">
                  <c:v>-3284072.532395</c:v>
                </c:pt>
                <c:pt idx="1322">
                  <c:v>-3282939.28556</c:v>
                </c:pt>
                <c:pt idx="1323">
                  <c:v>-3281806.299465</c:v>
                </c:pt>
                <c:pt idx="1324">
                  <c:v>-3280673.57408</c:v>
                </c:pt>
                <c:pt idx="1325">
                  <c:v>-3279541.109375</c:v>
                </c:pt>
                <c:pt idx="1326">
                  <c:v>-3278408.90532</c:v>
                </c:pt>
                <c:pt idx="1327">
                  <c:v>-3277276.9618849996</c:v>
                </c:pt>
                <c:pt idx="1328">
                  <c:v>-3276145.27904</c:v>
                </c:pt>
                <c:pt idx="1329">
                  <c:v>-3275013.856755</c:v>
                </c:pt>
                <c:pt idx="1330">
                  <c:v>-3273882.695</c:v>
                </c:pt>
                <c:pt idx="1331">
                  <c:v>-3272751.7937450004</c:v>
                </c:pt>
                <c:pt idx="1332">
                  <c:v>-3271621.15296</c:v>
                </c:pt>
                <c:pt idx="1333">
                  <c:v>-3270490.7726149997</c:v>
                </c:pt>
                <c:pt idx="1334">
                  <c:v>-3269360.6526800003</c:v>
                </c:pt>
                <c:pt idx="1335">
                  <c:v>-3268230.793125</c:v>
                </c:pt>
                <c:pt idx="1336">
                  <c:v>-3267101.19392</c:v>
                </c:pt>
                <c:pt idx="1337">
                  <c:v>-3265971.855035</c:v>
                </c:pt>
                <c:pt idx="1338">
                  <c:v>-3264842.77644</c:v>
                </c:pt>
                <c:pt idx="1339">
                  <c:v>-3263713.958105</c:v>
                </c:pt>
                <c:pt idx="1340">
                  <c:v>-3262585.4</c:v>
                </c:pt>
                <c:pt idx="1341">
                  <c:v>-3261457.102095</c:v>
                </c:pt>
                <c:pt idx="1342">
                  <c:v>-3260329.06436</c:v>
                </c:pt>
                <c:pt idx="1343">
                  <c:v>-3259201.286765</c:v>
                </c:pt>
                <c:pt idx="1344">
                  <c:v>-3258073.76928</c:v>
                </c:pt>
                <c:pt idx="1345">
                  <c:v>-3256946.511875</c:v>
                </c:pt>
                <c:pt idx="1346">
                  <c:v>-3255819.51452</c:v>
                </c:pt>
                <c:pt idx="1347">
                  <c:v>-3254692.777185</c:v>
                </c:pt>
                <c:pt idx="1348">
                  <c:v>-3253566.29984</c:v>
                </c:pt>
                <c:pt idx="1349">
                  <c:v>-3252440.082455</c:v>
                </c:pt>
                <c:pt idx="1350">
                  <c:v>-3251314.125</c:v>
                </c:pt>
                <c:pt idx="1351">
                  <c:v>-3250188.4274449996</c:v>
                </c:pt>
                <c:pt idx="1352">
                  <c:v>-3249062.98976</c:v>
                </c:pt>
                <c:pt idx="1353">
                  <c:v>-3247937.811915</c:v>
                </c:pt>
                <c:pt idx="1354">
                  <c:v>-3246812.89388</c:v>
                </c:pt>
                <c:pt idx="1355">
                  <c:v>-3245688.235625</c:v>
                </c:pt>
                <c:pt idx="1356">
                  <c:v>-3244563.8371200003</c:v>
                </c:pt>
                <c:pt idx="1357">
                  <c:v>-3243439.698335</c:v>
                </c:pt>
                <c:pt idx="1358">
                  <c:v>-3242315.81924</c:v>
                </c:pt>
                <c:pt idx="1359">
                  <c:v>-3241192.199805</c:v>
                </c:pt>
                <c:pt idx="1360">
                  <c:v>-3240068.8400000003</c:v>
                </c:pt>
                <c:pt idx="1361">
                  <c:v>-3238945.739795</c:v>
                </c:pt>
                <c:pt idx="1362">
                  <c:v>-3237822.89916</c:v>
                </c:pt>
                <c:pt idx="1363">
                  <c:v>-3236700.318065</c:v>
                </c:pt>
                <c:pt idx="1364">
                  <c:v>-3235577.9964799997</c:v>
                </c:pt>
                <c:pt idx="1365">
                  <c:v>-3234455.9343749997</c:v>
                </c:pt>
                <c:pt idx="1366">
                  <c:v>-3233334.13172</c:v>
                </c:pt>
                <c:pt idx="1367">
                  <c:v>-3232212.588485</c:v>
                </c:pt>
                <c:pt idx="1368">
                  <c:v>-3231091.3046399998</c:v>
                </c:pt>
                <c:pt idx="1369">
                  <c:v>-3229970.2801550003</c:v>
                </c:pt>
                <c:pt idx="1370">
                  <c:v>-3228849.5149999997</c:v>
                </c:pt>
                <c:pt idx="1371">
                  <c:v>-3227729.009145</c:v>
                </c:pt>
                <c:pt idx="1372">
                  <c:v>-3226608.7625599997</c:v>
                </c:pt>
                <c:pt idx="1373">
                  <c:v>-3225488.775215</c:v>
                </c:pt>
                <c:pt idx="1374">
                  <c:v>-3224369.0470800004</c:v>
                </c:pt>
                <c:pt idx="1375">
                  <c:v>-3223249.578125</c:v>
                </c:pt>
                <c:pt idx="1376">
                  <c:v>-3222130.36832</c:v>
                </c:pt>
                <c:pt idx="1377">
                  <c:v>-3221011.417635</c:v>
                </c:pt>
                <c:pt idx="1378">
                  <c:v>-3219892.7260399996</c:v>
                </c:pt>
                <c:pt idx="1379">
                  <c:v>-3218774.293505</c:v>
                </c:pt>
                <c:pt idx="1380">
                  <c:v>-3217656.12</c:v>
                </c:pt>
                <c:pt idx="1381">
                  <c:v>-3216538.205495</c:v>
                </c:pt>
                <c:pt idx="1382">
                  <c:v>-3215420.54996</c:v>
                </c:pt>
                <c:pt idx="1383">
                  <c:v>-3214303.153365</c:v>
                </c:pt>
                <c:pt idx="1384">
                  <c:v>-3213186.01568</c:v>
                </c:pt>
                <c:pt idx="1385">
                  <c:v>-3212069.136875</c:v>
                </c:pt>
                <c:pt idx="1386">
                  <c:v>-3210952.51692</c:v>
                </c:pt>
                <c:pt idx="1387">
                  <c:v>-3209836.155785</c:v>
                </c:pt>
                <c:pt idx="1388">
                  <c:v>-3208720.0534400004</c:v>
                </c:pt>
                <c:pt idx="1389">
                  <c:v>-3207604.209855</c:v>
                </c:pt>
                <c:pt idx="1390">
                  <c:v>-3206488.625</c:v>
                </c:pt>
                <c:pt idx="1391">
                  <c:v>-3205373.298845</c:v>
                </c:pt>
                <c:pt idx="1392">
                  <c:v>-3204258.23136</c:v>
                </c:pt>
                <c:pt idx="1393">
                  <c:v>-3203143.422515</c:v>
                </c:pt>
                <c:pt idx="1394">
                  <c:v>-3202028.8722800002</c:v>
                </c:pt>
                <c:pt idx="1395">
                  <c:v>-3200914.580625</c:v>
                </c:pt>
                <c:pt idx="1396">
                  <c:v>-3199800.54752</c:v>
                </c:pt>
                <c:pt idx="1397">
                  <c:v>-3198686.7729350002</c:v>
                </c:pt>
                <c:pt idx="1398">
                  <c:v>-3197573.25684</c:v>
                </c:pt>
                <c:pt idx="1399">
                  <c:v>-3196459.999205</c:v>
                </c:pt>
                <c:pt idx="1400">
                  <c:v>-3195347.0</c:v>
                </c:pt>
                <c:pt idx="1401">
                  <c:v>-3194234.259195</c:v>
                </c:pt>
                <c:pt idx="1402">
                  <c:v>-3193121.77676</c:v>
                </c:pt>
                <c:pt idx="1403">
                  <c:v>-3192009.552665</c:v>
                </c:pt>
                <c:pt idx="1404">
                  <c:v>-3190897.58688</c:v>
                </c:pt>
                <c:pt idx="1405">
                  <c:v>-3189785.879375</c:v>
                </c:pt>
                <c:pt idx="1406">
                  <c:v>-3188674.43012</c:v>
                </c:pt>
                <c:pt idx="1407">
                  <c:v>-3187563.239085</c:v>
                </c:pt>
                <c:pt idx="1408">
                  <c:v>-3186452.30624</c:v>
                </c:pt>
                <c:pt idx="1409">
                  <c:v>-3185341.6315550003</c:v>
                </c:pt>
                <c:pt idx="1410">
                  <c:v>-3184231.215</c:v>
                </c:pt>
                <c:pt idx="1411">
                  <c:v>-3183121.056545</c:v>
                </c:pt>
                <c:pt idx="1412">
                  <c:v>-3182011.15616</c:v>
                </c:pt>
                <c:pt idx="1413">
                  <c:v>-3180901.5138149997</c:v>
                </c:pt>
                <c:pt idx="1414">
                  <c:v>-3179792.12948</c:v>
                </c:pt>
                <c:pt idx="1415">
                  <c:v>-3178683.0031250003</c:v>
                </c:pt>
                <c:pt idx="1416">
                  <c:v>-3177574.13472</c:v>
                </c:pt>
                <c:pt idx="1417">
                  <c:v>-3176465.5242350004</c:v>
                </c:pt>
                <c:pt idx="1418">
                  <c:v>-3175357.17164</c:v>
                </c:pt>
                <c:pt idx="1419">
                  <c:v>-3174249.076905</c:v>
                </c:pt>
                <c:pt idx="1420">
                  <c:v>-3173141.2399999998</c:v>
                </c:pt>
                <c:pt idx="1421">
                  <c:v>-3172033.6608949997</c:v>
                </c:pt>
                <c:pt idx="1422">
                  <c:v>-3170926.3395599998</c:v>
                </c:pt>
                <c:pt idx="1423">
                  <c:v>-3169819.275965</c:v>
                </c:pt>
                <c:pt idx="1424">
                  <c:v>-3168712.4700800003</c:v>
                </c:pt>
                <c:pt idx="1425">
                  <c:v>-3167605.921875</c:v>
                </c:pt>
                <c:pt idx="1426">
                  <c:v>-3166499.63132</c:v>
                </c:pt>
                <c:pt idx="1427">
                  <c:v>-3165393.598385</c:v>
                </c:pt>
                <c:pt idx="1428">
                  <c:v>-3164287.82304</c:v>
                </c:pt>
                <c:pt idx="1429">
                  <c:v>-3163182.305255</c:v>
                </c:pt>
                <c:pt idx="1430">
                  <c:v>-3162077.045</c:v>
                </c:pt>
                <c:pt idx="1431">
                  <c:v>-3160972.042245</c:v>
                </c:pt>
                <c:pt idx="1432">
                  <c:v>-3159867.29696</c:v>
                </c:pt>
                <c:pt idx="1433">
                  <c:v>-3158762.809115</c:v>
                </c:pt>
                <c:pt idx="1434">
                  <c:v>-3157658.57868</c:v>
                </c:pt>
                <c:pt idx="1435">
                  <c:v>-3156554.605625</c:v>
                </c:pt>
                <c:pt idx="1436">
                  <c:v>-3155450.88992</c:v>
                </c:pt>
                <c:pt idx="1437">
                  <c:v>-3154347.431535</c:v>
                </c:pt>
                <c:pt idx="1438">
                  <c:v>-3153244.23044</c:v>
                </c:pt>
                <c:pt idx="1439">
                  <c:v>-3152141.286605</c:v>
                </c:pt>
                <c:pt idx="1440">
                  <c:v>-3151038.6</c:v>
                </c:pt>
                <c:pt idx="1441">
                  <c:v>-3149936.170595</c:v>
                </c:pt>
                <c:pt idx="1442">
                  <c:v>-3148833.9983599996</c:v>
                </c:pt>
                <c:pt idx="1443">
                  <c:v>-3147732.083265</c:v>
                </c:pt>
                <c:pt idx="1444">
                  <c:v>-3146630.42528</c:v>
                </c:pt>
                <c:pt idx="1445">
                  <c:v>-3145529.024375</c:v>
                </c:pt>
                <c:pt idx="1446">
                  <c:v>-3144427.8805199997</c:v>
                </c:pt>
                <c:pt idx="1447">
                  <c:v>-3143326.993685</c:v>
                </c:pt>
                <c:pt idx="1448">
                  <c:v>-3142226.3638400002</c:v>
                </c:pt>
                <c:pt idx="1449">
                  <c:v>-3141125.990955</c:v>
                </c:pt>
                <c:pt idx="1450">
                  <c:v>-3140025.875</c:v>
                </c:pt>
                <c:pt idx="1451">
                  <c:v>-3138926.015945</c:v>
                </c:pt>
                <c:pt idx="1452">
                  <c:v>-3137826.4137600004</c:v>
                </c:pt>
                <c:pt idx="1453">
                  <c:v>-3136727.068415</c:v>
                </c:pt>
                <c:pt idx="1454">
                  <c:v>-3135627.97988</c:v>
                </c:pt>
                <c:pt idx="1455">
                  <c:v>-3134529.148125</c:v>
                </c:pt>
                <c:pt idx="1456">
                  <c:v>-3133430.57312</c:v>
                </c:pt>
                <c:pt idx="1457">
                  <c:v>-3132332.2548350003</c:v>
                </c:pt>
                <c:pt idx="1458">
                  <c:v>-3131234.19324</c:v>
                </c:pt>
                <c:pt idx="1459">
                  <c:v>-3130136.388305</c:v>
                </c:pt>
                <c:pt idx="1460">
                  <c:v>-3129038.84</c:v>
                </c:pt>
                <c:pt idx="1461">
                  <c:v>-3127941.5482949996</c:v>
                </c:pt>
                <c:pt idx="1462">
                  <c:v>-3126844.51316</c:v>
                </c:pt>
                <c:pt idx="1463">
                  <c:v>-3125747.734565</c:v>
                </c:pt>
                <c:pt idx="1464">
                  <c:v>-3124651.2124799998</c:v>
                </c:pt>
                <c:pt idx="1465">
                  <c:v>-3123554.946875</c:v>
                </c:pt>
                <c:pt idx="1466">
                  <c:v>-3122458.93772</c:v>
                </c:pt>
                <c:pt idx="1467">
                  <c:v>-3121363.1849849997</c:v>
                </c:pt>
                <c:pt idx="1468">
                  <c:v>-3120267.68864</c:v>
                </c:pt>
                <c:pt idx="1469">
                  <c:v>-3119172.448655</c:v>
                </c:pt>
                <c:pt idx="1470">
                  <c:v>-3118077.465</c:v>
                </c:pt>
                <c:pt idx="1471">
                  <c:v>-3116982.7376449998</c:v>
                </c:pt>
                <c:pt idx="1472">
                  <c:v>-3115888.26656</c:v>
                </c:pt>
                <c:pt idx="1473">
                  <c:v>-3114794.051715</c:v>
                </c:pt>
                <c:pt idx="1474">
                  <c:v>-3113700.09308</c:v>
                </c:pt>
                <c:pt idx="1475">
                  <c:v>-3112606.390625</c:v>
                </c:pt>
                <c:pt idx="1476">
                  <c:v>-3111512.94432</c:v>
                </c:pt>
                <c:pt idx="1477">
                  <c:v>-3110419.754135</c:v>
                </c:pt>
                <c:pt idx="1478">
                  <c:v>-3109326.82004</c:v>
                </c:pt>
                <c:pt idx="1479">
                  <c:v>-3108234.142005</c:v>
                </c:pt>
                <c:pt idx="1480">
                  <c:v>-3107141.72</c:v>
                </c:pt>
                <c:pt idx="1481">
                  <c:v>-3106049.5539949997</c:v>
                </c:pt>
                <c:pt idx="1482">
                  <c:v>-3104957.64396</c:v>
                </c:pt>
                <c:pt idx="1483">
                  <c:v>-3103865.989865</c:v>
                </c:pt>
                <c:pt idx="1484">
                  <c:v>-3102774.59168</c:v>
                </c:pt>
                <c:pt idx="1485">
                  <c:v>-3101683.4493750003</c:v>
                </c:pt>
                <c:pt idx="1486">
                  <c:v>-3100592.56292</c:v>
                </c:pt>
                <c:pt idx="1487">
                  <c:v>-3099501.932285</c:v>
                </c:pt>
                <c:pt idx="1488">
                  <c:v>-3098411.55744</c:v>
                </c:pt>
                <c:pt idx="1489">
                  <c:v>-3097321.438355</c:v>
                </c:pt>
                <c:pt idx="1490">
                  <c:v>-3096231.5749999997</c:v>
                </c:pt>
                <c:pt idx="1491">
                  <c:v>-3095141.967345</c:v>
                </c:pt>
                <c:pt idx="1492">
                  <c:v>-3094052.61536</c:v>
                </c:pt>
                <c:pt idx="1493">
                  <c:v>-3092963.5190149997</c:v>
                </c:pt>
                <c:pt idx="1494">
                  <c:v>-3091874.67828</c:v>
                </c:pt>
                <c:pt idx="1495">
                  <c:v>-3090786.0931249997</c:v>
                </c:pt>
                <c:pt idx="1496">
                  <c:v>-3089697.76352</c:v>
                </c:pt>
                <c:pt idx="1497">
                  <c:v>-3088609.689435</c:v>
                </c:pt>
                <c:pt idx="1498">
                  <c:v>-3087521.8708400005</c:v>
                </c:pt>
                <c:pt idx="1499">
                  <c:v>-3086434.307705</c:v>
                </c:pt>
                <c:pt idx="1500">
                  <c:v>-3085347.0</c:v>
                </c:pt>
                <c:pt idx="1501">
                  <c:v>-3084259.947695</c:v>
                </c:pt>
                <c:pt idx="1502">
                  <c:v>-3083173.15076</c:v>
                </c:pt>
                <c:pt idx="1503">
                  <c:v>-3082086.609165</c:v>
                </c:pt>
                <c:pt idx="1504">
                  <c:v>-3081000.32288</c:v>
                </c:pt>
                <c:pt idx="1505">
                  <c:v>-3079914.291875</c:v>
                </c:pt>
                <c:pt idx="1506">
                  <c:v>-3078828.51612</c:v>
                </c:pt>
                <c:pt idx="1507">
                  <c:v>-3077742.9955849997</c:v>
                </c:pt>
                <c:pt idx="1508">
                  <c:v>-3076657.7302400004</c:v>
                </c:pt>
                <c:pt idx="1509">
                  <c:v>-3075572.720055</c:v>
                </c:pt>
                <c:pt idx="1510">
                  <c:v>-3074487.965</c:v>
                </c:pt>
                <c:pt idx="1511">
                  <c:v>-3073403.465045</c:v>
                </c:pt>
                <c:pt idx="1512">
                  <c:v>-3072319.22016</c:v>
                </c:pt>
                <c:pt idx="1513">
                  <c:v>-3071235.230315</c:v>
                </c:pt>
                <c:pt idx="1514">
                  <c:v>-3070151.49548</c:v>
                </c:pt>
                <c:pt idx="1515">
                  <c:v>-3069068.015625</c:v>
                </c:pt>
                <c:pt idx="1516">
                  <c:v>-3067984.79072</c:v>
                </c:pt>
                <c:pt idx="1517">
                  <c:v>-3066901.820735</c:v>
                </c:pt>
                <c:pt idx="1518">
                  <c:v>-3065819.10564</c:v>
                </c:pt>
                <c:pt idx="1519">
                  <c:v>-3064736.645405</c:v>
                </c:pt>
                <c:pt idx="1520">
                  <c:v>-3063654.44</c:v>
                </c:pt>
                <c:pt idx="1521">
                  <c:v>-3062572.489395</c:v>
                </c:pt>
                <c:pt idx="1522">
                  <c:v>-3061490.79356</c:v>
                </c:pt>
                <c:pt idx="1523">
                  <c:v>-3060409.352465</c:v>
                </c:pt>
                <c:pt idx="1524">
                  <c:v>-3059328.16608</c:v>
                </c:pt>
                <c:pt idx="1525">
                  <c:v>-3058247.234375</c:v>
                </c:pt>
                <c:pt idx="1526">
                  <c:v>-3057166.55732</c:v>
                </c:pt>
                <c:pt idx="1527">
                  <c:v>-3056086.134885</c:v>
                </c:pt>
                <c:pt idx="1528">
                  <c:v>-3055005.96704</c:v>
                </c:pt>
                <c:pt idx="1529">
                  <c:v>-3053926.0537550002</c:v>
                </c:pt>
                <c:pt idx="1530">
                  <c:v>-3052846.395</c:v>
                </c:pt>
                <c:pt idx="1531">
                  <c:v>-3051766.990745</c:v>
                </c:pt>
                <c:pt idx="1532">
                  <c:v>-3050687.84096</c:v>
                </c:pt>
                <c:pt idx="1533">
                  <c:v>-3049608.945615</c:v>
                </c:pt>
                <c:pt idx="1534">
                  <c:v>-3048530.30468</c:v>
                </c:pt>
                <c:pt idx="1535">
                  <c:v>-3047451.918125</c:v>
                </c:pt>
                <c:pt idx="1536">
                  <c:v>-3046373.78592</c:v>
                </c:pt>
                <c:pt idx="1537">
                  <c:v>-3045295.9080350003</c:v>
                </c:pt>
                <c:pt idx="1538">
                  <c:v>-3044218.28444</c:v>
                </c:pt>
                <c:pt idx="1539">
                  <c:v>-3043140.915105</c:v>
                </c:pt>
                <c:pt idx="1540">
                  <c:v>-3042063.8000000003</c:v>
                </c:pt>
                <c:pt idx="1541">
                  <c:v>-3040986.939095</c:v>
                </c:pt>
                <c:pt idx="1542">
                  <c:v>-3039910.3323600003</c:v>
                </c:pt>
                <c:pt idx="1543">
                  <c:v>-3038833.979765</c:v>
                </c:pt>
                <c:pt idx="1544">
                  <c:v>-3037757.88128</c:v>
                </c:pt>
                <c:pt idx="1545">
                  <c:v>-3036682.0368749998</c:v>
                </c:pt>
                <c:pt idx="1546">
                  <c:v>-3035606.4465199998</c:v>
                </c:pt>
                <c:pt idx="1547">
                  <c:v>-3034531.1101849996</c:v>
                </c:pt>
                <c:pt idx="1548">
                  <c:v>-3033456.0278399996</c:v>
                </c:pt>
                <c:pt idx="1549">
                  <c:v>-3032381.199455</c:v>
                </c:pt>
                <c:pt idx="1550">
                  <c:v>-3031306.625</c:v>
                </c:pt>
                <c:pt idx="1551">
                  <c:v>-3030232.3044450004</c:v>
                </c:pt>
                <c:pt idx="1552">
                  <c:v>-3029158.23776</c:v>
                </c:pt>
                <c:pt idx="1553">
                  <c:v>-3028084.424915</c:v>
                </c:pt>
                <c:pt idx="1554">
                  <c:v>-3027010.8658800004</c:v>
                </c:pt>
                <c:pt idx="1555">
                  <c:v>-3025937.560625</c:v>
                </c:pt>
                <c:pt idx="1556">
                  <c:v>-3024864.50912</c:v>
                </c:pt>
                <c:pt idx="1557">
                  <c:v>-3023791.7113349997</c:v>
                </c:pt>
                <c:pt idx="1558">
                  <c:v>-3022719.16724</c:v>
                </c:pt>
                <c:pt idx="1559">
                  <c:v>-3021646.876805</c:v>
                </c:pt>
                <c:pt idx="1560">
                  <c:v>-3020574.84</c:v>
                </c:pt>
                <c:pt idx="1561">
                  <c:v>-3019503.056795</c:v>
                </c:pt>
                <c:pt idx="1562">
                  <c:v>-3018431.52716</c:v>
                </c:pt>
                <c:pt idx="1563">
                  <c:v>-3017360.251065</c:v>
                </c:pt>
                <c:pt idx="1564">
                  <c:v>-3016289.2284799996</c:v>
                </c:pt>
                <c:pt idx="1565">
                  <c:v>-3015218.459375</c:v>
                </c:pt>
                <c:pt idx="1566">
                  <c:v>-3014147.94372</c:v>
                </c:pt>
                <c:pt idx="1567">
                  <c:v>-3013077.681485</c:v>
                </c:pt>
                <c:pt idx="1568">
                  <c:v>-3012007.67264</c:v>
                </c:pt>
                <c:pt idx="1569">
                  <c:v>-3010937.917155</c:v>
                </c:pt>
                <c:pt idx="1570">
                  <c:v>-3009868.415</c:v>
                </c:pt>
                <c:pt idx="1571">
                  <c:v>-3008799.166145</c:v>
                </c:pt>
                <c:pt idx="1572">
                  <c:v>-3007730.17056</c:v>
                </c:pt>
                <c:pt idx="1573">
                  <c:v>-3006661.428215</c:v>
                </c:pt>
                <c:pt idx="1574">
                  <c:v>-3005592.93908</c:v>
                </c:pt>
                <c:pt idx="1575">
                  <c:v>-3004524.703125</c:v>
                </c:pt>
                <c:pt idx="1576">
                  <c:v>-3003456.72032</c:v>
                </c:pt>
                <c:pt idx="1577">
                  <c:v>-3002388.990635</c:v>
                </c:pt>
                <c:pt idx="1578">
                  <c:v>-3001321.51404</c:v>
                </c:pt>
                <c:pt idx="1579">
                  <c:v>-3000254.290505</c:v>
                </c:pt>
                <c:pt idx="1580">
                  <c:v>-2999187.32</c:v>
                </c:pt>
                <c:pt idx="1581">
                  <c:v>-2998120.602495</c:v>
                </c:pt>
                <c:pt idx="1582">
                  <c:v>-2997054.13796</c:v>
                </c:pt>
                <c:pt idx="1583">
                  <c:v>-2995987.926365</c:v>
                </c:pt>
                <c:pt idx="1584">
                  <c:v>-2994921.96768</c:v>
                </c:pt>
                <c:pt idx="1585">
                  <c:v>-2993856.261875</c:v>
                </c:pt>
                <c:pt idx="1586">
                  <c:v>-2992790.80892</c:v>
                </c:pt>
                <c:pt idx="1587">
                  <c:v>-2991725.608785</c:v>
                </c:pt>
                <c:pt idx="1588">
                  <c:v>-2990660.6614400004</c:v>
                </c:pt>
                <c:pt idx="1589">
                  <c:v>-2989595.9668550002</c:v>
                </c:pt>
                <c:pt idx="1590">
                  <c:v>-2988531.525</c:v>
                </c:pt>
                <c:pt idx="1591">
                  <c:v>-2987467.335845</c:v>
                </c:pt>
                <c:pt idx="1592">
                  <c:v>-2986403.3993599997</c:v>
                </c:pt>
                <c:pt idx="1593">
                  <c:v>-2985339.7155150003</c:v>
                </c:pt>
                <c:pt idx="1594">
                  <c:v>-2984276.2842800003</c:v>
                </c:pt>
                <c:pt idx="1595">
                  <c:v>-2983213.105625</c:v>
                </c:pt>
                <c:pt idx="1596">
                  <c:v>-2982150.1795200002</c:v>
                </c:pt>
                <c:pt idx="1597">
                  <c:v>-2981087.505935</c:v>
                </c:pt>
                <c:pt idx="1598">
                  <c:v>-2980025.0848399997</c:v>
                </c:pt>
                <c:pt idx="1599">
                  <c:v>-2978962.916205</c:v>
                </c:pt>
                <c:pt idx="1600">
                  <c:v>-2977901.0</c:v>
                </c:pt>
                <c:pt idx="1601">
                  <c:v>-2976839.336195</c:v>
                </c:pt>
                <c:pt idx="1602">
                  <c:v>-2975777.9247600003</c:v>
                </c:pt>
                <c:pt idx="1603">
                  <c:v>-2974716.7656650003</c:v>
                </c:pt>
                <c:pt idx="1604">
                  <c:v>-2973655.85888</c:v>
                </c:pt>
                <c:pt idx="1605">
                  <c:v>-2972595.204375</c:v>
                </c:pt>
                <c:pt idx="1606">
                  <c:v>-2971534.80212</c:v>
                </c:pt>
                <c:pt idx="1607">
                  <c:v>-2970474.652085</c:v>
                </c:pt>
                <c:pt idx="1608">
                  <c:v>-2969414.7542399997</c:v>
                </c:pt>
                <c:pt idx="1609">
                  <c:v>-2968355.108555</c:v>
                </c:pt>
                <c:pt idx="1610">
                  <c:v>-2967295.7150000003</c:v>
                </c:pt>
                <c:pt idx="1611">
                  <c:v>-2966236.573545</c:v>
                </c:pt>
                <c:pt idx="1612">
                  <c:v>-2965177.6841599997</c:v>
                </c:pt>
                <c:pt idx="1613">
                  <c:v>-2964119.046815</c:v>
                </c:pt>
                <c:pt idx="1614">
                  <c:v>-2963060.66148</c:v>
                </c:pt>
                <c:pt idx="1615">
                  <c:v>-2962002.5281249997</c:v>
                </c:pt>
                <c:pt idx="1616">
                  <c:v>-2960944.64672</c:v>
                </c:pt>
                <c:pt idx="1617">
                  <c:v>-2959887.0172349997</c:v>
                </c:pt>
                <c:pt idx="1618">
                  <c:v>-2958829.63964</c:v>
                </c:pt>
                <c:pt idx="1619">
                  <c:v>-2957772.513905</c:v>
                </c:pt>
                <c:pt idx="1620">
                  <c:v>-2956715.6399999997</c:v>
                </c:pt>
                <c:pt idx="1621">
                  <c:v>-2955659.017895</c:v>
                </c:pt>
                <c:pt idx="1622">
                  <c:v>-2954602.64756</c:v>
                </c:pt>
                <c:pt idx="1623">
                  <c:v>-2953546.528965</c:v>
                </c:pt>
                <c:pt idx="1624">
                  <c:v>-2952490.6620799997</c:v>
                </c:pt>
                <c:pt idx="1625">
                  <c:v>-2951435.046875</c:v>
                </c:pt>
                <c:pt idx="1626">
                  <c:v>-2950379.68332</c:v>
                </c:pt>
                <c:pt idx="1627">
                  <c:v>-2949324.571385</c:v>
                </c:pt>
                <c:pt idx="1628">
                  <c:v>-2948269.71104</c:v>
                </c:pt>
                <c:pt idx="1629">
                  <c:v>-2947215.1022550003</c:v>
                </c:pt>
                <c:pt idx="1630">
                  <c:v>-2946160.745</c:v>
                </c:pt>
                <c:pt idx="1631">
                  <c:v>-2945106.639245</c:v>
                </c:pt>
                <c:pt idx="1632">
                  <c:v>-2944052.78496</c:v>
                </c:pt>
                <c:pt idx="1633">
                  <c:v>-2942999.1821149997</c:v>
                </c:pt>
                <c:pt idx="1634">
                  <c:v>-2941945.83068</c:v>
                </c:pt>
                <c:pt idx="1635">
                  <c:v>-2940892.730625</c:v>
                </c:pt>
                <c:pt idx="1636">
                  <c:v>-2939839.8819199996</c:v>
                </c:pt>
                <c:pt idx="1637">
                  <c:v>-2938787.2845349996</c:v>
                </c:pt>
                <c:pt idx="1638">
                  <c:v>-2937734.9384399997</c:v>
                </c:pt>
                <c:pt idx="1639">
                  <c:v>-2936682.843605</c:v>
                </c:pt>
                <c:pt idx="1640">
                  <c:v>-2935631.0</c:v>
                </c:pt>
                <c:pt idx="1641">
                  <c:v>-2934579.4075949998</c:v>
                </c:pt>
                <c:pt idx="1642">
                  <c:v>-2933528.06636</c:v>
                </c:pt>
                <c:pt idx="1643">
                  <c:v>-2932476.9762649997</c:v>
                </c:pt>
                <c:pt idx="1644">
                  <c:v>-2931426.13728</c:v>
                </c:pt>
                <c:pt idx="1645">
                  <c:v>-2930375.549375</c:v>
                </c:pt>
                <c:pt idx="1646">
                  <c:v>-2929325.21252</c:v>
                </c:pt>
                <c:pt idx="1647">
                  <c:v>-2928275.126685</c:v>
                </c:pt>
                <c:pt idx="1648">
                  <c:v>-2927225.29184</c:v>
                </c:pt>
                <c:pt idx="1649">
                  <c:v>-2926175.707955</c:v>
                </c:pt>
                <c:pt idx="1650">
                  <c:v>-2925126.375</c:v>
                </c:pt>
                <c:pt idx="1651">
                  <c:v>-2924077.2929450003</c:v>
                </c:pt>
                <c:pt idx="1652">
                  <c:v>-2923028.46176</c:v>
                </c:pt>
                <c:pt idx="1653">
                  <c:v>-2921979.881415</c:v>
                </c:pt>
                <c:pt idx="1654">
                  <c:v>-2920931.55188</c:v>
                </c:pt>
                <c:pt idx="1655">
                  <c:v>-2919883.473125</c:v>
                </c:pt>
                <c:pt idx="1656">
                  <c:v>-2918835.64512</c:v>
                </c:pt>
                <c:pt idx="1657">
                  <c:v>-2917788.067835</c:v>
                </c:pt>
                <c:pt idx="1658">
                  <c:v>-2916740.7412400004</c:v>
                </c:pt>
                <c:pt idx="1659">
                  <c:v>-2915693.6653050003</c:v>
                </c:pt>
                <c:pt idx="1660">
                  <c:v>-2914646.84</c:v>
                </c:pt>
                <c:pt idx="1661">
                  <c:v>-2913600.265295</c:v>
                </c:pt>
                <c:pt idx="1662">
                  <c:v>-2912553.94116</c:v>
                </c:pt>
                <c:pt idx="1663">
                  <c:v>-2911507.867565</c:v>
                </c:pt>
                <c:pt idx="1664">
                  <c:v>-2910462.04448</c:v>
                </c:pt>
                <c:pt idx="1665">
                  <c:v>-2909416.4718750003</c:v>
                </c:pt>
                <c:pt idx="1666">
                  <c:v>-2908371.14972</c:v>
                </c:pt>
                <c:pt idx="1667">
                  <c:v>-2907326.077985</c:v>
                </c:pt>
                <c:pt idx="1668">
                  <c:v>-2906281.2566400003</c:v>
                </c:pt>
                <c:pt idx="1669">
                  <c:v>-2905236.6856549997</c:v>
                </c:pt>
                <c:pt idx="1670">
                  <c:v>-2904192.3649999998</c:v>
                </c:pt>
                <c:pt idx="1671">
                  <c:v>-2903148.2946450002</c:v>
                </c:pt>
                <c:pt idx="1672">
                  <c:v>-2902104.47456</c:v>
                </c:pt>
                <c:pt idx="1673">
                  <c:v>-2901060.9047149997</c:v>
                </c:pt>
                <c:pt idx="1674">
                  <c:v>-2900017.5850799996</c:v>
                </c:pt>
                <c:pt idx="1675">
                  <c:v>-2898974.515625</c:v>
                </c:pt>
                <c:pt idx="1676">
                  <c:v>-2897931.69632</c:v>
                </c:pt>
                <c:pt idx="1677">
                  <c:v>-2896889.127135</c:v>
                </c:pt>
                <c:pt idx="1678">
                  <c:v>-2895846.80804</c:v>
                </c:pt>
                <c:pt idx="1679">
                  <c:v>-2894804.739005</c:v>
                </c:pt>
                <c:pt idx="1680">
                  <c:v>-2893762.92</c:v>
                </c:pt>
                <c:pt idx="1681">
                  <c:v>-2892721.350995</c:v>
                </c:pt>
                <c:pt idx="1682">
                  <c:v>-2891680.0319600003</c:v>
                </c:pt>
                <c:pt idx="1683">
                  <c:v>-2890638.962865</c:v>
                </c:pt>
                <c:pt idx="1684">
                  <c:v>-2889598.1436799997</c:v>
                </c:pt>
                <c:pt idx="1685">
                  <c:v>-2888557.574375</c:v>
                </c:pt>
                <c:pt idx="1686">
                  <c:v>-2887517.25492</c:v>
                </c:pt>
                <c:pt idx="1687">
                  <c:v>-2886477.185285</c:v>
                </c:pt>
                <c:pt idx="1688">
                  <c:v>-2885437.3654400003</c:v>
                </c:pt>
                <c:pt idx="1689">
                  <c:v>-2884397.795355</c:v>
                </c:pt>
                <c:pt idx="1690">
                  <c:v>-2883358.475</c:v>
                </c:pt>
                <c:pt idx="1691">
                  <c:v>-2882319.404345</c:v>
                </c:pt>
                <c:pt idx="1692">
                  <c:v>-2881280.58336</c:v>
                </c:pt>
                <c:pt idx="1693">
                  <c:v>-2880242.012015</c:v>
                </c:pt>
                <c:pt idx="1694">
                  <c:v>-2879203.6902799997</c:v>
                </c:pt>
                <c:pt idx="1695">
                  <c:v>-2878165.618125</c:v>
                </c:pt>
                <c:pt idx="1696">
                  <c:v>-2877127.79552</c:v>
                </c:pt>
                <c:pt idx="1697">
                  <c:v>-2876090.222435</c:v>
                </c:pt>
                <c:pt idx="1698">
                  <c:v>-2875052.89884</c:v>
                </c:pt>
                <c:pt idx="1699">
                  <c:v>-2874015.824705</c:v>
                </c:pt>
                <c:pt idx="1700">
                  <c:v>-2872979.0</c:v>
                </c:pt>
                <c:pt idx="1701">
                  <c:v>-2871942.424695</c:v>
                </c:pt>
                <c:pt idx="1702">
                  <c:v>-2870906.09876</c:v>
                </c:pt>
                <c:pt idx="1703">
                  <c:v>-2869870.022165</c:v>
                </c:pt>
                <c:pt idx="1704">
                  <c:v>-2868834.19488</c:v>
                </c:pt>
                <c:pt idx="1705">
                  <c:v>-2867798.616875</c:v>
                </c:pt>
                <c:pt idx="1706">
                  <c:v>-2866763.2881199997</c:v>
                </c:pt>
                <c:pt idx="1707">
                  <c:v>-2865728.2085849997</c:v>
                </c:pt>
                <c:pt idx="1708">
                  <c:v>-2864693.37824</c:v>
                </c:pt>
                <c:pt idx="1709">
                  <c:v>-2863658.797055</c:v>
                </c:pt>
                <c:pt idx="1710">
                  <c:v>-2862624.465</c:v>
                </c:pt>
                <c:pt idx="1711">
                  <c:v>-2861590.3820450003</c:v>
                </c:pt>
                <c:pt idx="1712">
                  <c:v>-2860556.54816</c:v>
                </c:pt>
                <c:pt idx="1713">
                  <c:v>-2859522.963315</c:v>
                </c:pt>
                <c:pt idx="1714">
                  <c:v>-2858489.62748</c:v>
                </c:pt>
                <c:pt idx="1715">
                  <c:v>-2857456.540625</c:v>
                </c:pt>
                <c:pt idx="1716">
                  <c:v>-2856423.70272</c:v>
                </c:pt>
                <c:pt idx="1717">
                  <c:v>-2855391.113735</c:v>
                </c:pt>
                <c:pt idx="1718">
                  <c:v>-2854358.7736400003</c:v>
                </c:pt>
                <c:pt idx="1719">
                  <c:v>-2853326.682405</c:v>
                </c:pt>
                <c:pt idx="1720">
                  <c:v>-2852294.84</c:v>
                </c:pt>
                <c:pt idx="1721">
                  <c:v>-2851263.246395</c:v>
                </c:pt>
                <c:pt idx="1722">
                  <c:v>-2850231.90156</c:v>
                </c:pt>
                <c:pt idx="1723">
                  <c:v>-2849200.8054649998</c:v>
                </c:pt>
                <c:pt idx="1724">
                  <c:v>-2848169.95808</c:v>
                </c:pt>
                <c:pt idx="1725">
                  <c:v>-2847139.359375</c:v>
                </c:pt>
                <c:pt idx="1726">
                  <c:v>-2846109.0093199997</c:v>
                </c:pt>
                <c:pt idx="1727">
                  <c:v>-2845078.907885</c:v>
                </c:pt>
                <c:pt idx="1728">
                  <c:v>-2844049.05504</c:v>
                </c:pt>
                <c:pt idx="1729">
                  <c:v>-2843019.450755</c:v>
                </c:pt>
                <c:pt idx="1730">
                  <c:v>-2841990.095</c:v>
                </c:pt>
                <c:pt idx="1731">
                  <c:v>-2840960.9877449996</c:v>
                </c:pt>
                <c:pt idx="1732">
                  <c:v>-2839932.12896</c:v>
                </c:pt>
                <c:pt idx="1733">
                  <c:v>-2838903.518615</c:v>
                </c:pt>
                <c:pt idx="1734">
                  <c:v>-2837875.15668</c:v>
                </c:pt>
                <c:pt idx="1735">
                  <c:v>-2836847.0431250003</c:v>
                </c:pt>
                <c:pt idx="1736">
                  <c:v>-2835819.1779199997</c:v>
                </c:pt>
                <c:pt idx="1737">
                  <c:v>-2834791.561035</c:v>
                </c:pt>
                <c:pt idx="1738">
                  <c:v>-2833764.19244</c:v>
                </c:pt>
                <c:pt idx="1739">
                  <c:v>-2832737.072105</c:v>
                </c:pt>
                <c:pt idx="1740">
                  <c:v>-2831710.1999999997</c:v>
                </c:pt>
                <c:pt idx="1741">
                  <c:v>-2830683.5760950004</c:v>
                </c:pt>
                <c:pt idx="1742">
                  <c:v>-2829657.2003599997</c:v>
                </c:pt>
                <c:pt idx="1743">
                  <c:v>-2828631.072765</c:v>
                </c:pt>
                <c:pt idx="1744">
                  <c:v>-2827605.1932800002</c:v>
                </c:pt>
                <c:pt idx="1745">
                  <c:v>-2826579.5618749997</c:v>
                </c:pt>
                <c:pt idx="1746">
                  <c:v>-2825554.1785199996</c:v>
                </c:pt>
                <c:pt idx="1747">
                  <c:v>-2824529.043185</c:v>
                </c:pt>
                <c:pt idx="1748">
                  <c:v>-2823504.15584</c:v>
                </c:pt>
                <c:pt idx="1749">
                  <c:v>-2822479.5164550003</c:v>
                </c:pt>
                <c:pt idx="1750">
                  <c:v>-2821455.125</c:v>
                </c:pt>
                <c:pt idx="1751">
                  <c:v>-2820430.981445</c:v>
                </c:pt>
                <c:pt idx="1752">
                  <c:v>-2819407.08576</c:v>
                </c:pt>
                <c:pt idx="1753">
                  <c:v>-2818383.437915</c:v>
                </c:pt>
                <c:pt idx="1754">
                  <c:v>-2817360.0378799997</c:v>
                </c:pt>
                <c:pt idx="1755">
                  <c:v>-2816336.885625</c:v>
                </c:pt>
                <c:pt idx="1756">
                  <c:v>-2815313.98112</c:v>
                </c:pt>
                <c:pt idx="1757">
                  <c:v>-2814291.324335</c:v>
                </c:pt>
                <c:pt idx="1758">
                  <c:v>-2813268.91524</c:v>
                </c:pt>
                <c:pt idx="1759">
                  <c:v>-2812246.753805</c:v>
                </c:pt>
                <c:pt idx="1760">
                  <c:v>-2811224.84</c:v>
                </c:pt>
                <c:pt idx="1761">
                  <c:v>-2810203.173795</c:v>
                </c:pt>
                <c:pt idx="1762">
                  <c:v>-2809181.75516</c:v>
                </c:pt>
                <c:pt idx="1763">
                  <c:v>-2808160.584065</c:v>
                </c:pt>
                <c:pt idx="1764">
                  <c:v>-2807139.66048</c:v>
                </c:pt>
                <c:pt idx="1765">
                  <c:v>-2806118.984375</c:v>
                </c:pt>
                <c:pt idx="1766">
                  <c:v>-2805098.55572</c:v>
                </c:pt>
                <c:pt idx="1767">
                  <c:v>-2804078.374485</c:v>
                </c:pt>
                <c:pt idx="1768">
                  <c:v>-2803058.4406399997</c:v>
                </c:pt>
                <c:pt idx="1769">
                  <c:v>-2802038.754155</c:v>
                </c:pt>
                <c:pt idx="1770">
                  <c:v>-2801019.315</c:v>
                </c:pt>
                <c:pt idx="1771">
                  <c:v>-2800000.123145</c:v>
                </c:pt>
                <c:pt idx="1772">
                  <c:v>-2798981.17856</c:v>
                </c:pt>
                <c:pt idx="1773">
                  <c:v>-2797962.481215</c:v>
                </c:pt>
                <c:pt idx="1774">
                  <c:v>-2796944.03108</c:v>
                </c:pt>
                <c:pt idx="1775">
                  <c:v>-2795925.828125</c:v>
                </c:pt>
                <c:pt idx="1776">
                  <c:v>-2794907.87232</c:v>
                </c:pt>
                <c:pt idx="1777">
                  <c:v>-2793890.163635</c:v>
                </c:pt>
                <c:pt idx="1778">
                  <c:v>-2792872.70204</c:v>
                </c:pt>
                <c:pt idx="1779">
                  <c:v>-2791855.4875049996</c:v>
                </c:pt>
                <c:pt idx="1780">
                  <c:v>-2790838.52</c:v>
                </c:pt>
                <c:pt idx="1781">
                  <c:v>-2789821.799495</c:v>
                </c:pt>
                <c:pt idx="1782">
                  <c:v>-2788805.32596</c:v>
                </c:pt>
                <c:pt idx="1783">
                  <c:v>-2787789.0993649997</c:v>
                </c:pt>
                <c:pt idx="1784">
                  <c:v>-2786773.11968</c:v>
                </c:pt>
                <c:pt idx="1785">
                  <c:v>-2785757.386875</c:v>
                </c:pt>
                <c:pt idx="1786">
                  <c:v>-2784741.90092</c:v>
                </c:pt>
                <c:pt idx="1787">
                  <c:v>-2783726.661785</c:v>
                </c:pt>
                <c:pt idx="1788">
                  <c:v>-2782711.6694400003</c:v>
                </c:pt>
                <c:pt idx="1789">
                  <c:v>-2781696.923855</c:v>
                </c:pt>
                <c:pt idx="1790">
                  <c:v>-2780682.4250000003</c:v>
                </c:pt>
                <c:pt idx="1791">
                  <c:v>-2779668.172845</c:v>
                </c:pt>
                <c:pt idx="1792">
                  <c:v>-2778654.16736</c:v>
                </c:pt>
                <c:pt idx="1793">
                  <c:v>-2777640.4085150003</c:v>
                </c:pt>
                <c:pt idx="1794">
                  <c:v>-2776626.89628</c:v>
                </c:pt>
                <c:pt idx="1795">
                  <c:v>-2775613.6306249998</c:v>
                </c:pt>
                <c:pt idx="1796">
                  <c:v>-2774600.61152</c:v>
                </c:pt>
                <c:pt idx="1797">
                  <c:v>-2773587.838935</c:v>
                </c:pt>
                <c:pt idx="1798">
                  <c:v>-2772575.31284</c:v>
                </c:pt>
                <c:pt idx="1799">
                  <c:v>-2771563.033205</c:v>
                </c:pt>
                <c:pt idx="1800">
                  <c:v>-2770551.0</c:v>
                </c:pt>
                <c:pt idx="1801">
                  <c:v>-2769539.2131950003</c:v>
                </c:pt>
                <c:pt idx="1802">
                  <c:v>-2768527.67276</c:v>
                </c:pt>
                <c:pt idx="1803">
                  <c:v>-2767516.378665</c:v>
                </c:pt>
                <c:pt idx="1804">
                  <c:v>-2766505.33088</c:v>
                </c:pt>
                <c:pt idx="1805">
                  <c:v>-2765494.529375</c:v>
                </c:pt>
                <c:pt idx="1806">
                  <c:v>-2764483.97412</c:v>
                </c:pt>
                <c:pt idx="1807">
                  <c:v>-2763473.665085</c:v>
                </c:pt>
                <c:pt idx="1808">
                  <c:v>-2762463.60224</c:v>
                </c:pt>
                <c:pt idx="1809">
                  <c:v>-2761453.7855550004</c:v>
                </c:pt>
                <c:pt idx="1810">
                  <c:v>-2760444.215</c:v>
                </c:pt>
                <c:pt idx="1811">
                  <c:v>-2759434.890545</c:v>
                </c:pt>
                <c:pt idx="1812">
                  <c:v>-2758425.8121599997</c:v>
                </c:pt>
                <c:pt idx="1813">
                  <c:v>-2757416.9798149997</c:v>
                </c:pt>
                <c:pt idx="1814">
                  <c:v>-2756408.39348</c:v>
                </c:pt>
                <c:pt idx="1815">
                  <c:v>-2755400.053125</c:v>
                </c:pt>
                <c:pt idx="1816">
                  <c:v>-2754391.95872</c:v>
                </c:pt>
                <c:pt idx="1817">
                  <c:v>-2753384.110235</c:v>
                </c:pt>
                <c:pt idx="1818">
                  <c:v>-2752376.50764</c:v>
                </c:pt>
                <c:pt idx="1819">
                  <c:v>-2751369.1509049996</c:v>
                </c:pt>
                <c:pt idx="1820">
                  <c:v>-2750362.04</c:v>
                </c:pt>
                <c:pt idx="1821">
                  <c:v>-2749355.1748949997</c:v>
                </c:pt>
                <c:pt idx="1822">
                  <c:v>-2748348.55556</c:v>
                </c:pt>
                <c:pt idx="1823">
                  <c:v>-2747342.181965</c:v>
                </c:pt>
                <c:pt idx="1824">
                  <c:v>-2746336.0540799997</c:v>
                </c:pt>
                <c:pt idx="1825">
                  <c:v>-2745330.171875</c:v>
                </c:pt>
                <c:pt idx="1826">
                  <c:v>-2744324.53532</c:v>
                </c:pt>
                <c:pt idx="1827">
                  <c:v>-2743319.1443849998</c:v>
                </c:pt>
                <c:pt idx="1828">
                  <c:v>-2742313.99904</c:v>
                </c:pt>
                <c:pt idx="1829">
                  <c:v>-2741309.099255</c:v>
                </c:pt>
                <c:pt idx="1830">
                  <c:v>-2740304.445</c:v>
                </c:pt>
                <c:pt idx="1831">
                  <c:v>-2739300.036245</c:v>
                </c:pt>
                <c:pt idx="1832">
                  <c:v>-2738295.8729600003</c:v>
                </c:pt>
                <c:pt idx="1833">
                  <c:v>-2737291.9551150003</c:v>
                </c:pt>
                <c:pt idx="1834">
                  <c:v>-2736288.2826799997</c:v>
                </c:pt>
                <c:pt idx="1835">
                  <c:v>-2735284.855625</c:v>
                </c:pt>
                <c:pt idx="1836">
                  <c:v>-2734281.67392</c:v>
                </c:pt>
                <c:pt idx="1837">
                  <c:v>-2733278.737535</c:v>
                </c:pt>
                <c:pt idx="1838">
                  <c:v>-2732276.0464399997</c:v>
                </c:pt>
                <c:pt idx="1839">
                  <c:v>-2731273.6006050003</c:v>
                </c:pt>
                <c:pt idx="1840">
                  <c:v>-2730271.4</c:v>
                </c:pt>
                <c:pt idx="1841">
                  <c:v>-2729269.4445950002</c:v>
                </c:pt>
                <c:pt idx="1842">
                  <c:v>-2728267.73436</c:v>
                </c:pt>
                <c:pt idx="1843">
                  <c:v>-2727266.269265</c:v>
                </c:pt>
                <c:pt idx="1844">
                  <c:v>-2726265.04928</c:v>
                </c:pt>
                <c:pt idx="1845">
                  <c:v>-2725264.074375</c:v>
                </c:pt>
                <c:pt idx="1846">
                  <c:v>-2724263.34452</c:v>
                </c:pt>
                <c:pt idx="1847">
                  <c:v>-2723262.859685</c:v>
                </c:pt>
                <c:pt idx="1848">
                  <c:v>-2722262.61984</c:v>
                </c:pt>
                <c:pt idx="1849">
                  <c:v>-2721262.6249550004</c:v>
                </c:pt>
                <c:pt idx="1850">
                  <c:v>-2720262.875</c:v>
                </c:pt>
                <c:pt idx="1851">
                  <c:v>-2719263.369945</c:v>
                </c:pt>
                <c:pt idx="1852">
                  <c:v>-2718264.10976</c:v>
                </c:pt>
                <c:pt idx="1853">
                  <c:v>-2717265.094415</c:v>
                </c:pt>
                <c:pt idx="1854">
                  <c:v>-2716266.32388</c:v>
                </c:pt>
                <c:pt idx="1855">
                  <c:v>-2715267.798125</c:v>
                </c:pt>
                <c:pt idx="1856">
                  <c:v>-2714269.51712</c:v>
                </c:pt>
                <c:pt idx="1857">
                  <c:v>-2713271.480835</c:v>
                </c:pt>
                <c:pt idx="1858">
                  <c:v>-2712273.68924</c:v>
                </c:pt>
                <c:pt idx="1859">
                  <c:v>-2711276.142305</c:v>
                </c:pt>
                <c:pt idx="1860">
                  <c:v>-2710278.8400000003</c:v>
                </c:pt>
                <c:pt idx="1861">
                  <c:v>-2709281.7822950003</c:v>
                </c:pt>
                <c:pt idx="1862">
                  <c:v>-2708284.9691600003</c:v>
                </c:pt>
                <c:pt idx="1863">
                  <c:v>-2707288.400565</c:v>
                </c:pt>
                <c:pt idx="1864">
                  <c:v>-2706292.0764800003</c:v>
                </c:pt>
                <c:pt idx="1865">
                  <c:v>-2705295.9968749997</c:v>
                </c:pt>
                <c:pt idx="1866">
                  <c:v>-2704300.1617199997</c:v>
                </c:pt>
                <c:pt idx="1867">
                  <c:v>-2703304.570985</c:v>
                </c:pt>
                <c:pt idx="1868">
                  <c:v>-2702309.22464</c:v>
                </c:pt>
                <c:pt idx="1869">
                  <c:v>-2701314.122655</c:v>
                </c:pt>
                <c:pt idx="1870">
                  <c:v>-2700319.2649999997</c:v>
                </c:pt>
                <c:pt idx="1871">
                  <c:v>-2699324.651645</c:v>
                </c:pt>
                <c:pt idx="1872">
                  <c:v>-2698330.2825599997</c:v>
                </c:pt>
                <c:pt idx="1873">
                  <c:v>-2697336.157715</c:v>
                </c:pt>
                <c:pt idx="1874">
                  <c:v>-2696342.27708</c:v>
                </c:pt>
                <c:pt idx="1875">
                  <c:v>-2695348.640625</c:v>
                </c:pt>
                <c:pt idx="1876">
                  <c:v>-2694355.24832</c:v>
                </c:pt>
                <c:pt idx="1877">
                  <c:v>-2693362.100135</c:v>
                </c:pt>
                <c:pt idx="1878">
                  <c:v>-2692369.1960400003</c:v>
                </c:pt>
                <c:pt idx="1879">
                  <c:v>-2691376.536005</c:v>
                </c:pt>
                <c:pt idx="1880">
                  <c:v>-2690384.12</c:v>
                </c:pt>
                <c:pt idx="1881">
                  <c:v>-2689391.947995</c:v>
                </c:pt>
                <c:pt idx="1882">
                  <c:v>-2688400.01996</c:v>
                </c:pt>
                <c:pt idx="1883">
                  <c:v>-2687408.335865</c:v>
                </c:pt>
                <c:pt idx="1884">
                  <c:v>-2686416.89568</c:v>
                </c:pt>
                <c:pt idx="1885">
                  <c:v>-2685425.699375</c:v>
                </c:pt>
                <c:pt idx="1886">
                  <c:v>-2684434.7469200003</c:v>
                </c:pt>
                <c:pt idx="1887">
                  <c:v>-2683444.0382850002</c:v>
                </c:pt>
                <c:pt idx="1888">
                  <c:v>-2682453.57344</c:v>
                </c:pt>
                <c:pt idx="1889">
                  <c:v>-2681463.352355</c:v>
                </c:pt>
                <c:pt idx="1890">
                  <c:v>-2680473.375</c:v>
                </c:pt>
                <c:pt idx="1891">
                  <c:v>-2679483.6413450004</c:v>
                </c:pt>
                <c:pt idx="1892">
                  <c:v>-2678494.15136</c:v>
                </c:pt>
                <c:pt idx="1893">
                  <c:v>-2677504.905015</c:v>
                </c:pt>
                <c:pt idx="1894">
                  <c:v>-2676515.90228</c:v>
                </c:pt>
                <c:pt idx="1895">
                  <c:v>-2675527.143125</c:v>
                </c:pt>
                <c:pt idx="1896">
                  <c:v>-2674538.62752</c:v>
                </c:pt>
                <c:pt idx="1897">
                  <c:v>-2673550.3554350003</c:v>
                </c:pt>
                <c:pt idx="1898">
                  <c:v>-2672562.32684</c:v>
                </c:pt>
                <c:pt idx="1899">
                  <c:v>-2671574.541705</c:v>
                </c:pt>
                <c:pt idx="1900">
                  <c:v>-2670587.0</c:v>
                </c:pt>
                <c:pt idx="1901">
                  <c:v>-2669599.7016950003</c:v>
                </c:pt>
                <c:pt idx="1902">
                  <c:v>-2668612.64676</c:v>
                </c:pt>
                <c:pt idx="1903">
                  <c:v>-2667625.835165</c:v>
                </c:pt>
                <c:pt idx="1904">
                  <c:v>-2666639.26688</c:v>
                </c:pt>
                <c:pt idx="1905">
                  <c:v>-2665652.941875</c:v>
                </c:pt>
                <c:pt idx="1906">
                  <c:v>-2664666.86012</c:v>
                </c:pt>
                <c:pt idx="1907">
                  <c:v>-2663681.0215849997</c:v>
                </c:pt>
                <c:pt idx="1908">
                  <c:v>-2662695.42624</c:v>
                </c:pt>
                <c:pt idx="1909">
                  <c:v>-2661710.0740549997</c:v>
                </c:pt>
                <c:pt idx="1910">
                  <c:v>-2660724.965</c:v>
                </c:pt>
                <c:pt idx="1911">
                  <c:v>-2659740.099045</c:v>
                </c:pt>
                <c:pt idx="1912">
                  <c:v>-2658755.47616</c:v>
                </c:pt>
                <c:pt idx="1913">
                  <c:v>-2657771.0963149997</c:v>
                </c:pt>
                <c:pt idx="1914">
                  <c:v>-2656786.9594799997</c:v>
                </c:pt>
                <c:pt idx="1915">
                  <c:v>-2655803.0656250003</c:v>
                </c:pt>
                <c:pt idx="1916">
                  <c:v>-2654819.4147200002</c:v>
                </c:pt>
                <c:pt idx="1917">
                  <c:v>-2653836.006735</c:v>
                </c:pt>
                <c:pt idx="1918">
                  <c:v>-2652852.8416399998</c:v>
                </c:pt>
                <c:pt idx="1919">
                  <c:v>-2651869.919405</c:v>
                </c:pt>
                <c:pt idx="1920">
                  <c:v>-2650887.2399999998</c:v>
                </c:pt>
                <c:pt idx="1921">
                  <c:v>-2649904.8033950003</c:v>
                </c:pt>
                <c:pt idx="1922">
                  <c:v>-2648922.60956</c:v>
                </c:pt>
                <c:pt idx="1923">
                  <c:v>-2647940.658465</c:v>
                </c:pt>
                <c:pt idx="1924">
                  <c:v>-2646958.95008</c:v>
                </c:pt>
                <c:pt idx="1925">
                  <c:v>-2645977.484375</c:v>
                </c:pt>
                <c:pt idx="1926">
                  <c:v>-2644996.26132</c:v>
                </c:pt>
                <c:pt idx="1927">
                  <c:v>-2644015.280885</c:v>
                </c:pt>
                <c:pt idx="1928">
                  <c:v>-2643034.54304</c:v>
                </c:pt>
                <c:pt idx="1929">
                  <c:v>-2642054.047755</c:v>
                </c:pt>
                <c:pt idx="1930">
                  <c:v>-2641073.795</c:v>
                </c:pt>
                <c:pt idx="1931">
                  <c:v>-2640093.784745</c:v>
                </c:pt>
                <c:pt idx="1932">
                  <c:v>-2639114.01696</c:v>
                </c:pt>
                <c:pt idx="1933">
                  <c:v>-2638134.4916149997</c:v>
                </c:pt>
                <c:pt idx="1934">
                  <c:v>-2637155.20868</c:v>
                </c:pt>
                <c:pt idx="1935">
                  <c:v>-2636176.168125</c:v>
                </c:pt>
                <c:pt idx="1936">
                  <c:v>-2635197.36992</c:v>
                </c:pt>
                <c:pt idx="1937">
                  <c:v>-2634218.814035</c:v>
                </c:pt>
                <c:pt idx="1938">
                  <c:v>-2633240.50044</c:v>
                </c:pt>
                <c:pt idx="1939">
                  <c:v>-2632262.429105</c:v>
                </c:pt>
                <c:pt idx="1940">
                  <c:v>-2631284.6</c:v>
                </c:pt>
                <c:pt idx="1941">
                  <c:v>-2630307.013095</c:v>
                </c:pt>
                <c:pt idx="1942">
                  <c:v>-2629329.66836</c:v>
                </c:pt>
                <c:pt idx="1943">
                  <c:v>-2628352.565765</c:v>
                </c:pt>
                <c:pt idx="1944">
                  <c:v>-2627375.70528</c:v>
                </c:pt>
                <c:pt idx="1945">
                  <c:v>-2626399.086875</c:v>
                </c:pt>
                <c:pt idx="1946">
                  <c:v>-2625422.71052</c:v>
                </c:pt>
                <c:pt idx="1947">
                  <c:v>-2624446.576185</c:v>
                </c:pt>
                <c:pt idx="1948">
                  <c:v>-2623470.68384</c:v>
                </c:pt>
                <c:pt idx="1949">
                  <c:v>-2622495.0334550003</c:v>
                </c:pt>
                <c:pt idx="1950">
                  <c:v>-2621519.625</c:v>
                </c:pt>
                <c:pt idx="1951">
                  <c:v>-2620544.458445</c:v>
                </c:pt>
                <c:pt idx="1952">
                  <c:v>-2619569.53376</c:v>
                </c:pt>
                <c:pt idx="1953">
                  <c:v>-2618594.850915</c:v>
                </c:pt>
                <c:pt idx="1954">
                  <c:v>-2617620.40988</c:v>
                </c:pt>
                <c:pt idx="1955">
                  <c:v>-2616646.210625</c:v>
                </c:pt>
                <c:pt idx="1956">
                  <c:v>-2615672.25312</c:v>
                </c:pt>
                <c:pt idx="1957">
                  <c:v>-2614698.537335</c:v>
                </c:pt>
                <c:pt idx="1958">
                  <c:v>-2613725.0632399996</c:v>
                </c:pt>
                <c:pt idx="1959">
                  <c:v>-2612751.8308050004</c:v>
                </c:pt>
                <c:pt idx="1960">
                  <c:v>-2611778.84</c:v>
                </c:pt>
                <c:pt idx="1961">
                  <c:v>-2610806.090795</c:v>
                </c:pt>
                <c:pt idx="1962">
                  <c:v>-2609833.5831600004</c:v>
                </c:pt>
                <c:pt idx="1963">
                  <c:v>-2608861.317065</c:v>
                </c:pt>
                <c:pt idx="1964">
                  <c:v>-2607889.29248</c:v>
                </c:pt>
                <c:pt idx="1965">
                  <c:v>-2606917.509375</c:v>
                </c:pt>
                <c:pt idx="1966">
                  <c:v>-2605945.9677199996</c:v>
                </c:pt>
                <c:pt idx="1967">
                  <c:v>-2604974.667485</c:v>
                </c:pt>
                <c:pt idx="1968">
                  <c:v>-2604003.6086399998</c:v>
                </c:pt>
                <c:pt idx="1969">
                  <c:v>-2603032.791155</c:v>
                </c:pt>
                <c:pt idx="1970">
                  <c:v>-2602062.215</c:v>
                </c:pt>
                <c:pt idx="1971">
                  <c:v>-2601091.8801450003</c:v>
                </c:pt>
                <c:pt idx="1972">
                  <c:v>-2600121.78656</c:v>
                </c:pt>
                <c:pt idx="1973">
                  <c:v>-2599151.934215</c:v>
                </c:pt>
                <c:pt idx="1974">
                  <c:v>-2598182.32308</c:v>
                </c:pt>
                <c:pt idx="1975">
                  <c:v>-2597212.953125</c:v>
                </c:pt>
                <c:pt idx="1976">
                  <c:v>-2596243.8243199997</c:v>
                </c:pt>
                <c:pt idx="1977">
                  <c:v>-2595274.9366349997</c:v>
                </c:pt>
                <c:pt idx="1978">
                  <c:v>-2594306.29004</c:v>
                </c:pt>
                <c:pt idx="1979">
                  <c:v>-2593337.884505</c:v>
                </c:pt>
                <c:pt idx="1980">
                  <c:v>-2592369.72</c:v>
                </c:pt>
                <c:pt idx="1981">
                  <c:v>-2591401.7964950004</c:v>
                </c:pt>
                <c:pt idx="1982">
                  <c:v>-2590434.1139599998</c:v>
                </c:pt>
                <c:pt idx="1983">
                  <c:v>-2589466.672365</c:v>
                </c:pt>
                <c:pt idx="1984">
                  <c:v>-2588499.47168</c:v>
                </c:pt>
                <c:pt idx="1985">
                  <c:v>-2587532.5118750003</c:v>
                </c:pt>
                <c:pt idx="1986">
                  <c:v>-2586565.79292</c:v>
                </c:pt>
                <c:pt idx="1987">
                  <c:v>-2585599.314785</c:v>
                </c:pt>
                <c:pt idx="1988">
                  <c:v>-2584633.07744</c:v>
                </c:pt>
                <c:pt idx="1989">
                  <c:v>-2583667.080855</c:v>
                </c:pt>
                <c:pt idx="1990">
                  <c:v>-2582701.3249999997</c:v>
                </c:pt>
                <c:pt idx="1991">
                  <c:v>-2581735.809845</c:v>
                </c:pt>
                <c:pt idx="1992">
                  <c:v>-2580770.53536</c:v>
                </c:pt>
                <c:pt idx="1993">
                  <c:v>-2579805.5015149997</c:v>
                </c:pt>
                <c:pt idx="1994">
                  <c:v>-2578840.7082800004</c:v>
                </c:pt>
                <c:pt idx="1995">
                  <c:v>-2577876.1556249997</c:v>
                </c:pt>
                <c:pt idx="1996">
                  <c:v>-2576911.84352</c:v>
                </c:pt>
                <c:pt idx="1997">
                  <c:v>-2575947.7719349996</c:v>
                </c:pt>
                <c:pt idx="1998">
                  <c:v>-2574983.9408400003</c:v>
                </c:pt>
                <c:pt idx="1999">
                  <c:v>-2574020.350205</c:v>
                </c:pt>
                <c:pt idx="2000">
                  <c:v>-2573057.0</c:v>
                </c:pt>
                <c:pt idx="2001">
                  <c:v>-2572093.890195</c:v>
                </c:pt>
                <c:pt idx="2002">
                  <c:v>-2571131.0207599998</c:v>
                </c:pt>
                <c:pt idx="2003">
                  <c:v>-2570168.391665</c:v>
                </c:pt>
                <c:pt idx="2004">
                  <c:v>-2569206.00288</c:v>
                </c:pt>
                <c:pt idx="2005">
                  <c:v>-2568243.854375</c:v>
                </c:pt>
                <c:pt idx="2006">
                  <c:v>-2567281.94612</c:v>
                </c:pt>
                <c:pt idx="2007">
                  <c:v>-2566320.278085</c:v>
                </c:pt>
                <c:pt idx="2008">
                  <c:v>-2565358.85024</c:v>
                </c:pt>
                <c:pt idx="2009">
                  <c:v>-2564397.662555</c:v>
                </c:pt>
                <c:pt idx="2010">
                  <c:v>-2563436.715</c:v>
                </c:pt>
                <c:pt idx="2011">
                  <c:v>-2562476.007545</c:v>
                </c:pt>
                <c:pt idx="2012">
                  <c:v>-2561515.54016</c:v>
                </c:pt>
                <c:pt idx="2013">
                  <c:v>-2560555.3128150003</c:v>
                </c:pt>
                <c:pt idx="2014">
                  <c:v>-2559595.32548</c:v>
                </c:pt>
                <c:pt idx="2015">
                  <c:v>-2558635.578125</c:v>
                </c:pt>
                <c:pt idx="2016">
                  <c:v>-2557676.0707199997</c:v>
                </c:pt>
                <c:pt idx="2017">
                  <c:v>-2556716.803235</c:v>
                </c:pt>
                <c:pt idx="2018">
                  <c:v>-2555757.77564</c:v>
                </c:pt>
                <c:pt idx="2019">
                  <c:v>-2554798.9879050003</c:v>
                </c:pt>
                <c:pt idx="2020">
                  <c:v>-2553840.44</c:v>
                </c:pt>
                <c:pt idx="2021">
                  <c:v>-2552882.131895</c:v>
                </c:pt>
                <c:pt idx="2022">
                  <c:v>-2551924.06356</c:v>
                </c:pt>
                <c:pt idx="2023">
                  <c:v>-2550966.2349650003</c:v>
                </c:pt>
                <c:pt idx="2024">
                  <c:v>-2550008.64608</c:v>
                </c:pt>
                <c:pt idx="2025">
                  <c:v>-2549051.296875</c:v>
                </c:pt>
                <c:pt idx="2026">
                  <c:v>-2548094.1873199996</c:v>
                </c:pt>
                <c:pt idx="2027">
                  <c:v>-2547137.3173849997</c:v>
                </c:pt>
                <c:pt idx="2028">
                  <c:v>-2546180.6870399998</c:v>
                </c:pt>
                <c:pt idx="2029">
                  <c:v>-2545224.296255</c:v>
                </c:pt>
                <c:pt idx="2030">
                  <c:v>-2544268.145</c:v>
                </c:pt>
                <c:pt idx="2031">
                  <c:v>-2543312.2332450002</c:v>
                </c:pt>
                <c:pt idx="2032">
                  <c:v>-2542356.5609600004</c:v>
                </c:pt>
                <c:pt idx="2033">
                  <c:v>-2541401.128115</c:v>
                </c:pt>
                <c:pt idx="2034">
                  <c:v>-2540445.93468</c:v>
                </c:pt>
                <c:pt idx="2035">
                  <c:v>-2539490.980625</c:v>
                </c:pt>
                <c:pt idx="2036">
                  <c:v>-2538536.26592</c:v>
                </c:pt>
                <c:pt idx="2037">
                  <c:v>-2537581.7905349997</c:v>
                </c:pt>
                <c:pt idx="2038">
                  <c:v>-2536627.5544399996</c:v>
                </c:pt>
                <c:pt idx="2039">
                  <c:v>-2535673.557605</c:v>
                </c:pt>
                <c:pt idx="2040">
                  <c:v>-2534719.8000000003</c:v>
                </c:pt>
                <c:pt idx="2041">
                  <c:v>-2533766.2815949996</c:v>
                </c:pt>
                <c:pt idx="2042">
                  <c:v>-2532813.0023600003</c:v>
                </c:pt>
                <c:pt idx="2043">
                  <c:v>-2531859.9622649997</c:v>
                </c:pt>
                <c:pt idx="2044">
                  <c:v>-2530907.1612799997</c:v>
                </c:pt>
                <c:pt idx="2045">
                  <c:v>-2529954.5993749998</c:v>
                </c:pt>
                <c:pt idx="2046">
                  <c:v>-2529002.27652</c:v>
                </c:pt>
                <c:pt idx="2047">
                  <c:v>-2528050.1926849997</c:v>
                </c:pt>
                <c:pt idx="2048">
                  <c:v>-2527098.34784</c:v>
                </c:pt>
                <c:pt idx="2049">
                  <c:v>-2526146.7419550004</c:v>
                </c:pt>
                <c:pt idx="2050">
                  <c:v>-2525195.375</c:v>
                </c:pt>
                <c:pt idx="2051">
                  <c:v>-2524244.246945</c:v>
                </c:pt>
                <c:pt idx="2052">
                  <c:v>-2523293.35776</c:v>
                </c:pt>
                <c:pt idx="2053">
                  <c:v>-2522342.707415</c:v>
                </c:pt>
                <c:pt idx="2054">
                  <c:v>-2521392.29588</c:v>
                </c:pt>
                <c:pt idx="2055">
                  <c:v>-2520442.123125</c:v>
                </c:pt>
                <c:pt idx="2056">
                  <c:v>-2519492.1891199998</c:v>
                </c:pt>
                <c:pt idx="2057">
                  <c:v>-2518542.493835</c:v>
                </c:pt>
                <c:pt idx="2058">
                  <c:v>-2517593.03724</c:v>
                </c:pt>
                <c:pt idx="2059">
                  <c:v>-2516643.819305</c:v>
                </c:pt>
                <c:pt idx="2060">
                  <c:v>-2515694.84</c:v>
                </c:pt>
                <c:pt idx="2061">
                  <c:v>-2514746.099295</c:v>
                </c:pt>
                <c:pt idx="2062">
                  <c:v>-2513797.5971600004</c:v>
                </c:pt>
                <c:pt idx="2063">
                  <c:v>-2512849.333565</c:v>
                </c:pt>
                <c:pt idx="2064">
                  <c:v>-2511901.30848</c:v>
                </c:pt>
                <c:pt idx="2065">
                  <c:v>-2510953.521875</c:v>
                </c:pt>
                <c:pt idx="2066">
                  <c:v>-2510005.97372</c:v>
                </c:pt>
                <c:pt idx="2067">
                  <c:v>-2509058.663985</c:v>
                </c:pt>
                <c:pt idx="2068">
                  <c:v>-2508111.5926400004</c:v>
                </c:pt>
                <c:pt idx="2069">
                  <c:v>-2507164.7596549997</c:v>
                </c:pt>
                <c:pt idx="2070">
                  <c:v>-2506218.165</c:v>
                </c:pt>
                <c:pt idx="2071">
                  <c:v>-2505271.8086449997</c:v>
                </c:pt>
                <c:pt idx="2072">
                  <c:v>-2504325.69056</c:v>
                </c:pt>
                <c:pt idx="2073">
                  <c:v>-2503379.810715</c:v>
                </c:pt>
                <c:pt idx="2074">
                  <c:v>-2502434.16908</c:v>
                </c:pt>
                <c:pt idx="2075">
                  <c:v>-2501488.765625</c:v>
                </c:pt>
                <c:pt idx="2076">
                  <c:v>-2500543.60032</c:v>
                </c:pt>
                <c:pt idx="2077">
                  <c:v>-2499598.6731350003</c:v>
                </c:pt>
                <c:pt idx="2078">
                  <c:v>-2498653.98404</c:v>
                </c:pt>
                <c:pt idx="2079">
                  <c:v>-2497709.533005</c:v>
                </c:pt>
                <c:pt idx="2080">
                  <c:v>-2496765.32</c:v>
                </c:pt>
                <c:pt idx="2081">
                  <c:v>-2495821.344995</c:v>
                </c:pt>
                <c:pt idx="2082">
                  <c:v>-2494877.60796</c:v>
                </c:pt>
                <c:pt idx="2083">
                  <c:v>-2493934.108865</c:v>
                </c:pt>
                <c:pt idx="2084">
                  <c:v>-2492990.84768</c:v>
                </c:pt>
                <c:pt idx="2085">
                  <c:v>-2492047.824375</c:v>
                </c:pt>
                <c:pt idx="2086">
                  <c:v>-2491105.0389199997</c:v>
                </c:pt>
                <c:pt idx="2087">
                  <c:v>-2490162.491285</c:v>
                </c:pt>
                <c:pt idx="2088">
                  <c:v>-2489220.18144</c:v>
                </c:pt>
                <c:pt idx="2089">
                  <c:v>-2488278.109355</c:v>
                </c:pt>
                <c:pt idx="2090">
                  <c:v>-2487336.275</c:v>
                </c:pt>
                <c:pt idx="2091">
                  <c:v>-2486394.678345</c:v>
                </c:pt>
                <c:pt idx="2092">
                  <c:v>-2485453.31936</c:v>
                </c:pt>
                <c:pt idx="2093">
                  <c:v>-2484512.198015</c:v>
                </c:pt>
                <c:pt idx="2094">
                  <c:v>-2483571.31428</c:v>
                </c:pt>
                <c:pt idx="2095">
                  <c:v>-2482630.668125</c:v>
                </c:pt>
                <c:pt idx="2096">
                  <c:v>-2481690.25952</c:v>
                </c:pt>
                <c:pt idx="2097">
                  <c:v>-2480750.088435</c:v>
                </c:pt>
                <c:pt idx="2098">
                  <c:v>-2479810.15484</c:v>
                </c:pt>
                <c:pt idx="2099">
                  <c:v>-2478870.458705</c:v>
                </c:pt>
                <c:pt idx="2100">
                  <c:v>-2477931.0</c:v>
                </c:pt>
                <c:pt idx="2101">
                  <c:v>-2476991.778695</c:v>
                </c:pt>
                <c:pt idx="2102">
                  <c:v>-2476052.79476</c:v>
                </c:pt>
                <c:pt idx="2103">
                  <c:v>-2475114.048165</c:v>
                </c:pt>
                <c:pt idx="2104">
                  <c:v>-2474175.53888</c:v>
                </c:pt>
                <c:pt idx="2105">
                  <c:v>-2473237.266875</c:v>
                </c:pt>
                <c:pt idx="2106">
                  <c:v>-2472299.23212</c:v>
                </c:pt>
                <c:pt idx="2107">
                  <c:v>-2471361.4345850004</c:v>
                </c:pt>
                <c:pt idx="2108">
                  <c:v>-2470423.87424</c:v>
                </c:pt>
                <c:pt idx="2109">
                  <c:v>-2469486.551055</c:v>
                </c:pt>
                <c:pt idx="2110">
                  <c:v>-2468549.4650000003</c:v>
                </c:pt>
                <c:pt idx="2111">
                  <c:v>-2467612.616045</c:v>
                </c:pt>
                <c:pt idx="2112">
                  <c:v>-2466676.00416</c:v>
                </c:pt>
                <c:pt idx="2113">
                  <c:v>-2465739.629315</c:v>
                </c:pt>
                <c:pt idx="2114">
                  <c:v>-2464803.4914800003</c:v>
                </c:pt>
                <c:pt idx="2115">
                  <c:v>-2463867.5906249997</c:v>
                </c:pt>
                <c:pt idx="2116">
                  <c:v>-2462931.92672</c:v>
                </c:pt>
                <c:pt idx="2117">
                  <c:v>-2461996.499735</c:v>
                </c:pt>
                <c:pt idx="2118">
                  <c:v>-2461061.3096399996</c:v>
                </c:pt>
                <c:pt idx="2119">
                  <c:v>-2460126.356405</c:v>
                </c:pt>
                <c:pt idx="2120">
                  <c:v>-2459191.6399999997</c:v>
                </c:pt>
                <c:pt idx="2121">
                  <c:v>-2458257.160395</c:v>
                </c:pt>
                <c:pt idx="2122">
                  <c:v>-2457322.91756</c:v>
                </c:pt>
                <c:pt idx="2123">
                  <c:v>-2456388.9114650004</c:v>
                </c:pt>
                <c:pt idx="2124">
                  <c:v>-2455455.14208</c:v>
                </c:pt>
                <c:pt idx="2125">
                  <c:v>-2454521.609375</c:v>
                </c:pt>
                <c:pt idx="2126">
                  <c:v>-2453588.31332</c:v>
                </c:pt>
                <c:pt idx="2127">
                  <c:v>-2452655.253885</c:v>
                </c:pt>
                <c:pt idx="2128">
                  <c:v>-2451722.4310399997</c:v>
                </c:pt>
                <c:pt idx="2129">
                  <c:v>-2450789.844755</c:v>
                </c:pt>
                <c:pt idx="2130">
                  <c:v>-2449857.495</c:v>
                </c:pt>
                <c:pt idx="2131">
                  <c:v>-2448925.381745</c:v>
                </c:pt>
                <c:pt idx="2132">
                  <c:v>-2447993.50496</c:v>
                </c:pt>
                <c:pt idx="2133">
                  <c:v>-2447061.8646150003</c:v>
                </c:pt>
                <c:pt idx="2134">
                  <c:v>-2446130.46068</c:v>
                </c:pt>
                <c:pt idx="2135">
                  <c:v>-2445199.293125</c:v>
                </c:pt>
                <c:pt idx="2136">
                  <c:v>-2444268.36192</c:v>
                </c:pt>
                <c:pt idx="2137">
                  <c:v>-2443337.667035</c:v>
                </c:pt>
                <c:pt idx="2138">
                  <c:v>-2442407.2084399997</c:v>
                </c:pt>
                <c:pt idx="2139">
                  <c:v>-2441476.986105</c:v>
                </c:pt>
                <c:pt idx="2140">
                  <c:v>-2440547.0</c:v>
                </c:pt>
                <c:pt idx="2141">
                  <c:v>-2439617.250095</c:v>
                </c:pt>
                <c:pt idx="2142">
                  <c:v>-2438687.73636</c:v>
                </c:pt>
                <c:pt idx="2143">
                  <c:v>-2437758.458765</c:v>
                </c:pt>
                <c:pt idx="2144">
                  <c:v>-2436829.41728</c:v>
                </c:pt>
                <c:pt idx="2145">
                  <c:v>-2435900.611875</c:v>
                </c:pt>
                <c:pt idx="2146">
                  <c:v>-2434972.04252</c:v>
                </c:pt>
                <c:pt idx="2147">
                  <c:v>-2434043.709185</c:v>
                </c:pt>
                <c:pt idx="2148">
                  <c:v>-2433115.61184</c:v>
                </c:pt>
                <c:pt idx="2149">
                  <c:v>-2432187.750455</c:v>
                </c:pt>
                <c:pt idx="2150">
                  <c:v>-2431260.125</c:v>
                </c:pt>
                <c:pt idx="2151">
                  <c:v>-2430332.7354449998</c:v>
                </c:pt>
                <c:pt idx="2152">
                  <c:v>-2429405.58176</c:v>
                </c:pt>
                <c:pt idx="2153">
                  <c:v>-2428478.663915</c:v>
                </c:pt>
                <c:pt idx="2154">
                  <c:v>-2427551.9818800003</c:v>
                </c:pt>
                <c:pt idx="2155">
                  <c:v>-2426625.535625</c:v>
                </c:pt>
                <c:pt idx="2156">
                  <c:v>-2425699.32512</c:v>
                </c:pt>
                <c:pt idx="2157">
                  <c:v>-2424773.350335</c:v>
                </c:pt>
                <c:pt idx="2158">
                  <c:v>-2423847.61124</c:v>
                </c:pt>
                <c:pt idx="2159">
                  <c:v>-2422922.107805</c:v>
                </c:pt>
                <c:pt idx="2160">
                  <c:v>-2421996.84</c:v>
                </c:pt>
                <c:pt idx="2161">
                  <c:v>-2421071.8077950003</c:v>
                </c:pt>
                <c:pt idx="2162">
                  <c:v>-2420147.01116</c:v>
                </c:pt>
                <c:pt idx="2163">
                  <c:v>-2419222.450065</c:v>
                </c:pt>
                <c:pt idx="2164">
                  <c:v>-2418298.1244799998</c:v>
                </c:pt>
                <c:pt idx="2165">
                  <c:v>-2417374.0343750003</c:v>
                </c:pt>
                <c:pt idx="2166">
                  <c:v>-2416450.17972</c:v>
                </c:pt>
                <c:pt idx="2167">
                  <c:v>-2415526.5604850003</c:v>
                </c:pt>
                <c:pt idx="2168">
                  <c:v>-2414603.17664</c:v>
                </c:pt>
                <c:pt idx="2169">
                  <c:v>-2413680.028155</c:v>
                </c:pt>
                <c:pt idx="2170">
                  <c:v>-2412757.1149999998</c:v>
                </c:pt>
                <c:pt idx="2171">
                  <c:v>-2411834.437145</c:v>
                </c:pt>
                <c:pt idx="2172">
                  <c:v>-2410911.9945599996</c:v>
                </c:pt>
                <c:pt idx="2173">
                  <c:v>-2409989.787215</c:v>
                </c:pt>
                <c:pt idx="2174">
                  <c:v>-2409067.81508</c:v>
                </c:pt>
                <c:pt idx="2175">
                  <c:v>-2408146.078125</c:v>
                </c:pt>
                <c:pt idx="2176">
                  <c:v>-2407224.57632</c:v>
                </c:pt>
                <c:pt idx="2177">
                  <c:v>-2406303.3096350003</c:v>
                </c:pt>
                <c:pt idx="2178">
                  <c:v>-2405382.27804</c:v>
                </c:pt>
                <c:pt idx="2179">
                  <c:v>-2404461.481505</c:v>
                </c:pt>
                <c:pt idx="2180">
                  <c:v>-2403540.92</c:v>
                </c:pt>
                <c:pt idx="2181">
                  <c:v>-2402620.593495</c:v>
                </c:pt>
                <c:pt idx="2182">
                  <c:v>-2401700.5019599996</c:v>
                </c:pt>
                <c:pt idx="2183">
                  <c:v>-2400780.6453650002</c:v>
                </c:pt>
                <c:pt idx="2184">
                  <c:v>-2399861.02368</c:v>
                </c:pt>
                <c:pt idx="2185">
                  <c:v>-2398941.636875</c:v>
                </c:pt>
                <c:pt idx="2186">
                  <c:v>-2398022.4849199997</c:v>
                </c:pt>
                <c:pt idx="2187">
                  <c:v>-2397103.567785</c:v>
                </c:pt>
                <c:pt idx="2188">
                  <c:v>-2396184.88544</c:v>
                </c:pt>
                <c:pt idx="2189">
                  <c:v>-2395266.4378549997</c:v>
                </c:pt>
                <c:pt idx="2190">
                  <c:v>-2394348.225</c:v>
                </c:pt>
                <c:pt idx="2191">
                  <c:v>-2393430.246845</c:v>
                </c:pt>
                <c:pt idx="2192">
                  <c:v>-2392512.50336</c:v>
                </c:pt>
                <c:pt idx="2193">
                  <c:v>-2391594.994515</c:v>
                </c:pt>
                <c:pt idx="2194">
                  <c:v>-2390677.72028</c:v>
                </c:pt>
                <c:pt idx="2195">
                  <c:v>-2389760.680625</c:v>
                </c:pt>
                <c:pt idx="2196">
                  <c:v>-2388843.8755200002</c:v>
                </c:pt>
                <c:pt idx="2197">
                  <c:v>-2387927.304935</c:v>
                </c:pt>
                <c:pt idx="2198">
                  <c:v>-2387010.9688399998</c:v>
                </c:pt>
                <c:pt idx="2199">
                  <c:v>-2386094.867205</c:v>
                </c:pt>
                <c:pt idx="2200">
                  <c:v>-2385179.0</c:v>
                </c:pt>
                <c:pt idx="2201">
                  <c:v>-2384263.367195</c:v>
                </c:pt>
                <c:pt idx="2202">
                  <c:v>-2383347.96876</c:v>
                </c:pt>
                <c:pt idx="2203">
                  <c:v>-2382432.804665</c:v>
                </c:pt>
                <c:pt idx="2204">
                  <c:v>-2381517.87488</c:v>
                </c:pt>
                <c:pt idx="2205">
                  <c:v>-2380603.179375</c:v>
                </c:pt>
                <c:pt idx="2206">
                  <c:v>-2379688.7181200003</c:v>
                </c:pt>
                <c:pt idx="2207">
                  <c:v>-2378774.491085</c:v>
                </c:pt>
                <c:pt idx="2208">
                  <c:v>-2377860.49824</c:v>
                </c:pt>
                <c:pt idx="2209">
                  <c:v>-2376946.739555</c:v>
                </c:pt>
                <c:pt idx="2210">
                  <c:v>-2376033.215</c:v>
                </c:pt>
                <c:pt idx="2211">
                  <c:v>-2375119.924545</c:v>
                </c:pt>
                <c:pt idx="2212">
                  <c:v>-2374206.86816</c:v>
                </c:pt>
                <c:pt idx="2213">
                  <c:v>-2373294.0458150003</c:v>
                </c:pt>
                <c:pt idx="2214">
                  <c:v>-2372381.4574800003</c:v>
                </c:pt>
                <c:pt idx="2215">
                  <c:v>-2371469.103125</c:v>
                </c:pt>
                <c:pt idx="2216">
                  <c:v>-2370556.98272</c:v>
                </c:pt>
                <c:pt idx="2217">
                  <c:v>-2369645.0962349996</c:v>
                </c:pt>
                <c:pt idx="2218">
                  <c:v>-2368733.44364</c:v>
                </c:pt>
                <c:pt idx="2219">
                  <c:v>-2367822.0249050003</c:v>
                </c:pt>
                <c:pt idx="2220">
                  <c:v>-2366910.84</c:v>
                </c:pt>
                <c:pt idx="2221">
                  <c:v>-2365999.888895</c:v>
                </c:pt>
                <c:pt idx="2222">
                  <c:v>-2365089.1715599997</c:v>
                </c:pt>
                <c:pt idx="2223">
                  <c:v>-2364178.687965</c:v>
                </c:pt>
                <c:pt idx="2224">
                  <c:v>-2363268.43808</c:v>
                </c:pt>
                <c:pt idx="2225">
                  <c:v>-2362358.421875</c:v>
                </c:pt>
                <c:pt idx="2226">
                  <c:v>-2361448.63932</c:v>
                </c:pt>
                <c:pt idx="2227">
                  <c:v>-2360539.090385</c:v>
                </c:pt>
                <c:pt idx="2228">
                  <c:v>-2359629.77504</c:v>
                </c:pt>
                <c:pt idx="2229">
                  <c:v>-2358720.6932550003</c:v>
                </c:pt>
                <c:pt idx="2230">
                  <c:v>-2357811.845</c:v>
                </c:pt>
                <c:pt idx="2231">
                  <c:v>-2356903.230245</c:v>
                </c:pt>
                <c:pt idx="2232">
                  <c:v>-2355994.84896</c:v>
                </c:pt>
                <c:pt idx="2233">
                  <c:v>-2355086.701115</c:v>
                </c:pt>
                <c:pt idx="2234">
                  <c:v>-2354178.78668</c:v>
                </c:pt>
                <c:pt idx="2235">
                  <c:v>-2353271.1056250003</c:v>
                </c:pt>
                <c:pt idx="2236">
                  <c:v>-2352363.65792</c:v>
                </c:pt>
                <c:pt idx="2237">
                  <c:v>-2351456.443535</c:v>
                </c:pt>
                <c:pt idx="2238">
                  <c:v>-2350549.46244</c:v>
                </c:pt>
                <c:pt idx="2239">
                  <c:v>-2349642.714605</c:v>
                </c:pt>
                <c:pt idx="2240">
                  <c:v>-2348736.1999999997</c:v>
                </c:pt>
                <c:pt idx="2241">
                  <c:v>-2347829.918595</c:v>
                </c:pt>
                <c:pt idx="2242">
                  <c:v>-2346923.87036</c:v>
                </c:pt>
                <c:pt idx="2243">
                  <c:v>-2346018.055265</c:v>
                </c:pt>
                <c:pt idx="2244">
                  <c:v>-2345112.4732799996</c:v>
                </c:pt>
                <c:pt idx="2245">
                  <c:v>-2344207.1243749997</c:v>
                </c:pt>
                <c:pt idx="2246">
                  <c:v>-2343302.00852</c:v>
                </c:pt>
                <c:pt idx="2247">
                  <c:v>-2342397.1256850003</c:v>
                </c:pt>
                <c:pt idx="2248">
                  <c:v>-2341492.47584</c:v>
                </c:pt>
                <c:pt idx="2249">
                  <c:v>-2340588.058955</c:v>
                </c:pt>
                <c:pt idx="2250">
                  <c:v>-2339683.875</c:v>
                </c:pt>
                <c:pt idx="2251">
                  <c:v>-2338779.923945</c:v>
                </c:pt>
                <c:pt idx="2252">
                  <c:v>-2337876.2057600003</c:v>
                </c:pt>
                <c:pt idx="2253">
                  <c:v>-2336972.720415</c:v>
                </c:pt>
                <c:pt idx="2254">
                  <c:v>-2336069.46788</c:v>
                </c:pt>
                <c:pt idx="2255">
                  <c:v>-2335166.448125</c:v>
                </c:pt>
                <c:pt idx="2256">
                  <c:v>-2334263.66112</c:v>
                </c:pt>
                <c:pt idx="2257">
                  <c:v>-2333361.1068349998</c:v>
                </c:pt>
                <c:pt idx="2258">
                  <c:v>-2332458.7852399996</c:v>
                </c:pt>
                <c:pt idx="2259">
                  <c:v>-2331556.696305</c:v>
                </c:pt>
                <c:pt idx="2260">
                  <c:v>-2330654.84</c:v>
                </c:pt>
                <c:pt idx="2261">
                  <c:v>-2329753.2162949997</c:v>
                </c:pt>
                <c:pt idx="2262">
                  <c:v>-2328851.8251599995</c:v>
                </c:pt>
                <c:pt idx="2263">
                  <c:v>-2327950.666565</c:v>
                </c:pt>
                <c:pt idx="2264">
                  <c:v>-2327049.7404799997</c:v>
                </c:pt>
                <c:pt idx="2265">
                  <c:v>-2326149.046875</c:v>
                </c:pt>
                <c:pt idx="2266">
                  <c:v>-2325248.58572</c:v>
                </c:pt>
                <c:pt idx="2267">
                  <c:v>-2324348.356985</c:v>
                </c:pt>
                <c:pt idx="2268">
                  <c:v>-2323448.3606399996</c:v>
                </c:pt>
                <c:pt idx="2269">
                  <c:v>-2322548.596655</c:v>
                </c:pt>
                <c:pt idx="2270">
                  <c:v>-2321649.065</c:v>
                </c:pt>
                <c:pt idx="2271">
                  <c:v>-2320749.765645</c:v>
                </c:pt>
                <c:pt idx="2272">
                  <c:v>-2319850.69856</c:v>
                </c:pt>
                <c:pt idx="2273">
                  <c:v>-2318951.863715</c:v>
                </c:pt>
                <c:pt idx="2274">
                  <c:v>-2318053.26108</c:v>
                </c:pt>
                <c:pt idx="2275">
                  <c:v>-2317154.890625</c:v>
                </c:pt>
                <c:pt idx="2276">
                  <c:v>-2316256.75232</c:v>
                </c:pt>
                <c:pt idx="2277">
                  <c:v>-2315358.846135</c:v>
                </c:pt>
                <c:pt idx="2278">
                  <c:v>-2314461.17204</c:v>
                </c:pt>
                <c:pt idx="2279">
                  <c:v>-2313563.7300050003</c:v>
                </c:pt>
                <c:pt idx="2280">
                  <c:v>-2312666.52</c:v>
                </c:pt>
                <c:pt idx="2281">
                  <c:v>-2311769.541995</c:v>
                </c:pt>
                <c:pt idx="2282">
                  <c:v>-2310872.79596</c:v>
                </c:pt>
                <c:pt idx="2283">
                  <c:v>-2309976.2818650003</c:v>
                </c:pt>
                <c:pt idx="2284">
                  <c:v>-2309079.9996800004</c:v>
                </c:pt>
                <c:pt idx="2285">
                  <c:v>-2308183.949375</c:v>
                </c:pt>
                <c:pt idx="2286">
                  <c:v>-2307288.13092</c:v>
                </c:pt>
                <c:pt idx="2287">
                  <c:v>-2306392.5442850003</c:v>
                </c:pt>
                <c:pt idx="2288">
                  <c:v>-2305497.18944</c:v>
                </c:pt>
                <c:pt idx="2289">
                  <c:v>-2304602.0663550003</c:v>
                </c:pt>
                <c:pt idx="2290">
                  <c:v>-2303707.1750000003</c:v>
                </c:pt>
                <c:pt idx="2291">
                  <c:v>-2302812.515345</c:v>
                </c:pt>
                <c:pt idx="2292">
                  <c:v>-2301918.0873600002</c:v>
                </c:pt>
                <c:pt idx="2293">
                  <c:v>-2301023.891015</c:v>
                </c:pt>
                <c:pt idx="2294">
                  <c:v>-2300129.92628</c:v>
                </c:pt>
                <c:pt idx="2295">
                  <c:v>-2299236.1931249998</c:v>
                </c:pt>
                <c:pt idx="2296">
                  <c:v>-2298342.6915200003</c:v>
                </c:pt>
                <c:pt idx="2297">
                  <c:v>-2297449.4214350004</c:v>
                </c:pt>
                <c:pt idx="2298">
                  <c:v>-2296556.38284</c:v>
                </c:pt>
                <c:pt idx="2299">
                  <c:v>-2295663.5757049997</c:v>
                </c:pt>
                <c:pt idx="2300">
                  <c:v>-2294771.0</c:v>
                </c:pt>
                <c:pt idx="2301">
                  <c:v>-2293878.6556949997</c:v>
                </c:pt>
                <c:pt idx="2302">
                  <c:v>-2292986.54276</c:v>
                </c:pt>
                <c:pt idx="2303">
                  <c:v>-2292094.661165</c:v>
                </c:pt>
                <c:pt idx="2304">
                  <c:v>-2291203.01088</c:v>
                </c:pt>
                <c:pt idx="2305">
                  <c:v>-2290311.591875</c:v>
                </c:pt>
                <c:pt idx="2306">
                  <c:v>-2289420.40412</c:v>
                </c:pt>
                <c:pt idx="2307">
                  <c:v>-2288529.447585</c:v>
                </c:pt>
                <c:pt idx="2308">
                  <c:v>-2287638.72224</c:v>
                </c:pt>
                <c:pt idx="2309">
                  <c:v>-2286748.228055</c:v>
                </c:pt>
                <c:pt idx="2310">
                  <c:v>-2285857.965</c:v>
                </c:pt>
                <c:pt idx="2311">
                  <c:v>-2284967.9330450003</c:v>
                </c:pt>
                <c:pt idx="2312">
                  <c:v>-2284078.13216</c:v>
                </c:pt>
                <c:pt idx="2313">
                  <c:v>-2283188.562315</c:v>
                </c:pt>
                <c:pt idx="2314">
                  <c:v>-2282299.22348</c:v>
                </c:pt>
                <c:pt idx="2315">
                  <c:v>-2281410.115625</c:v>
                </c:pt>
                <c:pt idx="2316">
                  <c:v>-2280521.2387200003</c:v>
                </c:pt>
                <c:pt idx="2317">
                  <c:v>-2279632.592735</c:v>
                </c:pt>
                <c:pt idx="2318">
                  <c:v>-2278744.17764</c:v>
                </c:pt>
                <c:pt idx="2319">
                  <c:v>-2277855.993405</c:v>
                </c:pt>
                <c:pt idx="2320">
                  <c:v>-2276968.04</c:v>
                </c:pt>
                <c:pt idx="2321">
                  <c:v>-2276080.3173950003</c:v>
                </c:pt>
                <c:pt idx="2322">
                  <c:v>-2275192.82556</c:v>
                </c:pt>
                <c:pt idx="2323">
                  <c:v>-2274305.564465</c:v>
                </c:pt>
                <c:pt idx="2324">
                  <c:v>-2273418.53408</c:v>
                </c:pt>
                <c:pt idx="2325">
                  <c:v>-2272531.734375</c:v>
                </c:pt>
                <c:pt idx="2326">
                  <c:v>-2271645.16532</c:v>
                </c:pt>
                <c:pt idx="2327">
                  <c:v>-2270758.826885</c:v>
                </c:pt>
                <c:pt idx="2328">
                  <c:v>-2269872.7190400003</c:v>
                </c:pt>
                <c:pt idx="2329">
                  <c:v>-2268986.841755</c:v>
                </c:pt>
                <c:pt idx="2330">
                  <c:v>-2268101.195</c:v>
                </c:pt>
                <c:pt idx="2331">
                  <c:v>-2267215.778745</c:v>
                </c:pt>
                <c:pt idx="2332">
                  <c:v>-2266330.59296</c:v>
                </c:pt>
                <c:pt idx="2333">
                  <c:v>-2265445.637615</c:v>
                </c:pt>
                <c:pt idx="2334">
                  <c:v>-2264560.91268</c:v>
                </c:pt>
                <c:pt idx="2335">
                  <c:v>-2263676.418125</c:v>
                </c:pt>
                <c:pt idx="2336">
                  <c:v>-2262792.1539200004</c:v>
                </c:pt>
                <c:pt idx="2337">
                  <c:v>-2261908.1200349997</c:v>
                </c:pt>
                <c:pt idx="2338">
                  <c:v>-2261024.3164399997</c:v>
                </c:pt>
                <c:pt idx="2339">
                  <c:v>-2260140.743105</c:v>
                </c:pt>
                <c:pt idx="2340">
                  <c:v>-2259257.4</c:v>
                </c:pt>
                <c:pt idx="2341">
                  <c:v>-2258374.287095</c:v>
                </c:pt>
                <c:pt idx="2342">
                  <c:v>-2257491.40436</c:v>
                </c:pt>
                <c:pt idx="2343">
                  <c:v>-2256608.751765</c:v>
                </c:pt>
                <c:pt idx="2344">
                  <c:v>-2255726.32928</c:v>
                </c:pt>
                <c:pt idx="2345">
                  <c:v>-2254844.136875</c:v>
                </c:pt>
                <c:pt idx="2346">
                  <c:v>-2253962.17452</c:v>
                </c:pt>
                <c:pt idx="2347">
                  <c:v>-2253080.442185</c:v>
                </c:pt>
                <c:pt idx="2348">
                  <c:v>-2252198.93984</c:v>
                </c:pt>
                <c:pt idx="2349">
                  <c:v>-2251317.667455</c:v>
                </c:pt>
                <c:pt idx="2350">
                  <c:v>-2250436.625</c:v>
                </c:pt>
                <c:pt idx="2351">
                  <c:v>-2249555.812445</c:v>
                </c:pt>
                <c:pt idx="2352">
                  <c:v>-2248675.22976</c:v>
                </c:pt>
                <c:pt idx="2353">
                  <c:v>-2247794.876915</c:v>
                </c:pt>
                <c:pt idx="2354">
                  <c:v>-2246914.7538799997</c:v>
                </c:pt>
                <c:pt idx="2355">
                  <c:v>-2246034.860625</c:v>
                </c:pt>
                <c:pt idx="2356">
                  <c:v>-2245155.1971199997</c:v>
                </c:pt>
                <c:pt idx="2357">
                  <c:v>-2244275.763335</c:v>
                </c:pt>
                <c:pt idx="2358">
                  <c:v>-2243396.55924</c:v>
                </c:pt>
                <c:pt idx="2359">
                  <c:v>-2242517.584805</c:v>
                </c:pt>
                <c:pt idx="2360">
                  <c:v>-2241638.8400000003</c:v>
                </c:pt>
                <c:pt idx="2361">
                  <c:v>-2240760.324795</c:v>
                </c:pt>
                <c:pt idx="2362">
                  <c:v>-2239882.0391599997</c:v>
                </c:pt>
                <c:pt idx="2363">
                  <c:v>-2239003.983065</c:v>
                </c:pt>
                <c:pt idx="2364">
                  <c:v>-2238126.15648</c:v>
                </c:pt>
                <c:pt idx="2365">
                  <c:v>-2237248.5593749997</c:v>
                </c:pt>
                <c:pt idx="2366">
                  <c:v>-2236371.19172</c:v>
                </c:pt>
                <c:pt idx="2367">
                  <c:v>-2235494.0534849996</c:v>
                </c:pt>
                <c:pt idx="2368">
                  <c:v>-2234617.14464</c:v>
                </c:pt>
                <c:pt idx="2369">
                  <c:v>-2233740.465155</c:v>
                </c:pt>
                <c:pt idx="2370">
                  <c:v>-2232864.0149999997</c:v>
                </c:pt>
                <c:pt idx="2371">
                  <c:v>-2231987.7941449997</c:v>
                </c:pt>
                <c:pt idx="2372">
                  <c:v>-2231111.80256</c:v>
                </c:pt>
                <c:pt idx="2373">
                  <c:v>-2230236.040215</c:v>
                </c:pt>
                <c:pt idx="2374">
                  <c:v>-2229360.50708</c:v>
                </c:pt>
                <c:pt idx="2375">
                  <c:v>-2228485.203125</c:v>
                </c:pt>
                <c:pt idx="2376">
                  <c:v>-2227610.12832</c:v>
                </c:pt>
                <c:pt idx="2377">
                  <c:v>-2226735.282635</c:v>
                </c:pt>
                <c:pt idx="2378">
                  <c:v>-2225860.66604</c:v>
                </c:pt>
                <c:pt idx="2379">
                  <c:v>-2224986.278505</c:v>
                </c:pt>
                <c:pt idx="2380">
                  <c:v>-2224112.12</c:v>
                </c:pt>
                <c:pt idx="2381">
                  <c:v>-2223238.190495</c:v>
                </c:pt>
                <c:pt idx="2382">
                  <c:v>-2222364.4899600004</c:v>
                </c:pt>
                <c:pt idx="2383">
                  <c:v>-2221491.018365</c:v>
                </c:pt>
                <c:pt idx="2384">
                  <c:v>-2220617.77568</c:v>
                </c:pt>
                <c:pt idx="2385">
                  <c:v>-2219744.761875</c:v>
                </c:pt>
                <c:pt idx="2386">
                  <c:v>-2218871.97692</c:v>
                </c:pt>
                <c:pt idx="2387">
                  <c:v>-2217999.420785</c:v>
                </c:pt>
                <c:pt idx="2388">
                  <c:v>-2217127.09344</c:v>
                </c:pt>
                <c:pt idx="2389">
                  <c:v>-2216254.994855</c:v>
                </c:pt>
                <c:pt idx="2390">
                  <c:v>-2215383.125</c:v>
                </c:pt>
                <c:pt idx="2391">
                  <c:v>-2214511.483845</c:v>
                </c:pt>
                <c:pt idx="2392">
                  <c:v>-2213640.07136</c:v>
                </c:pt>
                <c:pt idx="2393">
                  <c:v>-2212768.887515</c:v>
                </c:pt>
                <c:pt idx="2394">
                  <c:v>-2211897.9322800003</c:v>
                </c:pt>
                <c:pt idx="2395">
                  <c:v>-2211027.205625</c:v>
                </c:pt>
                <c:pt idx="2396">
                  <c:v>-2210156.7075199997</c:v>
                </c:pt>
                <c:pt idx="2397">
                  <c:v>-2209286.437935</c:v>
                </c:pt>
                <c:pt idx="2398">
                  <c:v>-2208416.39684</c:v>
                </c:pt>
                <c:pt idx="2399">
                  <c:v>-2207546.5842049997</c:v>
                </c:pt>
                <c:pt idx="2400">
                  <c:v>-2206677.0</c:v>
                </c:pt>
                <c:pt idx="2401">
                  <c:v>-2205807.6441949997</c:v>
                </c:pt>
                <c:pt idx="2402">
                  <c:v>-2204938.51676</c:v>
                </c:pt>
                <c:pt idx="2403">
                  <c:v>-2204069.617665</c:v>
                </c:pt>
                <c:pt idx="2404">
                  <c:v>-2203200.9468799997</c:v>
                </c:pt>
                <c:pt idx="2405">
                  <c:v>-2202332.504375</c:v>
                </c:pt>
                <c:pt idx="2406">
                  <c:v>-2201464.29012</c:v>
                </c:pt>
                <c:pt idx="2407">
                  <c:v>-2200596.304085</c:v>
                </c:pt>
                <c:pt idx="2408">
                  <c:v>-2199728.54624</c:v>
                </c:pt>
                <c:pt idx="2409">
                  <c:v>-2198861.016555</c:v>
                </c:pt>
                <c:pt idx="2410">
                  <c:v>-2197993.715</c:v>
                </c:pt>
                <c:pt idx="2411">
                  <c:v>-2197126.641545</c:v>
                </c:pt>
                <c:pt idx="2412">
                  <c:v>-2196259.79616</c:v>
                </c:pt>
                <c:pt idx="2413">
                  <c:v>-2195393.178815</c:v>
                </c:pt>
                <c:pt idx="2414">
                  <c:v>-2194526.78948</c:v>
                </c:pt>
                <c:pt idx="2415">
                  <c:v>-2193660.6281250003</c:v>
                </c:pt>
                <c:pt idx="2416">
                  <c:v>-2192794.69472</c:v>
                </c:pt>
                <c:pt idx="2417">
                  <c:v>-2191928.9892349998</c:v>
                </c:pt>
                <c:pt idx="2418">
                  <c:v>-2191063.51164</c:v>
                </c:pt>
                <c:pt idx="2419">
                  <c:v>-2190198.261905</c:v>
                </c:pt>
                <c:pt idx="2420">
                  <c:v>-2189333.2399999998</c:v>
                </c:pt>
                <c:pt idx="2421">
                  <c:v>-2188468.445895</c:v>
                </c:pt>
                <c:pt idx="2422">
                  <c:v>-2187603.8795600003</c:v>
                </c:pt>
                <c:pt idx="2423">
                  <c:v>-2186739.540965</c:v>
                </c:pt>
                <c:pt idx="2424">
                  <c:v>-2185875.4300800003</c:v>
                </c:pt>
                <c:pt idx="2425">
                  <c:v>-2185011.546875</c:v>
                </c:pt>
                <c:pt idx="2426">
                  <c:v>-2184147.89132</c:v>
                </c:pt>
                <c:pt idx="2427">
                  <c:v>-2183284.463385</c:v>
                </c:pt>
                <c:pt idx="2428">
                  <c:v>-2182421.26304</c:v>
                </c:pt>
                <c:pt idx="2429">
                  <c:v>-2181558.290255</c:v>
                </c:pt>
                <c:pt idx="2430">
                  <c:v>-2180695.545</c:v>
                </c:pt>
                <c:pt idx="2431">
                  <c:v>-2179833.027245</c:v>
                </c:pt>
                <c:pt idx="2432">
                  <c:v>-2178970.73696</c:v>
                </c:pt>
                <c:pt idx="2433">
                  <c:v>-2178108.674115</c:v>
                </c:pt>
                <c:pt idx="2434">
                  <c:v>-2177246.83868</c:v>
                </c:pt>
                <c:pt idx="2435">
                  <c:v>-2176385.230625</c:v>
                </c:pt>
                <c:pt idx="2436">
                  <c:v>-2175523.84992</c:v>
                </c:pt>
                <c:pt idx="2437">
                  <c:v>-2174662.696535</c:v>
                </c:pt>
                <c:pt idx="2438">
                  <c:v>-2173801.7704399996</c:v>
                </c:pt>
                <c:pt idx="2439">
                  <c:v>-2172941.0716049997</c:v>
                </c:pt>
                <c:pt idx="2440">
                  <c:v>-2172080.6</c:v>
                </c:pt>
                <c:pt idx="2441">
                  <c:v>-2171220.355595</c:v>
                </c:pt>
                <c:pt idx="2442">
                  <c:v>-2170360.33836</c:v>
                </c:pt>
                <c:pt idx="2443">
                  <c:v>-2169500.548265</c:v>
                </c:pt>
                <c:pt idx="2444">
                  <c:v>-2168640.9852799997</c:v>
                </c:pt>
                <c:pt idx="2445">
                  <c:v>-2167781.649375</c:v>
                </c:pt>
                <c:pt idx="2446">
                  <c:v>-2166922.54052</c:v>
                </c:pt>
                <c:pt idx="2447">
                  <c:v>-2166063.6586849997</c:v>
                </c:pt>
                <c:pt idx="2448">
                  <c:v>-2165205.00384</c:v>
                </c:pt>
                <c:pt idx="2449">
                  <c:v>-2164346.575955</c:v>
                </c:pt>
                <c:pt idx="2450">
                  <c:v>-2163488.375</c:v>
                </c:pt>
                <c:pt idx="2451">
                  <c:v>-2162630.400945</c:v>
                </c:pt>
                <c:pt idx="2452">
                  <c:v>-2161772.65376</c:v>
                </c:pt>
                <c:pt idx="2453">
                  <c:v>-2160915.133415</c:v>
                </c:pt>
                <c:pt idx="2454">
                  <c:v>-2160057.83988</c:v>
                </c:pt>
                <c:pt idx="2455">
                  <c:v>-2159200.773125</c:v>
                </c:pt>
                <c:pt idx="2456">
                  <c:v>-2158343.93312</c:v>
                </c:pt>
                <c:pt idx="2457">
                  <c:v>-2157487.319835</c:v>
                </c:pt>
                <c:pt idx="2458">
                  <c:v>-2156630.93324</c:v>
                </c:pt>
                <c:pt idx="2459">
                  <c:v>-2155774.773305</c:v>
                </c:pt>
                <c:pt idx="2460">
                  <c:v>-2154918.84</c:v>
                </c:pt>
                <c:pt idx="2461">
                  <c:v>-2154063.133295</c:v>
                </c:pt>
                <c:pt idx="2462">
                  <c:v>-2153207.6531599998</c:v>
                </c:pt>
                <c:pt idx="2463">
                  <c:v>-2152352.399565</c:v>
                </c:pt>
                <c:pt idx="2464">
                  <c:v>-2151497.3724800004</c:v>
                </c:pt>
                <c:pt idx="2465">
                  <c:v>-2150642.571875</c:v>
                </c:pt>
                <c:pt idx="2466">
                  <c:v>-2149787.99772</c:v>
                </c:pt>
                <c:pt idx="2467">
                  <c:v>-2148933.649985</c:v>
                </c:pt>
                <c:pt idx="2468">
                  <c:v>-2148079.5286399997</c:v>
                </c:pt>
                <c:pt idx="2469">
                  <c:v>-2147225.633655</c:v>
                </c:pt>
                <c:pt idx="2470">
                  <c:v>-2146371.965</c:v>
                </c:pt>
                <c:pt idx="2471">
                  <c:v>-2145518.522645</c:v>
                </c:pt>
                <c:pt idx="2472">
                  <c:v>-2144665.30656</c:v>
                </c:pt>
                <c:pt idx="2473">
                  <c:v>-2143812.316715</c:v>
                </c:pt>
                <c:pt idx="2474">
                  <c:v>-2142959.55308</c:v>
                </c:pt>
                <c:pt idx="2475">
                  <c:v>-2142107.015625</c:v>
                </c:pt>
                <c:pt idx="2476">
                  <c:v>-2141254.70432</c:v>
                </c:pt>
                <c:pt idx="2477">
                  <c:v>-2140402.619135</c:v>
                </c:pt>
                <c:pt idx="2478">
                  <c:v>-2139550.76004</c:v>
                </c:pt>
                <c:pt idx="2479">
                  <c:v>-2138699.127005</c:v>
                </c:pt>
                <c:pt idx="2480">
                  <c:v>-2137847.72</c:v>
                </c:pt>
                <c:pt idx="2481">
                  <c:v>-2136996.538995</c:v>
                </c:pt>
                <c:pt idx="2482">
                  <c:v>-2136145.58396</c:v>
                </c:pt>
                <c:pt idx="2483">
                  <c:v>-2135294.854865</c:v>
                </c:pt>
                <c:pt idx="2484">
                  <c:v>-2134444.35168</c:v>
                </c:pt>
                <c:pt idx="2485">
                  <c:v>-2133594.0743750003</c:v>
                </c:pt>
                <c:pt idx="2486">
                  <c:v>-2132744.02292</c:v>
                </c:pt>
                <c:pt idx="2487">
                  <c:v>-2131894.1972850002</c:v>
                </c:pt>
                <c:pt idx="2488">
                  <c:v>-2131044.59744</c:v>
                </c:pt>
                <c:pt idx="2489">
                  <c:v>-2130195.223355</c:v>
                </c:pt>
                <c:pt idx="2490">
                  <c:v>-2129346.0749999997</c:v>
                </c:pt>
                <c:pt idx="2491">
                  <c:v>-2128497.152345</c:v>
                </c:pt>
                <c:pt idx="2492">
                  <c:v>-2127648.45536</c:v>
                </c:pt>
                <c:pt idx="2493">
                  <c:v>-2126799.984015</c:v>
                </c:pt>
                <c:pt idx="2494">
                  <c:v>-2125951.7382799997</c:v>
                </c:pt>
                <c:pt idx="2495">
                  <c:v>-2125103.7181249997</c:v>
                </c:pt>
                <c:pt idx="2496">
                  <c:v>-2124255.92352</c:v>
                </c:pt>
                <c:pt idx="2497">
                  <c:v>-2123408.354435</c:v>
                </c:pt>
                <c:pt idx="2498">
                  <c:v>-2122561.01084</c:v>
                </c:pt>
                <c:pt idx="2499">
                  <c:v>-2121713.892705</c:v>
                </c:pt>
                <c:pt idx="2500">
                  <c:v>-2120867.0</c:v>
                </c:pt>
                <c:pt idx="2501">
                  <c:v>-2120020.332695</c:v>
                </c:pt>
                <c:pt idx="2502">
                  <c:v>-2119173.89076</c:v>
                </c:pt>
                <c:pt idx="2503">
                  <c:v>-2118327.674165</c:v>
                </c:pt>
                <c:pt idx="2504">
                  <c:v>-2117481.68288</c:v>
                </c:pt>
                <c:pt idx="2505">
                  <c:v>-2116635.916875</c:v>
                </c:pt>
                <c:pt idx="2506">
                  <c:v>-2115790.3761199997</c:v>
                </c:pt>
                <c:pt idx="2507">
                  <c:v>-2114945.060585</c:v>
                </c:pt>
                <c:pt idx="2508">
                  <c:v>-2114099.97024</c:v>
                </c:pt>
                <c:pt idx="2509">
                  <c:v>-2113255.105055</c:v>
                </c:pt>
                <c:pt idx="2510">
                  <c:v>-2112410.465</c:v>
                </c:pt>
                <c:pt idx="2511">
                  <c:v>-2111566.0500450004</c:v>
                </c:pt>
                <c:pt idx="2512">
                  <c:v>-2110721.86016</c:v>
                </c:pt>
                <c:pt idx="2513">
                  <c:v>-2109877.8953150003</c:v>
                </c:pt>
                <c:pt idx="2514">
                  <c:v>-2109034.1554799997</c:v>
                </c:pt>
                <c:pt idx="2515">
                  <c:v>-2108190.640625</c:v>
                </c:pt>
                <c:pt idx="2516">
                  <c:v>-2107347.3507200005</c:v>
                </c:pt>
                <c:pt idx="2517">
                  <c:v>-2106504.2857350004</c:v>
                </c:pt>
                <c:pt idx="2518">
                  <c:v>-2105661.44564</c:v>
                </c:pt>
                <c:pt idx="2519">
                  <c:v>-2104818.830405</c:v>
                </c:pt>
                <c:pt idx="2520">
                  <c:v>-2103976.44</c:v>
                </c:pt>
                <c:pt idx="2521">
                  <c:v>-2103134.274395</c:v>
                </c:pt>
                <c:pt idx="2522">
                  <c:v>-2102292.33356</c:v>
                </c:pt>
                <c:pt idx="2523">
                  <c:v>-2101450.617465</c:v>
                </c:pt>
                <c:pt idx="2524">
                  <c:v>-2100609.1260800003</c:v>
                </c:pt>
                <c:pt idx="2525">
                  <c:v>-2099767.859375</c:v>
                </c:pt>
                <c:pt idx="2526">
                  <c:v>-2098926.81732</c:v>
                </c:pt>
                <c:pt idx="2527">
                  <c:v>-2098085.999885</c:v>
                </c:pt>
                <c:pt idx="2528">
                  <c:v>-2097245.40704</c:v>
                </c:pt>
                <c:pt idx="2529">
                  <c:v>-2096405.0387549999</c:v>
                </c:pt>
                <c:pt idx="2530">
                  <c:v>-2095564.895</c:v>
                </c:pt>
                <c:pt idx="2531">
                  <c:v>-2094724.9757450002</c:v>
                </c:pt>
                <c:pt idx="2532">
                  <c:v>-2093885.28096</c:v>
                </c:pt>
                <c:pt idx="2533">
                  <c:v>-2093045.8106149998</c:v>
                </c:pt>
                <c:pt idx="2534">
                  <c:v>-2092206.56468</c:v>
                </c:pt>
                <c:pt idx="2535">
                  <c:v>-2091367.5431249999</c:v>
                </c:pt>
                <c:pt idx="2536">
                  <c:v>-2090528.74592</c:v>
                </c:pt>
                <c:pt idx="2537">
                  <c:v>-2089690.173035</c:v>
                </c:pt>
                <c:pt idx="2538">
                  <c:v>-2088851.8244399999</c:v>
                </c:pt>
                <c:pt idx="2539">
                  <c:v>-2088013.700105</c:v>
                </c:pt>
                <c:pt idx="2540">
                  <c:v>-2087175.8000000003</c:v>
                </c:pt>
                <c:pt idx="2541">
                  <c:v>-2086338.1240949999</c:v>
                </c:pt>
                <c:pt idx="2542">
                  <c:v>-2085500.67236</c:v>
                </c:pt>
                <c:pt idx="2543">
                  <c:v>-2084663.4447650001</c:v>
                </c:pt>
                <c:pt idx="2544">
                  <c:v>-2083826.44128</c:v>
                </c:pt>
                <c:pt idx="2545">
                  <c:v>-2082989.661875</c:v>
                </c:pt>
                <c:pt idx="2546">
                  <c:v>-2082153.1065200001</c:v>
                </c:pt>
                <c:pt idx="2547">
                  <c:v>-2081316.775185</c:v>
                </c:pt>
                <c:pt idx="2548">
                  <c:v>-2080480.66784</c:v>
                </c:pt>
                <c:pt idx="2549">
                  <c:v>-2079644.784455</c:v>
                </c:pt>
                <c:pt idx="2550">
                  <c:v>-2078809.125</c:v>
                </c:pt>
                <c:pt idx="2551">
                  <c:v>-2077973.6894450001</c:v>
                </c:pt>
                <c:pt idx="2552">
                  <c:v>-2077138.4777600002</c:v>
                </c:pt>
                <c:pt idx="2553">
                  <c:v>-2076303.489915</c:v>
                </c:pt>
                <c:pt idx="2554">
                  <c:v>-2075468.72588</c:v>
                </c:pt>
                <c:pt idx="2555">
                  <c:v>-2074634.1856250002</c:v>
                </c:pt>
                <c:pt idx="2556">
                  <c:v>-2073799.86912</c:v>
                </c:pt>
                <c:pt idx="2557">
                  <c:v>-2072965.776335</c:v>
                </c:pt>
                <c:pt idx="2558">
                  <c:v>-2072131.90724</c:v>
                </c:pt>
                <c:pt idx="2559">
                  <c:v>-2071298.261805</c:v>
                </c:pt>
                <c:pt idx="2560">
                  <c:v>-2070464.8399999999</c:v>
                </c:pt>
                <c:pt idx="2561">
                  <c:v>-2069631.641795</c:v>
                </c:pt>
                <c:pt idx="2562">
                  <c:v>-2068798.66716</c:v>
                </c:pt>
                <c:pt idx="2563">
                  <c:v>-2067965.916065</c:v>
                </c:pt>
                <c:pt idx="2564">
                  <c:v>-2067133.38848</c:v>
                </c:pt>
                <c:pt idx="2565">
                  <c:v>-2066301.0843749999</c:v>
                </c:pt>
                <c:pt idx="2566">
                  <c:v>-2065469.00372</c:v>
                </c:pt>
                <c:pt idx="2567">
                  <c:v>-2064637.146485</c:v>
                </c:pt>
                <c:pt idx="2568">
                  <c:v>-2063805.51264</c:v>
                </c:pt>
                <c:pt idx="2569">
                  <c:v>-2062974.102155</c:v>
                </c:pt>
                <c:pt idx="2570">
                  <c:v>-2062142.915</c:v>
                </c:pt>
                <c:pt idx="2571">
                  <c:v>-2061311.951145</c:v>
                </c:pt>
                <c:pt idx="2572">
                  <c:v>-2060481.21056</c:v>
                </c:pt>
                <c:pt idx="2573">
                  <c:v>-2059650.693215</c:v>
                </c:pt>
                <c:pt idx="2574">
                  <c:v>-2058820.39908</c:v>
                </c:pt>
                <c:pt idx="2575">
                  <c:v>-2057990.328125</c:v>
                </c:pt>
                <c:pt idx="2576">
                  <c:v>-2057160.48032</c:v>
                </c:pt>
                <c:pt idx="2577">
                  <c:v>-2056330.8556350002</c:v>
                </c:pt>
                <c:pt idx="2578">
                  <c:v>-2055501.45404</c:v>
                </c:pt>
                <c:pt idx="2579">
                  <c:v>-2054672.275505</c:v>
                </c:pt>
                <c:pt idx="2580">
                  <c:v>-2053843.32</c:v>
                </c:pt>
                <c:pt idx="2581">
                  <c:v>-2053014.5874949999</c:v>
                </c:pt>
                <c:pt idx="2582">
                  <c:v>-2052186.07796</c:v>
                </c:pt>
                <c:pt idx="2583">
                  <c:v>-2051357.791365</c:v>
                </c:pt>
                <c:pt idx="2584">
                  <c:v>-2050529.72768</c:v>
                </c:pt>
                <c:pt idx="2585">
                  <c:v>-2049701.886875</c:v>
                </c:pt>
                <c:pt idx="2586">
                  <c:v>-2048874.2689200002</c:v>
                </c:pt>
                <c:pt idx="2587">
                  <c:v>-2048046.873785</c:v>
                </c:pt>
                <c:pt idx="2588">
                  <c:v>-2047219.70144</c:v>
                </c:pt>
                <c:pt idx="2589">
                  <c:v>-2046392.751855</c:v>
                </c:pt>
                <c:pt idx="2590">
                  <c:v>-2045566.0250000001</c:v>
                </c:pt>
                <c:pt idx="2591">
                  <c:v>-2044739.520845</c:v>
                </c:pt>
                <c:pt idx="2592">
                  <c:v>-2043913.23936</c:v>
                </c:pt>
                <c:pt idx="2593">
                  <c:v>-2043087.180515</c:v>
                </c:pt>
                <c:pt idx="2594">
                  <c:v>-2042261.34428</c:v>
                </c:pt>
                <c:pt idx="2595">
                  <c:v>-2041435.730625</c:v>
                </c:pt>
                <c:pt idx="2596">
                  <c:v>-2040610.33952</c:v>
                </c:pt>
                <c:pt idx="2597">
                  <c:v>-2039785.170935</c:v>
                </c:pt>
                <c:pt idx="2598">
                  <c:v>-2038960.22484</c:v>
                </c:pt>
                <c:pt idx="2599">
                  <c:v>-2038135.5012049999</c:v>
                </c:pt>
                <c:pt idx="2600">
                  <c:v>-2037311.0</c:v>
                </c:pt>
                <c:pt idx="2601">
                  <c:v>-2036486.721195</c:v>
                </c:pt>
                <c:pt idx="2602">
                  <c:v>-2035662.66476</c:v>
                </c:pt>
                <c:pt idx="2603">
                  <c:v>-2034838.830665</c:v>
                </c:pt>
                <c:pt idx="2604">
                  <c:v>-2034015.21888</c:v>
                </c:pt>
                <c:pt idx="2605">
                  <c:v>-2033191.829375</c:v>
                </c:pt>
                <c:pt idx="2606">
                  <c:v>-2032368.66212</c:v>
                </c:pt>
                <c:pt idx="2607">
                  <c:v>-2031545.7170850001</c:v>
                </c:pt>
                <c:pt idx="2608">
                  <c:v>-2030722.99424</c:v>
                </c:pt>
                <c:pt idx="2609">
                  <c:v>-2029900.493555</c:v>
                </c:pt>
                <c:pt idx="2610">
                  <c:v>-2029078.2149999999</c:v>
                </c:pt>
                <c:pt idx="2611">
                  <c:v>-2028256.158545</c:v>
                </c:pt>
                <c:pt idx="2612">
                  <c:v>-2027434.32416</c:v>
                </c:pt>
                <c:pt idx="2613">
                  <c:v>-2026612.711815</c:v>
                </c:pt>
                <c:pt idx="2614">
                  <c:v>-2025791.32148</c:v>
                </c:pt>
                <c:pt idx="2615">
                  <c:v>-2024970.153125</c:v>
                </c:pt>
                <c:pt idx="2616">
                  <c:v>-2024149.2067200001</c:v>
                </c:pt>
                <c:pt idx="2617">
                  <c:v>-2023328.482235</c:v>
                </c:pt>
                <c:pt idx="2618">
                  <c:v>-2022507.97964</c:v>
                </c:pt>
                <c:pt idx="2619">
                  <c:v>-2021687.698905</c:v>
                </c:pt>
                <c:pt idx="2620">
                  <c:v>-2020867.6400000001</c:v>
                </c:pt>
                <c:pt idx="2621">
                  <c:v>-2020047.802895</c:v>
                </c:pt>
                <c:pt idx="2622">
                  <c:v>-2019228.18756</c:v>
                </c:pt>
                <c:pt idx="2623">
                  <c:v>-2018408.793965</c:v>
                </c:pt>
                <c:pt idx="2624">
                  <c:v>-2017589.62208</c:v>
                </c:pt>
                <c:pt idx="2625">
                  <c:v>-2016770.671875</c:v>
                </c:pt>
                <c:pt idx="2626">
                  <c:v>-2015951.94332</c:v>
                </c:pt>
                <c:pt idx="2627">
                  <c:v>-2015133.4363850001</c:v>
                </c:pt>
                <c:pt idx="2628">
                  <c:v>-2014315.15104</c:v>
                </c:pt>
                <c:pt idx="2629">
                  <c:v>-2013497.087255</c:v>
                </c:pt>
                <c:pt idx="2630">
                  <c:v>-2012679.2449999999</c:v>
                </c:pt>
                <c:pt idx="2631">
                  <c:v>-2011861.624245</c:v>
                </c:pt>
                <c:pt idx="2632">
                  <c:v>-2011044.22496</c:v>
                </c:pt>
                <c:pt idx="2633">
                  <c:v>-2010227.047115</c:v>
                </c:pt>
                <c:pt idx="2634">
                  <c:v>-2009410.09068</c:v>
                </c:pt>
                <c:pt idx="2635">
                  <c:v>-2008593.355625</c:v>
                </c:pt>
                <c:pt idx="2636">
                  <c:v>-2007776.8419199998</c:v>
                </c:pt>
                <c:pt idx="2637">
                  <c:v>-2006960.549535</c:v>
                </c:pt>
                <c:pt idx="2638">
                  <c:v>-2006144.47844</c:v>
                </c:pt>
                <c:pt idx="2639">
                  <c:v>-2005328.628605</c:v>
                </c:pt>
                <c:pt idx="2640">
                  <c:v>-2004513.0</c:v>
                </c:pt>
                <c:pt idx="2641">
                  <c:v>-2003697.592595</c:v>
                </c:pt>
                <c:pt idx="2642">
                  <c:v>-2002882.40636</c:v>
                </c:pt>
                <c:pt idx="2643">
                  <c:v>-2002067.441265</c:v>
                </c:pt>
                <c:pt idx="2644">
                  <c:v>-2001252.69728</c:v>
                </c:pt>
                <c:pt idx="2645">
                  <c:v>-2000438.1743750002</c:v>
                </c:pt>
                <c:pt idx="2646">
                  <c:v>-1999623.87252</c:v>
                </c:pt>
                <c:pt idx="2647">
                  <c:v>-1998809.791685</c:v>
                </c:pt>
                <c:pt idx="2648">
                  <c:v>-1997995.93184</c:v>
                </c:pt>
                <c:pt idx="2649">
                  <c:v>-1997182.292955</c:v>
                </c:pt>
                <c:pt idx="2650">
                  <c:v>-1996368.875</c:v>
                </c:pt>
                <c:pt idx="2651">
                  <c:v>-1995555.6779450001</c:v>
                </c:pt>
                <c:pt idx="2652">
                  <c:v>-1994742.70176</c:v>
                </c:pt>
                <c:pt idx="2653">
                  <c:v>-1993929.946415</c:v>
                </c:pt>
                <c:pt idx="2654">
                  <c:v>-1993117.41188</c:v>
                </c:pt>
                <c:pt idx="2655">
                  <c:v>-1992305.098125</c:v>
                </c:pt>
                <c:pt idx="2656">
                  <c:v>-1991493.00512</c:v>
                </c:pt>
                <c:pt idx="2657">
                  <c:v>-1990681.1328349998</c:v>
                </c:pt>
                <c:pt idx="2658">
                  <c:v>-1989869.48124</c:v>
                </c:pt>
                <c:pt idx="2659">
                  <c:v>-1989058.0503049998</c:v>
                </c:pt>
                <c:pt idx="2660">
                  <c:v>-1988246.84</c:v>
                </c:pt>
                <c:pt idx="2661">
                  <c:v>-1987435.850295</c:v>
                </c:pt>
                <c:pt idx="2662">
                  <c:v>-1986625.08116</c:v>
                </c:pt>
                <c:pt idx="2663">
                  <c:v>-1985814.532565</c:v>
                </c:pt>
                <c:pt idx="2664">
                  <c:v>-1985004.20448</c:v>
                </c:pt>
                <c:pt idx="2665">
                  <c:v>-1984194.096875</c:v>
                </c:pt>
                <c:pt idx="2666">
                  <c:v>-1983384.20972</c:v>
                </c:pt>
                <c:pt idx="2667">
                  <c:v>-1982574.542985</c:v>
                </c:pt>
                <c:pt idx="2668">
                  <c:v>-1981765.09664</c:v>
                </c:pt>
                <c:pt idx="2669">
                  <c:v>-1980955.870655</c:v>
                </c:pt>
                <c:pt idx="2670">
                  <c:v>-1980146.865</c:v>
                </c:pt>
                <c:pt idx="2671">
                  <c:v>-1979338.079645</c:v>
                </c:pt>
                <c:pt idx="2672">
                  <c:v>-1978529.51456</c:v>
                </c:pt>
                <c:pt idx="2673">
                  <c:v>-1977721.1697149999</c:v>
                </c:pt>
                <c:pt idx="2674">
                  <c:v>-1976913.04508</c:v>
                </c:pt>
                <c:pt idx="2675">
                  <c:v>-1976105.140625</c:v>
                </c:pt>
                <c:pt idx="2676">
                  <c:v>-1975297.45632</c:v>
                </c:pt>
                <c:pt idx="2677">
                  <c:v>-1974489.992135</c:v>
                </c:pt>
                <c:pt idx="2678">
                  <c:v>-1973682.74804</c:v>
                </c:pt>
                <c:pt idx="2679">
                  <c:v>-1972875.724005</c:v>
                </c:pt>
                <c:pt idx="2680">
                  <c:v>-1972068.9200000002</c:v>
                </c:pt>
                <c:pt idx="2681">
                  <c:v>-1971262.335995</c:v>
                </c:pt>
                <c:pt idx="2682">
                  <c:v>-1970455.97196</c:v>
                </c:pt>
                <c:pt idx="2683">
                  <c:v>-1969649.8278649999</c:v>
                </c:pt>
                <c:pt idx="2684">
                  <c:v>-1968843.90368</c:v>
                </c:pt>
                <c:pt idx="2685">
                  <c:v>-1968038.1993749999</c:v>
                </c:pt>
                <c:pt idx="2686">
                  <c:v>-1967232.71492</c:v>
                </c:pt>
                <c:pt idx="2687">
                  <c:v>-1966427.450285</c:v>
                </c:pt>
                <c:pt idx="2688">
                  <c:v>-1965622.40544</c:v>
                </c:pt>
                <c:pt idx="2689">
                  <c:v>-1964817.580355</c:v>
                </c:pt>
                <c:pt idx="2690">
                  <c:v>-1964012.9749999999</c:v>
                </c:pt>
                <c:pt idx="2691">
                  <c:v>-1963208.589345</c:v>
                </c:pt>
                <c:pt idx="2692">
                  <c:v>-1962404.4233600001</c:v>
                </c:pt>
                <c:pt idx="2693">
                  <c:v>-1961600.477015</c:v>
                </c:pt>
                <c:pt idx="2694">
                  <c:v>-1960796.75028</c:v>
                </c:pt>
                <c:pt idx="2695">
                  <c:v>-1959993.243125</c:v>
                </c:pt>
                <c:pt idx="2696">
                  <c:v>-1959189.95552</c:v>
                </c:pt>
                <c:pt idx="2697">
                  <c:v>-1958386.887435</c:v>
                </c:pt>
                <c:pt idx="2698">
                  <c:v>-1957584.03884</c:v>
                </c:pt>
                <c:pt idx="2699">
                  <c:v>-1956781.409705</c:v>
                </c:pt>
                <c:pt idx="2700">
                  <c:v>-1955979.0</c:v>
                </c:pt>
                <c:pt idx="2701">
                  <c:v>-1955176.809695</c:v>
                </c:pt>
                <c:pt idx="2702">
                  <c:v>-1954374.83876</c:v>
                </c:pt>
                <c:pt idx="2703">
                  <c:v>-1953573.087165</c:v>
                </c:pt>
                <c:pt idx="2704">
                  <c:v>-1952771.5548800002</c:v>
                </c:pt>
                <c:pt idx="2705">
                  <c:v>-1951970.241875</c:v>
                </c:pt>
                <c:pt idx="2706">
                  <c:v>-1951169.14812</c:v>
                </c:pt>
                <c:pt idx="2707">
                  <c:v>-1950368.273585</c:v>
                </c:pt>
                <c:pt idx="2708">
                  <c:v>-1949567.61824</c:v>
                </c:pt>
                <c:pt idx="2709">
                  <c:v>-1948767.182055</c:v>
                </c:pt>
                <c:pt idx="2710">
                  <c:v>-1947966.965</c:v>
                </c:pt>
                <c:pt idx="2711">
                  <c:v>-1947166.967045</c:v>
                </c:pt>
                <c:pt idx="2712">
                  <c:v>-1946367.1881600001</c:v>
                </c:pt>
                <c:pt idx="2713">
                  <c:v>-1945567.628315</c:v>
                </c:pt>
                <c:pt idx="2714">
                  <c:v>-1944768.2874800002</c:v>
                </c:pt>
                <c:pt idx="2715">
                  <c:v>-1943969.1656250001</c:v>
                </c:pt>
                <c:pt idx="2716">
                  <c:v>-1943170.26272</c:v>
                </c:pt>
                <c:pt idx="2717">
                  <c:v>-1942371.578735</c:v>
                </c:pt>
                <c:pt idx="2718">
                  <c:v>-1941573.11364</c:v>
                </c:pt>
                <c:pt idx="2719">
                  <c:v>-1940774.867405</c:v>
                </c:pt>
                <c:pt idx="2720">
                  <c:v>-1939976.84</c:v>
                </c:pt>
                <c:pt idx="2721">
                  <c:v>-1939179.0313950002</c:v>
                </c:pt>
                <c:pt idx="2722">
                  <c:v>-1938381.44156</c:v>
                </c:pt>
                <c:pt idx="2723">
                  <c:v>-1937584.0704649999</c:v>
                </c:pt>
                <c:pt idx="2724">
                  <c:v>-1936786.91808</c:v>
                </c:pt>
                <c:pt idx="2725">
                  <c:v>-1935989.984375</c:v>
                </c:pt>
                <c:pt idx="2726">
                  <c:v>-1935193.26932</c:v>
                </c:pt>
                <c:pt idx="2727">
                  <c:v>-1934396.7728849999</c:v>
                </c:pt>
                <c:pt idx="2728">
                  <c:v>-1933600.49504</c:v>
                </c:pt>
                <c:pt idx="2729">
                  <c:v>-1932804.435755</c:v>
                </c:pt>
                <c:pt idx="2730">
                  <c:v>-1932008.595</c:v>
                </c:pt>
                <c:pt idx="2731">
                  <c:v>-1931212.9727450002</c:v>
                </c:pt>
                <c:pt idx="2732">
                  <c:v>-1930417.56896</c:v>
                </c:pt>
                <c:pt idx="2733">
                  <c:v>-1929622.383615</c:v>
                </c:pt>
                <c:pt idx="2734">
                  <c:v>-1928827.4166799998</c:v>
                </c:pt>
                <c:pt idx="2735">
                  <c:v>-1928032.6681249999</c:v>
                </c:pt>
                <c:pt idx="2736">
                  <c:v>-1927238.13792</c:v>
                </c:pt>
                <c:pt idx="2737">
                  <c:v>-1926443.826035</c:v>
                </c:pt>
                <c:pt idx="2738">
                  <c:v>-1925649.73244</c:v>
                </c:pt>
                <c:pt idx="2739">
                  <c:v>-1924855.857105</c:v>
                </c:pt>
                <c:pt idx="2740">
                  <c:v>-1924062.2</c:v>
                </c:pt>
                <c:pt idx="2741">
                  <c:v>-1923268.761095</c:v>
                </c:pt>
                <c:pt idx="2742">
                  <c:v>-1922475.54036</c:v>
                </c:pt>
                <c:pt idx="2743">
                  <c:v>-1921682.537765</c:v>
                </c:pt>
                <c:pt idx="2744">
                  <c:v>-1920889.75328</c:v>
                </c:pt>
                <c:pt idx="2745">
                  <c:v>-1920097.1868750001</c:v>
                </c:pt>
                <c:pt idx="2746">
                  <c:v>-1919304.83852</c:v>
                </c:pt>
                <c:pt idx="2747">
                  <c:v>-1918512.7081849999</c:v>
                </c:pt>
                <c:pt idx="2748">
                  <c:v>-1917720.79584</c:v>
                </c:pt>
                <c:pt idx="2749">
                  <c:v>-1916929.101455</c:v>
                </c:pt>
                <c:pt idx="2750">
                  <c:v>-1916137.625</c:v>
                </c:pt>
                <c:pt idx="2751">
                  <c:v>-1915346.366445</c:v>
                </c:pt>
                <c:pt idx="2752">
                  <c:v>-1914555.32576</c:v>
                </c:pt>
                <c:pt idx="2753">
                  <c:v>-1913764.502915</c:v>
                </c:pt>
                <c:pt idx="2754">
                  <c:v>-1912973.89788</c:v>
                </c:pt>
                <c:pt idx="2755">
                  <c:v>-1912183.5106249999</c:v>
                </c:pt>
                <c:pt idx="2756">
                  <c:v>-1911393.34112</c:v>
                </c:pt>
                <c:pt idx="2757">
                  <c:v>-1910603.389335</c:v>
                </c:pt>
                <c:pt idx="2758">
                  <c:v>-1909813.65524</c:v>
                </c:pt>
                <c:pt idx="2759">
                  <c:v>-1909024.138805</c:v>
                </c:pt>
                <c:pt idx="2760">
                  <c:v>-1908234.84</c:v>
                </c:pt>
                <c:pt idx="2761">
                  <c:v>-1907445.7587950001</c:v>
                </c:pt>
                <c:pt idx="2762">
                  <c:v>-1906656.89516</c:v>
                </c:pt>
                <c:pt idx="2763">
                  <c:v>-1905868.249065</c:v>
                </c:pt>
                <c:pt idx="2764">
                  <c:v>-1905079.82048</c:v>
                </c:pt>
                <c:pt idx="2765">
                  <c:v>-1904291.609375</c:v>
                </c:pt>
                <c:pt idx="2766">
                  <c:v>-1903503.61572</c:v>
                </c:pt>
                <c:pt idx="2767">
                  <c:v>-1902715.8394850001</c:v>
                </c:pt>
                <c:pt idx="2768">
                  <c:v>-1901928.28064</c:v>
                </c:pt>
                <c:pt idx="2769">
                  <c:v>-1901140.939155</c:v>
                </c:pt>
                <c:pt idx="2770">
                  <c:v>-1900353.8150000002</c:v>
                </c:pt>
                <c:pt idx="2771">
                  <c:v>-1899566.908145</c:v>
                </c:pt>
                <c:pt idx="2772">
                  <c:v>-1898780.21856</c:v>
                </c:pt>
                <c:pt idx="2773">
                  <c:v>-1897993.746215</c:v>
                </c:pt>
                <c:pt idx="2774">
                  <c:v>-1897207.49108</c:v>
                </c:pt>
                <c:pt idx="2775">
                  <c:v>-1896421.453125</c:v>
                </c:pt>
                <c:pt idx="2776">
                  <c:v>-1895635.6323199999</c:v>
                </c:pt>
                <c:pt idx="2777">
                  <c:v>-1894850.0286349999</c:v>
                </c:pt>
                <c:pt idx="2778">
                  <c:v>-1894064.64204</c:v>
                </c:pt>
                <c:pt idx="2779">
                  <c:v>-1893279.472505</c:v>
                </c:pt>
                <c:pt idx="2780">
                  <c:v>-1892494.52</c:v>
                </c:pt>
                <c:pt idx="2781">
                  <c:v>-1891709.784495</c:v>
                </c:pt>
                <c:pt idx="2782">
                  <c:v>-1890925.26596</c:v>
                </c:pt>
                <c:pt idx="2783">
                  <c:v>-1890140.964365</c:v>
                </c:pt>
                <c:pt idx="2784">
                  <c:v>-1889356.87968</c:v>
                </c:pt>
                <c:pt idx="2785">
                  <c:v>-1888573.011875</c:v>
                </c:pt>
                <c:pt idx="2786">
                  <c:v>-1887789.36092</c:v>
                </c:pt>
                <c:pt idx="2787">
                  <c:v>-1887005.926785</c:v>
                </c:pt>
                <c:pt idx="2788">
                  <c:v>-1886222.70944</c:v>
                </c:pt>
                <c:pt idx="2789">
                  <c:v>-1885439.7088549999</c:v>
                </c:pt>
                <c:pt idx="2790">
                  <c:v>-1884656.925</c:v>
                </c:pt>
                <c:pt idx="2791">
                  <c:v>-1883874.357845</c:v>
                </c:pt>
                <c:pt idx="2792">
                  <c:v>-1883092.00736</c:v>
                </c:pt>
                <c:pt idx="2793">
                  <c:v>-1882309.873515</c:v>
                </c:pt>
                <c:pt idx="2794">
                  <c:v>-1881527.95628</c:v>
                </c:pt>
                <c:pt idx="2795">
                  <c:v>-1880746.255625</c:v>
                </c:pt>
                <c:pt idx="2796">
                  <c:v>-1879964.77152</c:v>
                </c:pt>
                <c:pt idx="2797">
                  <c:v>-1879183.503935</c:v>
                </c:pt>
                <c:pt idx="2798">
                  <c:v>-1878402.45284</c:v>
                </c:pt>
                <c:pt idx="2799">
                  <c:v>-1877621.618205</c:v>
                </c:pt>
                <c:pt idx="2800">
                  <c:v>-1876841.0</c:v>
                </c:pt>
                <c:pt idx="2801">
                  <c:v>-1876060.5981949999</c:v>
                </c:pt>
                <c:pt idx="2802">
                  <c:v>-1875280.41276</c:v>
                </c:pt>
                <c:pt idx="2803">
                  <c:v>-1874500.4436650001</c:v>
                </c:pt>
                <c:pt idx="2804">
                  <c:v>-1873720.69088</c:v>
                </c:pt>
                <c:pt idx="2805">
                  <c:v>-1872941.1543750002</c:v>
                </c:pt>
                <c:pt idx="2806">
                  <c:v>-1872161.83412</c:v>
                </c:pt>
                <c:pt idx="2807">
                  <c:v>-1871382.730085</c:v>
                </c:pt>
                <c:pt idx="2808">
                  <c:v>-1870603.8422400001</c:v>
                </c:pt>
                <c:pt idx="2809">
                  <c:v>-1869825.1705550002</c:v>
                </c:pt>
                <c:pt idx="2810">
                  <c:v>-1869046.7149999999</c:v>
                </c:pt>
                <c:pt idx="2811">
                  <c:v>-1868268.4755449998</c:v>
                </c:pt>
                <c:pt idx="2812">
                  <c:v>-1867490.45216</c:v>
                </c:pt>
                <c:pt idx="2813">
                  <c:v>-1866712.644815</c:v>
                </c:pt>
                <c:pt idx="2814">
                  <c:v>-1865935.05348</c:v>
                </c:pt>
                <c:pt idx="2815">
                  <c:v>-1865157.6781249999</c:v>
                </c:pt>
                <c:pt idx="2816">
                  <c:v>-1864380.51872</c:v>
                </c:pt>
                <c:pt idx="2817">
                  <c:v>-1863603.5752349999</c:v>
                </c:pt>
                <c:pt idx="2818">
                  <c:v>-1862826.84764</c:v>
                </c:pt>
                <c:pt idx="2819">
                  <c:v>-1862050.3359049999</c:v>
                </c:pt>
                <c:pt idx="2820">
                  <c:v>-1861274.04</c:v>
                </c:pt>
                <c:pt idx="2821">
                  <c:v>-1860497.959895</c:v>
                </c:pt>
                <c:pt idx="2822">
                  <c:v>-1859722.09556</c:v>
                </c:pt>
                <c:pt idx="2823">
                  <c:v>-1858946.4469650001</c:v>
                </c:pt>
                <c:pt idx="2824">
                  <c:v>-1858171.01408</c:v>
                </c:pt>
                <c:pt idx="2825">
                  <c:v>-1857395.796875</c:v>
                </c:pt>
                <c:pt idx="2826">
                  <c:v>-1856620.79532</c:v>
                </c:pt>
                <c:pt idx="2827">
                  <c:v>-1855846.0093850002</c:v>
                </c:pt>
                <c:pt idx="2828">
                  <c:v>-1855071.43904</c:v>
                </c:pt>
                <c:pt idx="2829">
                  <c:v>-1854297.0842549999</c:v>
                </c:pt>
                <c:pt idx="2830">
                  <c:v>-1853522.945</c:v>
                </c:pt>
                <c:pt idx="2831">
                  <c:v>-1852749.0212450002</c:v>
                </c:pt>
                <c:pt idx="2832">
                  <c:v>-1851975.31296</c:v>
                </c:pt>
                <c:pt idx="2833">
                  <c:v>-1851201.820115</c:v>
                </c:pt>
                <c:pt idx="2834">
                  <c:v>-1850428.54268</c:v>
                </c:pt>
                <c:pt idx="2835">
                  <c:v>-1849655.480625</c:v>
                </c:pt>
                <c:pt idx="2836">
                  <c:v>-1848882.63392</c:v>
                </c:pt>
                <c:pt idx="2837">
                  <c:v>-1848110.002535</c:v>
                </c:pt>
                <c:pt idx="2838">
                  <c:v>-1847337.58644</c:v>
                </c:pt>
                <c:pt idx="2839">
                  <c:v>-1846565.3856050002</c:v>
                </c:pt>
                <c:pt idx="2840">
                  <c:v>-1845793.4000000001</c:v>
                </c:pt>
                <c:pt idx="2841">
                  <c:v>-1845021.6295949998</c:v>
                </c:pt>
                <c:pt idx="2842">
                  <c:v>-1844250.07436</c:v>
                </c:pt>
                <c:pt idx="2843">
                  <c:v>-1843478.7342649999</c:v>
                </c:pt>
                <c:pt idx="2844">
                  <c:v>-1842707.60928</c:v>
                </c:pt>
                <c:pt idx="2845">
                  <c:v>-1841936.699375</c:v>
                </c:pt>
                <c:pt idx="2846">
                  <c:v>-1841166.00452</c:v>
                </c:pt>
                <c:pt idx="2847">
                  <c:v>-1840395.524685</c:v>
                </c:pt>
                <c:pt idx="2848">
                  <c:v>-1839625.25984</c:v>
                </c:pt>
                <c:pt idx="2849">
                  <c:v>-1838855.209955</c:v>
                </c:pt>
                <c:pt idx="2850">
                  <c:v>-1838085.375</c:v>
                </c:pt>
                <c:pt idx="2851">
                  <c:v>-1837315.754945</c:v>
                </c:pt>
                <c:pt idx="2852">
                  <c:v>-1836546.3497600001</c:v>
                </c:pt>
                <c:pt idx="2853">
                  <c:v>-1835777.159415</c:v>
                </c:pt>
                <c:pt idx="2854">
                  <c:v>-1835008.18388</c:v>
                </c:pt>
                <c:pt idx="2855">
                  <c:v>-1834239.423125</c:v>
                </c:pt>
                <c:pt idx="2856">
                  <c:v>-1833470.87712</c:v>
                </c:pt>
                <c:pt idx="2857">
                  <c:v>-1832702.545835</c:v>
                </c:pt>
                <c:pt idx="2858">
                  <c:v>-1831934.42924</c:v>
                </c:pt>
                <c:pt idx="2859">
                  <c:v>-1831166.527305</c:v>
                </c:pt>
                <c:pt idx="2860">
                  <c:v>-1830398.8399999999</c:v>
                </c:pt>
                <c:pt idx="2861">
                  <c:v>-1829631.367295</c:v>
                </c:pt>
                <c:pt idx="2862">
                  <c:v>-1828864.10916</c:v>
                </c:pt>
                <c:pt idx="2863">
                  <c:v>-1828097.065565</c:v>
                </c:pt>
                <c:pt idx="2864">
                  <c:v>-1827330.23648</c:v>
                </c:pt>
                <c:pt idx="2865">
                  <c:v>-1826563.621875</c:v>
                </c:pt>
                <c:pt idx="2866">
                  <c:v>-1825797.22172</c:v>
                </c:pt>
                <c:pt idx="2867">
                  <c:v>-1825031.035985</c:v>
                </c:pt>
                <c:pt idx="2868">
                  <c:v>-1824265.06464</c:v>
                </c:pt>
                <c:pt idx="2869">
                  <c:v>-1823499.3076550001</c:v>
                </c:pt>
                <c:pt idx="2870">
                  <c:v>-1822733.7650000001</c:v>
                </c:pt>
                <c:pt idx="2871">
                  <c:v>-1821968.4366449998</c:v>
                </c:pt>
                <c:pt idx="2872">
                  <c:v>-1821203.32256</c:v>
                </c:pt>
                <c:pt idx="2873">
                  <c:v>-1820438.422715</c:v>
                </c:pt>
                <c:pt idx="2874">
                  <c:v>-1819673.73708</c:v>
                </c:pt>
                <c:pt idx="2875">
                  <c:v>-1818909.265625</c:v>
                </c:pt>
                <c:pt idx="2876">
                  <c:v>-1818145.00832</c:v>
                </c:pt>
                <c:pt idx="2877">
                  <c:v>-1817380.9651350002</c:v>
                </c:pt>
                <c:pt idx="2878">
                  <c:v>-1816617.13604</c:v>
                </c:pt>
                <c:pt idx="2879">
                  <c:v>-1815853.521005</c:v>
                </c:pt>
                <c:pt idx="2880">
                  <c:v>-1815090.1199999999</c:v>
                </c:pt>
                <c:pt idx="2881">
                  <c:v>-1814326.932995</c:v>
                </c:pt>
                <c:pt idx="2882">
                  <c:v>-1813563.9599600001</c:v>
                </c:pt>
                <c:pt idx="2883">
                  <c:v>-1812801.200865</c:v>
                </c:pt>
                <c:pt idx="2884">
                  <c:v>-1812038.65568</c:v>
                </c:pt>
                <c:pt idx="2885">
                  <c:v>-1811276.324375</c:v>
                </c:pt>
                <c:pt idx="2886">
                  <c:v>-1810514.20692</c:v>
                </c:pt>
                <c:pt idx="2887">
                  <c:v>-1809752.303285</c:v>
                </c:pt>
                <c:pt idx="2888">
                  <c:v>-1808990.61344</c:v>
                </c:pt>
                <c:pt idx="2889">
                  <c:v>-1808229.137355</c:v>
                </c:pt>
                <c:pt idx="2890">
                  <c:v>-1807467.875</c:v>
                </c:pt>
                <c:pt idx="2891">
                  <c:v>-1806706.8263450002</c:v>
                </c:pt>
                <c:pt idx="2892">
                  <c:v>-1805945.9913599999</c:v>
                </c:pt>
                <c:pt idx="2893">
                  <c:v>-1805185.370015</c:v>
                </c:pt>
                <c:pt idx="2894">
                  <c:v>-1804424.96228</c:v>
                </c:pt>
                <c:pt idx="2895">
                  <c:v>-1803664.7681250002</c:v>
                </c:pt>
                <c:pt idx="2896">
                  <c:v>-1802904.78752</c:v>
                </c:pt>
                <c:pt idx="2897">
                  <c:v>-1802145.0204349998</c:v>
                </c:pt>
                <c:pt idx="2898">
                  <c:v>-1801385.4668400001</c:v>
                </c:pt>
                <c:pt idx="2899">
                  <c:v>-1800626.126705</c:v>
                </c:pt>
                <c:pt idx="2900">
                  <c:v>-1799867.0</c:v>
                </c:pt>
                <c:pt idx="2901">
                  <c:v>-1799108.086695</c:v>
                </c:pt>
                <c:pt idx="2902">
                  <c:v>-1798349.3867600001</c:v>
                </c:pt>
                <c:pt idx="2903">
                  <c:v>-1797590.900165</c:v>
                </c:pt>
                <c:pt idx="2904">
                  <c:v>-1796832.62688</c:v>
                </c:pt>
                <c:pt idx="2905">
                  <c:v>-1796074.566875</c:v>
                </c:pt>
                <c:pt idx="2906">
                  <c:v>-1795316.72012</c:v>
                </c:pt>
                <c:pt idx="2907">
                  <c:v>-1794559.086585</c:v>
                </c:pt>
                <c:pt idx="2908">
                  <c:v>-1793801.66624</c:v>
                </c:pt>
                <c:pt idx="2909">
                  <c:v>-1793044.459055</c:v>
                </c:pt>
                <c:pt idx="2910">
                  <c:v>-1792287.465</c:v>
                </c:pt>
                <c:pt idx="2911">
                  <c:v>-1791530.684045</c:v>
                </c:pt>
                <c:pt idx="2912">
                  <c:v>-1790774.1161600002</c:v>
                </c:pt>
                <c:pt idx="2913">
                  <c:v>-1790017.761315</c:v>
                </c:pt>
                <c:pt idx="2914">
                  <c:v>-1789261.6194799999</c:v>
                </c:pt>
                <c:pt idx="2915">
                  <c:v>-1788505.690625</c:v>
                </c:pt>
                <c:pt idx="2916">
                  <c:v>-1787749.97472</c:v>
                </c:pt>
                <c:pt idx="2917">
                  <c:v>-1786994.471735</c:v>
                </c:pt>
                <c:pt idx="2918">
                  <c:v>-1786239.18164</c:v>
                </c:pt>
                <c:pt idx="2919">
                  <c:v>-1785484.104405</c:v>
                </c:pt>
                <c:pt idx="2920">
                  <c:v>-1784729.24</c:v>
                </c:pt>
                <c:pt idx="2921">
                  <c:v>-1783974.588395</c:v>
                </c:pt>
                <c:pt idx="2922">
                  <c:v>-1783220.1495599998</c:v>
                </c:pt>
                <c:pt idx="2923">
                  <c:v>-1782465.9234650002</c:v>
                </c:pt>
                <c:pt idx="2924">
                  <c:v>-1781711.91008</c:v>
                </c:pt>
                <c:pt idx="2925">
                  <c:v>-1780958.109375</c:v>
                </c:pt>
                <c:pt idx="2926">
                  <c:v>-1780204.5213199998</c:v>
                </c:pt>
                <c:pt idx="2927">
                  <c:v>-1779451.145885</c:v>
                </c:pt>
                <c:pt idx="2928">
                  <c:v>-1778697.9830399998</c:v>
                </c:pt>
                <c:pt idx="2929">
                  <c:v>-1777945.032755</c:v>
                </c:pt>
                <c:pt idx="2930">
                  <c:v>-1777192.2950000002</c:v>
                </c:pt>
                <c:pt idx="2931">
                  <c:v>-1776439.7697450002</c:v>
                </c:pt>
                <c:pt idx="2932">
                  <c:v>-1775687.4569599999</c:v>
                </c:pt>
                <c:pt idx="2933">
                  <c:v>-1774935.356615</c:v>
                </c:pt>
                <c:pt idx="2934">
                  <c:v>-1774183.46868</c:v>
                </c:pt>
                <c:pt idx="2935">
                  <c:v>-1773431.7931249999</c:v>
                </c:pt>
                <c:pt idx="2936">
                  <c:v>-1772680.3299200002</c:v>
                </c:pt>
                <c:pt idx="2937">
                  <c:v>-1771929.079035</c:v>
                </c:pt>
                <c:pt idx="2938">
                  <c:v>-1771178.04044</c:v>
                </c:pt>
                <c:pt idx="2939">
                  <c:v>-1770427.214105</c:v>
                </c:pt>
                <c:pt idx="2940">
                  <c:v>-1769676.5999999999</c:v>
                </c:pt>
                <c:pt idx="2941">
                  <c:v>-1768926.198095</c:v>
                </c:pt>
                <c:pt idx="2942">
                  <c:v>-1768176.0083599999</c:v>
                </c:pt>
                <c:pt idx="2943">
                  <c:v>-1767426.030765</c:v>
                </c:pt>
                <c:pt idx="2944">
                  <c:v>-1766676.26528</c:v>
                </c:pt>
                <c:pt idx="2945">
                  <c:v>-1765926.711875</c:v>
                </c:pt>
                <c:pt idx="2946">
                  <c:v>-1765177.3705199999</c:v>
                </c:pt>
                <c:pt idx="2947">
                  <c:v>-1764428.241185</c:v>
                </c:pt>
                <c:pt idx="2948">
                  <c:v>-1763679.32384</c:v>
                </c:pt>
                <c:pt idx="2949">
                  <c:v>-1762930.618455</c:v>
                </c:pt>
                <c:pt idx="2950">
                  <c:v>-1762182.125</c:v>
                </c:pt>
                <c:pt idx="2951">
                  <c:v>-1761433.8434450002</c:v>
                </c:pt>
                <c:pt idx="2952">
                  <c:v>-1760685.77376</c:v>
                </c:pt>
                <c:pt idx="2953">
                  <c:v>-1759937.915915</c:v>
                </c:pt>
                <c:pt idx="2954">
                  <c:v>-1759190.26988</c:v>
                </c:pt>
                <c:pt idx="2955">
                  <c:v>-1758442.835625</c:v>
                </c:pt>
                <c:pt idx="2956">
                  <c:v>-1757695.61312</c:v>
                </c:pt>
                <c:pt idx="2957">
                  <c:v>-1756948.6023350002</c:v>
                </c:pt>
                <c:pt idx="2958">
                  <c:v>-1756201.80324</c:v>
                </c:pt>
                <c:pt idx="2959">
                  <c:v>-1755455.2158050002</c:v>
                </c:pt>
                <c:pt idx="2960">
                  <c:v>-1754708.84</c:v>
                </c:pt>
                <c:pt idx="2961">
                  <c:v>-1753962.675795</c:v>
                </c:pt>
                <c:pt idx="2962">
                  <c:v>-1753216.7231599998</c:v>
                </c:pt>
                <c:pt idx="2963">
                  <c:v>-1752470.982065</c:v>
                </c:pt>
                <c:pt idx="2964">
                  <c:v>-1751725.45248</c:v>
                </c:pt>
                <c:pt idx="2965">
                  <c:v>-1750980.1343750001</c:v>
                </c:pt>
                <c:pt idx="2966">
                  <c:v>-1750235.0277200001</c:v>
                </c:pt>
                <c:pt idx="2967">
                  <c:v>-1749490.132485</c:v>
                </c:pt>
                <c:pt idx="2968">
                  <c:v>-1748745.44864</c:v>
                </c:pt>
                <c:pt idx="2969">
                  <c:v>-1748000.976155</c:v>
                </c:pt>
                <c:pt idx="2970">
                  <c:v>-1747256.715</c:v>
                </c:pt>
                <c:pt idx="2971">
                  <c:v>-1746512.665145</c:v>
                </c:pt>
                <c:pt idx="2972">
                  <c:v>-1745768.82656</c:v>
                </c:pt>
                <c:pt idx="2973">
                  <c:v>-1745025.199215</c:v>
                </c:pt>
                <c:pt idx="2974">
                  <c:v>-1744281.78308</c:v>
                </c:pt>
                <c:pt idx="2975">
                  <c:v>-1743538.578125</c:v>
                </c:pt>
                <c:pt idx="2976">
                  <c:v>-1742795.5843200001</c:v>
                </c:pt>
                <c:pt idx="2977">
                  <c:v>-1742052.801635</c:v>
                </c:pt>
                <c:pt idx="2978">
                  <c:v>-1741310.23004</c:v>
                </c:pt>
                <c:pt idx="2979">
                  <c:v>-1740567.8695049998</c:v>
                </c:pt>
                <c:pt idx="2980">
                  <c:v>-1739825.72</c:v>
                </c:pt>
                <c:pt idx="2981">
                  <c:v>-1739083.781495</c:v>
                </c:pt>
                <c:pt idx="2982">
                  <c:v>-1738342.05396</c:v>
                </c:pt>
                <c:pt idx="2983">
                  <c:v>-1737600.537365</c:v>
                </c:pt>
                <c:pt idx="2984">
                  <c:v>-1736859.23168</c:v>
                </c:pt>
                <c:pt idx="2985">
                  <c:v>-1736118.1368749999</c:v>
                </c:pt>
                <c:pt idx="2986">
                  <c:v>-1735377.25292</c:v>
                </c:pt>
                <c:pt idx="2987">
                  <c:v>-1734636.579785</c:v>
                </c:pt>
                <c:pt idx="2988">
                  <c:v>-1733896.11744</c:v>
                </c:pt>
                <c:pt idx="2989">
                  <c:v>-1733155.865855</c:v>
                </c:pt>
                <c:pt idx="2990">
                  <c:v>-1732415.825</c:v>
                </c:pt>
                <c:pt idx="2991">
                  <c:v>-1731675.9948449999</c:v>
                </c:pt>
                <c:pt idx="2992">
                  <c:v>-1730936.37536</c:v>
                </c:pt>
                <c:pt idx="2993">
                  <c:v>-1730196.966515</c:v>
                </c:pt>
                <c:pt idx="2994">
                  <c:v>-1729457.76828</c:v>
                </c:pt>
                <c:pt idx="2995">
                  <c:v>-1728718.7806250001</c:v>
                </c:pt>
                <c:pt idx="2996">
                  <c:v>-1727980.00352</c:v>
                </c:pt>
                <c:pt idx="2997">
                  <c:v>-1727241.436935</c:v>
                </c:pt>
                <c:pt idx="2998">
                  <c:v>-1726503.08084</c:v>
                </c:pt>
                <c:pt idx="2999">
                  <c:v>-1725764.935205</c:v>
                </c:pt>
                <c:pt idx="3000">
                  <c:v>-1725027.0</c:v>
                </c:pt>
                <c:pt idx="3001">
                  <c:v>-1724289.2751950002</c:v>
                </c:pt>
                <c:pt idx="3002">
                  <c:v>-1723551.76076</c:v>
                </c:pt>
                <c:pt idx="3003">
                  <c:v>-1722814.456665</c:v>
                </c:pt>
                <c:pt idx="3004">
                  <c:v>-1722077.36288</c:v>
                </c:pt>
                <c:pt idx="3005">
                  <c:v>-1721340.4793749999</c:v>
                </c:pt>
                <c:pt idx="3006">
                  <c:v>-1720603.8061199998</c:v>
                </c:pt>
                <c:pt idx="3007">
                  <c:v>-1719867.343085</c:v>
                </c:pt>
                <c:pt idx="3008">
                  <c:v>-1719131.0902399998</c:v>
                </c:pt>
                <c:pt idx="3009">
                  <c:v>-1718395.0475549998</c:v>
                </c:pt>
                <c:pt idx="3010">
                  <c:v>-1717659.215</c:v>
                </c:pt>
                <c:pt idx="3011">
                  <c:v>-1716923.592545</c:v>
                </c:pt>
                <c:pt idx="3012">
                  <c:v>-1716188.18016</c:v>
                </c:pt>
                <c:pt idx="3013">
                  <c:v>-1715452.977815</c:v>
                </c:pt>
                <c:pt idx="3014">
                  <c:v>-1714717.9854799998</c:v>
                </c:pt>
                <c:pt idx="3015">
                  <c:v>-1713983.203125</c:v>
                </c:pt>
                <c:pt idx="3016">
                  <c:v>-1713248.63072</c:v>
                </c:pt>
                <c:pt idx="3017">
                  <c:v>-1712514.268235</c:v>
                </c:pt>
                <c:pt idx="3018">
                  <c:v>-1711780.1156400002</c:v>
                </c:pt>
                <c:pt idx="3019">
                  <c:v>-1711046.1729050002</c:v>
                </c:pt>
                <c:pt idx="3020">
                  <c:v>-1710312.4400000002</c:v>
                </c:pt>
                <c:pt idx="3021">
                  <c:v>-1709578.916895</c:v>
                </c:pt>
                <c:pt idx="3022">
                  <c:v>-1708845.60356</c:v>
                </c:pt>
                <c:pt idx="3023">
                  <c:v>-1708112.499965</c:v>
                </c:pt>
                <c:pt idx="3024">
                  <c:v>-1707379.6060799998</c:v>
                </c:pt>
                <c:pt idx="3025">
                  <c:v>-1706646.921875</c:v>
                </c:pt>
                <c:pt idx="3026">
                  <c:v>-1705914.4473199998</c:v>
                </c:pt>
                <c:pt idx="3027">
                  <c:v>-1705182.182385</c:v>
                </c:pt>
                <c:pt idx="3028">
                  <c:v>-1704450.12704</c:v>
                </c:pt>
                <c:pt idx="3029">
                  <c:v>-1703718.281255</c:v>
                </c:pt>
                <c:pt idx="3030">
                  <c:v>-1702986.645</c:v>
                </c:pt>
                <c:pt idx="3031">
                  <c:v>-1702255.218245</c:v>
                </c:pt>
                <c:pt idx="3032">
                  <c:v>-1701524.0009599999</c:v>
                </c:pt>
                <c:pt idx="3033">
                  <c:v>-1700792.9931150002</c:v>
                </c:pt>
                <c:pt idx="3034">
                  <c:v>-1700062.19468</c:v>
                </c:pt>
                <c:pt idx="3035">
                  <c:v>-1699331.605625</c:v>
                </c:pt>
                <c:pt idx="3036">
                  <c:v>-1698601.2259199999</c:v>
                </c:pt>
                <c:pt idx="3037">
                  <c:v>-1697871.055535</c:v>
                </c:pt>
                <c:pt idx="3038">
                  <c:v>-1697141.09444</c:v>
                </c:pt>
                <c:pt idx="3039">
                  <c:v>-1696411.342605</c:v>
                </c:pt>
                <c:pt idx="3040">
                  <c:v>-1695681.8</c:v>
                </c:pt>
                <c:pt idx="3041">
                  <c:v>-1694952.466595</c:v>
                </c:pt>
                <c:pt idx="3042">
                  <c:v>-1694223.34236</c:v>
                </c:pt>
                <c:pt idx="3043">
                  <c:v>-1693494.427265</c:v>
                </c:pt>
                <c:pt idx="3044">
                  <c:v>-1692765.72128</c:v>
                </c:pt>
                <c:pt idx="3045">
                  <c:v>-1692037.224375</c:v>
                </c:pt>
                <c:pt idx="3046">
                  <c:v>-1691308.93652</c:v>
                </c:pt>
                <c:pt idx="3047">
                  <c:v>-1690580.8576850002</c:v>
                </c:pt>
                <c:pt idx="3048">
                  <c:v>-1689852.98784</c:v>
                </c:pt>
                <c:pt idx="3049">
                  <c:v>-1689125.3269550002</c:v>
                </c:pt>
                <c:pt idx="3050">
                  <c:v>-1688397.875</c:v>
                </c:pt>
                <c:pt idx="3051">
                  <c:v>-1687670.631945</c:v>
                </c:pt>
                <c:pt idx="3052">
                  <c:v>-1686943.59776</c:v>
                </c:pt>
                <c:pt idx="3053">
                  <c:v>-1686216.772415</c:v>
                </c:pt>
                <c:pt idx="3054">
                  <c:v>-1685490.15588</c:v>
                </c:pt>
                <c:pt idx="3055">
                  <c:v>-1684763.7481250002</c:v>
                </c:pt>
                <c:pt idx="3056">
                  <c:v>-1684037.54912</c:v>
                </c:pt>
                <c:pt idx="3057">
                  <c:v>-1683311.558835</c:v>
                </c:pt>
                <c:pt idx="3058">
                  <c:v>-1682585.77724</c:v>
                </c:pt>
                <c:pt idx="3059">
                  <c:v>-1681860.204305</c:v>
                </c:pt>
                <c:pt idx="3060">
                  <c:v>-1681134.8399999999</c:v>
                </c:pt>
                <c:pt idx="3061">
                  <c:v>-1680409.684295</c:v>
                </c:pt>
                <c:pt idx="3062">
                  <c:v>-1679684.73716</c:v>
                </c:pt>
                <c:pt idx="3063">
                  <c:v>-1678959.998565</c:v>
                </c:pt>
                <c:pt idx="3064">
                  <c:v>-1678235.46848</c:v>
                </c:pt>
                <c:pt idx="3065">
                  <c:v>-1677511.1468749999</c:v>
                </c:pt>
                <c:pt idx="3066">
                  <c:v>-1676787.03372</c:v>
                </c:pt>
                <c:pt idx="3067">
                  <c:v>-1676063.128985</c:v>
                </c:pt>
                <c:pt idx="3068">
                  <c:v>-1675339.43264</c:v>
                </c:pt>
                <c:pt idx="3069">
                  <c:v>-1674615.944655</c:v>
                </c:pt>
                <c:pt idx="3070">
                  <c:v>-1673892.665</c:v>
                </c:pt>
                <c:pt idx="3071">
                  <c:v>-1673169.5936450001</c:v>
                </c:pt>
                <c:pt idx="3072">
                  <c:v>-1672446.73056</c:v>
                </c:pt>
                <c:pt idx="3073">
                  <c:v>-1671724.075715</c:v>
                </c:pt>
                <c:pt idx="3074">
                  <c:v>-1671001.6290799999</c:v>
                </c:pt>
                <c:pt idx="3075">
                  <c:v>-1670279.390625</c:v>
                </c:pt>
                <c:pt idx="3076">
                  <c:v>-1669557.36032</c:v>
                </c:pt>
                <c:pt idx="3077">
                  <c:v>-1668835.538135</c:v>
                </c:pt>
                <c:pt idx="3078">
                  <c:v>-1668113.92404</c:v>
                </c:pt>
                <c:pt idx="3079">
                  <c:v>-1667392.518005</c:v>
                </c:pt>
                <c:pt idx="3080">
                  <c:v>-1666671.32</c:v>
                </c:pt>
                <c:pt idx="3081">
                  <c:v>-1665950.329995</c:v>
                </c:pt>
                <c:pt idx="3082">
                  <c:v>-1665229.5479599999</c:v>
                </c:pt>
                <c:pt idx="3083">
                  <c:v>-1664508.9738649998</c:v>
                </c:pt>
                <c:pt idx="3084">
                  <c:v>-1663788.6076800001</c:v>
                </c:pt>
                <c:pt idx="3085">
                  <c:v>-1663068.449375</c:v>
                </c:pt>
                <c:pt idx="3086">
                  <c:v>-1662348.49892</c:v>
                </c:pt>
                <c:pt idx="3087">
                  <c:v>-1661628.7562850001</c:v>
                </c:pt>
                <c:pt idx="3088">
                  <c:v>-1660909.22144</c:v>
                </c:pt>
                <c:pt idx="3089">
                  <c:v>-1660189.894355</c:v>
                </c:pt>
                <c:pt idx="3090">
                  <c:v>-1659470.7750000001</c:v>
                </c:pt>
                <c:pt idx="3091">
                  <c:v>-1658751.863345</c:v>
                </c:pt>
                <c:pt idx="3092">
                  <c:v>-1658033.1593600002</c:v>
                </c:pt>
                <c:pt idx="3093">
                  <c:v>-1657314.663015</c:v>
                </c:pt>
                <c:pt idx="3094">
                  <c:v>-1656596.37428</c:v>
                </c:pt>
                <c:pt idx="3095">
                  <c:v>-1655878.293125</c:v>
                </c:pt>
                <c:pt idx="3096">
                  <c:v>-1655160.41952</c:v>
                </c:pt>
                <c:pt idx="3097">
                  <c:v>-1654442.753435</c:v>
                </c:pt>
                <c:pt idx="3098">
                  <c:v>-1653725.29484</c:v>
                </c:pt>
                <c:pt idx="3099">
                  <c:v>-1653008.0437049998</c:v>
                </c:pt>
                <c:pt idx="3100">
                  <c:v>-1652291.0</c:v>
                </c:pt>
                <c:pt idx="3101">
                  <c:v>-1651574.163695</c:v>
                </c:pt>
                <c:pt idx="3102">
                  <c:v>-1650857.53476</c:v>
                </c:pt>
                <c:pt idx="3103">
                  <c:v>-1650141.113165</c:v>
                </c:pt>
                <c:pt idx="3104">
                  <c:v>-1649424.89888</c:v>
                </c:pt>
                <c:pt idx="3105">
                  <c:v>-1648708.891875</c:v>
                </c:pt>
                <c:pt idx="3106">
                  <c:v>-1647993.09212</c:v>
                </c:pt>
                <c:pt idx="3107">
                  <c:v>-1647277.4995849999</c:v>
                </c:pt>
                <c:pt idx="3108">
                  <c:v>-1646562.11424</c:v>
                </c:pt>
                <c:pt idx="3109">
                  <c:v>-1645846.936055</c:v>
                </c:pt>
                <c:pt idx="3110">
                  <c:v>-1645131.9649999999</c:v>
                </c:pt>
                <c:pt idx="3111">
                  <c:v>-1644417.201045</c:v>
                </c:pt>
                <c:pt idx="3112">
                  <c:v>-1643702.64416</c:v>
                </c:pt>
                <c:pt idx="3113">
                  <c:v>-1642988.294315</c:v>
                </c:pt>
                <c:pt idx="3114">
                  <c:v>-1642274.15148</c:v>
                </c:pt>
                <c:pt idx="3115">
                  <c:v>-1641560.215625</c:v>
                </c:pt>
                <c:pt idx="3116">
                  <c:v>-1640846.48672</c:v>
                </c:pt>
                <c:pt idx="3117">
                  <c:v>-1640132.964735</c:v>
                </c:pt>
                <c:pt idx="3118">
                  <c:v>-1639419.64964</c:v>
                </c:pt>
                <c:pt idx="3119">
                  <c:v>-1638706.541405</c:v>
                </c:pt>
                <c:pt idx="3120">
                  <c:v>-1637993.6400000001</c:v>
                </c:pt>
                <c:pt idx="3121">
                  <c:v>-1637280.945395</c:v>
                </c:pt>
                <c:pt idx="3122">
                  <c:v>-1636568.45756</c:v>
                </c:pt>
                <c:pt idx="3123">
                  <c:v>-1635856.176465</c:v>
                </c:pt>
                <c:pt idx="3124">
                  <c:v>-1635144.1020799999</c:v>
                </c:pt>
                <c:pt idx="3125">
                  <c:v>-1634432.234375</c:v>
                </c:pt>
                <c:pt idx="3126">
                  <c:v>-1633720.57332</c:v>
                </c:pt>
                <c:pt idx="3127">
                  <c:v>-1633009.118885</c:v>
                </c:pt>
                <c:pt idx="3128">
                  <c:v>-1632297.8710399999</c:v>
                </c:pt>
                <c:pt idx="3129">
                  <c:v>-1631586.8297549998</c:v>
                </c:pt>
                <c:pt idx="3130">
                  <c:v>-1630875.9949999999</c:v>
                </c:pt>
                <c:pt idx="3131">
                  <c:v>-1630165.366745</c:v>
                </c:pt>
                <c:pt idx="3132">
                  <c:v>-1629454.94496</c:v>
                </c:pt>
                <c:pt idx="3133">
                  <c:v>-1628744.729615</c:v>
                </c:pt>
                <c:pt idx="3134">
                  <c:v>-1628034.72068</c:v>
                </c:pt>
                <c:pt idx="3135">
                  <c:v>-1627324.918125</c:v>
                </c:pt>
                <c:pt idx="3136">
                  <c:v>-1626615.32192</c:v>
                </c:pt>
                <c:pt idx="3137">
                  <c:v>-1625905.932035</c:v>
                </c:pt>
                <c:pt idx="3138">
                  <c:v>-1625196.74844</c:v>
                </c:pt>
                <c:pt idx="3139">
                  <c:v>-1624487.771105</c:v>
                </c:pt>
                <c:pt idx="3140">
                  <c:v>-1623779.0</c:v>
                </c:pt>
                <c:pt idx="3141">
                  <c:v>-1623070.435095</c:v>
                </c:pt>
                <c:pt idx="3142">
                  <c:v>-1622362.07636</c:v>
                </c:pt>
                <c:pt idx="3143">
                  <c:v>-1621653.923765</c:v>
                </c:pt>
                <c:pt idx="3144">
                  <c:v>-1620945.97728</c:v>
                </c:pt>
                <c:pt idx="3145">
                  <c:v>-1620238.236875</c:v>
                </c:pt>
                <c:pt idx="3146">
                  <c:v>-1619530.70252</c:v>
                </c:pt>
                <c:pt idx="3147">
                  <c:v>-1618823.3741849998</c:v>
                </c:pt>
                <c:pt idx="3148">
                  <c:v>-1618116.25184</c:v>
                </c:pt>
                <c:pt idx="3149">
                  <c:v>-1617409.335455</c:v>
                </c:pt>
                <c:pt idx="3150">
                  <c:v>-1616702.625</c:v>
                </c:pt>
                <c:pt idx="3151">
                  <c:v>-1615996.120445</c:v>
                </c:pt>
                <c:pt idx="3152">
                  <c:v>-1615289.82176</c:v>
                </c:pt>
                <c:pt idx="3153">
                  <c:v>-1614583.7289149999</c:v>
                </c:pt>
                <c:pt idx="3154">
                  <c:v>-1613877.84188</c:v>
                </c:pt>
                <c:pt idx="3155">
                  <c:v>-1613172.1606249998</c:v>
                </c:pt>
                <c:pt idx="3156">
                  <c:v>-1612466.68512</c:v>
                </c:pt>
                <c:pt idx="3157">
                  <c:v>-1611761.415335</c:v>
                </c:pt>
                <c:pt idx="3158">
                  <c:v>-1611056.35124</c:v>
                </c:pt>
                <c:pt idx="3159">
                  <c:v>-1610351.4928050002</c:v>
                </c:pt>
                <c:pt idx="3160">
                  <c:v>-1609646.84</c:v>
                </c:pt>
                <c:pt idx="3161">
                  <c:v>-1608942.392795</c:v>
                </c:pt>
                <c:pt idx="3162">
                  <c:v>-1608238.15116</c:v>
                </c:pt>
                <c:pt idx="3163">
                  <c:v>-1607534.115065</c:v>
                </c:pt>
                <c:pt idx="3164">
                  <c:v>-1606830.2844800001</c:v>
                </c:pt>
                <c:pt idx="3165">
                  <c:v>-1606126.659375</c:v>
                </c:pt>
                <c:pt idx="3166">
                  <c:v>-1605423.2397200002</c:v>
                </c:pt>
                <c:pt idx="3167">
                  <c:v>-1604720.025485</c:v>
                </c:pt>
                <c:pt idx="3168">
                  <c:v>-1604017.01664</c:v>
                </c:pt>
                <c:pt idx="3169">
                  <c:v>-1603314.213155</c:v>
                </c:pt>
                <c:pt idx="3170">
                  <c:v>-1602611.615</c:v>
                </c:pt>
                <c:pt idx="3171">
                  <c:v>-1601909.222145</c:v>
                </c:pt>
                <c:pt idx="3172">
                  <c:v>-1601207.03456</c:v>
                </c:pt>
                <c:pt idx="3173">
                  <c:v>-1600505.0522150001</c:v>
                </c:pt>
                <c:pt idx="3174">
                  <c:v>-1599803.2750799998</c:v>
                </c:pt>
                <c:pt idx="3175">
                  <c:v>-1599101.703125</c:v>
                </c:pt>
                <c:pt idx="3176">
                  <c:v>-1598400.33632</c:v>
                </c:pt>
                <c:pt idx="3177">
                  <c:v>-1597699.174635</c:v>
                </c:pt>
                <c:pt idx="3178">
                  <c:v>-1596998.2180400002</c:v>
                </c:pt>
                <c:pt idx="3179">
                  <c:v>-1596297.4665050001</c:v>
                </c:pt>
                <c:pt idx="3180">
                  <c:v>-1595596.9200000002</c:v>
                </c:pt>
                <c:pt idx="3181">
                  <c:v>-1594896.578495</c:v>
                </c:pt>
                <c:pt idx="3182">
                  <c:v>-1594196.44196</c:v>
                </c:pt>
                <c:pt idx="3183">
                  <c:v>-1593496.5103649998</c:v>
                </c:pt>
                <c:pt idx="3184">
                  <c:v>-1592796.78368</c:v>
                </c:pt>
                <c:pt idx="3185">
                  <c:v>-1592097.261875</c:v>
                </c:pt>
                <c:pt idx="3186">
                  <c:v>-1591397.94492</c:v>
                </c:pt>
                <c:pt idx="3187">
                  <c:v>-1590698.832785</c:v>
                </c:pt>
                <c:pt idx="3188">
                  <c:v>-1589999.92544</c:v>
                </c:pt>
                <c:pt idx="3189">
                  <c:v>-1589301.222855</c:v>
                </c:pt>
                <c:pt idx="3190">
                  <c:v>-1588602.7249999999</c:v>
                </c:pt>
                <c:pt idx="3191">
                  <c:v>-1587904.431845</c:v>
                </c:pt>
                <c:pt idx="3192">
                  <c:v>-1587206.3433599998</c:v>
                </c:pt>
                <c:pt idx="3193">
                  <c:v>-1586508.459515</c:v>
                </c:pt>
                <c:pt idx="3194">
                  <c:v>-1585810.78028</c:v>
                </c:pt>
                <c:pt idx="3195">
                  <c:v>-1585113.305625</c:v>
                </c:pt>
                <c:pt idx="3196">
                  <c:v>-1584416.0355200002</c:v>
                </c:pt>
                <c:pt idx="3197">
                  <c:v>-1583718.969935</c:v>
                </c:pt>
                <c:pt idx="3198">
                  <c:v>-1583022.1088400001</c:v>
                </c:pt>
                <c:pt idx="3199">
                  <c:v>-1582325.452205</c:v>
                </c:pt>
                <c:pt idx="3200">
                  <c:v>-1581629.0</c:v>
                </c:pt>
                <c:pt idx="3201">
                  <c:v>-1580932.752195</c:v>
                </c:pt>
                <c:pt idx="3202">
                  <c:v>-1580236.70876</c:v>
                </c:pt>
                <c:pt idx="3203">
                  <c:v>-1579540.8696650001</c:v>
                </c:pt>
                <c:pt idx="3204">
                  <c:v>-1578845.2348800001</c:v>
                </c:pt>
                <c:pt idx="3205">
                  <c:v>-1578149.804375</c:v>
                </c:pt>
                <c:pt idx="3206">
                  <c:v>-1577454.57812</c:v>
                </c:pt>
                <c:pt idx="3207">
                  <c:v>-1576759.556085</c:v>
                </c:pt>
                <c:pt idx="3208">
                  <c:v>-1576064.73824</c:v>
                </c:pt>
                <c:pt idx="3209">
                  <c:v>-1575370.1245549999</c:v>
                </c:pt>
                <c:pt idx="3210">
                  <c:v>-1574675.715</c:v>
                </c:pt>
                <c:pt idx="3211">
                  <c:v>-1573981.509545</c:v>
                </c:pt>
                <c:pt idx="3212">
                  <c:v>-1573287.50816</c:v>
                </c:pt>
                <c:pt idx="3213">
                  <c:v>-1572593.7108149999</c:v>
                </c:pt>
                <c:pt idx="3214">
                  <c:v>-1571900.11748</c:v>
                </c:pt>
                <c:pt idx="3215">
                  <c:v>-1571206.7281250001</c:v>
                </c:pt>
                <c:pt idx="3216">
                  <c:v>-1570513.54272</c:v>
                </c:pt>
                <c:pt idx="3217">
                  <c:v>-1569820.561235</c:v>
                </c:pt>
                <c:pt idx="3218">
                  <c:v>-1569127.78364</c:v>
                </c:pt>
                <c:pt idx="3219">
                  <c:v>-1568435.209905</c:v>
                </c:pt>
                <c:pt idx="3220">
                  <c:v>-1567742.84</c:v>
                </c:pt>
                <c:pt idx="3221">
                  <c:v>-1567050.673895</c:v>
                </c:pt>
                <c:pt idx="3222">
                  <c:v>-1566358.71156</c:v>
                </c:pt>
                <c:pt idx="3223">
                  <c:v>-1565666.952965</c:v>
                </c:pt>
                <c:pt idx="3224">
                  <c:v>-1564975.39808</c:v>
                </c:pt>
                <c:pt idx="3225">
                  <c:v>-1564284.046875</c:v>
                </c:pt>
                <c:pt idx="3226">
                  <c:v>-1563592.89932</c:v>
                </c:pt>
                <c:pt idx="3227">
                  <c:v>-1562901.955385</c:v>
                </c:pt>
                <c:pt idx="3228">
                  <c:v>-1562211.2150400002</c:v>
                </c:pt>
                <c:pt idx="3229">
                  <c:v>-1561520.678255</c:v>
                </c:pt>
                <c:pt idx="3230">
                  <c:v>-1560830.345</c:v>
                </c:pt>
                <c:pt idx="3231">
                  <c:v>-1560140.2152449999</c:v>
                </c:pt>
                <c:pt idx="3232">
                  <c:v>-1559450.28896</c:v>
                </c:pt>
                <c:pt idx="3233">
                  <c:v>-1558760.566115</c:v>
                </c:pt>
                <c:pt idx="3234">
                  <c:v>-1558071.0466800001</c:v>
                </c:pt>
                <c:pt idx="3235">
                  <c:v>-1557381.7306249999</c:v>
                </c:pt>
                <c:pt idx="3236">
                  <c:v>-1556692.61792</c:v>
                </c:pt>
                <c:pt idx="3237">
                  <c:v>-1556003.708535</c:v>
                </c:pt>
                <c:pt idx="3238">
                  <c:v>-1555315.00244</c:v>
                </c:pt>
                <c:pt idx="3239">
                  <c:v>-1554626.499605</c:v>
                </c:pt>
                <c:pt idx="3240">
                  <c:v>-1553938.2</c:v>
                </c:pt>
                <c:pt idx="3241">
                  <c:v>-1553250.103595</c:v>
                </c:pt>
                <c:pt idx="3242">
                  <c:v>-1552562.2103600001</c:v>
                </c:pt>
                <c:pt idx="3243">
                  <c:v>-1551874.520265</c:v>
                </c:pt>
                <c:pt idx="3244">
                  <c:v>-1551187.0332799999</c:v>
                </c:pt>
                <c:pt idx="3245">
                  <c:v>-1550499.7493750001</c:v>
                </c:pt>
                <c:pt idx="3246">
                  <c:v>-1549812.66852</c:v>
                </c:pt>
                <c:pt idx="3247">
                  <c:v>-1549125.7906850001</c:v>
                </c:pt>
                <c:pt idx="3248">
                  <c:v>-1548439.11584</c:v>
                </c:pt>
                <c:pt idx="3249">
                  <c:v>-1547752.643955</c:v>
                </c:pt>
                <c:pt idx="3250">
                  <c:v>-1547066.375</c:v>
                </c:pt>
                <c:pt idx="3251">
                  <c:v>-1546380.308945</c:v>
                </c:pt>
                <c:pt idx="3252">
                  <c:v>-1545694.44576</c:v>
                </c:pt>
                <c:pt idx="3253">
                  <c:v>-1545008.785415</c:v>
                </c:pt>
                <c:pt idx="3254">
                  <c:v>-1544323.32788</c:v>
                </c:pt>
                <c:pt idx="3255">
                  <c:v>-1543638.0731249999</c:v>
                </c:pt>
                <c:pt idx="3256">
                  <c:v>-1542953.0211200002</c:v>
                </c:pt>
                <c:pt idx="3257">
                  <c:v>-1542268.171835</c:v>
                </c:pt>
                <c:pt idx="3258">
                  <c:v>-1541583.52524</c:v>
                </c:pt>
                <c:pt idx="3259">
                  <c:v>-1540899.081305</c:v>
                </c:pt>
                <c:pt idx="3260">
                  <c:v>-1540214.84</c:v>
                </c:pt>
                <c:pt idx="3261">
                  <c:v>-1539530.8012950001</c:v>
                </c:pt>
                <c:pt idx="3262">
                  <c:v>-1538846.96516</c:v>
                </c:pt>
                <c:pt idx="3263">
                  <c:v>-1538163.331565</c:v>
                </c:pt>
                <c:pt idx="3264">
                  <c:v>-1537479.90048</c:v>
                </c:pt>
                <c:pt idx="3265">
                  <c:v>-1536796.671875</c:v>
                </c:pt>
                <c:pt idx="3266">
                  <c:v>-1536113.64572</c:v>
                </c:pt>
                <c:pt idx="3267">
                  <c:v>-1535430.8219849998</c:v>
                </c:pt>
                <c:pt idx="3268">
                  <c:v>-1534748.2006400002</c:v>
                </c:pt>
                <c:pt idx="3269">
                  <c:v>-1534065.781655</c:v>
                </c:pt>
                <c:pt idx="3270">
                  <c:v>-1533383.5650000002</c:v>
                </c:pt>
                <c:pt idx="3271">
                  <c:v>-1532701.550645</c:v>
                </c:pt>
                <c:pt idx="3272">
                  <c:v>-1532019.7385599997</c:v>
                </c:pt>
                <c:pt idx="3273">
                  <c:v>-1531338.1287149999</c:v>
                </c:pt>
                <c:pt idx="3274">
                  <c:v>-1530656.72108</c:v>
                </c:pt>
                <c:pt idx="3275">
                  <c:v>-1529975.515625</c:v>
                </c:pt>
                <c:pt idx="3276">
                  <c:v>-1529294.51232</c:v>
                </c:pt>
                <c:pt idx="3277">
                  <c:v>-1528613.711135</c:v>
                </c:pt>
                <c:pt idx="3278">
                  <c:v>-1527933.11204</c:v>
                </c:pt>
                <c:pt idx="3279">
                  <c:v>-1527252.715005</c:v>
                </c:pt>
                <c:pt idx="3280">
                  <c:v>-1526572.52</c:v>
                </c:pt>
                <c:pt idx="3281">
                  <c:v>-1525892.526995</c:v>
                </c:pt>
                <c:pt idx="3282">
                  <c:v>-1525212.73596</c:v>
                </c:pt>
                <c:pt idx="3283">
                  <c:v>-1524533.146865</c:v>
                </c:pt>
                <c:pt idx="3284">
                  <c:v>-1523853.75968</c:v>
                </c:pt>
                <c:pt idx="3285">
                  <c:v>-1523174.574375</c:v>
                </c:pt>
                <c:pt idx="3286">
                  <c:v>-1522495.59092</c:v>
                </c:pt>
                <c:pt idx="3287">
                  <c:v>-1521816.809285</c:v>
                </c:pt>
                <c:pt idx="3288">
                  <c:v>-1521138.2294400001</c:v>
                </c:pt>
                <c:pt idx="3289">
                  <c:v>-1520459.8513550002</c:v>
                </c:pt>
                <c:pt idx="3290">
                  <c:v>-1519781.675</c:v>
                </c:pt>
                <c:pt idx="3291">
                  <c:v>-1519103.700345</c:v>
                </c:pt>
                <c:pt idx="3292">
                  <c:v>-1518425.92736</c:v>
                </c:pt>
                <c:pt idx="3293">
                  <c:v>-1517748.3560149998</c:v>
                </c:pt>
                <c:pt idx="3294">
                  <c:v>-1517070.98628</c:v>
                </c:pt>
                <c:pt idx="3295">
                  <c:v>-1516393.818125</c:v>
                </c:pt>
                <c:pt idx="3296">
                  <c:v>-1515716.85152</c:v>
                </c:pt>
                <c:pt idx="3297">
                  <c:v>-1515040.0864350002</c:v>
                </c:pt>
                <c:pt idx="3298">
                  <c:v>-1514363.52284</c:v>
                </c:pt>
                <c:pt idx="3299">
                  <c:v>-1513687.160705</c:v>
                </c:pt>
                <c:pt idx="3300">
                  <c:v>-1513011.0</c:v>
                </c:pt>
                <c:pt idx="3301">
                  <c:v>-1512335.040695</c:v>
                </c:pt>
                <c:pt idx="3302">
                  <c:v>-1511659.28276</c:v>
                </c:pt>
                <c:pt idx="3303">
                  <c:v>-1510983.726165</c:v>
                </c:pt>
                <c:pt idx="3304">
                  <c:v>-1510308.3708799998</c:v>
                </c:pt>
                <c:pt idx="3305">
                  <c:v>-1509633.2168750002</c:v>
                </c:pt>
                <c:pt idx="3306">
                  <c:v>-1508958.26412</c:v>
                </c:pt>
                <c:pt idx="3307">
                  <c:v>-1508283.5125850001</c:v>
                </c:pt>
                <c:pt idx="3308">
                  <c:v>-1507608.96224</c:v>
                </c:pt>
                <c:pt idx="3309">
                  <c:v>-1506934.613055</c:v>
                </c:pt>
                <c:pt idx="3310">
                  <c:v>-1506260.4649999999</c:v>
                </c:pt>
                <c:pt idx="3311">
                  <c:v>-1505586.518045</c:v>
                </c:pt>
                <c:pt idx="3312">
                  <c:v>-1504912.77216</c:v>
                </c:pt>
                <c:pt idx="3313">
                  <c:v>-1504239.227315</c:v>
                </c:pt>
                <c:pt idx="3314">
                  <c:v>-1503565.88348</c:v>
                </c:pt>
                <c:pt idx="3315">
                  <c:v>-1502892.7406249999</c:v>
                </c:pt>
                <c:pt idx="3316">
                  <c:v>-1502219.7987199998</c:v>
                </c:pt>
                <c:pt idx="3317">
                  <c:v>-1501547.057735</c:v>
                </c:pt>
                <c:pt idx="3318">
                  <c:v>-1500874.51764</c:v>
                </c:pt>
                <c:pt idx="3319">
                  <c:v>-1500202.1784050001</c:v>
                </c:pt>
                <c:pt idx="3320">
                  <c:v>-1499530.04</c:v>
                </c:pt>
                <c:pt idx="3321">
                  <c:v>-1498858.1023950002</c:v>
                </c:pt>
                <c:pt idx="3322">
                  <c:v>-1498186.3655599998</c:v>
                </c:pt>
                <c:pt idx="3323">
                  <c:v>-1497514.829465</c:v>
                </c:pt>
                <c:pt idx="3324">
                  <c:v>-1496843.49408</c:v>
                </c:pt>
                <c:pt idx="3325">
                  <c:v>-1496172.359375</c:v>
                </c:pt>
                <c:pt idx="3326">
                  <c:v>-1495501.42532</c:v>
                </c:pt>
                <c:pt idx="3327">
                  <c:v>-1494830.6918849999</c:v>
                </c:pt>
                <c:pt idx="3328">
                  <c:v>-1494160.1590399998</c:v>
                </c:pt>
                <c:pt idx="3329">
                  <c:v>-1493489.826755</c:v>
                </c:pt>
                <c:pt idx="3330">
                  <c:v>-1492819.695</c:v>
                </c:pt>
                <c:pt idx="3331">
                  <c:v>-1492149.763745</c:v>
                </c:pt>
                <c:pt idx="3332">
                  <c:v>-1491480.03296</c:v>
                </c:pt>
                <c:pt idx="3333">
                  <c:v>-1490810.502615</c:v>
                </c:pt>
                <c:pt idx="3334">
                  <c:v>-1490141.17268</c:v>
                </c:pt>
                <c:pt idx="3335">
                  <c:v>-1489472.043125</c:v>
                </c:pt>
                <c:pt idx="3336">
                  <c:v>-1488803.1139200001</c:v>
                </c:pt>
                <c:pt idx="3337">
                  <c:v>-1488134.385035</c:v>
                </c:pt>
                <c:pt idx="3338">
                  <c:v>-1487465.85644</c:v>
                </c:pt>
                <c:pt idx="3339">
                  <c:v>-1486797.528105</c:v>
                </c:pt>
                <c:pt idx="3340">
                  <c:v>-1486129.4000000001</c:v>
                </c:pt>
                <c:pt idx="3341">
                  <c:v>-1485461.4720949999</c:v>
                </c:pt>
                <c:pt idx="3342">
                  <c:v>-1484793.74436</c:v>
                </c:pt>
                <c:pt idx="3343">
                  <c:v>-1484126.216765</c:v>
                </c:pt>
                <c:pt idx="3344">
                  <c:v>-1483458.88928</c:v>
                </c:pt>
                <c:pt idx="3345">
                  <c:v>-1482791.761875</c:v>
                </c:pt>
                <c:pt idx="3346">
                  <c:v>-1482124.8345199998</c:v>
                </c:pt>
                <c:pt idx="3347">
                  <c:v>-1481458.1071849999</c:v>
                </c:pt>
                <c:pt idx="3348">
                  <c:v>-1480791.57984</c:v>
                </c:pt>
                <c:pt idx="3349">
                  <c:v>-1480125.252455</c:v>
                </c:pt>
                <c:pt idx="3350">
                  <c:v>-1479459.125</c:v>
                </c:pt>
                <c:pt idx="3351">
                  <c:v>-1478793.197445</c:v>
                </c:pt>
                <c:pt idx="3352">
                  <c:v>-1478127.46976</c:v>
                </c:pt>
                <c:pt idx="3353">
                  <c:v>-1477461.9419149999</c:v>
                </c:pt>
                <c:pt idx="3354">
                  <c:v>-1476796.61388</c:v>
                </c:pt>
                <c:pt idx="3355">
                  <c:v>-1476131.485625</c:v>
                </c:pt>
                <c:pt idx="3356">
                  <c:v>-1475466.55712</c:v>
                </c:pt>
                <c:pt idx="3357">
                  <c:v>-1474801.828335</c:v>
                </c:pt>
                <c:pt idx="3358">
                  <c:v>-1474137.29924</c:v>
                </c:pt>
                <c:pt idx="3359">
                  <c:v>-1473472.9698050001</c:v>
                </c:pt>
                <c:pt idx="3360">
                  <c:v>-1472808.8399999999</c:v>
                </c:pt>
                <c:pt idx="3361">
                  <c:v>-1472144.909795</c:v>
                </c:pt>
                <c:pt idx="3362">
                  <c:v>-1471481.17916</c:v>
                </c:pt>
                <c:pt idx="3363">
                  <c:v>-1470817.648065</c:v>
                </c:pt>
                <c:pt idx="3364">
                  <c:v>-1470154.31648</c:v>
                </c:pt>
                <c:pt idx="3365">
                  <c:v>-1469491.184375</c:v>
                </c:pt>
                <c:pt idx="3366">
                  <c:v>-1468828.25172</c:v>
                </c:pt>
                <c:pt idx="3367">
                  <c:v>-1468165.518485</c:v>
                </c:pt>
                <c:pt idx="3368">
                  <c:v>-1467502.98464</c:v>
                </c:pt>
                <c:pt idx="3369">
                  <c:v>-1466840.650155</c:v>
                </c:pt>
                <c:pt idx="3370">
                  <c:v>-1466178.5150000001</c:v>
                </c:pt>
                <c:pt idx="3371">
                  <c:v>-1465516.5791449999</c:v>
                </c:pt>
                <c:pt idx="3372">
                  <c:v>-1464854.84256</c:v>
                </c:pt>
                <c:pt idx="3373">
                  <c:v>-1464193.305215</c:v>
                </c:pt>
                <c:pt idx="3374">
                  <c:v>-1463531.96708</c:v>
                </c:pt>
                <c:pt idx="3375">
                  <c:v>-1462870.828125</c:v>
                </c:pt>
                <c:pt idx="3376">
                  <c:v>-1462209.88832</c:v>
                </c:pt>
                <c:pt idx="3377">
                  <c:v>-1461549.1476349998</c:v>
                </c:pt>
                <c:pt idx="3378">
                  <c:v>-1460888.60604</c:v>
                </c:pt>
                <c:pt idx="3379">
                  <c:v>-1460228.263505</c:v>
                </c:pt>
                <c:pt idx="3380">
                  <c:v>-1459568.1199999999</c:v>
                </c:pt>
                <c:pt idx="3381">
                  <c:v>-1458908.175495</c:v>
                </c:pt>
                <c:pt idx="3382">
                  <c:v>-1458248.42996</c:v>
                </c:pt>
                <c:pt idx="3383">
                  <c:v>-1457588.883365</c:v>
                </c:pt>
                <c:pt idx="3384">
                  <c:v>-1456929.53568</c:v>
                </c:pt>
                <c:pt idx="3385">
                  <c:v>-1456270.386875</c:v>
                </c:pt>
                <c:pt idx="3386">
                  <c:v>-1455611.43692</c:v>
                </c:pt>
                <c:pt idx="3387">
                  <c:v>-1454952.685785</c:v>
                </c:pt>
                <c:pt idx="3388">
                  <c:v>-1454294.13344</c:v>
                </c:pt>
                <c:pt idx="3389">
                  <c:v>-1453635.779855</c:v>
                </c:pt>
                <c:pt idx="3390">
                  <c:v>-1452977.625</c:v>
                </c:pt>
                <c:pt idx="3391">
                  <c:v>-1452319.668845</c:v>
                </c:pt>
                <c:pt idx="3392">
                  <c:v>-1451661.91136</c:v>
                </c:pt>
                <c:pt idx="3393">
                  <c:v>-1451004.352515</c:v>
                </c:pt>
                <c:pt idx="3394">
                  <c:v>-1450346.9922800001</c:v>
                </c:pt>
                <c:pt idx="3395">
                  <c:v>-1449689.830625</c:v>
                </c:pt>
                <c:pt idx="3396">
                  <c:v>-1449032.8675199999</c:v>
                </c:pt>
                <c:pt idx="3397">
                  <c:v>-1448376.102935</c:v>
                </c:pt>
                <c:pt idx="3398">
                  <c:v>-1447719.53684</c:v>
                </c:pt>
                <c:pt idx="3399">
                  <c:v>-1447063.169205</c:v>
                </c:pt>
                <c:pt idx="3400">
                  <c:v>-1446407.0</c:v>
                </c:pt>
                <c:pt idx="3401">
                  <c:v>-1445751.029195</c:v>
                </c:pt>
                <c:pt idx="3402">
                  <c:v>-1445095.25676</c:v>
                </c:pt>
                <c:pt idx="3403">
                  <c:v>-1444439.682665</c:v>
                </c:pt>
                <c:pt idx="3404">
                  <c:v>-1443784.30688</c:v>
                </c:pt>
                <c:pt idx="3405">
                  <c:v>-1443129.1293749998</c:v>
                </c:pt>
                <c:pt idx="3406">
                  <c:v>-1442474.15012</c:v>
                </c:pt>
                <c:pt idx="3407">
                  <c:v>-1441819.3690850001</c:v>
                </c:pt>
                <c:pt idx="3408">
                  <c:v>-1441164.7862399998</c:v>
                </c:pt>
                <c:pt idx="3409">
                  <c:v>-1440510.4015549999</c:v>
                </c:pt>
                <c:pt idx="3410">
                  <c:v>-1439856.215</c:v>
                </c:pt>
                <c:pt idx="3411">
                  <c:v>-1439202.226545</c:v>
                </c:pt>
                <c:pt idx="3412">
                  <c:v>-1438548.43616</c:v>
                </c:pt>
                <c:pt idx="3413">
                  <c:v>-1437894.843815</c:v>
                </c:pt>
                <c:pt idx="3414">
                  <c:v>-1437241.44948</c:v>
                </c:pt>
                <c:pt idx="3415">
                  <c:v>-1436588.253125</c:v>
                </c:pt>
                <c:pt idx="3416">
                  <c:v>-1435935.25472</c:v>
                </c:pt>
                <c:pt idx="3417">
                  <c:v>-1435282.4542349998</c:v>
                </c:pt>
                <c:pt idx="3418">
                  <c:v>-1434629.85164</c:v>
                </c:pt>
                <c:pt idx="3419">
                  <c:v>-1433977.4469050001</c:v>
                </c:pt>
                <c:pt idx="3420">
                  <c:v>-1433325.24</c:v>
                </c:pt>
                <c:pt idx="3421">
                  <c:v>-1432673.230895</c:v>
                </c:pt>
                <c:pt idx="3422">
                  <c:v>-1432021.41956</c:v>
                </c:pt>
                <c:pt idx="3423">
                  <c:v>-1431369.805965</c:v>
                </c:pt>
                <c:pt idx="3424">
                  <c:v>-1430718.39008</c:v>
                </c:pt>
                <c:pt idx="3425">
                  <c:v>-1430067.171875</c:v>
                </c:pt>
                <c:pt idx="3426">
                  <c:v>-1429416.15132</c:v>
                </c:pt>
                <c:pt idx="3427">
                  <c:v>-1428765.328385</c:v>
                </c:pt>
                <c:pt idx="3428">
                  <c:v>-1428114.70304</c:v>
                </c:pt>
                <c:pt idx="3429">
                  <c:v>-1427464.275255</c:v>
                </c:pt>
                <c:pt idx="3430">
                  <c:v>-1426814.0450000002</c:v>
                </c:pt>
                <c:pt idx="3431">
                  <c:v>-1426164.0122449999</c:v>
                </c:pt>
                <c:pt idx="3432">
                  <c:v>-1425514.17696</c:v>
                </c:pt>
                <c:pt idx="3433">
                  <c:v>-1424864.539115</c:v>
                </c:pt>
                <c:pt idx="3434">
                  <c:v>-1424215.09868</c:v>
                </c:pt>
                <c:pt idx="3435">
                  <c:v>-1423565.8556249999</c:v>
                </c:pt>
                <c:pt idx="3436">
                  <c:v>-1422916.80992</c:v>
                </c:pt>
                <c:pt idx="3437">
                  <c:v>-1422267.961535</c:v>
                </c:pt>
                <c:pt idx="3438">
                  <c:v>-1421619.3104400001</c:v>
                </c:pt>
                <c:pt idx="3439">
                  <c:v>-1420970.856605</c:v>
                </c:pt>
                <c:pt idx="3440">
                  <c:v>-1420322.5999999999</c:v>
                </c:pt>
                <c:pt idx="3441">
                  <c:v>-1419674.5405950001</c:v>
                </c:pt>
                <c:pt idx="3442">
                  <c:v>-1419026.67836</c:v>
                </c:pt>
                <c:pt idx="3443">
                  <c:v>-1418379.013265</c:v>
                </c:pt>
                <c:pt idx="3444">
                  <c:v>-1417731.54528</c:v>
                </c:pt>
                <c:pt idx="3445">
                  <c:v>-1417084.274375</c:v>
                </c:pt>
                <c:pt idx="3446">
                  <c:v>-1416437.20052</c:v>
                </c:pt>
                <c:pt idx="3447">
                  <c:v>-1415790.323685</c:v>
                </c:pt>
                <c:pt idx="3448">
                  <c:v>-1415143.64384</c:v>
                </c:pt>
                <c:pt idx="3449">
                  <c:v>-1414497.160955</c:v>
                </c:pt>
                <c:pt idx="3450">
                  <c:v>-1413850.875</c:v>
                </c:pt>
                <c:pt idx="3451">
                  <c:v>-1413204.785945</c:v>
                </c:pt>
                <c:pt idx="3452">
                  <c:v>-1412558.8937600001</c:v>
                </c:pt>
                <c:pt idx="3453">
                  <c:v>-1411913.198415</c:v>
                </c:pt>
                <c:pt idx="3454">
                  <c:v>-1411267.69988</c:v>
                </c:pt>
                <c:pt idx="3455">
                  <c:v>-1410622.398125</c:v>
                </c:pt>
                <c:pt idx="3456">
                  <c:v>-1409977.29312</c:v>
                </c:pt>
                <c:pt idx="3457">
                  <c:v>-1409332.384835</c:v>
                </c:pt>
                <c:pt idx="3458">
                  <c:v>-1408687.67324</c:v>
                </c:pt>
                <c:pt idx="3459">
                  <c:v>-1408043.158305</c:v>
                </c:pt>
                <c:pt idx="3460">
                  <c:v>-1407398.84</c:v>
                </c:pt>
                <c:pt idx="3461">
                  <c:v>-1406754.718295</c:v>
                </c:pt>
                <c:pt idx="3462">
                  <c:v>-1406110.79316</c:v>
                </c:pt>
                <c:pt idx="3463">
                  <c:v>-1405467.064565</c:v>
                </c:pt>
                <c:pt idx="3464">
                  <c:v>-1404823.53248</c:v>
                </c:pt>
                <c:pt idx="3465">
                  <c:v>-1404180.1968750001</c:v>
                </c:pt>
                <c:pt idx="3466">
                  <c:v>-1403537.05772</c:v>
                </c:pt>
                <c:pt idx="3467">
                  <c:v>-1402894.114985</c:v>
                </c:pt>
                <c:pt idx="3468">
                  <c:v>-1402251.3686400002</c:v>
                </c:pt>
                <c:pt idx="3469">
                  <c:v>-1401608.818655</c:v>
                </c:pt>
                <c:pt idx="3470">
                  <c:v>-1400966.465</c:v>
                </c:pt>
                <c:pt idx="3471">
                  <c:v>-1400324.307645</c:v>
                </c:pt>
                <c:pt idx="3472">
                  <c:v>-1399682.34656</c:v>
                </c:pt>
                <c:pt idx="3473">
                  <c:v>-1399040.581715</c:v>
                </c:pt>
                <c:pt idx="3474">
                  <c:v>-1398399.01308</c:v>
                </c:pt>
                <c:pt idx="3475">
                  <c:v>-1397757.640625</c:v>
                </c:pt>
                <c:pt idx="3476">
                  <c:v>-1397116.46432</c:v>
                </c:pt>
                <c:pt idx="3477">
                  <c:v>-1396475.484135</c:v>
                </c:pt>
                <c:pt idx="3478">
                  <c:v>-1395834.70004</c:v>
                </c:pt>
                <c:pt idx="3479">
                  <c:v>-1395194.112005</c:v>
                </c:pt>
                <c:pt idx="3480">
                  <c:v>-1394553.72</c:v>
                </c:pt>
                <c:pt idx="3481">
                  <c:v>-1393913.523995</c:v>
                </c:pt>
                <c:pt idx="3482">
                  <c:v>-1393273.5239600001</c:v>
                </c:pt>
                <c:pt idx="3483">
                  <c:v>-1392633.7198649999</c:v>
                </c:pt>
                <c:pt idx="3484">
                  <c:v>-1391994.1116799999</c:v>
                </c:pt>
                <c:pt idx="3485">
                  <c:v>-1391354.6993749999</c:v>
                </c:pt>
                <c:pt idx="3486">
                  <c:v>-1390715.4829199999</c:v>
                </c:pt>
                <c:pt idx="3487">
                  <c:v>-1390076.4622850001</c:v>
                </c:pt>
                <c:pt idx="3488">
                  <c:v>-1389437.63744</c:v>
                </c:pt>
                <c:pt idx="3489">
                  <c:v>-1388799.008355</c:v>
                </c:pt>
                <c:pt idx="3490">
                  <c:v>-1388160.575</c:v>
                </c:pt>
                <c:pt idx="3491">
                  <c:v>-1387522.3373450001</c:v>
                </c:pt>
                <c:pt idx="3492">
                  <c:v>-1386884.2953599999</c:v>
                </c:pt>
                <c:pt idx="3493">
                  <c:v>-1386246.449015</c:v>
                </c:pt>
                <c:pt idx="3494">
                  <c:v>-1385608.79828</c:v>
                </c:pt>
                <c:pt idx="3495">
                  <c:v>-1384971.3431250001</c:v>
                </c:pt>
                <c:pt idx="3496">
                  <c:v>-1384334.08352</c:v>
                </c:pt>
                <c:pt idx="3497">
                  <c:v>-1383697.0194350001</c:v>
                </c:pt>
                <c:pt idx="3498">
                  <c:v>-1383060.1508399998</c:v>
                </c:pt>
                <c:pt idx="3499">
                  <c:v>-1382423.477705</c:v>
                </c:pt>
                <c:pt idx="3500">
                  <c:v>-1381787.0</c:v>
                </c:pt>
                <c:pt idx="3501">
                  <c:v>-1381150.7176949999</c:v>
                </c:pt>
                <c:pt idx="3502">
                  <c:v>-1380514.63076</c:v>
                </c:pt>
                <c:pt idx="3503">
                  <c:v>-1379878.739165</c:v>
                </c:pt>
                <c:pt idx="3504">
                  <c:v>-1379243.04288</c:v>
                </c:pt>
                <c:pt idx="3505">
                  <c:v>-1378607.5418749999</c:v>
                </c:pt>
                <c:pt idx="3506">
                  <c:v>-1377972.23612</c:v>
                </c:pt>
                <c:pt idx="3507">
                  <c:v>-1377337.125585</c:v>
                </c:pt>
                <c:pt idx="3508">
                  <c:v>-1376702.2102400002</c:v>
                </c:pt>
                <c:pt idx="3509">
                  <c:v>-1376067.4900550002</c:v>
                </c:pt>
                <c:pt idx="3510">
                  <c:v>-1375432.965</c:v>
                </c:pt>
                <c:pt idx="3511">
                  <c:v>-1374798.6350450001</c:v>
                </c:pt>
                <c:pt idx="3512">
                  <c:v>-1374164.50016</c:v>
                </c:pt>
                <c:pt idx="3513">
                  <c:v>-1373530.560315</c:v>
                </c:pt>
                <c:pt idx="3514">
                  <c:v>-1372896.8154799999</c:v>
                </c:pt>
                <c:pt idx="3515">
                  <c:v>-1372263.265625</c:v>
                </c:pt>
                <c:pt idx="3516">
                  <c:v>-1371629.91072</c:v>
                </c:pt>
                <c:pt idx="3517">
                  <c:v>-1370996.750735</c:v>
                </c:pt>
                <c:pt idx="3518">
                  <c:v>-1370363.7856400001</c:v>
                </c:pt>
                <c:pt idx="3519">
                  <c:v>-1369731.0154050002</c:v>
                </c:pt>
                <c:pt idx="3520">
                  <c:v>-1369098.4400000002</c:v>
                </c:pt>
                <c:pt idx="3521">
                  <c:v>-1368466.0593949999</c:v>
                </c:pt>
                <c:pt idx="3522">
                  <c:v>-1367833.8735600002</c:v>
                </c:pt>
                <c:pt idx="3523">
                  <c:v>-1367201.882465</c:v>
                </c:pt>
                <c:pt idx="3524">
                  <c:v>-1366570.08608</c:v>
                </c:pt>
                <c:pt idx="3525">
                  <c:v>-1365938.484375</c:v>
                </c:pt>
                <c:pt idx="3526">
                  <c:v>-1365307.07732</c:v>
                </c:pt>
                <c:pt idx="3527">
                  <c:v>-1364675.864885</c:v>
                </c:pt>
                <c:pt idx="3528">
                  <c:v>-1364044.84704</c:v>
                </c:pt>
                <c:pt idx="3529">
                  <c:v>-1363414.023755</c:v>
                </c:pt>
                <c:pt idx="3530">
                  <c:v>-1362783.3949999998</c:v>
                </c:pt>
                <c:pt idx="3531">
                  <c:v>-1362152.960745</c:v>
                </c:pt>
                <c:pt idx="3532">
                  <c:v>-1361522.72096</c:v>
                </c:pt>
                <c:pt idx="3533">
                  <c:v>-1360892.675615</c:v>
                </c:pt>
                <c:pt idx="3534">
                  <c:v>-1360262.82468</c:v>
                </c:pt>
                <c:pt idx="3535">
                  <c:v>-1359633.168125</c:v>
                </c:pt>
                <c:pt idx="3536">
                  <c:v>-1359003.7059199999</c:v>
                </c:pt>
                <c:pt idx="3537">
                  <c:v>-1358374.438035</c:v>
                </c:pt>
                <c:pt idx="3538">
                  <c:v>-1357745.3644400002</c:v>
                </c:pt>
                <c:pt idx="3539">
                  <c:v>-1357116.485105</c:v>
                </c:pt>
                <c:pt idx="3540">
                  <c:v>-1356487.8</c:v>
                </c:pt>
                <c:pt idx="3541">
                  <c:v>-1355859.309095</c:v>
                </c:pt>
                <c:pt idx="3542">
                  <c:v>-1355231.01236</c:v>
                </c:pt>
                <c:pt idx="3543">
                  <c:v>-1354602.909765</c:v>
                </c:pt>
                <c:pt idx="3544">
                  <c:v>-1353975.0012800002</c:v>
                </c:pt>
                <c:pt idx="3545">
                  <c:v>-1353347.286875</c:v>
                </c:pt>
                <c:pt idx="3546">
                  <c:v>-1352719.7665199998</c:v>
                </c:pt>
                <c:pt idx="3547">
                  <c:v>-1352092.440185</c:v>
                </c:pt>
                <c:pt idx="3548">
                  <c:v>-1351465.30784</c:v>
                </c:pt>
                <c:pt idx="3549">
                  <c:v>-1350838.3694550002</c:v>
                </c:pt>
                <c:pt idx="3550">
                  <c:v>-1350211.625</c:v>
                </c:pt>
                <c:pt idx="3551">
                  <c:v>-1349585.074445</c:v>
                </c:pt>
                <c:pt idx="3552">
                  <c:v>-1348958.7177600001</c:v>
                </c:pt>
                <c:pt idx="3553">
                  <c:v>-1348332.554915</c:v>
                </c:pt>
                <c:pt idx="3554">
                  <c:v>-1347706.58588</c:v>
                </c:pt>
                <c:pt idx="3555">
                  <c:v>-1347080.8106250002</c:v>
                </c:pt>
                <c:pt idx="3556">
                  <c:v>-1346455.22912</c:v>
                </c:pt>
                <c:pt idx="3557">
                  <c:v>-1345829.841335</c:v>
                </c:pt>
                <c:pt idx="3558">
                  <c:v>-1345204.6472399998</c:v>
                </c:pt>
                <c:pt idx="3559">
                  <c:v>-1344579.646805</c:v>
                </c:pt>
                <c:pt idx="3560">
                  <c:v>-1343954.8399999999</c:v>
                </c:pt>
                <c:pt idx="3561">
                  <c:v>-1343330.226795</c:v>
                </c:pt>
                <c:pt idx="3562">
                  <c:v>-1342705.80716</c:v>
                </c:pt>
                <c:pt idx="3563">
                  <c:v>-1342081.581065</c:v>
                </c:pt>
                <c:pt idx="3564">
                  <c:v>-1341457.54848</c:v>
                </c:pt>
                <c:pt idx="3565">
                  <c:v>-1340833.7093749999</c:v>
                </c:pt>
                <c:pt idx="3566">
                  <c:v>-1340210.06372</c:v>
                </c:pt>
                <c:pt idx="3567">
                  <c:v>-1339586.6114849998</c:v>
                </c:pt>
                <c:pt idx="3568">
                  <c:v>-1338963.35264</c:v>
                </c:pt>
                <c:pt idx="3569">
                  <c:v>-1338340.287155</c:v>
                </c:pt>
                <c:pt idx="3570">
                  <c:v>-1337717.415</c:v>
                </c:pt>
                <c:pt idx="3571">
                  <c:v>-1337094.736145</c:v>
                </c:pt>
                <c:pt idx="3572">
                  <c:v>-1336472.2505599998</c:v>
                </c:pt>
                <c:pt idx="3573">
                  <c:v>-1335849.9582149999</c:v>
                </c:pt>
                <c:pt idx="3574">
                  <c:v>-1335227.85908</c:v>
                </c:pt>
                <c:pt idx="3575">
                  <c:v>-1334605.953125</c:v>
                </c:pt>
                <c:pt idx="3576">
                  <c:v>-1333984.2403199999</c:v>
                </c:pt>
                <c:pt idx="3577">
                  <c:v>-1333362.720635</c:v>
                </c:pt>
                <c:pt idx="3578">
                  <c:v>-1332741.3940400002</c:v>
                </c:pt>
                <c:pt idx="3579">
                  <c:v>-1332120.260505</c:v>
                </c:pt>
                <c:pt idx="3580">
                  <c:v>-1331499.32</c:v>
                </c:pt>
                <c:pt idx="3581">
                  <c:v>-1330878.572495</c:v>
                </c:pt>
                <c:pt idx="3582">
                  <c:v>-1330258.01796</c:v>
                </c:pt>
                <c:pt idx="3583">
                  <c:v>-1329637.6563650002</c:v>
                </c:pt>
                <c:pt idx="3584">
                  <c:v>-1329017.48768</c:v>
                </c:pt>
                <c:pt idx="3585">
                  <c:v>-1328397.511875</c:v>
                </c:pt>
                <c:pt idx="3586">
                  <c:v>-1327777.72892</c:v>
                </c:pt>
                <c:pt idx="3587">
                  <c:v>-1327158.1387850002</c:v>
                </c:pt>
                <c:pt idx="3588">
                  <c:v>-1326538.74144</c:v>
                </c:pt>
                <c:pt idx="3589">
                  <c:v>-1325919.5368549998</c:v>
                </c:pt>
                <c:pt idx="3590">
                  <c:v>-1325300.5250000001</c:v>
                </c:pt>
                <c:pt idx="3591">
                  <c:v>-1324681.705845</c:v>
                </c:pt>
                <c:pt idx="3592">
                  <c:v>-1324063.0793599999</c:v>
                </c:pt>
                <c:pt idx="3593">
                  <c:v>-1323444.645515</c:v>
                </c:pt>
                <c:pt idx="3594">
                  <c:v>-1322826.40428</c:v>
                </c:pt>
                <c:pt idx="3595">
                  <c:v>-1322208.355625</c:v>
                </c:pt>
                <c:pt idx="3596">
                  <c:v>-1321590.49952</c:v>
                </c:pt>
                <c:pt idx="3597">
                  <c:v>-1320972.8359349999</c:v>
                </c:pt>
                <c:pt idx="3598">
                  <c:v>-1320355.36484</c:v>
                </c:pt>
                <c:pt idx="3599">
                  <c:v>-1319738.086205</c:v>
                </c:pt>
                <c:pt idx="3600">
                  <c:v>-1319121.0</c:v>
                </c:pt>
                <c:pt idx="3601">
                  <c:v>-1318504.1061950002</c:v>
                </c:pt>
                <c:pt idx="3602">
                  <c:v>-1317887.40476</c:v>
                </c:pt>
                <c:pt idx="3603">
                  <c:v>-1317270.8956650002</c:v>
                </c:pt>
                <c:pt idx="3604">
                  <c:v>-1316654.57888</c:v>
                </c:pt>
                <c:pt idx="3605">
                  <c:v>-1316038.454375</c:v>
                </c:pt>
                <c:pt idx="3606">
                  <c:v>-1315422.52212</c:v>
                </c:pt>
                <c:pt idx="3607">
                  <c:v>-1314806.782085</c:v>
                </c:pt>
                <c:pt idx="3608">
                  <c:v>-1314191.23424</c:v>
                </c:pt>
                <c:pt idx="3609">
                  <c:v>-1313575.878555</c:v>
                </c:pt>
                <c:pt idx="3610">
                  <c:v>-1312960.7149999999</c:v>
                </c:pt>
                <c:pt idx="3611">
                  <c:v>-1312345.743545</c:v>
                </c:pt>
                <c:pt idx="3612">
                  <c:v>-1311730.96416</c:v>
                </c:pt>
                <c:pt idx="3613">
                  <c:v>-1311116.3768149999</c:v>
                </c:pt>
                <c:pt idx="3614">
                  <c:v>-1310501.98148</c:v>
                </c:pt>
                <c:pt idx="3615">
                  <c:v>-1309887.7781250002</c:v>
                </c:pt>
                <c:pt idx="3616">
                  <c:v>-1309273.76672</c:v>
                </c:pt>
                <c:pt idx="3617">
                  <c:v>-1308659.947235</c:v>
                </c:pt>
                <c:pt idx="3618">
                  <c:v>-1308046.3196400001</c:v>
                </c:pt>
                <c:pt idx="3619">
                  <c:v>-1307432.883905</c:v>
                </c:pt>
                <c:pt idx="3620">
                  <c:v>-1306819.6400000001</c:v>
                </c:pt>
                <c:pt idx="3621">
                  <c:v>-1306206.5878950001</c:v>
                </c:pt>
                <c:pt idx="3622">
                  <c:v>-1305593.72756</c:v>
                </c:pt>
                <c:pt idx="3623">
                  <c:v>-1304981.0589649999</c:v>
                </c:pt>
                <c:pt idx="3624">
                  <c:v>-1304368.58208</c:v>
                </c:pt>
                <c:pt idx="3625">
                  <c:v>-1303756.296875</c:v>
                </c:pt>
                <c:pt idx="3626">
                  <c:v>-1303144.20332</c:v>
                </c:pt>
                <c:pt idx="3627">
                  <c:v>-1302532.3013849999</c:v>
                </c:pt>
                <c:pt idx="3628">
                  <c:v>-1301920.59104</c:v>
                </c:pt>
                <c:pt idx="3629">
                  <c:v>-1301309.0722549998</c:v>
                </c:pt>
                <c:pt idx="3630">
                  <c:v>-1300697.7449999999</c:v>
                </c:pt>
                <c:pt idx="3631">
                  <c:v>-1300086.609245</c:v>
                </c:pt>
                <c:pt idx="3632">
                  <c:v>-1299475.66496</c:v>
                </c:pt>
                <c:pt idx="3633">
                  <c:v>-1298864.912115</c:v>
                </c:pt>
                <c:pt idx="3634">
                  <c:v>-1298254.35068</c:v>
                </c:pt>
                <c:pt idx="3635">
                  <c:v>-1297643.980625</c:v>
                </c:pt>
                <c:pt idx="3636">
                  <c:v>-1297033.80192</c:v>
                </c:pt>
                <c:pt idx="3637">
                  <c:v>-1296423.8145350001</c:v>
                </c:pt>
                <c:pt idx="3638">
                  <c:v>-1295814.01844</c:v>
                </c:pt>
                <c:pt idx="3639">
                  <c:v>-1295204.413605</c:v>
                </c:pt>
                <c:pt idx="3640">
                  <c:v>-1294595.0</c:v>
                </c:pt>
                <c:pt idx="3641">
                  <c:v>-1293985.777595</c:v>
                </c:pt>
                <c:pt idx="3642">
                  <c:v>-1293376.74636</c:v>
                </c:pt>
                <c:pt idx="3643">
                  <c:v>-1292767.9062649999</c:v>
                </c:pt>
                <c:pt idx="3644">
                  <c:v>-1292159.25728</c:v>
                </c:pt>
                <c:pt idx="3645">
                  <c:v>-1291550.7993750002</c:v>
                </c:pt>
                <c:pt idx="3646">
                  <c:v>-1290942.5325200001</c:v>
                </c:pt>
                <c:pt idx="3647">
                  <c:v>-1290334.456685</c:v>
                </c:pt>
                <c:pt idx="3648">
                  <c:v>-1289726.5718399999</c:v>
                </c:pt>
                <c:pt idx="3649">
                  <c:v>-1289118.8779550001</c:v>
                </c:pt>
                <c:pt idx="3650">
                  <c:v>-1288511.375</c:v>
                </c:pt>
                <c:pt idx="3651">
                  <c:v>-1287904.0629450001</c:v>
                </c:pt>
                <c:pt idx="3652">
                  <c:v>-1287296.94176</c:v>
                </c:pt>
                <c:pt idx="3653">
                  <c:v>-1286690.011415</c:v>
                </c:pt>
                <c:pt idx="3654">
                  <c:v>-1286083.2718800001</c:v>
                </c:pt>
                <c:pt idx="3655">
                  <c:v>-1285476.7231249998</c:v>
                </c:pt>
                <c:pt idx="3656">
                  <c:v>-1284870.36512</c:v>
                </c:pt>
                <c:pt idx="3657">
                  <c:v>-1284264.1978350002</c:v>
                </c:pt>
                <c:pt idx="3658">
                  <c:v>-1283658.2212399999</c:v>
                </c:pt>
                <c:pt idx="3659">
                  <c:v>-1283052.435305</c:v>
                </c:pt>
                <c:pt idx="3660">
                  <c:v>-1282446.84</c:v>
                </c:pt>
                <c:pt idx="3661">
                  <c:v>-1281841.4352950002</c:v>
                </c:pt>
                <c:pt idx="3662">
                  <c:v>-1281236.22116</c:v>
                </c:pt>
                <c:pt idx="3663">
                  <c:v>-1280631.1975649998</c:v>
                </c:pt>
                <c:pt idx="3664">
                  <c:v>-1280026.36448</c:v>
                </c:pt>
                <c:pt idx="3665">
                  <c:v>-1279421.721875</c:v>
                </c:pt>
                <c:pt idx="3666">
                  <c:v>-1278817.26972</c:v>
                </c:pt>
                <c:pt idx="3667">
                  <c:v>-1278213.007985</c:v>
                </c:pt>
                <c:pt idx="3668">
                  <c:v>-1277608.93664</c:v>
                </c:pt>
                <c:pt idx="3669">
                  <c:v>-1277005.055655</c:v>
                </c:pt>
                <c:pt idx="3670">
                  <c:v>-1276401.365</c:v>
                </c:pt>
                <c:pt idx="3671">
                  <c:v>-1275797.8646449998</c:v>
                </c:pt>
                <c:pt idx="3672">
                  <c:v>-1275194.55456</c:v>
                </c:pt>
                <c:pt idx="3673">
                  <c:v>-1274591.434715</c:v>
                </c:pt>
                <c:pt idx="3674">
                  <c:v>-1273988.5050799998</c:v>
                </c:pt>
                <c:pt idx="3675">
                  <c:v>-1273385.765625</c:v>
                </c:pt>
                <c:pt idx="3676">
                  <c:v>-1272783.2163200001</c:v>
                </c:pt>
                <c:pt idx="3677">
                  <c:v>-1272180.857135</c:v>
                </c:pt>
                <c:pt idx="3678">
                  <c:v>-1271578.68804</c:v>
                </c:pt>
                <c:pt idx="3679">
                  <c:v>-1270976.709005</c:v>
                </c:pt>
                <c:pt idx="3680">
                  <c:v>-1270374.9200000002</c:v>
                </c:pt>
                <c:pt idx="3681">
                  <c:v>-1269773.320995</c:v>
                </c:pt>
                <c:pt idx="3682">
                  <c:v>-1269171.91196</c:v>
                </c:pt>
                <c:pt idx="3683">
                  <c:v>-1268570.692865</c:v>
                </c:pt>
                <c:pt idx="3684">
                  <c:v>-1267969.66368</c:v>
                </c:pt>
                <c:pt idx="3685">
                  <c:v>-1267368.824375</c:v>
                </c:pt>
                <c:pt idx="3686">
                  <c:v>-1266768.1749200001</c:v>
                </c:pt>
                <c:pt idx="3687">
                  <c:v>-1266167.715285</c:v>
                </c:pt>
                <c:pt idx="3688">
                  <c:v>-1265567.44544</c:v>
                </c:pt>
                <c:pt idx="3689">
                  <c:v>-1264967.365355</c:v>
                </c:pt>
                <c:pt idx="3690">
                  <c:v>-1264367.4749999999</c:v>
                </c:pt>
                <c:pt idx="3691">
                  <c:v>-1263767.774345</c:v>
                </c:pt>
                <c:pt idx="3692">
                  <c:v>-1263168.26336</c:v>
                </c:pt>
                <c:pt idx="3693">
                  <c:v>-1262568.942015</c:v>
                </c:pt>
                <c:pt idx="3694">
                  <c:v>-1261969.81028</c:v>
                </c:pt>
                <c:pt idx="3695">
                  <c:v>-1261370.868125</c:v>
                </c:pt>
                <c:pt idx="3696">
                  <c:v>-1260772.11552</c:v>
                </c:pt>
                <c:pt idx="3697">
                  <c:v>-1260173.5524350002</c:v>
                </c:pt>
                <c:pt idx="3698">
                  <c:v>-1259575.17884</c:v>
                </c:pt>
                <c:pt idx="3699">
                  <c:v>-1258976.994705</c:v>
                </c:pt>
                <c:pt idx="3700">
                  <c:v>-1258379.0</c:v>
                </c:pt>
                <c:pt idx="3701">
                  <c:v>-1257781.194695</c:v>
                </c:pt>
                <c:pt idx="3702">
                  <c:v>-1257183.57876</c:v>
                </c:pt>
                <c:pt idx="3703">
                  <c:v>-1256586.1521649999</c:v>
                </c:pt>
                <c:pt idx="3704">
                  <c:v>-1255988.91488</c:v>
                </c:pt>
                <c:pt idx="3705">
                  <c:v>-1255391.866875</c:v>
                </c:pt>
                <c:pt idx="3706">
                  <c:v>-1254795.00812</c:v>
                </c:pt>
                <c:pt idx="3707">
                  <c:v>-1254198.338585</c:v>
                </c:pt>
                <c:pt idx="3708">
                  <c:v>-1253601.85824</c:v>
                </c:pt>
                <c:pt idx="3709">
                  <c:v>-1253005.5670550002</c:v>
                </c:pt>
                <c:pt idx="3710">
                  <c:v>-1252409.465</c:v>
                </c:pt>
                <c:pt idx="3711">
                  <c:v>-1251813.552045</c:v>
                </c:pt>
                <c:pt idx="3712">
                  <c:v>-1251217.82816</c:v>
                </c:pt>
                <c:pt idx="3713">
                  <c:v>-1250622.2933150001</c:v>
                </c:pt>
                <c:pt idx="3714">
                  <c:v>-1250026.9474799999</c:v>
                </c:pt>
                <c:pt idx="3715">
                  <c:v>-1249431.7906250001</c:v>
                </c:pt>
                <c:pt idx="3716">
                  <c:v>-1248836.82272</c:v>
                </c:pt>
                <c:pt idx="3717">
                  <c:v>-1248242.043735</c:v>
                </c:pt>
                <c:pt idx="3718">
                  <c:v>-1247647.45364</c:v>
                </c:pt>
                <c:pt idx="3719">
                  <c:v>-1247053.052405</c:v>
                </c:pt>
                <c:pt idx="3720">
                  <c:v>-1246458.84</c:v>
                </c:pt>
                <c:pt idx="3721">
                  <c:v>-1245864.8163949999</c:v>
                </c:pt>
                <c:pt idx="3722">
                  <c:v>-1245270.98156</c:v>
                </c:pt>
                <c:pt idx="3723">
                  <c:v>-1244677.335465</c:v>
                </c:pt>
                <c:pt idx="3724">
                  <c:v>-1244083.8780800002</c:v>
                </c:pt>
                <c:pt idx="3725">
                  <c:v>-1243490.609375</c:v>
                </c:pt>
                <c:pt idx="3726">
                  <c:v>-1242897.52932</c:v>
                </c:pt>
                <c:pt idx="3727">
                  <c:v>-1242304.6378849999</c:v>
                </c:pt>
                <c:pt idx="3728">
                  <c:v>-1241711.93504</c:v>
                </c:pt>
                <c:pt idx="3729">
                  <c:v>-1241119.4207549999</c:v>
                </c:pt>
                <c:pt idx="3730">
                  <c:v>-1240527.095</c:v>
                </c:pt>
                <c:pt idx="3731">
                  <c:v>-1239934.957745</c:v>
                </c:pt>
                <c:pt idx="3732">
                  <c:v>-1239343.00896</c:v>
                </c:pt>
                <c:pt idx="3733">
                  <c:v>-1238751.2486150002</c:v>
                </c:pt>
                <c:pt idx="3734">
                  <c:v>-1238159.67668</c:v>
                </c:pt>
                <c:pt idx="3735">
                  <c:v>-1237568.2931249999</c:v>
                </c:pt>
                <c:pt idx="3736">
                  <c:v>-1236977.09792</c:v>
                </c:pt>
                <c:pt idx="3737">
                  <c:v>-1236386.0910349998</c:v>
                </c:pt>
                <c:pt idx="3738">
                  <c:v>-1235795.27244</c:v>
                </c:pt>
                <c:pt idx="3739">
                  <c:v>-1235204.642105</c:v>
                </c:pt>
                <c:pt idx="3740">
                  <c:v>-1234614.2</c:v>
                </c:pt>
                <c:pt idx="3741">
                  <c:v>-1234023.946095</c:v>
                </c:pt>
                <c:pt idx="3742">
                  <c:v>-1233433.8803599998</c:v>
                </c:pt>
                <c:pt idx="3743">
                  <c:v>-1232844.0027649999</c:v>
                </c:pt>
                <c:pt idx="3744">
                  <c:v>-1232254.31328</c:v>
                </c:pt>
                <c:pt idx="3745">
                  <c:v>-1231664.8118750001</c:v>
                </c:pt>
                <c:pt idx="3746">
                  <c:v>-1231075.49852</c:v>
                </c:pt>
                <c:pt idx="3747">
                  <c:v>-1230486.373185</c:v>
                </c:pt>
                <c:pt idx="3748">
                  <c:v>-1229897.43584</c:v>
                </c:pt>
                <c:pt idx="3749">
                  <c:v>-1229308.686455</c:v>
                </c:pt>
                <c:pt idx="3750">
                  <c:v>-1228720.125</c:v>
                </c:pt>
                <c:pt idx="3751">
                  <c:v>-1228131.751445</c:v>
                </c:pt>
                <c:pt idx="3752">
                  <c:v>-1227543.56576</c:v>
                </c:pt>
                <c:pt idx="3753">
                  <c:v>-1226955.567915</c:v>
                </c:pt>
                <c:pt idx="3754">
                  <c:v>-1226367.75788</c:v>
                </c:pt>
                <c:pt idx="3755">
                  <c:v>-1225780.1356249999</c:v>
                </c:pt>
                <c:pt idx="3756">
                  <c:v>-1225192.7011199999</c:v>
                </c:pt>
                <c:pt idx="3757">
                  <c:v>-1224605.4543350001</c:v>
                </c:pt>
                <c:pt idx="3758">
                  <c:v>-1224018.39524</c:v>
                </c:pt>
                <c:pt idx="3759">
                  <c:v>-1223431.523805</c:v>
                </c:pt>
                <c:pt idx="3760">
                  <c:v>-1222844.84</c:v>
                </c:pt>
                <c:pt idx="3761">
                  <c:v>-1222258.3437949999</c:v>
                </c:pt>
                <c:pt idx="3762">
                  <c:v>-1221672.03516</c:v>
                </c:pt>
                <c:pt idx="3763">
                  <c:v>-1221085.914065</c:v>
                </c:pt>
                <c:pt idx="3764">
                  <c:v>-1220499.98048</c:v>
                </c:pt>
                <c:pt idx="3765">
                  <c:v>-1219914.234375</c:v>
                </c:pt>
                <c:pt idx="3766">
                  <c:v>-1219328.67572</c:v>
                </c:pt>
                <c:pt idx="3767">
                  <c:v>-1218743.304485</c:v>
                </c:pt>
                <c:pt idx="3768">
                  <c:v>-1218158.1206399999</c:v>
                </c:pt>
                <c:pt idx="3769">
                  <c:v>-1217573.1241549999</c:v>
                </c:pt>
                <c:pt idx="3770">
                  <c:v>-1216988.3150000002</c:v>
                </c:pt>
                <c:pt idx="3771">
                  <c:v>-1216403.6931450001</c:v>
                </c:pt>
                <c:pt idx="3772">
                  <c:v>-1215819.25856</c:v>
                </c:pt>
                <c:pt idx="3773">
                  <c:v>-1215235.011215</c:v>
                </c:pt>
                <c:pt idx="3774">
                  <c:v>-1214650.95108</c:v>
                </c:pt>
                <c:pt idx="3775">
                  <c:v>-1214067.078125</c:v>
                </c:pt>
                <c:pt idx="3776">
                  <c:v>-1213483.39232</c:v>
                </c:pt>
                <c:pt idx="3777">
                  <c:v>-1212899.893635</c:v>
                </c:pt>
                <c:pt idx="3778">
                  <c:v>-1212316.5820399998</c:v>
                </c:pt>
                <c:pt idx="3779">
                  <c:v>-1211733.4575049998</c:v>
                </c:pt>
                <c:pt idx="3780">
                  <c:v>-1211150.52</c:v>
                </c:pt>
                <c:pt idx="3781">
                  <c:v>-1210567.7694950001</c:v>
                </c:pt>
                <c:pt idx="3782">
                  <c:v>-1209985.20596</c:v>
                </c:pt>
                <c:pt idx="3783">
                  <c:v>-1209402.829365</c:v>
                </c:pt>
                <c:pt idx="3784">
                  <c:v>-1208820.63968</c:v>
                </c:pt>
                <c:pt idx="3785">
                  <c:v>-1208238.636875</c:v>
                </c:pt>
                <c:pt idx="3786">
                  <c:v>-1207656.82092</c:v>
                </c:pt>
                <c:pt idx="3787">
                  <c:v>-1207075.191785</c:v>
                </c:pt>
                <c:pt idx="3788">
                  <c:v>-1206493.74944</c:v>
                </c:pt>
                <c:pt idx="3789">
                  <c:v>-1205912.493855</c:v>
                </c:pt>
                <c:pt idx="3790">
                  <c:v>-1205331.425</c:v>
                </c:pt>
                <c:pt idx="3791">
                  <c:v>-1204750.542845</c:v>
                </c:pt>
                <c:pt idx="3792">
                  <c:v>-1204169.84736</c:v>
                </c:pt>
                <c:pt idx="3793">
                  <c:v>-1203589.338515</c:v>
                </c:pt>
                <c:pt idx="3794">
                  <c:v>-1203009.01628</c:v>
                </c:pt>
                <c:pt idx="3795">
                  <c:v>-1202428.880625</c:v>
                </c:pt>
                <c:pt idx="3796">
                  <c:v>-1201848.93152</c:v>
                </c:pt>
                <c:pt idx="3797">
                  <c:v>-1201269.168935</c:v>
                </c:pt>
                <c:pt idx="3798">
                  <c:v>-1200689.59284</c:v>
                </c:pt>
                <c:pt idx="3799">
                  <c:v>-1200110.203205</c:v>
                </c:pt>
                <c:pt idx="3800">
                  <c:v>-1199531.0</c:v>
                </c:pt>
                <c:pt idx="3801">
                  <c:v>-1198951.983195</c:v>
                </c:pt>
                <c:pt idx="3802">
                  <c:v>-1198373.15276</c:v>
                </c:pt>
                <c:pt idx="3803">
                  <c:v>-1197794.508665</c:v>
                </c:pt>
                <c:pt idx="3804">
                  <c:v>-1197216.05088</c:v>
                </c:pt>
                <c:pt idx="3805">
                  <c:v>-1196637.7793750002</c:v>
                </c:pt>
                <c:pt idx="3806">
                  <c:v>-1196059.6941200001</c:v>
                </c:pt>
                <c:pt idx="3807">
                  <c:v>-1195481.7950849999</c:v>
                </c:pt>
                <c:pt idx="3808">
                  <c:v>-1194904.0822400001</c:v>
                </c:pt>
                <c:pt idx="3809">
                  <c:v>-1194326.555555</c:v>
                </c:pt>
                <c:pt idx="3810">
                  <c:v>-1193749.215</c:v>
                </c:pt>
                <c:pt idx="3811">
                  <c:v>-1193172.060545</c:v>
                </c:pt>
                <c:pt idx="3812">
                  <c:v>-1192595.09216</c:v>
                </c:pt>
                <c:pt idx="3813">
                  <c:v>-1192018.309815</c:v>
                </c:pt>
                <c:pt idx="3814">
                  <c:v>-1191441.71348</c:v>
                </c:pt>
                <c:pt idx="3815">
                  <c:v>-1190865.3031249999</c:v>
                </c:pt>
                <c:pt idx="3816">
                  <c:v>-1190289.0787199999</c:v>
                </c:pt>
                <c:pt idx="3817">
                  <c:v>-1189713.040235</c:v>
                </c:pt>
                <c:pt idx="3818">
                  <c:v>-1189137.18764</c:v>
                </c:pt>
                <c:pt idx="3819">
                  <c:v>-1188561.5209050002</c:v>
                </c:pt>
                <c:pt idx="3820">
                  <c:v>-1187986.04</c:v>
                </c:pt>
                <c:pt idx="3821">
                  <c:v>-1187410.744895</c:v>
                </c:pt>
                <c:pt idx="3822">
                  <c:v>-1186835.63556</c:v>
                </c:pt>
                <c:pt idx="3823">
                  <c:v>-1186260.711965</c:v>
                </c:pt>
                <c:pt idx="3824">
                  <c:v>-1185685.9740799998</c:v>
                </c:pt>
                <c:pt idx="3825">
                  <c:v>-1185111.421875</c:v>
                </c:pt>
                <c:pt idx="3826">
                  <c:v>-1184537.05532</c:v>
                </c:pt>
                <c:pt idx="3827">
                  <c:v>-1183962.874385</c:v>
                </c:pt>
                <c:pt idx="3828">
                  <c:v>-1183388.87904</c:v>
                </c:pt>
                <c:pt idx="3829">
                  <c:v>-1182815.069255</c:v>
                </c:pt>
                <c:pt idx="3830">
                  <c:v>-1182241.445</c:v>
                </c:pt>
                <c:pt idx="3831">
                  <c:v>-1181668.006245</c:v>
                </c:pt>
                <c:pt idx="3832">
                  <c:v>-1181094.75296</c:v>
                </c:pt>
                <c:pt idx="3833">
                  <c:v>-1180521.685115</c:v>
                </c:pt>
                <c:pt idx="3834">
                  <c:v>-1179948.80268</c:v>
                </c:pt>
                <c:pt idx="3835">
                  <c:v>-1179376.105625</c:v>
                </c:pt>
                <c:pt idx="3836">
                  <c:v>-1178803.5939200001</c:v>
                </c:pt>
                <c:pt idx="3837">
                  <c:v>-1178231.2675349999</c:v>
                </c:pt>
                <c:pt idx="3838">
                  <c:v>-1177659.12644</c:v>
                </c:pt>
                <c:pt idx="3839">
                  <c:v>-1177087.170605</c:v>
                </c:pt>
                <c:pt idx="3840">
                  <c:v>-1176515.4000000001</c:v>
                </c:pt>
                <c:pt idx="3841">
                  <c:v>-1175943.8145950001</c:v>
                </c:pt>
                <c:pt idx="3842">
                  <c:v>-1175372.41436</c:v>
                </c:pt>
                <c:pt idx="3843">
                  <c:v>-1174801.199265</c:v>
                </c:pt>
                <c:pt idx="3844">
                  <c:v>-1174230.16928</c:v>
                </c:pt>
                <c:pt idx="3845">
                  <c:v>-1173659.324375</c:v>
                </c:pt>
                <c:pt idx="3846">
                  <c:v>-1173088.6645199999</c:v>
                </c:pt>
                <c:pt idx="3847">
                  <c:v>-1172518.189685</c:v>
                </c:pt>
                <c:pt idx="3848">
                  <c:v>-1171947.89984</c:v>
                </c:pt>
                <c:pt idx="3849">
                  <c:v>-1171377.794955</c:v>
                </c:pt>
                <c:pt idx="3850">
                  <c:v>-1170807.875</c:v>
                </c:pt>
                <c:pt idx="3851">
                  <c:v>-1170238.139945</c:v>
                </c:pt>
                <c:pt idx="3852">
                  <c:v>-1169668.5897600001</c:v>
                </c:pt>
                <c:pt idx="3853">
                  <c:v>-1169099.224415</c:v>
                </c:pt>
                <c:pt idx="3854">
                  <c:v>-1168530.04388</c:v>
                </c:pt>
                <c:pt idx="3855">
                  <c:v>-1167961.048125</c:v>
                </c:pt>
                <c:pt idx="3856">
                  <c:v>-1167392.23712</c:v>
                </c:pt>
                <c:pt idx="3857">
                  <c:v>-1166823.6108350002</c:v>
                </c:pt>
                <c:pt idx="3858">
                  <c:v>-1166255.16924</c:v>
                </c:pt>
                <c:pt idx="3859">
                  <c:v>-1165686.912305</c:v>
                </c:pt>
                <c:pt idx="3860">
                  <c:v>-1165118.8399999999</c:v>
                </c:pt>
                <c:pt idx="3861">
                  <c:v>-1164550.952295</c:v>
                </c:pt>
                <c:pt idx="3862">
                  <c:v>-1163983.2491600001</c:v>
                </c:pt>
                <c:pt idx="3863">
                  <c:v>-1163415.7305649999</c:v>
                </c:pt>
                <c:pt idx="3864">
                  <c:v>-1162848.3964799999</c:v>
                </c:pt>
                <c:pt idx="3865">
                  <c:v>-1162281.246875</c:v>
                </c:pt>
                <c:pt idx="3866">
                  <c:v>-1161714.28172</c:v>
                </c:pt>
                <c:pt idx="3867">
                  <c:v>-1161147.500985</c:v>
                </c:pt>
                <c:pt idx="3868">
                  <c:v>-1160580.90464</c:v>
                </c:pt>
                <c:pt idx="3869">
                  <c:v>-1160014.492655</c:v>
                </c:pt>
                <c:pt idx="3870">
                  <c:v>-1159448.2650000001</c:v>
                </c:pt>
                <c:pt idx="3871">
                  <c:v>-1158882.221645</c:v>
                </c:pt>
                <c:pt idx="3872">
                  <c:v>-1158316.36256</c:v>
                </c:pt>
                <c:pt idx="3873">
                  <c:v>-1157750.687715</c:v>
                </c:pt>
                <c:pt idx="3874">
                  <c:v>-1157185.19708</c:v>
                </c:pt>
                <c:pt idx="3875">
                  <c:v>-1156619.890625</c:v>
                </c:pt>
                <c:pt idx="3876">
                  <c:v>-1156054.76832</c:v>
                </c:pt>
                <c:pt idx="3877">
                  <c:v>-1155489.830135</c:v>
                </c:pt>
                <c:pt idx="3878">
                  <c:v>-1154925.07604</c:v>
                </c:pt>
                <c:pt idx="3879">
                  <c:v>-1154360.506005</c:v>
                </c:pt>
                <c:pt idx="3880">
                  <c:v>-1153796.1199999999</c:v>
                </c:pt>
                <c:pt idx="3881">
                  <c:v>-1153231.917995</c:v>
                </c:pt>
                <c:pt idx="3882">
                  <c:v>-1152667.89996</c:v>
                </c:pt>
                <c:pt idx="3883">
                  <c:v>-1152104.0658649998</c:v>
                </c:pt>
                <c:pt idx="3884">
                  <c:v>-1151540.41568</c:v>
                </c:pt>
                <c:pt idx="3885">
                  <c:v>-1150976.949375</c:v>
                </c:pt>
                <c:pt idx="3886">
                  <c:v>-1150413.66692</c:v>
                </c:pt>
                <c:pt idx="3887">
                  <c:v>-1149850.568285</c:v>
                </c:pt>
                <c:pt idx="3888">
                  <c:v>-1149287.65344</c:v>
                </c:pt>
                <c:pt idx="3889">
                  <c:v>-1148724.922355</c:v>
                </c:pt>
                <c:pt idx="3890">
                  <c:v>-1148162.375</c:v>
                </c:pt>
                <c:pt idx="3891">
                  <c:v>-1147600.011345</c:v>
                </c:pt>
                <c:pt idx="3892">
                  <c:v>-1147037.83136</c:v>
                </c:pt>
                <c:pt idx="3893">
                  <c:v>-1146475.835015</c:v>
                </c:pt>
                <c:pt idx="3894">
                  <c:v>-1145914.02228</c:v>
                </c:pt>
                <c:pt idx="3895">
                  <c:v>-1145352.3931250002</c:v>
                </c:pt>
                <c:pt idx="3896">
                  <c:v>-1144790.94752</c:v>
                </c:pt>
                <c:pt idx="3897">
                  <c:v>-1144229.685435</c:v>
                </c:pt>
                <c:pt idx="3898">
                  <c:v>-1143668.60684</c:v>
                </c:pt>
                <c:pt idx="3899">
                  <c:v>-1143107.711705</c:v>
                </c:pt>
                <c:pt idx="3900">
                  <c:v>-1142547.0</c:v>
                </c:pt>
                <c:pt idx="3901">
                  <c:v>-1141986.471695</c:v>
                </c:pt>
                <c:pt idx="3902">
                  <c:v>-1141426.12676</c:v>
                </c:pt>
                <c:pt idx="3903">
                  <c:v>-1140865.965165</c:v>
                </c:pt>
                <c:pt idx="3904">
                  <c:v>-1140305.98688</c:v>
                </c:pt>
                <c:pt idx="3905">
                  <c:v>-1139746.191875</c:v>
                </c:pt>
                <c:pt idx="3906">
                  <c:v>-1139186.58012</c:v>
                </c:pt>
                <c:pt idx="3907">
                  <c:v>-1138627.1515849999</c:v>
                </c:pt>
                <c:pt idx="3908">
                  <c:v>-1138067.9062400002</c:v>
                </c:pt>
                <c:pt idx="3909">
                  <c:v>-1137508.844055</c:v>
                </c:pt>
                <c:pt idx="3910">
                  <c:v>-1136949.965</c:v>
                </c:pt>
                <c:pt idx="3911">
                  <c:v>-1136391.269045</c:v>
                </c:pt>
                <c:pt idx="3912">
                  <c:v>-1135832.75616</c:v>
                </c:pt>
                <c:pt idx="3913">
                  <c:v>-1135274.426315</c:v>
                </c:pt>
                <c:pt idx="3914">
                  <c:v>-1134716.27948</c:v>
                </c:pt>
                <c:pt idx="3915">
                  <c:v>-1134158.315625</c:v>
                </c:pt>
                <c:pt idx="3916">
                  <c:v>-1133600.53472</c:v>
                </c:pt>
                <c:pt idx="3917">
                  <c:v>-1133042.936735</c:v>
                </c:pt>
                <c:pt idx="3918">
                  <c:v>-1132485.52164</c:v>
                </c:pt>
                <c:pt idx="3919">
                  <c:v>-1131928.289405</c:v>
                </c:pt>
                <c:pt idx="3920">
                  <c:v>-1131371.24</c:v>
                </c:pt>
                <c:pt idx="3921">
                  <c:v>-1130814.3733950001</c:v>
                </c:pt>
                <c:pt idx="3922">
                  <c:v>-1130257.68956</c:v>
                </c:pt>
                <c:pt idx="3923">
                  <c:v>-1129701.188465</c:v>
                </c:pt>
                <c:pt idx="3924">
                  <c:v>-1129144.87008</c:v>
                </c:pt>
                <c:pt idx="3925">
                  <c:v>-1128588.734375</c:v>
                </c:pt>
                <c:pt idx="3926">
                  <c:v>-1128032.78132</c:v>
                </c:pt>
                <c:pt idx="3927">
                  <c:v>-1127477.010885</c:v>
                </c:pt>
                <c:pt idx="3928">
                  <c:v>-1126921.42304</c:v>
                </c:pt>
                <c:pt idx="3929">
                  <c:v>-1126366.017755</c:v>
                </c:pt>
                <c:pt idx="3930">
                  <c:v>-1125810.7950000002</c:v>
                </c:pt>
                <c:pt idx="3931">
                  <c:v>-1125255.754745</c:v>
                </c:pt>
                <c:pt idx="3932">
                  <c:v>-1124700.8969599998</c:v>
                </c:pt>
                <c:pt idx="3933">
                  <c:v>-1124146.221615</c:v>
                </c:pt>
                <c:pt idx="3934">
                  <c:v>-1123591.72868</c:v>
                </c:pt>
                <c:pt idx="3935">
                  <c:v>-1123037.418125</c:v>
                </c:pt>
                <c:pt idx="3936">
                  <c:v>-1122483.28992</c:v>
                </c:pt>
                <c:pt idx="3937">
                  <c:v>-1121929.344035</c:v>
                </c:pt>
                <c:pt idx="3938">
                  <c:v>-1121375.58044</c:v>
                </c:pt>
                <c:pt idx="3939">
                  <c:v>-1120821.999105</c:v>
                </c:pt>
                <c:pt idx="3940">
                  <c:v>-1120268.5999999999</c:v>
                </c:pt>
                <c:pt idx="3941">
                  <c:v>-1119715.383095</c:v>
                </c:pt>
                <c:pt idx="3942">
                  <c:v>-1119162.34836</c:v>
                </c:pt>
                <c:pt idx="3943">
                  <c:v>-1118609.4957649999</c:v>
                </c:pt>
                <c:pt idx="3944">
                  <c:v>-1118056.82528</c:v>
                </c:pt>
                <c:pt idx="3945">
                  <c:v>-1117504.336875</c:v>
                </c:pt>
                <c:pt idx="3946">
                  <c:v>-1116952.03052</c:v>
                </c:pt>
                <c:pt idx="3947">
                  <c:v>-1116399.906185</c:v>
                </c:pt>
                <c:pt idx="3948">
                  <c:v>-1115847.9638399999</c:v>
                </c:pt>
                <c:pt idx="3949">
                  <c:v>-1115296.203455</c:v>
                </c:pt>
                <c:pt idx="3950">
                  <c:v>-1114744.625</c:v>
                </c:pt>
                <c:pt idx="3951">
                  <c:v>-1114193.228445</c:v>
                </c:pt>
                <c:pt idx="3952">
                  <c:v>-1113642.01376</c:v>
                </c:pt>
                <c:pt idx="3953">
                  <c:v>-1113090.980915</c:v>
                </c:pt>
                <c:pt idx="3954">
                  <c:v>-1112540.1298800001</c:v>
                </c:pt>
                <c:pt idx="3955">
                  <c:v>-1111989.460625</c:v>
                </c:pt>
                <c:pt idx="3956">
                  <c:v>-1111438.97312</c:v>
                </c:pt>
                <c:pt idx="3957">
                  <c:v>-1110888.6673350001</c:v>
                </c:pt>
                <c:pt idx="3958">
                  <c:v>-1110338.5432399998</c:v>
                </c:pt>
                <c:pt idx="3959">
                  <c:v>-1109788.600805</c:v>
                </c:pt>
                <c:pt idx="3960">
                  <c:v>-1109238.84</c:v>
                </c:pt>
                <c:pt idx="3961">
                  <c:v>-1108689.260795</c:v>
                </c:pt>
                <c:pt idx="3962">
                  <c:v>-1108139.8631600002</c:v>
                </c:pt>
                <c:pt idx="3963">
                  <c:v>-1107590.6470650001</c:v>
                </c:pt>
                <c:pt idx="3964">
                  <c:v>-1107041.6124800001</c:v>
                </c:pt>
                <c:pt idx="3965">
                  <c:v>-1106492.7593750001</c:v>
                </c:pt>
                <c:pt idx="3966">
                  <c:v>-1105944.08772</c:v>
                </c:pt>
                <c:pt idx="3967">
                  <c:v>-1105395.5974849998</c:v>
                </c:pt>
                <c:pt idx="3968">
                  <c:v>-1104847.28864</c:v>
                </c:pt>
                <c:pt idx="3969">
                  <c:v>-1104299.1611549999</c:v>
                </c:pt>
                <c:pt idx="3970">
                  <c:v>-1103751.215</c:v>
                </c:pt>
                <c:pt idx="3971">
                  <c:v>-1103203.4501450001</c:v>
                </c:pt>
                <c:pt idx="3972">
                  <c:v>-1102655.86656</c:v>
                </c:pt>
                <c:pt idx="3973">
                  <c:v>-1102108.464215</c:v>
                </c:pt>
                <c:pt idx="3974">
                  <c:v>-1101561.24308</c:v>
                </c:pt>
                <c:pt idx="3975">
                  <c:v>-1101014.203125</c:v>
                </c:pt>
                <c:pt idx="3976">
                  <c:v>-1100467.34432</c:v>
                </c:pt>
                <c:pt idx="3977">
                  <c:v>-1099920.666635</c:v>
                </c:pt>
                <c:pt idx="3978">
                  <c:v>-1099374.17004</c:v>
                </c:pt>
                <c:pt idx="3979">
                  <c:v>-1098827.8545050002</c:v>
                </c:pt>
                <c:pt idx="3980">
                  <c:v>-1098281.72</c:v>
                </c:pt>
                <c:pt idx="3981">
                  <c:v>-1097735.766495</c:v>
                </c:pt>
                <c:pt idx="3982">
                  <c:v>-1097189.9939599999</c:v>
                </c:pt>
                <c:pt idx="3983">
                  <c:v>-1096644.402365</c:v>
                </c:pt>
                <c:pt idx="3984">
                  <c:v>-1096098.99168</c:v>
                </c:pt>
                <c:pt idx="3985">
                  <c:v>-1095553.7618749999</c:v>
                </c:pt>
                <c:pt idx="3986">
                  <c:v>-1095008.71292</c:v>
                </c:pt>
                <c:pt idx="3987">
                  <c:v>-1094463.844785</c:v>
                </c:pt>
                <c:pt idx="3988">
                  <c:v>-1093919.15744</c:v>
                </c:pt>
                <c:pt idx="3989">
                  <c:v>-1093374.650855</c:v>
                </c:pt>
                <c:pt idx="3990">
                  <c:v>-1092830.325</c:v>
                </c:pt>
                <c:pt idx="3991">
                  <c:v>-1092286.1798450002</c:v>
                </c:pt>
                <c:pt idx="3992">
                  <c:v>-1091742.21536</c:v>
                </c:pt>
                <c:pt idx="3993">
                  <c:v>-1091198.431515</c:v>
                </c:pt>
                <c:pt idx="3994">
                  <c:v>-1090654.82828</c:v>
                </c:pt>
                <c:pt idx="3995">
                  <c:v>-1090111.4056250001</c:v>
                </c:pt>
                <c:pt idx="3996">
                  <c:v>-1089568.16352</c:v>
                </c:pt>
                <c:pt idx="3997">
                  <c:v>-1089025.101935</c:v>
                </c:pt>
                <c:pt idx="3998">
                  <c:v>-1088482.22084</c:v>
                </c:pt>
                <c:pt idx="3999">
                  <c:v>-1087939.520205</c:v>
                </c:pt>
                <c:pt idx="4000">
                  <c:v>-1087397.0</c:v>
                </c:pt>
                <c:pt idx="4001">
                  <c:v>-1086854.660195</c:v>
                </c:pt>
                <c:pt idx="4002">
                  <c:v>-1086312.50076</c:v>
                </c:pt>
                <c:pt idx="4003">
                  <c:v>-1085770.5216650001</c:v>
                </c:pt>
                <c:pt idx="4004">
                  <c:v>-1085228.72288</c:v>
                </c:pt>
                <c:pt idx="4005">
                  <c:v>-1084687.1043749999</c:v>
                </c:pt>
                <c:pt idx="4006">
                  <c:v>-1084145.66612</c:v>
                </c:pt>
                <c:pt idx="4007">
                  <c:v>-1083604.408085</c:v>
                </c:pt>
                <c:pt idx="4008">
                  <c:v>-1083063.33024</c:v>
                </c:pt>
                <c:pt idx="4009">
                  <c:v>-1082522.432555</c:v>
                </c:pt>
                <c:pt idx="4010">
                  <c:v>-1081981.715</c:v>
                </c:pt>
                <c:pt idx="4011">
                  <c:v>-1081441.177545</c:v>
                </c:pt>
                <c:pt idx="4012">
                  <c:v>-1080900.8201600001</c:v>
                </c:pt>
                <c:pt idx="4013">
                  <c:v>-1080360.6428150001</c:v>
                </c:pt>
                <c:pt idx="4014">
                  <c:v>-1079820.64548</c:v>
                </c:pt>
                <c:pt idx="4015">
                  <c:v>-1079280.828125</c:v>
                </c:pt>
                <c:pt idx="4016">
                  <c:v>-1078741.1907199998</c:v>
                </c:pt>
                <c:pt idx="4017">
                  <c:v>-1078201.733235</c:v>
                </c:pt>
                <c:pt idx="4018">
                  <c:v>-1077662.4556399998</c:v>
                </c:pt>
                <c:pt idx="4019">
                  <c:v>-1077123.357905</c:v>
                </c:pt>
                <c:pt idx="4020">
                  <c:v>-1076584.44</c:v>
                </c:pt>
                <c:pt idx="4021">
                  <c:v>-1076045.701895</c:v>
                </c:pt>
                <c:pt idx="4022">
                  <c:v>-1075507.14356</c:v>
                </c:pt>
                <c:pt idx="4023">
                  <c:v>-1074968.764965</c:v>
                </c:pt>
                <c:pt idx="4024">
                  <c:v>-1074430.56608</c:v>
                </c:pt>
                <c:pt idx="4025">
                  <c:v>-1073892.546875</c:v>
                </c:pt>
                <c:pt idx="4026">
                  <c:v>-1073354.70732</c:v>
                </c:pt>
                <c:pt idx="4027">
                  <c:v>-1072817.047385</c:v>
                </c:pt>
                <c:pt idx="4028">
                  <c:v>-1072279.56704</c:v>
                </c:pt>
                <c:pt idx="4029">
                  <c:v>-1071742.266255</c:v>
                </c:pt>
                <c:pt idx="4030">
                  <c:v>-1071205.145</c:v>
                </c:pt>
                <c:pt idx="4031">
                  <c:v>-1070668.203245</c:v>
                </c:pt>
                <c:pt idx="4032">
                  <c:v>-1070131.44096</c:v>
                </c:pt>
                <c:pt idx="4033">
                  <c:v>-1069594.858115</c:v>
                </c:pt>
                <c:pt idx="4034">
                  <c:v>-1069058.45468</c:v>
                </c:pt>
                <c:pt idx="4035">
                  <c:v>-1068522.230625</c:v>
                </c:pt>
                <c:pt idx="4036">
                  <c:v>-1067986.18592</c:v>
                </c:pt>
                <c:pt idx="4037">
                  <c:v>-1067450.320535</c:v>
                </c:pt>
                <c:pt idx="4038">
                  <c:v>-1066914.63444</c:v>
                </c:pt>
                <c:pt idx="4039">
                  <c:v>-1066379.1276049998</c:v>
                </c:pt>
                <c:pt idx="4040">
                  <c:v>-1065843.8</c:v>
                </c:pt>
                <c:pt idx="4041">
                  <c:v>-1065308.651595</c:v>
                </c:pt>
                <c:pt idx="4042">
                  <c:v>-1064773.6823600002</c:v>
                </c:pt>
                <c:pt idx="4043">
                  <c:v>-1064238.892265</c:v>
                </c:pt>
                <c:pt idx="4044">
                  <c:v>-1063704.28128</c:v>
                </c:pt>
                <c:pt idx="4045">
                  <c:v>-1063169.849375</c:v>
                </c:pt>
                <c:pt idx="4046">
                  <c:v>-1062635.59652</c:v>
                </c:pt>
                <c:pt idx="4047">
                  <c:v>-1062101.522685</c:v>
                </c:pt>
                <c:pt idx="4048">
                  <c:v>-1061567.62784</c:v>
                </c:pt>
                <c:pt idx="4049">
                  <c:v>-1061033.9119550001</c:v>
                </c:pt>
                <c:pt idx="4050">
                  <c:v>-1060500.375</c:v>
                </c:pt>
                <c:pt idx="4051">
                  <c:v>-1059967.016945</c:v>
                </c:pt>
                <c:pt idx="4052">
                  <c:v>-1059433.8377599998</c:v>
                </c:pt>
                <c:pt idx="4053">
                  <c:v>-1058900.837415</c:v>
                </c:pt>
                <c:pt idx="4054">
                  <c:v>-1058368.0158799998</c:v>
                </c:pt>
                <c:pt idx="4055">
                  <c:v>-1057835.3731250002</c:v>
                </c:pt>
                <c:pt idx="4056">
                  <c:v>-1057302.90912</c:v>
                </c:pt>
                <c:pt idx="4057">
                  <c:v>-1056770.623835</c:v>
                </c:pt>
                <c:pt idx="4058">
                  <c:v>-1056238.51724</c:v>
                </c:pt>
                <c:pt idx="4059">
                  <c:v>-1055706.5893050001</c:v>
                </c:pt>
                <c:pt idx="4060">
                  <c:v>-1055174.8399999999</c:v>
                </c:pt>
                <c:pt idx="4061">
                  <c:v>-1054643.269295</c:v>
                </c:pt>
                <c:pt idx="4062">
                  <c:v>-1054111.8771600001</c:v>
                </c:pt>
                <c:pt idx="4063">
                  <c:v>-1053580.663565</c:v>
                </c:pt>
                <c:pt idx="4064">
                  <c:v>-1053049.62848</c:v>
                </c:pt>
                <c:pt idx="4065">
                  <c:v>-1052518.7718749999</c:v>
                </c:pt>
                <c:pt idx="4066">
                  <c:v>-1051988.09372</c:v>
                </c:pt>
                <c:pt idx="4067">
                  <c:v>-1051457.593985</c:v>
                </c:pt>
                <c:pt idx="4068">
                  <c:v>-1050927.27264</c:v>
                </c:pt>
                <c:pt idx="4069">
                  <c:v>-1050397.1296549998</c:v>
                </c:pt>
                <c:pt idx="4070">
                  <c:v>-1049867.165</c:v>
                </c:pt>
                <c:pt idx="4071">
                  <c:v>-1049337.378645</c:v>
                </c:pt>
                <c:pt idx="4072">
                  <c:v>-1048807.77056</c:v>
                </c:pt>
                <c:pt idx="4073">
                  <c:v>-1048278.3407149998</c:v>
                </c:pt>
                <c:pt idx="4074">
                  <c:v>-1047749.0890800001</c:v>
                </c:pt>
                <c:pt idx="4075">
                  <c:v>-1047220.015625</c:v>
                </c:pt>
                <c:pt idx="4076">
                  <c:v>-1046691.12032</c:v>
                </c:pt>
                <c:pt idx="4077">
                  <c:v>-1046162.4031349999</c:v>
                </c:pt>
                <c:pt idx="4078">
                  <c:v>-1045633.8640400001</c:v>
                </c:pt>
                <c:pt idx="4079">
                  <c:v>-1045105.503005</c:v>
                </c:pt>
                <c:pt idx="4080">
                  <c:v>-1044577.3200000001</c:v>
                </c:pt>
                <c:pt idx="4081">
                  <c:v>-1044049.314995</c:v>
                </c:pt>
                <c:pt idx="4082">
                  <c:v>-1043521.4879599999</c:v>
                </c:pt>
                <c:pt idx="4083">
                  <c:v>-1042993.838865</c:v>
                </c:pt>
                <c:pt idx="4084">
                  <c:v>-1042466.3676799999</c:v>
                </c:pt>
                <c:pt idx="4085">
                  <c:v>-1041939.0743750001</c:v>
                </c:pt>
                <c:pt idx="4086">
                  <c:v>-1041411.95892</c:v>
                </c:pt>
                <c:pt idx="4087">
                  <c:v>-1040885.021285</c:v>
                </c:pt>
                <c:pt idx="4088">
                  <c:v>-1040358.2614399999</c:v>
                </c:pt>
                <c:pt idx="4089">
                  <c:v>-1039831.679355</c:v>
                </c:pt>
                <c:pt idx="4090">
                  <c:v>-1039305.275</c:v>
                </c:pt>
                <c:pt idx="4091">
                  <c:v>-1038779.048345</c:v>
                </c:pt>
                <c:pt idx="4092">
                  <c:v>-1038252.99936</c:v>
                </c:pt>
                <c:pt idx="4093">
                  <c:v>-1037727.128015</c:v>
                </c:pt>
                <c:pt idx="4094">
                  <c:v>-1037201.4342799999</c:v>
                </c:pt>
                <c:pt idx="4095">
                  <c:v>-1036675.918125</c:v>
                </c:pt>
                <c:pt idx="4096">
                  <c:v>-1036150.5795199999</c:v>
                </c:pt>
                <c:pt idx="4097">
                  <c:v>-1035625.4184350001</c:v>
                </c:pt>
                <c:pt idx="4098">
                  <c:v>-1035100.4348400001</c:v>
                </c:pt>
                <c:pt idx="4099">
                  <c:v>-1034575.6287049999</c:v>
                </c:pt>
                <c:pt idx="4100">
                  <c:v>-1034051.0</c:v>
                </c:pt>
                <c:pt idx="4101">
                  <c:v>-1033526.548695</c:v>
                </c:pt>
                <c:pt idx="4102">
                  <c:v>-1033002.27476</c:v>
                </c:pt>
                <c:pt idx="4103">
                  <c:v>-1032478.178165</c:v>
                </c:pt>
                <c:pt idx="4104">
                  <c:v>-1031954.25888</c:v>
                </c:pt>
                <c:pt idx="4105">
                  <c:v>-1031430.516875</c:v>
                </c:pt>
                <c:pt idx="4106">
                  <c:v>-1030906.9521199999</c:v>
                </c:pt>
                <c:pt idx="4107">
                  <c:v>-1030383.564585</c:v>
                </c:pt>
                <c:pt idx="4108">
                  <c:v>-1029860.35424</c:v>
                </c:pt>
                <c:pt idx="4109">
                  <c:v>-1029337.3210550001</c:v>
                </c:pt>
                <c:pt idx="4110">
                  <c:v>-1028814.4650000001</c:v>
                </c:pt>
                <c:pt idx="4111">
                  <c:v>-1028291.7860450001</c:v>
                </c:pt>
                <c:pt idx="4112">
                  <c:v>-1027769.28416</c:v>
                </c:pt>
                <c:pt idx="4113">
                  <c:v>-1027246.959315</c:v>
                </c:pt>
                <c:pt idx="4114">
                  <c:v>-1026724.81148</c:v>
                </c:pt>
                <c:pt idx="4115">
                  <c:v>-1026202.840625</c:v>
                </c:pt>
                <c:pt idx="4116">
                  <c:v>-1025681.04672</c:v>
                </c:pt>
                <c:pt idx="4117">
                  <c:v>-1025159.429735</c:v>
                </c:pt>
                <c:pt idx="4118">
                  <c:v>-1024637.9896399999</c:v>
                </c:pt>
                <c:pt idx="4119">
                  <c:v>-1024116.726405</c:v>
                </c:pt>
                <c:pt idx="4120">
                  <c:v>-1023595.6399999999</c:v>
                </c:pt>
                <c:pt idx="4121">
                  <c:v>-1023074.730395</c:v>
                </c:pt>
                <c:pt idx="4122">
                  <c:v>-1022553.9975599999</c:v>
                </c:pt>
                <c:pt idx="4123">
                  <c:v>-1022033.4414649999</c:v>
                </c:pt>
                <c:pt idx="4124">
                  <c:v>-1021513.06208</c:v>
                </c:pt>
                <c:pt idx="4125">
                  <c:v>-1020992.859375</c:v>
                </c:pt>
                <c:pt idx="4126">
                  <c:v>-1020472.83332</c:v>
                </c:pt>
                <c:pt idx="4127">
                  <c:v>-1019952.983885</c:v>
                </c:pt>
                <c:pt idx="4128">
                  <c:v>-1019433.31104</c:v>
                </c:pt>
                <c:pt idx="4129">
                  <c:v>-1018913.814755</c:v>
                </c:pt>
                <c:pt idx="4130">
                  <c:v>-1018394.495</c:v>
                </c:pt>
                <c:pt idx="4131">
                  <c:v>-1017875.351745</c:v>
                </c:pt>
                <c:pt idx="4132">
                  <c:v>-1017356.38496</c:v>
                </c:pt>
                <c:pt idx="4133">
                  <c:v>-1016837.594615</c:v>
                </c:pt>
                <c:pt idx="4134">
                  <c:v>-1016318.9806799999</c:v>
                </c:pt>
                <c:pt idx="4135">
                  <c:v>-1015800.543125</c:v>
                </c:pt>
                <c:pt idx="4136">
                  <c:v>-1015282.2819200001</c:v>
                </c:pt>
                <c:pt idx="4137">
                  <c:v>-1014764.197035</c:v>
                </c:pt>
                <c:pt idx="4138">
                  <c:v>-1014246.2884399999</c:v>
                </c:pt>
                <c:pt idx="4139">
                  <c:v>-1013728.556105</c:v>
                </c:pt>
                <c:pt idx="4140">
                  <c:v>-1013211.0</c:v>
                </c:pt>
                <c:pt idx="4141">
                  <c:v>-1012693.620095</c:v>
                </c:pt>
                <c:pt idx="4142">
                  <c:v>-1012176.41636</c:v>
                </c:pt>
                <c:pt idx="4143">
                  <c:v>-1011659.388765</c:v>
                </c:pt>
                <c:pt idx="4144">
                  <c:v>-1011142.53728</c:v>
                </c:pt>
                <c:pt idx="4145">
                  <c:v>-1010625.861875</c:v>
                </c:pt>
                <c:pt idx="4146">
                  <c:v>-1010109.36252</c:v>
                </c:pt>
                <c:pt idx="4147">
                  <c:v>-1009593.039185</c:v>
                </c:pt>
                <c:pt idx="4148">
                  <c:v>-1009076.8918399999</c:v>
                </c:pt>
                <c:pt idx="4149">
                  <c:v>-1008560.9204549999</c:v>
                </c:pt>
                <c:pt idx="4150">
                  <c:v>-1008045.125</c:v>
                </c:pt>
                <c:pt idx="4151">
                  <c:v>-1007529.505445</c:v>
                </c:pt>
                <c:pt idx="4152">
                  <c:v>-1007014.0617600001</c:v>
                </c:pt>
                <c:pt idx="4153">
                  <c:v>-1006498.793915</c:v>
                </c:pt>
                <c:pt idx="4154">
                  <c:v>-1005983.7018800001</c:v>
                </c:pt>
                <c:pt idx="4155">
                  <c:v>-1005468.785625</c:v>
                </c:pt>
                <c:pt idx="4156">
                  <c:v>-1004954.0451199999</c:v>
                </c:pt>
                <c:pt idx="4157">
                  <c:v>-1004439.480335</c:v>
                </c:pt>
                <c:pt idx="4158">
                  <c:v>-1003925.09124</c:v>
                </c:pt>
                <c:pt idx="4159">
                  <c:v>-1003410.877805</c:v>
                </c:pt>
                <c:pt idx="4160">
                  <c:v>-1002896.84</c:v>
                </c:pt>
                <c:pt idx="4161">
                  <c:v>-1002382.9777950001</c:v>
                </c:pt>
                <c:pt idx="4162">
                  <c:v>-1001869.29116</c:v>
                </c:pt>
                <c:pt idx="4163">
                  <c:v>-1001355.780065</c:v>
                </c:pt>
                <c:pt idx="4164">
                  <c:v>-1000842.4444800001</c:v>
                </c:pt>
                <c:pt idx="4165">
                  <c:v>-1000329.2843749999</c:v>
                </c:pt>
                <c:pt idx="4166">
                  <c:v>-999816.2997199999</c:v>
                </c:pt>
                <c:pt idx="4167">
                  <c:v>-999303.4904850001</c:v>
                </c:pt>
                <c:pt idx="4168">
                  <c:v>-998790.85664</c:v>
                </c:pt>
                <c:pt idx="4169">
                  <c:v>-998278.3981550001</c:v>
                </c:pt>
                <c:pt idx="4170">
                  <c:v>-997766.1149999999</c:v>
                </c:pt>
                <c:pt idx="4171">
                  <c:v>-997254.0071449999</c:v>
                </c:pt>
                <c:pt idx="4172">
                  <c:v>-996742.07456</c:v>
                </c:pt>
                <c:pt idx="4173">
                  <c:v>-996230.317215</c:v>
                </c:pt>
                <c:pt idx="4174">
                  <c:v>-995718.7350799999</c:v>
                </c:pt>
                <c:pt idx="4175">
                  <c:v>-995207.328125</c:v>
                </c:pt>
                <c:pt idx="4176">
                  <c:v>-994696.09632</c:v>
                </c:pt>
                <c:pt idx="4177">
                  <c:v>-994185.039635</c:v>
                </c:pt>
                <c:pt idx="4178">
                  <c:v>-993674.15804</c:v>
                </c:pt>
                <c:pt idx="4179">
                  <c:v>-993163.451505</c:v>
                </c:pt>
                <c:pt idx="4180">
                  <c:v>-992652.92</c:v>
                </c:pt>
                <c:pt idx="4181">
                  <c:v>-992142.563495</c:v>
                </c:pt>
                <c:pt idx="4182">
                  <c:v>-991632.38196</c:v>
                </c:pt>
                <c:pt idx="4183">
                  <c:v>-991122.3753649999</c:v>
                </c:pt>
                <c:pt idx="4184">
                  <c:v>-990612.54368</c:v>
                </c:pt>
                <c:pt idx="4185">
                  <c:v>-990102.886875</c:v>
                </c:pt>
                <c:pt idx="4186">
                  <c:v>-989593.40492</c:v>
                </c:pt>
                <c:pt idx="4187">
                  <c:v>-989084.097785</c:v>
                </c:pt>
                <c:pt idx="4188">
                  <c:v>-988574.9654399999</c:v>
                </c:pt>
                <c:pt idx="4189">
                  <c:v>-988066.0078550001</c:v>
                </c:pt>
                <c:pt idx="4190">
                  <c:v>-987557.2250000001</c:v>
                </c:pt>
                <c:pt idx="4191">
                  <c:v>-987048.6168450001</c:v>
                </c:pt>
                <c:pt idx="4192">
                  <c:v>-986540.18336</c:v>
                </c:pt>
                <c:pt idx="4193">
                  <c:v>-986031.9245150001</c:v>
                </c:pt>
                <c:pt idx="4194">
                  <c:v>-985523.84028</c:v>
                </c:pt>
                <c:pt idx="4195">
                  <c:v>-985015.9306249999</c:v>
                </c:pt>
                <c:pt idx="4196">
                  <c:v>-984508.19552</c:v>
                </c:pt>
                <c:pt idx="4197">
                  <c:v>-984000.634935</c:v>
                </c:pt>
                <c:pt idx="4198">
                  <c:v>-983493.24884</c:v>
                </c:pt>
                <c:pt idx="4199">
                  <c:v>-982986.037205</c:v>
                </c:pt>
                <c:pt idx="4200">
                  <c:v>-982479.0</c:v>
                </c:pt>
                <c:pt idx="4201">
                  <c:v>-981972.1371950001</c:v>
                </c:pt>
                <c:pt idx="4202">
                  <c:v>-981465.44876</c:v>
                </c:pt>
                <c:pt idx="4203">
                  <c:v>-980958.934665</c:v>
                </c:pt>
                <c:pt idx="4204">
                  <c:v>-980452.59488</c:v>
                </c:pt>
                <c:pt idx="4205">
                  <c:v>-979946.4293750001</c:v>
                </c:pt>
                <c:pt idx="4206">
                  <c:v>-979440.4381200001</c:v>
                </c:pt>
                <c:pt idx="4207">
                  <c:v>-978934.621085</c:v>
                </c:pt>
                <c:pt idx="4208">
                  <c:v>-978428.97824</c:v>
                </c:pt>
                <c:pt idx="4209">
                  <c:v>-977923.5095550001</c:v>
                </c:pt>
                <c:pt idx="4210">
                  <c:v>-977418.2150000001</c:v>
                </c:pt>
                <c:pt idx="4211">
                  <c:v>-976913.094545</c:v>
                </c:pt>
                <c:pt idx="4212">
                  <c:v>-976408.14816</c:v>
                </c:pt>
                <c:pt idx="4213">
                  <c:v>-975903.375815</c:v>
                </c:pt>
                <c:pt idx="4214">
                  <c:v>-975398.7774799999</c:v>
                </c:pt>
                <c:pt idx="4215">
                  <c:v>-974894.353125</c:v>
                </c:pt>
                <c:pt idx="4216">
                  <c:v>-974390.10272</c:v>
                </c:pt>
                <c:pt idx="4217">
                  <c:v>-973886.0262350001</c:v>
                </c:pt>
                <c:pt idx="4218">
                  <c:v>-973382.12364</c:v>
                </c:pt>
                <c:pt idx="4219">
                  <c:v>-972878.394905</c:v>
                </c:pt>
                <c:pt idx="4220">
                  <c:v>-972374.84</c:v>
                </c:pt>
                <c:pt idx="4221">
                  <c:v>-971871.458895</c:v>
                </c:pt>
                <c:pt idx="4222">
                  <c:v>-971368.25156</c:v>
                </c:pt>
                <c:pt idx="4223">
                  <c:v>-970865.2179650001</c:v>
                </c:pt>
                <c:pt idx="4224">
                  <c:v>-970362.3580799999</c:v>
                </c:pt>
                <c:pt idx="4225">
                  <c:v>-969859.671875</c:v>
                </c:pt>
                <c:pt idx="4226">
                  <c:v>-969357.15932</c:v>
                </c:pt>
                <c:pt idx="4227">
                  <c:v>-968854.820385</c:v>
                </c:pt>
                <c:pt idx="4228">
                  <c:v>-968352.65504</c:v>
                </c:pt>
                <c:pt idx="4229">
                  <c:v>-967850.6632549999</c:v>
                </c:pt>
                <c:pt idx="4230">
                  <c:v>-967348.845</c:v>
                </c:pt>
                <c:pt idx="4231">
                  <c:v>-966847.200245</c:v>
                </c:pt>
                <c:pt idx="4232">
                  <c:v>-966345.72896</c:v>
                </c:pt>
                <c:pt idx="4233">
                  <c:v>-965844.431115</c:v>
                </c:pt>
                <c:pt idx="4234">
                  <c:v>-965343.30668</c:v>
                </c:pt>
                <c:pt idx="4235">
                  <c:v>-964842.3556250001</c:v>
                </c:pt>
                <c:pt idx="4236">
                  <c:v>-964341.57792</c:v>
                </c:pt>
                <c:pt idx="4237">
                  <c:v>-963840.973535</c:v>
                </c:pt>
                <c:pt idx="4238">
                  <c:v>-963340.54244</c:v>
                </c:pt>
                <c:pt idx="4239">
                  <c:v>-962840.284605</c:v>
                </c:pt>
                <c:pt idx="4240">
                  <c:v>-962340.2</c:v>
                </c:pt>
                <c:pt idx="4241">
                  <c:v>-961840.2885949999</c:v>
                </c:pt>
                <c:pt idx="4242">
                  <c:v>-961340.55036</c:v>
                </c:pt>
                <c:pt idx="4243">
                  <c:v>-960840.9852649999</c:v>
                </c:pt>
                <c:pt idx="4244">
                  <c:v>-960341.5932799999</c:v>
                </c:pt>
                <c:pt idx="4245">
                  <c:v>-959842.374375</c:v>
                </c:pt>
                <c:pt idx="4246">
                  <c:v>-959343.32852</c:v>
                </c:pt>
                <c:pt idx="4247">
                  <c:v>-958844.455685</c:v>
                </c:pt>
                <c:pt idx="4248">
                  <c:v>-958345.7558400001</c:v>
                </c:pt>
                <c:pt idx="4249">
                  <c:v>-957847.2289549999</c:v>
                </c:pt>
                <c:pt idx="4250">
                  <c:v>-957348.875</c:v>
                </c:pt>
                <c:pt idx="4251">
                  <c:v>-956850.693945</c:v>
                </c:pt>
                <c:pt idx="4252">
                  <c:v>-956352.68576</c:v>
                </c:pt>
                <c:pt idx="4253">
                  <c:v>-955854.850415</c:v>
                </c:pt>
                <c:pt idx="4254">
                  <c:v>-955357.18788</c:v>
                </c:pt>
                <c:pt idx="4255">
                  <c:v>-954859.698125</c:v>
                </c:pt>
                <c:pt idx="4256">
                  <c:v>-954362.38112</c:v>
                </c:pt>
                <c:pt idx="4257">
                  <c:v>-953865.236835</c:v>
                </c:pt>
                <c:pt idx="4258">
                  <c:v>-953368.26524</c:v>
                </c:pt>
                <c:pt idx="4259">
                  <c:v>-952871.466305</c:v>
                </c:pt>
                <c:pt idx="4260">
                  <c:v>-952374.84</c:v>
                </c:pt>
                <c:pt idx="4261">
                  <c:v>-951878.386295</c:v>
                </c:pt>
                <c:pt idx="4262">
                  <c:v>-951382.10516</c:v>
                </c:pt>
                <c:pt idx="4263">
                  <c:v>-950885.996565</c:v>
                </c:pt>
                <c:pt idx="4264">
                  <c:v>-950390.06048</c:v>
                </c:pt>
                <c:pt idx="4265">
                  <c:v>-949894.296875</c:v>
                </c:pt>
                <c:pt idx="4266">
                  <c:v>-949398.7057200001</c:v>
                </c:pt>
                <c:pt idx="4267">
                  <c:v>-948903.286985</c:v>
                </c:pt>
                <c:pt idx="4268">
                  <c:v>-948408.04064</c:v>
                </c:pt>
                <c:pt idx="4269">
                  <c:v>-947912.966655</c:v>
                </c:pt>
                <c:pt idx="4270">
                  <c:v>-947418.065</c:v>
                </c:pt>
                <c:pt idx="4271">
                  <c:v>-946923.335645</c:v>
                </c:pt>
                <c:pt idx="4272">
                  <c:v>-946428.77856</c:v>
                </c:pt>
                <c:pt idx="4273">
                  <c:v>-945934.393715</c:v>
                </c:pt>
                <c:pt idx="4274">
                  <c:v>-945440.18108</c:v>
                </c:pt>
                <c:pt idx="4275">
                  <c:v>-944946.140625</c:v>
                </c:pt>
                <c:pt idx="4276">
                  <c:v>-944452.27232</c:v>
                </c:pt>
                <c:pt idx="4277">
                  <c:v>-943958.576135</c:v>
                </c:pt>
                <c:pt idx="4278">
                  <c:v>-943465.05204</c:v>
                </c:pt>
                <c:pt idx="4279">
                  <c:v>-942971.700005</c:v>
                </c:pt>
                <c:pt idx="4280">
                  <c:v>-942478.52</c:v>
                </c:pt>
                <c:pt idx="4281">
                  <c:v>-941985.511995</c:v>
                </c:pt>
                <c:pt idx="4282">
                  <c:v>-941492.67596</c:v>
                </c:pt>
                <c:pt idx="4283">
                  <c:v>-941000.011865</c:v>
                </c:pt>
                <c:pt idx="4284">
                  <c:v>-940507.51968</c:v>
                </c:pt>
                <c:pt idx="4285">
                  <c:v>-940015.199375</c:v>
                </c:pt>
                <c:pt idx="4286">
                  <c:v>-939523.0509200001</c:v>
                </c:pt>
                <c:pt idx="4287">
                  <c:v>-939031.074285</c:v>
                </c:pt>
                <c:pt idx="4288">
                  <c:v>-938539.2694400001</c:v>
                </c:pt>
                <c:pt idx="4289">
                  <c:v>-938047.636355</c:v>
                </c:pt>
                <c:pt idx="4290">
                  <c:v>-937556.175</c:v>
                </c:pt>
                <c:pt idx="4291">
                  <c:v>-937064.885345</c:v>
                </c:pt>
                <c:pt idx="4292">
                  <c:v>-936573.76736</c:v>
                </c:pt>
                <c:pt idx="4293">
                  <c:v>-936082.821015</c:v>
                </c:pt>
                <c:pt idx="4294">
                  <c:v>-935592.0462799999</c:v>
                </c:pt>
                <c:pt idx="4295">
                  <c:v>-935101.443125</c:v>
                </c:pt>
                <c:pt idx="4296">
                  <c:v>-934611.0115200001</c:v>
                </c:pt>
                <c:pt idx="4297">
                  <c:v>-934120.7514350001</c:v>
                </c:pt>
                <c:pt idx="4298">
                  <c:v>-933630.66284</c:v>
                </c:pt>
                <c:pt idx="4299">
                  <c:v>-933140.745705</c:v>
                </c:pt>
                <c:pt idx="4300">
                  <c:v>-932651.0</c:v>
                </c:pt>
                <c:pt idx="4301">
                  <c:v>-932161.425695</c:v>
                </c:pt>
                <c:pt idx="4302">
                  <c:v>-931672.0227600001</c:v>
                </c:pt>
                <c:pt idx="4303">
                  <c:v>-931182.7911650001</c:v>
                </c:pt>
                <c:pt idx="4304">
                  <c:v>-930693.73088</c:v>
                </c:pt>
                <c:pt idx="4305">
                  <c:v>-930204.8418749999</c:v>
                </c:pt>
                <c:pt idx="4306">
                  <c:v>-929716.1241199999</c:v>
                </c:pt>
                <c:pt idx="4307">
                  <c:v>-929227.577585</c:v>
                </c:pt>
                <c:pt idx="4308">
                  <c:v>-928739.20224</c:v>
                </c:pt>
                <c:pt idx="4309">
                  <c:v>-928250.998055</c:v>
                </c:pt>
                <c:pt idx="4310">
                  <c:v>-927762.965</c:v>
                </c:pt>
                <c:pt idx="4311">
                  <c:v>-927275.103045</c:v>
                </c:pt>
                <c:pt idx="4312">
                  <c:v>-926787.4121600001</c:v>
                </c:pt>
                <c:pt idx="4313">
                  <c:v>-926299.8923150001</c:v>
                </c:pt>
                <c:pt idx="4314">
                  <c:v>-925812.54348</c:v>
                </c:pt>
                <c:pt idx="4315">
                  <c:v>-925325.3656250001</c:v>
                </c:pt>
                <c:pt idx="4316">
                  <c:v>-924838.35872</c:v>
                </c:pt>
                <c:pt idx="4317">
                  <c:v>-924351.522735</c:v>
                </c:pt>
                <c:pt idx="4318">
                  <c:v>-923864.8576400001</c:v>
                </c:pt>
                <c:pt idx="4319">
                  <c:v>-923378.363405</c:v>
                </c:pt>
                <c:pt idx="4320">
                  <c:v>-922892.0399999999</c:v>
                </c:pt>
                <c:pt idx="4321">
                  <c:v>-922405.8873950001</c:v>
                </c:pt>
                <c:pt idx="4322">
                  <c:v>-921919.90556</c:v>
                </c:pt>
                <c:pt idx="4323">
                  <c:v>-921434.094465</c:v>
                </c:pt>
                <c:pt idx="4324">
                  <c:v>-920948.45408</c:v>
                </c:pt>
                <c:pt idx="4325">
                  <c:v>-920462.984375</c:v>
                </c:pt>
                <c:pt idx="4326">
                  <c:v>-919977.6853199999</c:v>
                </c:pt>
                <c:pt idx="4327">
                  <c:v>-919492.5568850001</c:v>
                </c:pt>
                <c:pt idx="4328">
                  <c:v>-919007.59904</c:v>
                </c:pt>
                <c:pt idx="4329">
                  <c:v>-918522.811755</c:v>
                </c:pt>
                <c:pt idx="4330">
                  <c:v>-918038.1950000001</c:v>
                </c:pt>
                <c:pt idx="4331">
                  <c:v>-917553.748745</c:v>
                </c:pt>
                <c:pt idx="4332">
                  <c:v>-917069.47296</c:v>
                </c:pt>
                <c:pt idx="4333">
                  <c:v>-916585.3676150001</c:v>
                </c:pt>
                <c:pt idx="4334">
                  <c:v>-916101.43268</c:v>
                </c:pt>
                <c:pt idx="4335">
                  <c:v>-915617.6681250001</c:v>
                </c:pt>
                <c:pt idx="4336">
                  <c:v>-915134.07392</c:v>
                </c:pt>
                <c:pt idx="4337">
                  <c:v>-914650.650035</c:v>
                </c:pt>
                <c:pt idx="4338">
                  <c:v>-914167.39644</c:v>
                </c:pt>
                <c:pt idx="4339">
                  <c:v>-913684.313105</c:v>
                </c:pt>
                <c:pt idx="4340">
                  <c:v>-913201.4</c:v>
                </c:pt>
                <c:pt idx="4341">
                  <c:v>-912718.6570949999</c:v>
                </c:pt>
                <c:pt idx="4342">
                  <c:v>-912236.08436</c:v>
                </c:pt>
                <c:pt idx="4343">
                  <c:v>-911753.681765</c:v>
                </c:pt>
                <c:pt idx="4344">
                  <c:v>-911271.4492800001</c:v>
                </c:pt>
                <c:pt idx="4345">
                  <c:v>-910789.386875</c:v>
                </c:pt>
                <c:pt idx="4346">
                  <c:v>-910307.49452</c:v>
                </c:pt>
                <c:pt idx="4347">
                  <c:v>-909825.772185</c:v>
                </c:pt>
                <c:pt idx="4348">
                  <c:v>-909344.21984</c:v>
                </c:pt>
                <c:pt idx="4349">
                  <c:v>-908862.837455</c:v>
                </c:pt>
                <c:pt idx="4350">
                  <c:v>-908381.625</c:v>
                </c:pt>
                <c:pt idx="4351">
                  <c:v>-907900.582445</c:v>
                </c:pt>
                <c:pt idx="4352">
                  <c:v>-907419.70976</c:v>
                </c:pt>
                <c:pt idx="4353">
                  <c:v>-906939.0069149999</c:v>
                </c:pt>
                <c:pt idx="4354">
                  <c:v>-906458.47388</c:v>
                </c:pt>
                <c:pt idx="4355">
                  <c:v>-905978.110625</c:v>
                </c:pt>
                <c:pt idx="4356">
                  <c:v>-905497.91712</c:v>
                </c:pt>
                <c:pt idx="4357">
                  <c:v>-905017.893335</c:v>
                </c:pt>
                <c:pt idx="4358">
                  <c:v>-904538.03924</c:v>
                </c:pt>
                <c:pt idx="4359">
                  <c:v>-904058.354805</c:v>
                </c:pt>
                <c:pt idx="4360">
                  <c:v>-903578.84</c:v>
                </c:pt>
                <c:pt idx="4361">
                  <c:v>-903099.4947950001</c:v>
                </c:pt>
                <c:pt idx="4362">
                  <c:v>-902620.3191600001</c:v>
                </c:pt>
                <c:pt idx="4363">
                  <c:v>-902141.313065</c:v>
                </c:pt>
                <c:pt idx="4364">
                  <c:v>-901662.47648</c:v>
                </c:pt>
                <c:pt idx="4365">
                  <c:v>-901183.809375</c:v>
                </c:pt>
                <c:pt idx="4366">
                  <c:v>-900705.31172</c:v>
                </c:pt>
                <c:pt idx="4367">
                  <c:v>-900226.9834850001</c:v>
                </c:pt>
                <c:pt idx="4368">
                  <c:v>-899748.82464</c:v>
                </c:pt>
                <c:pt idx="4369">
                  <c:v>-899270.835155</c:v>
                </c:pt>
                <c:pt idx="4370">
                  <c:v>-898793.0149999999</c:v>
                </c:pt>
                <c:pt idx="4371">
                  <c:v>-898315.364145</c:v>
                </c:pt>
                <c:pt idx="4372">
                  <c:v>-897837.88256</c:v>
                </c:pt>
                <c:pt idx="4373">
                  <c:v>-897360.5702150001</c:v>
                </c:pt>
                <c:pt idx="4374">
                  <c:v>-896883.42708</c:v>
                </c:pt>
                <c:pt idx="4375">
                  <c:v>-896406.453125</c:v>
                </c:pt>
                <c:pt idx="4376">
                  <c:v>-895929.64832</c:v>
                </c:pt>
                <c:pt idx="4377">
                  <c:v>-895453.012635</c:v>
                </c:pt>
                <c:pt idx="4378">
                  <c:v>-894976.54604</c:v>
                </c:pt>
                <c:pt idx="4379">
                  <c:v>-894500.248505</c:v>
                </c:pt>
                <c:pt idx="4380">
                  <c:v>-894024.12</c:v>
                </c:pt>
                <c:pt idx="4381">
                  <c:v>-893548.160495</c:v>
                </c:pt>
                <c:pt idx="4382">
                  <c:v>-893072.3699599999</c:v>
                </c:pt>
                <c:pt idx="4383">
                  <c:v>-892596.748365</c:v>
                </c:pt>
                <c:pt idx="4384">
                  <c:v>-892121.29568</c:v>
                </c:pt>
                <c:pt idx="4385">
                  <c:v>-891646.011875</c:v>
                </c:pt>
                <c:pt idx="4386">
                  <c:v>-891170.89692</c:v>
                </c:pt>
                <c:pt idx="4387">
                  <c:v>-890695.950785</c:v>
                </c:pt>
                <c:pt idx="4388">
                  <c:v>-890221.17344</c:v>
                </c:pt>
                <c:pt idx="4389">
                  <c:v>-889746.564855</c:v>
                </c:pt>
                <c:pt idx="4390">
                  <c:v>-889272.125</c:v>
                </c:pt>
                <c:pt idx="4391">
                  <c:v>-888797.853845</c:v>
                </c:pt>
                <c:pt idx="4392">
                  <c:v>-888323.75136</c:v>
                </c:pt>
                <c:pt idx="4393">
                  <c:v>-887849.817515</c:v>
                </c:pt>
                <c:pt idx="4394">
                  <c:v>-887376.0522800001</c:v>
                </c:pt>
                <c:pt idx="4395">
                  <c:v>-886902.455625</c:v>
                </c:pt>
                <c:pt idx="4396">
                  <c:v>-886429.02752</c:v>
                </c:pt>
                <c:pt idx="4397">
                  <c:v>-885955.767935</c:v>
                </c:pt>
                <c:pt idx="4398">
                  <c:v>-885482.67684</c:v>
                </c:pt>
                <c:pt idx="4399">
                  <c:v>-885009.754205</c:v>
                </c:pt>
                <c:pt idx="4400">
                  <c:v>-884537.0</c:v>
                </c:pt>
                <c:pt idx="4401">
                  <c:v>-884064.414195</c:v>
                </c:pt>
                <c:pt idx="4402">
                  <c:v>-883591.99676</c:v>
                </c:pt>
                <c:pt idx="4403">
                  <c:v>-883119.747665</c:v>
                </c:pt>
                <c:pt idx="4404">
                  <c:v>-882647.66688</c:v>
                </c:pt>
                <c:pt idx="4405">
                  <c:v>-882175.754375</c:v>
                </c:pt>
                <c:pt idx="4406">
                  <c:v>-881704.01012</c:v>
                </c:pt>
                <c:pt idx="4407">
                  <c:v>-881232.4340850001</c:v>
                </c:pt>
                <c:pt idx="4408">
                  <c:v>-880761.0262399999</c:v>
                </c:pt>
                <c:pt idx="4409">
                  <c:v>-880289.786555</c:v>
                </c:pt>
                <c:pt idx="4410">
                  <c:v>-879818.715</c:v>
                </c:pt>
                <c:pt idx="4411">
                  <c:v>-879347.811545</c:v>
                </c:pt>
                <c:pt idx="4412">
                  <c:v>-878877.0761599999</c:v>
                </c:pt>
                <c:pt idx="4413">
                  <c:v>-878406.508815</c:v>
                </c:pt>
                <c:pt idx="4414">
                  <c:v>-877936.10948</c:v>
                </c:pt>
                <c:pt idx="4415">
                  <c:v>-877465.8781249999</c:v>
                </c:pt>
                <c:pt idx="4416">
                  <c:v>-876995.81472</c:v>
                </c:pt>
                <c:pt idx="4417">
                  <c:v>-876525.9192349999</c:v>
                </c:pt>
                <c:pt idx="4418">
                  <c:v>-876056.1916400001</c:v>
                </c:pt>
                <c:pt idx="4419">
                  <c:v>-875586.631905</c:v>
                </c:pt>
                <c:pt idx="4420">
                  <c:v>-875117.24</c:v>
                </c:pt>
                <c:pt idx="4421">
                  <c:v>-874648.015895</c:v>
                </c:pt>
                <c:pt idx="4422">
                  <c:v>-874178.95956</c:v>
                </c:pt>
                <c:pt idx="4423">
                  <c:v>-873710.070965</c:v>
                </c:pt>
                <c:pt idx="4424">
                  <c:v>-873241.35008</c:v>
                </c:pt>
                <c:pt idx="4425">
                  <c:v>-872772.796875</c:v>
                </c:pt>
                <c:pt idx="4426">
                  <c:v>-872304.4113200001</c:v>
                </c:pt>
                <c:pt idx="4427">
                  <c:v>-871836.193385</c:v>
                </c:pt>
                <c:pt idx="4428">
                  <c:v>-871368.14304</c:v>
                </c:pt>
                <c:pt idx="4429">
                  <c:v>-870900.260255</c:v>
                </c:pt>
                <c:pt idx="4430">
                  <c:v>-870432.5449999999</c:v>
                </c:pt>
                <c:pt idx="4431">
                  <c:v>-869964.997245</c:v>
                </c:pt>
                <c:pt idx="4432">
                  <c:v>-869497.61696</c:v>
                </c:pt>
                <c:pt idx="4433">
                  <c:v>-869030.404115</c:v>
                </c:pt>
                <c:pt idx="4434">
                  <c:v>-868563.3586800001</c:v>
                </c:pt>
                <c:pt idx="4435">
                  <c:v>-868096.480625</c:v>
                </c:pt>
                <c:pt idx="4436">
                  <c:v>-867629.76992</c:v>
                </c:pt>
                <c:pt idx="4437">
                  <c:v>-867163.226535</c:v>
                </c:pt>
                <c:pt idx="4438">
                  <c:v>-866696.85044</c:v>
                </c:pt>
                <c:pt idx="4439">
                  <c:v>-866230.641605</c:v>
                </c:pt>
                <c:pt idx="4440">
                  <c:v>-865764.6000000001</c:v>
                </c:pt>
                <c:pt idx="4441">
                  <c:v>-865298.7255950001</c:v>
                </c:pt>
                <c:pt idx="4442">
                  <c:v>-864833.01836</c:v>
                </c:pt>
                <c:pt idx="4443">
                  <c:v>-864367.478265</c:v>
                </c:pt>
                <c:pt idx="4444">
                  <c:v>-863902.10528</c:v>
                </c:pt>
                <c:pt idx="4445">
                  <c:v>-863436.8993749999</c:v>
                </c:pt>
                <c:pt idx="4446">
                  <c:v>-862971.86052</c:v>
                </c:pt>
                <c:pt idx="4447">
                  <c:v>-862506.988685</c:v>
                </c:pt>
                <c:pt idx="4448">
                  <c:v>-862042.2838399999</c:v>
                </c:pt>
                <c:pt idx="4449">
                  <c:v>-861577.745955</c:v>
                </c:pt>
                <c:pt idx="4450">
                  <c:v>-861113.375</c:v>
                </c:pt>
                <c:pt idx="4451">
                  <c:v>-860649.170945</c:v>
                </c:pt>
                <c:pt idx="4452">
                  <c:v>-860185.13376</c:v>
                </c:pt>
                <c:pt idx="4453">
                  <c:v>-859721.2634149999</c:v>
                </c:pt>
                <c:pt idx="4454">
                  <c:v>-859257.5598800001</c:v>
                </c:pt>
                <c:pt idx="4455">
                  <c:v>-858794.0231250001</c:v>
                </c:pt>
                <c:pt idx="4456">
                  <c:v>-858330.6531199999</c:v>
                </c:pt>
                <c:pt idx="4457">
                  <c:v>-857867.449835</c:v>
                </c:pt>
                <c:pt idx="4458">
                  <c:v>-857404.41324</c:v>
                </c:pt>
                <c:pt idx="4459">
                  <c:v>-856941.5433049999</c:v>
                </c:pt>
                <c:pt idx="4460">
                  <c:v>-856478.8400000001</c:v>
                </c:pt>
                <c:pt idx="4461">
                  <c:v>-856016.303295</c:v>
                </c:pt>
                <c:pt idx="4462">
                  <c:v>-855553.9331599999</c:v>
                </c:pt>
                <c:pt idx="4463">
                  <c:v>-855091.729565</c:v>
                </c:pt>
                <c:pt idx="4464">
                  <c:v>-854629.69248</c:v>
                </c:pt>
                <c:pt idx="4465">
                  <c:v>-854167.821875</c:v>
                </c:pt>
                <c:pt idx="4466">
                  <c:v>-853706.11772</c:v>
                </c:pt>
                <c:pt idx="4467">
                  <c:v>-853244.579985</c:v>
                </c:pt>
                <c:pt idx="4468">
                  <c:v>-852783.20864</c:v>
                </c:pt>
                <c:pt idx="4469">
                  <c:v>-852322.003655</c:v>
                </c:pt>
                <c:pt idx="4470">
                  <c:v>-851860.965</c:v>
                </c:pt>
                <c:pt idx="4471">
                  <c:v>-851400.0926450001</c:v>
                </c:pt>
                <c:pt idx="4472">
                  <c:v>-850939.38656</c:v>
                </c:pt>
                <c:pt idx="4473">
                  <c:v>-850478.846715</c:v>
                </c:pt>
                <c:pt idx="4474">
                  <c:v>-850018.4730799999</c:v>
                </c:pt>
                <c:pt idx="4475">
                  <c:v>-849558.265625</c:v>
                </c:pt>
                <c:pt idx="4476">
                  <c:v>-849098.22432</c:v>
                </c:pt>
                <c:pt idx="4477">
                  <c:v>-848638.349135</c:v>
                </c:pt>
                <c:pt idx="4478">
                  <c:v>-848178.6400400001</c:v>
                </c:pt>
                <c:pt idx="4479">
                  <c:v>-847719.097005</c:v>
                </c:pt>
                <c:pt idx="4480">
                  <c:v>-847259.72</c:v>
                </c:pt>
                <c:pt idx="4481">
                  <c:v>-846800.508995</c:v>
                </c:pt>
                <c:pt idx="4482">
                  <c:v>-846341.46396</c:v>
                </c:pt>
                <c:pt idx="4483">
                  <c:v>-845882.584865</c:v>
                </c:pt>
                <c:pt idx="4484">
                  <c:v>-845423.87168</c:v>
                </c:pt>
                <c:pt idx="4485">
                  <c:v>-844965.3243750001</c:v>
                </c:pt>
                <c:pt idx="4486">
                  <c:v>-844506.9429200001</c:v>
                </c:pt>
                <c:pt idx="4487">
                  <c:v>-844048.7272849999</c:v>
                </c:pt>
                <c:pt idx="4488">
                  <c:v>-843590.67744</c:v>
                </c:pt>
                <c:pt idx="4489">
                  <c:v>-843132.793355</c:v>
                </c:pt>
                <c:pt idx="4490">
                  <c:v>-842675.075</c:v>
                </c:pt>
                <c:pt idx="4491">
                  <c:v>-842217.522345</c:v>
                </c:pt>
                <c:pt idx="4492">
                  <c:v>-841760.13536</c:v>
                </c:pt>
                <c:pt idx="4493">
                  <c:v>-841302.914015</c:v>
                </c:pt>
                <c:pt idx="4494">
                  <c:v>-840845.85828</c:v>
                </c:pt>
                <c:pt idx="4495">
                  <c:v>-840388.9681249999</c:v>
                </c:pt>
                <c:pt idx="4496">
                  <c:v>-839932.2435199999</c:v>
                </c:pt>
                <c:pt idx="4497">
                  <c:v>-839475.684435</c:v>
                </c:pt>
                <c:pt idx="4498">
                  <c:v>-839019.29084</c:v>
                </c:pt>
                <c:pt idx="4499">
                  <c:v>-838563.062705</c:v>
                </c:pt>
                <c:pt idx="4500">
                  <c:v>-838107.0</c:v>
                </c:pt>
                <c:pt idx="4501">
                  <c:v>-837651.102695</c:v>
                </c:pt>
                <c:pt idx="4502">
                  <c:v>-837195.3707600001</c:v>
                </c:pt>
                <c:pt idx="4503">
                  <c:v>-836739.804165</c:v>
                </c:pt>
                <c:pt idx="4504">
                  <c:v>-836284.40288</c:v>
                </c:pt>
                <c:pt idx="4505">
                  <c:v>-835829.166875</c:v>
                </c:pt>
                <c:pt idx="4506">
                  <c:v>-835374.09612</c:v>
                </c:pt>
                <c:pt idx="4507">
                  <c:v>-834919.190585</c:v>
                </c:pt>
                <c:pt idx="4508">
                  <c:v>-834464.45024</c:v>
                </c:pt>
                <c:pt idx="4509">
                  <c:v>-834009.875055</c:v>
                </c:pt>
                <c:pt idx="4510">
                  <c:v>-833555.465</c:v>
                </c:pt>
                <c:pt idx="4511">
                  <c:v>-833101.2200450001</c:v>
                </c:pt>
                <c:pt idx="4512">
                  <c:v>-832647.1401600001</c:v>
                </c:pt>
                <c:pt idx="4513">
                  <c:v>-832193.2253149999</c:v>
                </c:pt>
                <c:pt idx="4514">
                  <c:v>-831739.47548</c:v>
                </c:pt>
                <c:pt idx="4515">
                  <c:v>-831285.890625</c:v>
                </c:pt>
                <c:pt idx="4516">
                  <c:v>-830832.47072</c:v>
                </c:pt>
                <c:pt idx="4517">
                  <c:v>-830379.215735</c:v>
                </c:pt>
                <c:pt idx="4518">
                  <c:v>-829926.12564</c:v>
                </c:pt>
                <c:pt idx="4519">
                  <c:v>-829473.200405</c:v>
                </c:pt>
                <c:pt idx="4520">
                  <c:v>-829020.44</c:v>
                </c:pt>
                <c:pt idx="4521">
                  <c:v>-828567.844395</c:v>
                </c:pt>
                <c:pt idx="4522">
                  <c:v>-828115.41356</c:v>
                </c:pt>
                <c:pt idx="4523">
                  <c:v>-827663.147465</c:v>
                </c:pt>
                <c:pt idx="4524">
                  <c:v>-827211.04608</c:v>
                </c:pt>
                <c:pt idx="4525">
                  <c:v>-826759.109375</c:v>
                </c:pt>
                <c:pt idx="4526">
                  <c:v>-826307.33732</c:v>
                </c:pt>
                <c:pt idx="4527">
                  <c:v>-825855.729885</c:v>
                </c:pt>
                <c:pt idx="4528">
                  <c:v>-825404.28704</c:v>
                </c:pt>
                <c:pt idx="4529">
                  <c:v>-824953.0087550001</c:v>
                </c:pt>
                <c:pt idx="4530">
                  <c:v>-824501.895</c:v>
                </c:pt>
                <c:pt idx="4531">
                  <c:v>-824050.945745</c:v>
                </c:pt>
                <c:pt idx="4532">
                  <c:v>-823600.1609599999</c:v>
                </c:pt>
                <c:pt idx="4533">
                  <c:v>-823149.5406150001</c:v>
                </c:pt>
                <c:pt idx="4534">
                  <c:v>-822699.08468</c:v>
                </c:pt>
                <c:pt idx="4535">
                  <c:v>-822248.793125</c:v>
                </c:pt>
                <c:pt idx="4536">
                  <c:v>-821798.66592</c:v>
                </c:pt>
                <c:pt idx="4537">
                  <c:v>-821348.7030350001</c:v>
                </c:pt>
                <c:pt idx="4538">
                  <c:v>-820898.90444</c:v>
                </c:pt>
                <c:pt idx="4539">
                  <c:v>-820449.270105</c:v>
                </c:pt>
                <c:pt idx="4540">
                  <c:v>-819999.7999999999</c:v>
                </c:pt>
                <c:pt idx="4541">
                  <c:v>-819550.4940950001</c:v>
                </c:pt>
                <c:pt idx="4542">
                  <c:v>-819101.35236</c:v>
                </c:pt>
                <c:pt idx="4543">
                  <c:v>-818652.3747650001</c:v>
                </c:pt>
                <c:pt idx="4544">
                  <c:v>-818203.56128</c:v>
                </c:pt>
                <c:pt idx="4545">
                  <c:v>-817754.911875</c:v>
                </c:pt>
                <c:pt idx="4546">
                  <c:v>-817306.42652</c:v>
                </c:pt>
                <c:pt idx="4547">
                  <c:v>-816858.105185</c:v>
                </c:pt>
                <c:pt idx="4548">
                  <c:v>-816409.94784</c:v>
                </c:pt>
                <c:pt idx="4549">
                  <c:v>-815961.954455</c:v>
                </c:pt>
                <c:pt idx="4550">
                  <c:v>-815514.125</c:v>
                </c:pt>
                <c:pt idx="4551">
                  <c:v>-815066.459445</c:v>
                </c:pt>
                <c:pt idx="4552">
                  <c:v>-814618.95776</c:v>
                </c:pt>
                <c:pt idx="4553">
                  <c:v>-814171.6199149999</c:v>
                </c:pt>
                <c:pt idx="4554">
                  <c:v>-813724.44588</c:v>
                </c:pt>
                <c:pt idx="4555">
                  <c:v>-813277.4356249999</c:v>
                </c:pt>
                <c:pt idx="4556">
                  <c:v>-812830.58912</c:v>
                </c:pt>
                <c:pt idx="4557">
                  <c:v>-812383.906335</c:v>
                </c:pt>
                <c:pt idx="4558">
                  <c:v>-811937.38724</c:v>
                </c:pt>
                <c:pt idx="4559">
                  <c:v>-811491.031805</c:v>
                </c:pt>
                <c:pt idx="4560">
                  <c:v>-811044.84</c:v>
                </c:pt>
                <c:pt idx="4561">
                  <c:v>-810598.8117950001</c:v>
                </c:pt>
                <c:pt idx="4562">
                  <c:v>-810152.94716</c:v>
                </c:pt>
                <c:pt idx="4563">
                  <c:v>-809707.246065</c:v>
                </c:pt>
                <c:pt idx="4564">
                  <c:v>-809261.7084799999</c:v>
                </c:pt>
                <c:pt idx="4565">
                  <c:v>-808816.3343750001</c:v>
                </c:pt>
                <c:pt idx="4566">
                  <c:v>-808371.12372</c:v>
                </c:pt>
                <c:pt idx="4567">
                  <c:v>-807926.0764850001</c:v>
                </c:pt>
                <c:pt idx="4568">
                  <c:v>-807481.19264</c:v>
                </c:pt>
                <c:pt idx="4569">
                  <c:v>-807036.472155</c:v>
                </c:pt>
                <c:pt idx="4570">
                  <c:v>-806591.9149999999</c:v>
                </c:pt>
                <c:pt idx="4571">
                  <c:v>-806147.5211449999</c:v>
                </c:pt>
                <c:pt idx="4572">
                  <c:v>-805703.29056</c:v>
                </c:pt>
                <c:pt idx="4573">
                  <c:v>-805259.223215</c:v>
                </c:pt>
                <c:pt idx="4574">
                  <c:v>-804815.3190799999</c:v>
                </c:pt>
                <c:pt idx="4575">
                  <c:v>-804371.578125</c:v>
                </c:pt>
                <c:pt idx="4576">
                  <c:v>-803928.00032</c:v>
                </c:pt>
                <c:pt idx="4577">
                  <c:v>-803484.585635</c:v>
                </c:pt>
                <c:pt idx="4578">
                  <c:v>-803041.33404</c:v>
                </c:pt>
                <c:pt idx="4579">
                  <c:v>-802598.245505</c:v>
                </c:pt>
                <c:pt idx="4580">
                  <c:v>-802155.3200000001</c:v>
                </c:pt>
                <c:pt idx="4581">
                  <c:v>-801712.5574950001</c:v>
                </c:pt>
                <c:pt idx="4582">
                  <c:v>-801269.95796</c:v>
                </c:pt>
                <c:pt idx="4583">
                  <c:v>-800827.521365</c:v>
                </c:pt>
                <c:pt idx="4584">
                  <c:v>-800385.2476799999</c:v>
                </c:pt>
                <c:pt idx="4585">
                  <c:v>-799943.1368750001</c:v>
                </c:pt>
                <c:pt idx="4586">
                  <c:v>-799501.18892</c:v>
                </c:pt>
                <c:pt idx="4587">
                  <c:v>-799059.403785</c:v>
                </c:pt>
                <c:pt idx="4588">
                  <c:v>-798617.7814399999</c:v>
                </c:pt>
                <c:pt idx="4589">
                  <c:v>-798176.321855</c:v>
                </c:pt>
                <c:pt idx="4590">
                  <c:v>-797735.025</c:v>
                </c:pt>
                <c:pt idx="4591">
                  <c:v>-797293.8908449999</c:v>
                </c:pt>
                <c:pt idx="4592">
                  <c:v>-796852.91936</c:v>
                </c:pt>
                <c:pt idx="4593">
                  <c:v>-796412.1105150001</c:v>
                </c:pt>
                <c:pt idx="4594">
                  <c:v>-795971.4642800001</c:v>
                </c:pt>
                <c:pt idx="4595">
                  <c:v>-795530.980625</c:v>
                </c:pt>
                <c:pt idx="4596">
                  <c:v>-795090.65952</c:v>
                </c:pt>
                <c:pt idx="4597">
                  <c:v>-794650.500935</c:v>
                </c:pt>
                <c:pt idx="4598">
                  <c:v>-794210.50484</c:v>
                </c:pt>
                <c:pt idx="4599">
                  <c:v>-793770.671205</c:v>
                </c:pt>
                <c:pt idx="4600">
                  <c:v>-793331.0</c:v>
                </c:pt>
                <c:pt idx="4601">
                  <c:v>-792891.491195</c:v>
                </c:pt>
                <c:pt idx="4602">
                  <c:v>-792452.1447599999</c:v>
                </c:pt>
                <c:pt idx="4603">
                  <c:v>-792012.960665</c:v>
                </c:pt>
                <c:pt idx="4604">
                  <c:v>-791573.9388799999</c:v>
                </c:pt>
                <c:pt idx="4605">
                  <c:v>-791135.079375</c:v>
                </c:pt>
                <c:pt idx="4606">
                  <c:v>-790696.38212</c:v>
                </c:pt>
                <c:pt idx="4607">
                  <c:v>-790257.847085</c:v>
                </c:pt>
                <c:pt idx="4608">
                  <c:v>-789819.47424</c:v>
                </c:pt>
                <c:pt idx="4609">
                  <c:v>-789381.263555</c:v>
                </c:pt>
                <c:pt idx="4610">
                  <c:v>-788943.2150000001</c:v>
                </c:pt>
                <c:pt idx="4611">
                  <c:v>-788505.3285449999</c:v>
                </c:pt>
                <c:pt idx="4612">
                  <c:v>-788067.60416</c:v>
                </c:pt>
                <c:pt idx="4613">
                  <c:v>-787630.041815</c:v>
                </c:pt>
                <c:pt idx="4614">
                  <c:v>-787192.6414800001</c:v>
                </c:pt>
                <c:pt idx="4615">
                  <c:v>-786755.403125</c:v>
                </c:pt>
                <c:pt idx="4616">
                  <c:v>-786318.32672</c:v>
                </c:pt>
                <c:pt idx="4617">
                  <c:v>-785881.4122349999</c:v>
                </c:pt>
                <c:pt idx="4618">
                  <c:v>-785444.65964</c:v>
                </c:pt>
                <c:pt idx="4619">
                  <c:v>-785008.068905</c:v>
                </c:pt>
                <c:pt idx="4620">
                  <c:v>-784571.6399999999</c:v>
                </c:pt>
                <c:pt idx="4621">
                  <c:v>-784135.372895</c:v>
                </c:pt>
                <c:pt idx="4622">
                  <c:v>-783699.26756</c:v>
                </c:pt>
                <c:pt idx="4623">
                  <c:v>-783263.323965</c:v>
                </c:pt>
                <c:pt idx="4624">
                  <c:v>-782827.54208</c:v>
                </c:pt>
                <c:pt idx="4625">
                  <c:v>-782391.921875</c:v>
                </c:pt>
                <c:pt idx="4626">
                  <c:v>-781956.46332</c:v>
                </c:pt>
                <c:pt idx="4627">
                  <c:v>-781521.1663850001</c:v>
                </c:pt>
                <c:pt idx="4628">
                  <c:v>-781086.03104</c:v>
                </c:pt>
                <c:pt idx="4629">
                  <c:v>-780651.057255</c:v>
                </c:pt>
                <c:pt idx="4630">
                  <c:v>-780216.245</c:v>
                </c:pt>
                <c:pt idx="4631">
                  <c:v>-779781.594245</c:v>
                </c:pt>
                <c:pt idx="4632">
                  <c:v>-779347.10496</c:v>
                </c:pt>
                <c:pt idx="4633">
                  <c:v>-778912.777115</c:v>
                </c:pt>
                <c:pt idx="4634">
                  <c:v>-778478.61068</c:v>
                </c:pt>
                <c:pt idx="4635">
                  <c:v>-778044.605625</c:v>
                </c:pt>
                <c:pt idx="4636">
                  <c:v>-777610.76192</c:v>
                </c:pt>
                <c:pt idx="4637">
                  <c:v>-777177.079535</c:v>
                </c:pt>
                <c:pt idx="4638">
                  <c:v>-776743.5584399999</c:v>
                </c:pt>
                <c:pt idx="4639">
                  <c:v>-776310.198605</c:v>
                </c:pt>
                <c:pt idx="4640">
                  <c:v>-775877.0</c:v>
                </c:pt>
                <c:pt idx="4641">
                  <c:v>-775443.962595</c:v>
                </c:pt>
                <c:pt idx="4642">
                  <c:v>-775011.0863600001</c:v>
                </c:pt>
                <c:pt idx="4643">
                  <c:v>-774578.3712650001</c:v>
                </c:pt>
                <c:pt idx="4644">
                  <c:v>-774145.8172800001</c:v>
                </c:pt>
                <c:pt idx="4645">
                  <c:v>-773713.424375</c:v>
                </c:pt>
                <c:pt idx="4646">
                  <c:v>-773281.19252</c:v>
                </c:pt>
                <c:pt idx="4647">
                  <c:v>-772849.121685</c:v>
                </c:pt>
                <c:pt idx="4648">
                  <c:v>-772417.21184</c:v>
                </c:pt>
                <c:pt idx="4649">
                  <c:v>-771985.462955</c:v>
                </c:pt>
                <c:pt idx="4650">
                  <c:v>-771553.875</c:v>
                </c:pt>
                <c:pt idx="4651">
                  <c:v>-771122.447945</c:v>
                </c:pt>
                <c:pt idx="4652">
                  <c:v>-770691.1817600001</c:v>
                </c:pt>
                <c:pt idx="4653">
                  <c:v>-770260.076415</c:v>
                </c:pt>
                <c:pt idx="4654">
                  <c:v>-769829.13188</c:v>
                </c:pt>
                <c:pt idx="4655">
                  <c:v>-769398.348125</c:v>
                </c:pt>
                <c:pt idx="4656">
                  <c:v>-768967.72512</c:v>
                </c:pt>
                <c:pt idx="4657">
                  <c:v>-768537.262835</c:v>
                </c:pt>
                <c:pt idx="4658">
                  <c:v>-768106.96124</c:v>
                </c:pt>
                <c:pt idx="4659">
                  <c:v>-767676.820305</c:v>
                </c:pt>
                <c:pt idx="4660">
                  <c:v>-767246.84</c:v>
                </c:pt>
                <c:pt idx="4661">
                  <c:v>-766817.0202949999</c:v>
                </c:pt>
                <c:pt idx="4662">
                  <c:v>-766387.36116</c:v>
                </c:pt>
                <c:pt idx="4663">
                  <c:v>-765957.862565</c:v>
                </c:pt>
                <c:pt idx="4664">
                  <c:v>-765528.52448</c:v>
                </c:pt>
                <c:pt idx="4665">
                  <c:v>-765099.3468749999</c:v>
                </c:pt>
                <c:pt idx="4666">
                  <c:v>-764670.32972</c:v>
                </c:pt>
                <c:pt idx="4667">
                  <c:v>-764241.472985</c:v>
                </c:pt>
                <c:pt idx="4668">
                  <c:v>-763812.7766399999</c:v>
                </c:pt>
                <c:pt idx="4669">
                  <c:v>-763384.240655</c:v>
                </c:pt>
                <c:pt idx="4670">
                  <c:v>-762955.865</c:v>
                </c:pt>
                <c:pt idx="4671">
                  <c:v>-762527.649645</c:v>
                </c:pt>
                <c:pt idx="4672">
                  <c:v>-762099.59456</c:v>
                </c:pt>
                <c:pt idx="4673">
                  <c:v>-761671.699715</c:v>
                </c:pt>
                <c:pt idx="4674">
                  <c:v>-761243.96508</c:v>
                </c:pt>
                <c:pt idx="4675">
                  <c:v>-760816.390625</c:v>
                </c:pt>
                <c:pt idx="4676">
                  <c:v>-760388.97632</c:v>
                </c:pt>
                <c:pt idx="4677">
                  <c:v>-759961.722135</c:v>
                </c:pt>
                <c:pt idx="4678">
                  <c:v>-759534.62804</c:v>
                </c:pt>
                <c:pt idx="4679">
                  <c:v>-759107.6940049999</c:v>
                </c:pt>
                <c:pt idx="4680">
                  <c:v>-758680.9199999999</c:v>
                </c:pt>
                <c:pt idx="4681">
                  <c:v>-758254.3059950001</c:v>
                </c:pt>
                <c:pt idx="4682">
                  <c:v>-757827.85196</c:v>
                </c:pt>
                <c:pt idx="4683">
                  <c:v>-757401.557865</c:v>
                </c:pt>
                <c:pt idx="4684">
                  <c:v>-756975.42368</c:v>
                </c:pt>
                <c:pt idx="4685">
                  <c:v>-756549.449375</c:v>
                </c:pt>
                <c:pt idx="4686">
                  <c:v>-756123.63492</c:v>
                </c:pt>
                <c:pt idx="4687">
                  <c:v>-755697.9802849999</c:v>
                </c:pt>
                <c:pt idx="4688">
                  <c:v>-755272.48544</c:v>
                </c:pt>
                <c:pt idx="4689">
                  <c:v>-754847.150355</c:v>
                </c:pt>
                <c:pt idx="4690">
                  <c:v>-754421.9750000001</c:v>
                </c:pt>
                <c:pt idx="4691">
                  <c:v>-753996.959345</c:v>
                </c:pt>
                <c:pt idx="4692">
                  <c:v>-753572.10336</c:v>
                </c:pt>
                <c:pt idx="4693">
                  <c:v>-753147.4070149999</c:v>
                </c:pt>
                <c:pt idx="4694">
                  <c:v>-752722.87028</c:v>
                </c:pt>
                <c:pt idx="4695">
                  <c:v>-752298.4931249999</c:v>
                </c:pt>
                <c:pt idx="4696">
                  <c:v>-751874.27552</c:v>
                </c:pt>
                <c:pt idx="4697">
                  <c:v>-751450.217435</c:v>
                </c:pt>
                <c:pt idx="4698">
                  <c:v>-751026.3188400001</c:v>
                </c:pt>
                <c:pt idx="4699">
                  <c:v>-750602.579705</c:v>
                </c:pt>
                <c:pt idx="4700">
                  <c:v>-750179.0</c:v>
                </c:pt>
                <c:pt idx="4701">
                  <c:v>-749755.579695</c:v>
                </c:pt>
                <c:pt idx="4702">
                  <c:v>-749332.3187599999</c:v>
                </c:pt>
                <c:pt idx="4703">
                  <c:v>-748909.217165</c:v>
                </c:pt>
                <c:pt idx="4704">
                  <c:v>-748486.27488</c:v>
                </c:pt>
                <c:pt idx="4705">
                  <c:v>-748063.4918750001</c:v>
                </c:pt>
                <c:pt idx="4706">
                  <c:v>-747640.86812</c:v>
                </c:pt>
                <c:pt idx="4707">
                  <c:v>-747218.4035850001</c:v>
                </c:pt>
                <c:pt idx="4708">
                  <c:v>-746796.09824</c:v>
                </c:pt>
                <c:pt idx="4709">
                  <c:v>-746373.952055</c:v>
                </c:pt>
                <c:pt idx="4710">
                  <c:v>-745951.9650000001</c:v>
                </c:pt>
                <c:pt idx="4711">
                  <c:v>-745530.137045</c:v>
                </c:pt>
                <c:pt idx="4712">
                  <c:v>-745108.46816</c:v>
                </c:pt>
                <c:pt idx="4713">
                  <c:v>-744686.9583149999</c:v>
                </c:pt>
                <c:pt idx="4714">
                  <c:v>-744265.60748</c:v>
                </c:pt>
                <c:pt idx="4715">
                  <c:v>-743844.415625</c:v>
                </c:pt>
                <c:pt idx="4716">
                  <c:v>-743423.3827199999</c:v>
                </c:pt>
                <c:pt idx="4717">
                  <c:v>-743002.508735</c:v>
                </c:pt>
                <c:pt idx="4718">
                  <c:v>-742581.79364</c:v>
                </c:pt>
                <c:pt idx="4719">
                  <c:v>-742161.237405</c:v>
                </c:pt>
                <c:pt idx="4720">
                  <c:v>-741740.84</c:v>
                </c:pt>
                <c:pt idx="4721">
                  <c:v>-741320.601395</c:v>
                </c:pt>
                <c:pt idx="4722">
                  <c:v>-740900.5215599999</c:v>
                </c:pt>
                <c:pt idx="4723">
                  <c:v>-740480.6004649999</c:v>
                </c:pt>
                <c:pt idx="4724">
                  <c:v>-740060.83808</c:v>
                </c:pt>
                <c:pt idx="4725">
                  <c:v>-739641.234375</c:v>
                </c:pt>
                <c:pt idx="4726">
                  <c:v>-739221.7893200001</c:v>
                </c:pt>
                <c:pt idx="4727">
                  <c:v>-738802.502885</c:v>
                </c:pt>
                <c:pt idx="4728">
                  <c:v>-738383.37504</c:v>
                </c:pt>
                <c:pt idx="4729">
                  <c:v>-737964.405755</c:v>
                </c:pt>
                <c:pt idx="4730">
                  <c:v>-737545.595</c:v>
                </c:pt>
                <c:pt idx="4731">
                  <c:v>-737126.942745</c:v>
                </c:pt>
                <c:pt idx="4732">
                  <c:v>-736708.44896</c:v>
                </c:pt>
                <c:pt idx="4733">
                  <c:v>-736290.113615</c:v>
                </c:pt>
                <c:pt idx="4734">
                  <c:v>-735871.93668</c:v>
                </c:pt>
                <c:pt idx="4735">
                  <c:v>-735453.9181250001</c:v>
                </c:pt>
                <c:pt idx="4736">
                  <c:v>-735036.05792</c:v>
                </c:pt>
                <c:pt idx="4737">
                  <c:v>-734618.356035</c:v>
                </c:pt>
                <c:pt idx="4738">
                  <c:v>-734200.81244</c:v>
                </c:pt>
                <c:pt idx="4739">
                  <c:v>-733783.427105</c:v>
                </c:pt>
                <c:pt idx="4740">
                  <c:v>-733366.2</c:v>
                </c:pt>
                <c:pt idx="4741">
                  <c:v>-732949.131095</c:v>
                </c:pt>
                <c:pt idx="4742">
                  <c:v>-732532.22036</c:v>
                </c:pt>
                <c:pt idx="4743">
                  <c:v>-732115.467765</c:v>
                </c:pt>
                <c:pt idx="4744">
                  <c:v>-731698.87328</c:v>
                </c:pt>
                <c:pt idx="4745">
                  <c:v>-731282.4368749999</c:v>
                </c:pt>
                <c:pt idx="4746">
                  <c:v>-730866.1585199999</c:v>
                </c:pt>
                <c:pt idx="4747">
                  <c:v>-730450.038185</c:v>
                </c:pt>
                <c:pt idx="4748">
                  <c:v>-730034.07584</c:v>
                </c:pt>
                <c:pt idx="4749">
                  <c:v>-729618.2714549999</c:v>
                </c:pt>
                <c:pt idx="4750">
                  <c:v>-729202.625</c:v>
                </c:pt>
                <c:pt idx="4751">
                  <c:v>-728787.1364450001</c:v>
                </c:pt>
                <c:pt idx="4752">
                  <c:v>-728371.8057599999</c:v>
                </c:pt>
                <c:pt idx="4753">
                  <c:v>-727956.632915</c:v>
                </c:pt>
                <c:pt idx="4754">
                  <c:v>-727541.6178799999</c:v>
                </c:pt>
                <c:pt idx="4755">
                  <c:v>-727126.760625</c:v>
                </c:pt>
                <c:pt idx="4756">
                  <c:v>-726712.06112</c:v>
                </c:pt>
                <c:pt idx="4757">
                  <c:v>-726297.5193350001</c:v>
                </c:pt>
                <c:pt idx="4758">
                  <c:v>-725883.13524</c:v>
                </c:pt>
                <c:pt idx="4759">
                  <c:v>-725468.908805</c:v>
                </c:pt>
                <c:pt idx="4760">
                  <c:v>-725054.84</c:v>
                </c:pt>
                <c:pt idx="4761">
                  <c:v>-724640.9287950001</c:v>
                </c:pt>
                <c:pt idx="4762">
                  <c:v>-724227.17516</c:v>
                </c:pt>
                <c:pt idx="4763">
                  <c:v>-723813.579065</c:v>
                </c:pt>
                <c:pt idx="4764">
                  <c:v>-723400.14048</c:v>
                </c:pt>
                <c:pt idx="4765">
                  <c:v>-722986.859375</c:v>
                </c:pt>
                <c:pt idx="4766">
                  <c:v>-722573.73572</c:v>
                </c:pt>
                <c:pt idx="4767">
                  <c:v>-722160.7694849999</c:v>
                </c:pt>
                <c:pt idx="4768">
                  <c:v>-721747.9606400001</c:v>
                </c:pt>
                <c:pt idx="4769">
                  <c:v>-721335.309155</c:v>
                </c:pt>
                <c:pt idx="4770">
                  <c:v>-720922.815</c:v>
                </c:pt>
                <c:pt idx="4771">
                  <c:v>-720510.4781450001</c:v>
                </c:pt>
                <c:pt idx="4772">
                  <c:v>-720098.29856</c:v>
                </c:pt>
                <c:pt idx="4773">
                  <c:v>-719686.276215</c:v>
                </c:pt>
                <c:pt idx="4774">
                  <c:v>-719274.4110800001</c:v>
                </c:pt>
                <c:pt idx="4775">
                  <c:v>-718862.703125</c:v>
                </c:pt>
                <c:pt idx="4776">
                  <c:v>-718451.15232</c:v>
                </c:pt>
                <c:pt idx="4777">
                  <c:v>-718039.758635</c:v>
                </c:pt>
                <c:pt idx="4778">
                  <c:v>-717628.5220400001</c:v>
                </c:pt>
                <c:pt idx="4779">
                  <c:v>-717217.442505</c:v>
                </c:pt>
                <c:pt idx="4780">
                  <c:v>-716806.52</c:v>
                </c:pt>
                <c:pt idx="4781">
                  <c:v>-716395.7544949999</c:v>
                </c:pt>
                <c:pt idx="4782">
                  <c:v>-715985.14596</c:v>
                </c:pt>
                <c:pt idx="4783">
                  <c:v>-715574.694365</c:v>
                </c:pt>
                <c:pt idx="4784">
                  <c:v>-715164.39968</c:v>
                </c:pt>
                <c:pt idx="4785">
                  <c:v>-714754.261875</c:v>
                </c:pt>
                <c:pt idx="4786">
                  <c:v>-714344.2809199999</c:v>
                </c:pt>
                <c:pt idx="4787">
                  <c:v>-713934.456785</c:v>
                </c:pt>
                <c:pt idx="4788">
                  <c:v>-713524.7894400001</c:v>
                </c:pt>
                <c:pt idx="4789">
                  <c:v>-713115.2788549999</c:v>
                </c:pt>
                <c:pt idx="4790">
                  <c:v>-712705.9249999999</c:v>
                </c:pt>
                <c:pt idx="4791">
                  <c:v>-712296.727845</c:v>
                </c:pt>
                <c:pt idx="4792">
                  <c:v>-711887.68736</c:v>
                </c:pt>
                <c:pt idx="4793">
                  <c:v>-711478.8035149999</c:v>
                </c:pt>
                <c:pt idx="4794">
                  <c:v>-711070.07628</c:v>
                </c:pt>
                <c:pt idx="4795">
                  <c:v>-710661.505625</c:v>
                </c:pt>
                <c:pt idx="4796">
                  <c:v>-710253.09152</c:v>
                </c:pt>
                <c:pt idx="4797">
                  <c:v>-709844.833935</c:v>
                </c:pt>
                <c:pt idx="4798">
                  <c:v>-709436.73284</c:v>
                </c:pt>
                <c:pt idx="4799">
                  <c:v>-709028.788205</c:v>
                </c:pt>
                <c:pt idx="4800">
                  <c:v>-708621.0</c:v>
                </c:pt>
                <c:pt idx="4801">
                  <c:v>-708213.368195</c:v>
                </c:pt>
                <c:pt idx="4802">
                  <c:v>-707805.8927600001</c:v>
                </c:pt>
                <c:pt idx="4803">
                  <c:v>-707398.573665</c:v>
                </c:pt>
                <c:pt idx="4804">
                  <c:v>-706991.41088</c:v>
                </c:pt>
                <c:pt idx="4805">
                  <c:v>-706584.4043749999</c:v>
                </c:pt>
                <c:pt idx="4806">
                  <c:v>-706177.55412</c:v>
                </c:pt>
                <c:pt idx="4807">
                  <c:v>-705770.860085</c:v>
                </c:pt>
                <c:pt idx="4808">
                  <c:v>-705364.3222399999</c:v>
                </c:pt>
                <c:pt idx="4809">
                  <c:v>-704957.940555</c:v>
                </c:pt>
                <c:pt idx="4810">
                  <c:v>-704551.715</c:v>
                </c:pt>
                <c:pt idx="4811">
                  <c:v>-704145.645545</c:v>
                </c:pt>
                <c:pt idx="4812">
                  <c:v>-703739.73216</c:v>
                </c:pt>
                <c:pt idx="4813">
                  <c:v>-703333.974815</c:v>
                </c:pt>
                <c:pt idx="4814">
                  <c:v>-702928.37348</c:v>
                </c:pt>
                <c:pt idx="4815">
                  <c:v>-702522.9281250001</c:v>
                </c:pt>
                <c:pt idx="4816">
                  <c:v>-702117.63872</c:v>
                </c:pt>
                <c:pt idx="4817">
                  <c:v>-701712.5052349999</c:v>
                </c:pt>
                <c:pt idx="4818">
                  <c:v>-701307.52764</c:v>
                </c:pt>
                <c:pt idx="4819">
                  <c:v>-700902.705905</c:v>
                </c:pt>
                <c:pt idx="4820">
                  <c:v>-700498.0399999999</c:v>
                </c:pt>
                <c:pt idx="4821">
                  <c:v>-700093.5298949999</c:v>
                </c:pt>
                <c:pt idx="4822">
                  <c:v>-699689.17556</c:v>
                </c:pt>
                <c:pt idx="4823">
                  <c:v>-699284.976965</c:v>
                </c:pt>
                <c:pt idx="4824">
                  <c:v>-698880.9340799999</c:v>
                </c:pt>
                <c:pt idx="4825">
                  <c:v>-698477.046875</c:v>
                </c:pt>
                <c:pt idx="4826">
                  <c:v>-698073.31532</c:v>
                </c:pt>
                <c:pt idx="4827">
                  <c:v>-697669.739385</c:v>
                </c:pt>
                <c:pt idx="4828">
                  <c:v>-697266.31904</c:v>
                </c:pt>
                <c:pt idx="4829">
                  <c:v>-696863.054255</c:v>
                </c:pt>
                <c:pt idx="4830">
                  <c:v>-696459.9450000001</c:v>
                </c:pt>
                <c:pt idx="4831">
                  <c:v>-696056.9912449999</c:v>
                </c:pt>
                <c:pt idx="4832">
                  <c:v>-695654.19296</c:v>
                </c:pt>
                <c:pt idx="4833">
                  <c:v>-695251.550115</c:v>
                </c:pt>
                <c:pt idx="4834">
                  <c:v>-694849.06268</c:v>
                </c:pt>
                <c:pt idx="4835">
                  <c:v>-694446.7306250001</c:v>
                </c:pt>
                <c:pt idx="4836">
                  <c:v>-694044.55392</c:v>
                </c:pt>
                <c:pt idx="4837">
                  <c:v>-693642.532535</c:v>
                </c:pt>
                <c:pt idx="4838">
                  <c:v>-693240.6664400001</c:v>
                </c:pt>
                <c:pt idx="4839">
                  <c:v>-692838.955605</c:v>
                </c:pt>
                <c:pt idx="4840">
                  <c:v>-692437.4</c:v>
                </c:pt>
                <c:pt idx="4841">
                  <c:v>-692035.999595</c:v>
                </c:pt>
                <c:pt idx="4842">
                  <c:v>-691634.7543599999</c:v>
                </c:pt>
                <c:pt idx="4843">
                  <c:v>-691233.664265</c:v>
                </c:pt>
                <c:pt idx="4844">
                  <c:v>-690832.72928</c:v>
                </c:pt>
                <c:pt idx="4845">
                  <c:v>-690431.949375</c:v>
                </c:pt>
                <c:pt idx="4846">
                  <c:v>-690031.32452</c:v>
                </c:pt>
                <c:pt idx="4847">
                  <c:v>-689630.854685</c:v>
                </c:pt>
                <c:pt idx="4848">
                  <c:v>-689230.53984</c:v>
                </c:pt>
                <c:pt idx="4849">
                  <c:v>-688830.379955</c:v>
                </c:pt>
                <c:pt idx="4850">
                  <c:v>-688430.375</c:v>
                </c:pt>
                <c:pt idx="4851">
                  <c:v>-688030.524945</c:v>
                </c:pt>
                <c:pt idx="4852">
                  <c:v>-687630.82976</c:v>
                </c:pt>
                <c:pt idx="4853">
                  <c:v>-687231.289415</c:v>
                </c:pt>
                <c:pt idx="4854">
                  <c:v>-686831.90388</c:v>
                </c:pt>
                <c:pt idx="4855">
                  <c:v>-686432.673125</c:v>
                </c:pt>
                <c:pt idx="4856">
                  <c:v>-686033.59712</c:v>
                </c:pt>
                <c:pt idx="4857">
                  <c:v>-685634.675835</c:v>
                </c:pt>
                <c:pt idx="4858">
                  <c:v>-685235.90924</c:v>
                </c:pt>
                <c:pt idx="4859">
                  <c:v>-684837.297305</c:v>
                </c:pt>
                <c:pt idx="4860">
                  <c:v>-684438.8400000001</c:v>
                </c:pt>
                <c:pt idx="4861">
                  <c:v>-684040.5372949999</c:v>
                </c:pt>
                <c:pt idx="4862">
                  <c:v>-683642.38916</c:v>
                </c:pt>
                <c:pt idx="4863">
                  <c:v>-683244.395565</c:v>
                </c:pt>
                <c:pt idx="4864">
                  <c:v>-682846.55648</c:v>
                </c:pt>
                <c:pt idx="4865">
                  <c:v>-682448.871875</c:v>
                </c:pt>
                <c:pt idx="4866">
                  <c:v>-682051.3417199999</c:v>
                </c:pt>
                <c:pt idx="4867">
                  <c:v>-681653.965985</c:v>
                </c:pt>
                <c:pt idx="4868">
                  <c:v>-681256.74464</c:v>
                </c:pt>
                <c:pt idx="4869">
                  <c:v>-680859.6776550001</c:v>
                </c:pt>
                <c:pt idx="4870">
                  <c:v>-680462.7649999999</c:v>
                </c:pt>
                <c:pt idx="4871">
                  <c:v>-680066.006645</c:v>
                </c:pt>
                <c:pt idx="4872">
                  <c:v>-679669.40256</c:v>
                </c:pt>
                <c:pt idx="4873">
                  <c:v>-679272.952715</c:v>
                </c:pt>
                <c:pt idx="4874">
                  <c:v>-678876.65708</c:v>
                </c:pt>
                <c:pt idx="4875">
                  <c:v>-678480.515625</c:v>
                </c:pt>
                <c:pt idx="4876">
                  <c:v>-678084.52832</c:v>
                </c:pt>
                <c:pt idx="4877">
                  <c:v>-677688.6951349999</c:v>
                </c:pt>
                <c:pt idx="4878">
                  <c:v>-677293.01604</c:v>
                </c:pt>
                <c:pt idx="4879">
                  <c:v>-676897.491005</c:v>
                </c:pt>
                <c:pt idx="4880">
                  <c:v>-676502.12</c:v>
                </c:pt>
                <c:pt idx="4881">
                  <c:v>-676106.9029949999</c:v>
                </c:pt>
                <c:pt idx="4882">
                  <c:v>-675711.8399599999</c:v>
                </c:pt>
                <c:pt idx="4883">
                  <c:v>-675316.930865</c:v>
                </c:pt>
                <c:pt idx="4884">
                  <c:v>-674922.17568</c:v>
                </c:pt>
                <c:pt idx="4885">
                  <c:v>-674527.574375</c:v>
                </c:pt>
                <c:pt idx="4886">
                  <c:v>-674133.12692</c:v>
                </c:pt>
                <c:pt idx="4887">
                  <c:v>-673738.8332850001</c:v>
                </c:pt>
                <c:pt idx="4888">
                  <c:v>-673344.6934400001</c:v>
                </c:pt>
                <c:pt idx="4889">
                  <c:v>-672950.707355</c:v>
                </c:pt>
                <c:pt idx="4890">
                  <c:v>-672556.875</c:v>
                </c:pt>
                <c:pt idx="4891">
                  <c:v>-672163.1963450001</c:v>
                </c:pt>
                <c:pt idx="4892">
                  <c:v>-671769.6713599999</c:v>
                </c:pt>
                <c:pt idx="4893">
                  <c:v>-671376.300015</c:v>
                </c:pt>
                <c:pt idx="4894">
                  <c:v>-670983.08228</c:v>
                </c:pt>
                <c:pt idx="4895">
                  <c:v>-670590.018125</c:v>
                </c:pt>
                <c:pt idx="4896">
                  <c:v>-670197.10752</c:v>
                </c:pt>
                <c:pt idx="4897">
                  <c:v>-669804.350435</c:v>
                </c:pt>
                <c:pt idx="4898">
                  <c:v>-669411.7468399999</c:v>
                </c:pt>
                <c:pt idx="4899">
                  <c:v>-669019.296705</c:v>
                </c:pt>
                <c:pt idx="4900">
                  <c:v>-668627.0</c:v>
                </c:pt>
                <c:pt idx="4901">
                  <c:v>-668234.856695</c:v>
                </c:pt>
                <c:pt idx="4902">
                  <c:v>-667842.8667600001</c:v>
                </c:pt>
                <c:pt idx="4903">
                  <c:v>-667451.030165</c:v>
                </c:pt>
                <c:pt idx="4904">
                  <c:v>-667059.34688</c:v>
                </c:pt>
                <c:pt idx="4905">
                  <c:v>-666667.816875</c:v>
                </c:pt>
                <c:pt idx="4906">
                  <c:v>-666276.44012</c:v>
                </c:pt>
                <c:pt idx="4907">
                  <c:v>-665885.216585</c:v>
                </c:pt>
                <c:pt idx="4908">
                  <c:v>-665494.14624</c:v>
                </c:pt>
                <c:pt idx="4909">
                  <c:v>-665103.2290549999</c:v>
                </c:pt>
                <c:pt idx="4910">
                  <c:v>-664712.4650000001</c:v>
                </c:pt>
                <c:pt idx="4911">
                  <c:v>-664321.854045</c:v>
                </c:pt>
                <c:pt idx="4912">
                  <c:v>-663931.39616</c:v>
                </c:pt>
                <c:pt idx="4913">
                  <c:v>-663541.091315</c:v>
                </c:pt>
                <c:pt idx="4914">
                  <c:v>-663150.93948</c:v>
                </c:pt>
                <c:pt idx="4915">
                  <c:v>-662760.9406249999</c:v>
                </c:pt>
                <c:pt idx="4916">
                  <c:v>-662371.09472</c:v>
                </c:pt>
                <c:pt idx="4917">
                  <c:v>-661981.4017350001</c:v>
                </c:pt>
                <c:pt idx="4918">
                  <c:v>-661591.86164</c:v>
                </c:pt>
                <c:pt idx="4919">
                  <c:v>-661202.474405</c:v>
                </c:pt>
                <c:pt idx="4920">
                  <c:v>-660813.24</c:v>
                </c:pt>
                <c:pt idx="4921">
                  <c:v>-660424.158395</c:v>
                </c:pt>
                <c:pt idx="4922">
                  <c:v>-660035.2295599999</c:v>
                </c:pt>
                <c:pt idx="4923">
                  <c:v>-659646.453465</c:v>
                </c:pt>
                <c:pt idx="4924">
                  <c:v>-659257.83008</c:v>
                </c:pt>
                <c:pt idx="4925">
                  <c:v>-658869.359375</c:v>
                </c:pt>
                <c:pt idx="4926">
                  <c:v>-658481.04132</c:v>
                </c:pt>
                <c:pt idx="4927">
                  <c:v>-658092.875885</c:v>
                </c:pt>
                <c:pt idx="4928">
                  <c:v>-657704.86304</c:v>
                </c:pt>
                <c:pt idx="4929">
                  <c:v>-657317.0027549999</c:v>
                </c:pt>
                <c:pt idx="4930">
                  <c:v>-656929.2949999999</c:v>
                </c:pt>
                <c:pt idx="4931">
                  <c:v>-656541.7397449999</c:v>
                </c:pt>
                <c:pt idx="4932">
                  <c:v>-656154.3369600001</c:v>
                </c:pt>
                <c:pt idx="4933">
                  <c:v>-655767.086615</c:v>
                </c:pt>
                <c:pt idx="4934">
                  <c:v>-655379.98868</c:v>
                </c:pt>
                <c:pt idx="4935">
                  <c:v>-654993.043125</c:v>
                </c:pt>
                <c:pt idx="4936">
                  <c:v>-654606.24992</c:v>
                </c:pt>
                <c:pt idx="4937">
                  <c:v>-654219.6090350001</c:v>
                </c:pt>
                <c:pt idx="4938">
                  <c:v>-653833.12044</c:v>
                </c:pt>
                <c:pt idx="4939">
                  <c:v>-653446.784105</c:v>
                </c:pt>
                <c:pt idx="4940">
                  <c:v>-653060.6</c:v>
                </c:pt>
                <c:pt idx="4941">
                  <c:v>-652674.568095</c:v>
                </c:pt>
                <c:pt idx="4942">
                  <c:v>-652288.68836</c:v>
                </c:pt>
                <c:pt idx="4943">
                  <c:v>-651902.960765</c:v>
                </c:pt>
                <c:pt idx="4944">
                  <c:v>-651517.38528</c:v>
                </c:pt>
                <c:pt idx="4945">
                  <c:v>-651131.9618749999</c:v>
                </c:pt>
                <c:pt idx="4946">
                  <c:v>-650746.6905200001</c:v>
                </c:pt>
                <c:pt idx="4947">
                  <c:v>-650361.571185</c:v>
                </c:pt>
                <c:pt idx="4948">
                  <c:v>-649976.60384</c:v>
                </c:pt>
                <c:pt idx="4949">
                  <c:v>-649591.788455</c:v>
                </c:pt>
                <c:pt idx="4950">
                  <c:v>-649207.125</c:v>
                </c:pt>
                <c:pt idx="4951">
                  <c:v>-648822.613445</c:v>
                </c:pt>
                <c:pt idx="4952">
                  <c:v>-648438.25376</c:v>
                </c:pt>
                <c:pt idx="4953">
                  <c:v>-648054.045915</c:v>
                </c:pt>
                <c:pt idx="4954">
                  <c:v>-647669.98988</c:v>
                </c:pt>
                <c:pt idx="4955">
                  <c:v>-647286.0856250001</c:v>
                </c:pt>
                <c:pt idx="4956">
                  <c:v>-646902.33312</c:v>
                </c:pt>
                <c:pt idx="4957">
                  <c:v>-646518.732335</c:v>
                </c:pt>
                <c:pt idx="4958">
                  <c:v>-646135.28324</c:v>
                </c:pt>
                <c:pt idx="4959">
                  <c:v>-645751.985805</c:v>
                </c:pt>
                <c:pt idx="4960">
                  <c:v>-645368.84</c:v>
                </c:pt>
                <c:pt idx="4961">
                  <c:v>-644985.8457950001</c:v>
                </c:pt>
                <c:pt idx="4962">
                  <c:v>-644603.0031600001</c:v>
                </c:pt>
                <c:pt idx="4963">
                  <c:v>-644220.3120650001</c:v>
                </c:pt>
                <c:pt idx="4964">
                  <c:v>-643837.7724799999</c:v>
                </c:pt>
                <c:pt idx="4965">
                  <c:v>-643455.384375</c:v>
                </c:pt>
                <c:pt idx="4966">
                  <c:v>-643073.1477199999</c:v>
                </c:pt>
                <c:pt idx="4967">
                  <c:v>-642691.062485</c:v>
                </c:pt>
                <c:pt idx="4968">
                  <c:v>-642309.12864</c:v>
                </c:pt>
                <c:pt idx="4969">
                  <c:v>-641927.3461549999</c:v>
                </c:pt>
                <c:pt idx="4970">
                  <c:v>-641545.715</c:v>
                </c:pt>
                <c:pt idx="4971">
                  <c:v>-641164.235145</c:v>
                </c:pt>
                <c:pt idx="4972">
                  <c:v>-640782.90656</c:v>
                </c:pt>
                <c:pt idx="4973">
                  <c:v>-640401.729215</c:v>
                </c:pt>
                <c:pt idx="4974">
                  <c:v>-640020.70308</c:v>
                </c:pt>
                <c:pt idx="4975">
                  <c:v>-639639.828125</c:v>
                </c:pt>
                <c:pt idx="4976">
                  <c:v>-639259.1043199999</c:v>
                </c:pt>
                <c:pt idx="4977">
                  <c:v>-638878.531635</c:v>
                </c:pt>
                <c:pt idx="4978">
                  <c:v>-638498.1100399999</c:v>
                </c:pt>
                <c:pt idx="4979">
                  <c:v>-638117.8395049999</c:v>
                </c:pt>
                <c:pt idx="4980">
                  <c:v>-637737.72</c:v>
                </c:pt>
                <c:pt idx="4981">
                  <c:v>-637357.7514950001</c:v>
                </c:pt>
                <c:pt idx="4982">
                  <c:v>-636977.93396</c:v>
                </c:pt>
                <c:pt idx="4983">
                  <c:v>-636598.267365</c:v>
                </c:pt>
                <c:pt idx="4984">
                  <c:v>-636218.75168</c:v>
                </c:pt>
                <c:pt idx="4985">
                  <c:v>-635839.386875</c:v>
                </c:pt>
                <c:pt idx="4986">
                  <c:v>-635460.1729199999</c:v>
                </c:pt>
                <c:pt idx="4987">
                  <c:v>-635081.109785</c:v>
                </c:pt>
                <c:pt idx="4988">
                  <c:v>-634702.19744</c:v>
                </c:pt>
                <c:pt idx="4989">
                  <c:v>-634323.4358549999</c:v>
                </c:pt>
                <c:pt idx="4990">
                  <c:v>-633944.825</c:v>
                </c:pt>
                <c:pt idx="4991">
                  <c:v>-633566.364845</c:v>
                </c:pt>
                <c:pt idx="4992">
                  <c:v>-633188.0553599999</c:v>
                </c:pt>
                <c:pt idx="4993">
                  <c:v>-632809.896515</c:v>
                </c:pt>
                <c:pt idx="4994">
                  <c:v>-632431.88828</c:v>
                </c:pt>
                <c:pt idx="4995">
                  <c:v>-632054.0306249999</c:v>
                </c:pt>
                <c:pt idx="4996">
                  <c:v>-631676.32352</c:v>
                </c:pt>
                <c:pt idx="4997">
                  <c:v>-631298.7669350001</c:v>
                </c:pt>
                <c:pt idx="4998">
                  <c:v>-630921.36084</c:v>
                </c:pt>
                <c:pt idx="4999">
                  <c:v>-630544.105205</c:v>
                </c:pt>
                <c:pt idx="5000">
                  <c:v>-630167.0</c:v>
                </c:pt>
                <c:pt idx="5001">
                  <c:v>-629790.0451949999</c:v>
                </c:pt>
                <c:pt idx="5002">
                  <c:v>-629413.24076</c:v>
                </c:pt>
                <c:pt idx="5003">
                  <c:v>-629036.5866650001</c:v>
                </c:pt>
                <c:pt idx="5004">
                  <c:v>-628660.08288</c:v>
                </c:pt>
                <c:pt idx="5005">
                  <c:v>-628283.729375</c:v>
                </c:pt>
                <c:pt idx="5006">
                  <c:v>-627907.52612</c:v>
                </c:pt>
                <c:pt idx="5007">
                  <c:v>-627531.473085</c:v>
                </c:pt>
                <c:pt idx="5008">
                  <c:v>-627155.57024</c:v>
                </c:pt>
                <c:pt idx="5009">
                  <c:v>-626779.817555</c:v>
                </c:pt>
                <c:pt idx="5010">
                  <c:v>-626404.215</c:v>
                </c:pt>
                <c:pt idx="5011">
                  <c:v>-626028.762545</c:v>
                </c:pt>
                <c:pt idx="5012">
                  <c:v>-625653.46016</c:v>
                </c:pt>
                <c:pt idx="5013">
                  <c:v>-625278.307815</c:v>
                </c:pt>
                <c:pt idx="5014">
                  <c:v>-624903.30548</c:v>
                </c:pt>
                <c:pt idx="5015">
                  <c:v>-624528.453125</c:v>
                </c:pt>
                <c:pt idx="5016">
                  <c:v>-624153.75072</c:v>
                </c:pt>
                <c:pt idx="5017">
                  <c:v>-623779.198235</c:v>
                </c:pt>
                <c:pt idx="5018">
                  <c:v>-623404.79564</c:v>
                </c:pt>
                <c:pt idx="5019">
                  <c:v>-623030.542905</c:v>
                </c:pt>
                <c:pt idx="5020">
                  <c:v>-622656.44</c:v>
                </c:pt>
                <c:pt idx="5021">
                  <c:v>-622282.486895</c:v>
                </c:pt>
                <c:pt idx="5022">
                  <c:v>-621908.6835599999</c:v>
                </c:pt>
                <c:pt idx="5023">
                  <c:v>-621535.029965</c:v>
                </c:pt>
                <c:pt idx="5024">
                  <c:v>-621161.52608</c:v>
                </c:pt>
                <c:pt idx="5025">
                  <c:v>-620788.171875</c:v>
                </c:pt>
                <c:pt idx="5026">
                  <c:v>-620414.96732</c:v>
                </c:pt>
                <c:pt idx="5027">
                  <c:v>-620041.912385</c:v>
                </c:pt>
                <c:pt idx="5028">
                  <c:v>-619669.00704</c:v>
                </c:pt>
                <c:pt idx="5029">
                  <c:v>-619296.251255</c:v>
                </c:pt>
                <c:pt idx="5030">
                  <c:v>-618923.645</c:v>
                </c:pt>
                <c:pt idx="5031">
                  <c:v>-618551.188245</c:v>
                </c:pt>
                <c:pt idx="5032">
                  <c:v>-618178.88096</c:v>
                </c:pt>
                <c:pt idx="5033">
                  <c:v>-617806.7231150001</c:v>
                </c:pt>
                <c:pt idx="5034">
                  <c:v>-617434.71468</c:v>
                </c:pt>
                <c:pt idx="5035">
                  <c:v>-617062.855625</c:v>
                </c:pt>
                <c:pt idx="5036">
                  <c:v>-616691.1459199999</c:v>
                </c:pt>
                <c:pt idx="5037">
                  <c:v>-616319.5855350001</c:v>
                </c:pt>
                <c:pt idx="5038">
                  <c:v>-615948.17444</c:v>
                </c:pt>
                <c:pt idx="5039">
                  <c:v>-615576.9126050001</c:v>
                </c:pt>
                <c:pt idx="5040">
                  <c:v>-615205.7999999999</c:v>
                </c:pt>
                <c:pt idx="5041">
                  <c:v>-614834.836595</c:v>
                </c:pt>
                <c:pt idx="5042">
                  <c:v>-614464.02236</c:v>
                </c:pt>
                <c:pt idx="5043">
                  <c:v>-614093.357265</c:v>
                </c:pt>
                <c:pt idx="5044">
                  <c:v>-613722.84128</c:v>
                </c:pt>
                <c:pt idx="5045">
                  <c:v>-613352.4743749999</c:v>
                </c:pt>
                <c:pt idx="5046">
                  <c:v>-612982.25652</c:v>
                </c:pt>
                <c:pt idx="5047">
                  <c:v>-612612.187685</c:v>
                </c:pt>
                <c:pt idx="5048">
                  <c:v>-612242.26784</c:v>
                </c:pt>
                <c:pt idx="5049">
                  <c:v>-611872.4969550001</c:v>
                </c:pt>
                <c:pt idx="5050">
                  <c:v>-611502.875</c:v>
                </c:pt>
                <c:pt idx="5051">
                  <c:v>-611133.401945</c:v>
                </c:pt>
                <c:pt idx="5052">
                  <c:v>-610764.07776</c:v>
                </c:pt>
                <c:pt idx="5053">
                  <c:v>-610394.902415</c:v>
                </c:pt>
                <c:pt idx="5054">
                  <c:v>-610025.87588</c:v>
                </c:pt>
                <c:pt idx="5055">
                  <c:v>-609656.9981249999</c:v>
                </c:pt>
                <c:pt idx="5056">
                  <c:v>-609288.2691200001</c:v>
                </c:pt>
                <c:pt idx="5057">
                  <c:v>-608919.6888349999</c:v>
                </c:pt>
                <c:pt idx="5058">
                  <c:v>-608551.25724</c:v>
                </c:pt>
                <c:pt idx="5059">
                  <c:v>-608182.974305</c:v>
                </c:pt>
                <c:pt idx="5060">
                  <c:v>-607814.84</c:v>
                </c:pt>
                <c:pt idx="5061">
                  <c:v>-607446.854295</c:v>
                </c:pt>
                <c:pt idx="5062">
                  <c:v>-607079.0171599999</c:v>
                </c:pt>
                <c:pt idx="5063">
                  <c:v>-606711.328565</c:v>
                </c:pt>
                <c:pt idx="5064">
                  <c:v>-606343.78848</c:v>
                </c:pt>
                <c:pt idx="5065">
                  <c:v>-605976.396875</c:v>
                </c:pt>
                <c:pt idx="5066">
                  <c:v>-605609.15372</c:v>
                </c:pt>
                <c:pt idx="5067">
                  <c:v>-605242.058985</c:v>
                </c:pt>
                <c:pt idx="5068">
                  <c:v>-604875.11264</c:v>
                </c:pt>
                <c:pt idx="5069">
                  <c:v>-604508.314655</c:v>
                </c:pt>
                <c:pt idx="5070">
                  <c:v>-604141.6649999999</c:v>
                </c:pt>
                <c:pt idx="5071">
                  <c:v>-603775.163645</c:v>
                </c:pt>
                <c:pt idx="5072">
                  <c:v>-603408.81056</c:v>
                </c:pt>
                <c:pt idx="5073">
                  <c:v>-603042.605715</c:v>
                </c:pt>
                <c:pt idx="5074">
                  <c:v>-602676.54908</c:v>
                </c:pt>
                <c:pt idx="5075">
                  <c:v>-602310.640625</c:v>
                </c:pt>
                <c:pt idx="5076">
                  <c:v>-601944.88032</c:v>
                </c:pt>
                <c:pt idx="5077">
                  <c:v>-601579.2681349999</c:v>
                </c:pt>
                <c:pt idx="5078">
                  <c:v>-601213.80404</c:v>
                </c:pt>
                <c:pt idx="5079">
                  <c:v>-600848.488005</c:v>
                </c:pt>
                <c:pt idx="5080">
                  <c:v>-600483.3200000001</c:v>
                </c:pt>
                <c:pt idx="5081">
                  <c:v>-600118.299995</c:v>
                </c:pt>
                <c:pt idx="5082">
                  <c:v>-599753.42796</c:v>
                </c:pt>
                <c:pt idx="5083">
                  <c:v>-599388.7038649999</c:v>
                </c:pt>
                <c:pt idx="5084">
                  <c:v>-599024.12768</c:v>
                </c:pt>
                <c:pt idx="5085">
                  <c:v>-598659.6993750001</c:v>
                </c:pt>
                <c:pt idx="5086">
                  <c:v>-598295.41892</c:v>
                </c:pt>
                <c:pt idx="5087">
                  <c:v>-597931.2862849999</c:v>
                </c:pt>
                <c:pt idx="5088">
                  <c:v>-597567.30144</c:v>
                </c:pt>
                <c:pt idx="5089">
                  <c:v>-597203.4643550001</c:v>
                </c:pt>
                <c:pt idx="5090">
                  <c:v>-596839.775</c:v>
                </c:pt>
                <c:pt idx="5091">
                  <c:v>-596476.2333450001</c:v>
                </c:pt>
                <c:pt idx="5092">
                  <c:v>-596112.83936</c:v>
                </c:pt>
                <c:pt idx="5093">
                  <c:v>-595749.5930150001</c:v>
                </c:pt>
                <c:pt idx="5094">
                  <c:v>-595386.49428</c:v>
                </c:pt>
                <c:pt idx="5095">
                  <c:v>-595023.543125</c:v>
                </c:pt>
                <c:pt idx="5096">
                  <c:v>-594660.7395200001</c:v>
                </c:pt>
                <c:pt idx="5097">
                  <c:v>-594298.083435</c:v>
                </c:pt>
                <c:pt idx="5098">
                  <c:v>-593935.57484</c:v>
                </c:pt>
                <c:pt idx="5099">
                  <c:v>-593573.213705</c:v>
                </c:pt>
                <c:pt idx="5100">
                  <c:v>-593211.0</c:v>
                </c:pt>
                <c:pt idx="5101">
                  <c:v>-592848.933695</c:v>
                </c:pt>
                <c:pt idx="5102">
                  <c:v>-592487.01476</c:v>
                </c:pt>
                <c:pt idx="5103">
                  <c:v>-592125.243165</c:v>
                </c:pt>
                <c:pt idx="5104">
                  <c:v>-591763.61888</c:v>
                </c:pt>
                <c:pt idx="5105">
                  <c:v>-591402.141875</c:v>
                </c:pt>
                <c:pt idx="5106">
                  <c:v>-591040.81212</c:v>
                </c:pt>
                <c:pt idx="5107">
                  <c:v>-590679.629585</c:v>
                </c:pt>
                <c:pt idx="5108">
                  <c:v>-590318.59424</c:v>
                </c:pt>
                <c:pt idx="5109">
                  <c:v>-589957.7060550001</c:v>
                </c:pt>
                <c:pt idx="5110">
                  <c:v>-589596.9650000001</c:v>
                </c:pt>
                <c:pt idx="5111">
                  <c:v>-589236.371045</c:v>
                </c:pt>
                <c:pt idx="5112">
                  <c:v>-588875.9241599999</c:v>
                </c:pt>
                <c:pt idx="5113">
                  <c:v>-588515.624315</c:v>
                </c:pt>
                <c:pt idx="5114">
                  <c:v>-588155.47148</c:v>
                </c:pt>
                <c:pt idx="5115">
                  <c:v>-587795.465625</c:v>
                </c:pt>
                <c:pt idx="5116">
                  <c:v>-587435.60672</c:v>
                </c:pt>
                <c:pt idx="5117">
                  <c:v>-587075.894735</c:v>
                </c:pt>
                <c:pt idx="5118">
                  <c:v>-586716.32964</c:v>
                </c:pt>
                <c:pt idx="5119">
                  <c:v>-586356.911405</c:v>
                </c:pt>
                <c:pt idx="5120">
                  <c:v>-585997.64</c:v>
                </c:pt>
                <c:pt idx="5121">
                  <c:v>-585638.5153950001</c:v>
                </c:pt>
                <c:pt idx="5122">
                  <c:v>-585279.5375600001</c:v>
                </c:pt>
                <c:pt idx="5123">
                  <c:v>-584920.706465</c:v>
                </c:pt>
                <c:pt idx="5124">
                  <c:v>-584562.02208</c:v>
                </c:pt>
                <c:pt idx="5125">
                  <c:v>-584203.484375</c:v>
                </c:pt>
                <c:pt idx="5126">
                  <c:v>-583845.09332</c:v>
                </c:pt>
                <c:pt idx="5127">
                  <c:v>-583486.848885</c:v>
                </c:pt>
                <c:pt idx="5128">
                  <c:v>-583128.75104</c:v>
                </c:pt>
                <c:pt idx="5129">
                  <c:v>-582770.7997549999</c:v>
                </c:pt>
                <c:pt idx="5130">
                  <c:v>-582412.995</c:v>
                </c:pt>
                <c:pt idx="5131">
                  <c:v>-582055.336745</c:v>
                </c:pt>
                <c:pt idx="5132">
                  <c:v>-581697.82496</c:v>
                </c:pt>
                <c:pt idx="5133">
                  <c:v>-581340.459615</c:v>
                </c:pt>
                <c:pt idx="5134">
                  <c:v>-580983.24068</c:v>
                </c:pt>
                <c:pt idx="5135">
                  <c:v>-580626.168125</c:v>
                </c:pt>
                <c:pt idx="5136">
                  <c:v>-580269.2419200001</c:v>
                </c:pt>
                <c:pt idx="5137">
                  <c:v>-579912.462035</c:v>
                </c:pt>
                <c:pt idx="5138">
                  <c:v>-579555.82844</c:v>
                </c:pt>
                <c:pt idx="5139">
                  <c:v>-579199.341105</c:v>
                </c:pt>
                <c:pt idx="5140">
                  <c:v>-578843.0</c:v>
                </c:pt>
                <c:pt idx="5141">
                  <c:v>-578486.805095</c:v>
                </c:pt>
                <c:pt idx="5142">
                  <c:v>-578130.75636</c:v>
                </c:pt>
                <c:pt idx="5143">
                  <c:v>-577774.853765</c:v>
                </c:pt>
                <c:pt idx="5144">
                  <c:v>-577419.09728</c:v>
                </c:pt>
                <c:pt idx="5145">
                  <c:v>-577063.486875</c:v>
                </c:pt>
                <c:pt idx="5146">
                  <c:v>-576708.02252</c:v>
                </c:pt>
                <c:pt idx="5147">
                  <c:v>-576352.704185</c:v>
                </c:pt>
                <c:pt idx="5148">
                  <c:v>-575997.5318400001</c:v>
                </c:pt>
                <c:pt idx="5149">
                  <c:v>-575642.505455</c:v>
                </c:pt>
                <c:pt idx="5150">
                  <c:v>-575287.625</c:v>
                </c:pt>
                <c:pt idx="5151">
                  <c:v>-574932.890445</c:v>
                </c:pt>
                <c:pt idx="5152">
                  <c:v>-574578.3017600001</c:v>
                </c:pt>
                <c:pt idx="5153">
                  <c:v>-574223.858915</c:v>
                </c:pt>
                <c:pt idx="5154">
                  <c:v>-573869.5618799999</c:v>
                </c:pt>
                <c:pt idx="5155">
                  <c:v>-573515.410625</c:v>
                </c:pt>
                <c:pt idx="5156">
                  <c:v>-573161.40512</c:v>
                </c:pt>
                <c:pt idx="5157">
                  <c:v>-572807.545335</c:v>
                </c:pt>
                <c:pt idx="5158">
                  <c:v>-572453.8312400001</c:v>
                </c:pt>
                <c:pt idx="5159">
                  <c:v>-572100.2628050001</c:v>
                </c:pt>
                <c:pt idx="5160">
                  <c:v>-571746.84</c:v>
                </c:pt>
                <c:pt idx="5161">
                  <c:v>-571393.5627949999</c:v>
                </c:pt>
                <c:pt idx="5162">
                  <c:v>-571040.43116</c:v>
                </c:pt>
                <c:pt idx="5163">
                  <c:v>-570687.445065</c:v>
                </c:pt>
                <c:pt idx="5164">
                  <c:v>-570334.60448</c:v>
                </c:pt>
                <c:pt idx="5165">
                  <c:v>-569981.9093749999</c:v>
                </c:pt>
                <c:pt idx="5166">
                  <c:v>-569629.3597200001</c:v>
                </c:pt>
                <c:pt idx="5167">
                  <c:v>-569276.9554849999</c:v>
                </c:pt>
                <c:pt idx="5168">
                  <c:v>-568924.69664</c:v>
                </c:pt>
                <c:pt idx="5169">
                  <c:v>-568572.583155</c:v>
                </c:pt>
                <c:pt idx="5170">
                  <c:v>-568220.615</c:v>
                </c:pt>
                <c:pt idx="5171">
                  <c:v>-567868.7921450001</c:v>
                </c:pt>
                <c:pt idx="5172">
                  <c:v>-567517.11456</c:v>
                </c:pt>
                <c:pt idx="5173">
                  <c:v>-567165.5822150001</c:v>
                </c:pt>
                <c:pt idx="5174">
                  <c:v>-566814.19508</c:v>
                </c:pt>
                <c:pt idx="5175">
                  <c:v>-566462.953125</c:v>
                </c:pt>
                <c:pt idx="5176">
                  <c:v>-566111.85632</c:v>
                </c:pt>
                <c:pt idx="5177">
                  <c:v>-565760.904635</c:v>
                </c:pt>
                <c:pt idx="5178">
                  <c:v>-565410.0980400001</c:v>
                </c:pt>
                <c:pt idx="5179">
                  <c:v>-565059.436505</c:v>
                </c:pt>
                <c:pt idx="5180">
                  <c:v>-564708.9199999999</c:v>
                </c:pt>
                <c:pt idx="5181">
                  <c:v>-564358.548495</c:v>
                </c:pt>
                <c:pt idx="5182">
                  <c:v>-564008.32196</c:v>
                </c:pt>
                <c:pt idx="5183">
                  <c:v>-563658.240365</c:v>
                </c:pt>
                <c:pt idx="5184">
                  <c:v>-563308.30368</c:v>
                </c:pt>
                <c:pt idx="5185">
                  <c:v>-562958.511875</c:v>
                </c:pt>
                <c:pt idx="5186">
                  <c:v>-562608.8649200001</c:v>
                </c:pt>
                <c:pt idx="5187">
                  <c:v>-562259.362785</c:v>
                </c:pt>
                <c:pt idx="5188">
                  <c:v>-561910.00544</c:v>
                </c:pt>
                <c:pt idx="5189">
                  <c:v>-561560.792855</c:v>
                </c:pt>
                <c:pt idx="5190">
                  <c:v>-561211.7250000001</c:v>
                </c:pt>
                <c:pt idx="5191">
                  <c:v>-560862.801845</c:v>
                </c:pt>
                <c:pt idx="5192">
                  <c:v>-560514.0233600001</c:v>
                </c:pt>
                <c:pt idx="5193">
                  <c:v>-560165.3895149999</c:v>
                </c:pt>
                <c:pt idx="5194">
                  <c:v>-559816.90028</c:v>
                </c:pt>
                <c:pt idx="5195">
                  <c:v>-559468.5556249999</c:v>
                </c:pt>
                <c:pt idx="5196">
                  <c:v>-559120.35552</c:v>
                </c:pt>
                <c:pt idx="5197">
                  <c:v>-558772.299935</c:v>
                </c:pt>
                <c:pt idx="5198">
                  <c:v>-558424.38884</c:v>
                </c:pt>
                <c:pt idx="5199">
                  <c:v>-558076.622205</c:v>
                </c:pt>
                <c:pt idx="5200">
                  <c:v>-557729.0</c:v>
                </c:pt>
                <c:pt idx="5201">
                  <c:v>-557381.522195</c:v>
                </c:pt>
                <c:pt idx="5202">
                  <c:v>-557034.1887599999</c:v>
                </c:pt>
                <c:pt idx="5203">
                  <c:v>-556686.999665</c:v>
                </c:pt>
                <c:pt idx="5204">
                  <c:v>-556339.95488</c:v>
                </c:pt>
                <c:pt idx="5205">
                  <c:v>-555993.0543750001</c:v>
                </c:pt>
                <c:pt idx="5206">
                  <c:v>-555646.29812</c:v>
                </c:pt>
                <c:pt idx="5207">
                  <c:v>-555299.686085</c:v>
                </c:pt>
                <c:pt idx="5208">
                  <c:v>-554953.21824</c:v>
                </c:pt>
                <c:pt idx="5209">
                  <c:v>-554606.894555</c:v>
                </c:pt>
                <c:pt idx="5210">
                  <c:v>-554260.7150000001</c:v>
                </c:pt>
                <c:pt idx="5211">
                  <c:v>-553914.679545</c:v>
                </c:pt>
                <c:pt idx="5212">
                  <c:v>-553568.78816</c:v>
                </c:pt>
                <c:pt idx="5213">
                  <c:v>-553223.040815</c:v>
                </c:pt>
                <c:pt idx="5214">
                  <c:v>-552877.43748</c:v>
                </c:pt>
                <c:pt idx="5215">
                  <c:v>-552531.978125</c:v>
                </c:pt>
                <c:pt idx="5216">
                  <c:v>-552186.66272</c:v>
                </c:pt>
                <c:pt idx="5217">
                  <c:v>-551841.491235</c:v>
                </c:pt>
                <c:pt idx="5218">
                  <c:v>-551496.4636400001</c:v>
                </c:pt>
                <c:pt idx="5219">
                  <c:v>-551151.579905</c:v>
                </c:pt>
                <c:pt idx="5220">
                  <c:v>-550806.8399999999</c:v>
                </c:pt>
                <c:pt idx="5221">
                  <c:v>-550462.243895</c:v>
                </c:pt>
                <c:pt idx="5222">
                  <c:v>-550117.7915599999</c:v>
                </c:pt>
                <c:pt idx="5223">
                  <c:v>-549773.482965</c:v>
                </c:pt>
                <c:pt idx="5224">
                  <c:v>-549429.31808</c:v>
                </c:pt>
                <c:pt idx="5225">
                  <c:v>-549085.296875</c:v>
                </c:pt>
                <c:pt idx="5226">
                  <c:v>-548741.41932</c:v>
                </c:pt>
                <c:pt idx="5227">
                  <c:v>-548397.6853850001</c:v>
                </c:pt>
                <c:pt idx="5228">
                  <c:v>-548054.09504</c:v>
                </c:pt>
                <c:pt idx="5229">
                  <c:v>-547710.648255</c:v>
                </c:pt>
                <c:pt idx="5230">
                  <c:v>-547367.345</c:v>
                </c:pt>
                <c:pt idx="5231">
                  <c:v>-547024.185245</c:v>
                </c:pt>
                <c:pt idx="5232">
                  <c:v>-546681.1689599999</c:v>
                </c:pt>
                <c:pt idx="5233">
                  <c:v>-546338.2961149999</c:v>
                </c:pt>
                <c:pt idx="5234">
                  <c:v>-545995.56668</c:v>
                </c:pt>
                <c:pt idx="5235">
                  <c:v>-545652.9806250001</c:v>
                </c:pt>
                <c:pt idx="5236">
                  <c:v>-545310.5379199999</c:v>
                </c:pt>
                <c:pt idx="5237">
                  <c:v>-544968.238535</c:v>
                </c:pt>
                <c:pt idx="5238">
                  <c:v>-544626.0824399999</c:v>
                </c:pt>
                <c:pt idx="5239">
                  <c:v>-544284.0696050001</c:v>
                </c:pt>
                <c:pt idx="5240">
                  <c:v>-543942.2</c:v>
                </c:pt>
                <c:pt idx="5241">
                  <c:v>-543600.4735950001</c:v>
                </c:pt>
                <c:pt idx="5242">
                  <c:v>-543258.89036</c:v>
                </c:pt>
                <c:pt idx="5243">
                  <c:v>-542917.450265</c:v>
                </c:pt>
                <c:pt idx="5244">
                  <c:v>-542576.15328</c:v>
                </c:pt>
                <c:pt idx="5245">
                  <c:v>-542234.9993749999</c:v>
                </c:pt>
                <c:pt idx="5246">
                  <c:v>-541893.98852</c:v>
                </c:pt>
                <c:pt idx="5247">
                  <c:v>-541553.1206850001</c:v>
                </c:pt>
                <c:pt idx="5248">
                  <c:v>-541212.39584</c:v>
                </c:pt>
                <c:pt idx="5249">
                  <c:v>-540871.813955</c:v>
                </c:pt>
                <c:pt idx="5250">
                  <c:v>-540531.375</c:v>
                </c:pt>
                <c:pt idx="5251">
                  <c:v>-540191.078945</c:v>
                </c:pt>
                <c:pt idx="5252">
                  <c:v>-539850.92576</c:v>
                </c:pt>
                <c:pt idx="5253">
                  <c:v>-539510.9154149999</c:v>
                </c:pt>
                <c:pt idx="5254">
                  <c:v>-539171.04788</c:v>
                </c:pt>
                <c:pt idx="5255">
                  <c:v>-538831.323125</c:v>
                </c:pt>
                <c:pt idx="5256">
                  <c:v>-538491.74112</c:v>
                </c:pt>
                <c:pt idx="5257">
                  <c:v>-538152.301835</c:v>
                </c:pt>
                <c:pt idx="5258">
                  <c:v>-537813.00524</c:v>
                </c:pt>
                <c:pt idx="5259">
                  <c:v>-537473.851305</c:v>
                </c:pt>
                <c:pt idx="5260">
                  <c:v>-537134.84</c:v>
                </c:pt>
                <c:pt idx="5261">
                  <c:v>-536795.9712949999</c:v>
                </c:pt>
                <c:pt idx="5262">
                  <c:v>-536457.2451599999</c:v>
                </c:pt>
                <c:pt idx="5263">
                  <c:v>-536118.661565</c:v>
                </c:pt>
                <c:pt idx="5264">
                  <c:v>-535780.2204799999</c:v>
                </c:pt>
                <c:pt idx="5265">
                  <c:v>-535441.921875</c:v>
                </c:pt>
                <c:pt idx="5266">
                  <c:v>-535103.76572</c:v>
                </c:pt>
                <c:pt idx="5267">
                  <c:v>-534765.7519850001</c:v>
                </c:pt>
                <c:pt idx="5268">
                  <c:v>-534427.88064</c:v>
                </c:pt>
                <c:pt idx="5269">
                  <c:v>-534090.151655</c:v>
                </c:pt>
                <c:pt idx="5270">
                  <c:v>-533752.565</c:v>
                </c:pt>
                <c:pt idx="5271">
                  <c:v>-533415.1206449999</c:v>
                </c:pt>
                <c:pt idx="5272">
                  <c:v>-533077.8185599999</c:v>
                </c:pt>
                <c:pt idx="5273">
                  <c:v>-532740.658715</c:v>
                </c:pt>
                <c:pt idx="5274">
                  <c:v>-532403.64108</c:v>
                </c:pt>
                <c:pt idx="5275">
                  <c:v>-532066.765625</c:v>
                </c:pt>
                <c:pt idx="5276">
                  <c:v>-531730.03232</c:v>
                </c:pt>
                <c:pt idx="5277">
                  <c:v>-531393.4411350001</c:v>
                </c:pt>
                <c:pt idx="5278">
                  <c:v>-531056.99204</c:v>
                </c:pt>
                <c:pt idx="5279">
                  <c:v>-530720.685005</c:v>
                </c:pt>
                <c:pt idx="5280">
                  <c:v>-530384.52</c:v>
                </c:pt>
                <c:pt idx="5281">
                  <c:v>-530048.4969949999</c:v>
                </c:pt>
                <c:pt idx="5282">
                  <c:v>-529712.61596</c:v>
                </c:pt>
                <c:pt idx="5283">
                  <c:v>-529376.876865</c:v>
                </c:pt>
                <c:pt idx="5284">
                  <c:v>-529041.2796799999</c:v>
                </c:pt>
                <c:pt idx="5285">
                  <c:v>-528705.824375</c:v>
                </c:pt>
                <c:pt idx="5286">
                  <c:v>-528370.51092</c:v>
                </c:pt>
                <c:pt idx="5287">
                  <c:v>-528035.339285</c:v>
                </c:pt>
                <c:pt idx="5288">
                  <c:v>-527700.30944</c:v>
                </c:pt>
                <c:pt idx="5289">
                  <c:v>-527365.421355</c:v>
                </c:pt>
                <c:pt idx="5290">
                  <c:v>-527030.6749999999</c:v>
                </c:pt>
                <c:pt idx="5291">
                  <c:v>-526696.070345</c:v>
                </c:pt>
                <c:pt idx="5292">
                  <c:v>-526361.60736</c:v>
                </c:pt>
                <c:pt idx="5293">
                  <c:v>-526027.286015</c:v>
                </c:pt>
                <c:pt idx="5294">
                  <c:v>-525693.10628</c:v>
                </c:pt>
                <c:pt idx="5295">
                  <c:v>-525359.068125</c:v>
                </c:pt>
                <c:pt idx="5296">
                  <c:v>-525025.17152</c:v>
                </c:pt>
                <c:pt idx="5297">
                  <c:v>-524691.416435</c:v>
                </c:pt>
                <c:pt idx="5298">
                  <c:v>-524357.80284</c:v>
                </c:pt>
                <c:pt idx="5299">
                  <c:v>-524024.330705</c:v>
                </c:pt>
                <c:pt idx="5300">
                  <c:v>-523691.0</c:v>
                </c:pt>
                <c:pt idx="5301">
                  <c:v>-523357.810695</c:v>
                </c:pt>
                <c:pt idx="5302">
                  <c:v>-523024.76276</c:v>
                </c:pt>
                <c:pt idx="5303">
                  <c:v>-522691.856165</c:v>
                </c:pt>
                <c:pt idx="5304">
                  <c:v>-522359.09088</c:v>
                </c:pt>
                <c:pt idx="5305">
                  <c:v>-522026.466875</c:v>
                </c:pt>
                <c:pt idx="5306">
                  <c:v>-521693.98412</c:v>
                </c:pt>
                <c:pt idx="5307">
                  <c:v>-521361.642585</c:v>
                </c:pt>
                <c:pt idx="5308">
                  <c:v>-521029.44224000006</c:v>
                </c:pt>
                <c:pt idx="5309">
                  <c:v>-520697.383055</c:v>
                </c:pt>
                <c:pt idx="5310">
                  <c:v>-520365.46499999997</c:v>
                </c:pt>
                <c:pt idx="5311">
                  <c:v>-520033.688045</c:v>
                </c:pt>
                <c:pt idx="5312">
                  <c:v>-519702.05215999996</c:v>
                </c:pt>
                <c:pt idx="5313">
                  <c:v>-519370.557315</c:v>
                </c:pt>
                <c:pt idx="5314">
                  <c:v>-519039.20348</c:v>
                </c:pt>
                <c:pt idx="5315">
                  <c:v>-518707.990625</c:v>
                </c:pt>
                <c:pt idx="5316">
                  <c:v>-518376.91871999996</c:v>
                </c:pt>
                <c:pt idx="5317">
                  <c:v>-518045.98773500003</c:v>
                </c:pt>
                <c:pt idx="5318">
                  <c:v>-517715.19764</c:v>
                </c:pt>
                <c:pt idx="5319">
                  <c:v>-517384.548405</c:v>
                </c:pt>
                <c:pt idx="5320">
                  <c:v>-517054.04</c:v>
                </c:pt>
                <c:pt idx="5321">
                  <c:v>-516723.672395</c:v>
                </c:pt>
                <c:pt idx="5322">
                  <c:v>-516393.44556</c:v>
                </c:pt>
                <c:pt idx="5323">
                  <c:v>-516063.35946500005</c:v>
                </c:pt>
                <c:pt idx="5324">
                  <c:v>-515733.41408</c:v>
                </c:pt>
                <c:pt idx="5325">
                  <c:v>-515403.609375</c:v>
                </c:pt>
                <c:pt idx="5326">
                  <c:v>-515073.94532</c:v>
                </c:pt>
                <c:pt idx="5327">
                  <c:v>-514744.421885</c:v>
                </c:pt>
                <c:pt idx="5328">
                  <c:v>-514415.03904</c:v>
                </c:pt>
                <c:pt idx="5329">
                  <c:v>-514085.796755</c:v>
                </c:pt>
                <c:pt idx="5330">
                  <c:v>-513756.695</c:v>
                </c:pt>
                <c:pt idx="5331">
                  <c:v>-513427.733745</c:v>
                </c:pt>
                <c:pt idx="5332">
                  <c:v>-513098.91296</c:v>
                </c:pt>
                <c:pt idx="5333">
                  <c:v>-512770.232615</c:v>
                </c:pt>
                <c:pt idx="5334">
                  <c:v>-512441.69268000004</c:v>
                </c:pt>
                <c:pt idx="5335">
                  <c:v>-512113.293125</c:v>
                </c:pt>
                <c:pt idx="5336">
                  <c:v>-511785.03392</c:v>
                </c:pt>
                <c:pt idx="5337">
                  <c:v>-511456.915035</c:v>
                </c:pt>
                <c:pt idx="5338">
                  <c:v>-511128.93644</c:v>
                </c:pt>
                <c:pt idx="5339">
                  <c:v>-510801.098105</c:v>
                </c:pt>
                <c:pt idx="5340">
                  <c:v>-510473.39999999997</c:v>
                </c:pt>
                <c:pt idx="5341">
                  <c:v>-510145.842095</c:v>
                </c:pt>
                <c:pt idx="5342">
                  <c:v>-509818.42436</c:v>
                </c:pt>
                <c:pt idx="5343">
                  <c:v>-509491.146765</c:v>
                </c:pt>
                <c:pt idx="5344">
                  <c:v>-509164.00928</c:v>
                </c:pt>
                <c:pt idx="5345">
                  <c:v>-508837.01187499997</c:v>
                </c:pt>
                <c:pt idx="5346">
                  <c:v>-508510.15452000004</c:v>
                </c:pt>
                <c:pt idx="5347">
                  <c:v>-508183.437185</c:v>
                </c:pt>
                <c:pt idx="5348">
                  <c:v>-507856.85984</c:v>
                </c:pt>
                <c:pt idx="5349">
                  <c:v>-507530.422455</c:v>
                </c:pt>
                <c:pt idx="5350">
                  <c:v>-507204.125</c:v>
                </c:pt>
                <c:pt idx="5351">
                  <c:v>-506877.967445</c:v>
                </c:pt>
                <c:pt idx="5352">
                  <c:v>-506551.94976000005</c:v>
                </c:pt>
                <c:pt idx="5353">
                  <c:v>-506226.071915</c:v>
                </c:pt>
                <c:pt idx="5354">
                  <c:v>-505900.33388</c:v>
                </c:pt>
                <c:pt idx="5355">
                  <c:v>-505574.735625</c:v>
                </c:pt>
                <c:pt idx="5356">
                  <c:v>-505249.27712</c:v>
                </c:pt>
                <c:pt idx="5357">
                  <c:v>-504923.958335</c:v>
                </c:pt>
                <c:pt idx="5358">
                  <c:v>-504598.77923999995</c:v>
                </c:pt>
                <c:pt idx="5359">
                  <c:v>-504273.739805</c:v>
                </c:pt>
                <c:pt idx="5360">
                  <c:v>-503948.83999999997</c:v>
                </c:pt>
                <c:pt idx="5361">
                  <c:v>-503624.07979499997</c:v>
                </c:pt>
                <c:pt idx="5362">
                  <c:v>-503299.45915999997</c:v>
                </c:pt>
                <c:pt idx="5363">
                  <c:v>-502974.978065</c:v>
                </c:pt>
                <c:pt idx="5364">
                  <c:v>-502650.63648</c:v>
                </c:pt>
                <c:pt idx="5365">
                  <c:v>-502326.434375</c:v>
                </c:pt>
                <c:pt idx="5366">
                  <c:v>-502002.37172</c:v>
                </c:pt>
                <c:pt idx="5367">
                  <c:v>-501678.448485</c:v>
                </c:pt>
                <c:pt idx="5368">
                  <c:v>-501354.66464000003</c:v>
                </c:pt>
                <c:pt idx="5369">
                  <c:v>-501031.02015500003</c:v>
                </c:pt>
                <c:pt idx="5370">
                  <c:v>-500707.515</c:v>
                </c:pt>
                <c:pt idx="5371">
                  <c:v>-500384.14914500003</c:v>
                </c:pt>
                <c:pt idx="5372">
                  <c:v>-500060.92256000004</c:v>
                </c:pt>
                <c:pt idx="5373">
                  <c:v>-499737.835215</c:v>
                </c:pt>
                <c:pt idx="5374">
                  <c:v>-499414.88708</c:v>
                </c:pt>
                <c:pt idx="5375">
                  <c:v>-499092.078125</c:v>
                </c:pt>
                <c:pt idx="5376">
                  <c:v>-498769.40832000005</c:v>
                </c:pt>
                <c:pt idx="5377">
                  <c:v>-498446.87763500004</c:v>
                </c:pt>
                <c:pt idx="5378">
                  <c:v>-498124.48604000005</c:v>
                </c:pt>
                <c:pt idx="5379">
                  <c:v>-497802.233505</c:v>
                </c:pt>
                <c:pt idx="5380">
                  <c:v>-497480.12000000005</c:v>
                </c:pt>
                <c:pt idx="5381">
                  <c:v>-497158.145495</c:v>
                </c:pt>
                <c:pt idx="5382">
                  <c:v>-496836.30996</c:v>
                </c:pt>
                <c:pt idx="5383">
                  <c:v>-496514.613365</c:v>
                </c:pt>
                <c:pt idx="5384">
                  <c:v>-496193.05568000005</c:v>
                </c:pt>
                <c:pt idx="5385">
                  <c:v>-495871.63687499997</c:v>
                </c:pt>
                <c:pt idx="5386">
                  <c:v>-495550.35692</c:v>
                </c:pt>
                <c:pt idx="5387">
                  <c:v>-495229.215785</c:v>
                </c:pt>
                <c:pt idx="5388">
                  <c:v>-494908.21344</c:v>
                </c:pt>
                <c:pt idx="5389">
                  <c:v>-494587.349855</c:v>
                </c:pt>
                <c:pt idx="5390">
                  <c:v>-494266.625</c:v>
                </c:pt>
                <c:pt idx="5391">
                  <c:v>-493946.038845</c:v>
                </c:pt>
                <c:pt idx="5392">
                  <c:v>-493625.59135999996</c:v>
                </c:pt>
                <c:pt idx="5393">
                  <c:v>-493305.28251499997</c:v>
                </c:pt>
                <c:pt idx="5394">
                  <c:v>-492985.11228</c:v>
                </c:pt>
                <c:pt idx="5395">
                  <c:v>-492665.080625</c:v>
                </c:pt>
                <c:pt idx="5396">
                  <c:v>-492345.18752000004</c:v>
                </c:pt>
                <c:pt idx="5397">
                  <c:v>-492025.432935</c:v>
                </c:pt>
                <c:pt idx="5398">
                  <c:v>-491705.81684000004</c:v>
                </c:pt>
                <c:pt idx="5399">
                  <c:v>-491386.339205</c:v>
                </c:pt>
                <c:pt idx="5400">
                  <c:v>-491067.0</c:v>
                </c:pt>
                <c:pt idx="5401">
                  <c:v>-490747.79919499997</c:v>
                </c:pt>
                <c:pt idx="5402">
                  <c:v>-490428.73676</c:v>
                </c:pt>
                <c:pt idx="5403">
                  <c:v>-490109.812665</c:v>
                </c:pt>
                <c:pt idx="5404">
                  <c:v>-489791.02687999996</c:v>
                </c:pt>
                <c:pt idx="5405">
                  <c:v>-489472.379375</c:v>
                </c:pt>
                <c:pt idx="5406">
                  <c:v>-489153.87012</c:v>
                </c:pt>
                <c:pt idx="5407">
                  <c:v>-488835.49908499996</c:v>
                </c:pt>
                <c:pt idx="5408">
                  <c:v>-488517.26624</c:v>
                </c:pt>
                <c:pt idx="5409">
                  <c:v>-488199.171555</c:v>
                </c:pt>
                <c:pt idx="5410">
                  <c:v>-487881.21499999997</c:v>
                </c:pt>
                <c:pt idx="5411">
                  <c:v>-487563.396545</c:v>
                </c:pt>
                <c:pt idx="5412">
                  <c:v>-487245.71616</c:v>
                </c:pt>
                <c:pt idx="5413">
                  <c:v>-486928.173815</c:v>
                </c:pt>
                <c:pt idx="5414">
                  <c:v>-486610.76948</c:v>
                </c:pt>
                <c:pt idx="5415">
                  <c:v>-486293.50312499993</c:v>
                </c:pt>
                <c:pt idx="5416">
                  <c:v>-485976.37472</c:v>
                </c:pt>
                <c:pt idx="5417">
                  <c:v>-485659.38423499995</c:v>
                </c:pt>
                <c:pt idx="5418">
                  <c:v>-485342.53164000006</c:v>
                </c:pt>
                <c:pt idx="5419">
                  <c:v>-485025.816905</c:v>
                </c:pt>
                <c:pt idx="5420">
                  <c:v>-484709.24</c:v>
                </c:pt>
                <c:pt idx="5421">
                  <c:v>-484392.800895</c:v>
                </c:pt>
                <c:pt idx="5422">
                  <c:v>-484076.49956</c:v>
                </c:pt>
                <c:pt idx="5423">
                  <c:v>-483760.335965</c:v>
                </c:pt>
                <c:pt idx="5424">
                  <c:v>-483444.31008</c:v>
                </c:pt>
                <c:pt idx="5425">
                  <c:v>-483128.421875</c:v>
                </c:pt>
                <c:pt idx="5426">
                  <c:v>-482812.67132</c:v>
                </c:pt>
                <c:pt idx="5427">
                  <c:v>-482497.058385</c:v>
                </c:pt>
                <c:pt idx="5428">
                  <c:v>-482181.58304</c:v>
                </c:pt>
                <c:pt idx="5429">
                  <c:v>-481866.245255</c:v>
                </c:pt>
                <c:pt idx="5430">
                  <c:v>-481551.045</c:v>
                </c:pt>
                <c:pt idx="5431">
                  <c:v>-481235.982245</c:v>
                </c:pt>
                <c:pt idx="5432">
                  <c:v>-480921.05696</c:v>
                </c:pt>
                <c:pt idx="5433">
                  <c:v>-480606.269115</c:v>
                </c:pt>
                <c:pt idx="5434">
                  <c:v>-480291.61867999996</c:v>
                </c:pt>
                <c:pt idx="5435">
                  <c:v>-479977.105625</c:v>
                </c:pt>
                <c:pt idx="5436">
                  <c:v>-479662.72991999995</c:v>
                </c:pt>
                <c:pt idx="5437">
                  <c:v>-479348.49153500004</c:v>
                </c:pt>
                <c:pt idx="5438">
                  <c:v>-479034.39044000005</c:v>
                </c:pt>
                <c:pt idx="5439">
                  <c:v>-478720.426605</c:v>
                </c:pt>
                <c:pt idx="5440">
                  <c:v>-478406.6</c:v>
                </c:pt>
                <c:pt idx="5441">
                  <c:v>-478092.910595</c:v>
                </c:pt>
                <c:pt idx="5442">
                  <c:v>-477779.35835999995</c:v>
                </c:pt>
                <c:pt idx="5443">
                  <c:v>-477465.94326499995</c:v>
                </c:pt>
                <c:pt idx="5444">
                  <c:v>-477152.66528</c:v>
                </c:pt>
                <c:pt idx="5445">
                  <c:v>-476839.524375</c:v>
                </c:pt>
                <c:pt idx="5446">
                  <c:v>-476526.52052</c:v>
                </c:pt>
                <c:pt idx="5447">
                  <c:v>-476213.653685</c:v>
                </c:pt>
                <c:pt idx="5448">
                  <c:v>-475900.92384</c:v>
                </c:pt>
                <c:pt idx="5449">
                  <c:v>-475588.330955</c:v>
                </c:pt>
                <c:pt idx="5450">
                  <c:v>-475275.875</c:v>
                </c:pt>
                <c:pt idx="5451">
                  <c:v>-474963.55594500003</c:v>
                </c:pt>
                <c:pt idx="5452">
                  <c:v>-474651.37376</c:v>
                </c:pt>
                <c:pt idx="5453">
                  <c:v>-474339.328415</c:v>
                </c:pt>
                <c:pt idx="5454">
                  <c:v>-474027.41988</c:v>
                </c:pt>
                <c:pt idx="5455">
                  <c:v>-473715.648125</c:v>
                </c:pt>
                <c:pt idx="5456">
                  <c:v>-473404.01312</c:v>
                </c:pt>
                <c:pt idx="5457">
                  <c:v>-473092.51483500004</c:v>
                </c:pt>
                <c:pt idx="5458">
                  <c:v>-472781.15323999996</c:v>
                </c:pt>
                <c:pt idx="5459">
                  <c:v>-472469.928305</c:v>
                </c:pt>
                <c:pt idx="5460">
                  <c:v>-472158.84</c:v>
                </c:pt>
                <c:pt idx="5461">
                  <c:v>-471847.88829499995</c:v>
                </c:pt>
                <c:pt idx="5462">
                  <c:v>-471537.07315999997</c:v>
                </c:pt>
                <c:pt idx="5463">
                  <c:v>-471226.39456499997</c:v>
                </c:pt>
                <c:pt idx="5464">
                  <c:v>-470915.85248</c:v>
                </c:pt>
                <c:pt idx="5465">
                  <c:v>-470605.446875</c:v>
                </c:pt>
                <c:pt idx="5466">
                  <c:v>-470295.17772</c:v>
                </c:pt>
                <c:pt idx="5467">
                  <c:v>-469985.044985</c:v>
                </c:pt>
                <c:pt idx="5468">
                  <c:v>-469675.04864</c:v>
                </c:pt>
                <c:pt idx="5469">
                  <c:v>-469365.18865499995</c:v>
                </c:pt>
                <c:pt idx="5470">
                  <c:v>-469055.46499999997</c:v>
                </c:pt>
                <c:pt idx="5471">
                  <c:v>-468745.877645</c:v>
                </c:pt>
                <c:pt idx="5472">
                  <c:v>-468436.42656</c:v>
                </c:pt>
                <c:pt idx="5473">
                  <c:v>-468127.111715</c:v>
                </c:pt>
                <c:pt idx="5474">
                  <c:v>-467817.93308</c:v>
                </c:pt>
                <c:pt idx="5475">
                  <c:v>-467508.890625</c:v>
                </c:pt>
                <c:pt idx="5476">
                  <c:v>-467199.98432</c:v>
                </c:pt>
                <c:pt idx="5477">
                  <c:v>-466891.214135</c:v>
                </c:pt>
                <c:pt idx="5478">
                  <c:v>-466582.58004000003</c:v>
                </c:pt>
                <c:pt idx="5479">
                  <c:v>-466274.082005</c:v>
                </c:pt>
                <c:pt idx="5480">
                  <c:v>-465965.72</c:v>
                </c:pt>
                <c:pt idx="5481">
                  <c:v>-465657.493995</c:v>
                </c:pt>
                <c:pt idx="5482">
                  <c:v>-465349.40396</c:v>
                </c:pt>
                <c:pt idx="5483">
                  <c:v>-465041.44986500003</c:v>
                </c:pt>
                <c:pt idx="5484">
                  <c:v>-464733.63168</c:v>
                </c:pt>
                <c:pt idx="5485">
                  <c:v>-464425.94937499997</c:v>
                </c:pt>
                <c:pt idx="5486">
                  <c:v>-464118.40291999996</c:v>
                </c:pt>
                <c:pt idx="5487">
                  <c:v>-463810.99228500004</c:v>
                </c:pt>
                <c:pt idx="5488">
                  <c:v>-463503.71744</c:v>
                </c:pt>
                <c:pt idx="5489">
                  <c:v>-463196.578355</c:v>
                </c:pt>
                <c:pt idx="5490">
                  <c:v>-462889.575</c:v>
                </c:pt>
                <c:pt idx="5491">
                  <c:v>-462582.707345</c:v>
                </c:pt>
                <c:pt idx="5492">
                  <c:v>-462275.97536</c:v>
                </c:pt>
                <c:pt idx="5493">
                  <c:v>-461969.379015</c:v>
                </c:pt>
                <c:pt idx="5494">
                  <c:v>-461662.91828</c:v>
                </c:pt>
                <c:pt idx="5495">
                  <c:v>-461356.593125</c:v>
                </c:pt>
                <c:pt idx="5496">
                  <c:v>-461050.40352</c:v>
                </c:pt>
                <c:pt idx="5497">
                  <c:v>-460744.349435</c:v>
                </c:pt>
                <c:pt idx="5498">
                  <c:v>-460438.43084</c:v>
                </c:pt>
                <c:pt idx="5499">
                  <c:v>-460132.647705</c:v>
                </c:pt>
                <c:pt idx="5500">
                  <c:v>-459827.0</c:v>
                </c:pt>
                <c:pt idx="5501">
                  <c:v>-459521.487695</c:v>
                </c:pt>
                <c:pt idx="5502">
                  <c:v>-459216.11075999995</c:v>
                </c:pt>
                <c:pt idx="5503">
                  <c:v>-458910.869165</c:v>
                </c:pt>
                <c:pt idx="5504">
                  <c:v>-458605.76288</c:v>
                </c:pt>
                <c:pt idx="5505">
                  <c:v>-458300.791875</c:v>
                </c:pt>
                <c:pt idx="5506">
                  <c:v>-457995.95612</c:v>
                </c:pt>
                <c:pt idx="5507">
                  <c:v>-457691.25558500004</c:v>
                </c:pt>
                <c:pt idx="5508">
                  <c:v>-457386.69023999997</c:v>
                </c:pt>
                <c:pt idx="5509">
                  <c:v>-457082.260055</c:v>
                </c:pt>
                <c:pt idx="5510">
                  <c:v>-456777.965</c:v>
                </c:pt>
                <c:pt idx="5511">
                  <c:v>-456473.805045</c:v>
                </c:pt>
                <c:pt idx="5512">
                  <c:v>-456169.78016</c:v>
                </c:pt>
                <c:pt idx="5513">
                  <c:v>-455865.89031499997</c:v>
                </c:pt>
                <c:pt idx="5514">
                  <c:v>-455562.13548</c:v>
                </c:pt>
                <c:pt idx="5515">
                  <c:v>-455258.515625</c:v>
                </c:pt>
                <c:pt idx="5516">
                  <c:v>-454955.03072</c:v>
                </c:pt>
                <c:pt idx="5517">
                  <c:v>-454651.680735</c:v>
                </c:pt>
                <c:pt idx="5518">
                  <c:v>-454348.46564</c:v>
                </c:pt>
                <c:pt idx="5519">
                  <c:v>-454045.385405</c:v>
                </c:pt>
                <c:pt idx="5520">
                  <c:v>-453742.44</c:v>
                </c:pt>
                <c:pt idx="5521">
                  <c:v>-453439.62939499994</c:v>
                </c:pt>
                <c:pt idx="5522">
                  <c:v>-453136.95356000005</c:v>
                </c:pt>
                <c:pt idx="5523">
                  <c:v>-452834.41246499994</c:v>
                </c:pt>
                <c:pt idx="5524">
                  <c:v>-452532.00608</c:v>
                </c:pt>
                <c:pt idx="5525">
                  <c:v>-452229.734375</c:v>
                </c:pt>
                <c:pt idx="5526">
                  <c:v>-451927.59732</c:v>
                </c:pt>
                <c:pt idx="5527">
                  <c:v>-451625.59488499997</c:v>
                </c:pt>
                <c:pt idx="5528">
                  <c:v>-451323.72703999997</c:v>
                </c:pt>
                <c:pt idx="5529">
                  <c:v>-451021.99375499994</c:v>
                </c:pt>
                <c:pt idx="5530">
                  <c:v>-450720.395</c:v>
                </c:pt>
                <c:pt idx="5531">
                  <c:v>-450418.930745</c:v>
                </c:pt>
                <c:pt idx="5532">
                  <c:v>-450117.60096</c:v>
                </c:pt>
                <c:pt idx="5533">
                  <c:v>-449816.405615</c:v>
                </c:pt>
                <c:pt idx="5534">
                  <c:v>-449515.34468</c:v>
                </c:pt>
                <c:pt idx="5535">
                  <c:v>-449214.418125</c:v>
                </c:pt>
                <c:pt idx="5536">
                  <c:v>-448913.62591999996</c:v>
                </c:pt>
                <c:pt idx="5537">
                  <c:v>-448612.968035</c:v>
                </c:pt>
                <c:pt idx="5538">
                  <c:v>-448312.44444000005</c:v>
                </c:pt>
                <c:pt idx="5539">
                  <c:v>-448012.055105</c:v>
                </c:pt>
                <c:pt idx="5540">
                  <c:v>-447711.8</c:v>
                </c:pt>
                <c:pt idx="5541">
                  <c:v>-447411.67909499997</c:v>
                </c:pt>
                <c:pt idx="5542">
                  <c:v>-447111.69236</c:v>
                </c:pt>
                <c:pt idx="5543">
                  <c:v>-446811.839765</c:v>
                </c:pt>
                <c:pt idx="5544">
                  <c:v>-446512.12128</c:v>
                </c:pt>
                <c:pt idx="5545">
                  <c:v>-446212.536875</c:v>
                </c:pt>
                <c:pt idx="5546">
                  <c:v>-445913.08652</c:v>
                </c:pt>
                <c:pt idx="5547">
                  <c:v>-445613.770185</c:v>
                </c:pt>
                <c:pt idx="5548">
                  <c:v>-445314.58784</c:v>
                </c:pt>
                <c:pt idx="5549">
                  <c:v>-445015.539455</c:v>
                </c:pt>
                <c:pt idx="5550">
                  <c:v>-444716.625</c:v>
                </c:pt>
                <c:pt idx="5551">
                  <c:v>-444417.844445</c:v>
                </c:pt>
                <c:pt idx="5552">
                  <c:v>-444119.19776</c:v>
                </c:pt>
                <c:pt idx="5553">
                  <c:v>-443820.684915</c:v>
                </c:pt>
                <c:pt idx="5554">
                  <c:v>-443522.30588000006</c:v>
                </c:pt>
                <c:pt idx="5555">
                  <c:v>-443224.060625</c:v>
                </c:pt>
                <c:pt idx="5556">
                  <c:v>-442925.94912</c:v>
                </c:pt>
                <c:pt idx="5557">
                  <c:v>-442627.971335</c:v>
                </c:pt>
                <c:pt idx="5558">
                  <c:v>-442330.12724</c:v>
                </c:pt>
                <c:pt idx="5559">
                  <c:v>-442032.41680500004</c:v>
                </c:pt>
                <c:pt idx="5560">
                  <c:v>-441734.84</c:v>
                </c:pt>
                <c:pt idx="5561">
                  <c:v>-441437.39679499995</c:v>
                </c:pt>
                <c:pt idx="5562">
                  <c:v>-441140.08716</c:v>
                </c:pt>
                <c:pt idx="5563">
                  <c:v>-440842.911065</c:v>
                </c:pt>
                <c:pt idx="5564">
                  <c:v>-440545.86848</c:v>
                </c:pt>
                <c:pt idx="5565">
                  <c:v>-440248.959375</c:v>
                </c:pt>
                <c:pt idx="5566">
                  <c:v>-439952.18372</c:v>
                </c:pt>
                <c:pt idx="5567">
                  <c:v>-439655.541485</c:v>
                </c:pt>
                <c:pt idx="5568">
                  <c:v>-439359.03264</c:v>
                </c:pt>
                <c:pt idx="5569">
                  <c:v>-439062.657155</c:v>
                </c:pt>
                <c:pt idx="5570">
                  <c:v>-438766.415</c:v>
                </c:pt>
                <c:pt idx="5571">
                  <c:v>-438470.306145</c:v>
                </c:pt>
                <c:pt idx="5572">
                  <c:v>-438174.33056000003</c:v>
                </c:pt>
                <c:pt idx="5573">
                  <c:v>-437878.488215</c:v>
                </c:pt>
                <c:pt idx="5574">
                  <c:v>-437582.77908</c:v>
                </c:pt>
                <c:pt idx="5575">
                  <c:v>-437287.203125</c:v>
                </c:pt>
                <c:pt idx="5576">
                  <c:v>-436991.76031999994</c:v>
                </c:pt>
                <c:pt idx="5577">
                  <c:v>-436696.45063499996</c:v>
                </c:pt>
                <c:pt idx="5578">
                  <c:v>-436401.27404</c:v>
                </c:pt>
                <c:pt idx="5579">
                  <c:v>-436106.230505</c:v>
                </c:pt>
                <c:pt idx="5580">
                  <c:v>-435811.32</c:v>
                </c:pt>
                <c:pt idx="5581">
                  <c:v>-435516.542495</c:v>
                </c:pt>
                <c:pt idx="5582">
                  <c:v>-435221.89796</c:v>
                </c:pt>
                <c:pt idx="5583">
                  <c:v>-434927.386365</c:v>
                </c:pt>
                <c:pt idx="5584">
                  <c:v>-434633.00768</c:v>
                </c:pt>
                <c:pt idx="5585">
                  <c:v>-434338.761875</c:v>
                </c:pt>
                <c:pt idx="5586">
                  <c:v>-434044.64892</c:v>
                </c:pt>
                <c:pt idx="5587">
                  <c:v>-433750.668785</c:v>
                </c:pt>
                <c:pt idx="5588">
                  <c:v>-433456.82144</c:v>
                </c:pt>
                <c:pt idx="5589">
                  <c:v>-433163.10685499996</c:v>
                </c:pt>
                <c:pt idx="5590">
                  <c:v>-432869.525</c:v>
                </c:pt>
                <c:pt idx="5591">
                  <c:v>-432576.075845</c:v>
                </c:pt>
                <c:pt idx="5592">
                  <c:v>-432282.75936</c:v>
                </c:pt>
                <c:pt idx="5593">
                  <c:v>-431989.57551500003</c:v>
                </c:pt>
                <c:pt idx="5594">
                  <c:v>-431696.52428</c:v>
                </c:pt>
                <c:pt idx="5595">
                  <c:v>-431403.605625</c:v>
                </c:pt>
                <c:pt idx="5596">
                  <c:v>-431110.81952</c:v>
                </c:pt>
                <c:pt idx="5597">
                  <c:v>-430818.165935</c:v>
                </c:pt>
                <c:pt idx="5598">
                  <c:v>-430525.64484</c:v>
                </c:pt>
                <c:pt idx="5599">
                  <c:v>-430233.25620500004</c:v>
                </c:pt>
                <c:pt idx="5600">
                  <c:v>-429941.0</c:v>
                </c:pt>
                <c:pt idx="5601">
                  <c:v>-429648.876195</c:v>
                </c:pt>
                <c:pt idx="5602">
                  <c:v>-429356.88476000004</c:v>
                </c:pt>
                <c:pt idx="5603">
                  <c:v>-429065.025665</c:v>
                </c:pt>
                <c:pt idx="5604">
                  <c:v>-428773.29888</c:v>
                </c:pt>
                <c:pt idx="5605">
                  <c:v>-428481.704375</c:v>
                </c:pt>
                <c:pt idx="5606">
                  <c:v>-428190.24212</c:v>
                </c:pt>
                <c:pt idx="5607">
                  <c:v>-427898.91208499996</c:v>
                </c:pt>
                <c:pt idx="5608">
                  <c:v>-427607.71424</c:v>
                </c:pt>
                <c:pt idx="5609">
                  <c:v>-427316.648555</c:v>
                </c:pt>
                <c:pt idx="5610">
                  <c:v>-427025.71499999997</c:v>
                </c:pt>
                <c:pt idx="5611">
                  <c:v>-426734.913545</c:v>
                </c:pt>
                <c:pt idx="5612">
                  <c:v>-426444.24416</c:v>
                </c:pt>
                <c:pt idx="5613">
                  <c:v>-426153.706815</c:v>
                </c:pt>
                <c:pt idx="5614">
                  <c:v>-425863.30148</c:v>
                </c:pt>
                <c:pt idx="5615">
                  <c:v>-425573.028125</c:v>
                </c:pt>
                <c:pt idx="5616">
                  <c:v>-425282.88671999995</c:v>
                </c:pt>
                <c:pt idx="5617">
                  <c:v>-424992.87723499996</c:v>
                </c:pt>
                <c:pt idx="5618">
                  <c:v>-424702.99964000005</c:v>
                </c:pt>
                <c:pt idx="5619">
                  <c:v>-424413.253905</c:v>
                </c:pt>
                <c:pt idx="5620">
                  <c:v>-424123.64</c:v>
                </c:pt>
                <c:pt idx="5621">
                  <c:v>-423834.157895</c:v>
                </c:pt>
                <c:pt idx="5622">
                  <c:v>-423544.80756000004</c:v>
                </c:pt>
                <c:pt idx="5623">
                  <c:v>-423255.588965</c:v>
                </c:pt>
                <c:pt idx="5624">
                  <c:v>-422966.50208</c:v>
                </c:pt>
                <c:pt idx="5625">
                  <c:v>-422677.546875</c:v>
                </c:pt>
                <c:pt idx="5626">
                  <c:v>-422388.72332</c:v>
                </c:pt>
                <c:pt idx="5627">
                  <c:v>-422100.031385</c:v>
                </c:pt>
                <c:pt idx="5628">
                  <c:v>-421811.47104000003</c:v>
                </c:pt>
                <c:pt idx="5629">
                  <c:v>-421523.042255</c:v>
                </c:pt>
                <c:pt idx="5630">
                  <c:v>-421234.745</c:v>
                </c:pt>
                <c:pt idx="5631">
                  <c:v>-420946.579245</c:v>
                </c:pt>
                <c:pt idx="5632">
                  <c:v>-420658.54495999997</c:v>
                </c:pt>
                <c:pt idx="5633">
                  <c:v>-420370.64211500005</c:v>
                </c:pt>
                <c:pt idx="5634">
                  <c:v>-420082.87068</c:v>
                </c:pt>
                <c:pt idx="5635">
                  <c:v>-419795.230625</c:v>
                </c:pt>
                <c:pt idx="5636">
                  <c:v>-419507.72192000004</c:v>
                </c:pt>
                <c:pt idx="5637">
                  <c:v>-419220.344535</c:v>
                </c:pt>
                <c:pt idx="5638">
                  <c:v>-418933.09844000003</c:v>
                </c:pt>
                <c:pt idx="5639">
                  <c:v>-418645.983605</c:v>
                </c:pt>
                <c:pt idx="5640">
                  <c:v>-418359.0</c:v>
                </c:pt>
                <c:pt idx="5641">
                  <c:v>-418072.147595</c:v>
                </c:pt>
                <c:pt idx="5642">
                  <c:v>-417785.42636</c:v>
                </c:pt>
                <c:pt idx="5643">
                  <c:v>-417498.836265</c:v>
                </c:pt>
                <c:pt idx="5644">
                  <c:v>-417212.37728</c:v>
                </c:pt>
                <c:pt idx="5645">
                  <c:v>-416926.049375</c:v>
                </c:pt>
                <c:pt idx="5646">
                  <c:v>-416639.85251999996</c:v>
                </c:pt>
                <c:pt idx="5647">
                  <c:v>-416353.786685</c:v>
                </c:pt>
                <c:pt idx="5648">
                  <c:v>-416067.85184</c:v>
                </c:pt>
                <c:pt idx="5649">
                  <c:v>-415782.047955</c:v>
                </c:pt>
                <c:pt idx="5650">
                  <c:v>-415496.375</c:v>
                </c:pt>
                <c:pt idx="5651">
                  <c:v>-415210.83294500003</c:v>
                </c:pt>
                <c:pt idx="5652">
                  <c:v>-414925.42176</c:v>
                </c:pt>
                <c:pt idx="5653">
                  <c:v>-414640.141415</c:v>
                </c:pt>
                <c:pt idx="5654">
                  <c:v>-414354.9918799999</c:v>
                </c:pt>
                <c:pt idx="5655">
                  <c:v>-414069.973125</c:v>
                </c:pt>
                <c:pt idx="5656">
                  <c:v>-413785.08512</c:v>
                </c:pt>
                <c:pt idx="5657">
                  <c:v>-413500.32783499995</c:v>
                </c:pt>
                <c:pt idx="5658">
                  <c:v>-413215.70124</c:v>
                </c:pt>
                <c:pt idx="5659">
                  <c:v>-412931.20530499995</c:v>
                </c:pt>
                <c:pt idx="5660">
                  <c:v>-412646.83999999997</c:v>
                </c:pt>
                <c:pt idx="5661">
                  <c:v>-412362.60529499996</c:v>
                </c:pt>
                <c:pt idx="5662">
                  <c:v>-412078.50116</c:v>
                </c:pt>
                <c:pt idx="5663">
                  <c:v>-411794.527565</c:v>
                </c:pt>
                <c:pt idx="5664">
                  <c:v>-411510.68448</c:v>
                </c:pt>
                <c:pt idx="5665">
                  <c:v>-411226.971875</c:v>
                </c:pt>
                <c:pt idx="5666">
                  <c:v>-410943.38972</c:v>
                </c:pt>
                <c:pt idx="5667">
                  <c:v>-410659.937985</c:v>
                </c:pt>
                <c:pt idx="5668">
                  <c:v>-410376.61664</c:v>
                </c:pt>
                <c:pt idx="5669">
                  <c:v>-410093.42565499997</c:v>
                </c:pt>
                <c:pt idx="5670">
                  <c:v>-409810.365</c:v>
                </c:pt>
                <c:pt idx="5671">
                  <c:v>-409527.434645</c:v>
                </c:pt>
                <c:pt idx="5672">
                  <c:v>-409244.63456000003</c:v>
                </c:pt>
                <c:pt idx="5673">
                  <c:v>-408961.964715</c:v>
                </c:pt>
                <c:pt idx="5674">
                  <c:v>-408679.42508</c:v>
                </c:pt>
                <c:pt idx="5675">
                  <c:v>-408397.015625</c:v>
                </c:pt>
                <c:pt idx="5676">
                  <c:v>-408114.73631999997</c:v>
                </c:pt>
                <c:pt idx="5677">
                  <c:v>-407832.58713500004</c:v>
                </c:pt>
                <c:pt idx="5678">
                  <c:v>-407550.56804</c:v>
                </c:pt>
                <c:pt idx="5679">
                  <c:v>-407268.679005</c:v>
                </c:pt>
                <c:pt idx="5680">
                  <c:v>-406986.92</c:v>
                </c:pt>
                <c:pt idx="5681">
                  <c:v>-406705.29099500005</c:v>
                </c:pt>
                <c:pt idx="5682">
                  <c:v>-406423.79196</c:v>
                </c:pt>
                <c:pt idx="5683">
                  <c:v>-406142.422865</c:v>
                </c:pt>
                <c:pt idx="5684">
                  <c:v>-405861.18368</c:v>
                </c:pt>
                <c:pt idx="5685">
                  <c:v>-405580.074375</c:v>
                </c:pt>
                <c:pt idx="5686">
                  <c:v>-405299.09492</c:v>
                </c:pt>
                <c:pt idx="5687">
                  <c:v>-405018.245285</c:v>
                </c:pt>
                <c:pt idx="5688">
                  <c:v>-404737.52544</c:v>
                </c:pt>
                <c:pt idx="5689">
                  <c:v>-404456.93535499997</c:v>
                </c:pt>
                <c:pt idx="5690">
                  <c:v>-404176.475</c:v>
                </c:pt>
                <c:pt idx="5691">
                  <c:v>-403896.144345</c:v>
                </c:pt>
                <c:pt idx="5692">
                  <c:v>-403615.94336</c:v>
                </c:pt>
                <c:pt idx="5693">
                  <c:v>-403335.872015</c:v>
                </c:pt>
                <c:pt idx="5694">
                  <c:v>-403055.93028</c:v>
                </c:pt>
                <c:pt idx="5695">
                  <c:v>-402776.118125</c:v>
                </c:pt>
                <c:pt idx="5696">
                  <c:v>-402496.43552</c:v>
                </c:pt>
                <c:pt idx="5697">
                  <c:v>-402216.882435</c:v>
                </c:pt>
                <c:pt idx="5698">
                  <c:v>-401937.45884</c:v>
                </c:pt>
                <c:pt idx="5699">
                  <c:v>-401658.164705</c:v>
                </c:pt>
                <c:pt idx="5700">
                  <c:v>-401379.0</c:v>
                </c:pt>
                <c:pt idx="5701">
                  <c:v>-401099.964695</c:v>
                </c:pt>
                <c:pt idx="5702">
                  <c:v>-400821.05876</c:v>
                </c:pt>
                <c:pt idx="5703">
                  <c:v>-400542.282165</c:v>
                </c:pt>
                <c:pt idx="5704">
                  <c:v>-400263.63487999997</c:v>
                </c:pt>
                <c:pt idx="5705">
                  <c:v>-399985.116875</c:v>
                </c:pt>
                <c:pt idx="5706">
                  <c:v>-399706.72812000004</c:v>
                </c:pt>
                <c:pt idx="5707">
                  <c:v>-399428.468585</c:v>
                </c:pt>
                <c:pt idx="5708">
                  <c:v>-399150.33823999995</c:v>
                </c:pt>
                <c:pt idx="5709">
                  <c:v>-398872.337055</c:v>
                </c:pt>
                <c:pt idx="5710">
                  <c:v>-398594.465</c:v>
                </c:pt>
                <c:pt idx="5711">
                  <c:v>-398316.722045</c:v>
                </c:pt>
                <c:pt idx="5712">
                  <c:v>-398039.10816</c:v>
                </c:pt>
                <c:pt idx="5713">
                  <c:v>-397761.623315</c:v>
                </c:pt>
                <c:pt idx="5714">
                  <c:v>-397484.26748000004</c:v>
                </c:pt>
                <c:pt idx="5715">
                  <c:v>-397207.040625</c:v>
                </c:pt>
                <c:pt idx="5716">
                  <c:v>-396929.94272</c:v>
                </c:pt>
                <c:pt idx="5717">
                  <c:v>-396652.973735</c:v>
                </c:pt>
                <c:pt idx="5718">
                  <c:v>-396376.13364</c:v>
                </c:pt>
                <c:pt idx="5719">
                  <c:v>-396099.42240499996</c:v>
                </c:pt>
                <c:pt idx="5720">
                  <c:v>-395822.84</c:v>
                </c:pt>
                <c:pt idx="5721">
                  <c:v>-395546.386395</c:v>
                </c:pt>
                <c:pt idx="5722">
                  <c:v>-395270.06156</c:v>
                </c:pt>
                <c:pt idx="5723">
                  <c:v>-394993.865465</c:v>
                </c:pt>
                <c:pt idx="5724">
                  <c:v>-394717.79808</c:v>
                </c:pt>
                <c:pt idx="5725">
                  <c:v>-394441.859375</c:v>
                </c:pt>
                <c:pt idx="5726">
                  <c:v>-394166.04932</c:v>
                </c:pt>
                <c:pt idx="5727">
                  <c:v>-393890.367885</c:v>
                </c:pt>
                <c:pt idx="5728">
                  <c:v>-393614.81503999996</c:v>
                </c:pt>
                <c:pt idx="5729">
                  <c:v>-393339.390755</c:v>
                </c:pt>
                <c:pt idx="5730">
                  <c:v>-393064.095</c:v>
                </c:pt>
                <c:pt idx="5731">
                  <c:v>-392788.92774500005</c:v>
                </c:pt>
                <c:pt idx="5732">
                  <c:v>-392513.88896</c:v>
                </c:pt>
                <c:pt idx="5733">
                  <c:v>-392238.978615</c:v>
                </c:pt>
                <c:pt idx="5734">
                  <c:v>-391964.19667999994</c:v>
                </c:pt>
                <c:pt idx="5735">
                  <c:v>-391689.54312499997</c:v>
                </c:pt>
                <c:pt idx="5736">
                  <c:v>-391415.01791999995</c:v>
                </c:pt>
                <c:pt idx="5737">
                  <c:v>-391140.621035</c:v>
                </c:pt>
                <c:pt idx="5738">
                  <c:v>-390866.35244</c:v>
                </c:pt>
                <c:pt idx="5739">
                  <c:v>-390592.212105</c:v>
                </c:pt>
                <c:pt idx="5740">
                  <c:v>-390318.2</c:v>
                </c:pt>
                <c:pt idx="5741">
                  <c:v>-390044.31609499996</c:v>
                </c:pt>
                <c:pt idx="5742">
                  <c:v>-389770.56036</c:v>
                </c:pt>
                <c:pt idx="5743">
                  <c:v>-389496.932765</c:v>
                </c:pt>
                <c:pt idx="5744">
                  <c:v>-389223.43328000006</c:v>
                </c:pt>
                <c:pt idx="5745">
                  <c:v>-388950.061875</c:v>
                </c:pt>
                <c:pt idx="5746">
                  <c:v>-388676.81852000003</c:v>
                </c:pt>
                <c:pt idx="5747">
                  <c:v>-388403.703185</c:v>
                </c:pt>
                <c:pt idx="5748">
                  <c:v>-388130.71583999996</c:v>
                </c:pt>
                <c:pt idx="5749">
                  <c:v>-387857.85645499994</c:v>
                </c:pt>
                <c:pt idx="5750">
                  <c:v>-387585.125</c:v>
                </c:pt>
                <c:pt idx="5751">
                  <c:v>-387312.521445</c:v>
                </c:pt>
                <c:pt idx="5752">
                  <c:v>-387040.04576</c:v>
                </c:pt>
                <c:pt idx="5753">
                  <c:v>-386767.697915</c:v>
                </c:pt>
                <c:pt idx="5754">
                  <c:v>-386495.47787999996</c:v>
                </c:pt>
                <c:pt idx="5755">
                  <c:v>-386223.385625</c:v>
                </c:pt>
                <c:pt idx="5756">
                  <c:v>-385951.42112</c:v>
                </c:pt>
                <c:pt idx="5757">
                  <c:v>-385679.584335</c:v>
                </c:pt>
                <c:pt idx="5758">
                  <c:v>-385407.87524</c:v>
                </c:pt>
                <c:pt idx="5759">
                  <c:v>-385136.29380499996</c:v>
                </c:pt>
                <c:pt idx="5760">
                  <c:v>-384864.84</c:v>
                </c:pt>
                <c:pt idx="5761">
                  <c:v>-384593.51379500004</c:v>
                </c:pt>
                <c:pt idx="5762">
                  <c:v>-384322.31516</c:v>
                </c:pt>
                <c:pt idx="5763">
                  <c:v>-384051.244065</c:v>
                </c:pt>
                <c:pt idx="5764">
                  <c:v>-383780.30048</c:v>
                </c:pt>
                <c:pt idx="5765">
                  <c:v>-383509.484375</c:v>
                </c:pt>
                <c:pt idx="5766">
                  <c:v>-383238.79572</c:v>
                </c:pt>
                <c:pt idx="5767">
                  <c:v>-382968.234485</c:v>
                </c:pt>
                <c:pt idx="5768">
                  <c:v>-382697.80064</c:v>
                </c:pt>
                <c:pt idx="5769">
                  <c:v>-382427.494155</c:v>
                </c:pt>
                <c:pt idx="5770">
                  <c:v>-382157.315</c:v>
                </c:pt>
                <c:pt idx="5771">
                  <c:v>-381887.26314500003</c:v>
                </c:pt>
                <c:pt idx="5772">
                  <c:v>-381617.33856</c:v>
                </c:pt>
                <c:pt idx="5773">
                  <c:v>-381347.541215</c:v>
                </c:pt>
                <c:pt idx="5774">
                  <c:v>-381077.87108</c:v>
                </c:pt>
                <c:pt idx="5775">
                  <c:v>-380808.328125</c:v>
                </c:pt>
                <c:pt idx="5776">
                  <c:v>-380538.91232</c:v>
                </c:pt>
                <c:pt idx="5777">
                  <c:v>-380269.623635</c:v>
                </c:pt>
                <c:pt idx="5778">
                  <c:v>-380000.46204</c:v>
                </c:pt>
                <c:pt idx="5779">
                  <c:v>-379731.42750499997</c:v>
                </c:pt>
                <c:pt idx="5780">
                  <c:v>-379462.52</c:v>
                </c:pt>
                <c:pt idx="5781">
                  <c:v>-379193.739495</c:v>
                </c:pt>
                <c:pt idx="5782">
                  <c:v>-378925.08596</c:v>
                </c:pt>
                <c:pt idx="5783">
                  <c:v>-378656.559365</c:v>
                </c:pt>
                <c:pt idx="5784">
                  <c:v>-378388.15968000004</c:v>
                </c:pt>
                <c:pt idx="5785">
                  <c:v>-378119.88687499997</c:v>
                </c:pt>
                <c:pt idx="5786">
                  <c:v>-377851.74092</c:v>
                </c:pt>
                <c:pt idx="5787">
                  <c:v>-377583.72178499994</c:v>
                </c:pt>
                <c:pt idx="5788">
                  <c:v>-377315.82944</c:v>
                </c:pt>
                <c:pt idx="5789">
                  <c:v>-377048.06385499996</c:v>
                </c:pt>
                <c:pt idx="5790">
                  <c:v>-376780.425</c:v>
                </c:pt>
                <c:pt idx="5791">
                  <c:v>-376512.912845</c:v>
                </c:pt>
                <c:pt idx="5792">
                  <c:v>-376245.52736</c:v>
                </c:pt>
                <c:pt idx="5793">
                  <c:v>-375978.26851499995</c:v>
                </c:pt>
                <c:pt idx="5794">
                  <c:v>-375711.13628</c:v>
                </c:pt>
                <c:pt idx="5795">
                  <c:v>-375444.130625</c:v>
                </c:pt>
                <c:pt idx="5796">
                  <c:v>-375177.25152000005</c:v>
                </c:pt>
                <c:pt idx="5797">
                  <c:v>-374910.49893500004</c:v>
                </c:pt>
                <c:pt idx="5798">
                  <c:v>-374643.87283999997</c:v>
                </c:pt>
                <c:pt idx="5799">
                  <c:v>-374377.37320499995</c:v>
                </c:pt>
                <c:pt idx="5800">
                  <c:v>-374111.0</c:v>
                </c:pt>
                <c:pt idx="5801">
                  <c:v>-373844.753195</c:v>
                </c:pt>
                <c:pt idx="5802">
                  <c:v>-373578.63276000007</c:v>
                </c:pt>
                <c:pt idx="5803">
                  <c:v>-373312.63866500003</c:v>
                </c:pt>
                <c:pt idx="5804">
                  <c:v>-373046.77088</c:v>
                </c:pt>
                <c:pt idx="5805">
                  <c:v>-372781.029375</c:v>
                </c:pt>
                <c:pt idx="5806">
                  <c:v>-372515.41412</c:v>
                </c:pt>
                <c:pt idx="5807">
                  <c:v>-372249.925085</c:v>
                </c:pt>
                <c:pt idx="5808">
                  <c:v>-371984.56223999994</c:v>
                </c:pt>
                <c:pt idx="5809">
                  <c:v>-371719.325555</c:v>
                </c:pt>
                <c:pt idx="5810">
                  <c:v>-371454.215</c:v>
                </c:pt>
                <c:pt idx="5811">
                  <c:v>-371189.230545</c:v>
                </c:pt>
                <c:pt idx="5812">
                  <c:v>-370924.37216</c:v>
                </c:pt>
                <c:pt idx="5813">
                  <c:v>-370659.639815</c:v>
                </c:pt>
                <c:pt idx="5814">
                  <c:v>-370395.03348000004</c:v>
                </c:pt>
                <c:pt idx="5815">
                  <c:v>-370130.553125</c:v>
                </c:pt>
                <c:pt idx="5816">
                  <c:v>-369866.19872</c:v>
                </c:pt>
                <c:pt idx="5817">
                  <c:v>-369601.970235</c:v>
                </c:pt>
                <c:pt idx="5818">
                  <c:v>-369337.86764</c:v>
                </c:pt>
                <c:pt idx="5819">
                  <c:v>-369073.890905</c:v>
                </c:pt>
                <c:pt idx="5820">
                  <c:v>-368810.04</c:v>
                </c:pt>
                <c:pt idx="5821">
                  <c:v>-368546.314895</c:v>
                </c:pt>
                <c:pt idx="5822">
                  <c:v>-368282.71556000004</c:v>
                </c:pt>
                <c:pt idx="5823">
                  <c:v>-368019.241965</c:v>
                </c:pt>
                <c:pt idx="5824">
                  <c:v>-367755.89408</c:v>
                </c:pt>
                <c:pt idx="5825">
                  <c:v>-367492.671875</c:v>
                </c:pt>
                <c:pt idx="5826">
                  <c:v>-367229.57532</c:v>
                </c:pt>
                <c:pt idx="5827">
                  <c:v>-366966.60438499996</c:v>
                </c:pt>
                <c:pt idx="5828">
                  <c:v>-366703.75904</c:v>
                </c:pt>
                <c:pt idx="5829">
                  <c:v>-366441.039255</c:v>
                </c:pt>
                <c:pt idx="5830">
                  <c:v>-366178.445</c:v>
                </c:pt>
                <c:pt idx="5831">
                  <c:v>-365915.976245</c:v>
                </c:pt>
                <c:pt idx="5832">
                  <c:v>-365653.63295999996</c:v>
                </c:pt>
                <c:pt idx="5833">
                  <c:v>-365391.41511500004</c:v>
                </c:pt>
                <c:pt idx="5834">
                  <c:v>-365129.32268000004</c:v>
                </c:pt>
                <c:pt idx="5835">
                  <c:v>-364867.355625</c:v>
                </c:pt>
                <c:pt idx="5836">
                  <c:v>-364605.51392</c:v>
                </c:pt>
                <c:pt idx="5837">
                  <c:v>-364343.797535</c:v>
                </c:pt>
                <c:pt idx="5838">
                  <c:v>-364082.20644000004</c:v>
                </c:pt>
                <c:pt idx="5839">
                  <c:v>-363820.740605</c:v>
                </c:pt>
                <c:pt idx="5840">
                  <c:v>-363559.4</c:v>
                </c:pt>
                <c:pt idx="5841">
                  <c:v>-363298.184595</c:v>
                </c:pt>
                <c:pt idx="5842">
                  <c:v>-363037.09436</c:v>
                </c:pt>
                <c:pt idx="5843">
                  <c:v>-362776.129265</c:v>
                </c:pt>
                <c:pt idx="5844">
                  <c:v>-362515.28927999997</c:v>
                </c:pt>
                <c:pt idx="5845">
                  <c:v>-362254.574375</c:v>
                </c:pt>
                <c:pt idx="5846">
                  <c:v>-361993.98452</c:v>
                </c:pt>
                <c:pt idx="5847">
                  <c:v>-361733.519685</c:v>
                </c:pt>
                <c:pt idx="5848">
                  <c:v>-361473.17984</c:v>
                </c:pt>
                <c:pt idx="5849">
                  <c:v>-361212.964955</c:v>
                </c:pt>
                <c:pt idx="5850">
                  <c:v>-360952.875</c:v>
                </c:pt>
                <c:pt idx="5851">
                  <c:v>-360692.90994499996</c:v>
                </c:pt>
                <c:pt idx="5852">
                  <c:v>-360433.06976</c:v>
                </c:pt>
                <c:pt idx="5853">
                  <c:v>-360173.354415</c:v>
                </c:pt>
                <c:pt idx="5854">
                  <c:v>-359913.76388</c:v>
                </c:pt>
                <c:pt idx="5855">
                  <c:v>-359654.298125</c:v>
                </c:pt>
                <c:pt idx="5856">
                  <c:v>-359394.95712</c:v>
                </c:pt>
                <c:pt idx="5857">
                  <c:v>-359135.740835</c:v>
                </c:pt>
                <c:pt idx="5858">
                  <c:v>-358876.64924</c:v>
                </c:pt>
                <c:pt idx="5859">
                  <c:v>-358617.682305</c:v>
                </c:pt>
                <c:pt idx="5860">
                  <c:v>-358358.83999999997</c:v>
                </c:pt>
                <c:pt idx="5861">
                  <c:v>-358100.122295</c:v>
                </c:pt>
                <c:pt idx="5862">
                  <c:v>-357841.52916</c:v>
                </c:pt>
                <c:pt idx="5863">
                  <c:v>-357583.06056500005</c:v>
                </c:pt>
                <c:pt idx="5864">
                  <c:v>-357324.71648</c:v>
                </c:pt>
                <c:pt idx="5865">
                  <c:v>-357066.496875</c:v>
                </c:pt>
                <c:pt idx="5866">
                  <c:v>-356808.40172</c:v>
                </c:pt>
                <c:pt idx="5867">
                  <c:v>-356550.43098500004</c:v>
                </c:pt>
                <c:pt idx="5868">
                  <c:v>-356292.58463999996</c:v>
                </c:pt>
                <c:pt idx="5869">
                  <c:v>-356034.86265499995</c:v>
                </c:pt>
                <c:pt idx="5870">
                  <c:v>-355777.265</c:v>
                </c:pt>
                <c:pt idx="5871">
                  <c:v>-355519.79164500005</c:v>
                </c:pt>
                <c:pt idx="5872">
                  <c:v>-355262.44256</c:v>
                </c:pt>
                <c:pt idx="5873">
                  <c:v>-355005.217715</c:v>
                </c:pt>
                <c:pt idx="5874">
                  <c:v>-354748.11708</c:v>
                </c:pt>
                <c:pt idx="5875">
                  <c:v>-354491.140625</c:v>
                </c:pt>
                <c:pt idx="5876">
                  <c:v>-354234.28832</c:v>
                </c:pt>
                <c:pt idx="5877">
                  <c:v>-353977.560135</c:v>
                </c:pt>
                <c:pt idx="5878">
                  <c:v>-353720.95603999996</c:v>
                </c:pt>
                <c:pt idx="5879">
                  <c:v>-353464.476005</c:v>
                </c:pt>
                <c:pt idx="5880">
                  <c:v>-353208.12</c:v>
                </c:pt>
                <c:pt idx="5881">
                  <c:v>-352951.887995</c:v>
                </c:pt>
                <c:pt idx="5882">
                  <c:v>-352695.77996</c:v>
                </c:pt>
                <c:pt idx="5883">
                  <c:v>-352439.795865</c:v>
                </c:pt>
                <c:pt idx="5884">
                  <c:v>-352183.93568</c:v>
                </c:pt>
                <c:pt idx="5885">
                  <c:v>-351928.199375</c:v>
                </c:pt>
                <c:pt idx="5886">
                  <c:v>-351672.58692</c:v>
                </c:pt>
                <c:pt idx="5887">
                  <c:v>-351417.09828499996</c:v>
                </c:pt>
                <c:pt idx="5888">
                  <c:v>-351161.73344000004</c:v>
                </c:pt>
                <c:pt idx="5889">
                  <c:v>-350906.492355</c:v>
                </c:pt>
                <c:pt idx="5890">
                  <c:v>-350651.375</c:v>
                </c:pt>
                <c:pt idx="5891">
                  <c:v>-350396.381345</c:v>
                </c:pt>
                <c:pt idx="5892">
                  <c:v>-350141.51136000006</c:v>
                </c:pt>
                <c:pt idx="5893">
                  <c:v>-349886.765015</c:v>
                </c:pt>
                <c:pt idx="5894">
                  <c:v>-349632.14228000003</c:v>
                </c:pt>
                <c:pt idx="5895">
                  <c:v>-349377.643125</c:v>
                </c:pt>
                <c:pt idx="5896">
                  <c:v>-349123.26752</c:v>
                </c:pt>
                <c:pt idx="5897">
                  <c:v>-348869.015435</c:v>
                </c:pt>
                <c:pt idx="5898">
                  <c:v>-348614.88684</c:v>
                </c:pt>
                <c:pt idx="5899">
                  <c:v>-348360.881705</c:v>
                </c:pt>
                <c:pt idx="5900">
                  <c:v>-348107.0</c:v>
                </c:pt>
                <c:pt idx="5901">
                  <c:v>-347853.24169500003</c:v>
                </c:pt>
                <c:pt idx="5902">
                  <c:v>-347599.60676</c:v>
                </c:pt>
                <c:pt idx="5903">
                  <c:v>-347346.095165</c:v>
                </c:pt>
                <c:pt idx="5904">
                  <c:v>-347092.70688</c:v>
                </c:pt>
                <c:pt idx="5905">
                  <c:v>-346839.441875</c:v>
                </c:pt>
                <c:pt idx="5906">
                  <c:v>-346586.30011999997</c:v>
                </c:pt>
                <c:pt idx="5907">
                  <c:v>-346333.281585</c:v>
                </c:pt>
                <c:pt idx="5908">
                  <c:v>-346080.38624</c:v>
                </c:pt>
                <c:pt idx="5909">
                  <c:v>-345827.614055</c:v>
                </c:pt>
                <c:pt idx="5910">
                  <c:v>-345574.965</c:v>
                </c:pt>
                <c:pt idx="5911">
                  <c:v>-345322.439045</c:v>
                </c:pt>
                <c:pt idx="5912">
                  <c:v>-345070.03615999996</c:v>
                </c:pt>
                <c:pt idx="5913">
                  <c:v>-344817.756315</c:v>
                </c:pt>
                <c:pt idx="5914">
                  <c:v>-344565.59948</c:v>
                </c:pt>
                <c:pt idx="5915">
                  <c:v>-344313.565625</c:v>
                </c:pt>
                <c:pt idx="5916">
                  <c:v>-344061.65472</c:v>
                </c:pt>
                <c:pt idx="5917">
                  <c:v>-343809.866735</c:v>
                </c:pt>
                <c:pt idx="5918">
                  <c:v>-343558.20164</c:v>
                </c:pt>
                <c:pt idx="5919">
                  <c:v>-343306.65940500004</c:v>
                </c:pt>
                <c:pt idx="5920">
                  <c:v>-343055.24</c:v>
                </c:pt>
                <c:pt idx="5921">
                  <c:v>-342803.94339499995</c:v>
                </c:pt>
                <c:pt idx="5922">
                  <c:v>-342552.76956</c:v>
                </c:pt>
                <c:pt idx="5923">
                  <c:v>-342301.71846500004</c:v>
                </c:pt>
                <c:pt idx="5924">
                  <c:v>-342050.79007999995</c:v>
                </c:pt>
                <c:pt idx="5925">
                  <c:v>-341799.984375</c:v>
                </c:pt>
                <c:pt idx="5926">
                  <c:v>-341549.30132</c:v>
                </c:pt>
                <c:pt idx="5927">
                  <c:v>-341298.74088500004</c:v>
                </c:pt>
                <c:pt idx="5928">
                  <c:v>-341048.30303999997</c:v>
                </c:pt>
                <c:pt idx="5929">
                  <c:v>-340797.987755</c:v>
                </c:pt>
                <c:pt idx="5930">
                  <c:v>-340547.795</c:v>
                </c:pt>
                <c:pt idx="5931">
                  <c:v>-340297.724745</c:v>
                </c:pt>
                <c:pt idx="5932">
                  <c:v>-340047.77696</c:v>
                </c:pt>
                <c:pt idx="5933">
                  <c:v>-339797.951615</c:v>
                </c:pt>
                <c:pt idx="5934">
                  <c:v>-339548.24868</c:v>
                </c:pt>
                <c:pt idx="5935">
                  <c:v>-339298.668125</c:v>
                </c:pt>
                <c:pt idx="5936">
                  <c:v>-339049.20992</c:v>
                </c:pt>
                <c:pt idx="5937">
                  <c:v>-338799.874035</c:v>
                </c:pt>
                <c:pt idx="5938">
                  <c:v>-338550.66044</c:v>
                </c:pt>
                <c:pt idx="5939">
                  <c:v>-338301.569105</c:v>
                </c:pt>
                <c:pt idx="5940">
                  <c:v>-338052.6</c:v>
                </c:pt>
                <c:pt idx="5941">
                  <c:v>-337803.753095</c:v>
                </c:pt>
                <c:pt idx="5942">
                  <c:v>-337555.02835999994</c:v>
                </c:pt>
                <c:pt idx="5943">
                  <c:v>-337306.425765</c:v>
                </c:pt>
                <c:pt idx="5944">
                  <c:v>-337057.94528</c:v>
                </c:pt>
                <c:pt idx="5945">
                  <c:v>-336809.586875</c:v>
                </c:pt>
                <c:pt idx="5946">
                  <c:v>-336561.35052000004</c:v>
                </c:pt>
                <c:pt idx="5947">
                  <c:v>-336313.236185</c:v>
                </c:pt>
                <c:pt idx="5948">
                  <c:v>-336065.24384</c:v>
                </c:pt>
                <c:pt idx="5949">
                  <c:v>-335817.373455</c:v>
                </c:pt>
                <c:pt idx="5950">
                  <c:v>-335569.625</c:v>
                </c:pt>
                <c:pt idx="5951">
                  <c:v>-335321.99844500003</c:v>
                </c:pt>
                <c:pt idx="5952">
                  <c:v>-335074.49376</c:v>
                </c:pt>
                <c:pt idx="5953">
                  <c:v>-334827.11091499997</c:v>
                </c:pt>
                <c:pt idx="5954">
                  <c:v>-334579.84988</c:v>
                </c:pt>
                <c:pt idx="5955">
                  <c:v>-334332.710625</c:v>
                </c:pt>
                <c:pt idx="5956">
                  <c:v>-334085.69312</c:v>
                </c:pt>
                <c:pt idx="5957">
                  <c:v>-333838.797335</c:v>
                </c:pt>
                <c:pt idx="5958">
                  <c:v>-333592.02324</c:v>
                </c:pt>
                <c:pt idx="5959">
                  <c:v>-333345.370805</c:v>
                </c:pt>
                <c:pt idx="5960">
                  <c:v>-333098.84</c:v>
                </c:pt>
                <c:pt idx="5961">
                  <c:v>-332852.43079499993</c:v>
                </c:pt>
                <c:pt idx="5962">
                  <c:v>-332606.14316</c:v>
                </c:pt>
                <c:pt idx="5963">
                  <c:v>-332359.977065</c:v>
                </c:pt>
                <c:pt idx="5964">
                  <c:v>-332113.93248</c:v>
                </c:pt>
                <c:pt idx="5965">
                  <c:v>-331868.009375</c:v>
                </c:pt>
                <c:pt idx="5966">
                  <c:v>-331622.20772</c:v>
                </c:pt>
                <c:pt idx="5967">
                  <c:v>-331376.52748499997</c:v>
                </c:pt>
                <c:pt idx="5968">
                  <c:v>-331130.96864000004</c:v>
                </c:pt>
                <c:pt idx="5969">
                  <c:v>-330885.53115500003</c:v>
                </c:pt>
                <c:pt idx="5970">
                  <c:v>-330640.215</c:v>
                </c:pt>
                <c:pt idx="5971">
                  <c:v>-330395.020145</c:v>
                </c:pt>
                <c:pt idx="5972">
                  <c:v>-330149.94655999995</c:v>
                </c:pt>
                <c:pt idx="5973">
                  <c:v>-329904.994215</c:v>
                </c:pt>
                <c:pt idx="5974">
                  <c:v>-329660.16307999997</c:v>
                </c:pt>
                <c:pt idx="5975">
                  <c:v>-329415.453125</c:v>
                </c:pt>
                <c:pt idx="5976">
                  <c:v>-329170.86432</c:v>
                </c:pt>
                <c:pt idx="5977">
                  <c:v>-328926.39663499995</c:v>
                </c:pt>
                <c:pt idx="5978">
                  <c:v>-328682.05004</c:v>
                </c:pt>
                <c:pt idx="5979">
                  <c:v>-328437.82450499997</c:v>
                </c:pt>
                <c:pt idx="5980">
                  <c:v>-328193.72</c:v>
                </c:pt>
                <c:pt idx="5981">
                  <c:v>-327949.736495</c:v>
                </c:pt>
                <c:pt idx="5982">
                  <c:v>-327705.87396</c:v>
                </c:pt>
                <c:pt idx="5983">
                  <c:v>-327462.13236499997</c:v>
                </c:pt>
                <c:pt idx="5984">
                  <c:v>-327218.51168</c:v>
                </c:pt>
                <c:pt idx="5985">
                  <c:v>-326975.01187499997</c:v>
                </c:pt>
                <c:pt idx="5986">
                  <c:v>-326731.63292000006</c:v>
                </c:pt>
                <c:pt idx="5987">
                  <c:v>-326488.374785</c:v>
                </c:pt>
                <c:pt idx="5988">
                  <c:v>-326245.23744</c:v>
                </c:pt>
                <c:pt idx="5989">
                  <c:v>-326002.220855</c:v>
                </c:pt>
                <c:pt idx="5990">
                  <c:v>-325759.325</c:v>
                </c:pt>
                <c:pt idx="5991">
                  <c:v>-325516.54984500003</c:v>
                </c:pt>
                <c:pt idx="5992">
                  <c:v>-325273.89535999997</c:v>
                </c:pt>
                <c:pt idx="5993">
                  <c:v>-325031.36151499994</c:v>
                </c:pt>
                <c:pt idx="5994">
                  <c:v>-324788.94828</c:v>
                </c:pt>
                <c:pt idx="5995">
                  <c:v>-324546.655625</c:v>
                </c:pt>
                <c:pt idx="5996">
                  <c:v>-324304.48352</c:v>
                </c:pt>
                <c:pt idx="5997">
                  <c:v>-324062.431935</c:v>
                </c:pt>
                <c:pt idx="5998">
                  <c:v>-323820.50084000005</c:v>
                </c:pt>
                <c:pt idx="5999">
                  <c:v>-323578.690205</c:v>
                </c:pt>
                <c:pt idx="6000">
                  <c:v>-323337.0</c:v>
                </c:pt>
                <c:pt idx="6001">
                  <c:v>-323095.43019499996</c:v>
                </c:pt>
                <c:pt idx="6002">
                  <c:v>-322853.98076</c:v>
                </c:pt>
                <c:pt idx="6003">
                  <c:v>-322612.651665</c:v>
                </c:pt>
                <c:pt idx="6004">
                  <c:v>-322371.44288</c:v>
                </c:pt>
                <c:pt idx="6005">
                  <c:v>-322130.354375</c:v>
                </c:pt>
                <c:pt idx="6006">
                  <c:v>-321889.38612</c:v>
                </c:pt>
                <c:pt idx="6007">
                  <c:v>-321648.538085</c:v>
                </c:pt>
                <c:pt idx="6008">
                  <c:v>-321407.81024</c:v>
                </c:pt>
                <c:pt idx="6009">
                  <c:v>-321167.20255499997</c:v>
                </c:pt>
                <c:pt idx="6010">
                  <c:v>-320926.715</c:v>
                </c:pt>
                <c:pt idx="6011">
                  <c:v>-320686.34754499997</c:v>
                </c:pt>
                <c:pt idx="6012">
                  <c:v>-320446.10016</c:v>
                </c:pt>
                <c:pt idx="6013">
                  <c:v>-320205.972815</c:v>
                </c:pt>
                <c:pt idx="6014">
                  <c:v>-319965.96548</c:v>
                </c:pt>
                <c:pt idx="6015">
                  <c:v>-319726.078125</c:v>
                </c:pt>
                <c:pt idx="6016">
                  <c:v>-319486.31071999995</c:v>
                </c:pt>
                <c:pt idx="6017">
                  <c:v>-319246.663235</c:v>
                </c:pt>
                <c:pt idx="6018">
                  <c:v>-319007.13564000005</c:v>
                </c:pt>
                <c:pt idx="6019">
                  <c:v>-318767.72790500004</c:v>
                </c:pt>
                <c:pt idx="6020">
                  <c:v>-318528.44</c:v>
                </c:pt>
                <c:pt idx="6021">
                  <c:v>-318289.271895</c:v>
                </c:pt>
                <c:pt idx="6022">
                  <c:v>-318050.22356</c:v>
                </c:pt>
                <c:pt idx="6023">
                  <c:v>-317811.294965</c:v>
                </c:pt>
                <c:pt idx="6024">
                  <c:v>-317572.48608</c:v>
                </c:pt>
                <c:pt idx="6025">
                  <c:v>-317333.796875</c:v>
                </c:pt>
                <c:pt idx="6026">
                  <c:v>-317095.22732</c:v>
                </c:pt>
                <c:pt idx="6027">
                  <c:v>-316856.777385</c:v>
                </c:pt>
                <c:pt idx="6028">
                  <c:v>-316618.44704</c:v>
                </c:pt>
                <c:pt idx="6029">
                  <c:v>-316380.236255</c:v>
                </c:pt>
                <c:pt idx="6030">
                  <c:v>-316142.145</c:v>
                </c:pt>
                <c:pt idx="6031">
                  <c:v>-315904.173245</c:v>
                </c:pt>
                <c:pt idx="6032">
                  <c:v>-315666.32096</c:v>
                </c:pt>
                <c:pt idx="6033">
                  <c:v>-315428.588115</c:v>
                </c:pt>
                <c:pt idx="6034">
                  <c:v>-315190.97468</c:v>
                </c:pt>
                <c:pt idx="6035">
                  <c:v>-314953.48062499997</c:v>
                </c:pt>
                <c:pt idx="6036">
                  <c:v>-314716.10592</c:v>
                </c:pt>
                <c:pt idx="6037">
                  <c:v>-314478.85053500003</c:v>
                </c:pt>
                <c:pt idx="6038">
                  <c:v>-314241.71444</c:v>
                </c:pt>
                <c:pt idx="6039">
                  <c:v>-314004.697605</c:v>
                </c:pt>
                <c:pt idx="6040">
                  <c:v>-313767.8</c:v>
                </c:pt>
                <c:pt idx="6041">
                  <c:v>-313531.021595</c:v>
                </c:pt>
                <c:pt idx="6042">
                  <c:v>-313294.36236</c:v>
                </c:pt>
                <c:pt idx="6043">
                  <c:v>-313057.822265</c:v>
                </c:pt>
                <c:pt idx="6044">
                  <c:v>-312821.40128</c:v>
                </c:pt>
                <c:pt idx="6045">
                  <c:v>-312585.099375</c:v>
                </c:pt>
                <c:pt idx="6046">
                  <c:v>-312348.91651999997</c:v>
                </c:pt>
                <c:pt idx="6047">
                  <c:v>-312112.852685</c:v>
                </c:pt>
                <c:pt idx="6048">
                  <c:v>-311876.90784</c:v>
                </c:pt>
                <c:pt idx="6049">
                  <c:v>-311641.08195499994</c:v>
                </c:pt>
                <c:pt idx="6050">
                  <c:v>-311405.375</c:v>
                </c:pt>
                <c:pt idx="6051">
                  <c:v>-311169.786945</c:v>
                </c:pt>
                <c:pt idx="6052">
                  <c:v>-310934.31776</c:v>
                </c:pt>
                <c:pt idx="6053">
                  <c:v>-310698.96741499996</c:v>
                </c:pt>
                <c:pt idx="6054">
                  <c:v>-310463.73588</c:v>
                </c:pt>
                <c:pt idx="6055">
                  <c:v>-310228.623125</c:v>
                </c:pt>
                <c:pt idx="6056">
                  <c:v>-309993.62912</c:v>
                </c:pt>
                <c:pt idx="6057">
                  <c:v>-309758.75383500004</c:v>
                </c:pt>
                <c:pt idx="6058">
                  <c:v>-309523.99724</c:v>
                </c:pt>
                <c:pt idx="6059">
                  <c:v>-309289.359305</c:v>
                </c:pt>
                <c:pt idx="6060">
                  <c:v>-309054.84</c:v>
                </c:pt>
                <c:pt idx="6061">
                  <c:v>-308820.439295</c:v>
                </c:pt>
                <c:pt idx="6062">
                  <c:v>-308586.15716</c:v>
                </c:pt>
                <c:pt idx="6063">
                  <c:v>-308351.993565</c:v>
                </c:pt>
                <c:pt idx="6064">
                  <c:v>-308117.94848</c:v>
                </c:pt>
                <c:pt idx="6065">
                  <c:v>-307884.021875</c:v>
                </c:pt>
                <c:pt idx="6066">
                  <c:v>-307650.21372</c:v>
                </c:pt>
                <c:pt idx="6067">
                  <c:v>-307416.523985</c:v>
                </c:pt>
                <c:pt idx="6068">
                  <c:v>-307182.95264</c:v>
                </c:pt>
                <c:pt idx="6069">
                  <c:v>-306949.499655</c:v>
                </c:pt>
                <c:pt idx="6070">
                  <c:v>-306716.165</c:v>
                </c:pt>
                <c:pt idx="6071">
                  <c:v>-306482.94864500005</c:v>
                </c:pt>
                <c:pt idx="6072">
                  <c:v>-306249.85056</c:v>
                </c:pt>
                <c:pt idx="6073">
                  <c:v>-306016.870715</c:v>
                </c:pt>
                <c:pt idx="6074">
                  <c:v>-305784.00908000005</c:v>
                </c:pt>
                <c:pt idx="6075">
                  <c:v>-305551.265625</c:v>
                </c:pt>
                <c:pt idx="6076">
                  <c:v>-305318.64032</c:v>
                </c:pt>
                <c:pt idx="6077">
                  <c:v>-305086.133135</c:v>
                </c:pt>
                <c:pt idx="6078">
                  <c:v>-304853.74404</c:v>
                </c:pt>
                <c:pt idx="6079">
                  <c:v>-304621.47300500004</c:v>
                </c:pt>
                <c:pt idx="6080">
                  <c:v>-304389.32</c:v>
                </c:pt>
                <c:pt idx="6081">
                  <c:v>-304157.284995</c:v>
                </c:pt>
                <c:pt idx="6082">
                  <c:v>-303925.36796</c:v>
                </c:pt>
                <c:pt idx="6083">
                  <c:v>-303693.568865</c:v>
                </c:pt>
                <c:pt idx="6084">
                  <c:v>-303461.88768</c:v>
                </c:pt>
                <c:pt idx="6085">
                  <c:v>-303230.324375</c:v>
                </c:pt>
                <c:pt idx="6086">
                  <c:v>-302998.87892</c:v>
                </c:pt>
                <c:pt idx="6087">
                  <c:v>-302767.551285</c:v>
                </c:pt>
                <c:pt idx="6088">
                  <c:v>-302536.34144</c:v>
                </c:pt>
                <c:pt idx="6089">
                  <c:v>-302305.249355</c:v>
                </c:pt>
                <c:pt idx="6090">
                  <c:v>-302074.275</c:v>
                </c:pt>
                <c:pt idx="6091">
                  <c:v>-301843.418345</c:v>
                </c:pt>
                <c:pt idx="6092">
                  <c:v>-301612.67936</c:v>
                </c:pt>
                <c:pt idx="6093">
                  <c:v>-301382.05801499996</c:v>
                </c:pt>
                <c:pt idx="6094">
                  <c:v>-301151.55428000004</c:v>
                </c:pt>
                <c:pt idx="6095">
                  <c:v>-300921.16812499997</c:v>
                </c:pt>
                <c:pt idx="6096">
                  <c:v>-300690.89952000004</c:v>
                </c:pt>
                <c:pt idx="6097">
                  <c:v>-300460.74843499996</c:v>
                </c:pt>
                <c:pt idx="6098">
                  <c:v>-300230.71484</c:v>
                </c:pt>
                <c:pt idx="6099">
                  <c:v>-300000.798705</c:v>
                </c:pt>
                <c:pt idx="6100">
                  <c:v>-299771.0</c:v>
                </c:pt>
                <c:pt idx="6101">
                  <c:v>-299541.318695</c:v>
                </c:pt>
                <c:pt idx="6102">
                  <c:v>-299311.75476</c:v>
                </c:pt>
                <c:pt idx="6103">
                  <c:v>-299082.30816500005</c:v>
                </c:pt>
                <c:pt idx="6104">
                  <c:v>-298852.97888</c:v>
                </c:pt>
                <c:pt idx="6105">
                  <c:v>-298623.766875</c:v>
                </c:pt>
                <c:pt idx="6106">
                  <c:v>-298394.67212</c:v>
                </c:pt>
                <c:pt idx="6107">
                  <c:v>-298165.694585</c:v>
                </c:pt>
                <c:pt idx="6108">
                  <c:v>-297936.83424</c:v>
                </c:pt>
                <c:pt idx="6109">
                  <c:v>-297708.09105499997</c:v>
                </c:pt>
                <c:pt idx="6110">
                  <c:v>-297479.46499999997</c:v>
                </c:pt>
                <c:pt idx="6111">
                  <c:v>-297250.956045</c:v>
                </c:pt>
                <c:pt idx="6112">
                  <c:v>-297022.56416</c:v>
                </c:pt>
                <c:pt idx="6113">
                  <c:v>-296794.289315</c:v>
                </c:pt>
                <c:pt idx="6114">
                  <c:v>-296566.13148000004</c:v>
                </c:pt>
                <c:pt idx="6115">
                  <c:v>-296338.090625</c:v>
                </c:pt>
                <c:pt idx="6116">
                  <c:v>-296110.16672000004</c:v>
                </c:pt>
                <c:pt idx="6117">
                  <c:v>-295882.359735</c:v>
                </c:pt>
                <c:pt idx="6118">
                  <c:v>-295654.66964</c:v>
                </c:pt>
                <c:pt idx="6119">
                  <c:v>-295427.096405</c:v>
                </c:pt>
                <c:pt idx="6120">
                  <c:v>-295199.64</c:v>
                </c:pt>
                <c:pt idx="6121">
                  <c:v>-294972.30039499997</c:v>
                </c:pt>
                <c:pt idx="6122">
                  <c:v>-294745.07756</c:v>
                </c:pt>
                <c:pt idx="6123">
                  <c:v>-294517.971465</c:v>
                </c:pt>
                <c:pt idx="6124">
                  <c:v>-294290.98208</c:v>
                </c:pt>
                <c:pt idx="6125">
                  <c:v>-294064.109375</c:v>
                </c:pt>
                <c:pt idx="6126">
                  <c:v>-293837.35332</c:v>
                </c:pt>
                <c:pt idx="6127">
                  <c:v>-293610.71388500003</c:v>
                </c:pt>
                <c:pt idx="6128">
                  <c:v>-293384.19104</c:v>
                </c:pt>
                <c:pt idx="6129">
                  <c:v>-293157.78475500003</c:v>
                </c:pt>
                <c:pt idx="6130">
                  <c:v>-292931.495</c:v>
                </c:pt>
                <c:pt idx="6131">
                  <c:v>-292705.321745</c:v>
                </c:pt>
                <c:pt idx="6132">
                  <c:v>-292479.26496</c:v>
                </c:pt>
                <c:pt idx="6133">
                  <c:v>-292253.324615</c:v>
                </c:pt>
                <c:pt idx="6134">
                  <c:v>-292027.50068</c:v>
                </c:pt>
                <c:pt idx="6135">
                  <c:v>-291801.793125</c:v>
                </c:pt>
                <c:pt idx="6136">
                  <c:v>-291576.20192</c:v>
                </c:pt>
                <c:pt idx="6137">
                  <c:v>-291350.72703500005</c:v>
                </c:pt>
                <c:pt idx="6138">
                  <c:v>-291125.36844</c:v>
                </c:pt>
                <c:pt idx="6139">
                  <c:v>-290900.12610500003</c:v>
                </c:pt>
                <c:pt idx="6140">
                  <c:v>-290675.0</c:v>
                </c:pt>
                <c:pt idx="6141">
                  <c:v>-290449.990095</c:v>
                </c:pt>
                <c:pt idx="6142">
                  <c:v>-290225.09636</c:v>
                </c:pt>
                <c:pt idx="6143">
                  <c:v>-290000.318765</c:v>
                </c:pt>
                <c:pt idx="6144">
                  <c:v>-289775.65728</c:v>
                </c:pt>
                <c:pt idx="6145">
                  <c:v>-289551.111875</c:v>
                </c:pt>
                <c:pt idx="6146">
                  <c:v>-289326.68252000003</c:v>
                </c:pt>
                <c:pt idx="6147">
                  <c:v>-289102.36918499996</c:v>
                </c:pt>
                <c:pt idx="6148">
                  <c:v>-288878.17184</c:v>
                </c:pt>
                <c:pt idx="6149">
                  <c:v>-288654.090455</c:v>
                </c:pt>
                <c:pt idx="6150">
                  <c:v>-288430.125</c:v>
                </c:pt>
                <c:pt idx="6151">
                  <c:v>-288206.275445</c:v>
                </c:pt>
                <c:pt idx="6152">
                  <c:v>-287982.54176</c:v>
                </c:pt>
                <c:pt idx="6153">
                  <c:v>-287758.923915</c:v>
                </c:pt>
                <c:pt idx="6154">
                  <c:v>-287535.42188</c:v>
                </c:pt>
                <c:pt idx="6155">
                  <c:v>-287312.035625</c:v>
                </c:pt>
                <c:pt idx="6156">
                  <c:v>-287088.76512</c:v>
                </c:pt>
                <c:pt idx="6157">
                  <c:v>-286865.610335</c:v>
                </c:pt>
                <c:pt idx="6158">
                  <c:v>-286642.57123999996</c:v>
                </c:pt>
                <c:pt idx="6159">
                  <c:v>-286419.647805</c:v>
                </c:pt>
                <c:pt idx="6160">
                  <c:v>-286196.83999999997</c:v>
                </c:pt>
                <c:pt idx="6161">
                  <c:v>-285974.147795</c:v>
                </c:pt>
                <c:pt idx="6162">
                  <c:v>-285751.57116000005</c:v>
                </c:pt>
                <c:pt idx="6163">
                  <c:v>-285529.110065</c:v>
                </c:pt>
                <c:pt idx="6164">
                  <c:v>-285306.76448</c:v>
                </c:pt>
                <c:pt idx="6165">
                  <c:v>-285084.534375</c:v>
                </c:pt>
                <c:pt idx="6166">
                  <c:v>-284862.41972</c:v>
                </c:pt>
                <c:pt idx="6167">
                  <c:v>-284640.420485</c:v>
                </c:pt>
                <c:pt idx="6168">
                  <c:v>-284418.53664</c:v>
                </c:pt>
                <c:pt idx="6169">
                  <c:v>-284196.768155</c:v>
                </c:pt>
                <c:pt idx="6170">
                  <c:v>-283975.115</c:v>
                </c:pt>
                <c:pt idx="6171">
                  <c:v>-283753.577145</c:v>
                </c:pt>
                <c:pt idx="6172">
                  <c:v>-283532.15456</c:v>
                </c:pt>
                <c:pt idx="6173">
                  <c:v>-283310.84721499996</c:v>
                </c:pt>
                <c:pt idx="6174">
                  <c:v>-283089.65508</c:v>
                </c:pt>
                <c:pt idx="6175">
                  <c:v>-282868.578125</c:v>
                </c:pt>
                <c:pt idx="6176">
                  <c:v>-282647.61632</c:v>
                </c:pt>
                <c:pt idx="6177">
                  <c:v>-282426.769635</c:v>
                </c:pt>
                <c:pt idx="6178">
                  <c:v>-282206.03804</c:v>
                </c:pt>
                <c:pt idx="6179">
                  <c:v>-281985.421505</c:v>
                </c:pt>
                <c:pt idx="6180">
                  <c:v>-281764.92</c:v>
                </c:pt>
                <c:pt idx="6181">
                  <c:v>-281544.533495</c:v>
                </c:pt>
                <c:pt idx="6182">
                  <c:v>-281324.26196</c:v>
                </c:pt>
                <c:pt idx="6183">
                  <c:v>-281104.105365</c:v>
                </c:pt>
                <c:pt idx="6184">
                  <c:v>-280884.06368</c:v>
                </c:pt>
                <c:pt idx="6185">
                  <c:v>-280664.136875</c:v>
                </c:pt>
                <c:pt idx="6186">
                  <c:v>-280444.32492000004</c:v>
                </c:pt>
                <c:pt idx="6187">
                  <c:v>-280224.62778499996</c:v>
                </c:pt>
                <c:pt idx="6188">
                  <c:v>-280005.04544</c:v>
                </c:pt>
                <c:pt idx="6189">
                  <c:v>-279785.57785500004</c:v>
                </c:pt>
                <c:pt idx="6190">
                  <c:v>-279566.225</c:v>
                </c:pt>
                <c:pt idx="6191">
                  <c:v>-279346.98684500006</c:v>
                </c:pt>
                <c:pt idx="6192">
                  <c:v>-279127.86336</c:v>
                </c:pt>
                <c:pt idx="6193">
                  <c:v>-278908.854515</c:v>
                </c:pt>
                <c:pt idx="6194">
                  <c:v>-278689.96028</c:v>
                </c:pt>
                <c:pt idx="6195">
                  <c:v>-278471.180625</c:v>
                </c:pt>
                <c:pt idx="6196">
                  <c:v>-278252.51551999996</c:v>
                </c:pt>
                <c:pt idx="6197">
                  <c:v>-278033.96493500005</c:v>
                </c:pt>
                <c:pt idx="6198">
                  <c:v>-277815.52884</c:v>
                </c:pt>
                <c:pt idx="6199">
                  <c:v>-277597.207205</c:v>
                </c:pt>
                <c:pt idx="6200">
                  <c:v>-277379.0</c:v>
                </c:pt>
                <c:pt idx="6201">
                  <c:v>-277160.907195</c:v>
                </c:pt>
                <c:pt idx="6202">
                  <c:v>-276942.92876</c:v>
                </c:pt>
                <c:pt idx="6203">
                  <c:v>-276725.06466499995</c:v>
                </c:pt>
                <c:pt idx="6204">
                  <c:v>-276507.31488</c:v>
                </c:pt>
                <c:pt idx="6205">
                  <c:v>-276289.679375</c:v>
                </c:pt>
                <c:pt idx="6206">
                  <c:v>-276072.15812000004</c:v>
                </c:pt>
                <c:pt idx="6207">
                  <c:v>-275854.751085</c:v>
                </c:pt>
                <c:pt idx="6208">
                  <c:v>-275637.45824</c:v>
                </c:pt>
                <c:pt idx="6209">
                  <c:v>-275420.279555</c:v>
                </c:pt>
                <c:pt idx="6210">
                  <c:v>-275203.215</c:v>
                </c:pt>
                <c:pt idx="6211">
                  <c:v>-274986.264545</c:v>
                </c:pt>
                <c:pt idx="6212">
                  <c:v>-274769.42815999995</c:v>
                </c:pt>
                <c:pt idx="6213">
                  <c:v>-274552.705815</c:v>
                </c:pt>
                <c:pt idx="6214">
                  <c:v>-274336.09748</c:v>
                </c:pt>
                <c:pt idx="6215">
                  <c:v>-274119.603125</c:v>
                </c:pt>
                <c:pt idx="6216">
                  <c:v>-273903.22272</c:v>
                </c:pt>
                <c:pt idx="6217">
                  <c:v>-273686.95623500005</c:v>
                </c:pt>
                <c:pt idx="6218">
                  <c:v>-273470.80364</c:v>
                </c:pt>
                <c:pt idx="6219">
                  <c:v>-273254.764905</c:v>
                </c:pt>
                <c:pt idx="6220">
                  <c:v>-273038.84</c:v>
                </c:pt>
                <c:pt idx="6221">
                  <c:v>-272823.02889499994</c:v>
                </c:pt>
                <c:pt idx="6222">
                  <c:v>-272607.33156</c:v>
                </c:pt>
                <c:pt idx="6223">
                  <c:v>-272391.747965</c:v>
                </c:pt>
                <c:pt idx="6224">
                  <c:v>-272176.27808</c:v>
                </c:pt>
                <c:pt idx="6225">
                  <c:v>-271960.921875</c:v>
                </c:pt>
                <c:pt idx="6226">
                  <c:v>-271745.67932</c:v>
                </c:pt>
                <c:pt idx="6227">
                  <c:v>-271530.550385</c:v>
                </c:pt>
                <c:pt idx="6228">
                  <c:v>-271315.53504</c:v>
                </c:pt>
                <c:pt idx="6229">
                  <c:v>-271100.63325500005</c:v>
                </c:pt>
                <c:pt idx="6230">
                  <c:v>-270885.845</c:v>
                </c:pt>
                <c:pt idx="6231">
                  <c:v>-270671.170245</c:v>
                </c:pt>
                <c:pt idx="6232">
                  <c:v>-270456.60896000004</c:v>
                </c:pt>
                <c:pt idx="6233">
                  <c:v>-270242.16111499997</c:v>
                </c:pt>
                <c:pt idx="6234">
                  <c:v>-270027.82668</c:v>
                </c:pt>
                <c:pt idx="6235">
                  <c:v>-269813.60562499997</c:v>
                </c:pt>
                <c:pt idx="6236">
                  <c:v>-269599.49792</c:v>
                </c:pt>
                <c:pt idx="6237">
                  <c:v>-269385.50353499997</c:v>
                </c:pt>
                <c:pt idx="6238">
                  <c:v>-269171.62244</c:v>
                </c:pt>
                <c:pt idx="6239">
                  <c:v>-268957.854605</c:v>
                </c:pt>
                <c:pt idx="6240">
                  <c:v>-268744.2</c:v>
                </c:pt>
                <c:pt idx="6241">
                  <c:v>-268530.65859500004</c:v>
                </c:pt>
                <c:pt idx="6242">
                  <c:v>-268317.23036</c:v>
                </c:pt>
                <c:pt idx="6243">
                  <c:v>-268103.915265</c:v>
                </c:pt>
                <c:pt idx="6244">
                  <c:v>-267890.71328</c:v>
                </c:pt>
                <c:pt idx="6245">
                  <c:v>-267677.624375</c:v>
                </c:pt>
                <c:pt idx="6246">
                  <c:v>-267464.64852</c:v>
                </c:pt>
                <c:pt idx="6247">
                  <c:v>-267251.785685</c:v>
                </c:pt>
                <c:pt idx="6248">
                  <c:v>-267039.03583999997</c:v>
                </c:pt>
                <c:pt idx="6249">
                  <c:v>-266826.39895500004</c:v>
                </c:pt>
                <c:pt idx="6250">
                  <c:v>-266613.875</c:v>
                </c:pt>
                <c:pt idx="6251">
                  <c:v>-266401.463945</c:v>
                </c:pt>
                <c:pt idx="6252">
                  <c:v>-266189.16576</c:v>
                </c:pt>
                <c:pt idx="6253">
                  <c:v>-265976.98041500006</c:v>
                </c:pt>
                <c:pt idx="6254">
                  <c:v>-265764.90788</c:v>
                </c:pt>
                <c:pt idx="6255">
                  <c:v>-265552.948125</c:v>
                </c:pt>
                <c:pt idx="6256">
                  <c:v>-265341.10112</c:v>
                </c:pt>
                <c:pt idx="6257">
                  <c:v>-265129.366835</c:v>
                </c:pt>
                <c:pt idx="6258">
                  <c:v>-264917.74524</c:v>
                </c:pt>
                <c:pt idx="6259">
                  <c:v>-264706.236305</c:v>
                </c:pt>
                <c:pt idx="6260">
                  <c:v>-264494.84</c:v>
                </c:pt>
                <c:pt idx="6261">
                  <c:v>-264283.556295</c:v>
                </c:pt>
                <c:pt idx="6262">
                  <c:v>-264072.38516</c:v>
                </c:pt>
                <c:pt idx="6263">
                  <c:v>-263861.326565</c:v>
                </c:pt>
                <c:pt idx="6264">
                  <c:v>-263650.38048</c:v>
                </c:pt>
                <c:pt idx="6265">
                  <c:v>-263439.546875</c:v>
                </c:pt>
                <c:pt idx="6266">
                  <c:v>-263228.82572</c:v>
                </c:pt>
                <c:pt idx="6267">
                  <c:v>-263018.216985</c:v>
                </c:pt>
                <c:pt idx="6268">
                  <c:v>-262807.72063999996</c:v>
                </c:pt>
                <c:pt idx="6269">
                  <c:v>-262597.336655</c:v>
                </c:pt>
                <c:pt idx="6270">
                  <c:v>-262387.065</c:v>
                </c:pt>
                <c:pt idx="6271">
                  <c:v>-262176.905645</c:v>
                </c:pt>
                <c:pt idx="6272">
                  <c:v>-261966.85856000002</c:v>
                </c:pt>
                <c:pt idx="6273">
                  <c:v>-261756.92371499998</c:v>
                </c:pt>
                <c:pt idx="6274">
                  <c:v>-261547.10108000002</c:v>
                </c:pt>
                <c:pt idx="6275">
                  <c:v>-261337.390625</c:v>
                </c:pt>
                <c:pt idx="6276">
                  <c:v>-261127.79232</c:v>
                </c:pt>
                <c:pt idx="6277">
                  <c:v>-260918.30613499996</c:v>
                </c:pt>
                <c:pt idx="6278">
                  <c:v>-260708.93203999999</c:v>
                </c:pt>
                <c:pt idx="6279">
                  <c:v>-260499.67000500002</c:v>
                </c:pt>
                <c:pt idx="6280">
                  <c:v>-260290.52000000002</c:v>
                </c:pt>
                <c:pt idx="6281">
                  <c:v>-260081.481995</c:v>
                </c:pt>
                <c:pt idx="6282">
                  <c:v>-259872.55596</c:v>
                </c:pt>
                <c:pt idx="6283">
                  <c:v>-259663.741865</c:v>
                </c:pt>
                <c:pt idx="6284">
                  <c:v>-259455.03968000002</c:v>
                </c:pt>
                <c:pt idx="6285">
                  <c:v>-259246.449375</c:v>
                </c:pt>
                <c:pt idx="6286">
                  <c:v>-259037.97092</c:v>
                </c:pt>
                <c:pt idx="6287">
                  <c:v>-258829.604285</c:v>
                </c:pt>
                <c:pt idx="6288">
                  <c:v>-258621.34944</c:v>
                </c:pt>
                <c:pt idx="6289">
                  <c:v>-258413.206355</c:v>
                </c:pt>
                <c:pt idx="6290">
                  <c:v>-258205.175</c:v>
                </c:pt>
                <c:pt idx="6291">
                  <c:v>-257997.25534499998</c:v>
                </c:pt>
                <c:pt idx="6292">
                  <c:v>-257789.44736000002</c:v>
                </c:pt>
                <c:pt idx="6293">
                  <c:v>-257581.75101500002</c:v>
                </c:pt>
                <c:pt idx="6294">
                  <c:v>-257374.16628</c:v>
                </c:pt>
                <c:pt idx="6295">
                  <c:v>-257166.69312500002</c:v>
                </c:pt>
                <c:pt idx="6296">
                  <c:v>-256959.33152</c:v>
                </c:pt>
                <c:pt idx="6297">
                  <c:v>-256752.081435</c:v>
                </c:pt>
                <c:pt idx="6298">
                  <c:v>-256544.94283999997</c:v>
                </c:pt>
                <c:pt idx="6299">
                  <c:v>-256337.915705</c:v>
                </c:pt>
                <c:pt idx="6300">
                  <c:v>-256131.0</c:v>
                </c:pt>
                <c:pt idx="6301">
                  <c:v>-255924.195695</c:v>
                </c:pt>
                <c:pt idx="6302">
                  <c:v>-255717.50276</c:v>
                </c:pt>
                <c:pt idx="6303">
                  <c:v>-255510.921165</c:v>
                </c:pt>
                <c:pt idx="6304">
                  <c:v>-255304.45088</c:v>
                </c:pt>
                <c:pt idx="6305">
                  <c:v>-255098.091875</c:v>
                </c:pt>
                <c:pt idx="6306">
                  <c:v>-254891.84412</c:v>
                </c:pt>
                <c:pt idx="6307">
                  <c:v>-254685.707585</c:v>
                </c:pt>
                <c:pt idx="6308">
                  <c:v>-254479.68224</c:v>
                </c:pt>
                <c:pt idx="6309">
                  <c:v>-254273.76805500002</c:v>
                </c:pt>
                <c:pt idx="6310">
                  <c:v>-254067.965</c:v>
                </c:pt>
                <c:pt idx="6311">
                  <c:v>-253862.273045</c:v>
                </c:pt>
                <c:pt idx="6312">
                  <c:v>-253656.69216</c:v>
                </c:pt>
                <c:pt idx="6313">
                  <c:v>-253451.22231499996</c:v>
                </c:pt>
                <c:pt idx="6314">
                  <c:v>-253245.86348</c:v>
                </c:pt>
                <c:pt idx="6315">
                  <c:v>-253040.615625</c:v>
                </c:pt>
                <c:pt idx="6316">
                  <c:v>-252835.47871999998</c:v>
                </c:pt>
                <c:pt idx="6317">
                  <c:v>-252630.452735</c:v>
                </c:pt>
                <c:pt idx="6318">
                  <c:v>-252425.53764</c:v>
                </c:pt>
                <c:pt idx="6319">
                  <c:v>-252220.73340499998</c:v>
                </c:pt>
                <c:pt idx="6320">
                  <c:v>-252016.04</c:v>
                </c:pt>
                <c:pt idx="6321">
                  <c:v>-251811.457395</c:v>
                </c:pt>
                <c:pt idx="6322">
                  <c:v>-251606.98556</c:v>
                </c:pt>
                <c:pt idx="6323">
                  <c:v>-251402.624465</c:v>
                </c:pt>
                <c:pt idx="6324">
                  <c:v>-251198.37408</c:v>
                </c:pt>
                <c:pt idx="6325">
                  <c:v>-250994.234375</c:v>
                </c:pt>
                <c:pt idx="6326">
                  <c:v>-250790.20532</c:v>
                </c:pt>
                <c:pt idx="6327">
                  <c:v>-250586.28688499998</c:v>
                </c:pt>
                <c:pt idx="6328">
                  <c:v>-250382.47904</c:v>
                </c:pt>
                <c:pt idx="6329">
                  <c:v>-250178.781755</c:v>
                </c:pt>
                <c:pt idx="6330">
                  <c:v>-249975.19499999998</c:v>
                </c:pt>
                <c:pt idx="6331">
                  <c:v>-249771.718745</c:v>
                </c:pt>
                <c:pt idx="6332">
                  <c:v>-249568.35296000002</c:v>
                </c:pt>
                <c:pt idx="6333">
                  <c:v>-249365.097615</c:v>
                </c:pt>
                <c:pt idx="6334">
                  <c:v>-249161.95268000002</c:v>
                </c:pt>
                <c:pt idx="6335">
                  <c:v>-248958.918125</c:v>
                </c:pt>
                <c:pt idx="6336">
                  <c:v>-248755.99392</c:v>
                </c:pt>
                <c:pt idx="6337">
                  <c:v>-248553.180035</c:v>
                </c:pt>
                <c:pt idx="6338">
                  <c:v>-248350.47644</c:v>
                </c:pt>
                <c:pt idx="6339">
                  <c:v>-248147.883105</c:v>
                </c:pt>
                <c:pt idx="6340">
                  <c:v>-247945.40000000002</c:v>
                </c:pt>
                <c:pt idx="6341">
                  <c:v>-247743.027095</c:v>
                </c:pt>
                <c:pt idx="6342">
                  <c:v>-247540.76436</c:v>
                </c:pt>
                <c:pt idx="6343">
                  <c:v>-247338.611765</c:v>
                </c:pt>
                <c:pt idx="6344">
                  <c:v>-247136.56928</c:v>
                </c:pt>
                <c:pt idx="6345">
                  <c:v>-246934.636875</c:v>
                </c:pt>
                <c:pt idx="6346">
                  <c:v>-246732.81452</c:v>
                </c:pt>
                <c:pt idx="6347">
                  <c:v>-246531.102185</c:v>
                </c:pt>
                <c:pt idx="6348">
                  <c:v>-246329.49984</c:v>
                </c:pt>
                <c:pt idx="6349">
                  <c:v>-246128.007455</c:v>
                </c:pt>
                <c:pt idx="6350">
                  <c:v>-245926.625</c:v>
                </c:pt>
                <c:pt idx="6351">
                  <c:v>-245725.352445</c:v>
                </c:pt>
                <c:pt idx="6352">
                  <c:v>-245524.18975999998</c:v>
                </c:pt>
                <c:pt idx="6353">
                  <c:v>-245323.136915</c:v>
                </c:pt>
                <c:pt idx="6354">
                  <c:v>-245122.19387999998</c:v>
                </c:pt>
                <c:pt idx="6355">
                  <c:v>-244921.360625</c:v>
                </c:pt>
                <c:pt idx="6356">
                  <c:v>-244720.63712</c:v>
                </c:pt>
                <c:pt idx="6357">
                  <c:v>-244520.023335</c:v>
                </c:pt>
                <c:pt idx="6358">
                  <c:v>-244319.51924</c:v>
                </c:pt>
                <c:pt idx="6359">
                  <c:v>-244119.124805</c:v>
                </c:pt>
                <c:pt idx="6360">
                  <c:v>-243918.84</c:v>
                </c:pt>
                <c:pt idx="6361">
                  <c:v>-243718.66479500002</c:v>
                </c:pt>
                <c:pt idx="6362">
                  <c:v>-243518.59916</c:v>
                </c:pt>
                <c:pt idx="6363">
                  <c:v>-243318.64306499998</c:v>
                </c:pt>
                <c:pt idx="6364">
                  <c:v>-243118.79648000002</c:v>
                </c:pt>
                <c:pt idx="6365">
                  <c:v>-242919.059375</c:v>
                </c:pt>
                <c:pt idx="6366">
                  <c:v>-242719.43172000002</c:v>
                </c:pt>
                <c:pt idx="6367">
                  <c:v>-242519.91348499997</c:v>
                </c:pt>
                <c:pt idx="6368">
                  <c:v>-242320.50464</c:v>
                </c:pt>
                <c:pt idx="6369">
                  <c:v>-242121.20515499997</c:v>
                </c:pt>
                <c:pt idx="6370">
                  <c:v>-241922.015</c:v>
                </c:pt>
                <c:pt idx="6371">
                  <c:v>-241722.934145</c:v>
                </c:pt>
                <c:pt idx="6372">
                  <c:v>-241523.96255999999</c:v>
                </c:pt>
                <c:pt idx="6373">
                  <c:v>-241325.100215</c:v>
                </c:pt>
                <c:pt idx="6374">
                  <c:v>-241126.34707999998</c:v>
                </c:pt>
                <c:pt idx="6375">
                  <c:v>-240927.703125</c:v>
                </c:pt>
                <c:pt idx="6376">
                  <c:v>-240729.16832</c:v>
                </c:pt>
                <c:pt idx="6377">
                  <c:v>-240530.742635</c:v>
                </c:pt>
                <c:pt idx="6378">
                  <c:v>-240332.42604000002</c:v>
                </c:pt>
                <c:pt idx="6379">
                  <c:v>-240134.218505</c:v>
                </c:pt>
                <c:pt idx="6380">
                  <c:v>-239936.12</c:v>
                </c:pt>
                <c:pt idx="6381">
                  <c:v>-239738.130495</c:v>
                </c:pt>
                <c:pt idx="6382">
                  <c:v>-239540.24996000002</c:v>
                </c:pt>
                <c:pt idx="6383">
                  <c:v>-239342.478365</c:v>
                </c:pt>
                <c:pt idx="6384">
                  <c:v>-239144.81568</c:v>
                </c:pt>
                <c:pt idx="6385">
                  <c:v>-238947.261875</c:v>
                </c:pt>
                <c:pt idx="6386">
                  <c:v>-238749.81691999998</c:v>
                </c:pt>
                <c:pt idx="6387">
                  <c:v>-238552.48078500002</c:v>
                </c:pt>
                <c:pt idx="6388">
                  <c:v>-238355.25344</c:v>
                </c:pt>
                <c:pt idx="6389">
                  <c:v>-238158.13485499998</c:v>
                </c:pt>
                <c:pt idx="6390">
                  <c:v>-237961.125</c:v>
                </c:pt>
                <c:pt idx="6391">
                  <c:v>-237764.223845</c:v>
                </c:pt>
                <c:pt idx="6392">
                  <c:v>-237567.43136000002</c:v>
                </c:pt>
                <c:pt idx="6393">
                  <c:v>-237370.74751500002</c:v>
                </c:pt>
                <c:pt idx="6394">
                  <c:v>-237174.17228</c:v>
                </c:pt>
                <c:pt idx="6395">
                  <c:v>-236977.705625</c:v>
                </c:pt>
                <c:pt idx="6396">
                  <c:v>-236781.34751999998</c:v>
                </c:pt>
                <c:pt idx="6397">
                  <c:v>-236585.097935</c:v>
                </c:pt>
                <c:pt idx="6398">
                  <c:v>-236388.95684</c:v>
                </c:pt>
                <c:pt idx="6399">
                  <c:v>-236192.924205</c:v>
                </c:pt>
                <c:pt idx="6400">
                  <c:v>-235997.0</c:v>
                </c:pt>
                <c:pt idx="6401">
                  <c:v>-235801.184195</c:v>
                </c:pt>
                <c:pt idx="6402">
                  <c:v>-235605.47676000002</c:v>
                </c:pt>
                <c:pt idx="6403">
                  <c:v>-235409.877665</c:v>
                </c:pt>
                <c:pt idx="6404">
                  <c:v>-235214.38688</c:v>
                </c:pt>
                <c:pt idx="6405">
                  <c:v>-235019.004375</c:v>
                </c:pt>
                <c:pt idx="6406">
                  <c:v>-234823.73012</c:v>
                </c:pt>
                <c:pt idx="6407">
                  <c:v>-234628.564085</c:v>
                </c:pt>
                <c:pt idx="6408">
                  <c:v>-234433.50624</c:v>
                </c:pt>
                <c:pt idx="6409">
                  <c:v>-234238.556555</c:v>
                </c:pt>
                <c:pt idx="6410">
                  <c:v>-234043.715</c:v>
                </c:pt>
                <c:pt idx="6411">
                  <c:v>-233848.981545</c:v>
                </c:pt>
                <c:pt idx="6412">
                  <c:v>-233654.35616</c:v>
                </c:pt>
                <c:pt idx="6413">
                  <c:v>-233459.838815</c:v>
                </c:pt>
                <c:pt idx="6414">
                  <c:v>-233265.42948000002</c:v>
                </c:pt>
                <c:pt idx="6415">
                  <c:v>-233071.128125</c:v>
                </c:pt>
                <c:pt idx="6416">
                  <c:v>-232876.93472</c:v>
                </c:pt>
                <c:pt idx="6417">
                  <c:v>-232682.849235</c:v>
                </c:pt>
                <c:pt idx="6418">
                  <c:v>-232488.87164</c:v>
                </c:pt>
                <c:pt idx="6419">
                  <c:v>-232295.001905</c:v>
                </c:pt>
                <c:pt idx="6420">
                  <c:v>-232101.24000000002</c:v>
                </c:pt>
                <c:pt idx="6421">
                  <c:v>-231907.585895</c:v>
                </c:pt>
                <c:pt idx="6422">
                  <c:v>-231714.03955999998</c:v>
                </c:pt>
                <c:pt idx="6423">
                  <c:v>-231520.600965</c:v>
                </c:pt>
                <c:pt idx="6424">
                  <c:v>-231327.27008000002</c:v>
                </c:pt>
                <c:pt idx="6425">
                  <c:v>-231134.046875</c:v>
                </c:pt>
                <c:pt idx="6426">
                  <c:v>-230940.93132</c:v>
                </c:pt>
                <c:pt idx="6427">
                  <c:v>-230747.923385</c:v>
                </c:pt>
                <c:pt idx="6428">
                  <c:v>-230555.02304</c:v>
                </c:pt>
                <c:pt idx="6429">
                  <c:v>-230362.230255</c:v>
                </c:pt>
                <c:pt idx="6430">
                  <c:v>-230169.545</c:v>
                </c:pt>
                <c:pt idx="6431">
                  <c:v>-229976.967245</c:v>
                </c:pt>
                <c:pt idx="6432">
                  <c:v>-229784.49696</c:v>
                </c:pt>
                <c:pt idx="6433">
                  <c:v>-229592.134115</c:v>
                </c:pt>
                <c:pt idx="6434">
                  <c:v>-229399.87868</c:v>
                </c:pt>
                <c:pt idx="6435">
                  <c:v>-229207.730625</c:v>
                </c:pt>
                <c:pt idx="6436">
                  <c:v>-229015.68992</c:v>
                </c:pt>
                <c:pt idx="6437">
                  <c:v>-228823.756535</c:v>
                </c:pt>
                <c:pt idx="6438">
                  <c:v>-228631.93043999997</c:v>
                </c:pt>
                <c:pt idx="6439">
                  <c:v>-228440.211605</c:v>
                </c:pt>
                <c:pt idx="6440">
                  <c:v>-228248.6</c:v>
                </c:pt>
                <c:pt idx="6441">
                  <c:v>-228057.09559500002</c:v>
                </c:pt>
                <c:pt idx="6442">
                  <c:v>-227865.69836</c:v>
                </c:pt>
                <c:pt idx="6443">
                  <c:v>-227674.408265</c:v>
                </c:pt>
                <c:pt idx="6444">
                  <c:v>-227483.22528</c:v>
                </c:pt>
                <c:pt idx="6445">
                  <c:v>-227292.149375</c:v>
                </c:pt>
                <c:pt idx="6446">
                  <c:v>-227101.18052</c:v>
                </c:pt>
                <c:pt idx="6447">
                  <c:v>-226910.31868499998</c:v>
                </c:pt>
                <c:pt idx="6448">
                  <c:v>-226719.56384000002</c:v>
                </c:pt>
                <c:pt idx="6449">
                  <c:v>-226528.91595499997</c:v>
                </c:pt>
                <c:pt idx="6450">
                  <c:v>-226338.375</c:v>
                </c:pt>
                <c:pt idx="6451">
                  <c:v>-226147.94094500004</c:v>
                </c:pt>
                <c:pt idx="6452">
                  <c:v>-225957.61376</c:v>
                </c:pt>
                <c:pt idx="6453">
                  <c:v>-225767.393415</c:v>
                </c:pt>
                <c:pt idx="6454">
                  <c:v>-225577.27988000002</c:v>
                </c:pt>
                <c:pt idx="6455">
                  <c:v>-225387.27312499998</c:v>
                </c:pt>
                <c:pt idx="6456">
                  <c:v>-225197.37312</c:v>
                </c:pt>
                <c:pt idx="6457">
                  <c:v>-225007.57983499998</c:v>
                </c:pt>
                <c:pt idx="6458">
                  <c:v>-224817.89324</c:v>
                </c:pt>
                <c:pt idx="6459">
                  <c:v>-224628.31330499996</c:v>
                </c:pt>
                <c:pt idx="6460">
                  <c:v>-224438.84</c:v>
                </c:pt>
                <c:pt idx="6461">
                  <c:v>-224249.473295</c:v>
                </c:pt>
                <c:pt idx="6462">
                  <c:v>-224060.21315999996</c:v>
                </c:pt>
                <c:pt idx="6463">
                  <c:v>-223871.059565</c:v>
                </c:pt>
                <c:pt idx="6464">
                  <c:v>-223682.01248</c:v>
                </c:pt>
                <c:pt idx="6465">
                  <c:v>-223493.071875</c:v>
                </c:pt>
                <c:pt idx="6466">
                  <c:v>-223304.23772</c:v>
                </c:pt>
                <c:pt idx="6467">
                  <c:v>-223115.509985</c:v>
                </c:pt>
                <c:pt idx="6468">
                  <c:v>-222926.88864</c:v>
                </c:pt>
                <c:pt idx="6469">
                  <c:v>-222738.373655</c:v>
                </c:pt>
                <c:pt idx="6470">
                  <c:v>-222549.965</c:v>
                </c:pt>
                <c:pt idx="6471">
                  <c:v>-222361.662645</c:v>
                </c:pt>
                <c:pt idx="6472">
                  <c:v>-222173.46656</c:v>
                </c:pt>
                <c:pt idx="6473">
                  <c:v>-221985.376715</c:v>
                </c:pt>
                <c:pt idx="6474">
                  <c:v>-221797.39308</c:v>
                </c:pt>
                <c:pt idx="6475">
                  <c:v>-221609.515625</c:v>
                </c:pt>
                <c:pt idx="6476">
                  <c:v>-221421.74432</c:v>
                </c:pt>
                <c:pt idx="6477">
                  <c:v>-221234.079135</c:v>
                </c:pt>
                <c:pt idx="6478">
                  <c:v>-221046.52003999997</c:v>
                </c:pt>
                <c:pt idx="6479">
                  <c:v>-220859.067005</c:v>
                </c:pt>
                <c:pt idx="6480">
                  <c:v>-220671.72</c:v>
                </c:pt>
                <c:pt idx="6481">
                  <c:v>-220484.47899499998</c:v>
                </c:pt>
                <c:pt idx="6482">
                  <c:v>-220297.34396000003</c:v>
                </c:pt>
                <c:pt idx="6483">
                  <c:v>-220110.314865</c:v>
                </c:pt>
                <c:pt idx="6484">
                  <c:v>-219923.39168</c:v>
                </c:pt>
                <c:pt idx="6485">
                  <c:v>-219736.57437500003</c:v>
                </c:pt>
                <c:pt idx="6486">
                  <c:v>-219549.86291999999</c:v>
                </c:pt>
                <c:pt idx="6487">
                  <c:v>-219363.25728499997</c:v>
                </c:pt>
                <c:pt idx="6488">
                  <c:v>-219176.75744</c:v>
                </c:pt>
                <c:pt idx="6489">
                  <c:v>-218990.36335499998</c:v>
                </c:pt>
                <c:pt idx="6490">
                  <c:v>-218804.075</c:v>
                </c:pt>
                <c:pt idx="6491">
                  <c:v>-218617.892345</c:v>
                </c:pt>
                <c:pt idx="6492">
                  <c:v>-218431.81536</c:v>
                </c:pt>
                <c:pt idx="6493">
                  <c:v>-218245.84401499998</c:v>
                </c:pt>
                <c:pt idx="6494">
                  <c:v>-218059.97828</c:v>
                </c:pt>
                <c:pt idx="6495">
                  <c:v>-217874.218125</c:v>
                </c:pt>
                <c:pt idx="6496">
                  <c:v>-217688.56352</c:v>
                </c:pt>
                <c:pt idx="6497">
                  <c:v>-217503.01443500002</c:v>
                </c:pt>
                <c:pt idx="6498">
                  <c:v>-217317.57084</c:v>
                </c:pt>
                <c:pt idx="6499">
                  <c:v>-217132.232705</c:v>
                </c:pt>
                <c:pt idx="6500">
                  <c:v>-216947.0</c:v>
                </c:pt>
                <c:pt idx="6501">
                  <c:v>-216761.872695</c:v>
                </c:pt>
                <c:pt idx="6502">
                  <c:v>-216576.85076</c:v>
                </c:pt>
                <c:pt idx="6503">
                  <c:v>-216391.93416499998</c:v>
                </c:pt>
                <c:pt idx="6504">
                  <c:v>-216207.12288000004</c:v>
                </c:pt>
                <c:pt idx="6505">
                  <c:v>-216022.41687500002</c:v>
                </c:pt>
                <c:pt idx="6506">
                  <c:v>-215837.81612</c:v>
                </c:pt>
                <c:pt idx="6507">
                  <c:v>-215653.32058499998</c:v>
                </c:pt>
                <c:pt idx="6508">
                  <c:v>-215468.93024000002</c:v>
                </c:pt>
                <c:pt idx="6509">
                  <c:v>-215284.645055</c:v>
                </c:pt>
                <c:pt idx="6510">
                  <c:v>-215100.465</c:v>
                </c:pt>
                <c:pt idx="6511">
                  <c:v>-214916.39004499998</c:v>
                </c:pt>
                <c:pt idx="6512">
                  <c:v>-214732.42016</c:v>
                </c:pt>
                <c:pt idx="6513">
                  <c:v>-214548.555315</c:v>
                </c:pt>
                <c:pt idx="6514">
                  <c:v>-214364.79548</c:v>
                </c:pt>
                <c:pt idx="6515">
                  <c:v>-214181.140625</c:v>
                </c:pt>
                <c:pt idx="6516">
                  <c:v>-213997.59072</c:v>
                </c:pt>
                <c:pt idx="6517">
                  <c:v>-213814.145735</c:v>
                </c:pt>
                <c:pt idx="6518">
                  <c:v>-213630.80563999998</c:v>
                </c:pt>
                <c:pt idx="6519">
                  <c:v>-213447.570405</c:v>
                </c:pt>
                <c:pt idx="6520">
                  <c:v>-213264.44</c:v>
                </c:pt>
                <c:pt idx="6521">
                  <c:v>-213081.414395</c:v>
                </c:pt>
                <c:pt idx="6522">
                  <c:v>-212898.49356</c:v>
                </c:pt>
                <c:pt idx="6523">
                  <c:v>-212715.67746500002</c:v>
                </c:pt>
                <c:pt idx="6524">
                  <c:v>-212532.96608</c:v>
                </c:pt>
                <c:pt idx="6525">
                  <c:v>-212350.359375</c:v>
                </c:pt>
                <c:pt idx="6526">
                  <c:v>-212167.85732</c:v>
                </c:pt>
                <c:pt idx="6527">
                  <c:v>-211985.459885</c:v>
                </c:pt>
                <c:pt idx="6528">
                  <c:v>-211803.16704</c:v>
                </c:pt>
                <c:pt idx="6529">
                  <c:v>-211620.978755</c:v>
                </c:pt>
                <c:pt idx="6530">
                  <c:v>-211438.89499999996</c:v>
                </c:pt>
                <c:pt idx="6531">
                  <c:v>-211256.915745</c:v>
                </c:pt>
                <c:pt idx="6532">
                  <c:v>-211075.04095999998</c:v>
                </c:pt>
                <c:pt idx="6533">
                  <c:v>-210893.270615</c:v>
                </c:pt>
                <c:pt idx="6534">
                  <c:v>-210711.60468000002</c:v>
                </c:pt>
                <c:pt idx="6535">
                  <c:v>-210530.043125</c:v>
                </c:pt>
                <c:pt idx="6536">
                  <c:v>-210348.58591999998</c:v>
                </c:pt>
                <c:pt idx="6537">
                  <c:v>-210167.233035</c:v>
                </c:pt>
                <c:pt idx="6538">
                  <c:v>-209985.98444</c:v>
                </c:pt>
                <c:pt idx="6539">
                  <c:v>-209804.84010499998</c:v>
                </c:pt>
                <c:pt idx="6540">
                  <c:v>-209623.8</c:v>
                </c:pt>
                <c:pt idx="6541">
                  <c:v>-209442.864095</c:v>
                </c:pt>
                <c:pt idx="6542">
                  <c:v>-209262.03236</c:v>
                </c:pt>
                <c:pt idx="6543">
                  <c:v>-209081.30476500004</c:v>
                </c:pt>
                <c:pt idx="6544">
                  <c:v>-208900.68128000002</c:v>
                </c:pt>
                <c:pt idx="6545">
                  <c:v>-208720.16187500002</c:v>
                </c:pt>
                <c:pt idx="6546">
                  <c:v>-208539.74652000002</c:v>
                </c:pt>
                <c:pt idx="6547">
                  <c:v>-208359.435185</c:v>
                </c:pt>
                <c:pt idx="6548">
                  <c:v>-208179.22784</c:v>
                </c:pt>
                <c:pt idx="6549">
                  <c:v>-207999.12445499998</c:v>
                </c:pt>
                <c:pt idx="6550">
                  <c:v>-207819.125</c:v>
                </c:pt>
                <c:pt idx="6551">
                  <c:v>-207639.22944499998</c:v>
                </c:pt>
                <c:pt idx="6552">
                  <c:v>-207459.43776</c:v>
                </c:pt>
                <c:pt idx="6553">
                  <c:v>-207279.749915</c:v>
                </c:pt>
                <c:pt idx="6554">
                  <c:v>-207100.16588000002</c:v>
                </c:pt>
                <c:pt idx="6555">
                  <c:v>-206920.685625</c:v>
                </c:pt>
                <c:pt idx="6556">
                  <c:v>-206741.30912</c:v>
                </c:pt>
                <c:pt idx="6557">
                  <c:v>-206562.036335</c:v>
                </c:pt>
                <c:pt idx="6558">
                  <c:v>-206382.86724</c:v>
                </c:pt>
                <c:pt idx="6559">
                  <c:v>-206203.80180500002</c:v>
                </c:pt>
                <c:pt idx="6560">
                  <c:v>-206024.84</c:v>
                </c:pt>
                <c:pt idx="6561">
                  <c:v>-205845.981795</c:v>
                </c:pt>
                <c:pt idx="6562">
                  <c:v>-205667.22715999998</c:v>
                </c:pt>
                <c:pt idx="6563">
                  <c:v>-205488.576065</c:v>
                </c:pt>
                <c:pt idx="6564">
                  <c:v>-205310.02848</c:v>
                </c:pt>
                <c:pt idx="6565">
                  <c:v>-205131.584375</c:v>
                </c:pt>
                <c:pt idx="6566">
                  <c:v>-204953.24372</c:v>
                </c:pt>
                <c:pt idx="6567">
                  <c:v>-204775.006485</c:v>
                </c:pt>
                <c:pt idx="6568">
                  <c:v>-204596.87264000002</c:v>
                </c:pt>
                <c:pt idx="6569">
                  <c:v>-204418.842155</c:v>
                </c:pt>
                <c:pt idx="6570">
                  <c:v>-204240.915</c:v>
                </c:pt>
                <c:pt idx="6571">
                  <c:v>-204063.09114499998</c:v>
                </c:pt>
                <c:pt idx="6572">
                  <c:v>-203885.37056</c:v>
                </c:pt>
                <c:pt idx="6573">
                  <c:v>-203707.75321499998</c:v>
                </c:pt>
                <c:pt idx="6574">
                  <c:v>-203530.23908</c:v>
                </c:pt>
                <c:pt idx="6575">
                  <c:v>-203352.828125</c:v>
                </c:pt>
                <c:pt idx="6576">
                  <c:v>-203175.52032</c:v>
                </c:pt>
                <c:pt idx="6577">
                  <c:v>-202998.315635</c:v>
                </c:pt>
                <c:pt idx="6578">
                  <c:v>-202821.21404</c:v>
                </c:pt>
                <c:pt idx="6579">
                  <c:v>-202644.215505</c:v>
                </c:pt>
                <c:pt idx="6580">
                  <c:v>-202467.31999999998</c:v>
                </c:pt>
                <c:pt idx="6581">
                  <c:v>-202290.52749500002</c:v>
                </c:pt>
                <c:pt idx="6582">
                  <c:v>-202113.83796</c:v>
                </c:pt>
                <c:pt idx="6583">
                  <c:v>-201937.25136499997</c:v>
                </c:pt>
                <c:pt idx="6584">
                  <c:v>-201760.76768</c:v>
                </c:pt>
                <c:pt idx="6585">
                  <c:v>-201584.386875</c:v>
                </c:pt>
                <c:pt idx="6586">
                  <c:v>-201408.10892</c:v>
                </c:pt>
                <c:pt idx="6587">
                  <c:v>-201231.933785</c:v>
                </c:pt>
                <c:pt idx="6588">
                  <c:v>-201055.86143999998</c:v>
                </c:pt>
                <c:pt idx="6589">
                  <c:v>-200879.891855</c:v>
                </c:pt>
                <c:pt idx="6590">
                  <c:v>-200704.025</c:v>
                </c:pt>
                <c:pt idx="6591">
                  <c:v>-200528.260845</c:v>
                </c:pt>
                <c:pt idx="6592">
                  <c:v>-200352.59936</c:v>
                </c:pt>
                <c:pt idx="6593">
                  <c:v>-200177.040515</c:v>
                </c:pt>
                <c:pt idx="6594">
                  <c:v>-200001.58427999998</c:v>
                </c:pt>
                <c:pt idx="6595">
                  <c:v>-199826.230625</c:v>
                </c:pt>
                <c:pt idx="6596">
                  <c:v>-199650.97952</c:v>
                </c:pt>
                <c:pt idx="6597">
                  <c:v>-199475.830935</c:v>
                </c:pt>
                <c:pt idx="6598">
                  <c:v>-199300.78484</c:v>
                </c:pt>
                <c:pt idx="6599">
                  <c:v>-199125.841205</c:v>
                </c:pt>
                <c:pt idx="6600">
                  <c:v>-198951.0</c:v>
                </c:pt>
                <c:pt idx="6601">
                  <c:v>-198776.261195</c:v>
                </c:pt>
                <c:pt idx="6602">
                  <c:v>-198601.62476</c:v>
                </c:pt>
                <c:pt idx="6603">
                  <c:v>-198427.090665</c:v>
                </c:pt>
                <c:pt idx="6604">
                  <c:v>-198252.65888</c:v>
                </c:pt>
                <c:pt idx="6605">
                  <c:v>-198078.329375</c:v>
                </c:pt>
                <c:pt idx="6606">
                  <c:v>-197904.10212</c:v>
                </c:pt>
                <c:pt idx="6607">
                  <c:v>-197729.977085</c:v>
                </c:pt>
                <c:pt idx="6608">
                  <c:v>-197555.95424</c:v>
                </c:pt>
                <c:pt idx="6609">
                  <c:v>-197382.033555</c:v>
                </c:pt>
                <c:pt idx="6610">
                  <c:v>-197208.215</c:v>
                </c:pt>
                <c:pt idx="6611">
                  <c:v>-197034.498545</c:v>
                </c:pt>
                <c:pt idx="6612">
                  <c:v>-196860.88416</c:v>
                </c:pt>
                <c:pt idx="6613">
                  <c:v>-196687.371815</c:v>
                </c:pt>
                <c:pt idx="6614">
                  <c:v>-196513.96148</c:v>
                </c:pt>
                <c:pt idx="6615">
                  <c:v>-196340.653125</c:v>
                </c:pt>
                <c:pt idx="6616">
                  <c:v>-196167.44672</c:v>
                </c:pt>
                <c:pt idx="6617">
                  <c:v>-195994.342235</c:v>
                </c:pt>
                <c:pt idx="6618">
                  <c:v>-195821.33964</c:v>
                </c:pt>
                <c:pt idx="6619">
                  <c:v>-195648.438905</c:v>
                </c:pt>
                <c:pt idx="6620">
                  <c:v>-195475.64</c:v>
                </c:pt>
                <c:pt idx="6621">
                  <c:v>-195302.94289500001</c:v>
                </c:pt>
                <c:pt idx="6622">
                  <c:v>-195130.34755999997</c:v>
                </c:pt>
                <c:pt idx="6623">
                  <c:v>-194957.853965</c:v>
                </c:pt>
                <c:pt idx="6624">
                  <c:v>-194785.46208</c:v>
                </c:pt>
                <c:pt idx="6625">
                  <c:v>-194613.171875</c:v>
                </c:pt>
                <c:pt idx="6626">
                  <c:v>-194440.98332</c:v>
                </c:pt>
                <c:pt idx="6627">
                  <c:v>-194268.896385</c:v>
                </c:pt>
                <c:pt idx="6628">
                  <c:v>-194096.91104</c:v>
                </c:pt>
                <c:pt idx="6629">
                  <c:v>-193925.02725500002</c:v>
                </c:pt>
                <c:pt idx="6630">
                  <c:v>-193753.24500000002</c:v>
                </c:pt>
                <c:pt idx="6631">
                  <c:v>-193581.564245</c:v>
                </c:pt>
                <c:pt idx="6632">
                  <c:v>-193409.98496</c:v>
                </c:pt>
                <c:pt idx="6633">
                  <c:v>-193238.50711500001</c:v>
                </c:pt>
                <c:pt idx="6634">
                  <c:v>-193067.13068</c:v>
                </c:pt>
                <c:pt idx="6635">
                  <c:v>-192895.855625</c:v>
                </c:pt>
                <c:pt idx="6636">
                  <c:v>-192724.68192</c:v>
                </c:pt>
                <c:pt idx="6637">
                  <c:v>-192553.609535</c:v>
                </c:pt>
                <c:pt idx="6638">
                  <c:v>-192382.63843999998</c:v>
                </c:pt>
                <c:pt idx="6639">
                  <c:v>-192211.768605</c:v>
                </c:pt>
                <c:pt idx="6640">
                  <c:v>-192041.0</c:v>
                </c:pt>
                <c:pt idx="6641">
                  <c:v>-191870.332595</c:v>
                </c:pt>
                <c:pt idx="6642">
                  <c:v>-191699.76636</c:v>
                </c:pt>
                <c:pt idx="6643">
                  <c:v>-191529.301265</c:v>
                </c:pt>
                <c:pt idx="6644">
                  <c:v>-191358.93727999998</c:v>
                </c:pt>
                <c:pt idx="6645">
                  <c:v>-191188.674375</c:v>
                </c:pt>
                <c:pt idx="6646">
                  <c:v>-191018.51252000002</c:v>
                </c:pt>
                <c:pt idx="6647">
                  <c:v>-190848.451685</c:v>
                </c:pt>
                <c:pt idx="6648">
                  <c:v>-190678.49183999997</c:v>
                </c:pt>
                <c:pt idx="6649">
                  <c:v>-190508.632955</c:v>
                </c:pt>
                <c:pt idx="6650">
                  <c:v>-190338.875</c:v>
                </c:pt>
                <c:pt idx="6651">
                  <c:v>-190169.217945</c:v>
                </c:pt>
                <c:pt idx="6652">
                  <c:v>-189999.66176</c:v>
                </c:pt>
                <c:pt idx="6653">
                  <c:v>-189830.206415</c:v>
                </c:pt>
                <c:pt idx="6654">
                  <c:v>-189660.85188</c:v>
                </c:pt>
                <c:pt idx="6655">
                  <c:v>-189491.598125</c:v>
                </c:pt>
                <c:pt idx="6656">
                  <c:v>-189322.44512</c:v>
                </c:pt>
                <c:pt idx="6657">
                  <c:v>-189153.392835</c:v>
                </c:pt>
                <c:pt idx="6658">
                  <c:v>-188984.44124</c:v>
                </c:pt>
                <c:pt idx="6659">
                  <c:v>-188815.590305</c:v>
                </c:pt>
                <c:pt idx="6660">
                  <c:v>-188646.84</c:v>
                </c:pt>
                <c:pt idx="6661">
                  <c:v>-188478.190295</c:v>
                </c:pt>
                <c:pt idx="6662">
                  <c:v>-188309.64116</c:v>
                </c:pt>
                <c:pt idx="6663">
                  <c:v>-188141.19256499998</c:v>
                </c:pt>
                <c:pt idx="6664">
                  <c:v>-187972.84448</c:v>
                </c:pt>
                <c:pt idx="6665">
                  <c:v>-187804.596875</c:v>
                </c:pt>
                <c:pt idx="6666">
                  <c:v>-187636.44972</c:v>
                </c:pt>
                <c:pt idx="6667">
                  <c:v>-187468.402985</c:v>
                </c:pt>
                <c:pt idx="6668">
                  <c:v>-187300.45664</c:v>
                </c:pt>
                <c:pt idx="6669">
                  <c:v>-187132.610655</c:v>
                </c:pt>
                <c:pt idx="6670">
                  <c:v>-186964.86500000002</c:v>
                </c:pt>
                <c:pt idx="6671">
                  <c:v>-186797.21964499998</c:v>
                </c:pt>
                <c:pt idx="6672">
                  <c:v>-186629.67456</c:v>
                </c:pt>
                <c:pt idx="6673">
                  <c:v>-186462.229715</c:v>
                </c:pt>
                <c:pt idx="6674">
                  <c:v>-186294.88508</c:v>
                </c:pt>
                <c:pt idx="6675">
                  <c:v>-186127.640625</c:v>
                </c:pt>
                <c:pt idx="6676">
                  <c:v>-185960.49632</c:v>
                </c:pt>
                <c:pt idx="6677">
                  <c:v>-185793.452135</c:v>
                </c:pt>
                <c:pt idx="6678">
                  <c:v>-185626.50803999996</c:v>
                </c:pt>
                <c:pt idx="6679">
                  <c:v>-185459.664005</c:v>
                </c:pt>
                <c:pt idx="6680">
                  <c:v>-185292.92</c:v>
                </c:pt>
                <c:pt idx="6681">
                  <c:v>-185126.275995</c:v>
                </c:pt>
                <c:pt idx="6682">
                  <c:v>-184959.73196</c:v>
                </c:pt>
                <c:pt idx="6683">
                  <c:v>-184793.28786500002</c:v>
                </c:pt>
                <c:pt idx="6684">
                  <c:v>-184626.94368</c:v>
                </c:pt>
                <c:pt idx="6685">
                  <c:v>-184460.69937500003</c:v>
                </c:pt>
                <c:pt idx="6686">
                  <c:v>-184294.55492</c:v>
                </c:pt>
                <c:pt idx="6687">
                  <c:v>-184128.510285</c:v>
                </c:pt>
                <c:pt idx="6688">
                  <c:v>-183962.56544</c:v>
                </c:pt>
                <c:pt idx="6689">
                  <c:v>-183796.720355</c:v>
                </c:pt>
                <c:pt idx="6690">
                  <c:v>-183630.97500000003</c:v>
                </c:pt>
                <c:pt idx="6691">
                  <c:v>-183465.329345</c:v>
                </c:pt>
                <c:pt idx="6692">
                  <c:v>-183299.78336</c:v>
                </c:pt>
                <c:pt idx="6693">
                  <c:v>-183134.337015</c:v>
                </c:pt>
                <c:pt idx="6694">
                  <c:v>-182968.99028000003</c:v>
                </c:pt>
                <c:pt idx="6695">
                  <c:v>-182803.743125</c:v>
                </c:pt>
                <c:pt idx="6696">
                  <c:v>-182638.59552</c:v>
                </c:pt>
                <c:pt idx="6697">
                  <c:v>-182473.54743500001</c:v>
                </c:pt>
                <c:pt idx="6698">
                  <c:v>-182308.59884</c:v>
                </c:pt>
                <c:pt idx="6699">
                  <c:v>-182143.749705</c:v>
                </c:pt>
                <c:pt idx="6700">
                  <c:v>-181979.0</c:v>
                </c:pt>
                <c:pt idx="6701">
                  <c:v>-181814.34969499998</c:v>
                </c:pt>
                <c:pt idx="6702">
                  <c:v>-181649.79875999998</c:v>
                </c:pt>
                <c:pt idx="6703">
                  <c:v>-181485.34716499998</c:v>
                </c:pt>
                <c:pt idx="6704">
                  <c:v>-181320.99487999998</c:v>
                </c:pt>
                <c:pt idx="6705">
                  <c:v>-181156.74187499998</c:v>
                </c:pt>
                <c:pt idx="6706">
                  <c:v>-180992.58812</c:v>
                </c:pt>
                <c:pt idx="6707">
                  <c:v>-180828.533585</c:v>
                </c:pt>
                <c:pt idx="6708">
                  <c:v>-180664.57824</c:v>
                </c:pt>
                <c:pt idx="6709">
                  <c:v>-180500.72205500002</c:v>
                </c:pt>
                <c:pt idx="6710">
                  <c:v>-180336.965</c:v>
                </c:pt>
                <c:pt idx="6711">
                  <c:v>-180173.307045</c:v>
                </c:pt>
                <c:pt idx="6712">
                  <c:v>-180009.74816</c:v>
                </c:pt>
                <c:pt idx="6713">
                  <c:v>-179846.288315</c:v>
                </c:pt>
                <c:pt idx="6714">
                  <c:v>-179682.92748</c:v>
                </c:pt>
                <c:pt idx="6715">
                  <c:v>-179519.66562500002</c:v>
                </c:pt>
                <c:pt idx="6716">
                  <c:v>-179356.50272</c:v>
                </c:pt>
                <c:pt idx="6717">
                  <c:v>-179193.438735</c:v>
                </c:pt>
                <c:pt idx="6718">
                  <c:v>-179030.47363999998</c:v>
                </c:pt>
                <c:pt idx="6719">
                  <c:v>-178867.60740500002</c:v>
                </c:pt>
                <c:pt idx="6720">
                  <c:v>-178704.84</c:v>
                </c:pt>
                <c:pt idx="6721">
                  <c:v>-178542.171395</c:v>
                </c:pt>
                <c:pt idx="6722">
                  <c:v>-178379.60156</c:v>
                </c:pt>
                <c:pt idx="6723">
                  <c:v>-178217.13046500002</c:v>
                </c:pt>
                <c:pt idx="6724">
                  <c:v>-178054.75808</c:v>
                </c:pt>
                <c:pt idx="6725">
                  <c:v>-177892.484375</c:v>
                </c:pt>
                <c:pt idx="6726">
                  <c:v>-177730.30932</c:v>
                </c:pt>
                <c:pt idx="6727">
                  <c:v>-177568.232885</c:v>
                </c:pt>
                <c:pt idx="6728">
                  <c:v>-177406.25504</c:v>
                </c:pt>
                <c:pt idx="6729">
                  <c:v>-177244.37575500002</c:v>
                </c:pt>
                <c:pt idx="6730">
                  <c:v>-177082.595</c:v>
                </c:pt>
                <c:pt idx="6731">
                  <c:v>-176920.912745</c:v>
                </c:pt>
                <c:pt idx="6732">
                  <c:v>-176759.32896</c:v>
                </c:pt>
                <c:pt idx="6733">
                  <c:v>-176597.84361500002</c:v>
                </c:pt>
                <c:pt idx="6734">
                  <c:v>-176436.45668</c:v>
                </c:pt>
                <c:pt idx="6735">
                  <c:v>-176275.168125</c:v>
                </c:pt>
                <c:pt idx="6736">
                  <c:v>-176113.97791999998</c:v>
                </c:pt>
                <c:pt idx="6737">
                  <c:v>-175952.886035</c:v>
                </c:pt>
                <c:pt idx="6738">
                  <c:v>-175791.89244</c:v>
                </c:pt>
                <c:pt idx="6739">
                  <c:v>-175630.997105</c:v>
                </c:pt>
                <c:pt idx="6740">
                  <c:v>-175470.2</c:v>
                </c:pt>
                <c:pt idx="6741">
                  <c:v>-175309.50109499999</c:v>
                </c:pt>
                <c:pt idx="6742">
                  <c:v>-175148.90036</c:v>
                </c:pt>
                <c:pt idx="6743">
                  <c:v>-174988.397765</c:v>
                </c:pt>
                <c:pt idx="6744">
                  <c:v>-174827.99328</c:v>
                </c:pt>
                <c:pt idx="6745">
                  <c:v>-174667.686875</c:v>
                </c:pt>
                <c:pt idx="6746">
                  <c:v>-174507.47852</c:v>
                </c:pt>
                <c:pt idx="6747">
                  <c:v>-174347.368185</c:v>
                </c:pt>
                <c:pt idx="6748">
                  <c:v>-174187.35584</c:v>
                </c:pt>
                <c:pt idx="6749">
                  <c:v>-174027.44145500002</c:v>
                </c:pt>
                <c:pt idx="6750">
                  <c:v>-173867.625</c:v>
                </c:pt>
                <c:pt idx="6751">
                  <c:v>-173707.906445</c:v>
                </c:pt>
                <c:pt idx="6752">
                  <c:v>-173548.28576</c:v>
                </c:pt>
                <c:pt idx="6753">
                  <c:v>-173388.762915</c:v>
                </c:pt>
                <c:pt idx="6754">
                  <c:v>-173229.33788</c:v>
                </c:pt>
                <c:pt idx="6755">
                  <c:v>-173070.01062500002</c:v>
                </c:pt>
                <c:pt idx="6756">
                  <c:v>-172910.78112</c:v>
                </c:pt>
                <c:pt idx="6757">
                  <c:v>-172751.649335</c:v>
                </c:pt>
                <c:pt idx="6758">
                  <c:v>-172592.61523999998</c:v>
                </c:pt>
                <c:pt idx="6759">
                  <c:v>-172433.678805</c:v>
                </c:pt>
                <c:pt idx="6760">
                  <c:v>-172274.84</c:v>
                </c:pt>
                <c:pt idx="6761">
                  <c:v>-172116.098795</c:v>
                </c:pt>
                <c:pt idx="6762">
                  <c:v>-171957.45515999998</c:v>
                </c:pt>
                <c:pt idx="6763">
                  <c:v>-171798.909065</c:v>
                </c:pt>
                <c:pt idx="6764">
                  <c:v>-171640.46047999998</c:v>
                </c:pt>
                <c:pt idx="6765">
                  <c:v>-171482.109375</c:v>
                </c:pt>
                <c:pt idx="6766">
                  <c:v>-171323.85572</c:v>
                </c:pt>
                <c:pt idx="6767">
                  <c:v>-171165.699485</c:v>
                </c:pt>
                <c:pt idx="6768">
                  <c:v>-171007.64064</c:v>
                </c:pt>
                <c:pt idx="6769">
                  <c:v>-170849.67915500002</c:v>
                </c:pt>
                <c:pt idx="6770">
                  <c:v>-170691.815</c:v>
                </c:pt>
                <c:pt idx="6771">
                  <c:v>-170534.048145</c:v>
                </c:pt>
                <c:pt idx="6772">
                  <c:v>-170376.37856</c:v>
                </c:pt>
                <c:pt idx="6773">
                  <c:v>-170218.80621500002</c:v>
                </c:pt>
                <c:pt idx="6774">
                  <c:v>-170061.33108</c:v>
                </c:pt>
                <c:pt idx="6775">
                  <c:v>-169903.953125</c:v>
                </c:pt>
                <c:pt idx="6776">
                  <c:v>-169746.67231999998</c:v>
                </c:pt>
                <c:pt idx="6777">
                  <c:v>-169589.488635</c:v>
                </c:pt>
                <c:pt idx="6778">
                  <c:v>-169432.40204000002</c:v>
                </c:pt>
                <c:pt idx="6779">
                  <c:v>-169275.412505</c:v>
                </c:pt>
                <c:pt idx="6780">
                  <c:v>-169118.52</c:v>
                </c:pt>
                <c:pt idx="6781">
                  <c:v>-168961.724495</c:v>
                </c:pt>
                <c:pt idx="6782">
                  <c:v>-168805.02596</c:v>
                </c:pt>
                <c:pt idx="6783">
                  <c:v>-168648.424365</c:v>
                </c:pt>
                <c:pt idx="6784">
                  <c:v>-168491.91968</c:v>
                </c:pt>
                <c:pt idx="6785">
                  <c:v>-168335.511875</c:v>
                </c:pt>
                <c:pt idx="6786">
                  <c:v>-168179.20091999997</c:v>
                </c:pt>
                <c:pt idx="6787">
                  <c:v>-168022.986785</c:v>
                </c:pt>
                <c:pt idx="6788">
                  <c:v>-167866.86944</c:v>
                </c:pt>
                <c:pt idx="6789">
                  <c:v>-167710.848855</c:v>
                </c:pt>
                <c:pt idx="6790">
                  <c:v>-167554.925</c:v>
                </c:pt>
                <c:pt idx="6791">
                  <c:v>-167399.097845</c:v>
                </c:pt>
                <c:pt idx="6792">
                  <c:v>-167243.36736</c:v>
                </c:pt>
                <c:pt idx="6793">
                  <c:v>-167087.733515</c:v>
                </c:pt>
                <c:pt idx="6794">
                  <c:v>-166932.19627999997</c:v>
                </c:pt>
                <c:pt idx="6795">
                  <c:v>-166776.75562500002</c:v>
                </c:pt>
                <c:pt idx="6796">
                  <c:v>-166621.41152</c:v>
                </c:pt>
                <c:pt idx="6797">
                  <c:v>-166466.163935</c:v>
                </c:pt>
                <c:pt idx="6798">
                  <c:v>-166311.01284</c:v>
                </c:pt>
                <c:pt idx="6799">
                  <c:v>-166155.958205</c:v>
                </c:pt>
                <c:pt idx="6800">
                  <c:v>-166001.0</c:v>
                </c:pt>
                <c:pt idx="6801">
                  <c:v>-165846.138195</c:v>
                </c:pt>
                <c:pt idx="6802">
                  <c:v>-165691.37276</c:v>
                </c:pt>
                <c:pt idx="6803">
                  <c:v>-165536.703665</c:v>
                </c:pt>
                <c:pt idx="6804">
                  <c:v>-165382.13088</c:v>
                </c:pt>
                <c:pt idx="6805">
                  <c:v>-165227.654375</c:v>
                </c:pt>
                <c:pt idx="6806">
                  <c:v>-165073.27412000002</c:v>
                </c:pt>
                <c:pt idx="6807">
                  <c:v>-164918.990085</c:v>
                </c:pt>
                <c:pt idx="6808">
                  <c:v>-164764.80224</c:v>
                </c:pt>
                <c:pt idx="6809">
                  <c:v>-164610.710555</c:v>
                </c:pt>
                <c:pt idx="6810">
                  <c:v>-164456.715</c:v>
                </c:pt>
                <c:pt idx="6811">
                  <c:v>-164302.815545</c:v>
                </c:pt>
                <c:pt idx="6812">
                  <c:v>-164149.01216</c:v>
                </c:pt>
                <c:pt idx="6813">
                  <c:v>-163995.30481499998</c:v>
                </c:pt>
                <c:pt idx="6814">
                  <c:v>-163841.69348</c:v>
                </c:pt>
                <c:pt idx="6815">
                  <c:v>-163688.178125</c:v>
                </c:pt>
                <c:pt idx="6816">
                  <c:v>-163534.75872</c:v>
                </c:pt>
                <c:pt idx="6817">
                  <c:v>-163381.435235</c:v>
                </c:pt>
                <c:pt idx="6818">
                  <c:v>-163228.20764</c:v>
                </c:pt>
                <c:pt idx="6819">
                  <c:v>-163075.075905</c:v>
                </c:pt>
                <c:pt idx="6820">
                  <c:v>-162922.04</c:v>
                </c:pt>
                <c:pt idx="6821">
                  <c:v>-162769.09989500002</c:v>
                </c:pt>
                <c:pt idx="6822">
                  <c:v>-162616.25556</c:v>
                </c:pt>
                <c:pt idx="6823">
                  <c:v>-162463.506965</c:v>
                </c:pt>
                <c:pt idx="6824">
                  <c:v>-162310.85408000002</c:v>
                </c:pt>
                <c:pt idx="6825">
                  <c:v>-162158.296875</c:v>
                </c:pt>
                <c:pt idx="6826">
                  <c:v>-162005.83532</c:v>
                </c:pt>
                <c:pt idx="6827">
                  <c:v>-161853.469385</c:v>
                </c:pt>
                <c:pt idx="6828">
                  <c:v>-161701.19904</c:v>
                </c:pt>
                <c:pt idx="6829">
                  <c:v>-161549.024255</c:v>
                </c:pt>
                <c:pt idx="6830">
                  <c:v>-161396.94499999998</c:v>
                </c:pt>
                <c:pt idx="6831">
                  <c:v>-161244.961245</c:v>
                </c:pt>
                <c:pt idx="6832">
                  <c:v>-161093.07296</c:v>
                </c:pt>
                <c:pt idx="6833">
                  <c:v>-160941.280115</c:v>
                </c:pt>
                <c:pt idx="6834">
                  <c:v>-160789.58268</c:v>
                </c:pt>
                <c:pt idx="6835">
                  <c:v>-160637.980625</c:v>
                </c:pt>
                <c:pt idx="6836">
                  <c:v>-160486.47392000002</c:v>
                </c:pt>
                <c:pt idx="6837">
                  <c:v>-160335.062535</c:v>
                </c:pt>
                <c:pt idx="6838">
                  <c:v>-160183.74644</c:v>
                </c:pt>
                <c:pt idx="6839">
                  <c:v>-160032.525605</c:v>
                </c:pt>
                <c:pt idx="6840">
                  <c:v>-159881.4</c:v>
                </c:pt>
                <c:pt idx="6841">
                  <c:v>-159730.369595</c:v>
                </c:pt>
                <c:pt idx="6842">
                  <c:v>-159579.43435999998</c:v>
                </c:pt>
                <c:pt idx="6843">
                  <c:v>-159428.594265</c:v>
                </c:pt>
                <c:pt idx="6844">
                  <c:v>-159277.84928</c:v>
                </c:pt>
                <c:pt idx="6845">
                  <c:v>-159127.199375</c:v>
                </c:pt>
                <c:pt idx="6846">
                  <c:v>-158976.64452</c:v>
                </c:pt>
                <c:pt idx="6847">
                  <c:v>-158826.184685</c:v>
                </c:pt>
                <c:pt idx="6848">
                  <c:v>-158675.81983999998</c:v>
                </c:pt>
                <c:pt idx="6849">
                  <c:v>-158525.549955</c:v>
                </c:pt>
                <c:pt idx="6850">
                  <c:v>-158375.375</c:v>
                </c:pt>
                <c:pt idx="6851">
                  <c:v>-158225.294945</c:v>
                </c:pt>
                <c:pt idx="6852">
                  <c:v>-158075.30976</c:v>
                </c:pt>
                <c:pt idx="6853">
                  <c:v>-157925.419415</c:v>
                </c:pt>
                <c:pt idx="6854">
                  <c:v>-157775.62388</c:v>
                </c:pt>
                <c:pt idx="6855">
                  <c:v>-157625.923125</c:v>
                </c:pt>
                <c:pt idx="6856">
                  <c:v>-157476.31712000002</c:v>
                </c:pt>
                <c:pt idx="6857">
                  <c:v>-157326.805835</c:v>
                </c:pt>
                <c:pt idx="6858">
                  <c:v>-157177.38924000002</c:v>
                </c:pt>
                <c:pt idx="6859">
                  <c:v>-157028.067305</c:v>
                </c:pt>
                <c:pt idx="6860">
                  <c:v>-156878.84</c:v>
                </c:pt>
                <c:pt idx="6861">
                  <c:v>-156729.707295</c:v>
                </c:pt>
                <c:pt idx="6862">
                  <c:v>-156580.66916000002</c:v>
                </c:pt>
                <c:pt idx="6863">
                  <c:v>-156431.725565</c:v>
                </c:pt>
                <c:pt idx="6864">
                  <c:v>-156282.87647999998</c:v>
                </c:pt>
                <c:pt idx="6865">
                  <c:v>-156134.121875</c:v>
                </c:pt>
                <c:pt idx="6866">
                  <c:v>-155985.46172</c:v>
                </c:pt>
                <c:pt idx="6867">
                  <c:v>-155836.895985</c:v>
                </c:pt>
                <c:pt idx="6868">
                  <c:v>-155688.42464</c:v>
                </c:pt>
                <c:pt idx="6869">
                  <c:v>-155540.047655</c:v>
                </c:pt>
                <c:pt idx="6870">
                  <c:v>-155391.765</c:v>
                </c:pt>
                <c:pt idx="6871">
                  <c:v>-155243.576645</c:v>
                </c:pt>
                <c:pt idx="6872">
                  <c:v>-155095.48256</c:v>
                </c:pt>
                <c:pt idx="6873">
                  <c:v>-154947.48271500002</c:v>
                </c:pt>
                <c:pt idx="6874">
                  <c:v>-154799.57708</c:v>
                </c:pt>
                <c:pt idx="6875">
                  <c:v>-154651.765625</c:v>
                </c:pt>
                <c:pt idx="6876">
                  <c:v>-154504.04832</c:v>
                </c:pt>
                <c:pt idx="6877">
                  <c:v>-154356.425135</c:v>
                </c:pt>
                <c:pt idx="6878">
                  <c:v>-154208.89604</c:v>
                </c:pt>
                <c:pt idx="6879">
                  <c:v>-154061.461005</c:v>
                </c:pt>
                <c:pt idx="6880">
                  <c:v>-153914.12000000002</c:v>
                </c:pt>
                <c:pt idx="6881">
                  <c:v>-153766.87299499998</c:v>
                </c:pt>
                <c:pt idx="6882">
                  <c:v>-153619.71996</c:v>
                </c:pt>
                <c:pt idx="6883">
                  <c:v>-153472.66086499998</c:v>
                </c:pt>
                <c:pt idx="6884">
                  <c:v>-153325.69568</c:v>
                </c:pt>
                <c:pt idx="6885">
                  <c:v>-153178.824375</c:v>
                </c:pt>
                <c:pt idx="6886">
                  <c:v>-153032.04692000002</c:v>
                </c:pt>
                <c:pt idx="6887">
                  <c:v>-152885.363285</c:v>
                </c:pt>
                <c:pt idx="6888">
                  <c:v>-152738.77344000002</c:v>
                </c:pt>
                <c:pt idx="6889">
                  <c:v>-152592.277355</c:v>
                </c:pt>
                <c:pt idx="6890">
                  <c:v>-152445.875</c:v>
                </c:pt>
                <c:pt idx="6891">
                  <c:v>-152299.566345</c:v>
                </c:pt>
                <c:pt idx="6892">
                  <c:v>-152153.35136</c:v>
                </c:pt>
                <c:pt idx="6893">
                  <c:v>-152007.230015</c:v>
                </c:pt>
                <c:pt idx="6894">
                  <c:v>-151861.20228</c:v>
                </c:pt>
                <c:pt idx="6895">
                  <c:v>-151715.268125</c:v>
                </c:pt>
                <c:pt idx="6896">
                  <c:v>-151569.42752</c:v>
                </c:pt>
                <c:pt idx="6897">
                  <c:v>-151423.680435</c:v>
                </c:pt>
                <c:pt idx="6898">
                  <c:v>-151278.02684</c:v>
                </c:pt>
                <c:pt idx="6899">
                  <c:v>-151132.466705</c:v>
                </c:pt>
                <c:pt idx="6900">
                  <c:v>-150987.0</c:v>
                </c:pt>
                <c:pt idx="6901">
                  <c:v>-150841.626695</c:v>
                </c:pt>
                <c:pt idx="6902">
                  <c:v>-150696.34676000001</c:v>
                </c:pt>
                <c:pt idx="6903">
                  <c:v>-150551.160165</c:v>
                </c:pt>
                <c:pt idx="6904">
                  <c:v>-150406.06688</c:v>
                </c:pt>
                <c:pt idx="6905">
                  <c:v>-150261.066875</c:v>
                </c:pt>
                <c:pt idx="6906">
                  <c:v>-150116.16012</c:v>
                </c:pt>
                <c:pt idx="6907">
                  <c:v>-149971.346585</c:v>
                </c:pt>
                <c:pt idx="6908">
                  <c:v>-149826.62624</c:v>
                </c:pt>
                <c:pt idx="6909">
                  <c:v>-149681.999055</c:v>
                </c:pt>
                <c:pt idx="6910">
                  <c:v>-149537.465</c:v>
                </c:pt>
                <c:pt idx="6911">
                  <c:v>-149393.024045</c:v>
                </c:pt>
                <c:pt idx="6912">
                  <c:v>-149248.67616</c:v>
                </c:pt>
                <c:pt idx="6913">
                  <c:v>-149104.421315</c:v>
                </c:pt>
                <c:pt idx="6914">
                  <c:v>-148960.25947999998</c:v>
                </c:pt>
                <c:pt idx="6915">
                  <c:v>-148816.190625</c:v>
                </c:pt>
                <c:pt idx="6916">
                  <c:v>-148672.21472</c:v>
                </c:pt>
                <c:pt idx="6917">
                  <c:v>-148528.331735</c:v>
                </c:pt>
                <c:pt idx="6918">
                  <c:v>-148384.54164</c:v>
                </c:pt>
                <c:pt idx="6919">
                  <c:v>-148240.84440499998</c:v>
                </c:pt>
                <c:pt idx="6920">
                  <c:v>-148097.24000000002</c:v>
                </c:pt>
                <c:pt idx="6921">
                  <c:v>-147953.728395</c:v>
                </c:pt>
                <c:pt idx="6922">
                  <c:v>-147810.30956</c:v>
                </c:pt>
                <c:pt idx="6923">
                  <c:v>-147666.983465</c:v>
                </c:pt>
                <c:pt idx="6924">
                  <c:v>-147523.75008</c:v>
                </c:pt>
                <c:pt idx="6925">
                  <c:v>-147380.609375</c:v>
                </c:pt>
                <c:pt idx="6926">
                  <c:v>-147237.56131999998</c:v>
                </c:pt>
                <c:pt idx="6927">
                  <c:v>-147094.605885</c:v>
                </c:pt>
                <c:pt idx="6928">
                  <c:v>-146951.74304</c:v>
                </c:pt>
                <c:pt idx="6929">
                  <c:v>-146808.972755</c:v>
                </c:pt>
                <c:pt idx="6930">
                  <c:v>-146666.295</c:v>
                </c:pt>
                <c:pt idx="6931">
                  <c:v>-146523.709745</c:v>
                </c:pt>
                <c:pt idx="6932">
                  <c:v>-146381.21696</c:v>
                </c:pt>
                <c:pt idx="6933">
                  <c:v>-146238.816615</c:v>
                </c:pt>
                <c:pt idx="6934">
                  <c:v>-146096.50868</c:v>
                </c:pt>
                <c:pt idx="6935">
                  <c:v>-145954.293125</c:v>
                </c:pt>
                <c:pt idx="6936">
                  <c:v>-145812.16992000001</c:v>
                </c:pt>
                <c:pt idx="6937">
                  <c:v>-145670.139035</c:v>
                </c:pt>
                <c:pt idx="6938">
                  <c:v>-145528.20044</c:v>
                </c:pt>
                <c:pt idx="6939">
                  <c:v>-145386.354105</c:v>
                </c:pt>
                <c:pt idx="6940">
                  <c:v>-145244.6</c:v>
                </c:pt>
                <c:pt idx="6941">
                  <c:v>-145102.938095</c:v>
                </c:pt>
                <c:pt idx="6942">
                  <c:v>-144961.36836</c:v>
                </c:pt>
                <c:pt idx="6943">
                  <c:v>-144819.890765</c:v>
                </c:pt>
                <c:pt idx="6944">
                  <c:v>-144678.50527999998</c:v>
                </c:pt>
                <c:pt idx="6945">
                  <c:v>-144537.211875</c:v>
                </c:pt>
                <c:pt idx="6946">
                  <c:v>-144396.01051999998</c:v>
                </c:pt>
                <c:pt idx="6947">
                  <c:v>-144254.901185</c:v>
                </c:pt>
                <c:pt idx="6948">
                  <c:v>-144113.88384</c:v>
                </c:pt>
                <c:pt idx="6949">
                  <c:v>-143972.95845499999</c:v>
                </c:pt>
                <c:pt idx="6950">
                  <c:v>-143832.125</c:v>
                </c:pt>
                <c:pt idx="6951">
                  <c:v>-143691.383445</c:v>
                </c:pt>
                <c:pt idx="6952">
                  <c:v>-143550.73376</c:v>
                </c:pt>
                <c:pt idx="6953">
                  <c:v>-143410.175915</c:v>
                </c:pt>
                <c:pt idx="6954">
                  <c:v>-143269.70987999998</c:v>
                </c:pt>
                <c:pt idx="6955">
                  <c:v>-143129.33562499998</c:v>
                </c:pt>
                <c:pt idx="6956">
                  <c:v>-142989.05312</c:v>
                </c:pt>
                <c:pt idx="6957">
                  <c:v>-142848.862335</c:v>
                </c:pt>
                <c:pt idx="6958">
                  <c:v>-142708.76324</c:v>
                </c:pt>
                <c:pt idx="6959">
                  <c:v>-142568.75580500002</c:v>
                </c:pt>
                <c:pt idx="6960">
                  <c:v>-142428.84</c:v>
                </c:pt>
                <c:pt idx="6961">
                  <c:v>-142289.01579499998</c:v>
                </c:pt>
                <c:pt idx="6962">
                  <c:v>-142149.28316</c:v>
                </c:pt>
                <c:pt idx="6963">
                  <c:v>-142009.642065</c:v>
                </c:pt>
                <c:pt idx="6964">
                  <c:v>-141870.09248</c:v>
                </c:pt>
                <c:pt idx="6965">
                  <c:v>-141730.634375</c:v>
                </c:pt>
                <c:pt idx="6966">
                  <c:v>-141591.26771999997</c:v>
                </c:pt>
                <c:pt idx="6967">
                  <c:v>-141451.992485</c:v>
                </c:pt>
                <c:pt idx="6968">
                  <c:v>-141312.80864</c:v>
                </c:pt>
                <c:pt idx="6969">
                  <c:v>-141173.716155</c:v>
                </c:pt>
                <c:pt idx="6970">
                  <c:v>-141034.715</c:v>
                </c:pt>
                <c:pt idx="6971">
                  <c:v>-140895.805145</c:v>
                </c:pt>
                <c:pt idx="6972">
                  <c:v>-140756.98656</c:v>
                </c:pt>
                <c:pt idx="6973">
                  <c:v>-140618.259215</c:v>
                </c:pt>
                <c:pt idx="6974">
                  <c:v>-140479.62308000002</c:v>
                </c:pt>
                <c:pt idx="6975">
                  <c:v>-140341.078125</c:v>
                </c:pt>
                <c:pt idx="6976">
                  <c:v>-140202.62432</c:v>
                </c:pt>
                <c:pt idx="6977">
                  <c:v>-140064.26163499997</c:v>
                </c:pt>
                <c:pt idx="6978">
                  <c:v>-139925.99004</c:v>
                </c:pt>
                <c:pt idx="6979">
                  <c:v>-139787.80950499998</c:v>
                </c:pt>
                <c:pt idx="6980">
                  <c:v>-139649.72</c:v>
                </c:pt>
                <c:pt idx="6981">
                  <c:v>-139511.721495</c:v>
                </c:pt>
                <c:pt idx="6982">
                  <c:v>-139373.81396</c:v>
                </c:pt>
                <c:pt idx="6983">
                  <c:v>-139235.997365</c:v>
                </c:pt>
                <c:pt idx="6984">
                  <c:v>-139098.27167999998</c:v>
                </c:pt>
                <c:pt idx="6985">
                  <c:v>-138960.636875</c:v>
                </c:pt>
                <c:pt idx="6986">
                  <c:v>-138823.09292000002</c:v>
                </c:pt>
                <c:pt idx="6987">
                  <c:v>-138685.639785</c:v>
                </c:pt>
                <c:pt idx="6988">
                  <c:v>-138548.27743999998</c:v>
                </c:pt>
                <c:pt idx="6989">
                  <c:v>-138411.005855</c:v>
                </c:pt>
                <c:pt idx="6990">
                  <c:v>-138273.825</c:v>
                </c:pt>
                <c:pt idx="6991">
                  <c:v>-138136.73484500003</c:v>
                </c:pt>
                <c:pt idx="6992">
                  <c:v>-137999.73536</c:v>
                </c:pt>
                <c:pt idx="6993">
                  <c:v>-137862.826515</c:v>
                </c:pt>
                <c:pt idx="6994">
                  <c:v>-137726.00827999998</c:v>
                </c:pt>
                <c:pt idx="6995">
                  <c:v>-137589.280625</c:v>
                </c:pt>
                <c:pt idx="6996">
                  <c:v>-137452.64352</c:v>
                </c:pt>
                <c:pt idx="6997">
                  <c:v>-137316.09693499998</c:v>
                </c:pt>
                <c:pt idx="6998">
                  <c:v>-137179.64084</c:v>
                </c:pt>
                <c:pt idx="6999">
                  <c:v>-137043.27520499998</c:v>
                </c:pt>
                <c:pt idx="7000">
                  <c:v>-136907.0</c:v>
                </c:pt>
                <c:pt idx="7001">
                  <c:v>-136770.815195</c:v>
                </c:pt>
                <c:pt idx="7002">
                  <c:v>-136634.72076</c:v>
                </c:pt>
                <c:pt idx="7003">
                  <c:v>-136498.716665</c:v>
                </c:pt>
                <c:pt idx="7004">
                  <c:v>-136362.80288</c:v>
                </c:pt>
                <c:pt idx="7005">
                  <c:v>-136226.97937500002</c:v>
                </c:pt>
                <c:pt idx="7006">
                  <c:v>-136091.24612</c:v>
                </c:pt>
                <c:pt idx="7007">
                  <c:v>-135955.603085</c:v>
                </c:pt>
                <c:pt idx="7008">
                  <c:v>-135820.05024</c:v>
                </c:pt>
                <c:pt idx="7009">
                  <c:v>-135684.58755499998</c:v>
                </c:pt>
                <c:pt idx="7010">
                  <c:v>-135549.215</c:v>
                </c:pt>
                <c:pt idx="7011">
                  <c:v>-135413.932545</c:v>
                </c:pt>
                <c:pt idx="7012">
                  <c:v>-135278.74016000002</c:v>
                </c:pt>
                <c:pt idx="7013">
                  <c:v>-135143.63781500002</c:v>
                </c:pt>
                <c:pt idx="7014">
                  <c:v>-135008.62548</c:v>
                </c:pt>
                <c:pt idx="7015">
                  <c:v>-134873.703125</c:v>
                </c:pt>
                <c:pt idx="7016">
                  <c:v>-134738.87072</c:v>
                </c:pt>
                <c:pt idx="7017">
                  <c:v>-134604.12823499998</c:v>
                </c:pt>
                <c:pt idx="7018">
                  <c:v>-134469.47564000002</c:v>
                </c:pt>
                <c:pt idx="7019">
                  <c:v>-134334.912905</c:v>
                </c:pt>
                <c:pt idx="7020">
                  <c:v>-134200.44</c:v>
                </c:pt>
                <c:pt idx="7021">
                  <c:v>-134066.056895</c:v>
                </c:pt>
                <c:pt idx="7022">
                  <c:v>-133931.76356</c:v>
                </c:pt>
                <c:pt idx="7023">
                  <c:v>-133797.559965</c:v>
                </c:pt>
                <c:pt idx="7024">
                  <c:v>-133663.44608</c:v>
                </c:pt>
                <c:pt idx="7025">
                  <c:v>-133529.421875</c:v>
                </c:pt>
                <c:pt idx="7026">
                  <c:v>-133395.48732000001</c:v>
                </c:pt>
                <c:pt idx="7027">
                  <c:v>-133261.642385</c:v>
                </c:pt>
                <c:pt idx="7028">
                  <c:v>-133127.88704</c:v>
                </c:pt>
                <c:pt idx="7029">
                  <c:v>-132994.221255</c:v>
                </c:pt>
                <c:pt idx="7030">
                  <c:v>-132860.645</c:v>
                </c:pt>
                <c:pt idx="7031">
                  <c:v>-132727.158245</c:v>
                </c:pt>
                <c:pt idx="7032">
                  <c:v>-132593.76095999999</c:v>
                </c:pt>
                <c:pt idx="7033">
                  <c:v>-132460.45311499998</c:v>
                </c:pt>
                <c:pt idx="7034">
                  <c:v>-132327.23468</c:v>
                </c:pt>
                <c:pt idx="7035">
                  <c:v>-132194.105625</c:v>
                </c:pt>
                <c:pt idx="7036">
                  <c:v>-132061.06592000002</c:v>
                </c:pt>
                <c:pt idx="7037">
                  <c:v>-131928.115535</c:v>
                </c:pt>
                <c:pt idx="7038">
                  <c:v>-131795.25444000002</c:v>
                </c:pt>
                <c:pt idx="7039">
                  <c:v>-131662.482605</c:v>
                </c:pt>
                <c:pt idx="7040">
                  <c:v>-131529.8</c:v>
                </c:pt>
                <c:pt idx="7041">
                  <c:v>-131397.206595</c:v>
                </c:pt>
                <c:pt idx="7042">
                  <c:v>-131264.70236</c:v>
                </c:pt>
                <c:pt idx="7043">
                  <c:v>-131132.287265</c:v>
                </c:pt>
                <c:pt idx="7044">
                  <c:v>-130999.96128</c:v>
                </c:pt>
                <c:pt idx="7045">
                  <c:v>-130867.724375</c:v>
                </c:pt>
                <c:pt idx="7046">
                  <c:v>-130735.57652</c:v>
                </c:pt>
                <c:pt idx="7047">
                  <c:v>-130603.51768500001</c:v>
                </c:pt>
                <c:pt idx="7048">
                  <c:v>-130471.54784</c:v>
                </c:pt>
                <c:pt idx="7049">
                  <c:v>-130339.666955</c:v>
                </c:pt>
                <c:pt idx="7050">
                  <c:v>-130207.875</c:v>
                </c:pt>
                <c:pt idx="7051">
                  <c:v>-130076.17194500001</c:v>
                </c:pt>
                <c:pt idx="7052">
                  <c:v>-129944.55776000001</c:v>
                </c:pt>
                <c:pt idx="7053">
                  <c:v>-129813.03241500001</c:v>
                </c:pt>
                <c:pt idx="7054">
                  <c:v>-129681.59588</c:v>
                </c:pt>
                <c:pt idx="7055">
                  <c:v>-129550.24812500001</c:v>
                </c:pt>
                <c:pt idx="7056">
                  <c:v>-129418.98912</c:v>
                </c:pt>
                <c:pt idx="7057">
                  <c:v>-129287.818835</c:v>
                </c:pt>
                <c:pt idx="7058">
                  <c:v>-129156.73724</c:v>
                </c:pt>
                <c:pt idx="7059">
                  <c:v>-129025.744305</c:v>
                </c:pt>
                <c:pt idx="7060">
                  <c:v>-128894.84000000001</c:v>
                </c:pt>
                <c:pt idx="7061">
                  <c:v>-128764.024295</c:v>
                </c:pt>
                <c:pt idx="7062">
                  <c:v>-128633.29715999999</c:v>
                </c:pt>
                <c:pt idx="7063">
                  <c:v>-128502.658565</c:v>
                </c:pt>
                <c:pt idx="7064">
                  <c:v>-128372.10848000001</c:v>
                </c:pt>
                <c:pt idx="7065">
                  <c:v>-128241.64687499999</c:v>
                </c:pt>
                <c:pt idx="7066">
                  <c:v>-128111.27372</c:v>
                </c:pt>
                <c:pt idx="7067">
                  <c:v>-127980.98898499999</c:v>
                </c:pt>
                <c:pt idx="7068">
                  <c:v>-127850.79264</c:v>
                </c:pt>
                <c:pt idx="7069">
                  <c:v>-127720.68465499999</c:v>
                </c:pt>
                <c:pt idx="7070">
                  <c:v>-127590.66500000001</c:v>
                </c:pt>
                <c:pt idx="7071">
                  <c:v>-127460.733645</c:v>
                </c:pt>
                <c:pt idx="7072">
                  <c:v>-127330.89056</c:v>
                </c:pt>
                <c:pt idx="7073">
                  <c:v>-127201.135715</c:v>
                </c:pt>
                <c:pt idx="7074">
                  <c:v>-127071.46908</c:v>
                </c:pt>
                <c:pt idx="7075">
                  <c:v>-126941.890625</c:v>
                </c:pt>
                <c:pt idx="7076">
                  <c:v>-126812.40032</c:v>
                </c:pt>
                <c:pt idx="7077">
                  <c:v>-126682.998135</c:v>
                </c:pt>
                <c:pt idx="7078">
                  <c:v>-126553.68404000001</c:v>
                </c:pt>
                <c:pt idx="7079">
                  <c:v>-126424.458005</c:v>
                </c:pt>
                <c:pt idx="7080">
                  <c:v>-126295.32</c:v>
                </c:pt>
                <c:pt idx="7081">
                  <c:v>-126166.26999500001</c:v>
                </c:pt>
                <c:pt idx="7082">
                  <c:v>-126037.30796</c:v>
                </c:pt>
                <c:pt idx="7083">
                  <c:v>-125908.433865</c:v>
                </c:pt>
                <c:pt idx="7084">
                  <c:v>-125779.64768</c:v>
                </c:pt>
                <c:pt idx="7085">
                  <c:v>-125650.949375</c:v>
                </c:pt>
                <c:pt idx="7086">
                  <c:v>-125522.33892</c:v>
                </c:pt>
                <c:pt idx="7087">
                  <c:v>-125393.816285</c:v>
                </c:pt>
                <c:pt idx="7088">
                  <c:v>-125265.38144</c:v>
                </c:pt>
                <c:pt idx="7089">
                  <c:v>-125137.034355</c:v>
                </c:pt>
                <c:pt idx="7090">
                  <c:v>-125008.775</c:v>
                </c:pt>
                <c:pt idx="7091">
                  <c:v>-124880.603345</c:v>
                </c:pt>
                <c:pt idx="7092">
                  <c:v>-124752.51935999999</c:v>
                </c:pt>
                <c:pt idx="7093">
                  <c:v>-124624.523015</c:v>
                </c:pt>
                <c:pt idx="7094">
                  <c:v>-124496.61428000001</c:v>
                </c:pt>
                <c:pt idx="7095">
                  <c:v>-124368.79312500001</c:v>
                </c:pt>
                <c:pt idx="7096">
                  <c:v>-124241.05952</c:v>
                </c:pt>
                <c:pt idx="7097">
                  <c:v>-124113.413435</c:v>
                </c:pt>
                <c:pt idx="7098">
                  <c:v>-123985.85484</c:v>
                </c:pt>
                <c:pt idx="7099">
                  <c:v>-123858.383705</c:v>
                </c:pt>
                <c:pt idx="7100">
                  <c:v>-123731.0</c:v>
                </c:pt>
                <c:pt idx="7101">
                  <c:v>-123603.703695</c:v>
                </c:pt>
                <c:pt idx="7102">
                  <c:v>-123476.49476</c:v>
                </c:pt>
                <c:pt idx="7103">
                  <c:v>-123349.373165</c:v>
                </c:pt>
                <c:pt idx="7104">
                  <c:v>-123222.33888000001</c:v>
                </c:pt>
                <c:pt idx="7105">
                  <c:v>-123095.391875</c:v>
                </c:pt>
                <c:pt idx="7106">
                  <c:v>-122968.53211999999</c:v>
                </c:pt>
                <c:pt idx="7107">
                  <c:v>-122841.75958499999</c:v>
                </c:pt>
                <c:pt idx="7108">
                  <c:v>-122715.07424</c:v>
                </c:pt>
                <c:pt idx="7109">
                  <c:v>-122588.476055</c:v>
                </c:pt>
                <c:pt idx="7110">
                  <c:v>-122461.965</c:v>
                </c:pt>
                <c:pt idx="7111">
                  <c:v>-122335.541045</c:v>
                </c:pt>
                <c:pt idx="7112">
                  <c:v>-122209.20416000001</c:v>
                </c:pt>
                <c:pt idx="7113">
                  <c:v>-122082.954315</c:v>
                </c:pt>
                <c:pt idx="7114">
                  <c:v>-121956.79148</c:v>
                </c:pt>
                <c:pt idx="7115">
                  <c:v>-121830.71562500001</c:v>
                </c:pt>
                <c:pt idx="7116">
                  <c:v>-121704.72671999999</c:v>
                </c:pt>
                <c:pt idx="7117">
                  <c:v>-121578.824735</c:v>
                </c:pt>
                <c:pt idx="7118">
                  <c:v>-121453.00963999999</c:v>
                </c:pt>
                <c:pt idx="7119">
                  <c:v>-121327.281405</c:v>
                </c:pt>
                <c:pt idx="7120">
                  <c:v>-121201.64000000001</c:v>
                </c:pt>
                <c:pt idx="7121">
                  <c:v>-121076.085395</c:v>
                </c:pt>
                <c:pt idx="7122">
                  <c:v>-120950.61756</c:v>
                </c:pt>
                <c:pt idx="7123">
                  <c:v>-120825.23646500001</c:v>
                </c:pt>
                <c:pt idx="7124">
                  <c:v>-120699.94208000001</c:v>
                </c:pt>
                <c:pt idx="7125">
                  <c:v>-120574.734375</c:v>
                </c:pt>
                <c:pt idx="7126">
                  <c:v>-120449.61332</c:v>
                </c:pt>
                <c:pt idx="7127">
                  <c:v>-120324.57888500001</c:v>
                </c:pt>
                <c:pt idx="7128">
                  <c:v>-120199.63104000001</c:v>
                </c:pt>
                <c:pt idx="7129">
                  <c:v>-120074.769755</c:v>
                </c:pt>
                <c:pt idx="7130">
                  <c:v>-119949.995</c:v>
                </c:pt>
                <c:pt idx="7131">
                  <c:v>-119825.306745</c:v>
                </c:pt>
                <c:pt idx="7132">
                  <c:v>-119700.70496</c:v>
                </c:pt>
                <c:pt idx="7133">
                  <c:v>-119576.189615</c:v>
                </c:pt>
                <c:pt idx="7134">
                  <c:v>-119451.76068</c:v>
                </c:pt>
                <c:pt idx="7135">
                  <c:v>-119327.418125</c:v>
                </c:pt>
                <c:pt idx="7136">
                  <c:v>-119203.16192000001</c:v>
                </c:pt>
                <c:pt idx="7137">
                  <c:v>-119078.992035</c:v>
                </c:pt>
                <c:pt idx="7138">
                  <c:v>-118954.90844</c:v>
                </c:pt>
                <c:pt idx="7139">
                  <c:v>-118830.91110499999</c:v>
                </c:pt>
                <c:pt idx="7140">
                  <c:v>-118707.0</c:v>
                </c:pt>
                <c:pt idx="7141">
                  <c:v>-118583.175095</c:v>
                </c:pt>
                <c:pt idx="7142">
                  <c:v>-118459.43636</c:v>
                </c:pt>
                <c:pt idx="7143">
                  <c:v>-118335.783765</c:v>
                </c:pt>
                <c:pt idx="7144">
                  <c:v>-118212.21728</c:v>
                </c:pt>
                <c:pt idx="7145">
                  <c:v>-118088.736875</c:v>
                </c:pt>
                <c:pt idx="7146">
                  <c:v>-117965.34252</c:v>
                </c:pt>
                <c:pt idx="7147">
                  <c:v>-117842.034185</c:v>
                </c:pt>
                <c:pt idx="7148">
                  <c:v>-117718.81184</c:v>
                </c:pt>
                <c:pt idx="7149">
                  <c:v>-117595.675455</c:v>
                </c:pt>
                <c:pt idx="7150">
                  <c:v>-117472.625</c:v>
                </c:pt>
                <c:pt idx="7151">
                  <c:v>-117349.660445</c:v>
                </c:pt>
                <c:pt idx="7152">
                  <c:v>-117226.78176</c:v>
                </c:pt>
                <c:pt idx="7153">
                  <c:v>-117103.98891500001</c:v>
                </c:pt>
                <c:pt idx="7154">
                  <c:v>-116981.28188</c:v>
                </c:pt>
                <c:pt idx="7155">
                  <c:v>-116858.66062499999</c:v>
                </c:pt>
                <c:pt idx="7156">
                  <c:v>-116736.12512</c:v>
                </c:pt>
                <c:pt idx="7157">
                  <c:v>-116613.67533499999</c:v>
                </c:pt>
                <c:pt idx="7158">
                  <c:v>-116491.31124000001</c:v>
                </c:pt>
                <c:pt idx="7159">
                  <c:v>-116369.032805</c:v>
                </c:pt>
                <c:pt idx="7160">
                  <c:v>-116246.84</c:v>
                </c:pt>
                <c:pt idx="7161">
                  <c:v>-116124.732795</c:v>
                </c:pt>
                <c:pt idx="7162">
                  <c:v>-116002.71115999999</c:v>
                </c:pt>
                <c:pt idx="7163">
                  <c:v>-115880.775065</c:v>
                </c:pt>
                <c:pt idx="7164">
                  <c:v>-115758.92448</c:v>
                </c:pt>
                <c:pt idx="7165">
                  <c:v>-115637.159375</c:v>
                </c:pt>
                <c:pt idx="7166">
                  <c:v>-115515.47972</c:v>
                </c:pt>
                <c:pt idx="7167">
                  <c:v>-115393.885485</c:v>
                </c:pt>
                <c:pt idx="7168">
                  <c:v>-115272.37664</c:v>
                </c:pt>
                <c:pt idx="7169">
                  <c:v>-115150.953155</c:v>
                </c:pt>
                <c:pt idx="7170">
                  <c:v>-115029.615</c:v>
                </c:pt>
                <c:pt idx="7171">
                  <c:v>-114908.36214499999</c:v>
                </c:pt>
                <c:pt idx="7172">
                  <c:v>-114787.19456</c:v>
                </c:pt>
                <c:pt idx="7173">
                  <c:v>-114666.112215</c:v>
                </c:pt>
                <c:pt idx="7174">
                  <c:v>-114545.11507999999</c:v>
                </c:pt>
                <c:pt idx="7175">
                  <c:v>-114424.203125</c:v>
                </c:pt>
                <c:pt idx="7176">
                  <c:v>-114303.37632</c:v>
                </c:pt>
                <c:pt idx="7177">
                  <c:v>-114182.634635</c:v>
                </c:pt>
                <c:pt idx="7178">
                  <c:v>-114061.97804</c:v>
                </c:pt>
                <c:pt idx="7179">
                  <c:v>-113941.40650499999</c:v>
                </c:pt>
                <c:pt idx="7180">
                  <c:v>-113820.92000000001</c:v>
                </c:pt>
                <c:pt idx="7181">
                  <c:v>-113700.518495</c:v>
                </c:pt>
                <c:pt idx="7182">
                  <c:v>-113580.20196</c:v>
                </c:pt>
                <c:pt idx="7183">
                  <c:v>-113459.970365</c:v>
                </c:pt>
                <c:pt idx="7184">
                  <c:v>-113339.82368</c:v>
                </c:pt>
                <c:pt idx="7185">
                  <c:v>-113219.76187500001</c:v>
                </c:pt>
                <c:pt idx="7186">
                  <c:v>-113099.78492</c:v>
                </c:pt>
                <c:pt idx="7187">
                  <c:v>-112979.892785</c:v>
                </c:pt>
                <c:pt idx="7188">
                  <c:v>-112860.08544</c:v>
                </c:pt>
                <c:pt idx="7189">
                  <c:v>-112740.362855</c:v>
                </c:pt>
                <c:pt idx="7190">
                  <c:v>-112620.72499999999</c:v>
                </c:pt>
                <c:pt idx="7191">
                  <c:v>-112501.171845</c:v>
                </c:pt>
                <c:pt idx="7192">
                  <c:v>-112381.70336</c:v>
                </c:pt>
                <c:pt idx="7193">
                  <c:v>-112262.319515</c:v>
                </c:pt>
                <c:pt idx="7194">
                  <c:v>-112143.02028</c:v>
                </c:pt>
                <c:pt idx="7195">
                  <c:v>-112023.80562500001</c:v>
                </c:pt>
                <c:pt idx="7196">
                  <c:v>-111904.67552</c:v>
                </c:pt>
                <c:pt idx="7197">
                  <c:v>-111785.62993499999</c:v>
                </c:pt>
                <c:pt idx="7198">
                  <c:v>-111666.66884</c:v>
                </c:pt>
                <c:pt idx="7199">
                  <c:v>-111547.792205</c:v>
                </c:pt>
                <c:pt idx="7200">
                  <c:v>-111429.0</c:v>
                </c:pt>
                <c:pt idx="7201">
                  <c:v>-111310.292195</c:v>
                </c:pt>
                <c:pt idx="7202">
                  <c:v>-111191.66876</c:v>
                </c:pt>
                <c:pt idx="7203">
                  <c:v>-111073.129665</c:v>
                </c:pt>
                <c:pt idx="7204">
                  <c:v>-110954.67488</c:v>
                </c:pt>
                <c:pt idx="7205">
                  <c:v>-110836.304375</c:v>
                </c:pt>
                <c:pt idx="7206">
                  <c:v>-110718.01812000001</c:v>
                </c:pt>
                <c:pt idx="7207">
                  <c:v>-110599.816085</c:v>
                </c:pt>
                <c:pt idx="7208">
                  <c:v>-110481.69824</c:v>
                </c:pt>
                <c:pt idx="7209">
                  <c:v>-110363.664555</c:v>
                </c:pt>
                <c:pt idx="7210">
                  <c:v>-110245.715</c:v>
                </c:pt>
                <c:pt idx="7211">
                  <c:v>-110127.849545</c:v>
                </c:pt>
                <c:pt idx="7212">
                  <c:v>-110010.06816000001</c:v>
                </c:pt>
                <c:pt idx="7213">
                  <c:v>-109892.370815</c:v>
                </c:pt>
                <c:pt idx="7214">
                  <c:v>-109774.75748</c:v>
                </c:pt>
                <c:pt idx="7215">
                  <c:v>-109657.228125</c:v>
                </c:pt>
                <c:pt idx="7216">
                  <c:v>-109539.78272</c:v>
                </c:pt>
                <c:pt idx="7217">
                  <c:v>-109422.421235</c:v>
                </c:pt>
                <c:pt idx="7218">
                  <c:v>-109305.14364</c:v>
                </c:pt>
                <c:pt idx="7219">
                  <c:v>-109187.949905</c:v>
                </c:pt>
                <c:pt idx="7220">
                  <c:v>-109070.84000000001</c:v>
                </c:pt>
                <c:pt idx="7221">
                  <c:v>-108953.813895</c:v>
                </c:pt>
                <c:pt idx="7222">
                  <c:v>-108836.87156</c:v>
                </c:pt>
                <c:pt idx="7223">
                  <c:v>-108720.012965</c:v>
                </c:pt>
                <c:pt idx="7224">
                  <c:v>-108603.23808</c:v>
                </c:pt>
                <c:pt idx="7225">
                  <c:v>-108486.546875</c:v>
                </c:pt>
                <c:pt idx="7226">
                  <c:v>-108369.93931999999</c:v>
                </c:pt>
                <c:pt idx="7227">
                  <c:v>-108253.415385</c:v>
                </c:pt>
                <c:pt idx="7228">
                  <c:v>-108136.97503999999</c:v>
                </c:pt>
                <c:pt idx="7229">
                  <c:v>-108020.61825500001</c:v>
                </c:pt>
                <c:pt idx="7230">
                  <c:v>-107904.345</c:v>
                </c:pt>
                <c:pt idx="7231">
                  <c:v>-107788.155245</c:v>
                </c:pt>
                <c:pt idx="7232">
                  <c:v>-107672.04896</c:v>
                </c:pt>
                <c:pt idx="7233">
                  <c:v>-107556.026115</c:v>
                </c:pt>
                <c:pt idx="7234">
                  <c:v>-107440.08668000001</c:v>
                </c:pt>
                <c:pt idx="7235">
                  <c:v>-107324.230625</c:v>
                </c:pt>
                <c:pt idx="7236">
                  <c:v>-107208.45792</c:v>
                </c:pt>
                <c:pt idx="7237">
                  <c:v>-107092.768535</c:v>
                </c:pt>
                <c:pt idx="7238">
                  <c:v>-106977.16244</c:v>
                </c:pt>
                <c:pt idx="7239">
                  <c:v>-106861.639605</c:v>
                </c:pt>
                <c:pt idx="7240">
                  <c:v>-106746.20000000001</c:v>
                </c:pt>
                <c:pt idx="7241">
                  <c:v>-106630.843595</c:v>
                </c:pt>
                <c:pt idx="7242">
                  <c:v>-106515.57036000001</c:v>
                </c:pt>
                <c:pt idx="7243">
                  <c:v>-106400.380265</c:v>
                </c:pt>
                <c:pt idx="7244">
                  <c:v>-106285.27328000001</c:v>
                </c:pt>
                <c:pt idx="7245">
                  <c:v>-106170.24937500001</c:v>
                </c:pt>
                <c:pt idx="7246">
                  <c:v>-106055.30852</c:v>
                </c:pt>
                <c:pt idx="7247">
                  <c:v>-105940.45068499999</c:v>
                </c:pt>
                <c:pt idx="7248">
                  <c:v>-105825.67584</c:v>
                </c:pt>
                <c:pt idx="7249">
                  <c:v>-105710.983955</c:v>
                </c:pt>
                <c:pt idx="7250">
                  <c:v>-105596.375</c:v>
                </c:pt>
                <c:pt idx="7251">
                  <c:v>-105481.848945</c:v>
                </c:pt>
                <c:pt idx="7252">
                  <c:v>-105367.40576</c:v>
                </c:pt>
                <c:pt idx="7253">
                  <c:v>-105253.045415</c:v>
                </c:pt>
                <c:pt idx="7254">
                  <c:v>-105138.76788</c:v>
                </c:pt>
                <c:pt idx="7255">
                  <c:v>-105024.573125</c:v>
                </c:pt>
                <c:pt idx="7256">
                  <c:v>-104910.46111999999</c:v>
                </c:pt>
                <c:pt idx="7257">
                  <c:v>-104796.431835</c:v>
                </c:pt>
                <c:pt idx="7258">
                  <c:v>-104682.48524</c:v>
                </c:pt>
                <c:pt idx="7259">
                  <c:v>-104568.621305</c:v>
                </c:pt>
                <c:pt idx="7260">
                  <c:v>-104454.84</c:v>
                </c:pt>
                <c:pt idx="7261">
                  <c:v>-104341.14129500001</c:v>
                </c:pt>
                <c:pt idx="7262">
                  <c:v>-104227.52516</c:v>
                </c:pt>
                <c:pt idx="7263">
                  <c:v>-104113.99156499999</c:v>
                </c:pt>
                <c:pt idx="7264">
                  <c:v>-104000.54048</c:v>
                </c:pt>
                <c:pt idx="7265">
                  <c:v>-103887.171875</c:v>
                </c:pt>
                <c:pt idx="7266">
                  <c:v>-103773.88572</c:v>
                </c:pt>
                <c:pt idx="7267">
                  <c:v>-103660.68198499999</c:v>
                </c:pt>
                <c:pt idx="7268">
                  <c:v>-103547.56064</c:v>
                </c:pt>
                <c:pt idx="7269">
                  <c:v>-103434.521655</c:v>
                </c:pt>
                <c:pt idx="7270">
                  <c:v>-103321.565</c:v>
                </c:pt>
                <c:pt idx="7271">
                  <c:v>-103208.690645</c:v>
                </c:pt>
                <c:pt idx="7272">
                  <c:v>-103095.89855999999</c:v>
                </c:pt>
                <c:pt idx="7273">
                  <c:v>-102983.188715</c:v>
                </c:pt>
                <c:pt idx="7274">
                  <c:v>-102870.56108</c:v>
                </c:pt>
                <c:pt idx="7275">
                  <c:v>-102758.015625</c:v>
                </c:pt>
                <c:pt idx="7276">
                  <c:v>-102645.55231999999</c:v>
                </c:pt>
                <c:pt idx="7277">
                  <c:v>-102533.171135</c:v>
                </c:pt>
                <c:pt idx="7278">
                  <c:v>-102420.87204</c:v>
                </c:pt>
                <c:pt idx="7279">
                  <c:v>-102308.65500500001</c:v>
                </c:pt>
                <c:pt idx="7280">
                  <c:v>-102196.51999999999</c:v>
                </c:pt>
                <c:pt idx="7281">
                  <c:v>-102084.466995</c:v>
                </c:pt>
                <c:pt idx="7282">
                  <c:v>-101972.49596</c:v>
                </c:pt>
                <c:pt idx="7283">
                  <c:v>-101860.606865</c:v>
                </c:pt>
                <c:pt idx="7284">
                  <c:v>-101748.79968</c:v>
                </c:pt>
                <c:pt idx="7285">
                  <c:v>-101637.074375</c:v>
                </c:pt>
                <c:pt idx="7286">
                  <c:v>-101525.43092</c:v>
                </c:pt>
                <c:pt idx="7287">
                  <c:v>-101413.86928500001</c:v>
                </c:pt>
                <c:pt idx="7288">
                  <c:v>-101302.38944</c:v>
                </c:pt>
                <c:pt idx="7289">
                  <c:v>-101190.99135499999</c:v>
                </c:pt>
                <c:pt idx="7290">
                  <c:v>-101079.675</c:v>
                </c:pt>
                <c:pt idx="7291">
                  <c:v>-100968.440345</c:v>
                </c:pt>
                <c:pt idx="7292">
                  <c:v>-100857.28736</c:v>
                </c:pt>
                <c:pt idx="7293">
                  <c:v>-100746.216015</c:v>
                </c:pt>
                <c:pt idx="7294">
                  <c:v>-100635.22628</c:v>
                </c:pt>
                <c:pt idx="7295">
                  <c:v>-100524.318125</c:v>
                </c:pt>
                <c:pt idx="7296">
                  <c:v>-100413.49152000001</c:v>
                </c:pt>
                <c:pt idx="7297">
                  <c:v>-100302.74643500001</c:v>
                </c:pt>
                <c:pt idx="7298">
                  <c:v>-100192.08284</c:v>
                </c:pt>
                <c:pt idx="7299">
                  <c:v>-100081.500705</c:v>
                </c:pt>
                <c:pt idx="7300">
                  <c:v>-99971.0</c:v>
                </c:pt>
                <c:pt idx="7301">
                  <c:v>-99860.580695</c:v>
                </c:pt>
                <c:pt idx="7302">
                  <c:v>-99750.24276</c:v>
                </c:pt>
                <c:pt idx="7303">
                  <c:v>-99639.986165</c:v>
                </c:pt>
                <c:pt idx="7304">
                  <c:v>-99529.81087999999</c:v>
                </c:pt>
                <c:pt idx="7305">
                  <c:v>-99419.71687500001</c:v>
                </c:pt>
                <c:pt idx="7306">
                  <c:v>-99309.70412</c:v>
                </c:pt>
                <c:pt idx="7307">
                  <c:v>-99199.772585</c:v>
                </c:pt>
                <c:pt idx="7308">
                  <c:v>-99089.92224</c:v>
                </c:pt>
                <c:pt idx="7309">
                  <c:v>-98980.153055</c:v>
                </c:pt>
                <c:pt idx="7310">
                  <c:v>-98870.46500000001</c:v>
                </c:pt>
                <c:pt idx="7311">
                  <c:v>-98760.858045</c:v>
                </c:pt>
                <c:pt idx="7312">
                  <c:v>-98651.33215999999</c:v>
                </c:pt>
                <c:pt idx="7313">
                  <c:v>-98541.887315</c:v>
                </c:pt>
                <c:pt idx="7314">
                  <c:v>-98432.52348</c:v>
                </c:pt>
                <c:pt idx="7315">
                  <c:v>-98323.24062499999</c:v>
                </c:pt>
                <c:pt idx="7316">
                  <c:v>-98214.03872</c:v>
                </c:pt>
                <c:pt idx="7317">
                  <c:v>-98104.917735</c:v>
                </c:pt>
                <c:pt idx="7318">
                  <c:v>-97995.87763999999</c:v>
                </c:pt>
                <c:pt idx="7319">
                  <c:v>-97886.918405</c:v>
                </c:pt>
                <c:pt idx="7320">
                  <c:v>-97778.04000000001</c:v>
                </c:pt>
                <c:pt idx="7321">
                  <c:v>-97669.242395</c:v>
                </c:pt>
                <c:pt idx="7322">
                  <c:v>-97560.52556000001</c:v>
                </c:pt>
                <c:pt idx="7323">
                  <c:v>-97451.889465</c:v>
                </c:pt>
                <c:pt idx="7324">
                  <c:v>-97343.33408</c:v>
                </c:pt>
                <c:pt idx="7325">
                  <c:v>-97234.859375</c:v>
                </c:pt>
                <c:pt idx="7326">
                  <c:v>-97126.46532</c:v>
                </c:pt>
                <c:pt idx="7327">
                  <c:v>-97018.151885</c:v>
                </c:pt>
                <c:pt idx="7328">
                  <c:v>-96909.91904</c:v>
                </c:pt>
                <c:pt idx="7329">
                  <c:v>-96801.766755</c:v>
                </c:pt>
                <c:pt idx="7330">
                  <c:v>-96693.695</c:v>
                </c:pt>
                <c:pt idx="7331">
                  <c:v>-96585.703745</c:v>
                </c:pt>
                <c:pt idx="7332">
                  <c:v>-96477.79296</c:v>
                </c:pt>
                <c:pt idx="7333">
                  <c:v>-96369.962615</c:v>
                </c:pt>
                <c:pt idx="7334">
                  <c:v>-96262.21268000001</c:v>
                </c:pt>
                <c:pt idx="7335">
                  <c:v>-96154.543125</c:v>
                </c:pt>
                <c:pt idx="7336">
                  <c:v>-96046.95392</c:v>
                </c:pt>
                <c:pt idx="7337">
                  <c:v>-95939.445035</c:v>
                </c:pt>
                <c:pt idx="7338">
                  <c:v>-95832.01643999999</c:v>
                </c:pt>
                <c:pt idx="7339">
                  <c:v>-95724.668105</c:v>
                </c:pt>
                <c:pt idx="7340">
                  <c:v>-95617.4</c:v>
                </c:pt>
                <c:pt idx="7341">
                  <c:v>-95510.212095</c:v>
                </c:pt>
                <c:pt idx="7342">
                  <c:v>-95403.10436</c:v>
                </c:pt>
                <c:pt idx="7343">
                  <c:v>-95296.076765</c:v>
                </c:pt>
                <c:pt idx="7344">
                  <c:v>-95189.12928</c:v>
                </c:pt>
                <c:pt idx="7345">
                  <c:v>-95082.26187500001</c:v>
                </c:pt>
                <c:pt idx="7346">
                  <c:v>-94975.47452</c:v>
                </c:pt>
                <c:pt idx="7347">
                  <c:v>-94868.767185</c:v>
                </c:pt>
                <c:pt idx="7348">
                  <c:v>-94762.13984</c:v>
                </c:pt>
                <c:pt idx="7349">
                  <c:v>-94655.592455</c:v>
                </c:pt>
                <c:pt idx="7350">
                  <c:v>-94549.125</c:v>
                </c:pt>
                <c:pt idx="7351">
                  <c:v>-94442.73744499999</c:v>
                </c:pt>
                <c:pt idx="7352">
                  <c:v>-94336.42976</c:v>
                </c:pt>
                <c:pt idx="7353">
                  <c:v>-94230.201915</c:v>
                </c:pt>
                <c:pt idx="7354">
                  <c:v>-94124.05387999999</c:v>
                </c:pt>
                <c:pt idx="7355">
                  <c:v>-94017.985625</c:v>
                </c:pt>
                <c:pt idx="7356">
                  <c:v>-93911.99712</c:v>
                </c:pt>
                <c:pt idx="7357">
                  <c:v>-93806.088335</c:v>
                </c:pt>
                <c:pt idx="7358">
                  <c:v>-93700.25924000001</c:v>
                </c:pt>
                <c:pt idx="7359">
                  <c:v>-93594.509805</c:v>
                </c:pt>
                <c:pt idx="7360">
                  <c:v>-93488.84</c:v>
                </c:pt>
                <c:pt idx="7361">
                  <c:v>-93383.249795</c:v>
                </c:pt>
                <c:pt idx="7362">
                  <c:v>-93277.73916000001</c:v>
                </c:pt>
                <c:pt idx="7363">
                  <c:v>-93172.308065</c:v>
                </c:pt>
                <c:pt idx="7364">
                  <c:v>-93066.95648</c:v>
                </c:pt>
                <c:pt idx="7365">
                  <c:v>-92961.68437500001</c:v>
                </c:pt>
                <c:pt idx="7366">
                  <c:v>-92856.49172</c:v>
                </c:pt>
                <c:pt idx="7367">
                  <c:v>-92751.37848500001</c:v>
                </c:pt>
                <c:pt idx="7368">
                  <c:v>-92646.34464</c:v>
                </c:pt>
                <c:pt idx="7369">
                  <c:v>-92541.390155</c:v>
                </c:pt>
                <c:pt idx="7370">
                  <c:v>-92436.51500000001</c:v>
                </c:pt>
                <c:pt idx="7371">
                  <c:v>-92331.719145</c:v>
                </c:pt>
                <c:pt idx="7372">
                  <c:v>-92227.00256000001</c:v>
                </c:pt>
                <c:pt idx="7373">
                  <c:v>-92122.365215</c:v>
                </c:pt>
                <c:pt idx="7374">
                  <c:v>-92017.80708</c:v>
                </c:pt>
                <c:pt idx="7375">
                  <c:v>-91913.328125</c:v>
                </c:pt>
                <c:pt idx="7376">
                  <c:v>-91808.92832</c:v>
                </c:pt>
                <c:pt idx="7377">
                  <c:v>-91704.607635</c:v>
                </c:pt>
                <c:pt idx="7378">
                  <c:v>-91600.36604</c:v>
                </c:pt>
                <c:pt idx="7379">
                  <c:v>-91496.203505</c:v>
                </c:pt>
                <c:pt idx="7380">
                  <c:v>-91392.12</c:v>
                </c:pt>
                <c:pt idx="7381">
                  <c:v>-91288.115495</c:v>
                </c:pt>
                <c:pt idx="7382">
                  <c:v>-91184.18995999999</c:v>
                </c:pt>
                <c:pt idx="7383">
                  <c:v>-91080.34336500001</c:v>
                </c:pt>
                <c:pt idx="7384">
                  <c:v>-90976.57568</c:v>
                </c:pt>
                <c:pt idx="7385">
                  <c:v>-90872.886875</c:v>
                </c:pt>
                <c:pt idx="7386">
                  <c:v>-90769.27692</c:v>
                </c:pt>
                <c:pt idx="7387">
                  <c:v>-90665.74578499999</c:v>
                </c:pt>
                <c:pt idx="7388">
                  <c:v>-90562.29344</c:v>
                </c:pt>
                <c:pt idx="7389">
                  <c:v>-90458.919855</c:v>
                </c:pt>
                <c:pt idx="7390">
                  <c:v>-90355.625</c:v>
                </c:pt>
                <c:pt idx="7391">
                  <c:v>-90252.408845</c:v>
                </c:pt>
                <c:pt idx="7392">
                  <c:v>-90149.27136</c:v>
                </c:pt>
                <c:pt idx="7393">
                  <c:v>-90046.212515</c:v>
                </c:pt>
                <c:pt idx="7394">
                  <c:v>-89943.23228</c:v>
                </c:pt>
                <c:pt idx="7395">
                  <c:v>-89840.330625</c:v>
                </c:pt>
                <c:pt idx="7396">
                  <c:v>-89737.50752</c:v>
                </c:pt>
                <c:pt idx="7397">
                  <c:v>-89634.762935</c:v>
                </c:pt>
                <c:pt idx="7398">
                  <c:v>-89532.09684000001</c:v>
                </c:pt>
                <c:pt idx="7399">
                  <c:v>-89429.50920500001</c:v>
                </c:pt>
                <c:pt idx="7400">
                  <c:v>-89327.0</c:v>
                </c:pt>
                <c:pt idx="7401">
                  <c:v>-89224.569195</c:v>
                </c:pt>
                <c:pt idx="7402">
                  <c:v>-89122.21676000001</c:v>
                </c:pt>
                <c:pt idx="7403">
                  <c:v>-89019.942665</c:v>
                </c:pt>
                <c:pt idx="7404">
                  <c:v>-88917.74687999999</c:v>
                </c:pt>
                <c:pt idx="7405">
                  <c:v>-88815.62937499999</c:v>
                </c:pt>
                <c:pt idx="7406">
                  <c:v>-88713.59012000001</c:v>
                </c:pt>
                <c:pt idx="7407">
                  <c:v>-88611.629085</c:v>
                </c:pt>
                <c:pt idx="7408">
                  <c:v>-88509.74624000001</c:v>
                </c:pt>
                <c:pt idx="7409">
                  <c:v>-88407.941555</c:v>
                </c:pt>
                <c:pt idx="7410">
                  <c:v>-88306.215</c:v>
                </c:pt>
                <c:pt idx="7411">
                  <c:v>-88204.566545</c:v>
                </c:pt>
                <c:pt idx="7412">
                  <c:v>-88102.99616</c:v>
                </c:pt>
                <c:pt idx="7413">
                  <c:v>-88001.50381499999</c:v>
                </c:pt>
                <c:pt idx="7414">
                  <c:v>-87900.08948</c:v>
                </c:pt>
                <c:pt idx="7415">
                  <c:v>-87798.753125</c:v>
                </c:pt>
                <c:pt idx="7416">
                  <c:v>-87697.49472</c:v>
                </c:pt>
                <c:pt idx="7417">
                  <c:v>-87596.314235</c:v>
                </c:pt>
                <c:pt idx="7418">
                  <c:v>-87495.21164</c:v>
                </c:pt>
                <c:pt idx="7419">
                  <c:v>-87394.18690500001</c:v>
                </c:pt>
                <c:pt idx="7420">
                  <c:v>-87293.24</c:v>
                </c:pt>
                <c:pt idx="7421">
                  <c:v>-87192.370895</c:v>
                </c:pt>
                <c:pt idx="7422">
                  <c:v>-87091.57956</c:v>
                </c:pt>
                <c:pt idx="7423">
                  <c:v>-86990.86596499999</c:v>
                </c:pt>
                <c:pt idx="7424">
                  <c:v>-86890.23008</c:v>
                </c:pt>
                <c:pt idx="7425">
                  <c:v>-86789.671875</c:v>
                </c:pt>
                <c:pt idx="7426">
                  <c:v>-86689.19132</c:v>
                </c:pt>
                <c:pt idx="7427">
                  <c:v>-86588.788385</c:v>
                </c:pt>
                <c:pt idx="7428">
                  <c:v>-86488.46304</c:v>
                </c:pt>
                <c:pt idx="7429">
                  <c:v>-86388.215255</c:v>
                </c:pt>
                <c:pt idx="7430">
                  <c:v>-86288.04500000001</c:v>
                </c:pt>
                <c:pt idx="7431">
                  <c:v>-86187.952245</c:v>
                </c:pt>
                <c:pt idx="7432">
                  <c:v>-86087.93695999999</c:v>
                </c:pt>
                <c:pt idx="7433">
                  <c:v>-85987.999115</c:v>
                </c:pt>
                <c:pt idx="7434">
                  <c:v>-85888.13868</c:v>
                </c:pt>
                <c:pt idx="7435">
                  <c:v>-85788.35562500001</c:v>
                </c:pt>
                <c:pt idx="7436">
                  <c:v>-85688.64992</c:v>
                </c:pt>
                <c:pt idx="7437">
                  <c:v>-85589.021535</c:v>
                </c:pt>
                <c:pt idx="7438">
                  <c:v>-85489.47044</c:v>
                </c:pt>
                <c:pt idx="7439">
                  <c:v>-85389.99660500001</c:v>
                </c:pt>
                <c:pt idx="7440">
                  <c:v>-85290.59999999999</c:v>
                </c:pt>
                <c:pt idx="7441">
                  <c:v>-85191.28059499999</c:v>
                </c:pt>
                <c:pt idx="7442">
                  <c:v>-85092.03836</c:v>
                </c:pt>
                <c:pt idx="7443">
                  <c:v>-84992.873265</c:v>
                </c:pt>
                <c:pt idx="7444">
                  <c:v>-84893.78528</c:v>
                </c:pt>
                <c:pt idx="7445">
                  <c:v>-84794.77437500001</c:v>
                </c:pt>
                <c:pt idx="7446">
                  <c:v>-84695.84052</c:v>
                </c:pt>
                <c:pt idx="7447">
                  <c:v>-84596.983685</c:v>
                </c:pt>
                <c:pt idx="7448">
                  <c:v>-84498.20384</c:v>
                </c:pt>
                <c:pt idx="7449">
                  <c:v>-84399.500955</c:v>
                </c:pt>
                <c:pt idx="7450">
                  <c:v>-84300.875</c:v>
                </c:pt>
                <c:pt idx="7451">
                  <c:v>-84202.325945</c:v>
                </c:pt>
                <c:pt idx="7452">
                  <c:v>-84103.85376</c:v>
                </c:pt>
                <c:pt idx="7453">
                  <c:v>-84005.458415</c:v>
                </c:pt>
                <c:pt idx="7454">
                  <c:v>-83907.13988</c:v>
                </c:pt>
                <c:pt idx="7455">
                  <c:v>-83808.898125</c:v>
                </c:pt>
                <c:pt idx="7456">
                  <c:v>-83710.73312</c:v>
                </c:pt>
                <c:pt idx="7457">
                  <c:v>-83612.644835</c:v>
                </c:pt>
                <c:pt idx="7458">
                  <c:v>-83514.63324</c:v>
                </c:pt>
                <c:pt idx="7459">
                  <c:v>-83416.698305</c:v>
                </c:pt>
                <c:pt idx="7460">
                  <c:v>-83318.84</c:v>
                </c:pt>
                <c:pt idx="7461">
                  <c:v>-83221.058295</c:v>
                </c:pt>
                <c:pt idx="7462">
                  <c:v>-83123.35316</c:v>
                </c:pt>
                <c:pt idx="7463">
                  <c:v>-83025.724565</c:v>
                </c:pt>
                <c:pt idx="7464">
                  <c:v>-82928.17248000001</c:v>
                </c:pt>
                <c:pt idx="7465">
                  <c:v>-82830.696875</c:v>
                </c:pt>
                <c:pt idx="7466">
                  <c:v>-82733.29772</c:v>
                </c:pt>
                <c:pt idx="7467">
                  <c:v>-82635.974985</c:v>
                </c:pt>
                <c:pt idx="7468">
                  <c:v>-82538.72864</c:v>
                </c:pt>
                <c:pt idx="7469">
                  <c:v>-82441.558655</c:v>
                </c:pt>
                <c:pt idx="7470">
                  <c:v>-82344.46500000001</c:v>
                </c:pt>
                <c:pt idx="7471">
                  <c:v>-82247.44764500001</c:v>
                </c:pt>
                <c:pt idx="7472">
                  <c:v>-82150.50656</c:v>
                </c:pt>
                <c:pt idx="7473">
                  <c:v>-82053.641715</c:v>
                </c:pt>
                <c:pt idx="7474">
                  <c:v>-81956.85308</c:v>
                </c:pt>
                <c:pt idx="7475">
                  <c:v>-81860.140625</c:v>
                </c:pt>
                <c:pt idx="7476">
                  <c:v>-81763.50432000001</c:v>
                </c:pt>
                <c:pt idx="7477">
                  <c:v>-81666.944135</c:v>
                </c:pt>
                <c:pt idx="7478">
                  <c:v>-81570.46004</c:v>
                </c:pt>
                <c:pt idx="7479">
                  <c:v>-81474.052005</c:v>
                </c:pt>
                <c:pt idx="7480">
                  <c:v>-81377.72</c:v>
                </c:pt>
                <c:pt idx="7481">
                  <c:v>-81281.463995</c:v>
                </c:pt>
                <c:pt idx="7482">
                  <c:v>-81185.28396</c:v>
                </c:pt>
                <c:pt idx="7483">
                  <c:v>-81089.179865</c:v>
                </c:pt>
                <c:pt idx="7484">
                  <c:v>-80993.15168</c:v>
                </c:pt>
                <c:pt idx="7485">
                  <c:v>-80897.199375</c:v>
                </c:pt>
                <c:pt idx="7486">
                  <c:v>-80801.32291999999</c:v>
                </c:pt>
                <c:pt idx="7487">
                  <c:v>-80705.522285</c:v>
                </c:pt>
                <c:pt idx="7488">
                  <c:v>-80609.79744</c:v>
                </c:pt>
                <c:pt idx="7489">
                  <c:v>-80514.148355</c:v>
                </c:pt>
                <c:pt idx="7490">
                  <c:v>-80418.57500000001</c:v>
                </c:pt>
                <c:pt idx="7491">
                  <c:v>-80323.077345</c:v>
                </c:pt>
                <c:pt idx="7492">
                  <c:v>-80227.65535999999</c:v>
                </c:pt>
                <c:pt idx="7493">
                  <c:v>-80132.309015</c:v>
                </c:pt>
                <c:pt idx="7494">
                  <c:v>-80037.03828</c:v>
                </c:pt>
                <c:pt idx="7495">
                  <c:v>-79941.84312500001</c:v>
                </c:pt>
                <c:pt idx="7496">
                  <c:v>-79846.72352</c:v>
                </c:pt>
                <c:pt idx="7497">
                  <c:v>-79751.679435</c:v>
                </c:pt>
                <c:pt idx="7498">
                  <c:v>-79656.71084</c:v>
                </c:pt>
                <c:pt idx="7499">
                  <c:v>-79561.817705</c:v>
                </c:pt>
                <c:pt idx="7500">
                  <c:v>-79467.0</c:v>
                </c:pt>
                <c:pt idx="7501">
                  <c:v>-79372.257695</c:v>
                </c:pt>
                <c:pt idx="7502">
                  <c:v>-79277.59076</c:v>
                </c:pt>
                <c:pt idx="7503">
                  <c:v>-79182.999165</c:v>
                </c:pt>
                <c:pt idx="7504">
                  <c:v>-79088.48288000001</c:v>
                </c:pt>
                <c:pt idx="7505">
                  <c:v>-78994.041875</c:v>
                </c:pt>
                <c:pt idx="7506">
                  <c:v>-78899.67612</c:v>
                </c:pt>
                <c:pt idx="7507">
                  <c:v>-78805.385585</c:v>
                </c:pt>
                <c:pt idx="7508">
                  <c:v>-78711.17023999999</c:v>
                </c:pt>
                <c:pt idx="7509">
                  <c:v>-78617.030055</c:v>
                </c:pt>
                <c:pt idx="7510">
                  <c:v>-78522.965</c:v>
                </c:pt>
                <c:pt idx="7511">
                  <c:v>-78428.975045</c:v>
                </c:pt>
                <c:pt idx="7512">
                  <c:v>-78335.06016000001</c:v>
                </c:pt>
                <c:pt idx="7513">
                  <c:v>-78241.220315</c:v>
                </c:pt>
                <c:pt idx="7514">
                  <c:v>-78147.45548</c:v>
                </c:pt>
                <c:pt idx="7515">
                  <c:v>-78053.765625</c:v>
                </c:pt>
                <c:pt idx="7516">
                  <c:v>-77960.15072</c:v>
                </c:pt>
                <c:pt idx="7517">
                  <c:v>-77866.610735</c:v>
                </c:pt>
                <c:pt idx="7518">
                  <c:v>-77773.14564</c:v>
                </c:pt>
                <c:pt idx="7519">
                  <c:v>-77679.75540499999</c:v>
                </c:pt>
                <c:pt idx="7520">
                  <c:v>-77586.44</c:v>
                </c:pt>
                <c:pt idx="7521">
                  <c:v>-77493.199395</c:v>
                </c:pt>
                <c:pt idx="7522">
                  <c:v>-77400.03356</c:v>
                </c:pt>
                <c:pt idx="7523">
                  <c:v>-77306.942465</c:v>
                </c:pt>
                <c:pt idx="7524">
                  <c:v>-77213.92607999999</c:v>
                </c:pt>
                <c:pt idx="7525">
                  <c:v>-77120.984375</c:v>
                </c:pt>
                <c:pt idx="7526">
                  <c:v>-77028.11732</c:v>
                </c:pt>
                <c:pt idx="7527">
                  <c:v>-76935.324885</c:v>
                </c:pt>
                <c:pt idx="7528">
                  <c:v>-76842.60703999999</c:v>
                </c:pt>
                <c:pt idx="7529">
                  <c:v>-76749.96375499999</c:v>
                </c:pt>
                <c:pt idx="7530">
                  <c:v>-76657.39499999999</c:v>
                </c:pt>
                <c:pt idx="7531">
                  <c:v>-76564.900745</c:v>
                </c:pt>
                <c:pt idx="7532">
                  <c:v>-76472.48096</c:v>
                </c:pt>
                <c:pt idx="7533">
                  <c:v>-76380.13561499999</c:v>
                </c:pt>
                <c:pt idx="7534">
                  <c:v>-76287.86468</c:v>
                </c:pt>
                <c:pt idx="7535">
                  <c:v>-76195.668125</c:v>
                </c:pt>
                <c:pt idx="7536">
                  <c:v>-76103.54592</c:v>
                </c:pt>
                <c:pt idx="7537">
                  <c:v>-76011.498035</c:v>
                </c:pt>
                <c:pt idx="7538">
                  <c:v>-75919.52444000001</c:v>
                </c:pt>
                <c:pt idx="7539">
                  <c:v>-75827.625105</c:v>
                </c:pt>
                <c:pt idx="7540">
                  <c:v>-75735.8</c:v>
                </c:pt>
                <c:pt idx="7541">
                  <c:v>-75644.049095</c:v>
                </c:pt>
                <c:pt idx="7542">
                  <c:v>-75552.37236</c:v>
                </c:pt>
                <c:pt idx="7543">
                  <c:v>-75460.769765</c:v>
                </c:pt>
                <c:pt idx="7544">
                  <c:v>-75369.24127999999</c:v>
                </c:pt>
                <c:pt idx="7545">
                  <c:v>-75277.786875</c:v>
                </c:pt>
                <c:pt idx="7546">
                  <c:v>-75186.40652</c:v>
                </c:pt>
                <c:pt idx="7547">
                  <c:v>-75095.10018499999</c:v>
                </c:pt>
                <c:pt idx="7548">
                  <c:v>-75003.86784</c:v>
                </c:pt>
                <c:pt idx="7549">
                  <c:v>-74912.709455</c:v>
                </c:pt>
                <c:pt idx="7550">
                  <c:v>-74821.625</c:v>
                </c:pt>
                <c:pt idx="7551">
                  <c:v>-74730.61444500001</c:v>
                </c:pt>
                <c:pt idx="7552">
                  <c:v>-74639.67775999999</c:v>
                </c:pt>
                <c:pt idx="7553">
                  <c:v>-74548.814915</c:v>
                </c:pt>
                <c:pt idx="7554">
                  <c:v>-74458.02588</c:v>
                </c:pt>
                <c:pt idx="7555">
                  <c:v>-74367.31062500001</c:v>
                </c:pt>
                <c:pt idx="7556">
                  <c:v>-74276.66912</c:v>
                </c:pt>
                <c:pt idx="7557">
                  <c:v>-74186.101335</c:v>
                </c:pt>
                <c:pt idx="7558">
                  <c:v>-74095.60724000001</c:v>
                </c:pt>
                <c:pt idx="7559">
                  <c:v>-74005.18680499999</c:v>
                </c:pt>
                <c:pt idx="7560">
                  <c:v>-73914.84000000001</c:v>
                </c:pt>
                <c:pt idx="7561">
                  <c:v>-73824.56679499999</c:v>
                </c:pt>
                <c:pt idx="7562">
                  <c:v>-73734.36716</c:v>
                </c:pt>
                <c:pt idx="7563">
                  <c:v>-73644.241065</c:v>
                </c:pt>
                <c:pt idx="7564">
                  <c:v>-73554.18848</c:v>
                </c:pt>
                <c:pt idx="7565">
                  <c:v>-73464.20937499999</c:v>
                </c:pt>
                <c:pt idx="7566">
                  <c:v>-73374.30372000001</c:v>
                </c:pt>
                <c:pt idx="7567">
                  <c:v>-73284.471485</c:v>
                </c:pt>
                <c:pt idx="7568">
                  <c:v>-73194.71264000001</c:v>
                </c:pt>
                <c:pt idx="7569">
                  <c:v>-73105.027155</c:v>
                </c:pt>
                <c:pt idx="7570">
                  <c:v>-73015.41500000001</c:v>
                </c:pt>
                <c:pt idx="7571">
                  <c:v>-72925.876145</c:v>
                </c:pt>
                <c:pt idx="7572">
                  <c:v>-72836.41055999999</c:v>
                </c:pt>
                <c:pt idx="7573">
                  <c:v>-72747.018215</c:v>
                </c:pt>
                <c:pt idx="7574">
                  <c:v>-72657.69907999999</c:v>
                </c:pt>
                <c:pt idx="7575">
                  <c:v>-72568.453125</c:v>
                </c:pt>
                <c:pt idx="7576">
                  <c:v>-72479.28032</c:v>
                </c:pt>
                <c:pt idx="7577">
                  <c:v>-72390.18063500001</c:v>
                </c:pt>
                <c:pt idx="7578">
                  <c:v>-72301.15404</c:v>
                </c:pt>
                <c:pt idx="7579">
                  <c:v>-72212.200505</c:v>
                </c:pt>
                <c:pt idx="7580">
                  <c:v>-72123.32</c:v>
                </c:pt>
                <c:pt idx="7581">
                  <c:v>-72034.51249499999</c:v>
                </c:pt>
                <c:pt idx="7582">
                  <c:v>-71945.77795999999</c:v>
                </c:pt>
                <c:pt idx="7583">
                  <c:v>-71857.11636500001</c:v>
                </c:pt>
                <c:pt idx="7584">
                  <c:v>-71768.52768</c:v>
                </c:pt>
                <c:pt idx="7585">
                  <c:v>-71680.011875</c:v>
                </c:pt>
                <c:pt idx="7586">
                  <c:v>-71591.56891999999</c:v>
                </c:pt>
                <c:pt idx="7587">
                  <c:v>-71503.198785</c:v>
                </c:pt>
                <c:pt idx="7588">
                  <c:v>-71414.90144</c:v>
                </c:pt>
                <c:pt idx="7589">
                  <c:v>-71326.676855</c:v>
                </c:pt>
                <c:pt idx="7590">
                  <c:v>-71238.525</c:v>
                </c:pt>
                <c:pt idx="7591">
                  <c:v>-71150.44584500001</c:v>
                </c:pt>
                <c:pt idx="7592">
                  <c:v>-71062.43936</c:v>
                </c:pt>
                <c:pt idx="7593">
                  <c:v>-70974.505515</c:v>
                </c:pt>
                <c:pt idx="7594">
                  <c:v>-70886.64428000001</c:v>
                </c:pt>
                <c:pt idx="7595">
                  <c:v>-70798.85562500001</c:v>
                </c:pt>
                <c:pt idx="7596">
                  <c:v>-70711.13952</c:v>
                </c:pt>
                <c:pt idx="7597">
                  <c:v>-70623.49593500001</c:v>
                </c:pt>
                <c:pt idx="7598">
                  <c:v>-70535.92483999999</c:v>
                </c:pt>
                <c:pt idx="7599">
                  <c:v>-70448.42620500001</c:v>
                </c:pt>
                <c:pt idx="7600">
                  <c:v>-70361.0</c:v>
                </c:pt>
                <c:pt idx="7601">
                  <c:v>-70273.64619500001</c:v>
                </c:pt>
                <c:pt idx="7602">
                  <c:v>-70186.36476</c:v>
                </c:pt>
                <c:pt idx="7603">
                  <c:v>-70099.155665</c:v>
                </c:pt>
                <c:pt idx="7604">
                  <c:v>-70012.01888</c:v>
                </c:pt>
                <c:pt idx="7605">
                  <c:v>-69924.954375</c:v>
                </c:pt>
                <c:pt idx="7606">
                  <c:v>-69837.96212</c:v>
                </c:pt>
                <c:pt idx="7607">
                  <c:v>-69751.04208500001</c:v>
                </c:pt>
                <c:pt idx="7608">
                  <c:v>-69664.19424</c:v>
                </c:pt>
                <c:pt idx="7609">
                  <c:v>-69577.418555</c:v>
                </c:pt>
                <c:pt idx="7610">
                  <c:v>-69490.715</c:v>
                </c:pt>
                <c:pt idx="7611">
                  <c:v>-69404.083545</c:v>
                </c:pt>
                <c:pt idx="7612">
                  <c:v>-69317.52415999999</c:v>
                </c:pt>
                <c:pt idx="7613">
                  <c:v>-69231.036815</c:v>
                </c:pt>
                <c:pt idx="7614">
                  <c:v>-69144.62148</c:v>
                </c:pt>
                <c:pt idx="7615">
                  <c:v>-69058.27812500001</c:v>
                </c:pt>
                <c:pt idx="7616">
                  <c:v>-68972.00672</c:v>
                </c:pt>
                <c:pt idx="7617">
                  <c:v>-68885.807235</c:v>
                </c:pt>
                <c:pt idx="7618">
                  <c:v>-68799.67964</c:v>
                </c:pt>
                <c:pt idx="7619">
                  <c:v>-68713.623905</c:v>
                </c:pt>
                <c:pt idx="7620">
                  <c:v>-68627.64000000001</c:v>
                </c:pt>
                <c:pt idx="7621">
                  <c:v>-68541.72789499999</c:v>
                </c:pt>
                <c:pt idx="7622">
                  <c:v>-68455.88756</c:v>
                </c:pt>
                <c:pt idx="7623">
                  <c:v>-68370.118965</c:v>
                </c:pt>
                <c:pt idx="7624">
                  <c:v>-68284.42208</c:v>
                </c:pt>
                <c:pt idx="7625">
                  <c:v>-68198.796875</c:v>
                </c:pt>
                <c:pt idx="7626">
                  <c:v>-68113.24332</c:v>
                </c:pt>
                <c:pt idx="7627">
                  <c:v>-68027.761385</c:v>
                </c:pt>
                <c:pt idx="7628">
                  <c:v>-67942.35104</c:v>
                </c:pt>
                <c:pt idx="7629">
                  <c:v>-67857.012255</c:v>
                </c:pt>
                <c:pt idx="7630">
                  <c:v>-67771.745</c:v>
                </c:pt>
                <c:pt idx="7631">
                  <c:v>-67686.549245</c:v>
                </c:pt>
                <c:pt idx="7632">
                  <c:v>-67601.42495999999</c:v>
                </c:pt>
                <c:pt idx="7633">
                  <c:v>-67516.372115</c:v>
                </c:pt>
                <c:pt idx="7634">
                  <c:v>-67431.39068000001</c:v>
                </c:pt>
                <c:pt idx="7635">
                  <c:v>-67346.480625</c:v>
                </c:pt>
                <c:pt idx="7636">
                  <c:v>-67261.64192</c:v>
                </c:pt>
                <c:pt idx="7637">
                  <c:v>-67176.874535</c:v>
                </c:pt>
                <c:pt idx="7638">
                  <c:v>-67092.17844</c:v>
                </c:pt>
                <c:pt idx="7639">
                  <c:v>-67007.55360500001</c:v>
                </c:pt>
                <c:pt idx="7640">
                  <c:v>-66923.0</c:v>
                </c:pt>
                <c:pt idx="7641">
                  <c:v>-66838.517595</c:v>
                </c:pt>
                <c:pt idx="7642">
                  <c:v>-66754.10636</c:v>
                </c:pt>
                <c:pt idx="7643">
                  <c:v>-66669.766265</c:v>
                </c:pt>
                <c:pt idx="7644">
                  <c:v>-66585.49728</c:v>
                </c:pt>
                <c:pt idx="7645">
                  <c:v>-66501.299375</c:v>
                </c:pt>
                <c:pt idx="7646">
                  <c:v>-66417.17252000001</c:v>
                </c:pt>
                <c:pt idx="7647">
                  <c:v>-66333.116685</c:v>
                </c:pt>
                <c:pt idx="7648">
                  <c:v>-66249.13184</c:v>
                </c:pt>
                <c:pt idx="7649">
                  <c:v>-66165.217955</c:v>
                </c:pt>
                <c:pt idx="7650">
                  <c:v>-66081.375</c:v>
                </c:pt>
                <c:pt idx="7651">
                  <c:v>-65997.602945</c:v>
                </c:pt>
                <c:pt idx="7652">
                  <c:v>-65913.90176</c:v>
                </c:pt>
                <c:pt idx="7653">
                  <c:v>-65830.271415</c:v>
                </c:pt>
                <c:pt idx="7654">
                  <c:v>-65746.71188</c:v>
                </c:pt>
                <c:pt idx="7655">
                  <c:v>-65663.22312499999</c:v>
                </c:pt>
                <c:pt idx="7656">
                  <c:v>-65579.80512</c:v>
                </c:pt>
                <c:pt idx="7657">
                  <c:v>-65496.45783500001</c:v>
                </c:pt>
                <c:pt idx="7658">
                  <c:v>-65413.181240000005</c:v>
                </c:pt>
                <c:pt idx="7659">
                  <c:v>-65329.97530500001</c:v>
                </c:pt>
                <c:pt idx="7660">
                  <c:v>-65246.840000000004</c:v>
                </c:pt>
                <c:pt idx="7661">
                  <c:v>-65163.77529500001</c:v>
                </c:pt>
                <c:pt idx="7662">
                  <c:v>-65080.78115999999</c:v>
                </c:pt>
                <c:pt idx="7663">
                  <c:v>-64997.857565000006</c:v>
                </c:pt>
                <c:pt idx="7664">
                  <c:v>-64915.004479999996</c:v>
                </c:pt>
                <c:pt idx="7665">
                  <c:v>-64832.221875</c:v>
                </c:pt>
                <c:pt idx="7666">
                  <c:v>-64749.509719999995</c:v>
                </c:pt>
                <c:pt idx="7667">
                  <c:v>-64666.86798499999</c:v>
                </c:pt>
                <c:pt idx="7668">
                  <c:v>-64584.29663999999</c:v>
                </c:pt>
                <c:pt idx="7669">
                  <c:v>-64501.795655</c:v>
                </c:pt>
                <c:pt idx="7670">
                  <c:v>-64419.365000000005</c:v>
                </c:pt>
                <c:pt idx="7671">
                  <c:v>-64337.00464499999</c:v>
                </c:pt>
                <c:pt idx="7672">
                  <c:v>-64254.71456</c:v>
                </c:pt>
                <c:pt idx="7673">
                  <c:v>-64172.49471500001</c:v>
                </c:pt>
                <c:pt idx="7674">
                  <c:v>-64090.34508000001</c:v>
                </c:pt>
                <c:pt idx="7675">
                  <c:v>-64008.265625</c:v>
                </c:pt>
                <c:pt idx="7676">
                  <c:v>-63926.25632</c:v>
                </c:pt>
                <c:pt idx="7677">
                  <c:v>-63844.317135000005</c:v>
                </c:pt>
                <c:pt idx="7678">
                  <c:v>-63762.448039999996</c:v>
                </c:pt>
                <c:pt idx="7679">
                  <c:v>-63680.649005</c:v>
                </c:pt>
                <c:pt idx="7680">
                  <c:v>-63598.91999999999</c:v>
                </c:pt>
                <c:pt idx="7681">
                  <c:v>-63517.260995</c:v>
                </c:pt>
                <c:pt idx="7682">
                  <c:v>-63435.67196</c:v>
                </c:pt>
                <c:pt idx="7683">
                  <c:v>-63354.152865</c:v>
                </c:pt>
                <c:pt idx="7684">
                  <c:v>-63272.703680000006</c:v>
                </c:pt>
                <c:pt idx="7685">
                  <c:v>-63191.324375000004</c:v>
                </c:pt>
                <c:pt idx="7686">
                  <c:v>-63110.01492</c:v>
                </c:pt>
                <c:pt idx="7687">
                  <c:v>-63028.77528500001</c:v>
                </c:pt>
                <c:pt idx="7688">
                  <c:v>-62947.60543999999</c:v>
                </c:pt>
                <c:pt idx="7689">
                  <c:v>-62866.505355</c:v>
                </c:pt>
                <c:pt idx="7690">
                  <c:v>-62785.475000000006</c:v>
                </c:pt>
                <c:pt idx="7691">
                  <c:v>-62704.514344999996</c:v>
                </c:pt>
                <c:pt idx="7692">
                  <c:v>-62623.623360000005</c:v>
                </c:pt>
                <c:pt idx="7693">
                  <c:v>-62542.802014999994</c:v>
                </c:pt>
                <c:pt idx="7694">
                  <c:v>-62462.05028</c:v>
                </c:pt>
                <c:pt idx="7695">
                  <c:v>-62381.368125</c:v>
                </c:pt>
                <c:pt idx="7696">
                  <c:v>-62300.755520000006</c:v>
                </c:pt>
                <c:pt idx="7697">
                  <c:v>-62220.212435</c:v>
                </c:pt>
                <c:pt idx="7698">
                  <c:v>-62139.738840000005</c:v>
                </c:pt>
                <c:pt idx="7699">
                  <c:v>-62059.334704999994</c:v>
                </c:pt>
                <c:pt idx="7700">
                  <c:v>-61979.0</c:v>
                </c:pt>
                <c:pt idx="7701">
                  <c:v>-61898.73469499999</c:v>
                </c:pt>
                <c:pt idx="7702">
                  <c:v>-61818.53876</c:v>
                </c:pt>
                <c:pt idx="7703">
                  <c:v>-61738.412165</c:v>
                </c:pt>
                <c:pt idx="7704">
                  <c:v>-61658.35488</c:v>
                </c:pt>
                <c:pt idx="7705">
                  <c:v>-61578.36687500001</c:v>
                </c:pt>
                <c:pt idx="7706">
                  <c:v>-61498.44812</c:v>
                </c:pt>
                <c:pt idx="7707">
                  <c:v>-61418.598585</c:v>
                </c:pt>
                <c:pt idx="7708">
                  <c:v>-61338.81823999999</c:v>
                </c:pt>
                <c:pt idx="7709">
                  <c:v>-61259.10705500001</c:v>
                </c:pt>
                <c:pt idx="7710">
                  <c:v>-61179.465000000004</c:v>
                </c:pt>
                <c:pt idx="7711">
                  <c:v>-61099.892045</c:v>
                </c:pt>
                <c:pt idx="7712">
                  <c:v>-61020.388159999995</c:v>
                </c:pt>
                <c:pt idx="7713">
                  <c:v>-60940.953315</c:v>
                </c:pt>
                <c:pt idx="7714">
                  <c:v>-60861.58748</c:v>
                </c:pt>
                <c:pt idx="7715">
                  <c:v>-60782.290625</c:v>
                </c:pt>
                <c:pt idx="7716">
                  <c:v>-60703.06272</c:v>
                </c:pt>
                <c:pt idx="7717">
                  <c:v>-60623.903735</c:v>
                </c:pt>
                <c:pt idx="7718">
                  <c:v>-60544.81364</c:v>
                </c:pt>
                <c:pt idx="7719">
                  <c:v>-60465.792405</c:v>
                </c:pt>
                <c:pt idx="7720">
                  <c:v>-60386.84</c:v>
                </c:pt>
                <c:pt idx="7721">
                  <c:v>-60307.956395</c:v>
                </c:pt>
                <c:pt idx="7722">
                  <c:v>-60229.141560000004</c:v>
                </c:pt>
                <c:pt idx="7723">
                  <c:v>-60150.395464999994</c:v>
                </c:pt>
                <c:pt idx="7724">
                  <c:v>-60071.71808</c:v>
                </c:pt>
                <c:pt idx="7725">
                  <c:v>-59993.109375</c:v>
                </c:pt>
                <c:pt idx="7726">
                  <c:v>-59914.569319999995</c:v>
                </c:pt>
                <c:pt idx="7727">
                  <c:v>-59836.097884999996</c:v>
                </c:pt>
                <c:pt idx="7728">
                  <c:v>-59757.69504</c:v>
                </c:pt>
                <c:pt idx="7729">
                  <c:v>-59679.360754999994</c:v>
                </c:pt>
                <c:pt idx="7730">
                  <c:v>-59601.095</c:v>
                </c:pt>
                <c:pt idx="7731">
                  <c:v>-59522.897745</c:v>
                </c:pt>
                <c:pt idx="7732">
                  <c:v>-59444.768959999994</c:v>
                </c:pt>
                <c:pt idx="7733">
                  <c:v>-59366.708615</c:v>
                </c:pt>
                <c:pt idx="7734">
                  <c:v>-59288.71668</c:v>
                </c:pt>
                <c:pt idx="7735">
                  <c:v>-59210.793125000004</c:v>
                </c:pt>
                <c:pt idx="7736">
                  <c:v>-59132.93792</c:v>
                </c:pt>
                <c:pt idx="7737">
                  <c:v>-59055.151035</c:v>
                </c:pt>
                <c:pt idx="7738">
                  <c:v>-58977.432440000004</c:v>
                </c:pt>
                <c:pt idx="7739">
                  <c:v>-58899.782105</c:v>
                </c:pt>
                <c:pt idx="7740">
                  <c:v>-58822.200000000004</c:v>
                </c:pt>
                <c:pt idx="7741">
                  <c:v>-58744.686095000005</c:v>
                </c:pt>
                <c:pt idx="7742">
                  <c:v>-58667.24036</c:v>
                </c:pt>
                <c:pt idx="7743">
                  <c:v>-58589.862765000005</c:v>
                </c:pt>
                <c:pt idx="7744">
                  <c:v>-58512.55328</c:v>
                </c:pt>
                <c:pt idx="7745">
                  <c:v>-58435.31187499999</c:v>
                </c:pt>
                <c:pt idx="7746">
                  <c:v>-58358.13852</c:v>
                </c:pt>
                <c:pt idx="7747">
                  <c:v>-58281.033185</c:v>
                </c:pt>
                <c:pt idx="7748">
                  <c:v>-58203.995839999996</c:v>
                </c:pt>
                <c:pt idx="7749">
                  <c:v>-58127.02645500001</c:v>
                </c:pt>
                <c:pt idx="7750">
                  <c:v>-58050.125</c:v>
                </c:pt>
                <c:pt idx="7751">
                  <c:v>-57973.291444999995</c:v>
                </c:pt>
                <c:pt idx="7752">
                  <c:v>-57896.52576</c:v>
                </c:pt>
                <c:pt idx="7753">
                  <c:v>-57819.827914999994</c:v>
                </c:pt>
                <c:pt idx="7754">
                  <c:v>-57743.19787999999</c:v>
                </c:pt>
                <c:pt idx="7755">
                  <c:v>-57666.635625</c:v>
                </c:pt>
                <c:pt idx="7756">
                  <c:v>-57590.14112</c:v>
                </c:pt>
                <c:pt idx="7757">
                  <c:v>-57513.714335</c:v>
                </c:pt>
                <c:pt idx="7758">
                  <c:v>-57437.35524</c:v>
                </c:pt>
                <c:pt idx="7759">
                  <c:v>-57361.063805</c:v>
                </c:pt>
                <c:pt idx="7760">
                  <c:v>-57284.840000000004</c:v>
                </c:pt>
                <c:pt idx="7761">
                  <c:v>-57208.683795</c:v>
                </c:pt>
                <c:pt idx="7762">
                  <c:v>-57132.59516</c:v>
                </c:pt>
                <c:pt idx="7763">
                  <c:v>-57056.574065</c:v>
                </c:pt>
                <c:pt idx="7764">
                  <c:v>-56980.620480000005</c:v>
                </c:pt>
                <c:pt idx="7765">
                  <c:v>-56904.734375</c:v>
                </c:pt>
                <c:pt idx="7766">
                  <c:v>-56828.91572</c:v>
                </c:pt>
                <c:pt idx="7767">
                  <c:v>-56753.164485</c:v>
                </c:pt>
                <c:pt idx="7768">
                  <c:v>-56677.48064</c:v>
                </c:pt>
                <c:pt idx="7769">
                  <c:v>-56601.864155</c:v>
                </c:pt>
                <c:pt idx="7770">
                  <c:v>-56526.315</c:v>
                </c:pt>
                <c:pt idx="7771">
                  <c:v>-56450.833145</c:v>
                </c:pt>
                <c:pt idx="7772">
                  <c:v>-56375.41856</c:v>
                </c:pt>
                <c:pt idx="7773">
                  <c:v>-56300.071215</c:v>
                </c:pt>
                <c:pt idx="7774">
                  <c:v>-56224.79108</c:v>
                </c:pt>
                <c:pt idx="7775">
                  <c:v>-56149.578125</c:v>
                </c:pt>
                <c:pt idx="7776">
                  <c:v>-56074.43232</c:v>
                </c:pt>
                <c:pt idx="7777">
                  <c:v>-55999.35363499999</c:v>
                </c:pt>
                <c:pt idx="7778">
                  <c:v>-55924.34204</c:v>
                </c:pt>
                <c:pt idx="7779">
                  <c:v>-55849.39750499999</c:v>
                </c:pt>
                <c:pt idx="7780">
                  <c:v>-55774.520000000004</c:v>
                </c:pt>
                <c:pt idx="7781">
                  <c:v>-55699.709494999996</c:v>
                </c:pt>
                <c:pt idx="7782">
                  <c:v>-55624.965959999994</c:v>
                </c:pt>
                <c:pt idx="7783">
                  <c:v>-55550.289365</c:v>
                </c:pt>
                <c:pt idx="7784">
                  <c:v>-55475.679679999994</c:v>
                </c:pt>
                <c:pt idx="7785">
                  <c:v>-55401.136875000004</c:v>
                </c:pt>
                <c:pt idx="7786">
                  <c:v>-55326.66092</c:v>
                </c:pt>
                <c:pt idx="7787">
                  <c:v>-55252.251785</c:v>
                </c:pt>
                <c:pt idx="7788">
                  <c:v>-55177.909439999996</c:v>
                </c:pt>
                <c:pt idx="7789">
                  <c:v>-55103.63385499999</c:v>
                </c:pt>
                <c:pt idx="7790">
                  <c:v>-55029.425</c:v>
                </c:pt>
                <c:pt idx="7791">
                  <c:v>-54955.282845</c:v>
                </c:pt>
                <c:pt idx="7792">
                  <c:v>-54881.20736</c:v>
                </c:pt>
                <c:pt idx="7793">
                  <c:v>-54807.198515000004</c:v>
                </c:pt>
                <c:pt idx="7794">
                  <c:v>-54733.25628</c:v>
                </c:pt>
                <c:pt idx="7795">
                  <c:v>-54659.380625</c:v>
                </c:pt>
                <c:pt idx="7796">
                  <c:v>-54585.57152</c:v>
                </c:pt>
                <c:pt idx="7797">
                  <c:v>-54511.828935</c:v>
                </c:pt>
                <c:pt idx="7798">
                  <c:v>-54438.15284</c:v>
                </c:pt>
                <c:pt idx="7799">
                  <c:v>-54364.543205</c:v>
                </c:pt>
                <c:pt idx="7800">
                  <c:v>-54291.0</c:v>
                </c:pt>
                <c:pt idx="7801">
                  <c:v>-54217.523195</c:v>
                </c:pt>
                <c:pt idx="7802">
                  <c:v>-54144.11276</c:v>
                </c:pt>
                <c:pt idx="7803">
                  <c:v>-54070.768665</c:v>
                </c:pt>
                <c:pt idx="7804">
                  <c:v>-53997.490880000005</c:v>
                </c:pt>
                <c:pt idx="7805">
                  <c:v>-53924.279375</c:v>
                </c:pt>
                <c:pt idx="7806">
                  <c:v>-53851.13412</c:v>
                </c:pt>
                <c:pt idx="7807">
                  <c:v>-53778.055085</c:v>
                </c:pt>
                <c:pt idx="7808">
                  <c:v>-53705.042239999995</c:v>
                </c:pt>
                <c:pt idx="7809">
                  <c:v>-53632.09555500001</c:v>
                </c:pt>
                <c:pt idx="7810">
                  <c:v>-53559.215</c:v>
                </c:pt>
                <c:pt idx="7811">
                  <c:v>-53486.400545000004</c:v>
                </c:pt>
                <c:pt idx="7812">
                  <c:v>-53413.65216</c:v>
                </c:pt>
                <c:pt idx="7813">
                  <c:v>-53340.969815000004</c:v>
                </c:pt>
                <c:pt idx="7814">
                  <c:v>-53268.353480000005</c:v>
                </c:pt>
                <c:pt idx="7815">
                  <c:v>-53195.803125000006</c:v>
                </c:pt>
                <c:pt idx="7816">
                  <c:v>-53123.31872</c:v>
                </c:pt>
                <c:pt idx="7817">
                  <c:v>-53050.900234999994</c:v>
                </c:pt>
                <c:pt idx="7818">
                  <c:v>-52978.547640000004</c:v>
                </c:pt>
                <c:pt idx="7819">
                  <c:v>-52906.260904999996</c:v>
                </c:pt>
                <c:pt idx="7820">
                  <c:v>-52834.03999999999</c:v>
                </c:pt>
                <c:pt idx="7821">
                  <c:v>-52761.884895</c:v>
                </c:pt>
                <c:pt idx="7822">
                  <c:v>-52689.79556</c:v>
                </c:pt>
                <c:pt idx="7823">
                  <c:v>-52617.771965</c:v>
                </c:pt>
                <c:pt idx="7824">
                  <c:v>-52545.814080000004</c:v>
                </c:pt>
                <c:pt idx="7825">
                  <c:v>-52473.921875</c:v>
                </c:pt>
                <c:pt idx="7826">
                  <c:v>-52402.09532</c:v>
                </c:pt>
                <c:pt idx="7827">
                  <c:v>-52330.334385</c:v>
                </c:pt>
                <c:pt idx="7828">
                  <c:v>-52258.63904</c:v>
                </c:pt>
                <c:pt idx="7829">
                  <c:v>-52187.009255</c:v>
                </c:pt>
                <c:pt idx="7830">
                  <c:v>-52115.445</c:v>
                </c:pt>
                <c:pt idx="7831">
                  <c:v>-52043.94624500001</c:v>
                </c:pt>
                <c:pt idx="7832">
                  <c:v>-51972.51296000001</c:v>
                </c:pt>
                <c:pt idx="7833">
                  <c:v>-51901.14511499999</c:v>
                </c:pt>
                <c:pt idx="7834">
                  <c:v>-51829.842679999994</c:v>
                </c:pt>
                <c:pt idx="7835">
                  <c:v>-51758.605625</c:v>
                </c:pt>
                <c:pt idx="7836">
                  <c:v>-51687.433919999996</c:v>
                </c:pt>
                <c:pt idx="7837">
                  <c:v>-51616.327535</c:v>
                </c:pt>
                <c:pt idx="7838">
                  <c:v>-51545.28644</c:v>
                </c:pt>
                <c:pt idx="7839">
                  <c:v>-51474.310605</c:v>
                </c:pt>
                <c:pt idx="7840">
                  <c:v>-51403.40000000001</c:v>
                </c:pt>
                <c:pt idx="7841">
                  <c:v>-51332.554594999994</c:v>
                </c:pt>
                <c:pt idx="7842">
                  <c:v>-51261.77436</c:v>
                </c:pt>
                <c:pt idx="7843">
                  <c:v>-51191.059264999996</c:v>
                </c:pt>
                <c:pt idx="7844">
                  <c:v>-51120.40927999999</c:v>
                </c:pt>
                <c:pt idx="7845">
                  <c:v>-51049.824375</c:v>
                </c:pt>
                <c:pt idx="7846">
                  <c:v>-50979.304520000005</c:v>
                </c:pt>
                <c:pt idx="7847">
                  <c:v>-50908.849684999994</c:v>
                </c:pt>
                <c:pt idx="7848">
                  <c:v>-50838.459839999996</c:v>
                </c:pt>
                <c:pt idx="7849">
                  <c:v>-50768.134955</c:v>
                </c:pt>
                <c:pt idx="7850">
                  <c:v>-50697.875</c:v>
                </c:pt>
                <c:pt idx="7851">
                  <c:v>-50627.679945</c:v>
                </c:pt>
                <c:pt idx="7852">
                  <c:v>-50557.54976</c:v>
                </c:pt>
                <c:pt idx="7853">
                  <c:v>-50487.484415</c:v>
                </c:pt>
                <c:pt idx="7854">
                  <c:v>-50417.48388</c:v>
                </c:pt>
                <c:pt idx="7855">
                  <c:v>-50347.548125</c:v>
                </c:pt>
                <c:pt idx="7856">
                  <c:v>-50277.67712</c:v>
                </c:pt>
                <c:pt idx="7857">
                  <c:v>-50207.870835</c:v>
                </c:pt>
                <c:pt idx="7858">
                  <c:v>-50138.12924</c:v>
                </c:pt>
                <c:pt idx="7859">
                  <c:v>-50068.452305</c:v>
                </c:pt>
                <c:pt idx="7860">
                  <c:v>-49998.840000000004</c:v>
                </c:pt>
                <c:pt idx="7861">
                  <c:v>-49929.292295</c:v>
                </c:pt>
                <c:pt idx="7862">
                  <c:v>-49859.80916</c:v>
                </c:pt>
                <c:pt idx="7863">
                  <c:v>-49790.390565</c:v>
                </c:pt>
                <c:pt idx="7864">
                  <c:v>-49721.036479999995</c:v>
                </c:pt>
                <c:pt idx="7865">
                  <c:v>-49651.746875</c:v>
                </c:pt>
                <c:pt idx="7866">
                  <c:v>-49582.521720000004</c:v>
                </c:pt>
                <c:pt idx="7867">
                  <c:v>-49513.360985</c:v>
                </c:pt>
                <c:pt idx="7868">
                  <c:v>-49444.26464</c:v>
                </c:pt>
                <c:pt idx="7869">
                  <c:v>-49375.232655</c:v>
                </c:pt>
                <c:pt idx="7870">
                  <c:v>-49306.265</c:v>
                </c:pt>
                <c:pt idx="7871">
                  <c:v>-49237.361645000005</c:v>
                </c:pt>
                <c:pt idx="7872">
                  <c:v>-49168.522560000005</c:v>
                </c:pt>
                <c:pt idx="7873">
                  <c:v>-49099.747715000005</c:v>
                </c:pt>
                <c:pt idx="7874">
                  <c:v>-49031.03708</c:v>
                </c:pt>
                <c:pt idx="7875">
                  <c:v>-48962.390625</c:v>
                </c:pt>
                <c:pt idx="7876">
                  <c:v>-48893.808320000004</c:v>
                </c:pt>
                <c:pt idx="7877">
                  <c:v>-48825.290135</c:v>
                </c:pt>
                <c:pt idx="7878">
                  <c:v>-48756.83604</c:v>
                </c:pt>
                <c:pt idx="7879">
                  <c:v>-48688.446005</c:v>
                </c:pt>
                <c:pt idx="7880">
                  <c:v>-48620.119999999995</c:v>
                </c:pt>
                <c:pt idx="7881">
                  <c:v>-48551.857995</c:v>
                </c:pt>
                <c:pt idx="7882">
                  <c:v>-48483.65996</c:v>
                </c:pt>
                <c:pt idx="7883">
                  <c:v>-48415.525864999996</c:v>
                </c:pt>
                <c:pt idx="7884">
                  <c:v>-48347.45567999999</c:v>
                </c:pt>
                <c:pt idx="7885">
                  <c:v>-48279.449375000004</c:v>
                </c:pt>
                <c:pt idx="7886">
                  <c:v>-48211.50692000001</c:v>
                </c:pt>
                <c:pt idx="7887">
                  <c:v>-48143.628285</c:v>
                </c:pt>
                <c:pt idx="7888">
                  <c:v>-48075.81344</c:v>
                </c:pt>
                <c:pt idx="7889">
                  <c:v>-48008.062354999995</c:v>
                </c:pt>
                <c:pt idx="7890">
                  <c:v>-47940.375</c:v>
                </c:pt>
                <c:pt idx="7891">
                  <c:v>-47872.751345</c:v>
                </c:pt>
                <c:pt idx="7892">
                  <c:v>-47805.191360000004</c:v>
                </c:pt>
                <c:pt idx="7893">
                  <c:v>-47737.695015000005</c:v>
                </c:pt>
                <c:pt idx="7894">
                  <c:v>-47670.262279999995</c:v>
                </c:pt>
                <c:pt idx="7895">
                  <c:v>-47602.893125</c:v>
                </c:pt>
                <c:pt idx="7896">
                  <c:v>-47535.587519999994</c:v>
                </c:pt>
                <c:pt idx="7897">
                  <c:v>-47468.345435</c:v>
                </c:pt>
                <c:pt idx="7898">
                  <c:v>-47401.16684</c:v>
                </c:pt>
                <c:pt idx="7899">
                  <c:v>-47334.051705</c:v>
                </c:pt>
                <c:pt idx="7900">
                  <c:v>-47267.00000000001</c:v>
                </c:pt>
                <c:pt idx="7901">
                  <c:v>-47200.011695</c:v>
                </c:pt>
                <c:pt idx="7902">
                  <c:v>-47133.08676</c:v>
                </c:pt>
                <c:pt idx="7903">
                  <c:v>-47066.225164999996</c:v>
                </c:pt>
                <c:pt idx="7904">
                  <c:v>-46999.426880000006</c:v>
                </c:pt>
                <c:pt idx="7905">
                  <c:v>-46932.691875000004</c:v>
                </c:pt>
                <c:pt idx="7906">
                  <c:v>-46866.02012</c:v>
                </c:pt>
                <c:pt idx="7907">
                  <c:v>-46799.411585</c:v>
                </c:pt>
                <c:pt idx="7908">
                  <c:v>-46732.866239999996</c:v>
                </c:pt>
                <c:pt idx="7909">
                  <c:v>-46666.384055</c:v>
                </c:pt>
                <c:pt idx="7910">
                  <c:v>-46599.965000000004</c:v>
                </c:pt>
                <c:pt idx="7911">
                  <c:v>-46533.609045000005</c:v>
                </c:pt>
                <c:pt idx="7912">
                  <c:v>-46467.31616</c:v>
                </c:pt>
                <c:pt idx="7913">
                  <c:v>-46401.08631499999</c:v>
                </c:pt>
                <c:pt idx="7914">
                  <c:v>-46334.919480000004</c:v>
                </c:pt>
                <c:pt idx="7915">
                  <c:v>-46268.815625</c:v>
                </c:pt>
                <c:pt idx="7916">
                  <c:v>-46202.77472</c:v>
                </c:pt>
                <c:pt idx="7917">
                  <c:v>-46136.796734999996</c:v>
                </c:pt>
                <c:pt idx="7918">
                  <c:v>-46070.88164</c:v>
                </c:pt>
                <c:pt idx="7919">
                  <c:v>-46005.029404999994</c:v>
                </c:pt>
                <c:pt idx="7920">
                  <c:v>-45939.24</c:v>
                </c:pt>
                <c:pt idx="7921">
                  <c:v>-45873.513395</c:v>
                </c:pt>
                <c:pt idx="7922">
                  <c:v>-45807.84956</c:v>
                </c:pt>
                <c:pt idx="7923">
                  <c:v>-45742.248465</c:v>
                </c:pt>
                <c:pt idx="7924">
                  <c:v>-45676.71008</c:v>
                </c:pt>
                <c:pt idx="7925">
                  <c:v>-45611.23437500001</c:v>
                </c:pt>
                <c:pt idx="7926">
                  <c:v>-45545.821319999995</c:v>
                </c:pt>
                <c:pt idx="7927">
                  <c:v>-45480.470885</c:v>
                </c:pt>
                <c:pt idx="7928">
                  <c:v>-45415.18304</c:v>
                </c:pt>
                <c:pt idx="7929">
                  <c:v>-45349.957754999996</c:v>
                </c:pt>
                <c:pt idx="7930">
                  <c:v>-45284.795</c:v>
                </c:pt>
                <c:pt idx="7931">
                  <c:v>-45219.694745</c:v>
                </c:pt>
                <c:pt idx="7932">
                  <c:v>-45154.65696000001</c:v>
                </c:pt>
                <c:pt idx="7933">
                  <c:v>-45089.681615</c:v>
                </c:pt>
                <c:pt idx="7934">
                  <c:v>-45024.76868</c:v>
                </c:pt>
                <c:pt idx="7935">
                  <c:v>-44959.918125000004</c:v>
                </c:pt>
                <c:pt idx="7936">
                  <c:v>-44895.12992</c:v>
                </c:pt>
                <c:pt idx="7937">
                  <c:v>-44830.40403499999</c:v>
                </c:pt>
                <c:pt idx="7938">
                  <c:v>-44765.74044</c:v>
                </c:pt>
                <c:pt idx="7939">
                  <c:v>-44701.139105</c:v>
                </c:pt>
                <c:pt idx="7940">
                  <c:v>-44636.6</c:v>
                </c:pt>
                <c:pt idx="7941">
                  <c:v>-44572.123094999995</c:v>
                </c:pt>
                <c:pt idx="7942">
                  <c:v>-44507.708360000004</c:v>
                </c:pt>
                <c:pt idx="7943">
                  <c:v>-44443.355765</c:v>
                </c:pt>
                <c:pt idx="7944">
                  <c:v>-44379.06528</c:v>
                </c:pt>
                <c:pt idx="7945">
                  <c:v>-44314.83687499999</c:v>
                </c:pt>
                <c:pt idx="7946">
                  <c:v>-44250.67052</c:v>
                </c:pt>
                <c:pt idx="7947">
                  <c:v>-44186.566184999996</c:v>
                </c:pt>
                <c:pt idx="7948">
                  <c:v>-44122.52384</c:v>
                </c:pt>
                <c:pt idx="7949">
                  <c:v>-44058.543455</c:v>
                </c:pt>
                <c:pt idx="7950">
                  <c:v>-43994.62499999999</c:v>
                </c:pt>
                <c:pt idx="7951">
                  <c:v>-43930.768444999994</c:v>
                </c:pt>
                <c:pt idx="7952">
                  <c:v>-43866.97375999999</c:v>
                </c:pt>
                <c:pt idx="7953">
                  <c:v>-43803.240914999995</c:v>
                </c:pt>
                <c:pt idx="7954">
                  <c:v>-43739.56988</c:v>
                </c:pt>
                <c:pt idx="7955">
                  <c:v>-43675.960625</c:v>
                </c:pt>
                <c:pt idx="7956">
                  <c:v>-43612.41312</c:v>
                </c:pt>
                <c:pt idx="7957">
                  <c:v>-43548.927335</c:v>
                </c:pt>
                <c:pt idx="7958">
                  <c:v>-43485.50324</c:v>
                </c:pt>
                <c:pt idx="7959">
                  <c:v>-43422.140804999995</c:v>
                </c:pt>
                <c:pt idx="7960">
                  <c:v>-43358.84</c:v>
                </c:pt>
                <c:pt idx="7961">
                  <c:v>-43295.60079499999</c:v>
                </c:pt>
                <c:pt idx="7962">
                  <c:v>-43232.42316</c:v>
                </c:pt>
                <c:pt idx="7963">
                  <c:v>-43169.307065</c:v>
                </c:pt>
                <c:pt idx="7964">
                  <c:v>-43106.25248</c:v>
                </c:pt>
                <c:pt idx="7965">
                  <c:v>-43043.259375</c:v>
                </c:pt>
                <c:pt idx="7966">
                  <c:v>-42980.32772</c:v>
                </c:pt>
                <c:pt idx="7967">
                  <c:v>-42917.457485</c:v>
                </c:pt>
                <c:pt idx="7968">
                  <c:v>-42854.64864</c:v>
                </c:pt>
                <c:pt idx="7969">
                  <c:v>-42791.901155</c:v>
                </c:pt>
                <c:pt idx="7970">
                  <c:v>-42729.215</c:v>
                </c:pt>
                <c:pt idx="7971">
                  <c:v>-42666.590145</c:v>
                </c:pt>
                <c:pt idx="7972">
                  <c:v>-42604.026560000006</c:v>
                </c:pt>
                <c:pt idx="7973">
                  <c:v>-42541.524215</c:v>
                </c:pt>
                <c:pt idx="7974">
                  <c:v>-42479.083080000004</c:v>
                </c:pt>
                <c:pt idx="7975">
                  <c:v>-42416.703125</c:v>
                </c:pt>
                <c:pt idx="7976">
                  <c:v>-42354.384320000005</c:v>
                </c:pt>
                <c:pt idx="7977">
                  <c:v>-42292.126635</c:v>
                </c:pt>
                <c:pt idx="7978">
                  <c:v>-42229.93004</c:v>
                </c:pt>
                <c:pt idx="7979">
                  <c:v>-42167.794505000005</c:v>
                </c:pt>
                <c:pt idx="7980">
                  <c:v>-42105.72</c:v>
                </c:pt>
                <c:pt idx="7981">
                  <c:v>-42043.706495000006</c:v>
                </c:pt>
                <c:pt idx="7982">
                  <c:v>-41981.75396</c:v>
                </c:pt>
                <c:pt idx="7983">
                  <c:v>-41919.862365</c:v>
                </c:pt>
                <c:pt idx="7984">
                  <c:v>-41858.03167999999</c:v>
                </c:pt>
                <c:pt idx="7985">
                  <c:v>-41796.261875000004</c:v>
                </c:pt>
                <c:pt idx="7986">
                  <c:v>-41734.55292</c:v>
                </c:pt>
                <c:pt idx="7987">
                  <c:v>-41672.904785000006</c:v>
                </c:pt>
                <c:pt idx="7988">
                  <c:v>-41611.31744</c:v>
                </c:pt>
                <c:pt idx="7989">
                  <c:v>-41549.790855</c:v>
                </c:pt>
                <c:pt idx="7990">
                  <c:v>-41488.325</c:v>
                </c:pt>
                <c:pt idx="7991">
                  <c:v>-41426.919845000004</c:v>
                </c:pt>
                <c:pt idx="7992">
                  <c:v>-41365.57536</c:v>
                </c:pt>
                <c:pt idx="7993">
                  <c:v>-41304.291515</c:v>
                </c:pt>
                <c:pt idx="7994">
                  <c:v>-41243.06827999999</c:v>
                </c:pt>
                <c:pt idx="7995">
                  <c:v>-41181.905625</c:v>
                </c:pt>
                <c:pt idx="7996">
                  <c:v>-41120.80352</c:v>
                </c:pt>
                <c:pt idx="7997">
                  <c:v>-41059.761935</c:v>
                </c:pt>
                <c:pt idx="7998">
                  <c:v>-40998.78084</c:v>
                </c:pt>
                <c:pt idx="7999">
                  <c:v>-40937.860205000004</c:v>
                </c:pt>
                <c:pt idx="8000">
                  <c:v>-40877.0</c:v>
                </c:pt>
                <c:pt idx="8001">
                  <c:v>-40816.200195</c:v>
                </c:pt>
                <c:pt idx="8002">
                  <c:v>-40755.46076</c:v>
                </c:pt>
                <c:pt idx="8003">
                  <c:v>-40694.781665</c:v>
                </c:pt>
                <c:pt idx="8004">
                  <c:v>-40634.16288</c:v>
                </c:pt>
                <c:pt idx="8005">
                  <c:v>-40573.604374999995</c:v>
                </c:pt>
                <c:pt idx="8006">
                  <c:v>-40513.106120000004</c:v>
                </c:pt>
                <c:pt idx="8007">
                  <c:v>-40452.668085</c:v>
                </c:pt>
                <c:pt idx="8008">
                  <c:v>-40392.29024</c:v>
                </c:pt>
                <c:pt idx="8009">
                  <c:v>-40331.972555</c:v>
                </c:pt>
                <c:pt idx="8010">
                  <c:v>-40271.715000000004</c:v>
                </c:pt>
                <c:pt idx="8011">
                  <c:v>-40211.517545</c:v>
                </c:pt>
                <c:pt idx="8012">
                  <c:v>-40151.38016</c:v>
                </c:pt>
                <c:pt idx="8013">
                  <c:v>-40091.302815</c:v>
                </c:pt>
                <c:pt idx="8014">
                  <c:v>-40031.28548</c:v>
                </c:pt>
                <c:pt idx="8015">
                  <c:v>-39971.32812499999</c:v>
                </c:pt>
                <c:pt idx="8016">
                  <c:v>-39911.43072</c:v>
                </c:pt>
                <c:pt idx="8017">
                  <c:v>-39851.593235</c:v>
                </c:pt>
                <c:pt idx="8018">
                  <c:v>-39791.81564</c:v>
                </c:pt>
                <c:pt idx="8019">
                  <c:v>-39732.097905</c:v>
                </c:pt>
                <c:pt idx="8020">
                  <c:v>-39672.439999999995</c:v>
                </c:pt>
                <c:pt idx="8021">
                  <c:v>-39612.841895</c:v>
                </c:pt>
                <c:pt idx="8022">
                  <c:v>-39553.30356</c:v>
                </c:pt>
                <c:pt idx="8023">
                  <c:v>-39493.824965</c:v>
                </c:pt>
                <c:pt idx="8024">
                  <c:v>-39434.40608000001</c:v>
                </c:pt>
                <c:pt idx="8025">
                  <c:v>-39375.046875</c:v>
                </c:pt>
                <c:pt idx="8026">
                  <c:v>-39315.747319999995</c:v>
                </c:pt>
                <c:pt idx="8027">
                  <c:v>-39256.507385</c:v>
                </c:pt>
                <c:pt idx="8028">
                  <c:v>-39197.327040000004</c:v>
                </c:pt>
                <c:pt idx="8029">
                  <c:v>-39138.206255</c:v>
                </c:pt>
                <c:pt idx="8030">
                  <c:v>-39079.145000000004</c:v>
                </c:pt>
                <c:pt idx="8031">
                  <c:v>-39020.143245</c:v>
                </c:pt>
                <c:pt idx="8032">
                  <c:v>-38961.20096</c:v>
                </c:pt>
                <c:pt idx="8033">
                  <c:v>-38902.318115</c:v>
                </c:pt>
                <c:pt idx="8034">
                  <c:v>-38843.49468</c:v>
                </c:pt>
                <c:pt idx="8035">
                  <c:v>-38784.730625000004</c:v>
                </c:pt>
                <c:pt idx="8036">
                  <c:v>-38726.02592</c:v>
                </c:pt>
                <c:pt idx="8037">
                  <c:v>-38667.380535</c:v>
                </c:pt>
                <c:pt idx="8038">
                  <c:v>-38608.794440000005</c:v>
                </c:pt>
                <c:pt idx="8039">
                  <c:v>-38550.267605</c:v>
                </c:pt>
                <c:pt idx="8040">
                  <c:v>-38491.8</c:v>
                </c:pt>
                <c:pt idx="8041">
                  <c:v>-38433.39159500001</c:v>
                </c:pt>
                <c:pt idx="8042">
                  <c:v>-38375.04236</c:v>
                </c:pt>
                <c:pt idx="8043">
                  <c:v>-38316.752265</c:v>
                </c:pt>
                <c:pt idx="8044">
                  <c:v>-38258.52128</c:v>
                </c:pt>
                <c:pt idx="8045">
                  <c:v>-38200.349375000005</c:v>
                </c:pt>
                <c:pt idx="8046">
                  <c:v>-38142.23652</c:v>
                </c:pt>
                <c:pt idx="8047">
                  <c:v>-38084.182685</c:v>
                </c:pt>
                <c:pt idx="8048">
                  <c:v>-38026.187840000006</c:v>
                </c:pt>
                <c:pt idx="8049">
                  <c:v>-37968.251955</c:v>
                </c:pt>
                <c:pt idx="8050">
                  <c:v>-37910.375</c:v>
                </c:pt>
                <c:pt idx="8051">
                  <c:v>-37852.556945000004</c:v>
                </c:pt>
                <c:pt idx="8052">
                  <c:v>-37794.79776</c:v>
                </c:pt>
                <c:pt idx="8053">
                  <c:v>-37737.097415</c:v>
                </c:pt>
                <c:pt idx="8054">
                  <c:v>-37679.45588</c:v>
                </c:pt>
                <c:pt idx="8055">
                  <c:v>-37621.873125</c:v>
                </c:pt>
                <c:pt idx="8056">
                  <c:v>-37564.34912</c:v>
                </c:pt>
                <c:pt idx="8057">
                  <c:v>-37506.883835</c:v>
                </c:pt>
                <c:pt idx="8058">
                  <c:v>-37449.47724</c:v>
                </c:pt>
                <c:pt idx="8059">
                  <c:v>-37392.129305</c:v>
                </c:pt>
                <c:pt idx="8060">
                  <c:v>-37334.840000000004</c:v>
                </c:pt>
                <c:pt idx="8061">
                  <c:v>-37277.609295</c:v>
                </c:pt>
                <c:pt idx="8062">
                  <c:v>-37220.437159999994</c:v>
                </c:pt>
                <c:pt idx="8063">
                  <c:v>-37163.323565000006</c:v>
                </c:pt>
                <c:pt idx="8064">
                  <c:v>-37106.26848</c:v>
                </c:pt>
                <c:pt idx="8065">
                  <c:v>-37049.271875</c:v>
                </c:pt>
                <c:pt idx="8066">
                  <c:v>-36992.33372</c:v>
                </c:pt>
                <c:pt idx="8067">
                  <c:v>-36935.453985</c:v>
                </c:pt>
                <c:pt idx="8068">
                  <c:v>-36878.632639999996</c:v>
                </c:pt>
                <c:pt idx="8069">
                  <c:v>-36821.869655</c:v>
                </c:pt>
                <c:pt idx="8070">
                  <c:v>-36765.165</c:v>
                </c:pt>
                <c:pt idx="8071">
                  <c:v>-36708.518645000004</c:v>
                </c:pt>
                <c:pt idx="8072">
                  <c:v>-36651.93056</c:v>
                </c:pt>
                <c:pt idx="8073">
                  <c:v>-36595.400714999996</c:v>
                </c:pt>
                <c:pt idx="8074">
                  <c:v>-36538.92908</c:v>
                </c:pt>
                <c:pt idx="8075">
                  <c:v>-36482.515625</c:v>
                </c:pt>
                <c:pt idx="8076">
                  <c:v>-36426.16032</c:v>
                </c:pt>
                <c:pt idx="8077">
                  <c:v>-36369.863135</c:v>
                </c:pt>
                <c:pt idx="8078">
                  <c:v>-36313.624039999995</c:v>
                </c:pt>
                <c:pt idx="8079">
                  <c:v>-36257.443005</c:v>
                </c:pt>
                <c:pt idx="8080">
                  <c:v>-36201.32000000001</c:v>
                </c:pt>
                <c:pt idx="8081">
                  <c:v>-36145.254994999996</c:v>
                </c:pt>
                <c:pt idx="8082">
                  <c:v>-36089.24796</c:v>
                </c:pt>
                <c:pt idx="8083">
                  <c:v>-36033.298865</c:v>
                </c:pt>
                <c:pt idx="8084">
                  <c:v>-35977.407680000004</c:v>
                </c:pt>
                <c:pt idx="8085">
                  <c:v>-35921.574375</c:v>
                </c:pt>
                <c:pt idx="8086">
                  <c:v>-35865.79892</c:v>
                </c:pt>
                <c:pt idx="8087">
                  <c:v>-35810.08128499999</c:v>
                </c:pt>
                <c:pt idx="8088">
                  <c:v>-35754.42144</c:v>
                </c:pt>
                <c:pt idx="8089">
                  <c:v>-35698.81935499999</c:v>
                </c:pt>
                <c:pt idx="8090">
                  <c:v>-35643.275</c:v>
                </c:pt>
                <c:pt idx="8091">
                  <c:v>-35587.788345</c:v>
                </c:pt>
                <c:pt idx="8092">
                  <c:v>-35532.35936</c:v>
                </c:pt>
                <c:pt idx="8093">
                  <c:v>-35476.988015</c:v>
                </c:pt>
                <c:pt idx="8094">
                  <c:v>-35421.67428</c:v>
                </c:pt>
                <c:pt idx="8095">
                  <c:v>-35366.418125</c:v>
                </c:pt>
                <c:pt idx="8096">
                  <c:v>-35311.219520000006</c:v>
                </c:pt>
                <c:pt idx="8097">
                  <c:v>-35256.078434999996</c:v>
                </c:pt>
                <c:pt idx="8098">
                  <c:v>-35200.99484</c:v>
                </c:pt>
                <c:pt idx="8099">
                  <c:v>-35145.968705</c:v>
                </c:pt>
                <c:pt idx="8100">
                  <c:v>-35091.0</c:v>
                </c:pt>
                <c:pt idx="8101">
                  <c:v>-35036.088695</c:v>
                </c:pt>
                <c:pt idx="8102">
                  <c:v>-34981.23476</c:v>
                </c:pt>
                <c:pt idx="8103">
                  <c:v>-34926.438165</c:v>
                </c:pt>
                <c:pt idx="8104">
                  <c:v>-34871.698879999996</c:v>
                </c:pt>
                <c:pt idx="8105">
                  <c:v>-34817.016875</c:v>
                </c:pt>
                <c:pt idx="8106">
                  <c:v>-34762.39212</c:v>
                </c:pt>
                <c:pt idx="8107">
                  <c:v>-34707.824585</c:v>
                </c:pt>
                <c:pt idx="8108">
                  <c:v>-34653.31424</c:v>
                </c:pt>
                <c:pt idx="8109">
                  <c:v>-34598.861055</c:v>
                </c:pt>
                <c:pt idx="8110">
                  <c:v>-34544.465000000004</c:v>
                </c:pt>
                <c:pt idx="8111">
                  <c:v>-34490.126045</c:v>
                </c:pt>
                <c:pt idx="8112">
                  <c:v>-34435.84416</c:v>
                </c:pt>
                <c:pt idx="8113">
                  <c:v>-34381.619314999996</c:v>
                </c:pt>
                <c:pt idx="8114">
                  <c:v>-34327.45148</c:v>
                </c:pt>
                <c:pt idx="8115">
                  <c:v>-34273.340625</c:v>
                </c:pt>
                <c:pt idx="8116">
                  <c:v>-34219.286720000004</c:v>
                </c:pt>
                <c:pt idx="8117">
                  <c:v>-34165.289735000006</c:v>
                </c:pt>
                <c:pt idx="8118">
                  <c:v>-34111.34964</c:v>
                </c:pt>
                <c:pt idx="8119">
                  <c:v>-34057.466405</c:v>
                </c:pt>
                <c:pt idx="8120">
                  <c:v>-34003.64</c:v>
                </c:pt>
                <c:pt idx="8121">
                  <c:v>-33949.870395000005</c:v>
                </c:pt>
                <c:pt idx="8122">
                  <c:v>-33896.15756</c:v>
                </c:pt>
                <c:pt idx="8123">
                  <c:v>-33842.501465</c:v>
                </c:pt>
                <c:pt idx="8124">
                  <c:v>-33788.90208</c:v>
                </c:pt>
                <c:pt idx="8125">
                  <c:v>-33735.359375</c:v>
                </c:pt>
                <c:pt idx="8126">
                  <c:v>-33681.873320000006</c:v>
                </c:pt>
                <c:pt idx="8127">
                  <c:v>-33628.44388499999</c:v>
                </c:pt>
                <c:pt idx="8128">
                  <c:v>-33575.07104</c:v>
                </c:pt>
                <c:pt idx="8129">
                  <c:v>-33521.754754999994</c:v>
                </c:pt>
                <c:pt idx="8130">
                  <c:v>-33468.494999999995</c:v>
                </c:pt>
                <c:pt idx="8131">
                  <c:v>-33415.291745</c:v>
                </c:pt>
                <c:pt idx="8132">
                  <c:v>-33362.14496</c:v>
                </c:pt>
                <c:pt idx="8133">
                  <c:v>-33309.054614999994</c:v>
                </c:pt>
                <c:pt idx="8134">
                  <c:v>-33256.02068</c:v>
                </c:pt>
                <c:pt idx="8135">
                  <c:v>-33203.043125000004</c:v>
                </c:pt>
                <c:pt idx="8136">
                  <c:v>-33150.121920000005</c:v>
                </c:pt>
                <c:pt idx="8137">
                  <c:v>-33097.257035</c:v>
                </c:pt>
                <c:pt idx="8138">
                  <c:v>-33044.44844</c:v>
                </c:pt>
                <c:pt idx="8139">
                  <c:v>-32991.696104999995</c:v>
                </c:pt>
                <c:pt idx="8140">
                  <c:v>-32939.0</c:v>
                </c:pt>
                <c:pt idx="8141">
                  <c:v>-32886.360095</c:v>
                </c:pt>
                <c:pt idx="8142">
                  <c:v>-32833.776359999996</c:v>
                </c:pt>
                <c:pt idx="8143">
                  <c:v>-32781.248765</c:v>
                </c:pt>
                <c:pt idx="8144">
                  <c:v>-32728.77728</c:v>
                </c:pt>
                <c:pt idx="8145">
                  <c:v>-32676.361875</c:v>
                </c:pt>
                <c:pt idx="8146">
                  <c:v>-32624.00252</c:v>
                </c:pt>
                <c:pt idx="8147">
                  <c:v>-32571.699185</c:v>
                </c:pt>
                <c:pt idx="8148">
                  <c:v>-32519.451839999998</c:v>
                </c:pt>
                <c:pt idx="8149">
                  <c:v>-32467.260455000003</c:v>
                </c:pt>
                <c:pt idx="8150">
                  <c:v>-32415.124999999996</c:v>
                </c:pt>
                <c:pt idx="8151">
                  <c:v>-32363.045445</c:v>
                </c:pt>
                <c:pt idx="8152">
                  <c:v>-32311.021760000003</c:v>
                </c:pt>
                <c:pt idx="8153">
                  <c:v>-32259.053914999997</c:v>
                </c:pt>
                <c:pt idx="8154">
                  <c:v>-32207.141879999996</c:v>
                </c:pt>
                <c:pt idx="8155">
                  <c:v>-32155.285625</c:v>
                </c:pt>
                <c:pt idx="8156">
                  <c:v>-32103.485119999998</c:v>
                </c:pt>
                <c:pt idx="8157">
                  <c:v>-32051.740335000002</c:v>
                </c:pt>
                <c:pt idx="8158">
                  <c:v>-32000.05124</c:v>
                </c:pt>
                <c:pt idx="8159">
                  <c:v>-31948.417805</c:v>
                </c:pt>
                <c:pt idx="8160">
                  <c:v>-31896.84</c:v>
                </c:pt>
                <c:pt idx="8161">
                  <c:v>-31845.317795000003</c:v>
                </c:pt>
                <c:pt idx="8162">
                  <c:v>-31793.851160000002</c:v>
                </c:pt>
                <c:pt idx="8163">
                  <c:v>-31742.440065000003</c:v>
                </c:pt>
                <c:pt idx="8164">
                  <c:v>-31691.084480000005</c:v>
                </c:pt>
                <c:pt idx="8165">
                  <c:v>-31639.784375000003</c:v>
                </c:pt>
                <c:pt idx="8166">
                  <c:v>-31588.539720000004</c:v>
                </c:pt>
                <c:pt idx="8167">
                  <c:v>-31537.350485</c:v>
                </c:pt>
                <c:pt idx="8168">
                  <c:v>-31486.21664</c:v>
                </c:pt>
                <c:pt idx="8169">
                  <c:v>-31435.138155</c:v>
                </c:pt>
                <c:pt idx="8170">
                  <c:v>-31384.114999999998</c:v>
                </c:pt>
                <c:pt idx="8171">
                  <c:v>-31333.147145000003</c:v>
                </c:pt>
                <c:pt idx="8172">
                  <c:v>-31282.234559999997</c:v>
                </c:pt>
                <c:pt idx="8173">
                  <c:v>-31231.377215</c:v>
                </c:pt>
                <c:pt idx="8174">
                  <c:v>-31180.57508</c:v>
                </c:pt>
                <c:pt idx="8175">
                  <c:v>-31129.828124999996</c:v>
                </c:pt>
                <c:pt idx="8176">
                  <c:v>-31079.13632</c:v>
                </c:pt>
                <c:pt idx="8177">
                  <c:v>-31028.499635</c:v>
                </c:pt>
                <c:pt idx="8178">
                  <c:v>-30977.91804</c:v>
                </c:pt>
                <c:pt idx="8179">
                  <c:v>-30927.391505</c:v>
                </c:pt>
                <c:pt idx="8180">
                  <c:v>-30876.92</c:v>
                </c:pt>
                <c:pt idx="8181">
                  <c:v>-30826.503495</c:v>
                </c:pt>
                <c:pt idx="8182">
                  <c:v>-30776.141959999997</c:v>
                </c:pt>
                <c:pt idx="8183">
                  <c:v>-30725.835365</c:v>
                </c:pt>
                <c:pt idx="8184">
                  <c:v>-30675.58368</c:v>
                </c:pt>
                <c:pt idx="8185">
                  <c:v>-30625.386875</c:v>
                </c:pt>
                <c:pt idx="8186">
                  <c:v>-30575.24492</c:v>
                </c:pt>
                <c:pt idx="8187">
                  <c:v>-30525.157785</c:v>
                </c:pt>
                <c:pt idx="8188">
                  <c:v>-30475.125440000003</c:v>
                </c:pt>
                <c:pt idx="8189">
                  <c:v>-30425.147855</c:v>
                </c:pt>
                <c:pt idx="8190">
                  <c:v>-30375.225</c:v>
                </c:pt>
                <c:pt idx="8191">
                  <c:v>-30325.356845</c:v>
                </c:pt>
                <c:pt idx="8192">
                  <c:v>-30275.54336</c:v>
                </c:pt>
                <c:pt idx="8193">
                  <c:v>-30225.784515</c:v>
                </c:pt>
                <c:pt idx="8194">
                  <c:v>-30176.08028</c:v>
                </c:pt>
                <c:pt idx="8195">
                  <c:v>-30126.430624999997</c:v>
                </c:pt>
                <c:pt idx="8196">
                  <c:v>-30076.835520000004</c:v>
                </c:pt>
                <c:pt idx="8197">
                  <c:v>-30027.294934999998</c:v>
                </c:pt>
                <c:pt idx="8198">
                  <c:v>-29977.808839999998</c:v>
                </c:pt>
                <c:pt idx="8199">
                  <c:v>-29928.377205</c:v>
                </c:pt>
                <c:pt idx="8200">
                  <c:v>-29878.999999999996</c:v>
                </c:pt>
                <c:pt idx="8201">
                  <c:v>-29829.677195</c:v>
                </c:pt>
                <c:pt idx="8202">
                  <c:v>-29780.40876</c:v>
                </c:pt>
                <c:pt idx="8203">
                  <c:v>-29731.194665</c:v>
                </c:pt>
                <c:pt idx="8204">
                  <c:v>-29682.03488</c:v>
                </c:pt>
                <c:pt idx="8205">
                  <c:v>-29632.929375</c:v>
                </c:pt>
                <c:pt idx="8206">
                  <c:v>-29583.87812</c:v>
                </c:pt>
                <c:pt idx="8207">
                  <c:v>-29534.881085</c:v>
                </c:pt>
                <c:pt idx="8208">
                  <c:v>-29485.93824</c:v>
                </c:pt>
                <c:pt idx="8209">
                  <c:v>-29437.049555</c:v>
                </c:pt>
                <c:pt idx="8210">
                  <c:v>-29388.215</c:v>
                </c:pt>
                <c:pt idx="8211">
                  <c:v>-29339.434545</c:v>
                </c:pt>
                <c:pt idx="8212">
                  <c:v>-29290.708159999995</c:v>
                </c:pt>
                <c:pt idx="8213">
                  <c:v>-29242.035815</c:v>
                </c:pt>
                <c:pt idx="8214">
                  <c:v>-29193.41748</c:v>
                </c:pt>
                <c:pt idx="8215">
                  <c:v>-29144.853124999998</c:v>
                </c:pt>
                <c:pt idx="8216">
                  <c:v>-29096.34272</c:v>
                </c:pt>
                <c:pt idx="8217">
                  <c:v>-29047.886234999998</c:v>
                </c:pt>
                <c:pt idx="8218">
                  <c:v>-28999.48364</c:v>
                </c:pt>
                <c:pt idx="8219">
                  <c:v>-28951.134905</c:v>
                </c:pt>
                <c:pt idx="8220">
                  <c:v>-28902.839999999997</c:v>
                </c:pt>
                <c:pt idx="8221">
                  <c:v>-28854.598895</c:v>
                </c:pt>
                <c:pt idx="8222">
                  <c:v>-28806.41156</c:v>
                </c:pt>
                <c:pt idx="8223">
                  <c:v>-28758.277965</c:v>
                </c:pt>
                <c:pt idx="8224">
                  <c:v>-28710.19808</c:v>
                </c:pt>
                <c:pt idx="8225">
                  <c:v>-28662.171875</c:v>
                </c:pt>
                <c:pt idx="8226">
                  <c:v>-28614.19932</c:v>
                </c:pt>
                <c:pt idx="8227">
                  <c:v>-28566.280385</c:v>
                </c:pt>
                <c:pt idx="8228">
                  <c:v>-28518.41504</c:v>
                </c:pt>
                <c:pt idx="8229">
                  <c:v>-28470.603255</c:v>
                </c:pt>
                <c:pt idx="8230">
                  <c:v>-28422.845</c:v>
                </c:pt>
                <c:pt idx="8231">
                  <c:v>-28375.140245</c:v>
                </c:pt>
                <c:pt idx="8232">
                  <c:v>-28327.48896</c:v>
                </c:pt>
                <c:pt idx="8233">
                  <c:v>-28279.891115</c:v>
                </c:pt>
                <c:pt idx="8234">
                  <c:v>-28232.34668</c:v>
                </c:pt>
                <c:pt idx="8235">
                  <c:v>-28184.855625</c:v>
                </c:pt>
                <c:pt idx="8236">
                  <c:v>-28137.41792</c:v>
                </c:pt>
                <c:pt idx="8237">
                  <c:v>-28090.033535000002</c:v>
                </c:pt>
                <c:pt idx="8238">
                  <c:v>-28042.70244</c:v>
                </c:pt>
                <c:pt idx="8239">
                  <c:v>-27995.424605</c:v>
                </c:pt>
                <c:pt idx="8240">
                  <c:v>-27948.2</c:v>
                </c:pt>
                <c:pt idx="8241">
                  <c:v>-27901.028595</c:v>
                </c:pt>
                <c:pt idx="8242">
                  <c:v>-27853.91036</c:v>
                </c:pt>
                <c:pt idx="8243">
                  <c:v>-27806.845265</c:v>
                </c:pt>
                <c:pt idx="8244">
                  <c:v>-27759.833280000003</c:v>
                </c:pt>
                <c:pt idx="8245">
                  <c:v>-27712.874375</c:v>
                </c:pt>
                <c:pt idx="8246">
                  <c:v>-27665.968520000002</c:v>
                </c:pt>
                <c:pt idx="8247">
                  <c:v>-27619.115684999997</c:v>
                </c:pt>
                <c:pt idx="8248">
                  <c:v>-27572.31584</c:v>
                </c:pt>
                <c:pt idx="8249">
                  <c:v>-27525.568955000002</c:v>
                </c:pt>
                <c:pt idx="8250">
                  <c:v>-27478.875</c:v>
                </c:pt>
                <c:pt idx="8251">
                  <c:v>-27432.233945</c:v>
                </c:pt>
                <c:pt idx="8252">
                  <c:v>-27385.645760000003</c:v>
                </c:pt>
                <c:pt idx="8253">
                  <c:v>-27339.110415000003</c:v>
                </c:pt>
                <c:pt idx="8254">
                  <c:v>-27292.62788</c:v>
                </c:pt>
                <c:pt idx="8255">
                  <c:v>-27246.198125</c:v>
                </c:pt>
                <c:pt idx="8256">
                  <c:v>-27199.821120000004</c:v>
                </c:pt>
                <c:pt idx="8257">
                  <c:v>-27153.496834999998</c:v>
                </c:pt>
                <c:pt idx="8258">
                  <c:v>-27107.22524</c:v>
                </c:pt>
                <c:pt idx="8259">
                  <c:v>-27061.006305</c:v>
                </c:pt>
                <c:pt idx="8260">
                  <c:v>-27014.84</c:v>
                </c:pt>
                <c:pt idx="8261">
                  <c:v>-26968.726295</c:v>
                </c:pt>
                <c:pt idx="8262">
                  <c:v>-26922.665159999997</c:v>
                </c:pt>
                <c:pt idx="8263">
                  <c:v>-26876.656565</c:v>
                </c:pt>
                <c:pt idx="8264">
                  <c:v>-26830.70048</c:v>
                </c:pt>
                <c:pt idx="8265">
                  <c:v>-26784.796875000004</c:v>
                </c:pt>
                <c:pt idx="8266">
                  <c:v>-26738.94572</c:v>
                </c:pt>
                <c:pt idx="8267">
                  <c:v>-26693.146985</c:v>
                </c:pt>
                <c:pt idx="8268">
                  <c:v>-26647.40064</c:v>
                </c:pt>
                <c:pt idx="8269">
                  <c:v>-26601.706654999998</c:v>
                </c:pt>
                <c:pt idx="8270">
                  <c:v>-26556.065</c:v>
                </c:pt>
                <c:pt idx="8271">
                  <c:v>-26510.475645</c:v>
                </c:pt>
                <c:pt idx="8272">
                  <c:v>-26464.938560000002</c:v>
                </c:pt>
                <c:pt idx="8273">
                  <c:v>-26419.453715000003</c:v>
                </c:pt>
                <c:pt idx="8274">
                  <c:v>-26374.02108</c:v>
                </c:pt>
                <c:pt idx="8275">
                  <c:v>-26328.640624999996</c:v>
                </c:pt>
                <c:pt idx="8276">
                  <c:v>-26283.31232</c:v>
                </c:pt>
                <c:pt idx="8277">
                  <c:v>-26238.036135000002</c:v>
                </c:pt>
                <c:pt idx="8278">
                  <c:v>-26192.81204</c:v>
                </c:pt>
                <c:pt idx="8279">
                  <c:v>-26147.640005</c:v>
                </c:pt>
                <c:pt idx="8280">
                  <c:v>-26102.52</c:v>
                </c:pt>
                <c:pt idx="8281">
                  <c:v>-26057.451995000003</c:v>
                </c:pt>
                <c:pt idx="8282">
                  <c:v>-26012.435960000003</c:v>
                </c:pt>
                <c:pt idx="8283">
                  <c:v>-25967.471865</c:v>
                </c:pt>
                <c:pt idx="8284">
                  <c:v>-25922.559680000002</c:v>
                </c:pt>
                <c:pt idx="8285">
                  <c:v>-25877.699375</c:v>
                </c:pt>
                <c:pt idx="8286">
                  <c:v>-25832.89092</c:v>
                </c:pt>
                <c:pt idx="8287">
                  <c:v>-25788.134285</c:v>
                </c:pt>
                <c:pt idx="8288">
                  <c:v>-25743.429440000004</c:v>
                </c:pt>
                <c:pt idx="8289">
                  <c:v>-25698.776354999998</c:v>
                </c:pt>
                <c:pt idx="8290">
                  <c:v>-25654.175000000003</c:v>
                </c:pt>
                <c:pt idx="8291">
                  <c:v>-25609.625345</c:v>
                </c:pt>
                <c:pt idx="8292">
                  <c:v>-25565.12736</c:v>
                </c:pt>
                <c:pt idx="8293">
                  <c:v>-25520.681015</c:v>
                </c:pt>
                <c:pt idx="8294">
                  <c:v>-25476.28628</c:v>
                </c:pt>
                <c:pt idx="8295">
                  <c:v>-25431.943124999998</c:v>
                </c:pt>
                <c:pt idx="8296">
                  <c:v>-25387.651520000003</c:v>
                </c:pt>
                <c:pt idx="8297">
                  <c:v>-25343.411434999998</c:v>
                </c:pt>
                <c:pt idx="8298">
                  <c:v>-25299.22284</c:v>
                </c:pt>
                <c:pt idx="8299">
                  <c:v>-25255.085704999998</c:v>
                </c:pt>
                <c:pt idx="8300">
                  <c:v>-25210.999999999996</c:v>
                </c:pt>
                <c:pt idx="8301">
                  <c:v>-25166.965695000003</c:v>
                </c:pt>
                <c:pt idx="8302">
                  <c:v>-25122.982760000003</c:v>
                </c:pt>
                <c:pt idx="8303">
                  <c:v>-25079.051165</c:v>
                </c:pt>
                <c:pt idx="8304">
                  <c:v>-25035.170879999998</c:v>
                </c:pt>
                <c:pt idx="8305">
                  <c:v>-24991.341875</c:v>
                </c:pt>
                <c:pt idx="8306">
                  <c:v>-24947.56412</c:v>
                </c:pt>
                <c:pt idx="8307">
                  <c:v>-24903.837585</c:v>
                </c:pt>
                <c:pt idx="8308">
                  <c:v>-24860.162239999998</c:v>
                </c:pt>
                <c:pt idx="8309">
                  <c:v>-24816.538055</c:v>
                </c:pt>
                <c:pt idx="8310">
                  <c:v>-24772.965</c:v>
                </c:pt>
                <c:pt idx="8311">
                  <c:v>-24729.443045</c:v>
                </c:pt>
                <c:pt idx="8312">
                  <c:v>-24685.97216</c:v>
                </c:pt>
                <c:pt idx="8313">
                  <c:v>-24642.552314999997</c:v>
                </c:pt>
                <c:pt idx="8314">
                  <c:v>-24599.183479999996</c:v>
                </c:pt>
                <c:pt idx="8315">
                  <c:v>-24555.865625</c:v>
                </c:pt>
                <c:pt idx="8316">
                  <c:v>-24512.598719999998</c:v>
                </c:pt>
                <c:pt idx="8317">
                  <c:v>-24469.382735</c:v>
                </c:pt>
                <c:pt idx="8318">
                  <c:v>-24426.21764</c:v>
                </c:pt>
                <c:pt idx="8319">
                  <c:v>-24383.103405</c:v>
                </c:pt>
                <c:pt idx="8320">
                  <c:v>-24340.04</c:v>
                </c:pt>
                <c:pt idx="8321">
                  <c:v>-24297.027395</c:v>
                </c:pt>
                <c:pt idx="8322">
                  <c:v>-24254.06556</c:v>
                </c:pt>
                <c:pt idx="8323">
                  <c:v>-24211.154464999996</c:v>
                </c:pt>
                <c:pt idx="8324">
                  <c:v>-24168.29408</c:v>
                </c:pt>
                <c:pt idx="8325">
                  <c:v>-24125.484375000004</c:v>
                </c:pt>
                <c:pt idx="8326">
                  <c:v>-24082.725319999998</c:v>
                </c:pt>
                <c:pt idx="8327">
                  <c:v>-24040.016885</c:v>
                </c:pt>
                <c:pt idx="8328">
                  <c:v>-23997.35904</c:v>
                </c:pt>
                <c:pt idx="8329">
                  <c:v>-23954.751755</c:v>
                </c:pt>
                <c:pt idx="8330">
                  <c:v>-23912.195</c:v>
                </c:pt>
                <c:pt idx="8331">
                  <c:v>-23869.688745000003</c:v>
                </c:pt>
                <c:pt idx="8332">
                  <c:v>-23827.232959999998</c:v>
                </c:pt>
                <c:pt idx="8333">
                  <c:v>-23784.827615</c:v>
                </c:pt>
                <c:pt idx="8334">
                  <c:v>-23742.47268</c:v>
                </c:pt>
                <c:pt idx="8335">
                  <c:v>-23700.168125</c:v>
                </c:pt>
                <c:pt idx="8336">
                  <c:v>-23657.91392</c:v>
                </c:pt>
                <c:pt idx="8337">
                  <c:v>-23615.710035</c:v>
                </c:pt>
                <c:pt idx="8338">
                  <c:v>-23573.55644</c:v>
                </c:pt>
                <c:pt idx="8339">
                  <c:v>-23531.453105000004</c:v>
                </c:pt>
                <c:pt idx="8340">
                  <c:v>-23489.4</c:v>
                </c:pt>
                <c:pt idx="8341">
                  <c:v>-23447.397095</c:v>
                </c:pt>
                <c:pt idx="8342">
                  <c:v>-23405.444359999998</c:v>
                </c:pt>
                <c:pt idx="8343">
                  <c:v>-23363.541765</c:v>
                </c:pt>
                <c:pt idx="8344">
                  <c:v>-23321.68928</c:v>
                </c:pt>
                <c:pt idx="8345">
                  <c:v>-23279.886875</c:v>
                </c:pt>
                <c:pt idx="8346">
                  <c:v>-23238.134519999996</c:v>
                </c:pt>
                <c:pt idx="8347">
                  <c:v>-23196.432185</c:v>
                </c:pt>
                <c:pt idx="8348">
                  <c:v>-23154.779839999996</c:v>
                </c:pt>
                <c:pt idx="8349">
                  <c:v>-23113.177455</c:v>
                </c:pt>
                <c:pt idx="8350">
                  <c:v>-23071.625</c:v>
                </c:pt>
                <c:pt idx="8351">
                  <c:v>-23030.122445</c:v>
                </c:pt>
                <c:pt idx="8352">
                  <c:v>-22988.669759999997</c:v>
                </c:pt>
                <c:pt idx="8353">
                  <c:v>-22947.266915000004</c:v>
                </c:pt>
                <c:pt idx="8354">
                  <c:v>-22905.91388</c:v>
                </c:pt>
                <c:pt idx="8355">
                  <c:v>-22864.610625</c:v>
                </c:pt>
                <c:pt idx="8356">
                  <c:v>-22823.357119999997</c:v>
                </c:pt>
                <c:pt idx="8357">
                  <c:v>-22782.153334999995</c:v>
                </c:pt>
                <c:pt idx="8358">
                  <c:v>-22740.99924</c:v>
                </c:pt>
                <c:pt idx="8359">
                  <c:v>-22699.894804999996</c:v>
                </c:pt>
                <c:pt idx="8360">
                  <c:v>-22658.84</c:v>
                </c:pt>
                <c:pt idx="8361">
                  <c:v>-22617.834794999995</c:v>
                </c:pt>
                <c:pt idx="8362">
                  <c:v>-22576.87916</c:v>
                </c:pt>
                <c:pt idx="8363">
                  <c:v>-22535.973065000002</c:v>
                </c:pt>
                <c:pt idx="8364">
                  <c:v>-22495.116480000004</c:v>
                </c:pt>
                <c:pt idx="8365">
                  <c:v>-22454.309375</c:v>
                </c:pt>
                <c:pt idx="8366">
                  <c:v>-22413.55172</c:v>
                </c:pt>
                <c:pt idx="8367">
                  <c:v>-22372.843484999998</c:v>
                </c:pt>
                <c:pt idx="8368">
                  <c:v>-22332.18464</c:v>
                </c:pt>
                <c:pt idx="8369">
                  <c:v>-22291.575155000002</c:v>
                </c:pt>
                <c:pt idx="8370">
                  <c:v>-22251.015000000003</c:v>
                </c:pt>
                <c:pt idx="8371">
                  <c:v>-22210.504145000003</c:v>
                </c:pt>
                <c:pt idx="8372">
                  <c:v>-22170.04256</c:v>
                </c:pt>
                <c:pt idx="8373">
                  <c:v>-22129.630215000005</c:v>
                </c:pt>
                <c:pt idx="8374">
                  <c:v>-22089.26708</c:v>
                </c:pt>
                <c:pt idx="8375">
                  <c:v>-22048.953124999996</c:v>
                </c:pt>
                <c:pt idx="8376">
                  <c:v>-22008.688319999994</c:v>
                </c:pt>
                <c:pt idx="8377">
                  <c:v>-21968.472635000002</c:v>
                </c:pt>
                <c:pt idx="8378">
                  <c:v>-21928.306040000003</c:v>
                </c:pt>
                <c:pt idx="8379">
                  <c:v>-21888.188505000002</c:v>
                </c:pt>
                <c:pt idx="8380">
                  <c:v>-21848.12</c:v>
                </c:pt>
                <c:pt idx="8381">
                  <c:v>-21808.100495</c:v>
                </c:pt>
                <c:pt idx="8382">
                  <c:v>-21768.129960000002</c:v>
                </c:pt>
                <c:pt idx="8383">
                  <c:v>-21728.208365</c:v>
                </c:pt>
                <c:pt idx="8384">
                  <c:v>-21688.335680000004</c:v>
                </c:pt>
                <c:pt idx="8385">
                  <c:v>-21648.511875</c:v>
                </c:pt>
                <c:pt idx="8386">
                  <c:v>-21608.736920000003</c:v>
                </c:pt>
                <c:pt idx="8387">
                  <c:v>-21569.010785000002</c:v>
                </c:pt>
                <c:pt idx="8388">
                  <c:v>-21529.33344</c:v>
                </c:pt>
                <c:pt idx="8389">
                  <c:v>-21489.704855</c:v>
                </c:pt>
                <c:pt idx="8390">
                  <c:v>-21450.125</c:v>
                </c:pt>
                <c:pt idx="8391">
                  <c:v>-21410.593845</c:v>
                </c:pt>
                <c:pt idx="8392">
                  <c:v>-21371.11136</c:v>
                </c:pt>
                <c:pt idx="8393">
                  <c:v>-21331.677515</c:v>
                </c:pt>
                <c:pt idx="8394">
                  <c:v>-21292.29228</c:v>
                </c:pt>
                <c:pt idx="8395">
                  <c:v>-21252.955625</c:v>
                </c:pt>
                <c:pt idx="8396">
                  <c:v>-21213.667519999995</c:v>
                </c:pt>
                <c:pt idx="8397">
                  <c:v>-21174.427935</c:v>
                </c:pt>
                <c:pt idx="8398">
                  <c:v>-21135.236839999998</c:v>
                </c:pt>
                <c:pt idx="8399">
                  <c:v>-21096.094204999998</c:v>
                </c:pt>
                <c:pt idx="8400">
                  <c:v>-21057.000000000004</c:v>
                </c:pt>
                <c:pt idx="8401">
                  <c:v>-21017.954195000002</c:v>
                </c:pt>
                <c:pt idx="8402">
                  <c:v>-20978.95676</c:v>
                </c:pt>
                <c:pt idx="8403">
                  <c:v>-20940.007664999997</c:v>
                </c:pt>
                <c:pt idx="8404">
                  <c:v>-20901.10688</c:v>
                </c:pt>
                <c:pt idx="8405">
                  <c:v>-20862.254375000004</c:v>
                </c:pt>
                <c:pt idx="8406">
                  <c:v>-20823.450119999998</c:v>
                </c:pt>
                <c:pt idx="8407">
                  <c:v>-20784.694085</c:v>
                </c:pt>
                <c:pt idx="8408">
                  <c:v>-20745.98624</c:v>
                </c:pt>
                <c:pt idx="8409">
                  <c:v>-20707.326555</c:v>
                </c:pt>
                <c:pt idx="8410">
                  <c:v>-20668.715</c:v>
                </c:pt>
                <c:pt idx="8411">
                  <c:v>-20630.151544999997</c:v>
                </c:pt>
                <c:pt idx="8412">
                  <c:v>-20591.636160000002</c:v>
                </c:pt>
                <c:pt idx="8413">
                  <c:v>-20553.168814999997</c:v>
                </c:pt>
                <c:pt idx="8414">
                  <c:v>-20514.74948</c:v>
                </c:pt>
                <c:pt idx="8415">
                  <c:v>-20476.378125000003</c:v>
                </c:pt>
                <c:pt idx="8416">
                  <c:v>-20438.05472</c:v>
                </c:pt>
                <c:pt idx="8417">
                  <c:v>-20399.779234999998</c:v>
                </c:pt>
                <c:pt idx="8418">
                  <c:v>-20361.551639999998</c:v>
                </c:pt>
                <c:pt idx="8419">
                  <c:v>-20323.371905</c:v>
                </c:pt>
                <c:pt idx="8420">
                  <c:v>-20285.24</c:v>
                </c:pt>
                <c:pt idx="8421">
                  <c:v>-20247.155895</c:v>
                </c:pt>
                <c:pt idx="8422">
                  <c:v>-20209.119560000003</c:v>
                </c:pt>
                <c:pt idx="8423">
                  <c:v>-20171.130965</c:v>
                </c:pt>
                <c:pt idx="8424">
                  <c:v>-20133.19008</c:v>
                </c:pt>
                <c:pt idx="8425">
                  <c:v>-20095.296875</c:v>
                </c:pt>
                <c:pt idx="8426">
                  <c:v>-20057.451319999996</c:v>
                </c:pt>
                <c:pt idx="8427">
                  <c:v>-20019.653384999998</c:v>
                </c:pt>
                <c:pt idx="8428">
                  <c:v>-19981.903039999997</c:v>
                </c:pt>
                <c:pt idx="8429">
                  <c:v>-19944.200254999996</c:v>
                </c:pt>
                <c:pt idx="8430">
                  <c:v>-19906.545000000002</c:v>
                </c:pt>
                <c:pt idx="8431">
                  <c:v>-19868.937245</c:v>
                </c:pt>
                <c:pt idx="8432">
                  <c:v>-19831.37696</c:v>
                </c:pt>
                <c:pt idx="8433">
                  <c:v>-19793.864114999997</c:v>
                </c:pt>
                <c:pt idx="8434">
                  <c:v>-19756.39868</c:v>
                </c:pt>
                <c:pt idx="8435">
                  <c:v>-19718.980624999997</c:v>
                </c:pt>
                <c:pt idx="8436">
                  <c:v>-19681.609920000003</c:v>
                </c:pt>
                <c:pt idx="8437">
                  <c:v>-19644.286535000003</c:v>
                </c:pt>
                <c:pt idx="8438">
                  <c:v>-19607.010440000002</c:v>
                </c:pt>
                <c:pt idx="8439">
                  <c:v>-19569.781605</c:v>
                </c:pt>
                <c:pt idx="8440">
                  <c:v>-19532.6</c:v>
                </c:pt>
                <c:pt idx="8441">
                  <c:v>-19495.465595</c:v>
                </c:pt>
                <c:pt idx="8442">
                  <c:v>-19458.378359999995</c:v>
                </c:pt>
                <c:pt idx="8443">
                  <c:v>-19421.338265</c:v>
                </c:pt>
                <c:pt idx="8444">
                  <c:v>-19384.34528</c:v>
                </c:pt>
                <c:pt idx="8445">
                  <c:v>-19347.399374999997</c:v>
                </c:pt>
                <c:pt idx="8446">
                  <c:v>-19310.500519999998</c:v>
                </c:pt>
                <c:pt idx="8447">
                  <c:v>-19273.648685</c:v>
                </c:pt>
                <c:pt idx="8448">
                  <c:v>-19236.84384</c:v>
                </c:pt>
                <c:pt idx="8449">
                  <c:v>-19200.085955000002</c:v>
                </c:pt>
                <c:pt idx="8450">
                  <c:v>-19163.375</c:v>
                </c:pt>
                <c:pt idx="8451">
                  <c:v>-19126.710945</c:v>
                </c:pt>
                <c:pt idx="8452">
                  <c:v>-19090.09376</c:v>
                </c:pt>
                <c:pt idx="8453">
                  <c:v>-19053.523415</c:v>
                </c:pt>
                <c:pt idx="8454">
                  <c:v>-19016.99988</c:v>
                </c:pt>
                <c:pt idx="8455">
                  <c:v>-18980.523125</c:v>
                </c:pt>
                <c:pt idx="8456">
                  <c:v>-18944.09312</c:v>
                </c:pt>
                <c:pt idx="8457">
                  <c:v>-18907.709834999998</c:v>
                </c:pt>
                <c:pt idx="8458">
                  <c:v>-18871.37324</c:v>
                </c:pt>
                <c:pt idx="8459">
                  <c:v>-18835.083305000004</c:v>
                </c:pt>
                <c:pt idx="8460">
                  <c:v>-18798.84</c:v>
                </c:pt>
                <c:pt idx="8461">
                  <c:v>-18762.643295</c:v>
                </c:pt>
                <c:pt idx="8462">
                  <c:v>-18726.493159999998</c:v>
                </c:pt>
                <c:pt idx="8463">
                  <c:v>-18690.389565</c:v>
                </c:pt>
                <c:pt idx="8464">
                  <c:v>-18654.33248</c:v>
                </c:pt>
                <c:pt idx="8465">
                  <c:v>-18618.321874999998</c:v>
                </c:pt>
                <c:pt idx="8466">
                  <c:v>-18582.35772</c:v>
                </c:pt>
                <c:pt idx="8467">
                  <c:v>-18546.439985</c:v>
                </c:pt>
                <c:pt idx="8468">
                  <c:v>-18510.568639999998</c:v>
                </c:pt>
                <c:pt idx="8469">
                  <c:v>-18474.743655000002</c:v>
                </c:pt>
                <c:pt idx="8470">
                  <c:v>-18438.965</c:v>
                </c:pt>
                <c:pt idx="8471">
                  <c:v>-18403.232645</c:v>
                </c:pt>
                <c:pt idx="8472">
                  <c:v>-18367.54656</c:v>
                </c:pt>
                <c:pt idx="8473">
                  <c:v>-18331.906715</c:v>
                </c:pt>
                <c:pt idx="8474">
                  <c:v>-18296.31308</c:v>
                </c:pt>
                <c:pt idx="8475">
                  <c:v>-18260.765624999996</c:v>
                </c:pt>
                <c:pt idx="8476">
                  <c:v>-18225.264320000002</c:v>
                </c:pt>
                <c:pt idx="8477">
                  <c:v>-18189.809135</c:v>
                </c:pt>
                <c:pt idx="8478">
                  <c:v>-18154.40004</c:v>
                </c:pt>
                <c:pt idx="8479">
                  <c:v>-18119.037005000002</c:v>
                </c:pt>
                <c:pt idx="8480">
                  <c:v>-18083.72</c:v>
                </c:pt>
                <c:pt idx="8481">
                  <c:v>-18048.448995</c:v>
                </c:pt>
                <c:pt idx="8482">
                  <c:v>-18013.223960000003</c:v>
                </c:pt>
                <c:pt idx="8483">
                  <c:v>-17978.044865</c:v>
                </c:pt>
                <c:pt idx="8484">
                  <c:v>-17942.911679999997</c:v>
                </c:pt>
                <c:pt idx="8485">
                  <c:v>-17907.824375</c:v>
                </c:pt>
                <c:pt idx="8486">
                  <c:v>-17872.78292</c:v>
                </c:pt>
                <c:pt idx="8487">
                  <c:v>-17837.787285000002</c:v>
                </c:pt>
                <c:pt idx="8488">
                  <c:v>-17802.837440000003</c:v>
                </c:pt>
                <c:pt idx="8489">
                  <c:v>-17767.933355</c:v>
                </c:pt>
                <c:pt idx="8490">
                  <c:v>-17733.075</c:v>
                </c:pt>
                <c:pt idx="8491">
                  <c:v>-17698.262345</c:v>
                </c:pt>
                <c:pt idx="8492">
                  <c:v>-17663.495360000004</c:v>
                </c:pt>
                <c:pt idx="8493">
                  <c:v>-17628.774015</c:v>
                </c:pt>
                <c:pt idx="8494">
                  <c:v>-17594.09828</c:v>
                </c:pt>
                <c:pt idx="8495">
                  <c:v>-17559.468125</c:v>
                </c:pt>
                <c:pt idx="8496">
                  <c:v>-17524.88352</c:v>
                </c:pt>
                <c:pt idx="8497">
                  <c:v>-17490.344435</c:v>
                </c:pt>
                <c:pt idx="8498">
                  <c:v>-17455.85084</c:v>
                </c:pt>
                <c:pt idx="8499">
                  <c:v>-17421.402705</c:v>
                </c:pt>
                <c:pt idx="8500">
                  <c:v>-17387.000000000004</c:v>
                </c:pt>
                <c:pt idx="8501">
                  <c:v>-17352.642695</c:v>
                </c:pt>
                <c:pt idx="8502">
                  <c:v>-17318.33076</c:v>
                </c:pt>
                <c:pt idx="8503">
                  <c:v>-17284.064165</c:v>
                </c:pt>
                <c:pt idx="8504">
                  <c:v>-17249.84288</c:v>
                </c:pt>
                <c:pt idx="8505">
                  <c:v>-17215.666875</c:v>
                </c:pt>
                <c:pt idx="8506">
                  <c:v>-17181.536119999997</c:v>
                </c:pt>
                <c:pt idx="8507">
                  <c:v>-17147.450585000002</c:v>
                </c:pt>
                <c:pt idx="8508">
                  <c:v>-17113.410239999997</c:v>
                </c:pt>
                <c:pt idx="8509">
                  <c:v>-17079.415054999998</c:v>
                </c:pt>
                <c:pt idx="8510">
                  <c:v>-17045.465</c:v>
                </c:pt>
                <c:pt idx="8511">
                  <c:v>-17011.560045</c:v>
                </c:pt>
                <c:pt idx="8512">
                  <c:v>-16977.70016</c:v>
                </c:pt>
                <c:pt idx="8513">
                  <c:v>-16943.885315000003</c:v>
                </c:pt>
                <c:pt idx="8514">
                  <c:v>-16910.11548</c:v>
                </c:pt>
                <c:pt idx="8515">
                  <c:v>-16876.390625</c:v>
                </c:pt>
                <c:pt idx="8516">
                  <c:v>-16842.710720000003</c:v>
                </c:pt>
                <c:pt idx="8517">
                  <c:v>-16809.075735000002</c:v>
                </c:pt>
                <c:pt idx="8518">
                  <c:v>-16775.48564</c:v>
                </c:pt>
                <c:pt idx="8519">
                  <c:v>-16741.940404999998</c:v>
                </c:pt>
                <c:pt idx="8520">
                  <c:v>-16708.44</c:v>
                </c:pt>
                <c:pt idx="8521">
                  <c:v>-16674.984394999996</c:v>
                </c:pt>
                <c:pt idx="8522">
                  <c:v>-16641.573559999997</c:v>
                </c:pt>
                <c:pt idx="8523">
                  <c:v>-16608.207465</c:v>
                </c:pt>
                <c:pt idx="8524">
                  <c:v>-16574.88608</c:v>
                </c:pt>
                <c:pt idx="8525">
                  <c:v>-16541.609375</c:v>
                </c:pt>
                <c:pt idx="8526">
                  <c:v>-16508.37732</c:v>
                </c:pt>
                <c:pt idx="8527">
                  <c:v>-16475.189884999996</c:v>
                </c:pt>
                <c:pt idx="8528">
                  <c:v>-16442.04704</c:v>
                </c:pt>
                <c:pt idx="8529">
                  <c:v>-16408.948755</c:v>
                </c:pt>
                <c:pt idx="8530">
                  <c:v>-16375.895000000004</c:v>
                </c:pt>
                <c:pt idx="8531">
                  <c:v>-16342.885745</c:v>
                </c:pt>
                <c:pt idx="8532">
                  <c:v>-16309.920960000003</c:v>
                </c:pt>
                <c:pt idx="8533">
                  <c:v>-16277.000614999997</c:v>
                </c:pt>
                <c:pt idx="8534">
                  <c:v>-16244.124679999999</c:v>
                </c:pt>
                <c:pt idx="8535">
                  <c:v>-16211.293125</c:v>
                </c:pt>
                <c:pt idx="8536">
                  <c:v>-16178.50592</c:v>
                </c:pt>
                <c:pt idx="8537">
                  <c:v>-16145.763035000002</c:v>
                </c:pt>
                <c:pt idx="8538">
                  <c:v>-16113.06444</c:v>
                </c:pt>
                <c:pt idx="8539">
                  <c:v>-16080.410104999999</c:v>
                </c:pt>
                <c:pt idx="8540">
                  <c:v>-16047.800000000003</c:v>
                </c:pt>
                <c:pt idx="8541">
                  <c:v>-16015.234094999998</c:v>
                </c:pt>
                <c:pt idx="8542">
                  <c:v>-15982.71236</c:v>
                </c:pt>
                <c:pt idx="8543">
                  <c:v>-15950.234765</c:v>
                </c:pt>
                <c:pt idx="8544">
                  <c:v>-15917.801279999998</c:v>
                </c:pt>
                <c:pt idx="8545">
                  <c:v>-15885.411874999998</c:v>
                </c:pt>
                <c:pt idx="8546">
                  <c:v>-15853.066519999997</c:v>
                </c:pt>
                <c:pt idx="8547">
                  <c:v>-15820.765184999997</c:v>
                </c:pt>
                <c:pt idx="8548">
                  <c:v>-15788.50784</c:v>
                </c:pt>
                <c:pt idx="8549">
                  <c:v>-15756.294455000001</c:v>
                </c:pt>
                <c:pt idx="8550">
                  <c:v>-15724.125000000002</c:v>
                </c:pt>
                <c:pt idx="8551">
                  <c:v>-15691.999445000001</c:v>
                </c:pt>
                <c:pt idx="8552">
                  <c:v>-15659.917759999998</c:v>
                </c:pt>
                <c:pt idx="8553">
                  <c:v>-15627.879915000001</c:v>
                </c:pt>
                <c:pt idx="8554">
                  <c:v>-15595.88588</c:v>
                </c:pt>
                <c:pt idx="8555">
                  <c:v>-15563.935625000002</c:v>
                </c:pt>
                <c:pt idx="8556">
                  <c:v>-15532.029119999997</c:v>
                </c:pt>
                <c:pt idx="8557">
                  <c:v>-15500.166335000002</c:v>
                </c:pt>
                <c:pt idx="8558">
                  <c:v>-15468.34724</c:v>
                </c:pt>
                <c:pt idx="8559">
                  <c:v>-15436.571805000003</c:v>
                </c:pt>
                <c:pt idx="8560">
                  <c:v>-15404.840000000002</c:v>
                </c:pt>
                <c:pt idx="8561">
                  <c:v>-15373.151794999998</c:v>
                </c:pt>
                <c:pt idx="8562">
                  <c:v>-15341.50716</c:v>
                </c:pt>
                <c:pt idx="8563">
                  <c:v>-15309.906065000001</c:v>
                </c:pt>
                <c:pt idx="8564">
                  <c:v>-15278.34848</c:v>
                </c:pt>
                <c:pt idx="8565">
                  <c:v>-15246.834375</c:v>
                </c:pt>
                <c:pt idx="8566">
                  <c:v>-15215.36372</c:v>
                </c:pt>
                <c:pt idx="8567">
                  <c:v>-15183.936485000002</c:v>
                </c:pt>
                <c:pt idx="8568">
                  <c:v>-15152.55264</c:v>
                </c:pt>
                <c:pt idx="8569">
                  <c:v>-15121.212155</c:v>
                </c:pt>
                <c:pt idx="8570">
                  <c:v>-15089.914999999999</c:v>
                </c:pt>
                <c:pt idx="8571">
                  <c:v>-15058.661145</c:v>
                </c:pt>
                <c:pt idx="8572">
                  <c:v>-15027.450559999997</c:v>
                </c:pt>
                <c:pt idx="8573">
                  <c:v>-14996.283215</c:v>
                </c:pt>
                <c:pt idx="8574">
                  <c:v>-14965.159080000001</c:v>
                </c:pt>
                <c:pt idx="8575">
                  <c:v>-14934.078125</c:v>
                </c:pt>
                <c:pt idx="8576">
                  <c:v>-14903.04032</c:v>
                </c:pt>
                <c:pt idx="8577">
                  <c:v>-14872.045635000002</c:v>
                </c:pt>
                <c:pt idx="8578">
                  <c:v>-14841.09404</c:v>
                </c:pt>
                <c:pt idx="8579">
                  <c:v>-14810.185504999998</c:v>
                </c:pt>
                <c:pt idx="8580">
                  <c:v>-14779.32</c:v>
                </c:pt>
                <c:pt idx="8581">
                  <c:v>-14748.497495</c:v>
                </c:pt>
                <c:pt idx="8582">
                  <c:v>-14717.71796</c:v>
                </c:pt>
                <c:pt idx="8583">
                  <c:v>-14686.981365</c:v>
                </c:pt>
                <c:pt idx="8584">
                  <c:v>-14656.287680000001</c:v>
                </c:pt>
                <c:pt idx="8585">
                  <c:v>-14625.636875</c:v>
                </c:pt>
                <c:pt idx="8586">
                  <c:v>-14595.02892</c:v>
                </c:pt>
                <c:pt idx="8587">
                  <c:v>-14564.463784999998</c:v>
                </c:pt>
                <c:pt idx="8588">
                  <c:v>-14533.94144</c:v>
                </c:pt>
                <c:pt idx="8589">
                  <c:v>-14503.461855000001</c:v>
                </c:pt>
                <c:pt idx="8590">
                  <c:v>-14473.025000000003</c:v>
                </c:pt>
                <c:pt idx="8591">
                  <c:v>-14442.630845</c:v>
                </c:pt>
                <c:pt idx="8592">
                  <c:v>-14412.279359999999</c:v>
                </c:pt>
                <c:pt idx="8593">
                  <c:v>-14381.970514999997</c:v>
                </c:pt>
                <c:pt idx="8594">
                  <c:v>-14351.70428</c:v>
                </c:pt>
                <c:pt idx="8595">
                  <c:v>-14321.480625</c:v>
                </c:pt>
                <c:pt idx="8596">
                  <c:v>-14291.299520000002</c:v>
                </c:pt>
                <c:pt idx="8597">
                  <c:v>-14261.160935</c:v>
                </c:pt>
                <c:pt idx="8598">
                  <c:v>-14231.06484</c:v>
                </c:pt>
                <c:pt idx="8599">
                  <c:v>-14201.011204999999</c:v>
                </c:pt>
                <c:pt idx="8600">
                  <c:v>-14171.0</c:v>
                </c:pt>
                <c:pt idx="8601">
                  <c:v>-14141.031195</c:v>
                </c:pt>
                <c:pt idx="8602">
                  <c:v>-14111.104759999997</c:v>
                </c:pt>
                <c:pt idx="8603">
                  <c:v>-14081.220664999999</c:v>
                </c:pt>
                <c:pt idx="8604">
                  <c:v>-14051.378880000002</c:v>
                </c:pt>
                <c:pt idx="8605">
                  <c:v>-14021.579375</c:v>
                </c:pt>
                <c:pt idx="8606">
                  <c:v>-13991.82212</c:v>
                </c:pt>
                <c:pt idx="8607">
                  <c:v>-13962.107085</c:v>
                </c:pt>
                <c:pt idx="8608">
                  <c:v>-13932.434239999999</c:v>
                </c:pt>
                <c:pt idx="8609">
                  <c:v>-13902.803555</c:v>
                </c:pt>
                <c:pt idx="8610">
                  <c:v>-13873.215</c:v>
                </c:pt>
                <c:pt idx="8611">
                  <c:v>-13843.668544999999</c:v>
                </c:pt>
                <c:pt idx="8612">
                  <c:v>-13814.16416</c:v>
                </c:pt>
                <c:pt idx="8613">
                  <c:v>-13784.701814999999</c:v>
                </c:pt>
                <c:pt idx="8614">
                  <c:v>-13755.28148</c:v>
                </c:pt>
                <c:pt idx="8615">
                  <c:v>-13725.903124999999</c:v>
                </c:pt>
                <c:pt idx="8616">
                  <c:v>-13696.56672</c:v>
                </c:pt>
                <c:pt idx="8617">
                  <c:v>-13667.272235</c:v>
                </c:pt>
                <c:pt idx="8618">
                  <c:v>-13638.01964</c:v>
                </c:pt>
                <c:pt idx="8619">
                  <c:v>-13608.808905</c:v>
                </c:pt>
                <c:pt idx="8620">
                  <c:v>-13579.64</c:v>
                </c:pt>
                <c:pt idx="8621">
                  <c:v>-13550.512895</c:v>
                </c:pt>
                <c:pt idx="8622">
                  <c:v>-13521.42756</c:v>
                </c:pt>
                <c:pt idx="8623">
                  <c:v>-13492.383964999999</c:v>
                </c:pt>
                <c:pt idx="8624">
                  <c:v>-13463.382080000001</c:v>
                </c:pt>
                <c:pt idx="8625">
                  <c:v>-13434.421875000002</c:v>
                </c:pt>
                <c:pt idx="8626">
                  <c:v>-13405.50332</c:v>
                </c:pt>
                <c:pt idx="8627">
                  <c:v>-13376.626385000001</c:v>
                </c:pt>
                <c:pt idx="8628">
                  <c:v>-13347.79104</c:v>
                </c:pt>
                <c:pt idx="8629">
                  <c:v>-13318.997255</c:v>
                </c:pt>
                <c:pt idx="8630">
                  <c:v>-13290.245</c:v>
                </c:pt>
                <c:pt idx="8631">
                  <c:v>-13261.534244999999</c:v>
                </c:pt>
                <c:pt idx="8632">
                  <c:v>-13232.86496</c:v>
                </c:pt>
                <c:pt idx="8633">
                  <c:v>-13204.237115000002</c:v>
                </c:pt>
                <c:pt idx="8634">
                  <c:v>-13175.650679999999</c:v>
                </c:pt>
                <c:pt idx="8635">
                  <c:v>-13147.105625</c:v>
                </c:pt>
                <c:pt idx="8636">
                  <c:v>-13118.601920000001</c:v>
                </c:pt>
                <c:pt idx="8637">
                  <c:v>-13090.139535</c:v>
                </c:pt>
                <c:pt idx="8638">
                  <c:v>-13061.71844</c:v>
                </c:pt>
                <c:pt idx="8639">
                  <c:v>-13033.338605</c:v>
                </c:pt>
                <c:pt idx="8640">
                  <c:v>-13005.0</c:v>
                </c:pt>
                <c:pt idx="8641">
                  <c:v>-12976.702595</c:v>
                </c:pt>
                <c:pt idx="8642">
                  <c:v>-12948.44636</c:v>
                </c:pt>
                <c:pt idx="8643">
                  <c:v>-12920.231265000002</c:v>
                </c:pt>
                <c:pt idx="8644">
                  <c:v>-12892.057279999999</c:v>
                </c:pt>
                <c:pt idx="8645">
                  <c:v>-12863.924375</c:v>
                </c:pt>
                <c:pt idx="8646">
                  <c:v>-12835.83252</c:v>
                </c:pt>
                <c:pt idx="8647">
                  <c:v>-12807.781684999998</c:v>
                </c:pt>
                <c:pt idx="8648">
                  <c:v>-12779.77184</c:v>
                </c:pt>
                <c:pt idx="8649">
                  <c:v>-12751.802955</c:v>
                </c:pt>
                <c:pt idx="8650">
                  <c:v>-12723.875000000002</c:v>
                </c:pt>
                <c:pt idx="8651">
                  <c:v>-12695.987945</c:v>
                </c:pt>
                <c:pt idx="8652">
                  <c:v>-12668.14176</c:v>
                </c:pt>
                <c:pt idx="8653">
                  <c:v>-12640.336415</c:v>
                </c:pt>
                <c:pt idx="8654">
                  <c:v>-12612.571879999998</c:v>
                </c:pt>
                <c:pt idx="8655">
                  <c:v>-12584.848125</c:v>
                </c:pt>
                <c:pt idx="8656">
                  <c:v>-12557.16512</c:v>
                </c:pt>
                <c:pt idx="8657">
                  <c:v>-12529.522835</c:v>
                </c:pt>
                <c:pt idx="8658">
                  <c:v>-12501.92124</c:v>
                </c:pt>
                <c:pt idx="8659">
                  <c:v>-12474.360305</c:v>
                </c:pt>
                <c:pt idx="8660">
                  <c:v>-12446.84</c:v>
                </c:pt>
                <c:pt idx="8661">
                  <c:v>-12419.360294999999</c:v>
                </c:pt>
                <c:pt idx="8662">
                  <c:v>-12391.92116</c:v>
                </c:pt>
                <c:pt idx="8663">
                  <c:v>-12364.522565</c:v>
                </c:pt>
                <c:pt idx="8664">
                  <c:v>-12337.164480000001</c:v>
                </c:pt>
                <c:pt idx="8665">
                  <c:v>-12309.846875000001</c:v>
                </c:pt>
                <c:pt idx="8666">
                  <c:v>-12282.569719999998</c:v>
                </c:pt>
                <c:pt idx="8667">
                  <c:v>-12255.332985</c:v>
                </c:pt>
                <c:pt idx="8668">
                  <c:v>-12228.13664</c:v>
                </c:pt>
                <c:pt idx="8669">
                  <c:v>-12200.980655</c:v>
                </c:pt>
                <c:pt idx="8670">
                  <c:v>-12173.865</c:v>
                </c:pt>
                <c:pt idx="8671">
                  <c:v>-12146.789645</c:v>
                </c:pt>
                <c:pt idx="8672">
                  <c:v>-12119.754560000001</c:v>
                </c:pt>
                <c:pt idx="8673">
                  <c:v>-12092.759715</c:v>
                </c:pt>
                <c:pt idx="8674">
                  <c:v>-12065.805079999998</c:v>
                </c:pt>
                <c:pt idx="8675">
                  <c:v>-12038.890625</c:v>
                </c:pt>
                <c:pt idx="8676">
                  <c:v>-12012.01632</c:v>
                </c:pt>
                <c:pt idx="8677">
                  <c:v>-11985.182134999997</c:v>
                </c:pt>
                <c:pt idx="8678">
                  <c:v>-11958.38804</c:v>
                </c:pt>
                <c:pt idx="8679">
                  <c:v>-11931.634005</c:v>
                </c:pt>
                <c:pt idx="8680">
                  <c:v>-11904.92</c:v>
                </c:pt>
                <c:pt idx="8681">
                  <c:v>-11878.245995000001</c:v>
                </c:pt>
                <c:pt idx="8682">
                  <c:v>-11851.61196</c:v>
                </c:pt>
                <c:pt idx="8683">
                  <c:v>-11825.017865</c:v>
                </c:pt>
                <c:pt idx="8684">
                  <c:v>-11798.463679999999</c:v>
                </c:pt>
                <c:pt idx="8685">
                  <c:v>-11771.949374999998</c:v>
                </c:pt>
                <c:pt idx="8686">
                  <c:v>-11745.474919999997</c:v>
                </c:pt>
                <c:pt idx="8687">
                  <c:v>-11719.040285</c:v>
                </c:pt>
                <c:pt idx="8688">
                  <c:v>-11692.64544</c:v>
                </c:pt>
                <c:pt idx="8689">
                  <c:v>-11666.290355</c:v>
                </c:pt>
                <c:pt idx="8690">
                  <c:v>-11639.975000000002</c:v>
                </c:pt>
                <c:pt idx="8691">
                  <c:v>-11613.699345</c:v>
                </c:pt>
                <c:pt idx="8692">
                  <c:v>-11587.463360000002</c:v>
                </c:pt>
                <c:pt idx="8693">
                  <c:v>-11561.267015000001</c:v>
                </c:pt>
                <c:pt idx="8694">
                  <c:v>-11535.110280000003</c:v>
                </c:pt>
                <c:pt idx="8695">
                  <c:v>-11508.993124999999</c:v>
                </c:pt>
                <c:pt idx="8696">
                  <c:v>-11482.91552</c:v>
                </c:pt>
                <c:pt idx="8697">
                  <c:v>-11456.877435</c:v>
                </c:pt>
                <c:pt idx="8698">
                  <c:v>-11430.87884</c:v>
                </c:pt>
                <c:pt idx="8699">
                  <c:v>-11404.919704999998</c:v>
                </c:pt>
                <c:pt idx="8700">
                  <c:v>-11379.0</c:v>
                </c:pt>
                <c:pt idx="8701">
                  <c:v>-11353.119695</c:v>
                </c:pt>
                <c:pt idx="8702">
                  <c:v>-11327.27876</c:v>
                </c:pt>
                <c:pt idx="8703">
                  <c:v>-11301.477165</c:v>
                </c:pt>
                <c:pt idx="8704">
                  <c:v>-11275.714880000001</c:v>
                </c:pt>
                <c:pt idx="8705">
                  <c:v>-11249.991875</c:v>
                </c:pt>
                <c:pt idx="8706">
                  <c:v>-11224.308120000003</c:v>
                </c:pt>
                <c:pt idx="8707">
                  <c:v>-11198.663584999997</c:v>
                </c:pt>
                <c:pt idx="8708">
                  <c:v>-11173.058239999998</c:v>
                </c:pt>
                <c:pt idx="8709">
                  <c:v>-11147.492055</c:v>
                </c:pt>
                <c:pt idx="8710">
                  <c:v>-11121.965</c:v>
                </c:pt>
                <c:pt idx="8711">
                  <c:v>-11096.477045000001</c:v>
                </c:pt>
                <c:pt idx="8712">
                  <c:v>-11071.02816</c:v>
                </c:pt>
                <c:pt idx="8713">
                  <c:v>-11045.618315</c:v>
                </c:pt>
                <c:pt idx="8714">
                  <c:v>-11020.247479999998</c:v>
                </c:pt>
                <c:pt idx="8715">
                  <c:v>-10994.915625000001</c:v>
                </c:pt>
                <c:pt idx="8716">
                  <c:v>-10969.622720000001</c:v>
                </c:pt>
                <c:pt idx="8717">
                  <c:v>-10944.368735</c:v>
                </c:pt>
                <c:pt idx="8718">
                  <c:v>-10919.153639999999</c:v>
                </c:pt>
                <c:pt idx="8719">
                  <c:v>-10893.977405</c:v>
                </c:pt>
                <c:pt idx="8720">
                  <c:v>-10868.84</c:v>
                </c:pt>
                <c:pt idx="8721">
                  <c:v>-10843.741395</c:v>
                </c:pt>
                <c:pt idx="8722">
                  <c:v>-10818.68156</c:v>
                </c:pt>
                <c:pt idx="8723">
                  <c:v>-10793.660464999999</c:v>
                </c:pt>
                <c:pt idx="8724">
                  <c:v>-10768.67808</c:v>
                </c:pt>
                <c:pt idx="8725">
                  <c:v>-10743.734375</c:v>
                </c:pt>
                <c:pt idx="8726">
                  <c:v>-10718.82932</c:v>
                </c:pt>
                <c:pt idx="8727">
                  <c:v>-10693.962884999997</c:v>
                </c:pt>
                <c:pt idx="8728">
                  <c:v>-10669.13504</c:v>
                </c:pt>
                <c:pt idx="8729">
                  <c:v>-10644.345755</c:v>
                </c:pt>
                <c:pt idx="8730">
                  <c:v>-10619.595</c:v>
                </c:pt>
                <c:pt idx="8731">
                  <c:v>-10594.882744999999</c:v>
                </c:pt>
                <c:pt idx="8732">
                  <c:v>-10570.20896</c:v>
                </c:pt>
                <c:pt idx="8733">
                  <c:v>-10545.573615</c:v>
                </c:pt>
                <c:pt idx="8734">
                  <c:v>-10520.97668</c:v>
                </c:pt>
                <c:pt idx="8735">
                  <c:v>-10496.418125</c:v>
                </c:pt>
                <c:pt idx="8736">
                  <c:v>-10471.89792</c:v>
                </c:pt>
                <c:pt idx="8737">
                  <c:v>-10447.416035</c:v>
                </c:pt>
                <c:pt idx="8738">
                  <c:v>-10422.97244</c:v>
                </c:pt>
                <c:pt idx="8739">
                  <c:v>-10398.567105</c:v>
                </c:pt>
                <c:pt idx="8740">
                  <c:v>-10374.199999999999</c:v>
                </c:pt>
                <c:pt idx="8741">
                  <c:v>-10349.871095000002</c:v>
                </c:pt>
                <c:pt idx="8742">
                  <c:v>-10325.58036</c:v>
                </c:pt>
                <c:pt idx="8743">
                  <c:v>-10301.327765</c:v>
                </c:pt>
                <c:pt idx="8744">
                  <c:v>-10277.11328</c:v>
                </c:pt>
                <c:pt idx="8745">
                  <c:v>-10252.936875</c:v>
                </c:pt>
                <c:pt idx="8746">
                  <c:v>-10228.79852</c:v>
                </c:pt>
                <c:pt idx="8747">
                  <c:v>-10204.698185000001</c:v>
                </c:pt>
                <c:pt idx="8748">
                  <c:v>-10180.63584</c:v>
                </c:pt>
                <c:pt idx="8749">
                  <c:v>-10156.611455000002</c:v>
                </c:pt>
                <c:pt idx="8750">
                  <c:v>-10132.625000000002</c:v>
                </c:pt>
                <c:pt idx="8751">
                  <c:v>-10108.676445000001</c:v>
                </c:pt>
                <c:pt idx="8752">
                  <c:v>-10084.76576</c:v>
                </c:pt>
                <c:pt idx="8753">
                  <c:v>-10060.892914999999</c:v>
                </c:pt>
                <c:pt idx="8754">
                  <c:v>-10037.057879999998</c:v>
                </c:pt>
                <c:pt idx="8755">
                  <c:v>-10013.260625</c:v>
                </c:pt>
                <c:pt idx="8756">
                  <c:v>-9989.50112</c:v>
                </c:pt>
                <c:pt idx="8757">
                  <c:v>-9965.779335</c:v>
                </c:pt>
                <c:pt idx="8758">
                  <c:v>-9942.09524</c:v>
                </c:pt>
                <c:pt idx="8759">
                  <c:v>-9918.448805</c:v>
                </c:pt>
                <c:pt idx="8760">
                  <c:v>-9894.84</c:v>
                </c:pt>
                <c:pt idx="8761">
                  <c:v>-9871.268795</c:v>
                </c:pt>
                <c:pt idx="8762">
                  <c:v>-9847.73516</c:v>
                </c:pt>
                <c:pt idx="8763">
                  <c:v>-9824.239065</c:v>
                </c:pt>
                <c:pt idx="8764">
                  <c:v>-9800.78048</c:v>
                </c:pt>
                <c:pt idx="8765">
                  <c:v>-9777.359375</c:v>
                </c:pt>
                <c:pt idx="8766">
                  <c:v>-9753.97572</c:v>
                </c:pt>
                <c:pt idx="8767">
                  <c:v>-9730.629484999998</c:v>
                </c:pt>
                <c:pt idx="8768">
                  <c:v>-9707.32064</c:v>
                </c:pt>
                <c:pt idx="8769">
                  <c:v>-9684.049154999999</c:v>
                </c:pt>
                <c:pt idx="8770">
                  <c:v>-9660.815</c:v>
                </c:pt>
                <c:pt idx="8771">
                  <c:v>-9637.618145</c:v>
                </c:pt>
                <c:pt idx="8772">
                  <c:v>-9614.45856</c:v>
                </c:pt>
                <c:pt idx="8773">
                  <c:v>-9591.336215000001</c:v>
                </c:pt>
                <c:pt idx="8774">
                  <c:v>-9568.25108</c:v>
                </c:pt>
                <c:pt idx="8775">
                  <c:v>-9545.203125</c:v>
                </c:pt>
                <c:pt idx="8776">
                  <c:v>-9522.192320000002</c:v>
                </c:pt>
                <c:pt idx="8777">
                  <c:v>-9499.218635000001</c:v>
                </c:pt>
                <c:pt idx="8778">
                  <c:v>-9476.282039999998</c:v>
                </c:pt>
                <c:pt idx="8779">
                  <c:v>-9453.382505</c:v>
                </c:pt>
                <c:pt idx="8780">
                  <c:v>-9430.52</c:v>
                </c:pt>
                <c:pt idx="8781">
                  <c:v>-9407.694495000002</c:v>
                </c:pt>
                <c:pt idx="8782">
                  <c:v>-9384.90596</c:v>
                </c:pt>
                <c:pt idx="8783">
                  <c:v>-9362.154365</c:v>
                </c:pt>
                <c:pt idx="8784">
                  <c:v>-9339.43968</c:v>
                </c:pt>
                <c:pt idx="8785">
                  <c:v>-9316.761875</c:v>
                </c:pt>
                <c:pt idx="8786">
                  <c:v>-9294.120919999998</c:v>
                </c:pt>
                <c:pt idx="8787">
                  <c:v>-9271.516785</c:v>
                </c:pt>
                <c:pt idx="8788">
                  <c:v>-9248.949439999999</c:v>
                </c:pt>
                <c:pt idx="8789">
                  <c:v>-9226.418855</c:v>
                </c:pt>
                <c:pt idx="8790">
                  <c:v>-9203.925</c:v>
                </c:pt>
                <c:pt idx="8791">
                  <c:v>-9181.467845000001</c:v>
                </c:pt>
                <c:pt idx="8792">
                  <c:v>-9159.047359999999</c:v>
                </c:pt>
                <c:pt idx="8793">
                  <c:v>-9136.663515</c:v>
                </c:pt>
                <c:pt idx="8794">
                  <c:v>-9114.316280000001</c:v>
                </c:pt>
                <c:pt idx="8795">
                  <c:v>-9092.005624999998</c:v>
                </c:pt>
                <c:pt idx="8796">
                  <c:v>-9069.731520000001</c:v>
                </c:pt>
                <c:pt idx="8797">
                  <c:v>-9047.493935</c:v>
                </c:pt>
                <c:pt idx="8798">
                  <c:v>-9025.29284</c:v>
                </c:pt>
                <c:pt idx="8799">
                  <c:v>-9003.128204999997</c:v>
                </c:pt>
                <c:pt idx="8800">
                  <c:v>-8981.0</c:v>
                </c:pt>
                <c:pt idx="8801">
                  <c:v>-8958.908195</c:v>
                </c:pt>
                <c:pt idx="8802">
                  <c:v>-8936.85276</c:v>
                </c:pt>
                <c:pt idx="8803">
                  <c:v>-8914.833664999998</c:v>
                </c:pt>
                <c:pt idx="8804">
                  <c:v>-8892.85088</c:v>
                </c:pt>
                <c:pt idx="8805">
                  <c:v>-8870.904375</c:v>
                </c:pt>
                <c:pt idx="8806">
                  <c:v>-8848.99412</c:v>
                </c:pt>
                <c:pt idx="8807">
                  <c:v>-8827.120085</c:v>
                </c:pt>
                <c:pt idx="8808">
                  <c:v>-8805.28224</c:v>
                </c:pt>
                <c:pt idx="8809">
                  <c:v>-8783.480554999998</c:v>
                </c:pt>
                <c:pt idx="8810">
                  <c:v>-8761.714999999998</c:v>
                </c:pt>
                <c:pt idx="8811">
                  <c:v>-8739.985545</c:v>
                </c:pt>
                <c:pt idx="8812">
                  <c:v>-8718.29216</c:v>
                </c:pt>
                <c:pt idx="8813">
                  <c:v>-8696.634815</c:v>
                </c:pt>
                <c:pt idx="8814">
                  <c:v>-8675.013480000001</c:v>
                </c:pt>
                <c:pt idx="8815">
                  <c:v>-8653.428125</c:v>
                </c:pt>
                <c:pt idx="8816">
                  <c:v>-8631.878719999997</c:v>
                </c:pt>
                <c:pt idx="8817">
                  <c:v>-8610.365235000003</c:v>
                </c:pt>
                <c:pt idx="8818">
                  <c:v>-8588.88764</c:v>
                </c:pt>
                <c:pt idx="8819">
                  <c:v>-8567.445905</c:v>
                </c:pt>
                <c:pt idx="8820">
                  <c:v>-8546.039999999999</c:v>
                </c:pt>
                <c:pt idx="8821">
                  <c:v>-8524.669894999999</c:v>
                </c:pt>
                <c:pt idx="8822">
                  <c:v>-8503.33556</c:v>
                </c:pt>
                <c:pt idx="8823">
                  <c:v>-8482.036965</c:v>
                </c:pt>
                <c:pt idx="8824">
                  <c:v>-8460.77408</c:v>
                </c:pt>
                <c:pt idx="8825">
                  <c:v>-8439.546875</c:v>
                </c:pt>
                <c:pt idx="8826">
                  <c:v>-8418.35532</c:v>
                </c:pt>
                <c:pt idx="8827">
                  <c:v>-8397.199385</c:v>
                </c:pt>
                <c:pt idx="8828">
                  <c:v>-8376.07904</c:v>
                </c:pt>
                <c:pt idx="8829">
                  <c:v>-8354.994255</c:v>
                </c:pt>
                <c:pt idx="8830">
                  <c:v>-8333.945</c:v>
                </c:pt>
                <c:pt idx="8831">
                  <c:v>-8312.931245000002</c:v>
                </c:pt>
                <c:pt idx="8832">
                  <c:v>-8291.952959999999</c:v>
                </c:pt>
                <c:pt idx="8833">
                  <c:v>-8271.010115000001</c:v>
                </c:pt>
                <c:pt idx="8834">
                  <c:v>-8250.10268</c:v>
                </c:pt>
                <c:pt idx="8835">
                  <c:v>-8229.230625</c:v>
                </c:pt>
                <c:pt idx="8836">
                  <c:v>-8208.39392</c:v>
                </c:pt>
                <c:pt idx="8837">
                  <c:v>-8187.592534999998</c:v>
                </c:pt>
                <c:pt idx="8838">
                  <c:v>-8166.82644</c:v>
                </c:pt>
                <c:pt idx="8839">
                  <c:v>-8146.0956049999995</c:v>
                </c:pt>
                <c:pt idx="8840">
                  <c:v>-8125.400000000002</c:v>
                </c:pt>
                <c:pt idx="8841">
                  <c:v>-8104.739595</c:v>
                </c:pt>
                <c:pt idx="8842">
                  <c:v>-8084.1143600000005</c:v>
                </c:pt>
                <c:pt idx="8843">
                  <c:v>-8063.524265</c:v>
                </c:pt>
                <c:pt idx="8844">
                  <c:v>-8042.969279999999</c:v>
                </c:pt>
                <c:pt idx="8845">
                  <c:v>-8022.449375</c:v>
                </c:pt>
                <c:pt idx="8846">
                  <c:v>-8001.96452</c:v>
                </c:pt>
                <c:pt idx="8847">
                  <c:v>-7981.514685</c:v>
                </c:pt>
                <c:pt idx="8848">
                  <c:v>-7961.09984</c:v>
                </c:pt>
                <c:pt idx="8849">
                  <c:v>-7940.7199550000005</c:v>
                </c:pt>
                <c:pt idx="8850">
                  <c:v>-7920.375</c:v>
                </c:pt>
                <c:pt idx="8851">
                  <c:v>-7900.064945</c:v>
                </c:pt>
                <c:pt idx="8852">
                  <c:v>-7879.789760000001</c:v>
                </c:pt>
                <c:pt idx="8853">
                  <c:v>-7859.549414999999</c:v>
                </c:pt>
                <c:pt idx="8854">
                  <c:v>-7839.34388</c:v>
                </c:pt>
                <c:pt idx="8855">
                  <c:v>-7819.173125</c:v>
                </c:pt>
                <c:pt idx="8856">
                  <c:v>-7799.037120000001</c:v>
                </c:pt>
                <c:pt idx="8857">
                  <c:v>-7778.935835</c:v>
                </c:pt>
                <c:pt idx="8858">
                  <c:v>-7758.86924</c:v>
                </c:pt>
                <c:pt idx="8859">
                  <c:v>-7738.837305</c:v>
                </c:pt>
                <c:pt idx="8860">
                  <c:v>-7718.84</c:v>
                </c:pt>
                <c:pt idx="8861">
                  <c:v>-7698.877295</c:v>
                </c:pt>
                <c:pt idx="8862">
                  <c:v>-7678.949160000002</c:v>
                </c:pt>
                <c:pt idx="8863">
                  <c:v>-7659.055565</c:v>
                </c:pt>
                <c:pt idx="8864">
                  <c:v>-7639.19648</c:v>
                </c:pt>
                <c:pt idx="8865">
                  <c:v>-7619.371875</c:v>
                </c:pt>
                <c:pt idx="8866">
                  <c:v>-7599.58172</c:v>
                </c:pt>
                <c:pt idx="8867">
                  <c:v>-7579.8259849999995</c:v>
                </c:pt>
                <c:pt idx="8868">
                  <c:v>-7560.1046400000005</c:v>
                </c:pt>
                <c:pt idx="8869">
                  <c:v>-7540.417655</c:v>
                </c:pt>
                <c:pt idx="8870">
                  <c:v>-7520.764999999998</c:v>
                </c:pt>
                <c:pt idx="8871">
                  <c:v>-7501.146645</c:v>
                </c:pt>
                <c:pt idx="8872">
                  <c:v>-7481.56256</c:v>
                </c:pt>
                <c:pt idx="8873">
                  <c:v>-7462.012715</c:v>
                </c:pt>
                <c:pt idx="8874">
                  <c:v>-7442.497080000002</c:v>
                </c:pt>
                <c:pt idx="8875">
                  <c:v>-7423.015625</c:v>
                </c:pt>
                <c:pt idx="8876">
                  <c:v>-7403.56832</c:v>
                </c:pt>
                <c:pt idx="8877">
                  <c:v>-7384.155135</c:v>
                </c:pt>
                <c:pt idx="8878">
                  <c:v>-7364.77604</c:v>
                </c:pt>
                <c:pt idx="8879">
                  <c:v>-7345.431005</c:v>
                </c:pt>
                <c:pt idx="8880">
                  <c:v>-7326.12</c:v>
                </c:pt>
                <c:pt idx="8881">
                  <c:v>-7306.842995</c:v>
                </c:pt>
                <c:pt idx="8882">
                  <c:v>-7287.5999600000005</c:v>
                </c:pt>
                <c:pt idx="8883">
                  <c:v>-7268.390865</c:v>
                </c:pt>
                <c:pt idx="8884">
                  <c:v>-7249.215679999999</c:v>
                </c:pt>
                <c:pt idx="8885">
                  <c:v>-7230.074375</c:v>
                </c:pt>
                <c:pt idx="8886">
                  <c:v>-7210.966920000001</c:v>
                </c:pt>
                <c:pt idx="8887">
                  <c:v>-7191.893285000002</c:v>
                </c:pt>
                <c:pt idx="8888">
                  <c:v>-7172.85344</c:v>
                </c:pt>
                <c:pt idx="8889">
                  <c:v>-7153.847355</c:v>
                </c:pt>
                <c:pt idx="8890">
                  <c:v>-7134.875</c:v>
                </c:pt>
                <c:pt idx="8891">
                  <c:v>-7115.936344999999</c:v>
                </c:pt>
                <c:pt idx="8892">
                  <c:v>-7097.03136</c:v>
                </c:pt>
                <c:pt idx="8893">
                  <c:v>-7078.160015</c:v>
                </c:pt>
                <c:pt idx="8894">
                  <c:v>-7059.32228</c:v>
                </c:pt>
                <c:pt idx="8895">
                  <c:v>-7040.518125</c:v>
                </c:pt>
                <c:pt idx="8896">
                  <c:v>-7021.747520000001</c:v>
                </c:pt>
                <c:pt idx="8897">
                  <c:v>-7003.010435</c:v>
                </c:pt>
                <c:pt idx="8898">
                  <c:v>-6984.30684</c:v>
                </c:pt>
                <c:pt idx="8899">
                  <c:v>-6965.636705</c:v>
                </c:pt>
                <c:pt idx="8900">
                  <c:v>-6947.0</c:v>
                </c:pt>
                <c:pt idx="8901">
                  <c:v>-6928.396695</c:v>
                </c:pt>
                <c:pt idx="8902">
                  <c:v>-6909.826760000001</c:v>
                </c:pt>
                <c:pt idx="8903">
                  <c:v>-6891.290164999999</c:v>
                </c:pt>
                <c:pt idx="8904">
                  <c:v>-6872.786880000001</c:v>
                </c:pt>
                <c:pt idx="8905">
                  <c:v>-6854.3168749999995</c:v>
                </c:pt>
                <c:pt idx="8906">
                  <c:v>-6835.88012</c:v>
                </c:pt>
                <c:pt idx="8907">
                  <c:v>-6817.476585</c:v>
                </c:pt>
                <c:pt idx="8908">
                  <c:v>-6799.10624</c:v>
                </c:pt>
                <c:pt idx="8909">
                  <c:v>-6780.769055000001</c:v>
                </c:pt>
                <c:pt idx="8910">
                  <c:v>-6762.464999999999</c:v>
                </c:pt>
                <c:pt idx="8911">
                  <c:v>-6744.194045</c:v>
                </c:pt>
                <c:pt idx="8912">
                  <c:v>-6725.95616</c:v>
                </c:pt>
                <c:pt idx="8913">
                  <c:v>-6707.7513149999995</c:v>
                </c:pt>
                <c:pt idx="8914">
                  <c:v>-6689.57948</c:v>
                </c:pt>
                <c:pt idx="8915">
                  <c:v>-6671.440625</c:v>
                </c:pt>
                <c:pt idx="8916">
                  <c:v>-6653.33472</c:v>
                </c:pt>
                <c:pt idx="8917">
                  <c:v>-6635.261735</c:v>
                </c:pt>
                <c:pt idx="8918">
                  <c:v>-6617.22164</c:v>
                </c:pt>
                <c:pt idx="8919">
                  <c:v>-6599.214405</c:v>
                </c:pt>
                <c:pt idx="8920">
                  <c:v>-6581.24</c:v>
                </c:pt>
                <c:pt idx="8921">
                  <c:v>-6563.298395000001</c:v>
                </c:pt>
                <c:pt idx="8922">
                  <c:v>-6545.38956</c:v>
                </c:pt>
                <c:pt idx="8923">
                  <c:v>-6527.513465</c:v>
                </c:pt>
                <c:pt idx="8924">
                  <c:v>-6509.67008</c:v>
                </c:pt>
                <c:pt idx="8925">
                  <c:v>-6491.859375</c:v>
                </c:pt>
                <c:pt idx="8926">
                  <c:v>-6474.08132</c:v>
                </c:pt>
                <c:pt idx="8927">
                  <c:v>-6456.3358849999995</c:v>
                </c:pt>
                <c:pt idx="8928">
                  <c:v>-6438.62304</c:v>
                </c:pt>
                <c:pt idx="8929">
                  <c:v>-6420.942755</c:v>
                </c:pt>
                <c:pt idx="8930">
                  <c:v>-6403.295</c:v>
                </c:pt>
                <c:pt idx="8931">
                  <c:v>-6385.679745</c:v>
                </c:pt>
                <c:pt idx="8932">
                  <c:v>-6368.09696</c:v>
                </c:pt>
                <c:pt idx="8933">
                  <c:v>-6350.546615</c:v>
                </c:pt>
                <c:pt idx="8934">
                  <c:v>-6333.02868</c:v>
                </c:pt>
                <c:pt idx="8935">
                  <c:v>-6315.543125</c:v>
                </c:pt>
                <c:pt idx="8936">
                  <c:v>-6298.08992</c:v>
                </c:pt>
                <c:pt idx="8937">
                  <c:v>-6280.669035</c:v>
                </c:pt>
                <c:pt idx="8938">
                  <c:v>-6263.28044</c:v>
                </c:pt>
                <c:pt idx="8939">
                  <c:v>-6245.924105</c:v>
                </c:pt>
                <c:pt idx="8940">
                  <c:v>-6228.6</c:v>
                </c:pt>
                <c:pt idx="8941">
                  <c:v>-6211.308095</c:v>
                </c:pt>
                <c:pt idx="8942">
                  <c:v>-6194.04836</c:v>
                </c:pt>
                <c:pt idx="8943">
                  <c:v>-6176.820765</c:v>
                </c:pt>
                <c:pt idx="8944">
                  <c:v>-6159.62528</c:v>
                </c:pt>
                <c:pt idx="8945">
                  <c:v>-6142.461875</c:v>
                </c:pt>
                <c:pt idx="8946">
                  <c:v>-6125.33052</c:v>
                </c:pt>
                <c:pt idx="8947">
                  <c:v>-6108.231185</c:v>
                </c:pt>
                <c:pt idx="8948">
                  <c:v>-6091.16384</c:v>
                </c:pt>
                <c:pt idx="8949">
                  <c:v>-6074.128455</c:v>
                </c:pt>
                <c:pt idx="8950">
                  <c:v>-6057.125</c:v>
                </c:pt>
                <c:pt idx="8951">
                  <c:v>-6040.153445</c:v>
                </c:pt>
                <c:pt idx="8952">
                  <c:v>-6023.213760000001</c:v>
                </c:pt>
                <c:pt idx="8953">
                  <c:v>-6006.305915</c:v>
                </c:pt>
                <c:pt idx="8954">
                  <c:v>-5989.429880000001</c:v>
                </c:pt>
                <c:pt idx="8955">
                  <c:v>-5972.585625000001</c:v>
                </c:pt>
                <c:pt idx="8956">
                  <c:v>-5955.77312</c:v>
                </c:pt>
                <c:pt idx="8957">
                  <c:v>-5938.992335</c:v>
                </c:pt>
                <c:pt idx="8958">
                  <c:v>-5922.24324</c:v>
                </c:pt>
                <c:pt idx="8959">
                  <c:v>-5905.525805</c:v>
                </c:pt>
                <c:pt idx="8960">
                  <c:v>-5888.84</c:v>
                </c:pt>
                <c:pt idx="8961">
                  <c:v>-5872.185794999999</c:v>
                </c:pt>
                <c:pt idx="8962">
                  <c:v>-5855.563160000001</c:v>
                </c:pt>
                <c:pt idx="8963">
                  <c:v>-5838.972065</c:v>
                </c:pt>
                <c:pt idx="8964">
                  <c:v>-5822.412480000001</c:v>
                </c:pt>
                <c:pt idx="8965">
                  <c:v>-5805.884375</c:v>
                </c:pt>
                <c:pt idx="8966">
                  <c:v>-5789.38772</c:v>
                </c:pt>
                <c:pt idx="8967">
                  <c:v>-5772.922484999999</c:v>
                </c:pt>
                <c:pt idx="8968">
                  <c:v>-5756.4886400000005</c:v>
                </c:pt>
                <c:pt idx="8969">
                  <c:v>-5740.086155</c:v>
                </c:pt>
                <c:pt idx="8970">
                  <c:v>-5723.715</c:v>
                </c:pt>
                <c:pt idx="8971">
                  <c:v>-5707.375145</c:v>
                </c:pt>
                <c:pt idx="8972">
                  <c:v>-5691.06656</c:v>
                </c:pt>
                <c:pt idx="8973">
                  <c:v>-5674.789215000001</c:v>
                </c:pt>
                <c:pt idx="8974">
                  <c:v>-5658.5430799999995</c:v>
                </c:pt>
                <c:pt idx="8975">
                  <c:v>-5642.328125</c:v>
                </c:pt>
                <c:pt idx="8976">
                  <c:v>-5626.14432</c:v>
                </c:pt>
                <c:pt idx="8977">
                  <c:v>-5609.991635</c:v>
                </c:pt>
                <c:pt idx="8978">
                  <c:v>-5593.87004</c:v>
                </c:pt>
                <c:pt idx="8979">
                  <c:v>-5577.779505</c:v>
                </c:pt>
                <c:pt idx="8980">
                  <c:v>-5561.72</c:v>
                </c:pt>
                <c:pt idx="8981">
                  <c:v>-5545.691495</c:v>
                </c:pt>
                <c:pt idx="8982">
                  <c:v>-5529.6939600000005</c:v>
                </c:pt>
                <c:pt idx="8983">
                  <c:v>-5513.727365</c:v>
                </c:pt>
                <c:pt idx="8984">
                  <c:v>-5497.79168</c:v>
                </c:pt>
                <c:pt idx="8985">
                  <c:v>-5481.886875</c:v>
                </c:pt>
                <c:pt idx="8986">
                  <c:v>-5466.01292</c:v>
                </c:pt>
                <c:pt idx="8987">
                  <c:v>-5450.169785</c:v>
                </c:pt>
                <c:pt idx="8988">
                  <c:v>-5434.357440000001</c:v>
                </c:pt>
                <c:pt idx="8989">
                  <c:v>-5418.575855</c:v>
                </c:pt>
                <c:pt idx="8990">
                  <c:v>-5402.825</c:v>
                </c:pt>
                <c:pt idx="8991">
                  <c:v>-5387.104845</c:v>
                </c:pt>
                <c:pt idx="8992">
                  <c:v>-5371.41536</c:v>
                </c:pt>
                <c:pt idx="8993">
                  <c:v>-5355.756515</c:v>
                </c:pt>
                <c:pt idx="8994">
                  <c:v>-5340.12828</c:v>
                </c:pt>
                <c:pt idx="8995">
                  <c:v>-5324.530624999999</c:v>
                </c:pt>
                <c:pt idx="8996">
                  <c:v>-5308.96352</c:v>
                </c:pt>
                <c:pt idx="8997">
                  <c:v>-5293.426935</c:v>
                </c:pt>
                <c:pt idx="8998">
                  <c:v>-5277.92084</c:v>
                </c:pt>
                <c:pt idx="8999">
                  <c:v>-5262.445205</c:v>
                </c:pt>
                <c:pt idx="9000">
                  <c:v>-5247.0</c:v>
                </c:pt>
                <c:pt idx="9001">
                  <c:v>-5231.585195000001</c:v>
                </c:pt>
                <c:pt idx="9002">
                  <c:v>-5216.20076</c:v>
                </c:pt>
                <c:pt idx="9003">
                  <c:v>-5200.846665</c:v>
                </c:pt>
                <c:pt idx="9004">
                  <c:v>-5185.52288</c:v>
                </c:pt>
                <c:pt idx="9005">
                  <c:v>-5170.229375</c:v>
                </c:pt>
                <c:pt idx="9006">
                  <c:v>-5154.96612</c:v>
                </c:pt>
                <c:pt idx="9007">
                  <c:v>-5139.733085</c:v>
                </c:pt>
                <c:pt idx="9008">
                  <c:v>-5124.53024</c:v>
                </c:pt>
                <c:pt idx="9009">
                  <c:v>-5109.357555</c:v>
                </c:pt>
                <c:pt idx="9010">
                  <c:v>-5094.215</c:v>
                </c:pt>
                <c:pt idx="9011">
                  <c:v>-5079.102545000001</c:v>
                </c:pt>
                <c:pt idx="9012">
                  <c:v>-5064.02016</c:v>
                </c:pt>
                <c:pt idx="9013">
                  <c:v>-5048.967815</c:v>
                </c:pt>
                <c:pt idx="9014">
                  <c:v>-5033.945479999999</c:v>
                </c:pt>
                <c:pt idx="9015">
                  <c:v>-5018.953125</c:v>
                </c:pt>
                <c:pt idx="9016">
                  <c:v>-5003.990720000001</c:v>
                </c:pt>
                <c:pt idx="9017">
                  <c:v>-4989.058235</c:v>
                </c:pt>
                <c:pt idx="9018">
                  <c:v>-4974.15564</c:v>
                </c:pt>
                <c:pt idx="9019">
                  <c:v>-4959.282905</c:v>
                </c:pt>
                <c:pt idx="9020">
                  <c:v>-4944.44</c:v>
                </c:pt>
                <c:pt idx="9021">
                  <c:v>-4929.626895</c:v>
                </c:pt>
                <c:pt idx="9022">
                  <c:v>-4914.84356</c:v>
                </c:pt>
                <c:pt idx="9023">
                  <c:v>-4900.089965</c:v>
                </c:pt>
                <c:pt idx="9024">
                  <c:v>-4885.36608</c:v>
                </c:pt>
                <c:pt idx="9025">
                  <c:v>-4870.671875</c:v>
                </c:pt>
                <c:pt idx="9026">
                  <c:v>-4856.00732</c:v>
                </c:pt>
                <c:pt idx="9027">
                  <c:v>-4841.372385</c:v>
                </c:pt>
                <c:pt idx="9028">
                  <c:v>-4826.76704</c:v>
                </c:pt>
                <c:pt idx="9029">
                  <c:v>-4812.191255000001</c:v>
                </c:pt>
                <c:pt idx="9030">
                  <c:v>-4797.6449999999995</c:v>
                </c:pt>
                <c:pt idx="9031">
                  <c:v>-4783.128245000001</c:v>
                </c:pt>
                <c:pt idx="9032">
                  <c:v>-4768.64096</c:v>
                </c:pt>
                <c:pt idx="9033">
                  <c:v>-4754.183115</c:v>
                </c:pt>
                <c:pt idx="9034">
                  <c:v>-4739.75468</c:v>
                </c:pt>
                <c:pt idx="9035">
                  <c:v>-4725.355624999999</c:v>
                </c:pt>
                <c:pt idx="9036">
                  <c:v>-4710.985919999999</c:v>
                </c:pt>
                <c:pt idx="9037">
                  <c:v>-4696.645535</c:v>
                </c:pt>
                <c:pt idx="9038">
                  <c:v>-4682.33444</c:v>
                </c:pt>
                <c:pt idx="9039">
                  <c:v>-4668.052605000001</c:v>
                </c:pt>
                <c:pt idx="9040">
                  <c:v>-4653.8</c:v>
                </c:pt>
                <c:pt idx="9041">
                  <c:v>-4639.5765949999995</c:v>
                </c:pt>
                <c:pt idx="9042">
                  <c:v>-4625.3823600000005</c:v>
                </c:pt>
                <c:pt idx="9043">
                  <c:v>-4611.217265</c:v>
                </c:pt>
                <c:pt idx="9044">
                  <c:v>-4597.08128</c:v>
                </c:pt>
                <c:pt idx="9045">
                  <c:v>-4582.974375</c:v>
                </c:pt>
                <c:pt idx="9046">
                  <c:v>-4568.89652</c:v>
                </c:pt>
                <c:pt idx="9047">
                  <c:v>-4554.847685</c:v>
                </c:pt>
                <c:pt idx="9048">
                  <c:v>-4540.82784</c:v>
                </c:pt>
                <c:pt idx="9049">
                  <c:v>-4526.836955000001</c:v>
                </c:pt>
                <c:pt idx="9050">
                  <c:v>-4512.875</c:v>
                </c:pt>
                <c:pt idx="9051">
                  <c:v>-4498.941945</c:v>
                </c:pt>
                <c:pt idx="9052">
                  <c:v>-4485.037759999999</c:v>
                </c:pt>
                <c:pt idx="9053">
                  <c:v>-4471.162415000001</c:v>
                </c:pt>
                <c:pt idx="9054">
                  <c:v>-4457.315879999999</c:v>
                </c:pt>
                <c:pt idx="9055">
                  <c:v>-4443.498125</c:v>
                </c:pt>
                <c:pt idx="9056">
                  <c:v>-4429.7091199999995</c:v>
                </c:pt>
                <c:pt idx="9057">
                  <c:v>-4415.948835</c:v>
                </c:pt>
                <c:pt idx="9058">
                  <c:v>-4402.21724</c:v>
                </c:pt>
                <c:pt idx="9059">
                  <c:v>-4388.514305000001</c:v>
                </c:pt>
                <c:pt idx="9060">
                  <c:v>-4374.84</c:v>
                </c:pt>
                <c:pt idx="9061">
                  <c:v>-4361.194295</c:v>
                </c:pt>
                <c:pt idx="9062">
                  <c:v>-4347.57716</c:v>
                </c:pt>
                <c:pt idx="9063">
                  <c:v>-4333.988565</c:v>
                </c:pt>
                <c:pt idx="9064">
                  <c:v>-4320.4284800000005</c:v>
                </c:pt>
                <c:pt idx="9065">
                  <c:v>-4306.896875</c:v>
                </c:pt>
                <c:pt idx="9066">
                  <c:v>-4293.39372</c:v>
                </c:pt>
                <c:pt idx="9067">
                  <c:v>-4279.918985</c:v>
                </c:pt>
                <c:pt idx="9068">
                  <c:v>-4266.47264</c:v>
                </c:pt>
                <c:pt idx="9069">
                  <c:v>-4253.054655000001</c:v>
                </c:pt>
                <c:pt idx="9070">
                  <c:v>-4239.665</c:v>
                </c:pt>
                <c:pt idx="9071">
                  <c:v>-4226.303645</c:v>
                </c:pt>
                <c:pt idx="9072">
                  <c:v>-4212.970560000001</c:v>
                </c:pt>
                <c:pt idx="9073">
                  <c:v>-4199.665715</c:v>
                </c:pt>
                <c:pt idx="9074">
                  <c:v>-4186.38908</c:v>
                </c:pt>
                <c:pt idx="9075">
                  <c:v>-4173.140625</c:v>
                </c:pt>
                <c:pt idx="9076">
                  <c:v>-4159.92032</c:v>
                </c:pt>
                <c:pt idx="9077">
                  <c:v>-4146.728135</c:v>
                </c:pt>
                <c:pt idx="9078">
                  <c:v>-4133.56404</c:v>
                </c:pt>
                <c:pt idx="9079">
                  <c:v>-4120.428005</c:v>
                </c:pt>
                <c:pt idx="9080">
                  <c:v>-4107.320000000001</c:v>
                </c:pt>
                <c:pt idx="9081">
                  <c:v>-4094.2399950000004</c:v>
                </c:pt>
                <c:pt idx="9082">
                  <c:v>-4081.1879599999997</c:v>
                </c:pt>
                <c:pt idx="9083">
                  <c:v>-4068.1638649999995</c:v>
                </c:pt>
                <c:pt idx="9084">
                  <c:v>-4055.1676800000005</c:v>
                </c:pt>
                <c:pt idx="9085">
                  <c:v>-4042.1993750000006</c:v>
                </c:pt>
                <c:pt idx="9086">
                  <c:v>-4029.2589199999998</c:v>
                </c:pt>
                <c:pt idx="9087">
                  <c:v>-4016.3462849999996</c:v>
                </c:pt>
                <c:pt idx="9088">
                  <c:v>-4003.46144</c:v>
                </c:pt>
                <c:pt idx="9089">
                  <c:v>-3990.604355</c:v>
                </c:pt>
                <c:pt idx="9090">
                  <c:v>-3977.775</c:v>
                </c:pt>
                <c:pt idx="9091">
                  <c:v>-3964.973345</c:v>
                </c:pt>
                <c:pt idx="9092">
                  <c:v>-3952.19936</c:v>
                </c:pt>
                <c:pt idx="9093">
                  <c:v>-3939.453015</c:v>
                </c:pt>
                <c:pt idx="9094">
                  <c:v>-3926.73428</c:v>
                </c:pt>
                <c:pt idx="9095">
                  <c:v>-3914.043125</c:v>
                </c:pt>
                <c:pt idx="9096">
                  <c:v>-3901.37952</c:v>
                </c:pt>
                <c:pt idx="9097">
                  <c:v>-3888.743435</c:v>
                </c:pt>
                <c:pt idx="9098">
                  <c:v>-3876.1348399999997</c:v>
                </c:pt>
                <c:pt idx="9099">
                  <c:v>-3863.553705</c:v>
                </c:pt>
                <c:pt idx="9100">
                  <c:v>-3851.0</c:v>
                </c:pt>
                <c:pt idx="9101">
                  <c:v>-3838.473695</c:v>
                </c:pt>
                <c:pt idx="9102">
                  <c:v>-3825.97476</c:v>
                </c:pt>
                <c:pt idx="9103">
                  <c:v>-3813.503165</c:v>
                </c:pt>
                <c:pt idx="9104">
                  <c:v>-3801.05888</c:v>
                </c:pt>
                <c:pt idx="9105">
                  <c:v>-3788.641875</c:v>
                </c:pt>
                <c:pt idx="9106">
                  <c:v>-3776.25212</c:v>
                </c:pt>
                <c:pt idx="9107">
                  <c:v>-3763.889585</c:v>
                </c:pt>
                <c:pt idx="9108">
                  <c:v>-3751.55424</c:v>
                </c:pt>
                <c:pt idx="9109">
                  <c:v>-3739.246055</c:v>
                </c:pt>
                <c:pt idx="9110">
                  <c:v>-3726.9649999999997</c:v>
                </c:pt>
                <c:pt idx="9111">
                  <c:v>-3714.711045</c:v>
                </c:pt>
                <c:pt idx="9112">
                  <c:v>-3702.48416</c:v>
                </c:pt>
                <c:pt idx="9113">
                  <c:v>-3690.2843150000003</c:v>
                </c:pt>
                <c:pt idx="9114">
                  <c:v>-3678.11148</c:v>
                </c:pt>
                <c:pt idx="9115">
                  <c:v>-3665.9656250000003</c:v>
                </c:pt>
                <c:pt idx="9116">
                  <c:v>-3653.84672</c:v>
                </c:pt>
                <c:pt idx="9117">
                  <c:v>-3641.754735</c:v>
                </c:pt>
                <c:pt idx="9118">
                  <c:v>-3629.68964</c:v>
                </c:pt>
                <c:pt idx="9119">
                  <c:v>-3617.651405</c:v>
                </c:pt>
                <c:pt idx="9120">
                  <c:v>-3605.6400000000003</c:v>
                </c:pt>
                <c:pt idx="9121">
                  <c:v>-3593.655395</c:v>
                </c:pt>
                <c:pt idx="9122">
                  <c:v>-3581.69756</c:v>
                </c:pt>
                <c:pt idx="9123">
                  <c:v>-3569.7664649999997</c:v>
                </c:pt>
                <c:pt idx="9124">
                  <c:v>-3557.86208</c:v>
                </c:pt>
                <c:pt idx="9125">
                  <c:v>-3545.984375</c:v>
                </c:pt>
                <c:pt idx="9126">
                  <c:v>-3534.13332</c:v>
                </c:pt>
                <c:pt idx="9127">
                  <c:v>-3522.308885</c:v>
                </c:pt>
                <c:pt idx="9128">
                  <c:v>-3510.51104</c:v>
                </c:pt>
                <c:pt idx="9129">
                  <c:v>-3498.739755</c:v>
                </c:pt>
                <c:pt idx="9130">
                  <c:v>-3486.995</c:v>
                </c:pt>
                <c:pt idx="9131">
                  <c:v>-3475.276745</c:v>
                </c:pt>
                <c:pt idx="9132">
                  <c:v>-3463.5849599999997</c:v>
                </c:pt>
                <c:pt idx="9133">
                  <c:v>-3451.9196150000002</c:v>
                </c:pt>
                <c:pt idx="9134">
                  <c:v>-3440.28068</c:v>
                </c:pt>
                <c:pt idx="9135">
                  <c:v>-3428.668125</c:v>
                </c:pt>
                <c:pt idx="9136">
                  <c:v>-3417.08192</c:v>
                </c:pt>
                <c:pt idx="9137">
                  <c:v>-3405.5220350000004</c:v>
                </c:pt>
                <c:pt idx="9138">
                  <c:v>-3393.98844</c:v>
                </c:pt>
                <c:pt idx="9139">
                  <c:v>-3382.481105</c:v>
                </c:pt>
                <c:pt idx="9140">
                  <c:v>-3371.0</c:v>
                </c:pt>
                <c:pt idx="9141">
                  <c:v>-3359.545095</c:v>
                </c:pt>
                <c:pt idx="9142">
                  <c:v>-3348.11636</c:v>
                </c:pt>
                <c:pt idx="9143">
                  <c:v>-3336.713765</c:v>
                </c:pt>
                <c:pt idx="9144">
                  <c:v>-3325.3372799999997</c:v>
                </c:pt>
                <c:pt idx="9145">
                  <c:v>-3313.986875</c:v>
                </c:pt>
                <c:pt idx="9146">
                  <c:v>-3302.66252</c:v>
                </c:pt>
                <c:pt idx="9147">
                  <c:v>-3291.364185</c:v>
                </c:pt>
                <c:pt idx="9148">
                  <c:v>-3280.09184</c:v>
                </c:pt>
                <c:pt idx="9149">
                  <c:v>-3268.8454549999997</c:v>
                </c:pt>
                <c:pt idx="9150">
                  <c:v>-3257.625</c:v>
                </c:pt>
                <c:pt idx="9151">
                  <c:v>-3246.430445</c:v>
                </c:pt>
                <c:pt idx="9152">
                  <c:v>-3235.2617600000003</c:v>
                </c:pt>
                <c:pt idx="9153">
                  <c:v>-3224.118915</c:v>
                </c:pt>
                <c:pt idx="9154">
                  <c:v>-3213.0018800000003</c:v>
                </c:pt>
                <c:pt idx="9155">
                  <c:v>-3201.910625</c:v>
                </c:pt>
                <c:pt idx="9156">
                  <c:v>-3190.84512</c:v>
                </c:pt>
                <c:pt idx="9157">
                  <c:v>-3179.805335</c:v>
                </c:pt>
                <c:pt idx="9158">
                  <c:v>-3168.79124</c:v>
                </c:pt>
                <c:pt idx="9159">
                  <c:v>-3157.802805</c:v>
                </c:pt>
                <c:pt idx="9160">
                  <c:v>-3146.84</c:v>
                </c:pt>
                <c:pt idx="9161">
                  <c:v>-3135.902795</c:v>
                </c:pt>
                <c:pt idx="9162">
                  <c:v>-3124.99116</c:v>
                </c:pt>
                <c:pt idx="9163">
                  <c:v>-3114.1050649999997</c:v>
                </c:pt>
                <c:pt idx="9164">
                  <c:v>-3103.2444800000003</c:v>
                </c:pt>
                <c:pt idx="9165">
                  <c:v>-3092.4093749999997</c:v>
                </c:pt>
                <c:pt idx="9166">
                  <c:v>-3081.5997199999997</c:v>
                </c:pt>
                <c:pt idx="9167">
                  <c:v>-3070.815485</c:v>
                </c:pt>
                <c:pt idx="9168">
                  <c:v>-3060.05664</c:v>
                </c:pt>
                <c:pt idx="9169">
                  <c:v>-3049.323155</c:v>
                </c:pt>
                <c:pt idx="9170">
                  <c:v>-3038.6150000000002</c:v>
                </c:pt>
                <c:pt idx="9171">
                  <c:v>-3027.932145</c:v>
                </c:pt>
                <c:pt idx="9172">
                  <c:v>-3017.2745600000003</c:v>
                </c:pt>
                <c:pt idx="9173">
                  <c:v>-3006.642215</c:v>
                </c:pt>
                <c:pt idx="9174">
                  <c:v>-2996.03508</c:v>
                </c:pt>
                <c:pt idx="9175">
                  <c:v>-2985.453125</c:v>
                </c:pt>
                <c:pt idx="9176">
                  <c:v>-2974.89632</c:v>
                </c:pt>
                <c:pt idx="9177">
                  <c:v>-2964.364635</c:v>
                </c:pt>
                <c:pt idx="9178">
                  <c:v>-2953.85804</c:v>
                </c:pt>
                <c:pt idx="9179">
                  <c:v>-2943.376505</c:v>
                </c:pt>
                <c:pt idx="9180">
                  <c:v>-2932.9199999999996</c:v>
                </c:pt>
                <c:pt idx="9181">
                  <c:v>-2922.4884949999996</c:v>
                </c:pt>
                <c:pt idx="9182">
                  <c:v>-2912.0819600000004</c:v>
                </c:pt>
                <c:pt idx="9183">
                  <c:v>-2901.7003649999997</c:v>
                </c:pt>
                <c:pt idx="9184">
                  <c:v>-2891.34368</c:v>
                </c:pt>
                <c:pt idx="9185">
                  <c:v>-2881.0118750000006</c:v>
                </c:pt>
                <c:pt idx="9186">
                  <c:v>-2870.7049199999997</c:v>
                </c:pt>
                <c:pt idx="9187">
                  <c:v>-2860.4227849999993</c:v>
                </c:pt>
                <c:pt idx="9188">
                  <c:v>-2850.1654399999998</c:v>
                </c:pt>
                <c:pt idx="9189">
                  <c:v>-2839.9328549999996</c:v>
                </c:pt>
                <c:pt idx="9190">
                  <c:v>-2829.7249999999995</c:v>
                </c:pt>
                <c:pt idx="9191">
                  <c:v>-2819.541845</c:v>
                </c:pt>
                <c:pt idx="9192">
                  <c:v>-2809.38336</c:v>
                </c:pt>
                <c:pt idx="9193">
                  <c:v>-2799.249515</c:v>
                </c:pt>
                <c:pt idx="9194">
                  <c:v>-2789.1402799999996</c:v>
                </c:pt>
                <c:pt idx="9195">
                  <c:v>-2779.055625</c:v>
                </c:pt>
                <c:pt idx="9196">
                  <c:v>-2768.99552</c:v>
                </c:pt>
                <c:pt idx="9197">
                  <c:v>-2758.9599350000003</c:v>
                </c:pt>
                <c:pt idx="9198">
                  <c:v>-2748.94884</c:v>
                </c:pt>
                <c:pt idx="9199">
                  <c:v>-2738.9622050000003</c:v>
                </c:pt>
                <c:pt idx="9200">
                  <c:v>-2729.0</c:v>
                </c:pt>
                <c:pt idx="9201">
                  <c:v>-2719.0621950000004</c:v>
                </c:pt>
                <c:pt idx="9202">
                  <c:v>-2709.1487600000005</c:v>
                </c:pt>
                <c:pt idx="9203">
                  <c:v>-2699.259665</c:v>
                </c:pt>
                <c:pt idx="9204">
                  <c:v>-2689.3948800000003</c:v>
                </c:pt>
                <c:pt idx="9205">
                  <c:v>-2679.554375</c:v>
                </c:pt>
                <c:pt idx="9206">
                  <c:v>-2669.73812</c:v>
                </c:pt>
                <c:pt idx="9207">
                  <c:v>-2659.9460849999996</c:v>
                </c:pt>
                <c:pt idx="9208">
                  <c:v>-2650.1782399999997</c:v>
                </c:pt>
                <c:pt idx="9209">
                  <c:v>-2640.4345550000003</c:v>
                </c:pt>
                <c:pt idx="9210">
                  <c:v>-2630.715</c:v>
                </c:pt>
                <c:pt idx="9211">
                  <c:v>-2621.019545</c:v>
                </c:pt>
                <c:pt idx="9212">
                  <c:v>-2611.3481600000005</c:v>
                </c:pt>
                <c:pt idx="9213">
                  <c:v>-2601.700815</c:v>
                </c:pt>
                <c:pt idx="9214">
                  <c:v>-2592.0774800000004</c:v>
                </c:pt>
                <c:pt idx="9215">
                  <c:v>-2582.478125</c:v>
                </c:pt>
                <c:pt idx="9216">
                  <c:v>-2572.9027199999996</c:v>
                </c:pt>
                <c:pt idx="9217">
                  <c:v>-2563.351235</c:v>
                </c:pt>
                <c:pt idx="9218">
                  <c:v>-2553.8236400000005</c:v>
                </c:pt>
                <c:pt idx="9219">
                  <c:v>-2544.3199050000003</c:v>
                </c:pt>
                <c:pt idx="9220">
                  <c:v>-2534.84</c:v>
                </c:pt>
                <c:pt idx="9221">
                  <c:v>-2525.3838950000004</c:v>
                </c:pt>
                <c:pt idx="9222">
                  <c:v>-2515.95156</c:v>
                </c:pt>
                <c:pt idx="9223">
                  <c:v>-2506.5429649999996</c:v>
                </c:pt>
                <c:pt idx="9224">
                  <c:v>-2497.15808</c:v>
                </c:pt>
                <c:pt idx="9225">
                  <c:v>-2487.796875</c:v>
                </c:pt>
                <c:pt idx="9226">
                  <c:v>-2478.45932</c:v>
                </c:pt>
                <c:pt idx="9227">
                  <c:v>-2469.145385</c:v>
                </c:pt>
                <c:pt idx="9228">
                  <c:v>-2459.8550400000004</c:v>
                </c:pt>
                <c:pt idx="9229">
                  <c:v>-2450.588255</c:v>
                </c:pt>
                <c:pt idx="9230">
                  <c:v>-2441.345</c:v>
                </c:pt>
                <c:pt idx="9231">
                  <c:v>-2432.125245</c:v>
                </c:pt>
                <c:pt idx="9232">
                  <c:v>-2422.92896</c:v>
                </c:pt>
                <c:pt idx="9233">
                  <c:v>-2413.756115</c:v>
                </c:pt>
                <c:pt idx="9234">
                  <c:v>-2404.60668</c:v>
                </c:pt>
                <c:pt idx="9235">
                  <c:v>-2395.4806249999997</c:v>
                </c:pt>
                <c:pt idx="9236">
                  <c:v>-2386.37792</c:v>
                </c:pt>
                <c:pt idx="9237">
                  <c:v>-2377.2985350000004</c:v>
                </c:pt>
                <c:pt idx="9238">
                  <c:v>-2368.2424399999995</c:v>
                </c:pt>
                <c:pt idx="9239">
                  <c:v>-2359.209605</c:v>
                </c:pt>
                <c:pt idx="9240">
                  <c:v>-2350.2000000000003</c:v>
                </c:pt>
                <c:pt idx="9241">
                  <c:v>-2341.213595</c:v>
                </c:pt>
                <c:pt idx="9242">
                  <c:v>-2332.2503599999995</c:v>
                </c:pt>
                <c:pt idx="9243">
                  <c:v>-2323.310265</c:v>
                </c:pt>
                <c:pt idx="9244">
                  <c:v>-2314.3932800000002</c:v>
                </c:pt>
                <c:pt idx="9245">
                  <c:v>-2305.4993750000003</c:v>
                </c:pt>
                <c:pt idx="9246">
                  <c:v>-2296.62852</c:v>
                </c:pt>
                <c:pt idx="9247">
                  <c:v>-2287.7806849999997</c:v>
                </c:pt>
                <c:pt idx="9248">
                  <c:v>-2278.9558399999996</c:v>
                </c:pt>
                <c:pt idx="9249">
                  <c:v>-2270.153955</c:v>
                </c:pt>
                <c:pt idx="9250">
                  <c:v>-2261.375</c:v>
                </c:pt>
                <c:pt idx="9251">
                  <c:v>-2252.6189449999997</c:v>
                </c:pt>
                <c:pt idx="9252">
                  <c:v>-2243.8857599999997</c:v>
                </c:pt>
                <c:pt idx="9253">
                  <c:v>-2235.175415</c:v>
                </c:pt>
                <c:pt idx="9254">
                  <c:v>-2226.4878799999997</c:v>
                </c:pt>
                <c:pt idx="9255">
                  <c:v>-2217.823125</c:v>
                </c:pt>
                <c:pt idx="9256">
                  <c:v>-2209.1811199999997</c:v>
                </c:pt>
                <c:pt idx="9257">
                  <c:v>-2200.561835</c:v>
                </c:pt>
                <c:pt idx="9258">
                  <c:v>-2191.96524</c:v>
                </c:pt>
                <c:pt idx="9259">
                  <c:v>-2183.391305</c:v>
                </c:pt>
                <c:pt idx="9260">
                  <c:v>-2174.84</c:v>
                </c:pt>
                <c:pt idx="9261">
                  <c:v>-2166.311295</c:v>
                </c:pt>
                <c:pt idx="9262">
                  <c:v>-2157.80516</c:v>
                </c:pt>
                <c:pt idx="9263">
                  <c:v>-2149.3215649999997</c:v>
                </c:pt>
                <c:pt idx="9264">
                  <c:v>-2140.8604800000003</c:v>
                </c:pt>
                <c:pt idx="9265">
                  <c:v>-2132.421875</c:v>
                </c:pt>
                <c:pt idx="9266">
                  <c:v>-2124.00572</c:v>
                </c:pt>
                <c:pt idx="9267">
                  <c:v>-2115.611985</c:v>
                </c:pt>
                <c:pt idx="9268">
                  <c:v>-2107.24064</c:v>
                </c:pt>
                <c:pt idx="9269">
                  <c:v>-2098.891655</c:v>
                </c:pt>
                <c:pt idx="9270">
                  <c:v>-2090.565</c:v>
                </c:pt>
                <c:pt idx="9271">
                  <c:v>-2082.260645</c:v>
                </c:pt>
                <c:pt idx="9272">
                  <c:v>-2073.97856</c:v>
                </c:pt>
                <c:pt idx="9273">
                  <c:v>-2065.7187149999995</c:v>
                </c:pt>
                <c:pt idx="9274">
                  <c:v>-2057.48108</c:v>
                </c:pt>
                <c:pt idx="9275">
                  <c:v>-2049.265625</c:v>
                </c:pt>
                <c:pt idx="9276">
                  <c:v>-2041.07232</c:v>
                </c:pt>
                <c:pt idx="9277">
                  <c:v>-2032.9011349999998</c:v>
                </c:pt>
                <c:pt idx="9278">
                  <c:v>-2024.7520399999999</c:v>
                </c:pt>
                <c:pt idx="9279">
                  <c:v>-2016.6250049999999</c:v>
                </c:pt>
                <c:pt idx="9280">
                  <c:v>-2008.52</c:v>
                </c:pt>
                <c:pt idx="9281">
                  <c:v>-2000.4369949999998</c:v>
                </c:pt>
                <c:pt idx="9282">
                  <c:v>-1992.37596</c:v>
                </c:pt>
                <c:pt idx="9283">
                  <c:v>-1984.336865</c:v>
                </c:pt>
                <c:pt idx="9284">
                  <c:v>-1976.3196799999998</c:v>
                </c:pt>
                <c:pt idx="9285">
                  <c:v>-1968.324375</c:v>
                </c:pt>
                <c:pt idx="9286">
                  <c:v>-1960.35092</c:v>
                </c:pt>
                <c:pt idx="9287">
                  <c:v>-1952.3992849999997</c:v>
                </c:pt>
                <c:pt idx="9288">
                  <c:v>-1944.46944</c:v>
                </c:pt>
                <c:pt idx="9289">
                  <c:v>-1936.561355</c:v>
                </c:pt>
                <c:pt idx="9290">
                  <c:v>-1928.6750000000002</c:v>
                </c:pt>
                <c:pt idx="9291">
                  <c:v>-1920.8103449999999</c:v>
                </c:pt>
                <c:pt idx="9292">
                  <c:v>-1912.96736</c:v>
                </c:pt>
                <c:pt idx="9293">
                  <c:v>-1905.1460149999998</c:v>
                </c:pt>
                <c:pt idx="9294">
                  <c:v>-1897.3462799999998</c:v>
                </c:pt>
                <c:pt idx="9295">
                  <c:v>-1889.568125</c:v>
                </c:pt>
                <c:pt idx="9296">
                  <c:v>-1881.81152</c:v>
                </c:pt>
                <c:pt idx="9297">
                  <c:v>-1874.076435</c:v>
                </c:pt>
                <c:pt idx="9298">
                  <c:v>-1866.3628399999998</c:v>
                </c:pt>
                <c:pt idx="9299">
                  <c:v>-1858.6707049999998</c:v>
                </c:pt>
                <c:pt idx="9300">
                  <c:v>-1851.0000000000002</c:v>
                </c:pt>
                <c:pt idx="9301">
                  <c:v>-1843.350695</c:v>
                </c:pt>
                <c:pt idx="9302">
                  <c:v>-1835.7227599999999</c:v>
                </c:pt>
                <c:pt idx="9303">
                  <c:v>-1828.116165</c:v>
                </c:pt>
                <c:pt idx="9304">
                  <c:v>-1820.5308800000003</c:v>
                </c:pt>
                <c:pt idx="9305">
                  <c:v>-1812.9668749999998</c:v>
                </c:pt>
                <c:pt idx="9306">
                  <c:v>-1805.4241200000004</c:v>
                </c:pt>
                <c:pt idx="9307">
                  <c:v>-1797.9025850000003</c:v>
                </c:pt>
                <c:pt idx="9308">
                  <c:v>-1790.40224</c:v>
                </c:pt>
                <c:pt idx="9309">
                  <c:v>-1782.9230550000002</c:v>
                </c:pt>
                <c:pt idx="9310">
                  <c:v>-1775.4650000000001</c:v>
                </c:pt>
                <c:pt idx="9311">
                  <c:v>-1768.0280450000002</c:v>
                </c:pt>
                <c:pt idx="9312">
                  <c:v>-1760.6121600000001</c:v>
                </c:pt>
                <c:pt idx="9313">
                  <c:v>-1753.2173149999996</c:v>
                </c:pt>
                <c:pt idx="9314">
                  <c:v>-1745.84348</c:v>
                </c:pt>
                <c:pt idx="9315">
                  <c:v>-1738.4906250000001</c:v>
                </c:pt>
                <c:pt idx="9316">
                  <c:v>-1731.1587200000004</c:v>
                </c:pt>
                <c:pt idx="9317">
                  <c:v>-1723.847735</c:v>
                </c:pt>
                <c:pt idx="9318">
                  <c:v>-1716.5576399999998</c:v>
                </c:pt>
                <c:pt idx="9319">
                  <c:v>-1709.288405</c:v>
                </c:pt>
                <c:pt idx="9320">
                  <c:v>-1702.0400000000002</c:v>
                </c:pt>
                <c:pt idx="9321">
                  <c:v>-1694.8123950000002</c:v>
                </c:pt>
                <c:pt idx="9322">
                  <c:v>-1687.60556</c:v>
                </c:pt>
                <c:pt idx="9323">
                  <c:v>-1680.419465</c:v>
                </c:pt>
                <c:pt idx="9324">
                  <c:v>-1673.2540800000002</c:v>
                </c:pt>
                <c:pt idx="9325">
                  <c:v>-1666.1093750000002</c:v>
                </c:pt>
                <c:pt idx="9326">
                  <c:v>-1658.9853200000002</c:v>
                </c:pt>
                <c:pt idx="9327">
                  <c:v>-1651.8818850000002</c:v>
                </c:pt>
                <c:pt idx="9328">
                  <c:v>-1644.79904</c:v>
                </c:pt>
                <c:pt idx="9329">
                  <c:v>-1637.736755</c:v>
                </c:pt>
                <c:pt idx="9330">
                  <c:v>-1630.695</c:v>
                </c:pt>
                <c:pt idx="9331">
                  <c:v>-1623.673745</c:v>
                </c:pt>
                <c:pt idx="9332">
                  <c:v>-1616.67296</c:v>
                </c:pt>
                <c:pt idx="9333">
                  <c:v>-1609.692615</c:v>
                </c:pt>
                <c:pt idx="9334">
                  <c:v>-1602.7326799999998</c:v>
                </c:pt>
                <c:pt idx="9335">
                  <c:v>-1595.793125</c:v>
                </c:pt>
                <c:pt idx="9336">
                  <c:v>-1588.87392</c:v>
                </c:pt>
                <c:pt idx="9337">
                  <c:v>-1581.975035</c:v>
                </c:pt>
                <c:pt idx="9338">
                  <c:v>-1575.0964399999998</c:v>
                </c:pt>
                <c:pt idx="9339">
                  <c:v>-1568.2381050000001</c:v>
                </c:pt>
                <c:pt idx="9340">
                  <c:v>-1561.3999999999999</c:v>
                </c:pt>
                <c:pt idx="9341">
                  <c:v>-1554.5820949999998</c:v>
                </c:pt>
                <c:pt idx="9342">
                  <c:v>-1547.78436</c:v>
                </c:pt>
                <c:pt idx="9343">
                  <c:v>-1541.006765</c:v>
                </c:pt>
                <c:pt idx="9344">
                  <c:v>-1534.2492799999998</c:v>
                </c:pt>
                <c:pt idx="9345">
                  <c:v>-1527.511875</c:v>
                </c:pt>
                <c:pt idx="9346">
                  <c:v>-1520.7945200000001</c:v>
                </c:pt>
                <c:pt idx="9347">
                  <c:v>-1514.0971849999999</c:v>
                </c:pt>
                <c:pt idx="9348">
                  <c:v>-1507.4198400000002</c:v>
                </c:pt>
                <c:pt idx="9349">
                  <c:v>-1500.7624550000003</c:v>
                </c:pt>
                <c:pt idx="9350">
                  <c:v>-1494.125</c:v>
                </c:pt>
                <c:pt idx="9351">
                  <c:v>-1487.5074450000002</c:v>
                </c:pt>
                <c:pt idx="9352">
                  <c:v>-1480.90976</c:v>
                </c:pt>
                <c:pt idx="9353">
                  <c:v>-1474.3319150000002</c:v>
                </c:pt>
                <c:pt idx="9354">
                  <c:v>-1467.7738799999997</c:v>
                </c:pt>
                <c:pt idx="9355">
                  <c:v>-1461.235625</c:v>
                </c:pt>
                <c:pt idx="9356">
                  <c:v>-1454.71712</c:v>
                </c:pt>
                <c:pt idx="9357">
                  <c:v>-1448.2183349999998</c:v>
                </c:pt>
                <c:pt idx="9358">
                  <c:v>-1441.7392400000003</c:v>
                </c:pt>
                <c:pt idx="9359">
                  <c:v>-1435.279805</c:v>
                </c:pt>
                <c:pt idx="9360">
                  <c:v>-1428.8400000000001</c:v>
                </c:pt>
                <c:pt idx="9361">
                  <c:v>-1422.419795</c:v>
                </c:pt>
                <c:pt idx="9362">
                  <c:v>-1416.01916</c:v>
                </c:pt>
                <c:pt idx="9363">
                  <c:v>-1409.6380649999999</c:v>
                </c:pt>
                <c:pt idx="9364">
                  <c:v>-1403.2764800000002</c:v>
                </c:pt>
                <c:pt idx="9365">
                  <c:v>-1396.934375</c:v>
                </c:pt>
                <c:pt idx="9366">
                  <c:v>-1390.6117199999999</c:v>
                </c:pt>
                <c:pt idx="9367">
                  <c:v>-1384.3084850000002</c:v>
                </c:pt>
                <c:pt idx="9368">
                  <c:v>-1378.02464</c:v>
                </c:pt>
                <c:pt idx="9369">
                  <c:v>-1371.760155</c:v>
                </c:pt>
                <c:pt idx="9370">
                  <c:v>-1365.5149999999999</c:v>
                </c:pt>
                <c:pt idx="9371">
                  <c:v>-1359.2891450000002</c:v>
                </c:pt>
                <c:pt idx="9372">
                  <c:v>-1353.08256</c:v>
                </c:pt>
                <c:pt idx="9373">
                  <c:v>-1346.8952150000002</c:v>
                </c:pt>
                <c:pt idx="9374">
                  <c:v>-1340.7270800000001</c:v>
                </c:pt>
                <c:pt idx="9375">
                  <c:v>-1334.578125</c:v>
                </c:pt>
                <c:pt idx="9376">
                  <c:v>-1328.4483200000002</c:v>
                </c:pt>
                <c:pt idx="9377">
                  <c:v>-1322.337635</c:v>
                </c:pt>
                <c:pt idx="9378">
                  <c:v>-1316.24604</c:v>
                </c:pt>
                <c:pt idx="9379">
                  <c:v>-1310.173505</c:v>
                </c:pt>
                <c:pt idx="9380">
                  <c:v>-1304.1200000000003</c:v>
                </c:pt>
                <c:pt idx="9381">
                  <c:v>-1298.0854949999998</c:v>
                </c:pt>
                <c:pt idx="9382">
                  <c:v>-1292.0699600000003</c:v>
                </c:pt>
                <c:pt idx="9383">
                  <c:v>-1286.0733650000002</c:v>
                </c:pt>
                <c:pt idx="9384">
                  <c:v>-1280.0956799999997</c:v>
                </c:pt>
                <c:pt idx="9385">
                  <c:v>-1274.1368749999997</c:v>
                </c:pt>
                <c:pt idx="9386">
                  <c:v>-1268.1969199999999</c:v>
                </c:pt>
                <c:pt idx="9387">
                  <c:v>-1262.2757849999998</c:v>
                </c:pt>
                <c:pt idx="9388">
                  <c:v>-1256.3734400000003</c:v>
                </c:pt>
                <c:pt idx="9389">
                  <c:v>-1250.489855</c:v>
                </c:pt>
                <c:pt idx="9390">
                  <c:v>-1244.6249999999995</c:v>
                </c:pt>
                <c:pt idx="9391">
                  <c:v>-1238.7788449999998</c:v>
                </c:pt>
                <c:pt idx="9392">
                  <c:v>-1232.9513600000002</c:v>
                </c:pt>
                <c:pt idx="9393">
                  <c:v>-1227.142515</c:v>
                </c:pt>
                <c:pt idx="9394">
                  <c:v>-1221.3522799999998</c:v>
                </c:pt>
                <c:pt idx="9395">
                  <c:v>-1215.5806249999998</c:v>
                </c:pt>
                <c:pt idx="9396">
                  <c:v>-1209.82752</c:v>
                </c:pt>
                <c:pt idx="9397">
                  <c:v>-1204.0929350000001</c:v>
                </c:pt>
                <c:pt idx="9398">
                  <c:v>-1198.37684</c:v>
                </c:pt>
                <c:pt idx="9399">
                  <c:v>-1192.6792050000004</c:v>
                </c:pt>
                <c:pt idx="9400">
                  <c:v>-1187.0</c:v>
                </c:pt>
                <c:pt idx="9401">
                  <c:v>-1181.339195</c:v>
                </c:pt>
                <c:pt idx="9402">
                  <c:v>-1175.6967600000003</c:v>
                </c:pt>
                <c:pt idx="9403">
                  <c:v>-1170.072665</c:v>
                </c:pt>
                <c:pt idx="9404">
                  <c:v>-1164.4668800000002</c:v>
                </c:pt>
                <c:pt idx="9405">
                  <c:v>-1158.8793750000002</c:v>
                </c:pt>
                <c:pt idx="9406">
                  <c:v>-1153.3101200000003</c:v>
                </c:pt>
                <c:pt idx="9407">
                  <c:v>-1147.7590850000004</c:v>
                </c:pt>
                <c:pt idx="9408">
                  <c:v>-1142.2262399999997</c:v>
                </c:pt>
                <c:pt idx="9409">
                  <c:v>-1136.7115549999999</c:v>
                </c:pt>
                <c:pt idx="9410">
                  <c:v>-1131.215</c:v>
                </c:pt>
                <c:pt idx="9411">
                  <c:v>-1125.736545</c:v>
                </c:pt>
                <c:pt idx="9412">
                  <c:v>-1120.2761600000003</c:v>
                </c:pt>
                <c:pt idx="9413">
                  <c:v>-1114.8338150000002</c:v>
                </c:pt>
                <c:pt idx="9414">
                  <c:v>-1109.4094799999998</c:v>
                </c:pt>
                <c:pt idx="9415">
                  <c:v>-1104.0031250000002</c:v>
                </c:pt>
                <c:pt idx="9416">
                  <c:v>-1098.61472</c:v>
                </c:pt>
                <c:pt idx="9417">
                  <c:v>-1093.2442350000001</c:v>
                </c:pt>
                <c:pt idx="9418">
                  <c:v>-1087.89164</c:v>
                </c:pt>
                <c:pt idx="9419">
                  <c:v>-1082.5569050000001</c:v>
                </c:pt>
                <c:pt idx="9420">
                  <c:v>-1077.24</c:v>
                </c:pt>
                <c:pt idx="9421">
                  <c:v>-1071.9408950000004</c:v>
                </c:pt>
                <c:pt idx="9422">
                  <c:v>-1066.65956</c:v>
                </c:pt>
                <c:pt idx="9423">
                  <c:v>-1061.3959650000002</c:v>
                </c:pt>
                <c:pt idx="9424">
                  <c:v>-1056.1500800000001</c:v>
                </c:pt>
                <c:pt idx="9425">
                  <c:v>-1050.921875</c:v>
                </c:pt>
                <c:pt idx="9426">
                  <c:v>-1045.7113200000001</c:v>
                </c:pt>
                <c:pt idx="9427">
                  <c:v>-1040.5183849999999</c:v>
                </c:pt>
                <c:pt idx="9428">
                  <c:v>-1035.34304</c:v>
                </c:pt>
                <c:pt idx="9429">
                  <c:v>-1030.1852549999999</c:v>
                </c:pt>
                <c:pt idx="9430">
                  <c:v>-1025.045</c:v>
                </c:pt>
                <c:pt idx="9431">
                  <c:v>-1019.9222449999999</c:v>
                </c:pt>
                <c:pt idx="9432">
                  <c:v>-1014.8169600000002</c:v>
                </c:pt>
                <c:pt idx="9433">
                  <c:v>-1009.7291150000003</c:v>
                </c:pt>
                <c:pt idx="9434">
                  <c:v>-1004.65868</c:v>
                </c:pt>
                <c:pt idx="9435">
                  <c:v>-999.6056249999998</c:v>
                </c:pt>
                <c:pt idx="9436">
                  <c:v>-994.5699199999999</c:v>
                </c:pt>
                <c:pt idx="9437">
                  <c:v>-989.5515350000002</c:v>
                </c:pt>
                <c:pt idx="9438">
                  <c:v>-984.55044</c:v>
                </c:pt>
                <c:pt idx="9439">
                  <c:v>-979.566605</c:v>
                </c:pt>
                <c:pt idx="9440">
                  <c:v>-974.5999999999999</c:v>
                </c:pt>
                <c:pt idx="9441">
                  <c:v>-969.6505950000002</c:v>
                </c:pt>
                <c:pt idx="9442">
                  <c:v>-964.7183599999997</c:v>
                </c:pt>
                <c:pt idx="9443">
                  <c:v>-959.8032649999998</c:v>
                </c:pt>
                <c:pt idx="9444">
                  <c:v>-954.90528</c:v>
                </c:pt>
                <c:pt idx="9445">
                  <c:v>-950.0243750000001</c:v>
                </c:pt>
                <c:pt idx="9446">
                  <c:v>-945.16052</c:v>
                </c:pt>
                <c:pt idx="9447">
                  <c:v>-940.3136850000001</c:v>
                </c:pt>
                <c:pt idx="9448">
                  <c:v>-935.4838399999999</c:v>
                </c:pt>
                <c:pt idx="9449">
                  <c:v>-930.6709549999999</c:v>
                </c:pt>
                <c:pt idx="9450">
                  <c:v>-925.875</c:v>
                </c:pt>
                <c:pt idx="9451">
                  <c:v>-921.0959450000003</c:v>
                </c:pt>
                <c:pt idx="9452">
                  <c:v>-916.3337600000002</c:v>
                </c:pt>
                <c:pt idx="9453">
                  <c:v>-911.5884149999999</c:v>
                </c:pt>
                <c:pt idx="9454">
                  <c:v>-906.8598799999999</c:v>
                </c:pt>
                <c:pt idx="9455">
                  <c:v>-902.1481250000002</c:v>
                </c:pt>
                <c:pt idx="9456">
                  <c:v>-897.45312</c:v>
                </c:pt>
                <c:pt idx="9457">
                  <c:v>-892.7748349999998</c:v>
                </c:pt>
                <c:pt idx="9458">
                  <c:v>-888.11324</c:v>
                </c:pt>
                <c:pt idx="9459">
                  <c:v>-883.468305</c:v>
                </c:pt>
                <c:pt idx="9460">
                  <c:v>-878.8399999999999</c:v>
                </c:pt>
                <c:pt idx="9461">
                  <c:v>-874.2282950000002</c:v>
                </c:pt>
                <c:pt idx="9462">
                  <c:v>-869.6331600000001</c:v>
                </c:pt>
                <c:pt idx="9463">
                  <c:v>-865.0545649999998</c:v>
                </c:pt>
                <c:pt idx="9464">
                  <c:v>-860.49248</c:v>
                </c:pt>
                <c:pt idx="9465">
                  <c:v>-855.9468749999999</c:v>
                </c:pt>
                <c:pt idx="9466">
                  <c:v>-851.41772</c:v>
                </c:pt>
                <c:pt idx="9467">
                  <c:v>-846.904985</c:v>
                </c:pt>
                <c:pt idx="9468">
                  <c:v>-842.4086399999998</c:v>
                </c:pt>
                <c:pt idx="9469">
                  <c:v>-837.928655</c:v>
                </c:pt>
                <c:pt idx="9470">
                  <c:v>-833.465</c:v>
                </c:pt>
                <c:pt idx="9471">
                  <c:v>-829.0176449999999</c:v>
                </c:pt>
                <c:pt idx="9472">
                  <c:v>-824.58656</c:v>
                </c:pt>
                <c:pt idx="9473">
                  <c:v>-820.171715</c:v>
                </c:pt>
                <c:pt idx="9474">
                  <c:v>-815.7730799999999</c:v>
                </c:pt>
                <c:pt idx="9475">
                  <c:v>-811.3906250000002</c:v>
                </c:pt>
                <c:pt idx="9476">
                  <c:v>-807.02432</c:v>
                </c:pt>
                <c:pt idx="9477">
                  <c:v>-802.6741350000002</c:v>
                </c:pt>
                <c:pt idx="9478">
                  <c:v>-798.34004</c:v>
                </c:pt>
                <c:pt idx="9479">
                  <c:v>-794.0220049999999</c:v>
                </c:pt>
                <c:pt idx="9480">
                  <c:v>-789.72</c:v>
                </c:pt>
                <c:pt idx="9481">
                  <c:v>-785.433995</c:v>
                </c:pt>
                <c:pt idx="9482">
                  <c:v>-781.16396</c:v>
                </c:pt>
                <c:pt idx="9483">
                  <c:v>-776.9098650000001</c:v>
                </c:pt>
                <c:pt idx="9484">
                  <c:v>-772.6716799999999</c:v>
                </c:pt>
                <c:pt idx="9485">
                  <c:v>-768.4493749999999</c:v>
                </c:pt>
                <c:pt idx="9486">
                  <c:v>-764.24292</c:v>
                </c:pt>
                <c:pt idx="9487">
                  <c:v>-760.0522849999998</c:v>
                </c:pt>
                <c:pt idx="9488">
                  <c:v>-755.87744</c:v>
                </c:pt>
                <c:pt idx="9489">
                  <c:v>-751.718355</c:v>
                </c:pt>
                <c:pt idx="9490">
                  <c:v>-747.575</c:v>
                </c:pt>
                <c:pt idx="9491">
                  <c:v>-743.447345</c:v>
                </c:pt>
                <c:pt idx="9492">
                  <c:v>-739.33536</c:v>
                </c:pt>
                <c:pt idx="9493">
                  <c:v>-735.239015</c:v>
                </c:pt>
                <c:pt idx="9494">
                  <c:v>-731.15828</c:v>
                </c:pt>
                <c:pt idx="9495">
                  <c:v>-727.0931250000002</c:v>
                </c:pt>
                <c:pt idx="9496">
                  <c:v>-723.0435200000003</c:v>
                </c:pt>
                <c:pt idx="9497">
                  <c:v>-719.0094349999999</c:v>
                </c:pt>
                <c:pt idx="9498">
                  <c:v>-714.99084</c:v>
                </c:pt>
                <c:pt idx="9499">
                  <c:v>-710.987705</c:v>
                </c:pt>
                <c:pt idx="9500">
                  <c:v>-706.9999999999998</c:v>
                </c:pt>
                <c:pt idx="9501">
                  <c:v>-703.0276949999998</c:v>
                </c:pt>
                <c:pt idx="9502">
                  <c:v>-699.0707600000001</c:v>
                </c:pt>
                <c:pt idx="9503">
                  <c:v>-695.1291650000003</c:v>
                </c:pt>
                <c:pt idx="9504">
                  <c:v>-691.20288</c:v>
                </c:pt>
                <c:pt idx="9505">
                  <c:v>-687.291875</c:v>
                </c:pt>
                <c:pt idx="9506">
                  <c:v>-683.3961199999998</c:v>
                </c:pt>
                <c:pt idx="9507">
                  <c:v>-679.515585</c:v>
                </c:pt>
                <c:pt idx="9508">
                  <c:v>-675.65024</c:v>
                </c:pt>
                <c:pt idx="9509">
                  <c:v>-671.800055</c:v>
                </c:pt>
                <c:pt idx="9510">
                  <c:v>-667.965</c:v>
                </c:pt>
                <c:pt idx="9511">
                  <c:v>-664.1450450000001</c:v>
                </c:pt>
                <c:pt idx="9512">
                  <c:v>-660.3401600000001</c:v>
                </c:pt>
                <c:pt idx="9513">
                  <c:v>-656.5503150000002</c:v>
                </c:pt>
                <c:pt idx="9514">
                  <c:v>-652.7754799999999</c:v>
                </c:pt>
                <c:pt idx="9515">
                  <c:v>-649.015625</c:v>
                </c:pt>
                <c:pt idx="9516">
                  <c:v>-645.27072</c:v>
                </c:pt>
                <c:pt idx="9517">
                  <c:v>-641.540735</c:v>
                </c:pt>
                <c:pt idx="9518">
                  <c:v>-637.8256399999998</c:v>
                </c:pt>
                <c:pt idx="9519">
                  <c:v>-634.125405</c:v>
                </c:pt>
                <c:pt idx="9520">
                  <c:v>-630.44</c:v>
                </c:pt>
                <c:pt idx="9521">
                  <c:v>-626.769395</c:v>
                </c:pt>
                <c:pt idx="9522">
                  <c:v>-623.11356</c:v>
                </c:pt>
                <c:pt idx="9523">
                  <c:v>-619.4724649999998</c:v>
                </c:pt>
                <c:pt idx="9524">
                  <c:v>-615.8460799999999</c:v>
                </c:pt>
                <c:pt idx="9525">
                  <c:v>-612.234375</c:v>
                </c:pt>
                <c:pt idx="9526">
                  <c:v>-608.6373200000003</c:v>
                </c:pt>
                <c:pt idx="9527">
                  <c:v>-605.054885</c:v>
                </c:pt>
                <c:pt idx="9528">
                  <c:v>-601.4870400000001</c:v>
                </c:pt>
                <c:pt idx="9529">
                  <c:v>-597.933755</c:v>
                </c:pt>
                <c:pt idx="9530">
                  <c:v>-594.395</c:v>
                </c:pt>
                <c:pt idx="9531">
                  <c:v>-590.8707449999999</c:v>
                </c:pt>
                <c:pt idx="9532">
                  <c:v>-587.36096</c:v>
                </c:pt>
                <c:pt idx="9533">
                  <c:v>-583.8656149999999</c:v>
                </c:pt>
                <c:pt idx="9534">
                  <c:v>-580.38468</c:v>
                </c:pt>
                <c:pt idx="9535">
                  <c:v>-576.918125</c:v>
                </c:pt>
                <c:pt idx="9536">
                  <c:v>-573.46592</c:v>
                </c:pt>
                <c:pt idx="9537">
                  <c:v>-570.028035</c:v>
                </c:pt>
                <c:pt idx="9538">
                  <c:v>-566.6044400000002</c:v>
                </c:pt>
                <c:pt idx="9539">
                  <c:v>-563.195105</c:v>
                </c:pt>
                <c:pt idx="9540">
                  <c:v>-559.8000000000001</c:v>
                </c:pt>
                <c:pt idx="9541">
                  <c:v>-556.419095</c:v>
                </c:pt>
                <c:pt idx="9542">
                  <c:v>-553.05236</c:v>
                </c:pt>
                <c:pt idx="9543">
                  <c:v>-549.6997650000001</c:v>
                </c:pt>
                <c:pt idx="9544">
                  <c:v>-546.36128</c:v>
                </c:pt>
                <c:pt idx="9545">
                  <c:v>-543.036875</c:v>
                </c:pt>
                <c:pt idx="9546">
                  <c:v>-539.7265199999999</c:v>
                </c:pt>
                <c:pt idx="9547">
                  <c:v>-536.430185</c:v>
                </c:pt>
                <c:pt idx="9548">
                  <c:v>-533.1478400000002</c:v>
                </c:pt>
                <c:pt idx="9549">
                  <c:v>-529.8794549999999</c:v>
                </c:pt>
                <c:pt idx="9550">
                  <c:v>-526.625</c:v>
                </c:pt>
                <c:pt idx="9551">
                  <c:v>-523.384445</c:v>
                </c:pt>
                <c:pt idx="9552">
                  <c:v>-520.1577599999999</c:v>
                </c:pt>
                <c:pt idx="9553">
                  <c:v>-516.944915</c:v>
                </c:pt>
                <c:pt idx="9554">
                  <c:v>-513.7458799999999</c:v>
                </c:pt>
                <c:pt idx="9555">
                  <c:v>-510.5606249999999</c:v>
                </c:pt>
                <c:pt idx="9556">
                  <c:v>-507.38912000000005</c:v>
                </c:pt>
                <c:pt idx="9557">
                  <c:v>-504.23133499999994</c:v>
                </c:pt>
                <c:pt idx="9558">
                  <c:v>-501.08723999999995</c:v>
                </c:pt>
                <c:pt idx="9559">
                  <c:v>-497.95680500000003</c:v>
                </c:pt>
                <c:pt idx="9560">
                  <c:v>-494.84</c:v>
                </c:pt>
                <c:pt idx="9561">
                  <c:v>-491.73679500000003</c:v>
                </c:pt>
                <c:pt idx="9562">
                  <c:v>-488.64716000000004</c:v>
                </c:pt>
                <c:pt idx="9563">
                  <c:v>-485.57106500000003</c:v>
                </c:pt>
                <c:pt idx="9564">
                  <c:v>-482.50847999999996</c:v>
                </c:pt>
                <c:pt idx="9565">
                  <c:v>-479.459375</c:v>
                </c:pt>
                <c:pt idx="9566">
                  <c:v>-476.42372</c:v>
                </c:pt>
                <c:pt idx="9567">
                  <c:v>-473.40148500000004</c:v>
                </c:pt>
                <c:pt idx="9568">
                  <c:v>-470.39264</c:v>
                </c:pt>
                <c:pt idx="9569">
                  <c:v>-467.397155</c:v>
                </c:pt>
                <c:pt idx="9570">
                  <c:v>-464.41499999999996</c:v>
                </c:pt>
                <c:pt idx="9571">
                  <c:v>-461.446145</c:v>
                </c:pt>
                <c:pt idx="9572">
                  <c:v>-458.49056</c:v>
                </c:pt>
                <c:pt idx="9573">
                  <c:v>-455.54821499999997</c:v>
                </c:pt>
                <c:pt idx="9574">
                  <c:v>-452.61908</c:v>
                </c:pt>
                <c:pt idx="9575">
                  <c:v>-449.703125</c:v>
                </c:pt>
                <c:pt idx="9576">
                  <c:v>-446.80032</c:v>
                </c:pt>
                <c:pt idx="9577">
                  <c:v>-443.910635</c:v>
                </c:pt>
                <c:pt idx="9578">
                  <c:v>-441.03404</c:v>
                </c:pt>
                <c:pt idx="9579">
                  <c:v>-438.170505</c:v>
                </c:pt>
                <c:pt idx="9580">
                  <c:v>-435.32</c:v>
                </c:pt>
                <c:pt idx="9581">
                  <c:v>-432.48249500000003</c:v>
                </c:pt>
                <c:pt idx="9582">
                  <c:v>-429.65796</c:v>
                </c:pt>
                <c:pt idx="9583">
                  <c:v>-426.846365</c:v>
                </c:pt>
                <c:pt idx="9584">
                  <c:v>-424.04768</c:v>
                </c:pt>
                <c:pt idx="9585">
                  <c:v>-421.261875</c:v>
                </c:pt>
                <c:pt idx="9586">
                  <c:v>-418.48892</c:v>
                </c:pt>
                <c:pt idx="9587">
                  <c:v>-415.728785</c:v>
                </c:pt>
                <c:pt idx="9588">
                  <c:v>-412.98144</c:v>
                </c:pt>
                <c:pt idx="9589">
                  <c:v>-410.246855</c:v>
                </c:pt>
                <c:pt idx="9590">
                  <c:v>-407.525</c:v>
                </c:pt>
                <c:pt idx="9591">
                  <c:v>-404.81584499999997</c:v>
                </c:pt>
                <c:pt idx="9592">
                  <c:v>-402.11936</c:v>
                </c:pt>
                <c:pt idx="9593">
                  <c:v>-399.435515</c:v>
                </c:pt>
                <c:pt idx="9594">
                  <c:v>-396.76428000000004</c:v>
                </c:pt>
                <c:pt idx="9595">
                  <c:v>-394.105625</c:v>
                </c:pt>
                <c:pt idx="9596">
                  <c:v>-391.45952</c:v>
                </c:pt>
                <c:pt idx="9597">
                  <c:v>-388.82593499999996</c:v>
                </c:pt>
                <c:pt idx="9598">
                  <c:v>-386.20484000000005</c:v>
                </c:pt>
                <c:pt idx="9599">
                  <c:v>-383.596205</c:v>
                </c:pt>
                <c:pt idx="9600">
                  <c:v>-381.0</c:v>
                </c:pt>
                <c:pt idx="9601">
                  <c:v>-378.416195</c:v>
                </c:pt>
                <c:pt idx="9602">
                  <c:v>-375.84476</c:v>
                </c:pt>
                <c:pt idx="9603">
                  <c:v>-373.285665</c:v>
                </c:pt>
                <c:pt idx="9604">
                  <c:v>-370.73888000000005</c:v>
                </c:pt>
                <c:pt idx="9605">
                  <c:v>-368.204375</c:v>
                </c:pt>
                <c:pt idx="9606">
                  <c:v>-365.68212</c:v>
                </c:pt>
                <c:pt idx="9607">
                  <c:v>-363.172085</c:v>
                </c:pt>
                <c:pt idx="9608">
                  <c:v>-360.67424</c:v>
                </c:pt>
                <c:pt idx="9609">
                  <c:v>-358.188555</c:v>
                </c:pt>
                <c:pt idx="9610">
                  <c:v>-355.71500000000003</c:v>
                </c:pt>
                <c:pt idx="9611">
                  <c:v>-353.253545</c:v>
                </c:pt>
                <c:pt idx="9612">
                  <c:v>-350.80416</c:v>
                </c:pt>
                <c:pt idx="9613">
                  <c:v>-348.36681500000003</c:v>
                </c:pt>
                <c:pt idx="9614">
                  <c:v>-345.94148</c:v>
                </c:pt>
                <c:pt idx="9615">
                  <c:v>-343.528125</c:v>
                </c:pt>
                <c:pt idx="9616">
                  <c:v>-341.12672000000003</c:v>
                </c:pt>
                <c:pt idx="9617">
                  <c:v>-338.737235</c:v>
                </c:pt>
                <c:pt idx="9618">
                  <c:v>-336.35963999999996</c:v>
                </c:pt>
                <c:pt idx="9619">
                  <c:v>-333.99390500000004</c:v>
                </c:pt>
                <c:pt idx="9620">
                  <c:v>-331.64</c:v>
                </c:pt>
                <c:pt idx="9621">
                  <c:v>-329.297895</c:v>
                </c:pt>
                <c:pt idx="9622">
                  <c:v>-326.96756</c:v>
                </c:pt>
                <c:pt idx="9623">
                  <c:v>-324.648965</c:v>
                </c:pt>
                <c:pt idx="9624">
                  <c:v>-322.34207999999995</c:v>
                </c:pt>
                <c:pt idx="9625">
                  <c:v>-320.046875</c:v>
                </c:pt>
                <c:pt idx="9626">
                  <c:v>-317.76332</c:v>
                </c:pt>
                <c:pt idx="9627">
                  <c:v>-315.491385</c:v>
                </c:pt>
                <c:pt idx="9628">
                  <c:v>-313.23104</c:v>
                </c:pt>
                <c:pt idx="9629">
                  <c:v>-310.982255</c:v>
                </c:pt>
                <c:pt idx="9630">
                  <c:v>-308.745</c:v>
                </c:pt>
                <c:pt idx="9631">
                  <c:v>-306.519245</c:v>
                </c:pt>
                <c:pt idx="9632">
                  <c:v>-304.30496</c:v>
                </c:pt>
                <c:pt idx="9633">
                  <c:v>-302.102115</c:v>
                </c:pt>
                <c:pt idx="9634">
                  <c:v>-299.91067999999996</c:v>
                </c:pt>
                <c:pt idx="9635">
                  <c:v>-297.730625</c:v>
                </c:pt>
                <c:pt idx="9636">
                  <c:v>-295.56192000000004</c:v>
                </c:pt>
                <c:pt idx="9637">
                  <c:v>-293.40453499999995</c:v>
                </c:pt>
                <c:pt idx="9638">
                  <c:v>-291.25844</c:v>
                </c:pt>
                <c:pt idx="9639">
                  <c:v>-289.12360500000005</c:v>
                </c:pt>
                <c:pt idx="9640">
                  <c:v>-287.0</c:v>
                </c:pt>
                <c:pt idx="9641">
                  <c:v>-284.88759500000003</c:v>
                </c:pt>
                <c:pt idx="9642">
                  <c:v>-282.78636</c:v>
                </c:pt>
                <c:pt idx="9643">
                  <c:v>-280.69626500000004</c:v>
                </c:pt>
                <c:pt idx="9644">
                  <c:v>-278.61728000000005</c:v>
                </c:pt>
                <c:pt idx="9645">
                  <c:v>-276.549375</c:v>
                </c:pt>
                <c:pt idx="9646">
                  <c:v>-274.49252</c:v>
                </c:pt>
                <c:pt idx="9647">
                  <c:v>-272.446685</c:v>
                </c:pt>
                <c:pt idx="9648">
                  <c:v>-270.41184000000004</c:v>
                </c:pt>
                <c:pt idx="9649">
                  <c:v>-268.38795500000003</c:v>
                </c:pt>
                <c:pt idx="9650">
                  <c:v>-266.375</c:v>
                </c:pt>
                <c:pt idx="9651">
                  <c:v>-264.372945</c:v>
                </c:pt>
                <c:pt idx="9652">
                  <c:v>-262.38176</c:v>
                </c:pt>
                <c:pt idx="9653">
                  <c:v>-260.401415</c:v>
                </c:pt>
                <c:pt idx="9654">
                  <c:v>-258.43188</c:v>
                </c:pt>
                <c:pt idx="9655">
                  <c:v>-256.473125</c:v>
                </c:pt>
                <c:pt idx="9656">
                  <c:v>-254.52512000000002</c:v>
                </c:pt>
                <c:pt idx="9657">
                  <c:v>-252.58783500000004</c:v>
                </c:pt>
                <c:pt idx="9658">
                  <c:v>-250.66124000000002</c:v>
                </c:pt>
                <c:pt idx="9659">
                  <c:v>-248.74530499999997</c:v>
                </c:pt>
                <c:pt idx="9660">
                  <c:v>-246.84</c:v>
                </c:pt>
                <c:pt idx="9661">
                  <c:v>-244.945295</c:v>
                </c:pt>
                <c:pt idx="9662">
                  <c:v>-243.06116</c:v>
                </c:pt>
                <c:pt idx="9663">
                  <c:v>-241.187565</c:v>
                </c:pt>
                <c:pt idx="9664">
                  <c:v>-239.32448000000002</c:v>
                </c:pt>
                <c:pt idx="9665">
                  <c:v>-237.471875</c:v>
                </c:pt>
                <c:pt idx="9666">
                  <c:v>-235.62971999999996</c:v>
                </c:pt>
                <c:pt idx="9667">
                  <c:v>-233.797985</c:v>
                </c:pt>
                <c:pt idx="9668">
                  <c:v>-231.97664</c:v>
                </c:pt>
                <c:pt idx="9669">
                  <c:v>-230.165655</c:v>
                </c:pt>
                <c:pt idx="9670">
                  <c:v>-228.365</c:v>
                </c:pt>
                <c:pt idx="9671">
                  <c:v>-226.574645</c:v>
                </c:pt>
                <c:pt idx="9672">
                  <c:v>-224.79456</c:v>
                </c:pt>
                <c:pt idx="9673">
                  <c:v>-223.024715</c:v>
                </c:pt>
                <c:pt idx="9674">
                  <c:v>-221.26507999999998</c:v>
                </c:pt>
                <c:pt idx="9675">
                  <c:v>-219.515625</c:v>
                </c:pt>
                <c:pt idx="9676">
                  <c:v>-217.77632</c:v>
                </c:pt>
                <c:pt idx="9677">
                  <c:v>-216.047135</c:v>
                </c:pt>
                <c:pt idx="9678">
                  <c:v>-214.32804000000002</c:v>
                </c:pt>
                <c:pt idx="9679">
                  <c:v>-212.619005</c:v>
                </c:pt>
                <c:pt idx="9680">
                  <c:v>-210.92</c:v>
                </c:pt>
                <c:pt idx="9681">
                  <c:v>-209.230995</c:v>
                </c:pt>
                <c:pt idx="9682">
                  <c:v>-207.55196</c:v>
                </c:pt>
                <c:pt idx="9683">
                  <c:v>-205.88286500000004</c:v>
                </c:pt>
                <c:pt idx="9684">
                  <c:v>-204.22368000000003</c:v>
                </c:pt>
                <c:pt idx="9685">
                  <c:v>-202.574375</c:v>
                </c:pt>
                <c:pt idx="9686">
                  <c:v>-200.93492000000003</c:v>
                </c:pt>
                <c:pt idx="9687">
                  <c:v>-199.305285</c:v>
                </c:pt>
                <c:pt idx="9688">
                  <c:v>-197.68543999999997</c:v>
                </c:pt>
                <c:pt idx="9689">
                  <c:v>-196.07535499999997</c:v>
                </c:pt>
                <c:pt idx="9690">
                  <c:v>-194.475</c:v>
                </c:pt>
                <c:pt idx="9691">
                  <c:v>-192.884345</c:v>
                </c:pt>
                <c:pt idx="9692">
                  <c:v>-191.30336</c:v>
                </c:pt>
                <c:pt idx="9693">
                  <c:v>-189.732015</c:v>
                </c:pt>
                <c:pt idx="9694">
                  <c:v>-188.17028</c:v>
                </c:pt>
                <c:pt idx="9695">
                  <c:v>-186.61812499999996</c:v>
                </c:pt>
                <c:pt idx="9696">
                  <c:v>-185.07552</c:v>
                </c:pt>
                <c:pt idx="9697">
                  <c:v>-183.542435</c:v>
                </c:pt>
                <c:pt idx="9698">
                  <c:v>-182.01884</c:v>
                </c:pt>
                <c:pt idx="9699">
                  <c:v>-180.504705</c:v>
                </c:pt>
                <c:pt idx="9700">
                  <c:v>-179.0</c:v>
                </c:pt>
                <c:pt idx="9701">
                  <c:v>-177.504695</c:v>
                </c:pt>
                <c:pt idx="9702">
                  <c:v>-176.01875999999996</c:v>
                </c:pt>
                <c:pt idx="9703">
                  <c:v>-174.54216499999998</c:v>
                </c:pt>
                <c:pt idx="9704">
                  <c:v>-173.07487999999998</c:v>
                </c:pt>
                <c:pt idx="9705">
                  <c:v>-171.61687500000002</c:v>
                </c:pt>
                <c:pt idx="9706">
                  <c:v>-170.16812000000002</c:v>
                </c:pt>
                <c:pt idx="9707">
                  <c:v>-168.728585</c:v>
                </c:pt>
                <c:pt idx="9708">
                  <c:v>-167.29824</c:v>
                </c:pt>
                <c:pt idx="9709">
                  <c:v>-165.87705500000004</c:v>
                </c:pt>
                <c:pt idx="9710">
                  <c:v>-164.465</c:v>
                </c:pt>
                <c:pt idx="9711">
                  <c:v>-163.06204499999998</c:v>
                </c:pt>
                <c:pt idx="9712">
                  <c:v>-161.66816</c:v>
                </c:pt>
                <c:pt idx="9713">
                  <c:v>-160.28331500000002</c:v>
                </c:pt>
                <c:pt idx="9714">
                  <c:v>-158.90748000000002</c:v>
                </c:pt>
                <c:pt idx="9715">
                  <c:v>-157.540625</c:v>
                </c:pt>
                <c:pt idx="9716">
                  <c:v>-156.18272000000002</c:v>
                </c:pt>
                <c:pt idx="9717">
                  <c:v>-154.833735</c:v>
                </c:pt>
                <c:pt idx="9718">
                  <c:v>-153.49364</c:v>
                </c:pt>
                <c:pt idx="9719">
                  <c:v>-152.162405</c:v>
                </c:pt>
                <c:pt idx="9720">
                  <c:v>-150.83999999999997</c:v>
                </c:pt>
                <c:pt idx="9721">
                  <c:v>-149.526395</c:v>
                </c:pt>
                <c:pt idx="9722">
                  <c:v>-148.22155999999998</c:v>
                </c:pt>
                <c:pt idx="9723">
                  <c:v>-146.92546499999997</c:v>
                </c:pt>
                <c:pt idx="9724">
                  <c:v>-145.63808</c:v>
                </c:pt>
                <c:pt idx="9725">
                  <c:v>-144.359375</c:v>
                </c:pt>
                <c:pt idx="9726">
                  <c:v>-143.08932</c:v>
                </c:pt>
                <c:pt idx="9727">
                  <c:v>-141.82788499999998</c:v>
                </c:pt>
                <c:pt idx="9728">
                  <c:v>-140.57504</c:v>
                </c:pt>
                <c:pt idx="9729">
                  <c:v>-139.330755</c:v>
                </c:pt>
                <c:pt idx="9730">
                  <c:v>-138.095</c:v>
                </c:pt>
                <c:pt idx="9731">
                  <c:v>-136.867745</c:v>
                </c:pt>
                <c:pt idx="9732">
                  <c:v>-135.64896000000002</c:v>
                </c:pt>
                <c:pt idx="9733">
                  <c:v>-134.438615</c:v>
                </c:pt>
                <c:pt idx="9734">
                  <c:v>-133.23668</c:v>
                </c:pt>
                <c:pt idx="9735">
                  <c:v>-132.043125</c:v>
                </c:pt>
                <c:pt idx="9736">
                  <c:v>-130.85792</c:v>
                </c:pt>
                <c:pt idx="9737">
                  <c:v>-129.681035</c:v>
                </c:pt>
                <c:pt idx="9738">
                  <c:v>-128.51244</c:v>
                </c:pt>
                <c:pt idx="9739">
                  <c:v>-127.352105</c:v>
                </c:pt>
                <c:pt idx="9740">
                  <c:v>-126.19999999999999</c:v>
                </c:pt>
                <c:pt idx="9741">
                  <c:v>-125.056095</c:v>
                </c:pt>
                <c:pt idx="9742">
                  <c:v>-123.92036000000002</c:v>
                </c:pt>
                <c:pt idx="9743">
                  <c:v>-122.792765</c:v>
                </c:pt>
                <c:pt idx="9744">
                  <c:v>-121.67328</c:v>
                </c:pt>
                <c:pt idx="9745">
                  <c:v>-120.56187499999999</c:v>
                </c:pt>
                <c:pt idx="9746">
                  <c:v>-119.45852</c:v>
                </c:pt>
                <c:pt idx="9747">
                  <c:v>-118.363185</c:v>
                </c:pt>
                <c:pt idx="9748">
                  <c:v>-117.27584</c:v>
                </c:pt>
                <c:pt idx="9749">
                  <c:v>-116.196455</c:v>
                </c:pt>
                <c:pt idx="9750">
                  <c:v>-115.125</c:v>
                </c:pt>
                <c:pt idx="9751">
                  <c:v>-114.06144499999999</c:v>
                </c:pt>
                <c:pt idx="9752">
                  <c:v>-113.00576</c:v>
                </c:pt>
                <c:pt idx="9753">
                  <c:v>-111.957915</c:v>
                </c:pt>
                <c:pt idx="9754">
                  <c:v>-110.91788</c:v>
                </c:pt>
                <c:pt idx="9755">
                  <c:v>-109.885625</c:v>
                </c:pt>
                <c:pt idx="9756">
                  <c:v>-108.86112</c:v>
                </c:pt>
                <c:pt idx="9757">
                  <c:v>-107.844335</c:v>
                </c:pt>
                <c:pt idx="9758">
                  <c:v>-106.83524</c:v>
                </c:pt>
                <c:pt idx="9759">
                  <c:v>-105.833805</c:v>
                </c:pt>
                <c:pt idx="9760">
                  <c:v>-104.84</c:v>
                </c:pt>
                <c:pt idx="9761">
                  <c:v>-103.853795</c:v>
                </c:pt>
                <c:pt idx="9762">
                  <c:v>-102.87516</c:v>
                </c:pt>
                <c:pt idx="9763">
                  <c:v>-101.904065</c:v>
                </c:pt>
                <c:pt idx="9764">
                  <c:v>-100.94048</c:v>
                </c:pt>
                <c:pt idx="9765">
                  <c:v>-99.984375</c:v>
                </c:pt>
                <c:pt idx="9766">
                  <c:v>-99.03572</c:v>
                </c:pt>
                <c:pt idx="9767">
                  <c:v>-98.09448499999999</c:v>
                </c:pt>
                <c:pt idx="9768">
                  <c:v>-97.16064</c:v>
                </c:pt>
                <c:pt idx="9769">
                  <c:v>-96.234155</c:v>
                </c:pt>
                <c:pt idx="9770">
                  <c:v>-95.315</c:v>
                </c:pt>
                <c:pt idx="9771">
                  <c:v>-94.40314500000001</c:v>
                </c:pt>
                <c:pt idx="9772">
                  <c:v>-93.49856000000001</c:v>
                </c:pt>
                <c:pt idx="9773">
                  <c:v>-92.601215</c:v>
                </c:pt>
                <c:pt idx="9774">
                  <c:v>-91.71108</c:v>
                </c:pt>
                <c:pt idx="9775">
                  <c:v>-90.828125</c:v>
                </c:pt>
                <c:pt idx="9776">
                  <c:v>-89.95232</c:v>
                </c:pt>
                <c:pt idx="9777">
                  <c:v>-89.083635</c:v>
                </c:pt>
                <c:pt idx="9778">
                  <c:v>-88.22204</c:v>
                </c:pt>
                <c:pt idx="9779">
                  <c:v>-87.367505</c:v>
                </c:pt>
                <c:pt idx="9780">
                  <c:v>-86.52000000000001</c:v>
                </c:pt>
                <c:pt idx="9781">
                  <c:v>-85.679495</c:v>
                </c:pt>
                <c:pt idx="9782">
                  <c:v>-84.84595999999999</c:v>
                </c:pt>
                <c:pt idx="9783">
                  <c:v>-84.019365</c:v>
                </c:pt>
                <c:pt idx="9784">
                  <c:v>-83.19968</c:v>
                </c:pt>
                <c:pt idx="9785">
                  <c:v>-82.386875</c:v>
                </c:pt>
                <c:pt idx="9786">
                  <c:v>-81.58092</c:v>
                </c:pt>
                <c:pt idx="9787">
                  <c:v>-80.781785</c:v>
                </c:pt>
                <c:pt idx="9788">
                  <c:v>-79.98944</c:v>
                </c:pt>
                <c:pt idx="9789">
                  <c:v>-79.20385499999999</c:v>
                </c:pt>
                <c:pt idx="9790">
                  <c:v>-78.425</c:v>
                </c:pt>
                <c:pt idx="9791">
                  <c:v>-77.652845</c:v>
                </c:pt>
                <c:pt idx="9792">
                  <c:v>-76.88736</c:v>
                </c:pt>
                <c:pt idx="9793">
                  <c:v>-76.12851500000001</c:v>
                </c:pt>
                <c:pt idx="9794">
                  <c:v>-75.37628</c:v>
                </c:pt>
                <c:pt idx="9795">
                  <c:v>-74.630625</c:v>
                </c:pt>
                <c:pt idx="9796">
                  <c:v>-73.89152</c:v>
                </c:pt>
                <c:pt idx="9797">
                  <c:v>-73.158935</c:v>
                </c:pt>
                <c:pt idx="9798">
                  <c:v>-72.43284</c:v>
                </c:pt>
                <c:pt idx="9799">
                  <c:v>-71.713205</c:v>
                </c:pt>
                <c:pt idx="9800">
                  <c:v>-71.0</c:v>
                </c:pt>
                <c:pt idx="9801">
                  <c:v>-70.293195</c:v>
                </c:pt>
                <c:pt idx="9802">
                  <c:v>-69.59276000000001</c:v>
                </c:pt>
                <c:pt idx="9803">
                  <c:v>-68.89866499999998</c:v>
                </c:pt>
                <c:pt idx="9804">
                  <c:v>-68.21088</c:v>
                </c:pt>
                <c:pt idx="9805">
                  <c:v>-67.529375</c:v>
                </c:pt>
                <c:pt idx="9806">
                  <c:v>-66.85412</c:v>
                </c:pt>
                <c:pt idx="9807">
                  <c:v>-66.185085</c:v>
                </c:pt>
                <c:pt idx="9808">
                  <c:v>-65.52224000000001</c:v>
                </c:pt>
                <c:pt idx="9809">
                  <c:v>-64.865555</c:v>
                </c:pt>
                <c:pt idx="9810">
                  <c:v>-64.215</c:v>
                </c:pt>
                <c:pt idx="9811">
                  <c:v>-63.570544999999996</c:v>
                </c:pt>
                <c:pt idx="9812">
                  <c:v>-62.93216</c:v>
                </c:pt>
                <c:pt idx="9813">
                  <c:v>-62.299814999999995</c:v>
                </c:pt>
                <c:pt idx="9814">
                  <c:v>-61.67348</c:v>
                </c:pt>
                <c:pt idx="9815">
                  <c:v>-61.053125</c:v>
                </c:pt>
                <c:pt idx="9816">
                  <c:v>-60.438719999999996</c:v>
                </c:pt>
                <c:pt idx="9817">
                  <c:v>-59.830235</c:v>
                </c:pt>
                <c:pt idx="9818">
                  <c:v>-59.22764</c:v>
                </c:pt>
                <c:pt idx="9819">
                  <c:v>-58.630905000000006</c:v>
                </c:pt>
                <c:pt idx="9820">
                  <c:v>-58.04</c:v>
                </c:pt>
                <c:pt idx="9821">
                  <c:v>-57.45489499999999</c:v>
                </c:pt>
                <c:pt idx="9822">
                  <c:v>-56.87556</c:v>
                </c:pt>
                <c:pt idx="9823">
                  <c:v>-56.301965</c:v>
                </c:pt>
                <c:pt idx="9824">
                  <c:v>-55.73408</c:v>
                </c:pt>
                <c:pt idx="9825">
                  <c:v>-55.171875</c:v>
                </c:pt>
                <c:pt idx="9826">
                  <c:v>-54.615320000000025</c:v>
                </c:pt>
                <c:pt idx="9827">
                  <c:v>-54.064385</c:v>
                </c:pt>
                <c:pt idx="9828">
                  <c:v>-53.519040000000025</c:v>
                </c:pt>
                <c:pt idx="9829">
                  <c:v>-52.979254999999995</c:v>
                </c:pt>
                <c:pt idx="9830">
                  <c:v>-52.44499999999999</c:v>
                </c:pt>
                <c:pt idx="9831">
                  <c:v>-51.91624499999998</c:v>
                </c:pt>
                <c:pt idx="9832">
                  <c:v>-51.39295999999998</c:v>
                </c:pt>
                <c:pt idx="9833">
                  <c:v>-50.875114999999994</c:v>
                </c:pt>
                <c:pt idx="9834">
                  <c:v>-50.36268</c:v>
                </c:pt>
                <c:pt idx="9835">
                  <c:v>-49.85562500000002</c:v>
                </c:pt>
                <c:pt idx="9836">
                  <c:v>-49.353919999999995</c:v>
                </c:pt>
                <c:pt idx="9837">
                  <c:v>-48.857534999999984</c:v>
                </c:pt>
                <c:pt idx="9838">
                  <c:v>-48.366440000000004</c:v>
                </c:pt>
                <c:pt idx="9839">
                  <c:v>-47.880605</c:v>
                </c:pt>
                <c:pt idx="9840">
                  <c:v>-47.4</c:v>
                </c:pt>
                <c:pt idx="9841">
                  <c:v>-46.924595000000025</c:v>
                </c:pt>
                <c:pt idx="9842">
                  <c:v>-46.45436</c:v>
                </c:pt>
                <c:pt idx="9843">
                  <c:v>-45.989265</c:v>
                </c:pt>
                <c:pt idx="9844">
                  <c:v>-45.52928</c:v>
                </c:pt>
                <c:pt idx="9845">
                  <c:v>-45.074375</c:v>
                </c:pt>
                <c:pt idx="9846">
                  <c:v>-44.62452</c:v>
                </c:pt>
                <c:pt idx="9847">
                  <c:v>-44.179685</c:v>
                </c:pt>
                <c:pt idx="9848">
                  <c:v>-43.73983999999998</c:v>
                </c:pt>
                <c:pt idx="9849">
                  <c:v>-43.304955</c:v>
                </c:pt>
                <c:pt idx="9850">
                  <c:v>-42.875</c:v>
                </c:pt>
                <c:pt idx="9851">
                  <c:v>-42.449945</c:v>
                </c:pt>
                <c:pt idx="9852">
                  <c:v>-42.02976000000002</c:v>
                </c:pt>
                <c:pt idx="9853">
                  <c:v>-41.614415</c:v>
                </c:pt>
                <c:pt idx="9854">
                  <c:v>-41.20388</c:v>
                </c:pt>
                <c:pt idx="9855">
                  <c:v>-40.798125</c:v>
                </c:pt>
                <c:pt idx="9856">
                  <c:v>-40.39712</c:v>
                </c:pt>
                <c:pt idx="9857">
                  <c:v>-40.000835</c:v>
                </c:pt>
                <c:pt idx="9858">
                  <c:v>-39.60923999999998</c:v>
                </c:pt>
                <c:pt idx="9859">
                  <c:v>-39.222305</c:v>
                </c:pt>
                <c:pt idx="9860">
                  <c:v>-38.83999999999998</c:v>
                </c:pt>
                <c:pt idx="9861">
                  <c:v>-38.462295</c:v>
                </c:pt>
                <c:pt idx="9862">
                  <c:v>-38.08916</c:v>
                </c:pt>
                <c:pt idx="9863">
                  <c:v>-37.720565</c:v>
                </c:pt>
                <c:pt idx="9864">
                  <c:v>-37.356480000000005</c:v>
                </c:pt>
                <c:pt idx="9865">
                  <c:v>-36.996875</c:v>
                </c:pt>
                <c:pt idx="9866">
                  <c:v>-36.64172</c:v>
                </c:pt>
                <c:pt idx="9867">
                  <c:v>-36.290985</c:v>
                </c:pt>
                <c:pt idx="9868">
                  <c:v>-35.94463999999998</c:v>
                </c:pt>
                <c:pt idx="9869">
                  <c:v>-35.602655</c:v>
                </c:pt>
                <c:pt idx="9870">
                  <c:v>-35.265</c:v>
                </c:pt>
                <c:pt idx="9871">
                  <c:v>-34.931644999999996</c:v>
                </c:pt>
                <c:pt idx="9872">
                  <c:v>-34.60255999999998</c:v>
                </c:pt>
                <c:pt idx="9873">
                  <c:v>-34.277715</c:v>
                </c:pt>
                <c:pt idx="9874">
                  <c:v>-33.95708000000002</c:v>
                </c:pt>
                <c:pt idx="9875">
                  <c:v>-33.640625</c:v>
                </c:pt>
                <c:pt idx="9876">
                  <c:v>-33.32831999999998</c:v>
                </c:pt>
                <c:pt idx="9877">
                  <c:v>-33.020134999999996</c:v>
                </c:pt>
                <c:pt idx="9878">
                  <c:v>-32.71603999999998</c:v>
                </c:pt>
                <c:pt idx="9879">
                  <c:v>-32.416005</c:v>
                </c:pt>
                <c:pt idx="9880">
                  <c:v>-32.119999999999976</c:v>
                </c:pt>
                <c:pt idx="9881">
                  <c:v>-31.827995</c:v>
                </c:pt>
                <c:pt idx="9882">
                  <c:v>-31.53996000000002</c:v>
                </c:pt>
                <c:pt idx="9883">
                  <c:v>-31.25586499999998</c:v>
                </c:pt>
                <c:pt idx="9884">
                  <c:v>-30.975679999999997</c:v>
                </c:pt>
                <c:pt idx="9885">
                  <c:v>-30.69937500000002</c:v>
                </c:pt>
                <c:pt idx="9886">
                  <c:v>-30.42692</c:v>
                </c:pt>
                <c:pt idx="9887">
                  <c:v>-30.158285</c:v>
                </c:pt>
                <c:pt idx="9888">
                  <c:v>-29.89344000000002</c:v>
                </c:pt>
                <c:pt idx="9889">
                  <c:v>-29.632355</c:v>
                </c:pt>
                <c:pt idx="9890">
                  <c:v>-29.37499999999998</c:v>
                </c:pt>
                <c:pt idx="9891">
                  <c:v>-29.121344999999998</c:v>
                </c:pt>
                <c:pt idx="9892">
                  <c:v>-28.87135999999998</c:v>
                </c:pt>
                <c:pt idx="9893">
                  <c:v>-28.62501499999998</c:v>
                </c:pt>
                <c:pt idx="9894">
                  <c:v>-28.38227999999998</c:v>
                </c:pt>
                <c:pt idx="9895">
                  <c:v>-28.14312500000002</c:v>
                </c:pt>
                <c:pt idx="9896">
                  <c:v>-27.90752000000002</c:v>
                </c:pt>
                <c:pt idx="9897">
                  <c:v>-27.67543499999998</c:v>
                </c:pt>
                <c:pt idx="9898">
                  <c:v>-27.44684</c:v>
                </c:pt>
                <c:pt idx="9899">
                  <c:v>-27.22170499999998</c:v>
                </c:pt>
                <c:pt idx="9900">
                  <c:v>-27.0</c:v>
                </c:pt>
                <c:pt idx="9901">
                  <c:v>-26.781694999999978</c:v>
                </c:pt>
                <c:pt idx="9902">
                  <c:v>-26.566760000000002</c:v>
                </c:pt>
                <c:pt idx="9903">
                  <c:v>-26.355164999999978</c:v>
                </c:pt>
                <c:pt idx="9904">
                  <c:v>-26.14688000000002</c:v>
                </c:pt>
                <c:pt idx="9905">
                  <c:v>-25.94187500000002</c:v>
                </c:pt>
                <c:pt idx="9906">
                  <c:v>-25.74011999999998</c:v>
                </c:pt>
                <c:pt idx="9907">
                  <c:v>-25.54158499999998</c:v>
                </c:pt>
                <c:pt idx="9908">
                  <c:v>-25.34623999999998</c:v>
                </c:pt>
                <c:pt idx="9909">
                  <c:v>-25.154055</c:v>
                </c:pt>
                <c:pt idx="9910">
                  <c:v>-24.96499999999998</c:v>
                </c:pt>
                <c:pt idx="9911">
                  <c:v>-24.779045</c:v>
                </c:pt>
                <c:pt idx="9912">
                  <c:v>-24.59616000000002</c:v>
                </c:pt>
                <c:pt idx="9913">
                  <c:v>-24.416315</c:v>
                </c:pt>
                <c:pt idx="9914">
                  <c:v>-24.23948</c:v>
                </c:pt>
                <c:pt idx="9915">
                  <c:v>-24.06562500000002</c:v>
                </c:pt>
                <c:pt idx="9916">
                  <c:v>-23.89472</c:v>
                </c:pt>
                <c:pt idx="9917">
                  <c:v>-23.72673499999998</c:v>
                </c:pt>
                <c:pt idx="9918">
                  <c:v>-23.56164000000002</c:v>
                </c:pt>
                <c:pt idx="9919">
                  <c:v>-23.399405</c:v>
                </c:pt>
                <c:pt idx="9920">
                  <c:v>-23.23999999999998</c:v>
                </c:pt>
                <c:pt idx="9921">
                  <c:v>-23.083395</c:v>
                </c:pt>
                <c:pt idx="9922">
                  <c:v>-22.92955999999998</c:v>
                </c:pt>
                <c:pt idx="9923">
                  <c:v>-22.778464999999997</c:v>
                </c:pt>
                <c:pt idx="9924">
                  <c:v>-22.630079999999978</c:v>
                </c:pt>
                <c:pt idx="9925">
                  <c:v>-22.484375</c:v>
                </c:pt>
                <c:pt idx="9926">
                  <c:v>-22.34132000000002</c:v>
                </c:pt>
                <c:pt idx="9927">
                  <c:v>-22.200885</c:v>
                </c:pt>
                <c:pt idx="9928">
                  <c:v>-22.06303999999998</c:v>
                </c:pt>
                <c:pt idx="9929">
                  <c:v>-21.927754999999998</c:v>
                </c:pt>
                <c:pt idx="9930">
                  <c:v>-21.795</c:v>
                </c:pt>
                <c:pt idx="9931">
                  <c:v>-21.664745</c:v>
                </c:pt>
                <c:pt idx="9932">
                  <c:v>-21.53695999999998</c:v>
                </c:pt>
                <c:pt idx="9933">
                  <c:v>-21.411614999999998</c:v>
                </c:pt>
                <c:pt idx="9934">
                  <c:v>-21.28868</c:v>
                </c:pt>
                <c:pt idx="9935">
                  <c:v>-21.168125</c:v>
                </c:pt>
                <c:pt idx="9936">
                  <c:v>-21.04992</c:v>
                </c:pt>
                <c:pt idx="9937">
                  <c:v>-20.934035</c:v>
                </c:pt>
                <c:pt idx="9938">
                  <c:v>-20.820439999999998</c:v>
                </c:pt>
                <c:pt idx="9939">
                  <c:v>-20.709105</c:v>
                </c:pt>
                <c:pt idx="9940">
                  <c:v>-20.59999999999998</c:v>
                </c:pt>
                <c:pt idx="9941">
                  <c:v>-20.493095</c:v>
                </c:pt>
                <c:pt idx="9942">
                  <c:v>-20.38835999999998</c:v>
                </c:pt>
                <c:pt idx="9943">
                  <c:v>-20.285765</c:v>
                </c:pt>
                <c:pt idx="9944">
                  <c:v>-20.18528</c:v>
                </c:pt>
                <c:pt idx="9945">
                  <c:v>-20.086875</c:v>
                </c:pt>
                <c:pt idx="9946">
                  <c:v>-19.99052</c:v>
                </c:pt>
                <c:pt idx="9947">
                  <c:v>-19.896185</c:v>
                </c:pt>
                <c:pt idx="9948">
                  <c:v>-19.803840000000022</c:v>
                </c:pt>
                <c:pt idx="9949">
                  <c:v>-19.713455</c:v>
                </c:pt>
                <c:pt idx="9950">
                  <c:v>-19.625</c:v>
                </c:pt>
                <c:pt idx="9951">
                  <c:v>-19.538445000000003</c:v>
                </c:pt>
                <c:pt idx="9952">
                  <c:v>-19.45375999999998</c:v>
                </c:pt>
                <c:pt idx="9953">
                  <c:v>-19.370915</c:v>
                </c:pt>
                <c:pt idx="9954">
                  <c:v>-19.28988</c:v>
                </c:pt>
                <c:pt idx="9955">
                  <c:v>-19.210625</c:v>
                </c:pt>
                <c:pt idx="9956">
                  <c:v>-19.133119999999998</c:v>
                </c:pt>
                <c:pt idx="9957">
                  <c:v>-19.057335000000002</c:v>
                </c:pt>
                <c:pt idx="9958">
                  <c:v>-18.98324</c:v>
                </c:pt>
                <c:pt idx="9959">
                  <c:v>-18.91080500000002</c:v>
                </c:pt>
                <c:pt idx="9960">
                  <c:v>-18.84</c:v>
                </c:pt>
                <c:pt idx="9961">
                  <c:v>-18.770795</c:v>
                </c:pt>
                <c:pt idx="9962">
                  <c:v>-18.70316</c:v>
                </c:pt>
                <c:pt idx="9963">
                  <c:v>-18.63706499999998</c:v>
                </c:pt>
                <c:pt idx="9964">
                  <c:v>-18.57248</c:v>
                </c:pt>
                <c:pt idx="9965">
                  <c:v>-18.50937500000002</c:v>
                </c:pt>
                <c:pt idx="9966">
                  <c:v>-18.44772</c:v>
                </c:pt>
                <c:pt idx="9967">
                  <c:v>-18.387484999999998</c:v>
                </c:pt>
                <c:pt idx="9968">
                  <c:v>-18.328639999999982</c:v>
                </c:pt>
                <c:pt idx="9969">
                  <c:v>-18.27115499999998</c:v>
                </c:pt>
                <c:pt idx="9970">
                  <c:v>-18.215</c:v>
                </c:pt>
                <c:pt idx="9971">
                  <c:v>-18.160145</c:v>
                </c:pt>
                <c:pt idx="9972">
                  <c:v>-18.10656000000002</c:v>
                </c:pt>
                <c:pt idx="9973">
                  <c:v>-18.054215</c:v>
                </c:pt>
                <c:pt idx="9974">
                  <c:v>-18.00308000000002</c:v>
                </c:pt>
                <c:pt idx="9975">
                  <c:v>-17.953125</c:v>
                </c:pt>
                <c:pt idx="9976">
                  <c:v>-17.90432</c:v>
                </c:pt>
                <c:pt idx="9977">
                  <c:v>-17.856635</c:v>
                </c:pt>
                <c:pt idx="9978">
                  <c:v>-17.81004</c:v>
                </c:pt>
                <c:pt idx="9979">
                  <c:v>-17.764505</c:v>
                </c:pt>
                <c:pt idx="9980">
                  <c:v>-17.72</c:v>
                </c:pt>
                <c:pt idx="9981">
                  <c:v>-17.676495</c:v>
                </c:pt>
                <c:pt idx="9982">
                  <c:v>-17.633960000000002</c:v>
                </c:pt>
                <c:pt idx="9983">
                  <c:v>-17.592365</c:v>
                </c:pt>
                <c:pt idx="9984">
                  <c:v>-17.55168</c:v>
                </c:pt>
                <c:pt idx="9985">
                  <c:v>-17.511875</c:v>
                </c:pt>
                <c:pt idx="9986">
                  <c:v>-17.47292</c:v>
                </c:pt>
                <c:pt idx="9987">
                  <c:v>-17.434784999999998</c:v>
                </c:pt>
                <c:pt idx="9988">
                  <c:v>-17.39744</c:v>
                </c:pt>
                <c:pt idx="9989">
                  <c:v>-17.360855</c:v>
                </c:pt>
                <c:pt idx="9990">
                  <c:v>-17.325</c:v>
                </c:pt>
                <c:pt idx="9991">
                  <c:v>-17.289845</c:v>
                </c:pt>
                <c:pt idx="9992">
                  <c:v>-17.25536</c:v>
                </c:pt>
                <c:pt idx="9993">
                  <c:v>-17.221515</c:v>
                </c:pt>
                <c:pt idx="9994">
                  <c:v>-17.18828</c:v>
                </c:pt>
                <c:pt idx="9995">
                  <c:v>-17.155625</c:v>
                </c:pt>
                <c:pt idx="9996">
                  <c:v>-17.12352</c:v>
                </c:pt>
                <c:pt idx="9997">
                  <c:v>-17.091934999999978</c:v>
                </c:pt>
                <c:pt idx="9998">
                  <c:v>-17.06084000000002</c:v>
                </c:pt>
                <c:pt idx="9999">
                  <c:v>-17.030205</c:v>
                </c:pt>
                <c:pt idx="10001">
                  <c:v>-16.970195</c:v>
                </c:pt>
                <c:pt idx="10002">
                  <c:v>-16.94076</c:v>
                </c:pt>
                <c:pt idx="10003">
                  <c:v>-16.911665</c:v>
                </c:pt>
                <c:pt idx="10004">
                  <c:v>-16.88288</c:v>
                </c:pt>
                <c:pt idx="10005">
                  <c:v>-16.854375</c:v>
                </c:pt>
                <c:pt idx="10006">
                  <c:v>-16.82612</c:v>
                </c:pt>
                <c:pt idx="10007">
                  <c:v>-16.798085</c:v>
                </c:pt>
                <c:pt idx="10008">
                  <c:v>-16.77024</c:v>
                </c:pt>
                <c:pt idx="10009">
                  <c:v>-16.742555</c:v>
                </c:pt>
                <c:pt idx="10010">
                  <c:v>-16.715</c:v>
                </c:pt>
                <c:pt idx="10011">
                  <c:v>-16.687545</c:v>
                </c:pt>
                <c:pt idx="10012">
                  <c:v>-16.66016</c:v>
                </c:pt>
                <c:pt idx="10013">
                  <c:v>-16.632815</c:v>
                </c:pt>
                <c:pt idx="10014">
                  <c:v>-16.60548</c:v>
                </c:pt>
                <c:pt idx="10015">
                  <c:v>-16.578125</c:v>
                </c:pt>
                <c:pt idx="10016">
                  <c:v>-16.55072</c:v>
                </c:pt>
                <c:pt idx="10017">
                  <c:v>-16.523235</c:v>
                </c:pt>
                <c:pt idx="10018">
                  <c:v>-16.49564</c:v>
                </c:pt>
                <c:pt idx="10019">
                  <c:v>-16.467905000000002</c:v>
                </c:pt>
                <c:pt idx="10020">
                  <c:v>-16.44</c:v>
                </c:pt>
                <c:pt idx="10021">
                  <c:v>-16.411895</c:v>
                </c:pt>
                <c:pt idx="10022">
                  <c:v>-16.38356</c:v>
                </c:pt>
                <c:pt idx="10023">
                  <c:v>-16.354965</c:v>
                </c:pt>
                <c:pt idx="10024">
                  <c:v>-16.32608</c:v>
                </c:pt>
                <c:pt idx="10025">
                  <c:v>-16.296875</c:v>
                </c:pt>
                <c:pt idx="10026">
                  <c:v>-16.26732</c:v>
                </c:pt>
                <c:pt idx="10027">
                  <c:v>-16.237384999999996</c:v>
                </c:pt>
                <c:pt idx="10028">
                  <c:v>-16.20704</c:v>
                </c:pt>
                <c:pt idx="10029">
                  <c:v>-16.176255</c:v>
                </c:pt>
                <c:pt idx="10030">
                  <c:v>-16.145</c:v>
                </c:pt>
                <c:pt idx="10031">
                  <c:v>-16.113245</c:v>
                </c:pt>
                <c:pt idx="10032">
                  <c:v>-16.08096</c:v>
                </c:pt>
                <c:pt idx="10033">
                  <c:v>-16.048115000000003</c:v>
                </c:pt>
                <c:pt idx="10034">
                  <c:v>-16.01468</c:v>
                </c:pt>
                <c:pt idx="10035">
                  <c:v>-15.980625000000003</c:v>
                </c:pt>
                <c:pt idx="10036">
                  <c:v>-15.945920000000001</c:v>
                </c:pt>
                <c:pt idx="10037">
                  <c:v>-15.910535</c:v>
                </c:pt>
                <c:pt idx="10038">
                  <c:v>-15.87444</c:v>
                </c:pt>
                <c:pt idx="10039">
                  <c:v>-15.837605</c:v>
                </c:pt>
                <c:pt idx="10040">
                  <c:v>-15.8</c:v>
                </c:pt>
                <c:pt idx="10041">
                  <c:v>-15.761595</c:v>
                </c:pt>
                <c:pt idx="10042">
                  <c:v>-15.72236</c:v>
                </c:pt>
                <c:pt idx="10043">
                  <c:v>-15.682264999999997</c:v>
                </c:pt>
                <c:pt idx="10044">
                  <c:v>-15.64128</c:v>
                </c:pt>
                <c:pt idx="10045">
                  <c:v>-15.599375</c:v>
                </c:pt>
                <c:pt idx="10046">
                  <c:v>-15.556519999999999</c:v>
                </c:pt>
                <c:pt idx="10047">
                  <c:v>-15.512684999999998</c:v>
                </c:pt>
                <c:pt idx="10048">
                  <c:v>-15.467839999999997</c:v>
                </c:pt>
                <c:pt idx="10049">
                  <c:v>-15.421955</c:v>
                </c:pt>
                <c:pt idx="10050">
                  <c:v>-15.375</c:v>
                </c:pt>
                <c:pt idx="10051">
                  <c:v>-15.326945000000002</c:v>
                </c:pt>
                <c:pt idx="10052">
                  <c:v>-15.27776</c:v>
                </c:pt>
                <c:pt idx="10053">
                  <c:v>-15.227415</c:v>
                </c:pt>
                <c:pt idx="10054">
                  <c:v>-15.175880000000003</c:v>
                </c:pt>
                <c:pt idx="10055">
                  <c:v>-15.123125</c:v>
                </c:pt>
                <c:pt idx="10056">
                  <c:v>-15.069119999999996</c:v>
                </c:pt>
                <c:pt idx="10057">
                  <c:v>-15.013834999999997</c:v>
                </c:pt>
                <c:pt idx="10058">
                  <c:v>-14.957240000000006</c:v>
                </c:pt>
                <c:pt idx="10059">
                  <c:v>-14.899305</c:v>
                </c:pt>
                <c:pt idx="10060">
                  <c:v>-14.84</c:v>
                </c:pt>
                <c:pt idx="10061">
                  <c:v>-14.779295000000001</c:v>
                </c:pt>
                <c:pt idx="10062">
                  <c:v>-14.71716</c:v>
                </c:pt>
                <c:pt idx="10063">
                  <c:v>-14.653565</c:v>
                </c:pt>
                <c:pt idx="10064">
                  <c:v>-14.58848</c:v>
                </c:pt>
                <c:pt idx="10065">
                  <c:v>-14.521875</c:v>
                </c:pt>
                <c:pt idx="10066">
                  <c:v>-14.45372</c:v>
                </c:pt>
                <c:pt idx="10067">
                  <c:v>-14.383985</c:v>
                </c:pt>
                <c:pt idx="10068">
                  <c:v>-14.31264</c:v>
                </c:pt>
                <c:pt idx="10069">
                  <c:v>-14.239654999999999</c:v>
                </c:pt>
                <c:pt idx="10070">
                  <c:v>-14.165</c:v>
                </c:pt>
                <c:pt idx="10071">
                  <c:v>-14.088645</c:v>
                </c:pt>
                <c:pt idx="10072">
                  <c:v>-14.01056</c:v>
                </c:pt>
                <c:pt idx="10073">
                  <c:v>-13.930715</c:v>
                </c:pt>
                <c:pt idx="10074">
                  <c:v>-13.84908</c:v>
                </c:pt>
                <c:pt idx="10075">
                  <c:v>-13.765625</c:v>
                </c:pt>
                <c:pt idx="10076">
                  <c:v>-13.68032</c:v>
                </c:pt>
                <c:pt idx="10077">
                  <c:v>-13.593135</c:v>
                </c:pt>
                <c:pt idx="10078">
                  <c:v>-13.50404</c:v>
                </c:pt>
                <c:pt idx="10079">
                  <c:v>-13.413005</c:v>
                </c:pt>
                <c:pt idx="10080">
                  <c:v>-13.319999999999979</c:v>
                </c:pt>
                <c:pt idx="10081">
                  <c:v>-13.224995</c:v>
                </c:pt>
                <c:pt idx="10082">
                  <c:v>-13.12796</c:v>
                </c:pt>
                <c:pt idx="10083">
                  <c:v>-13.028865</c:v>
                </c:pt>
                <c:pt idx="10084">
                  <c:v>-12.92768</c:v>
                </c:pt>
                <c:pt idx="10085">
                  <c:v>-12.824375</c:v>
                </c:pt>
                <c:pt idx="10086">
                  <c:v>-12.71892</c:v>
                </c:pt>
                <c:pt idx="10087">
                  <c:v>-12.611285</c:v>
                </c:pt>
                <c:pt idx="10088">
                  <c:v>-12.50144</c:v>
                </c:pt>
                <c:pt idx="10089">
                  <c:v>-12.389355</c:v>
                </c:pt>
                <c:pt idx="10090">
                  <c:v>-12.275</c:v>
                </c:pt>
                <c:pt idx="10091">
                  <c:v>-12.15834500000002</c:v>
                </c:pt>
                <c:pt idx="10092">
                  <c:v>-12.03936</c:v>
                </c:pt>
                <c:pt idx="10093">
                  <c:v>-11.91801500000002</c:v>
                </c:pt>
                <c:pt idx="10094">
                  <c:v>-11.79428</c:v>
                </c:pt>
                <c:pt idx="10095">
                  <c:v>-11.668125000000021</c:v>
                </c:pt>
                <c:pt idx="10096">
                  <c:v>-11.53951999999998</c:v>
                </c:pt>
                <c:pt idx="10097">
                  <c:v>-11.40843499999998</c:v>
                </c:pt>
                <c:pt idx="10098">
                  <c:v>-11.27483999999998</c:v>
                </c:pt>
                <c:pt idx="10099">
                  <c:v>-11.138705</c:v>
                </c:pt>
                <c:pt idx="10100">
                  <c:v>-11.0</c:v>
                </c:pt>
                <c:pt idx="10101">
                  <c:v>-10.858695</c:v>
                </c:pt>
                <c:pt idx="10102">
                  <c:v>-10.71476</c:v>
                </c:pt>
                <c:pt idx="10103">
                  <c:v>-10.56816500000002</c:v>
                </c:pt>
                <c:pt idx="10104">
                  <c:v>-10.41888000000002</c:v>
                </c:pt>
                <c:pt idx="10105">
                  <c:v>-10.26687499999996</c:v>
                </c:pt>
                <c:pt idx="10106">
                  <c:v>-10.11212</c:v>
                </c:pt>
                <c:pt idx="10107">
                  <c:v>-9.95458499999998</c:v>
                </c:pt>
                <c:pt idx="10108">
                  <c:v>-9.79424</c:v>
                </c:pt>
                <c:pt idx="10109">
                  <c:v>-9.631055</c:v>
                </c:pt>
                <c:pt idx="10110">
                  <c:v>-9.465</c:v>
                </c:pt>
                <c:pt idx="10111">
                  <c:v>-9.29604499999998</c:v>
                </c:pt>
                <c:pt idx="10112">
                  <c:v>-9.12415999999998</c:v>
                </c:pt>
                <c:pt idx="10113">
                  <c:v>-8.949314999999999</c:v>
                </c:pt>
                <c:pt idx="10114">
                  <c:v>-8.77148000000002</c:v>
                </c:pt>
                <c:pt idx="10115">
                  <c:v>-8.590625</c:v>
                </c:pt>
                <c:pt idx="10116">
                  <c:v>-8.40672000000002</c:v>
                </c:pt>
                <c:pt idx="10117">
                  <c:v>-8.21973500000002</c:v>
                </c:pt>
                <c:pt idx="10118">
                  <c:v>-8.02964</c:v>
                </c:pt>
                <c:pt idx="10119">
                  <c:v>-7.836405</c:v>
                </c:pt>
                <c:pt idx="10120">
                  <c:v>-7.640000000000001</c:v>
                </c:pt>
                <c:pt idx="10121">
                  <c:v>-7.440395</c:v>
                </c:pt>
                <c:pt idx="10122">
                  <c:v>-7.23756</c:v>
                </c:pt>
                <c:pt idx="10123">
                  <c:v>-7.031465</c:v>
                </c:pt>
                <c:pt idx="10124">
                  <c:v>-6.82208</c:v>
                </c:pt>
                <c:pt idx="10125">
                  <c:v>-6.609375</c:v>
                </c:pt>
                <c:pt idx="10126">
                  <c:v>-6.393319999999999</c:v>
                </c:pt>
                <c:pt idx="10127">
                  <c:v>-6.173885</c:v>
                </c:pt>
                <c:pt idx="10128">
                  <c:v>-5.951040000000001</c:v>
                </c:pt>
                <c:pt idx="10129">
                  <c:v>-5.724755</c:v>
                </c:pt>
                <c:pt idx="10130">
                  <c:v>-5.4950000000000205</c:v>
                </c:pt>
                <c:pt idx="10131">
                  <c:v>-5.2617449999999995</c:v>
                </c:pt>
                <c:pt idx="10132">
                  <c:v>-5.0249599999999806</c:v>
                </c:pt>
                <c:pt idx="10133">
                  <c:v>-4.784615</c:v>
                </c:pt>
                <c:pt idx="10134">
                  <c:v>-4.5406799999999805</c:v>
                </c:pt>
                <c:pt idx="10135">
                  <c:v>-4.293125</c:v>
                </c:pt>
                <c:pt idx="10136">
                  <c:v>-4.04192</c:v>
                </c:pt>
                <c:pt idx="10137">
                  <c:v>-3.7870350000000004</c:v>
                </c:pt>
                <c:pt idx="10138">
                  <c:v>-3.52844</c:v>
                </c:pt>
                <c:pt idx="10139">
                  <c:v>-3.266105</c:v>
                </c:pt>
                <c:pt idx="10140">
                  <c:v>-2.99999999999998</c:v>
                </c:pt>
                <c:pt idx="10141">
                  <c:v>-2.7300949999999804</c:v>
                </c:pt>
                <c:pt idx="10142">
                  <c:v>-2.4563600000000005</c:v>
                </c:pt>
                <c:pt idx="10143">
                  <c:v>-2.1787650000000207</c:v>
                </c:pt>
                <c:pt idx="10144">
                  <c:v>-1.8972800000000198</c:v>
                </c:pt>
                <c:pt idx="10145">
                  <c:v>-1.61187499999998</c:v>
                </c:pt>
                <c:pt idx="10146">
                  <c:v>-1.3225200000000203</c:v>
                </c:pt>
                <c:pt idx="10147">
                  <c:v>-1.0291850000000191</c:v>
                </c:pt>
                <c:pt idx="10148">
                  <c:v>-0.7318399999999796</c:v>
                </c:pt>
                <c:pt idx="10149">
                  <c:v>-0.43045500000003933</c:v>
                </c:pt>
                <c:pt idx="10150">
                  <c:v>-0.12499999999998046</c:v>
                </c:pt>
                <c:pt idx="10151">
                  <c:v>0.18455499999998004</c:v>
                </c:pt>
                <c:pt idx="10152">
                  <c:v>0.49823999999996005</c:v>
                </c:pt>
                <c:pt idx="10153">
                  <c:v>0.8160850000000197</c:v>
                </c:pt>
                <c:pt idx="10154">
                  <c:v>1.138119999999959</c:v>
                </c:pt>
                <c:pt idx="10155">
                  <c:v>1.464374999999979</c:v>
                </c:pt>
                <c:pt idx="10156">
                  <c:v>1.794880000000001</c:v>
                </c:pt>
                <c:pt idx="10157">
                  <c:v>2.1296649999999797</c:v>
                </c:pt>
                <c:pt idx="10158">
                  <c:v>2.4687599999999605</c:v>
                </c:pt>
                <c:pt idx="10159">
                  <c:v>2.812194999999961</c:v>
                </c:pt>
                <c:pt idx="10160">
                  <c:v>3.1599999999999806</c:v>
                </c:pt>
                <c:pt idx="10161">
                  <c:v>3.512205</c:v>
                </c:pt>
                <c:pt idx="10162">
                  <c:v>3.8688399999999596</c:v>
                </c:pt>
                <c:pt idx="10163">
                  <c:v>4.22993500000004</c:v>
                </c:pt>
                <c:pt idx="10164">
                  <c:v>4.595519999999961</c:v>
                </c:pt>
                <c:pt idx="10165">
                  <c:v>4.965624999999999</c:v>
                </c:pt>
                <c:pt idx="10166">
                  <c:v>5.34028</c:v>
                </c:pt>
                <c:pt idx="10167">
                  <c:v>5.7195149999999995</c:v>
                </c:pt>
                <c:pt idx="10168">
                  <c:v>6.10336</c:v>
                </c:pt>
                <c:pt idx="10169">
                  <c:v>6.491845000000001</c:v>
                </c:pt>
                <c:pt idx="10170">
                  <c:v>6.885</c:v>
                </c:pt>
                <c:pt idx="10171">
                  <c:v>7.282855000000001</c:v>
                </c:pt>
                <c:pt idx="10172">
                  <c:v>7.68544</c:v>
                </c:pt>
                <c:pt idx="10173">
                  <c:v>8.092785</c:v>
                </c:pt>
                <c:pt idx="10174">
                  <c:v>8.50492</c:v>
                </c:pt>
                <c:pt idx="10175">
                  <c:v>8.921875</c:v>
                </c:pt>
                <c:pt idx="10176">
                  <c:v>9.34368</c:v>
                </c:pt>
                <c:pt idx="10177">
                  <c:v>9.770365</c:v>
                </c:pt>
                <c:pt idx="10178">
                  <c:v>10.20196</c:v>
                </c:pt>
                <c:pt idx="10179">
                  <c:v>10.638494999999999</c:v>
                </c:pt>
                <c:pt idx="10180">
                  <c:v>11.079999999999998</c:v>
                </c:pt>
                <c:pt idx="10181">
                  <c:v>11.526505</c:v>
                </c:pt>
                <c:pt idx="10182">
                  <c:v>11.97804</c:v>
                </c:pt>
                <c:pt idx="10183">
                  <c:v>12.434635</c:v>
                </c:pt>
                <c:pt idx="10184">
                  <c:v>12.89632</c:v>
                </c:pt>
                <c:pt idx="10185">
                  <c:v>13.363124999999997</c:v>
                </c:pt>
                <c:pt idx="10186">
                  <c:v>13.835079999999998</c:v>
                </c:pt>
                <c:pt idx="10187">
                  <c:v>14.312215000000002</c:v>
                </c:pt>
                <c:pt idx="10188">
                  <c:v>14.79456</c:v>
                </c:pt>
                <c:pt idx="10189">
                  <c:v>15.282145</c:v>
                </c:pt>
                <c:pt idx="10190">
                  <c:v>15.774999999999999</c:v>
                </c:pt>
                <c:pt idx="10191">
                  <c:v>16.273155</c:v>
                </c:pt>
                <c:pt idx="10192">
                  <c:v>16.77664</c:v>
                </c:pt>
                <c:pt idx="10193">
                  <c:v>17.285485</c:v>
                </c:pt>
                <c:pt idx="10194">
                  <c:v>17.79972</c:v>
                </c:pt>
                <c:pt idx="10195">
                  <c:v>18.319375</c:v>
                </c:pt>
                <c:pt idx="10196">
                  <c:v>18.844479999999997</c:v>
                </c:pt>
                <c:pt idx="10197">
                  <c:v>19.375065</c:v>
                </c:pt>
                <c:pt idx="10198">
                  <c:v>19.91116</c:v>
                </c:pt>
                <c:pt idx="10199">
                  <c:v>20.452795000000002</c:v>
                </c:pt>
                <c:pt idx="10200">
                  <c:v>21.0</c:v>
                </c:pt>
                <c:pt idx="10201">
                  <c:v>21.552805</c:v>
                </c:pt>
                <c:pt idx="10202">
                  <c:v>22.11124</c:v>
                </c:pt>
                <c:pt idx="10203">
                  <c:v>22.675335000000004</c:v>
                </c:pt>
                <c:pt idx="10204">
                  <c:v>23.24512</c:v>
                </c:pt>
                <c:pt idx="10205">
                  <c:v>23.820625</c:v>
                </c:pt>
                <c:pt idx="10206">
                  <c:v>24.40188</c:v>
                </c:pt>
                <c:pt idx="10207">
                  <c:v>24.988915</c:v>
                </c:pt>
                <c:pt idx="10208">
                  <c:v>25.58176</c:v>
                </c:pt>
                <c:pt idx="10209">
                  <c:v>26.180445</c:v>
                </c:pt>
                <c:pt idx="10210">
                  <c:v>26.785000000000004</c:v>
                </c:pt>
                <c:pt idx="10211">
                  <c:v>27.395455</c:v>
                </c:pt>
                <c:pt idx="10212">
                  <c:v>28.01184</c:v>
                </c:pt>
                <c:pt idx="10213">
                  <c:v>28.634185000000002</c:v>
                </c:pt>
                <c:pt idx="10214">
                  <c:v>29.262520000000002</c:v>
                </c:pt>
                <c:pt idx="10215">
                  <c:v>29.896875</c:v>
                </c:pt>
                <c:pt idx="10216">
                  <c:v>30.537279999999996</c:v>
                </c:pt>
                <c:pt idx="10217">
                  <c:v>31.183765</c:v>
                </c:pt>
                <c:pt idx="10218">
                  <c:v>31.83636</c:v>
                </c:pt>
                <c:pt idx="10219">
                  <c:v>32.495095</c:v>
                </c:pt>
                <c:pt idx="10220">
                  <c:v>33.16</c:v>
                </c:pt>
                <c:pt idx="10221">
                  <c:v>33.831105</c:v>
                </c:pt>
                <c:pt idx="10222">
                  <c:v>34.50844</c:v>
                </c:pt>
                <c:pt idx="10223">
                  <c:v>35.192035000000004</c:v>
                </c:pt>
                <c:pt idx="10224">
                  <c:v>35.88192</c:v>
                </c:pt>
                <c:pt idx="10225">
                  <c:v>36.578125</c:v>
                </c:pt>
                <c:pt idx="10226">
                  <c:v>37.280680000000004</c:v>
                </c:pt>
                <c:pt idx="10227">
                  <c:v>37.989615</c:v>
                </c:pt>
                <c:pt idx="10228">
                  <c:v>38.70496</c:v>
                </c:pt>
                <c:pt idx="10229">
                  <c:v>39.426745</c:v>
                </c:pt>
                <c:pt idx="10230">
                  <c:v>40.155</c:v>
                </c:pt>
                <c:pt idx="10231">
                  <c:v>40.889755</c:v>
                </c:pt>
                <c:pt idx="10232">
                  <c:v>41.63104</c:v>
                </c:pt>
                <c:pt idx="10233">
                  <c:v>42.378885</c:v>
                </c:pt>
                <c:pt idx="10234">
                  <c:v>43.13332</c:v>
                </c:pt>
                <c:pt idx="10235">
                  <c:v>43.894375000000004</c:v>
                </c:pt>
                <c:pt idx="10236">
                  <c:v>44.66208</c:v>
                </c:pt>
                <c:pt idx="10237">
                  <c:v>45.436465</c:v>
                </c:pt>
                <c:pt idx="10238">
                  <c:v>46.217560000000006</c:v>
                </c:pt>
                <c:pt idx="10239">
                  <c:v>47.005395</c:v>
                </c:pt>
                <c:pt idx="10240">
                  <c:v>47.8</c:v>
                </c:pt>
                <c:pt idx="10241">
                  <c:v>48.601405</c:v>
                </c:pt>
                <c:pt idx="10242">
                  <c:v>49.40964</c:v>
                </c:pt>
                <c:pt idx="10243">
                  <c:v>50.224735</c:v>
                </c:pt>
                <c:pt idx="10244">
                  <c:v>51.04672</c:v>
                </c:pt>
                <c:pt idx="10245">
                  <c:v>51.8756250000001</c:v>
                </c:pt>
                <c:pt idx="10246">
                  <c:v>52.711479999999995</c:v>
                </c:pt>
                <c:pt idx="10247">
                  <c:v>53.554315</c:v>
                </c:pt>
                <c:pt idx="10248">
                  <c:v>54.404160000000005</c:v>
                </c:pt>
                <c:pt idx="10249">
                  <c:v>55.261044999999996</c:v>
                </c:pt>
                <c:pt idx="10250">
                  <c:v>56.125</c:v>
                </c:pt>
                <c:pt idx="10251">
                  <c:v>56.996055</c:v>
                </c:pt>
                <c:pt idx="10252">
                  <c:v>57.8742399999998</c:v>
                </c:pt>
                <c:pt idx="10253">
                  <c:v>58.759585</c:v>
                </c:pt>
                <c:pt idx="10254">
                  <c:v>59.65212</c:v>
                </c:pt>
                <c:pt idx="10255">
                  <c:v>60.551874999999995</c:v>
                </c:pt>
                <c:pt idx="10256">
                  <c:v>61.45887999999999</c:v>
                </c:pt>
                <c:pt idx="10257">
                  <c:v>62.373165</c:v>
                </c:pt>
                <c:pt idx="10258">
                  <c:v>63.29476</c:v>
                </c:pt>
                <c:pt idx="10259">
                  <c:v>64.223695</c:v>
                </c:pt>
                <c:pt idx="10260">
                  <c:v>65.16</c:v>
                </c:pt>
                <c:pt idx="10261">
                  <c:v>66.10370499999999</c:v>
                </c:pt>
                <c:pt idx="10262">
                  <c:v>67.0548399999998</c:v>
                </c:pt>
                <c:pt idx="10263">
                  <c:v>68.013435</c:v>
                </c:pt>
                <c:pt idx="10264">
                  <c:v>68.97952</c:v>
                </c:pt>
                <c:pt idx="10265">
                  <c:v>69.953125</c:v>
                </c:pt>
                <c:pt idx="10266">
                  <c:v>70.93428</c:v>
                </c:pt>
                <c:pt idx="10267">
                  <c:v>71.92301499999999</c:v>
                </c:pt>
                <c:pt idx="10268">
                  <c:v>72.91936000000001</c:v>
                </c:pt>
                <c:pt idx="10269">
                  <c:v>73.923345</c:v>
                </c:pt>
                <c:pt idx="10270">
                  <c:v>74.935</c:v>
                </c:pt>
                <c:pt idx="10271">
                  <c:v>75.95435499999999</c:v>
                </c:pt>
                <c:pt idx="10272">
                  <c:v>76.98143999999999</c:v>
                </c:pt>
                <c:pt idx="10273">
                  <c:v>78.016285</c:v>
                </c:pt>
                <c:pt idx="10274">
                  <c:v>79.0589199999998</c:v>
                </c:pt>
                <c:pt idx="10275">
                  <c:v>80.109375</c:v>
                </c:pt>
                <c:pt idx="10276">
                  <c:v>81.16768</c:v>
                </c:pt>
                <c:pt idx="10277">
                  <c:v>82.23386500000021</c:v>
                </c:pt>
                <c:pt idx="10278">
                  <c:v>83.30796000000001</c:v>
                </c:pt>
                <c:pt idx="10279">
                  <c:v>84.389995</c:v>
                </c:pt>
                <c:pt idx="10280">
                  <c:v>85.47999999999999</c:v>
                </c:pt>
                <c:pt idx="10281">
                  <c:v>86.578005</c:v>
                </c:pt>
                <c:pt idx="10282">
                  <c:v>87.68404000000021</c:v>
                </c:pt>
                <c:pt idx="10283">
                  <c:v>88.798135</c:v>
                </c:pt>
                <c:pt idx="10284">
                  <c:v>89.92032</c:v>
                </c:pt>
                <c:pt idx="10285">
                  <c:v>91.050625</c:v>
                </c:pt>
                <c:pt idx="10286">
                  <c:v>92.18908</c:v>
                </c:pt>
                <c:pt idx="10287">
                  <c:v>93.33571499999981</c:v>
                </c:pt>
                <c:pt idx="10288">
                  <c:v>94.49056</c:v>
                </c:pt>
                <c:pt idx="10289">
                  <c:v>95.653645</c:v>
                </c:pt>
                <c:pt idx="10290">
                  <c:v>96.825</c:v>
                </c:pt>
                <c:pt idx="10291">
                  <c:v>98.004655</c:v>
                </c:pt>
                <c:pt idx="10292">
                  <c:v>99.19264</c:v>
                </c:pt>
                <c:pt idx="10293">
                  <c:v>100.38898499999999</c:v>
                </c:pt>
                <c:pt idx="10294">
                  <c:v>101.5937200000002</c:v>
                </c:pt>
                <c:pt idx="10295">
                  <c:v>102.806875</c:v>
                </c:pt>
                <c:pt idx="10296">
                  <c:v>104.02848</c:v>
                </c:pt>
                <c:pt idx="10297">
                  <c:v>105.2585649999998</c:v>
                </c:pt>
                <c:pt idx="10298">
                  <c:v>106.49716000000001</c:v>
                </c:pt>
                <c:pt idx="10299">
                  <c:v>107.74429500000019</c:v>
                </c:pt>
                <c:pt idx="10300">
                  <c:v>109.0000000000002</c:v>
                </c:pt>
                <c:pt idx="10301">
                  <c:v>110.26430500000001</c:v>
                </c:pt>
                <c:pt idx="10302">
                  <c:v>111.53724</c:v>
                </c:pt>
                <c:pt idx="10303">
                  <c:v>112.818835</c:v>
                </c:pt>
                <c:pt idx="10304">
                  <c:v>114.10911999999979</c:v>
                </c:pt>
                <c:pt idx="10305">
                  <c:v>115.40812499999981</c:v>
                </c:pt>
                <c:pt idx="10306">
                  <c:v>116.71588</c:v>
                </c:pt>
                <c:pt idx="10307">
                  <c:v>118.032415</c:v>
                </c:pt>
                <c:pt idx="10308">
                  <c:v>119.35776</c:v>
                </c:pt>
                <c:pt idx="10309">
                  <c:v>120.69194499999999</c:v>
                </c:pt>
                <c:pt idx="10310">
                  <c:v>122.03500000000001</c:v>
                </c:pt>
                <c:pt idx="10311">
                  <c:v>123.386955</c:v>
                </c:pt>
                <c:pt idx="10312">
                  <c:v>124.74784</c:v>
                </c:pt>
                <c:pt idx="10313">
                  <c:v>126.1176850000002</c:v>
                </c:pt>
                <c:pt idx="10314">
                  <c:v>127.49652</c:v>
                </c:pt>
                <c:pt idx="10315">
                  <c:v>128.884375</c:v>
                </c:pt>
                <c:pt idx="10316">
                  <c:v>130.28128</c:v>
                </c:pt>
                <c:pt idx="10317">
                  <c:v>131.687265</c:v>
                </c:pt>
                <c:pt idx="10318">
                  <c:v>133.10236</c:v>
                </c:pt>
                <c:pt idx="10319">
                  <c:v>134.526595</c:v>
                </c:pt>
                <c:pt idx="10320">
                  <c:v>135.96</c:v>
                </c:pt>
                <c:pt idx="10321">
                  <c:v>137.402605</c:v>
                </c:pt>
                <c:pt idx="10322">
                  <c:v>138.85444</c:v>
                </c:pt>
                <c:pt idx="10323">
                  <c:v>140.3155349999998</c:v>
                </c:pt>
                <c:pt idx="10324">
                  <c:v>141.78592</c:v>
                </c:pt>
                <c:pt idx="10325">
                  <c:v>143.2656249999998</c:v>
                </c:pt>
                <c:pt idx="10326">
                  <c:v>144.75468</c:v>
                </c:pt>
                <c:pt idx="10327">
                  <c:v>146.253115</c:v>
                </c:pt>
                <c:pt idx="10328">
                  <c:v>147.76096</c:v>
                </c:pt>
                <c:pt idx="10329">
                  <c:v>149.278245</c:v>
                </c:pt>
                <c:pt idx="10330">
                  <c:v>150.805</c:v>
                </c:pt>
                <c:pt idx="10331">
                  <c:v>152.341255</c:v>
                </c:pt>
                <c:pt idx="10332">
                  <c:v>153.8870400000002</c:v>
                </c:pt>
                <c:pt idx="10333">
                  <c:v>155.442385</c:v>
                </c:pt>
                <c:pt idx="10334">
                  <c:v>157.00732</c:v>
                </c:pt>
                <c:pt idx="10335">
                  <c:v>158.5818750000002</c:v>
                </c:pt>
                <c:pt idx="10336">
                  <c:v>160.16608000000002</c:v>
                </c:pt>
                <c:pt idx="10337">
                  <c:v>161.75996500000022</c:v>
                </c:pt>
                <c:pt idx="10338">
                  <c:v>163.36356</c:v>
                </c:pt>
                <c:pt idx="10339">
                  <c:v>164.9768949999998</c:v>
                </c:pt>
                <c:pt idx="10340">
                  <c:v>166.6</c:v>
                </c:pt>
                <c:pt idx="10341">
                  <c:v>168.232905</c:v>
                </c:pt>
                <c:pt idx="10342">
                  <c:v>169.87564</c:v>
                </c:pt>
                <c:pt idx="10343">
                  <c:v>171.5282350000002</c:v>
                </c:pt>
                <c:pt idx="10344">
                  <c:v>173.19072</c:v>
                </c:pt>
                <c:pt idx="10345">
                  <c:v>174.8631249999998</c:v>
                </c:pt>
                <c:pt idx="10346">
                  <c:v>176.5454800000002</c:v>
                </c:pt>
                <c:pt idx="10347">
                  <c:v>178.237815</c:v>
                </c:pt>
                <c:pt idx="10348">
                  <c:v>179.94015999999982</c:v>
                </c:pt>
                <c:pt idx="10349">
                  <c:v>181.6525449999998</c:v>
                </c:pt>
                <c:pt idx="10350">
                  <c:v>183.375</c:v>
                </c:pt>
                <c:pt idx="10351">
                  <c:v>185.107555</c:v>
                </c:pt>
                <c:pt idx="10352">
                  <c:v>186.8502400000002</c:v>
                </c:pt>
                <c:pt idx="10353">
                  <c:v>188.603085</c:v>
                </c:pt>
                <c:pt idx="10354">
                  <c:v>190.36612</c:v>
                </c:pt>
                <c:pt idx="10355">
                  <c:v>192.139375</c:v>
                </c:pt>
                <c:pt idx="10356">
                  <c:v>193.92288</c:v>
                </c:pt>
                <c:pt idx="10357">
                  <c:v>195.7166650000002</c:v>
                </c:pt>
                <c:pt idx="10358">
                  <c:v>197.5207600000002</c:v>
                </c:pt>
                <c:pt idx="10359">
                  <c:v>199.3351949999998</c:v>
                </c:pt>
                <c:pt idx="10360">
                  <c:v>201.16</c:v>
                </c:pt>
                <c:pt idx="10361">
                  <c:v>202.995205</c:v>
                </c:pt>
                <c:pt idx="10362">
                  <c:v>204.84084000000001</c:v>
                </c:pt>
                <c:pt idx="10363">
                  <c:v>206.6969349999998</c:v>
                </c:pt>
                <c:pt idx="10364">
                  <c:v>208.56352</c:v>
                </c:pt>
                <c:pt idx="10365">
                  <c:v>210.4406250000002</c:v>
                </c:pt>
                <c:pt idx="10366">
                  <c:v>212.32827999999998</c:v>
                </c:pt>
                <c:pt idx="10367">
                  <c:v>214.22651499999978</c:v>
                </c:pt>
                <c:pt idx="10368">
                  <c:v>216.1353599999998</c:v>
                </c:pt>
                <c:pt idx="10369">
                  <c:v>218.054845</c:v>
                </c:pt>
                <c:pt idx="10370">
                  <c:v>219.985</c:v>
                </c:pt>
                <c:pt idx="10371">
                  <c:v>221.9258550000002</c:v>
                </c:pt>
                <c:pt idx="10372">
                  <c:v>223.87744</c:v>
                </c:pt>
                <c:pt idx="10373">
                  <c:v>225.8397850000002</c:v>
                </c:pt>
                <c:pt idx="10374">
                  <c:v>227.81291999999982</c:v>
                </c:pt>
                <c:pt idx="10375">
                  <c:v>229.796875</c:v>
                </c:pt>
                <c:pt idx="10376">
                  <c:v>231.79167999999981</c:v>
                </c:pt>
                <c:pt idx="10377">
                  <c:v>233.79736499999999</c:v>
                </c:pt>
                <c:pt idx="10378">
                  <c:v>235.81396</c:v>
                </c:pt>
                <c:pt idx="10379">
                  <c:v>237.8414949999996</c:v>
                </c:pt>
                <c:pt idx="10380">
                  <c:v>239.88</c:v>
                </c:pt>
                <c:pt idx="10381">
                  <c:v>241.9295049999998</c:v>
                </c:pt>
                <c:pt idx="10382">
                  <c:v>243.99004</c:v>
                </c:pt>
                <c:pt idx="10383">
                  <c:v>246.061635</c:v>
                </c:pt>
                <c:pt idx="10384">
                  <c:v>248.14432</c:v>
                </c:pt>
                <c:pt idx="10385">
                  <c:v>250.2381249999998</c:v>
                </c:pt>
                <c:pt idx="10386">
                  <c:v>252.3430800000002</c:v>
                </c:pt>
                <c:pt idx="10387">
                  <c:v>254.4592149999998</c:v>
                </c:pt>
                <c:pt idx="10388">
                  <c:v>256.5865599999998</c:v>
                </c:pt>
                <c:pt idx="10389">
                  <c:v>258.725145</c:v>
                </c:pt>
                <c:pt idx="10390">
                  <c:v>260.875</c:v>
                </c:pt>
                <c:pt idx="10391">
                  <c:v>263.036155</c:v>
                </c:pt>
                <c:pt idx="10392">
                  <c:v>265.2086400000002</c:v>
                </c:pt>
                <c:pt idx="10393">
                  <c:v>267.3924849999998</c:v>
                </c:pt>
                <c:pt idx="10394">
                  <c:v>269.5877199999998</c:v>
                </c:pt>
                <c:pt idx="10395">
                  <c:v>271.79437499999983</c:v>
                </c:pt>
                <c:pt idx="10396">
                  <c:v>274.01248</c:v>
                </c:pt>
                <c:pt idx="10397">
                  <c:v>276.2420650000002</c:v>
                </c:pt>
                <c:pt idx="10398">
                  <c:v>278.4831599999998</c:v>
                </c:pt>
                <c:pt idx="10399">
                  <c:v>280.735795</c:v>
                </c:pt>
                <c:pt idx="10400">
                  <c:v>283.0</c:v>
                </c:pt>
                <c:pt idx="10401">
                  <c:v>285.2758049999996</c:v>
                </c:pt>
                <c:pt idx="10402">
                  <c:v>287.5632400000002</c:v>
                </c:pt>
                <c:pt idx="10403">
                  <c:v>289.8623349999998</c:v>
                </c:pt>
                <c:pt idx="10404">
                  <c:v>292.17312</c:v>
                </c:pt>
                <c:pt idx="10405">
                  <c:v>294.495625</c:v>
                </c:pt>
                <c:pt idx="10406">
                  <c:v>296.82988</c:v>
                </c:pt>
                <c:pt idx="10407">
                  <c:v>299.1759149999998</c:v>
                </c:pt>
                <c:pt idx="10408">
                  <c:v>301.5337599999996</c:v>
                </c:pt>
                <c:pt idx="10409">
                  <c:v>303.9034450000002</c:v>
                </c:pt>
                <c:pt idx="10410">
                  <c:v>306.28500000000037</c:v>
                </c:pt>
                <c:pt idx="10411">
                  <c:v>308.67845499999976</c:v>
                </c:pt>
                <c:pt idx="10412">
                  <c:v>311.08383999999955</c:v>
                </c:pt>
                <c:pt idx="10413">
                  <c:v>313.5011850000002</c:v>
                </c:pt>
                <c:pt idx="10414">
                  <c:v>315.9305200000002</c:v>
                </c:pt>
                <c:pt idx="10415">
                  <c:v>318.37187500000016</c:v>
                </c:pt>
                <c:pt idx="10416">
                  <c:v>320.82528000000036</c:v>
                </c:pt>
                <c:pt idx="10417">
                  <c:v>323.2907649999998</c:v>
                </c:pt>
                <c:pt idx="10418">
                  <c:v>325.7683599999998</c:v>
                </c:pt>
                <c:pt idx="10419">
                  <c:v>328.2580950000002</c:v>
                </c:pt>
                <c:pt idx="10420">
                  <c:v>330.7599999999998</c:v>
                </c:pt>
                <c:pt idx="10421">
                  <c:v>333.274105</c:v>
                </c:pt>
                <c:pt idx="10422">
                  <c:v>335.80044</c:v>
                </c:pt>
                <c:pt idx="10423">
                  <c:v>338.339035</c:v>
                </c:pt>
                <c:pt idx="10424">
                  <c:v>340.88991999999996</c:v>
                </c:pt>
                <c:pt idx="10425">
                  <c:v>343.453125</c:v>
                </c:pt>
                <c:pt idx="10426">
                  <c:v>346.02868</c:v>
                </c:pt>
                <c:pt idx="10427">
                  <c:v>348.6166149999998</c:v>
                </c:pt>
                <c:pt idx="10428">
                  <c:v>351.21695999999974</c:v>
                </c:pt>
                <c:pt idx="10429">
                  <c:v>353.8297449999998</c:v>
                </c:pt>
                <c:pt idx="10430">
                  <c:v>356.455</c:v>
                </c:pt>
                <c:pt idx="10431">
                  <c:v>359.092755</c:v>
                </c:pt>
                <c:pt idx="10432">
                  <c:v>361.7430399999998</c:v>
                </c:pt>
                <c:pt idx="10433">
                  <c:v>364.4058849999998</c:v>
                </c:pt>
                <c:pt idx="10434">
                  <c:v>367.0813200000002</c:v>
                </c:pt>
                <c:pt idx="10435">
                  <c:v>369.769375</c:v>
                </c:pt>
                <c:pt idx="10436">
                  <c:v>372.47007999999977</c:v>
                </c:pt>
                <c:pt idx="10437">
                  <c:v>375.18346499999996</c:v>
                </c:pt>
                <c:pt idx="10438">
                  <c:v>377.90956</c:v>
                </c:pt>
                <c:pt idx="10439">
                  <c:v>380.648395</c:v>
                </c:pt>
                <c:pt idx="10440">
                  <c:v>383.4</c:v>
                </c:pt>
                <c:pt idx="10441">
                  <c:v>386.164405</c:v>
                </c:pt>
                <c:pt idx="10442">
                  <c:v>388.94163999999984</c:v>
                </c:pt>
                <c:pt idx="10443">
                  <c:v>391.7317350000002</c:v>
                </c:pt>
                <c:pt idx="10444">
                  <c:v>394.53472</c:v>
                </c:pt>
                <c:pt idx="10445">
                  <c:v>397.35062500000004</c:v>
                </c:pt>
                <c:pt idx="10446">
                  <c:v>400.17948000000024</c:v>
                </c:pt>
                <c:pt idx="10447">
                  <c:v>403.0213149999998</c:v>
                </c:pt>
                <c:pt idx="10448">
                  <c:v>405.87616</c:v>
                </c:pt>
                <c:pt idx="10449">
                  <c:v>408.74404499999997</c:v>
                </c:pt>
                <c:pt idx="10450">
                  <c:v>411.625</c:v>
                </c:pt>
                <c:pt idx="10451">
                  <c:v>414.5190549999998</c:v>
                </c:pt>
                <c:pt idx="10452">
                  <c:v>417.4262399999998</c:v>
                </c:pt>
                <c:pt idx="10453">
                  <c:v>420.346585</c:v>
                </c:pt>
                <c:pt idx="10454">
                  <c:v>423.28011999999984</c:v>
                </c:pt>
                <c:pt idx="10455">
                  <c:v>426.226875</c:v>
                </c:pt>
                <c:pt idx="10456">
                  <c:v>429.1868800000002</c:v>
                </c:pt>
                <c:pt idx="10457">
                  <c:v>432.160165</c:v>
                </c:pt>
                <c:pt idx="10458">
                  <c:v>435.14676000000003</c:v>
                </c:pt>
                <c:pt idx="10459">
                  <c:v>438.1466950000002</c:v>
                </c:pt>
                <c:pt idx="10460">
                  <c:v>441.15999999999997</c:v>
                </c:pt>
                <c:pt idx="10461">
                  <c:v>444.1867049999998</c:v>
                </c:pt>
                <c:pt idx="10462">
                  <c:v>447.2268400000002</c:v>
                </c:pt>
                <c:pt idx="10463">
                  <c:v>450.280435</c:v>
                </c:pt>
                <c:pt idx="10464">
                  <c:v>453.34752</c:v>
                </c:pt>
                <c:pt idx="10465">
                  <c:v>456.428125</c:v>
                </c:pt>
                <c:pt idx="10466">
                  <c:v>459.52227999999997</c:v>
                </c:pt>
                <c:pt idx="10467">
                  <c:v>462.630015</c:v>
                </c:pt>
                <c:pt idx="10468">
                  <c:v>465.75136</c:v>
                </c:pt>
                <c:pt idx="10469">
                  <c:v>468.886345</c:v>
                </c:pt>
                <c:pt idx="10470">
                  <c:v>472.035</c:v>
                </c:pt>
                <c:pt idx="10471">
                  <c:v>475.19735499999996</c:v>
                </c:pt>
                <c:pt idx="10472">
                  <c:v>478.37344</c:v>
                </c:pt>
                <c:pt idx="10473">
                  <c:v>481.56328499999984</c:v>
                </c:pt>
                <c:pt idx="10474">
                  <c:v>484.7669199999998</c:v>
                </c:pt>
                <c:pt idx="10475">
                  <c:v>487.9843749999998</c:v>
                </c:pt>
                <c:pt idx="10476">
                  <c:v>491.2156799999998</c:v>
                </c:pt>
                <c:pt idx="10477">
                  <c:v>494.460865</c:v>
                </c:pt>
                <c:pt idx="10478">
                  <c:v>497.71996</c:v>
                </c:pt>
                <c:pt idx="10479">
                  <c:v>500.992995</c:v>
                </c:pt>
                <c:pt idx="10480">
                  <c:v>504.2799999999998</c:v>
                </c:pt>
                <c:pt idx="10481">
                  <c:v>507.5810049999998</c:v>
                </c:pt>
                <c:pt idx="10482">
                  <c:v>510.8960400000002</c:v>
                </c:pt>
                <c:pt idx="10483">
                  <c:v>514.2251349999998</c:v>
                </c:pt>
                <c:pt idx="10484">
                  <c:v>517.5683199999999</c:v>
                </c:pt>
                <c:pt idx="10485">
                  <c:v>520.925625</c:v>
                </c:pt>
                <c:pt idx="10486">
                  <c:v>524.29708</c:v>
                </c:pt>
                <c:pt idx="10487">
                  <c:v>527.6827150000001</c:v>
                </c:pt>
                <c:pt idx="10488">
                  <c:v>531.0825600000001</c:v>
                </c:pt>
                <c:pt idx="10489">
                  <c:v>534.4966449999997</c:v>
                </c:pt>
                <c:pt idx="10490">
                  <c:v>537.925</c:v>
                </c:pt>
                <c:pt idx="10491">
                  <c:v>541.3676549999998</c:v>
                </c:pt>
                <c:pt idx="10492">
                  <c:v>544.8246400000002</c:v>
                </c:pt>
                <c:pt idx="10493">
                  <c:v>548.2959849999997</c:v>
                </c:pt>
                <c:pt idx="10494">
                  <c:v>551.7817199999998</c:v>
                </c:pt>
                <c:pt idx="10495">
                  <c:v>555.281875</c:v>
                </c:pt>
                <c:pt idx="10496">
                  <c:v>558.7964799999999</c:v>
                </c:pt>
                <c:pt idx="10497">
                  <c:v>562.3255650000002</c:v>
                </c:pt>
                <c:pt idx="10498">
                  <c:v>565.86916</c:v>
                </c:pt>
                <c:pt idx="10499">
                  <c:v>569.427295</c:v>
                </c:pt>
                <c:pt idx="10500">
                  <c:v>572.9999999999998</c:v>
                </c:pt>
                <c:pt idx="10501">
                  <c:v>576.5873050000002</c:v>
                </c:pt>
                <c:pt idx="10502">
                  <c:v>580.1892400000002</c:v>
                </c:pt>
                <c:pt idx="10503">
                  <c:v>583.805835</c:v>
                </c:pt>
                <c:pt idx="10504">
                  <c:v>587.43712</c:v>
                </c:pt>
                <c:pt idx="10505">
                  <c:v>591.083125</c:v>
                </c:pt>
                <c:pt idx="10506">
                  <c:v>594.7438800000002</c:v>
                </c:pt>
                <c:pt idx="10507">
                  <c:v>598.4194150000002</c:v>
                </c:pt>
                <c:pt idx="10508">
                  <c:v>602.1097599999998</c:v>
                </c:pt>
                <c:pt idx="10509">
                  <c:v>605.814945</c:v>
                </c:pt>
                <c:pt idx="10510">
                  <c:v>609.5349999999999</c:v>
                </c:pt>
                <c:pt idx="10511">
                  <c:v>613.269955</c:v>
                </c:pt>
                <c:pt idx="10512">
                  <c:v>617.01984</c:v>
                </c:pt>
                <c:pt idx="10513">
                  <c:v>620.7846850000002</c:v>
                </c:pt>
                <c:pt idx="10514">
                  <c:v>624.5645199999998</c:v>
                </c:pt>
                <c:pt idx="10515">
                  <c:v>628.359375</c:v>
                </c:pt>
                <c:pt idx="10516">
                  <c:v>632.1692800000003</c:v>
                </c:pt>
                <c:pt idx="10517">
                  <c:v>635.9942649999999</c:v>
                </c:pt>
                <c:pt idx="10518">
                  <c:v>639.8343600000001</c:v>
                </c:pt>
                <c:pt idx="10519">
                  <c:v>643.6895950000003</c:v>
                </c:pt>
                <c:pt idx="10520">
                  <c:v>647.56</c:v>
                </c:pt>
                <c:pt idx="10521">
                  <c:v>651.445605</c:v>
                </c:pt>
                <c:pt idx="10522">
                  <c:v>655.34644</c:v>
                </c:pt>
                <c:pt idx="10523">
                  <c:v>659.2625350000001</c:v>
                </c:pt>
                <c:pt idx="10524">
                  <c:v>663.1939200000002</c:v>
                </c:pt>
                <c:pt idx="10525">
                  <c:v>667.1406250000002</c:v>
                </c:pt>
                <c:pt idx="10526">
                  <c:v>671.10268</c:v>
                </c:pt>
                <c:pt idx="10527">
                  <c:v>675.0801150000002</c:v>
                </c:pt>
                <c:pt idx="10528">
                  <c:v>679.0729600000002</c:v>
                </c:pt>
                <c:pt idx="10529">
                  <c:v>683.0812450000002</c:v>
                </c:pt>
                <c:pt idx="10530">
                  <c:v>687.1050000000002</c:v>
                </c:pt>
                <c:pt idx="10531">
                  <c:v>691.1442550000003</c:v>
                </c:pt>
                <c:pt idx="10532">
                  <c:v>695.1990400000001</c:v>
                </c:pt>
                <c:pt idx="10533">
                  <c:v>699.2693849999999</c:v>
                </c:pt>
                <c:pt idx="10534">
                  <c:v>703.35532</c:v>
                </c:pt>
                <c:pt idx="10535">
                  <c:v>707.456875</c:v>
                </c:pt>
                <c:pt idx="10536">
                  <c:v>711.57408</c:v>
                </c:pt>
                <c:pt idx="10537">
                  <c:v>715.7069650000002</c:v>
                </c:pt>
                <c:pt idx="10538">
                  <c:v>719.8555600000002</c:v>
                </c:pt>
                <c:pt idx="10539">
                  <c:v>724.0198949999999</c:v>
                </c:pt>
                <c:pt idx="10540">
                  <c:v>728.1999999999999</c:v>
                </c:pt>
                <c:pt idx="10541">
                  <c:v>732.395905</c:v>
                </c:pt>
                <c:pt idx="10542">
                  <c:v>736.6076400000002</c:v>
                </c:pt>
                <c:pt idx="10543">
                  <c:v>740.835235</c:v>
                </c:pt>
                <c:pt idx="10544">
                  <c:v>745.0787200000002</c:v>
                </c:pt>
                <c:pt idx="10545">
                  <c:v>749.3381249999998</c:v>
                </c:pt>
                <c:pt idx="10546">
                  <c:v>753.61348</c:v>
                </c:pt>
                <c:pt idx="10547">
                  <c:v>757.904815</c:v>
                </c:pt>
                <c:pt idx="10548">
                  <c:v>762.2121600000002</c:v>
                </c:pt>
                <c:pt idx="10549">
                  <c:v>766.535545</c:v>
                </c:pt>
                <c:pt idx="10550">
                  <c:v>770.875</c:v>
                </c:pt>
                <c:pt idx="10551">
                  <c:v>775.2305549999999</c:v>
                </c:pt>
                <c:pt idx="10552">
                  <c:v>779.6022400000003</c:v>
                </c:pt>
                <c:pt idx="10553">
                  <c:v>783.990085</c:v>
                </c:pt>
                <c:pt idx="10554">
                  <c:v>788.3941199999998</c:v>
                </c:pt>
                <c:pt idx="10555">
                  <c:v>792.8143749999998</c:v>
                </c:pt>
                <c:pt idx="10556">
                  <c:v>797.2508799999999</c:v>
                </c:pt>
                <c:pt idx="10557">
                  <c:v>801.7036650000002</c:v>
                </c:pt>
                <c:pt idx="10558">
                  <c:v>806.1727600000003</c:v>
                </c:pt>
                <c:pt idx="10559">
                  <c:v>810.6581949999999</c:v>
                </c:pt>
                <c:pt idx="10560">
                  <c:v>815.16</c:v>
                </c:pt>
                <c:pt idx="10561">
                  <c:v>819.6782049999997</c:v>
                </c:pt>
                <c:pt idx="10562">
                  <c:v>824.2128400000004</c:v>
                </c:pt>
                <c:pt idx="10563">
                  <c:v>828.7639350000001</c:v>
                </c:pt>
                <c:pt idx="10564">
                  <c:v>833.3315200000002</c:v>
                </c:pt>
                <c:pt idx="10565">
                  <c:v>837.9156250000001</c:v>
                </c:pt>
                <c:pt idx="10566">
                  <c:v>842.5162799999999</c:v>
                </c:pt>
                <c:pt idx="10567">
                  <c:v>847.1335149999998</c:v>
                </c:pt>
                <c:pt idx="10568">
                  <c:v>851.76736</c:v>
                </c:pt>
                <c:pt idx="10569">
                  <c:v>856.4178449999998</c:v>
                </c:pt>
                <c:pt idx="10570">
                  <c:v>861.0849999999999</c:v>
                </c:pt>
                <c:pt idx="10571">
                  <c:v>865.7688549999998</c:v>
                </c:pt>
                <c:pt idx="10572">
                  <c:v>870.4694399999998</c:v>
                </c:pt>
                <c:pt idx="10573">
                  <c:v>875.1867850000004</c:v>
                </c:pt>
                <c:pt idx="10574">
                  <c:v>879.9209199999998</c:v>
                </c:pt>
                <c:pt idx="10575">
                  <c:v>884.671875</c:v>
                </c:pt>
                <c:pt idx="10576">
                  <c:v>889.4396800000001</c:v>
                </c:pt>
                <c:pt idx="10577">
                  <c:v>894.2243650000003</c:v>
                </c:pt>
                <c:pt idx="10578">
                  <c:v>899.0259599999998</c:v>
                </c:pt>
                <c:pt idx="10579">
                  <c:v>903.8444949999996</c:v>
                </c:pt>
                <c:pt idx="10580">
                  <c:v>908.6800000000001</c:v>
                </c:pt>
                <c:pt idx="10581">
                  <c:v>913.532505</c:v>
                </c:pt>
                <c:pt idx="10582">
                  <c:v>918.4020399999996</c:v>
                </c:pt>
                <c:pt idx="10583">
                  <c:v>923.2886349999999</c:v>
                </c:pt>
                <c:pt idx="10584">
                  <c:v>928.1923200000002</c:v>
                </c:pt>
                <c:pt idx="10585">
                  <c:v>933.1131249999996</c:v>
                </c:pt>
                <c:pt idx="10586">
                  <c:v>938.0510799999997</c:v>
                </c:pt>
                <c:pt idx="10587">
                  <c:v>943.0062149999999</c:v>
                </c:pt>
                <c:pt idx="10588">
                  <c:v>947.9785599999996</c:v>
                </c:pt>
                <c:pt idx="10589">
                  <c:v>952.9681449999998</c:v>
                </c:pt>
                <c:pt idx="10590">
                  <c:v>957.9749999999996</c:v>
                </c:pt>
                <c:pt idx="10591">
                  <c:v>962.9991549999999</c:v>
                </c:pt>
                <c:pt idx="10592">
                  <c:v>968.0406399999999</c:v>
                </c:pt>
                <c:pt idx="10593">
                  <c:v>973.099485</c:v>
                </c:pt>
                <c:pt idx="10594">
                  <c:v>978.17572</c:v>
                </c:pt>
                <c:pt idx="10595">
                  <c:v>983.269375</c:v>
                </c:pt>
                <c:pt idx="10596">
                  <c:v>988.3804799999998</c:v>
                </c:pt>
                <c:pt idx="10597">
                  <c:v>993.5090649999997</c:v>
                </c:pt>
                <c:pt idx="10598">
                  <c:v>998.6551599999997</c:v>
                </c:pt>
                <c:pt idx="10599">
                  <c:v>1003.8187949999999</c:v>
                </c:pt>
                <c:pt idx="10600">
                  <c:v>1009.0000000000002</c:v>
                </c:pt>
                <c:pt idx="10601">
                  <c:v>1014.1988049999998</c:v>
                </c:pt>
                <c:pt idx="10602">
                  <c:v>1019.4152400000003</c:v>
                </c:pt>
                <c:pt idx="10603">
                  <c:v>1024.6493349999998</c:v>
                </c:pt>
                <c:pt idx="10604">
                  <c:v>1029.90112</c:v>
                </c:pt>
                <c:pt idx="10605">
                  <c:v>1035.1706250000004</c:v>
                </c:pt>
                <c:pt idx="10606">
                  <c:v>1040.4578800000004</c:v>
                </c:pt>
                <c:pt idx="10607">
                  <c:v>1045.7629149999998</c:v>
                </c:pt>
                <c:pt idx="10608">
                  <c:v>1051.0857600000002</c:v>
                </c:pt>
                <c:pt idx="10609">
                  <c:v>1056.4264449999998</c:v>
                </c:pt>
                <c:pt idx="10610">
                  <c:v>1061.7850000000005</c:v>
                </c:pt>
                <c:pt idx="10611">
                  <c:v>1067.1614550000002</c:v>
                </c:pt>
                <c:pt idx="10612">
                  <c:v>1072.5558400000002</c:v>
                </c:pt>
                <c:pt idx="10613">
                  <c:v>1077.9681850000004</c:v>
                </c:pt>
                <c:pt idx="10614">
                  <c:v>1083.3985200000004</c:v>
                </c:pt>
                <c:pt idx="10615">
                  <c:v>1088.8468749999995</c:v>
                </c:pt>
                <c:pt idx="10616">
                  <c:v>1094.3132799999998</c:v>
                </c:pt>
                <c:pt idx="10617">
                  <c:v>1099.7977650000003</c:v>
                </c:pt>
                <c:pt idx="10618">
                  <c:v>1105.3003599999995</c:v>
                </c:pt>
                <c:pt idx="10619">
                  <c:v>1110.821095</c:v>
                </c:pt>
                <c:pt idx="10620">
                  <c:v>1116.3600000000006</c:v>
                </c:pt>
                <c:pt idx="10621">
                  <c:v>1121.9171049999998</c:v>
                </c:pt>
                <c:pt idx="10622">
                  <c:v>1127.49244</c:v>
                </c:pt>
                <c:pt idx="10623">
                  <c:v>1133.086035</c:v>
                </c:pt>
                <c:pt idx="10624">
                  <c:v>1138.69792</c:v>
                </c:pt>
                <c:pt idx="10625">
                  <c:v>1144.328125</c:v>
                </c:pt>
                <c:pt idx="10626">
                  <c:v>1149.97668</c:v>
                </c:pt>
                <c:pt idx="10627">
                  <c:v>1155.643615</c:v>
                </c:pt>
                <c:pt idx="10628">
                  <c:v>1161.3289599999998</c:v>
                </c:pt>
                <c:pt idx="10629">
                  <c:v>1167.032745</c:v>
                </c:pt>
                <c:pt idx="10630">
                  <c:v>1172.7549999999999</c:v>
                </c:pt>
                <c:pt idx="10631">
                  <c:v>1178.495755</c:v>
                </c:pt>
                <c:pt idx="10632">
                  <c:v>1184.25504</c:v>
                </c:pt>
                <c:pt idx="10633">
                  <c:v>1190.0328849999999</c:v>
                </c:pt>
                <c:pt idx="10634">
                  <c:v>1195.8293199999998</c:v>
                </c:pt>
                <c:pt idx="10635">
                  <c:v>1201.644375</c:v>
                </c:pt>
                <c:pt idx="10636">
                  <c:v>1207.4780799999999</c:v>
                </c:pt>
                <c:pt idx="10637">
                  <c:v>1213.330465</c:v>
                </c:pt>
                <c:pt idx="10638">
                  <c:v>1219.20156</c:v>
                </c:pt>
                <c:pt idx="10639">
                  <c:v>1225.091395</c:v>
                </c:pt>
                <c:pt idx="10640">
                  <c:v>1231.0</c:v>
                </c:pt>
                <c:pt idx="10641">
                  <c:v>1236.927405</c:v>
                </c:pt>
                <c:pt idx="10642">
                  <c:v>1242.8736399999998</c:v>
                </c:pt>
                <c:pt idx="10643">
                  <c:v>1248.8387349999998</c:v>
                </c:pt>
                <c:pt idx="10644">
                  <c:v>1254.8227200000001</c:v>
                </c:pt>
                <c:pt idx="10645">
                  <c:v>1260.825625</c:v>
                </c:pt>
                <c:pt idx="10646">
                  <c:v>1266.8474800000001</c:v>
                </c:pt>
                <c:pt idx="10647">
                  <c:v>1272.888315</c:v>
                </c:pt>
                <c:pt idx="10648">
                  <c:v>1278.94816</c:v>
                </c:pt>
                <c:pt idx="10649">
                  <c:v>1285.027045</c:v>
                </c:pt>
                <c:pt idx="10650">
                  <c:v>1291.125</c:v>
                </c:pt>
                <c:pt idx="10651">
                  <c:v>1297.242055</c:v>
                </c:pt>
                <c:pt idx="10652">
                  <c:v>1303.37824</c:v>
                </c:pt>
                <c:pt idx="10653">
                  <c:v>1309.5335850000001</c:v>
                </c:pt>
                <c:pt idx="10654">
                  <c:v>1315.70812</c:v>
                </c:pt>
                <c:pt idx="10655">
                  <c:v>1321.901875</c:v>
                </c:pt>
                <c:pt idx="10656">
                  <c:v>1328.1148799999999</c:v>
                </c:pt>
                <c:pt idx="10657">
                  <c:v>1334.347165</c:v>
                </c:pt>
                <c:pt idx="10658">
                  <c:v>1340.59876</c:v>
                </c:pt>
                <c:pt idx="10659">
                  <c:v>1346.869695</c:v>
                </c:pt>
                <c:pt idx="10660">
                  <c:v>1353.16</c:v>
                </c:pt>
                <c:pt idx="10661">
                  <c:v>1359.469705</c:v>
                </c:pt>
                <c:pt idx="10662">
                  <c:v>1365.79884</c:v>
                </c:pt>
                <c:pt idx="10663">
                  <c:v>1372.147435</c:v>
                </c:pt>
                <c:pt idx="10664">
                  <c:v>1378.51552</c:v>
                </c:pt>
                <c:pt idx="10665">
                  <c:v>1384.903125</c:v>
                </c:pt>
                <c:pt idx="10666">
                  <c:v>1391.3102800000001</c:v>
                </c:pt>
                <c:pt idx="10667">
                  <c:v>1397.737015</c:v>
                </c:pt>
                <c:pt idx="10668">
                  <c:v>1404.18336</c:v>
                </c:pt>
                <c:pt idx="10669">
                  <c:v>1410.6493449999998</c:v>
                </c:pt>
                <c:pt idx="10670">
                  <c:v>1417.135</c:v>
                </c:pt>
                <c:pt idx="10671">
                  <c:v>1423.640355</c:v>
                </c:pt>
                <c:pt idx="10672">
                  <c:v>1430.16544</c:v>
                </c:pt>
                <c:pt idx="10673">
                  <c:v>1436.7102849999999</c:v>
                </c:pt>
                <c:pt idx="10674">
                  <c:v>1443.27492</c:v>
                </c:pt>
                <c:pt idx="10675">
                  <c:v>1449.859375</c:v>
                </c:pt>
                <c:pt idx="10676">
                  <c:v>1456.4636799999998</c:v>
                </c:pt>
                <c:pt idx="10677">
                  <c:v>1463.087865</c:v>
                </c:pt>
                <c:pt idx="10678">
                  <c:v>1469.73196</c:v>
                </c:pt>
                <c:pt idx="10679">
                  <c:v>1476.3959949999999</c:v>
                </c:pt>
                <c:pt idx="10680">
                  <c:v>1483.0800000000002</c:v>
                </c:pt>
                <c:pt idx="10681">
                  <c:v>1489.784005</c:v>
                </c:pt>
                <c:pt idx="10682">
                  <c:v>1496.5080400000002</c:v>
                </c:pt>
                <c:pt idx="10683">
                  <c:v>1503.252135</c:v>
                </c:pt>
                <c:pt idx="10684">
                  <c:v>1510.01632</c:v>
                </c:pt>
                <c:pt idx="10685">
                  <c:v>1516.8006249999999</c:v>
                </c:pt>
                <c:pt idx="10686">
                  <c:v>1523.6050799999998</c:v>
                </c:pt>
                <c:pt idx="10687">
                  <c:v>1530.429715</c:v>
                </c:pt>
                <c:pt idx="10688">
                  <c:v>1537.2745599999998</c:v>
                </c:pt>
                <c:pt idx="10689">
                  <c:v>1544.139645</c:v>
                </c:pt>
                <c:pt idx="10690">
                  <c:v>1551.0249999999999</c:v>
                </c:pt>
                <c:pt idx="10691">
                  <c:v>1557.930655</c:v>
                </c:pt>
                <c:pt idx="10692">
                  <c:v>1564.85664</c:v>
                </c:pt>
                <c:pt idx="10693">
                  <c:v>1571.802985</c:v>
                </c:pt>
                <c:pt idx="10694">
                  <c:v>1578.76972</c:v>
                </c:pt>
                <c:pt idx="10695">
                  <c:v>1585.756875</c:v>
                </c:pt>
                <c:pt idx="10696">
                  <c:v>1592.7644799999998</c:v>
                </c:pt>
                <c:pt idx="10697">
                  <c:v>1599.792565</c:v>
                </c:pt>
                <c:pt idx="10698">
                  <c:v>1606.84116</c:v>
                </c:pt>
                <c:pt idx="10699">
                  <c:v>1613.910295</c:v>
                </c:pt>
                <c:pt idx="10700">
                  <c:v>1621.0</c:v>
                </c:pt>
                <c:pt idx="10701">
                  <c:v>1628.1103050000002</c:v>
                </c:pt>
                <c:pt idx="10702">
                  <c:v>1635.2412399999998</c:v>
                </c:pt>
                <c:pt idx="10703">
                  <c:v>1642.392835</c:v>
                </c:pt>
                <c:pt idx="10704">
                  <c:v>1649.56512</c:v>
                </c:pt>
                <c:pt idx="10705">
                  <c:v>1656.758125</c:v>
                </c:pt>
                <c:pt idx="10706">
                  <c:v>1663.97188</c:v>
                </c:pt>
                <c:pt idx="10707">
                  <c:v>1671.206415</c:v>
                </c:pt>
                <c:pt idx="10708">
                  <c:v>1678.46176</c:v>
                </c:pt>
                <c:pt idx="10709">
                  <c:v>1685.7379449999999</c:v>
                </c:pt>
                <c:pt idx="10710">
                  <c:v>1693.035</c:v>
                </c:pt>
                <c:pt idx="10711">
                  <c:v>1700.352955</c:v>
                </c:pt>
                <c:pt idx="10712">
                  <c:v>1707.69184</c:v>
                </c:pt>
                <c:pt idx="10713">
                  <c:v>1715.051685</c:v>
                </c:pt>
                <c:pt idx="10714">
                  <c:v>1722.43252</c:v>
                </c:pt>
                <c:pt idx="10715">
                  <c:v>1729.8343750000001</c:v>
                </c:pt>
                <c:pt idx="10716">
                  <c:v>1737.25728</c:v>
                </c:pt>
                <c:pt idx="10717">
                  <c:v>1744.7012650000001</c:v>
                </c:pt>
                <c:pt idx="10718">
                  <c:v>1752.1663600000002</c:v>
                </c:pt>
                <c:pt idx="10719">
                  <c:v>1759.652595</c:v>
                </c:pt>
                <c:pt idx="10720">
                  <c:v>1767.16</c:v>
                </c:pt>
                <c:pt idx="10721">
                  <c:v>1774.688605</c:v>
                </c:pt>
                <c:pt idx="10722">
                  <c:v>1782.23844</c:v>
                </c:pt>
                <c:pt idx="10723">
                  <c:v>1789.8095349999999</c:v>
                </c:pt>
                <c:pt idx="10724">
                  <c:v>1797.40192</c:v>
                </c:pt>
                <c:pt idx="10725">
                  <c:v>1805.015625</c:v>
                </c:pt>
                <c:pt idx="10726">
                  <c:v>1812.6506800000002</c:v>
                </c:pt>
                <c:pt idx="10727">
                  <c:v>1820.307115</c:v>
                </c:pt>
                <c:pt idx="10728">
                  <c:v>1827.98496</c:v>
                </c:pt>
                <c:pt idx="10729">
                  <c:v>1835.6842450000001</c:v>
                </c:pt>
                <c:pt idx="10730">
                  <c:v>1843.405</c:v>
                </c:pt>
                <c:pt idx="10731">
                  <c:v>1851.147255</c:v>
                </c:pt>
                <c:pt idx="10732">
                  <c:v>1858.91104</c:v>
                </c:pt>
                <c:pt idx="10733">
                  <c:v>1866.696385</c:v>
                </c:pt>
                <c:pt idx="10734">
                  <c:v>1874.50332</c:v>
                </c:pt>
                <c:pt idx="10735">
                  <c:v>1882.3318749999999</c:v>
                </c:pt>
                <c:pt idx="10736">
                  <c:v>1890.18208</c:v>
                </c:pt>
                <c:pt idx="10737">
                  <c:v>1898.053965</c:v>
                </c:pt>
                <c:pt idx="10738">
                  <c:v>1905.94756</c:v>
                </c:pt>
                <c:pt idx="10739">
                  <c:v>1913.862895</c:v>
                </c:pt>
                <c:pt idx="10740">
                  <c:v>1921.8000000000002</c:v>
                </c:pt>
                <c:pt idx="10741">
                  <c:v>1929.7589050000001</c:v>
                </c:pt>
                <c:pt idx="10742">
                  <c:v>1937.73964</c:v>
                </c:pt>
                <c:pt idx="10743">
                  <c:v>1945.742235</c:v>
                </c:pt>
                <c:pt idx="10744">
                  <c:v>1953.76672</c:v>
                </c:pt>
                <c:pt idx="10745">
                  <c:v>1961.8131250000001</c:v>
                </c:pt>
                <c:pt idx="10746">
                  <c:v>1969.88148</c:v>
                </c:pt>
                <c:pt idx="10747">
                  <c:v>1977.971815</c:v>
                </c:pt>
                <c:pt idx="10748">
                  <c:v>1986.0841599999999</c:v>
                </c:pt>
                <c:pt idx="10749">
                  <c:v>1994.218545</c:v>
                </c:pt>
                <c:pt idx="10750">
                  <c:v>2002.375</c:v>
                </c:pt>
                <c:pt idx="10751">
                  <c:v>2010.5535550000002</c:v>
                </c:pt>
                <c:pt idx="10752">
                  <c:v>2018.75424</c:v>
                </c:pt>
                <c:pt idx="10753">
                  <c:v>2026.977085</c:v>
                </c:pt>
                <c:pt idx="10754">
                  <c:v>2035.22212</c:v>
                </c:pt>
                <c:pt idx="10755">
                  <c:v>2043.489375</c:v>
                </c:pt>
                <c:pt idx="10756">
                  <c:v>2051.7788800000003</c:v>
                </c:pt>
                <c:pt idx="10757">
                  <c:v>2060.090665</c:v>
                </c:pt>
                <c:pt idx="10758">
                  <c:v>2068.42476</c:v>
                </c:pt>
                <c:pt idx="10759">
                  <c:v>2076.781195</c:v>
                </c:pt>
                <c:pt idx="10760">
                  <c:v>2085.16</c:v>
                </c:pt>
                <c:pt idx="10761">
                  <c:v>2093.561205</c:v>
                </c:pt>
                <c:pt idx="10762">
                  <c:v>2101.98484</c:v>
                </c:pt>
                <c:pt idx="10763">
                  <c:v>2110.4309350000003</c:v>
                </c:pt>
                <c:pt idx="10764">
                  <c:v>2118.89952</c:v>
                </c:pt>
                <c:pt idx="10765">
                  <c:v>2127.390625</c:v>
                </c:pt>
                <c:pt idx="10766">
                  <c:v>2135.90428</c:v>
                </c:pt>
                <c:pt idx="10767">
                  <c:v>2144.440515</c:v>
                </c:pt>
                <c:pt idx="10768">
                  <c:v>2152.99936</c:v>
                </c:pt>
                <c:pt idx="10769">
                  <c:v>2161.580845</c:v>
                </c:pt>
                <c:pt idx="10770">
                  <c:v>2170.185</c:v>
                </c:pt>
                <c:pt idx="10771">
                  <c:v>2178.811855</c:v>
                </c:pt>
                <c:pt idx="10772">
                  <c:v>2187.46144</c:v>
                </c:pt>
                <c:pt idx="10773">
                  <c:v>2196.133785</c:v>
                </c:pt>
                <c:pt idx="10774">
                  <c:v>2204.82892</c:v>
                </c:pt>
                <c:pt idx="10775">
                  <c:v>2213.546875</c:v>
                </c:pt>
                <c:pt idx="10776">
                  <c:v>2222.28768</c:v>
                </c:pt>
                <c:pt idx="10777">
                  <c:v>2231.0513650000003</c:v>
                </c:pt>
                <c:pt idx="10778">
                  <c:v>2239.8379600000003</c:v>
                </c:pt>
                <c:pt idx="10779">
                  <c:v>2248.647495</c:v>
                </c:pt>
                <c:pt idx="10780">
                  <c:v>2257.48</c:v>
                </c:pt>
                <c:pt idx="10781">
                  <c:v>2266.335505</c:v>
                </c:pt>
                <c:pt idx="10782">
                  <c:v>2275.2140400000003</c:v>
                </c:pt>
                <c:pt idx="10783">
                  <c:v>2284.115635</c:v>
                </c:pt>
                <c:pt idx="10784">
                  <c:v>2293.04032</c:v>
                </c:pt>
                <c:pt idx="10785">
                  <c:v>2301.988125</c:v>
                </c:pt>
                <c:pt idx="10786">
                  <c:v>2310.95908</c:v>
                </c:pt>
                <c:pt idx="10787">
                  <c:v>2319.953215</c:v>
                </c:pt>
                <c:pt idx="10788">
                  <c:v>2328.9705599999998</c:v>
                </c:pt>
                <c:pt idx="10789">
                  <c:v>2338.011145</c:v>
                </c:pt>
                <c:pt idx="10790">
                  <c:v>2347.0750000000003</c:v>
                </c:pt>
                <c:pt idx="10791">
                  <c:v>2356.162155</c:v>
                </c:pt>
                <c:pt idx="10792">
                  <c:v>2365.2726399999997</c:v>
                </c:pt>
                <c:pt idx="10793">
                  <c:v>2374.406485</c:v>
                </c:pt>
                <c:pt idx="10794">
                  <c:v>2383.56372</c:v>
                </c:pt>
                <c:pt idx="10795">
                  <c:v>2392.7443749999998</c:v>
                </c:pt>
                <c:pt idx="10796">
                  <c:v>2401.94848</c:v>
                </c:pt>
                <c:pt idx="10797">
                  <c:v>2411.176065</c:v>
                </c:pt>
                <c:pt idx="10798">
                  <c:v>2420.42716</c:v>
                </c:pt>
                <c:pt idx="10799">
                  <c:v>2429.701795</c:v>
                </c:pt>
                <c:pt idx="10800">
                  <c:v>2439.0</c:v>
                </c:pt>
                <c:pt idx="10801">
                  <c:v>2448.321805</c:v>
                </c:pt>
                <c:pt idx="10802">
                  <c:v>2457.66724</c:v>
                </c:pt>
                <c:pt idx="10803">
                  <c:v>2467.036335</c:v>
                </c:pt>
                <c:pt idx="10804">
                  <c:v>2476.4291200000002</c:v>
                </c:pt>
                <c:pt idx="10805">
                  <c:v>2485.845625</c:v>
                </c:pt>
                <c:pt idx="10806">
                  <c:v>2495.28588</c:v>
                </c:pt>
                <c:pt idx="10807">
                  <c:v>2504.749915</c:v>
                </c:pt>
                <c:pt idx="10808">
                  <c:v>2514.23776</c:v>
                </c:pt>
                <c:pt idx="10809">
                  <c:v>2523.749445</c:v>
                </c:pt>
                <c:pt idx="10810">
                  <c:v>2533.285</c:v>
                </c:pt>
                <c:pt idx="10811">
                  <c:v>2542.844455</c:v>
                </c:pt>
                <c:pt idx="10812">
                  <c:v>2552.4278400000003</c:v>
                </c:pt>
                <c:pt idx="10813">
                  <c:v>2562.035185</c:v>
                </c:pt>
                <c:pt idx="10814">
                  <c:v>2571.66652</c:v>
                </c:pt>
                <c:pt idx="10815">
                  <c:v>2581.321875</c:v>
                </c:pt>
                <c:pt idx="10816">
                  <c:v>2591.00128</c:v>
                </c:pt>
                <c:pt idx="10817">
                  <c:v>2600.704765</c:v>
                </c:pt>
                <c:pt idx="10818">
                  <c:v>2610.4323600000002</c:v>
                </c:pt>
                <c:pt idx="10819">
                  <c:v>2620.184095</c:v>
                </c:pt>
                <c:pt idx="10820">
                  <c:v>2629.96</c:v>
                </c:pt>
                <c:pt idx="10821">
                  <c:v>2639.7601050000003</c:v>
                </c:pt>
                <c:pt idx="10822">
                  <c:v>2649.58444</c:v>
                </c:pt>
                <c:pt idx="10823">
                  <c:v>2659.433035</c:v>
                </c:pt>
                <c:pt idx="10824">
                  <c:v>2669.3059200000002</c:v>
                </c:pt>
                <c:pt idx="10825">
                  <c:v>2679.203125</c:v>
                </c:pt>
                <c:pt idx="10826">
                  <c:v>2689.12468</c:v>
                </c:pt>
                <c:pt idx="10827">
                  <c:v>2699.070615</c:v>
                </c:pt>
                <c:pt idx="10828">
                  <c:v>2709.0409600000003</c:v>
                </c:pt>
                <c:pt idx="10829">
                  <c:v>2719.035745</c:v>
                </c:pt>
                <c:pt idx="10830">
                  <c:v>2729.055</c:v>
                </c:pt>
                <c:pt idx="10831">
                  <c:v>2739.098755</c:v>
                </c:pt>
                <c:pt idx="10832">
                  <c:v>2749.16704</c:v>
                </c:pt>
                <c:pt idx="10833">
                  <c:v>2759.259885</c:v>
                </c:pt>
                <c:pt idx="10834">
                  <c:v>2769.37732</c:v>
                </c:pt>
                <c:pt idx="10835">
                  <c:v>2779.519375</c:v>
                </c:pt>
                <c:pt idx="10836">
                  <c:v>2789.68608</c:v>
                </c:pt>
                <c:pt idx="10837">
                  <c:v>2799.877465</c:v>
                </c:pt>
                <c:pt idx="10838">
                  <c:v>2810.0935600000003</c:v>
                </c:pt>
                <c:pt idx="10839">
                  <c:v>2820.334395</c:v>
                </c:pt>
                <c:pt idx="10840">
                  <c:v>2830.6</c:v>
                </c:pt>
                <c:pt idx="10841">
                  <c:v>2840.890405</c:v>
                </c:pt>
                <c:pt idx="10842">
                  <c:v>2851.20564</c:v>
                </c:pt>
                <c:pt idx="10843">
                  <c:v>2861.545735</c:v>
                </c:pt>
                <c:pt idx="10844">
                  <c:v>2871.91072</c:v>
                </c:pt>
                <c:pt idx="10845">
                  <c:v>2882.300625</c:v>
                </c:pt>
                <c:pt idx="10846">
                  <c:v>2892.7154800000003</c:v>
                </c:pt>
                <c:pt idx="10847">
                  <c:v>2903.155315</c:v>
                </c:pt>
                <c:pt idx="10848">
                  <c:v>2913.62016</c:v>
                </c:pt>
                <c:pt idx="10849">
                  <c:v>2924.110045</c:v>
                </c:pt>
                <c:pt idx="10850">
                  <c:v>2934.625</c:v>
                </c:pt>
                <c:pt idx="10851">
                  <c:v>2945.165055</c:v>
                </c:pt>
                <c:pt idx="10852">
                  <c:v>2955.73024</c:v>
                </c:pt>
                <c:pt idx="10853">
                  <c:v>2966.320585</c:v>
                </c:pt>
                <c:pt idx="10854">
                  <c:v>2976.9361200000003</c:v>
                </c:pt>
                <c:pt idx="10855">
                  <c:v>2987.576875</c:v>
                </c:pt>
                <c:pt idx="10856">
                  <c:v>2998.2428800000002</c:v>
                </c:pt>
                <c:pt idx="10857">
                  <c:v>3008.934165</c:v>
                </c:pt>
                <c:pt idx="10858">
                  <c:v>3019.65076</c:v>
                </c:pt>
                <c:pt idx="10859">
                  <c:v>3030.392695</c:v>
                </c:pt>
                <c:pt idx="10860">
                  <c:v>3041.1600000000003</c:v>
                </c:pt>
                <c:pt idx="10861">
                  <c:v>3051.952705</c:v>
                </c:pt>
                <c:pt idx="10862">
                  <c:v>3062.77084</c:v>
                </c:pt>
                <c:pt idx="10863">
                  <c:v>3073.6144350000004</c:v>
                </c:pt>
                <c:pt idx="10864">
                  <c:v>3084.4835199999998</c:v>
                </c:pt>
                <c:pt idx="10865">
                  <c:v>3095.3781249999997</c:v>
                </c:pt>
                <c:pt idx="10866">
                  <c:v>3106.29828</c:v>
                </c:pt>
                <c:pt idx="10867">
                  <c:v>3117.244015</c:v>
                </c:pt>
                <c:pt idx="10868">
                  <c:v>3128.2153599999997</c:v>
                </c:pt>
                <c:pt idx="10869">
                  <c:v>3139.212345</c:v>
                </c:pt>
                <c:pt idx="10870">
                  <c:v>3150.2349999999997</c:v>
                </c:pt>
                <c:pt idx="10871">
                  <c:v>3161.283355</c:v>
                </c:pt>
                <c:pt idx="10872">
                  <c:v>3172.3574399999998</c:v>
                </c:pt>
                <c:pt idx="10873">
                  <c:v>3183.457285</c:v>
                </c:pt>
                <c:pt idx="10874">
                  <c:v>3194.5829200000003</c:v>
                </c:pt>
                <c:pt idx="10875">
                  <c:v>3205.734375</c:v>
                </c:pt>
                <c:pt idx="10876">
                  <c:v>3216.9116799999997</c:v>
                </c:pt>
                <c:pt idx="10877">
                  <c:v>3228.114865</c:v>
                </c:pt>
                <c:pt idx="10878">
                  <c:v>3239.34396</c:v>
                </c:pt>
                <c:pt idx="10879">
                  <c:v>3250.598995</c:v>
                </c:pt>
                <c:pt idx="10880">
                  <c:v>3261.88</c:v>
                </c:pt>
                <c:pt idx="10881">
                  <c:v>3273.187005</c:v>
                </c:pt>
                <c:pt idx="10882">
                  <c:v>3284.52004</c:v>
                </c:pt>
                <c:pt idx="10883">
                  <c:v>3295.8791349999997</c:v>
                </c:pt>
                <c:pt idx="10884">
                  <c:v>3307.2643199999998</c:v>
                </c:pt>
                <c:pt idx="10885">
                  <c:v>3318.675625</c:v>
                </c:pt>
                <c:pt idx="10886">
                  <c:v>3330.1130799999996</c:v>
                </c:pt>
                <c:pt idx="10887">
                  <c:v>3341.5767149999997</c:v>
                </c:pt>
                <c:pt idx="10888">
                  <c:v>3353.0665599999998</c:v>
                </c:pt>
                <c:pt idx="10889">
                  <c:v>3364.5826450000004</c:v>
                </c:pt>
                <c:pt idx="10890">
                  <c:v>3376.125</c:v>
                </c:pt>
                <c:pt idx="10891">
                  <c:v>3387.693655</c:v>
                </c:pt>
                <c:pt idx="10892">
                  <c:v>3399.28864</c:v>
                </c:pt>
                <c:pt idx="10893">
                  <c:v>3410.9099850000002</c:v>
                </c:pt>
                <c:pt idx="10894">
                  <c:v>3422.55772</c:v>
                </c:pt>
                <c:pt idx="10895">
                  <c:v>3434.231875</c:v>
                </c:pt>
                <c:pt idx="10896">
                  <c:v>3445.9324800000004</c:v>
                </c:pt>
                <c:pt idx="10897">
                  <c:v>3457.6595650000004</c:v>
                </c:pt>
                <c:pt idx="10898">
                  <c:v>3469.41316</c:v>
                </c:pt>
                <c:pt idx="10899">
                  <c:v>3481.193295</c:v>
                </c:pt>
                <c:pt idx="10900">
                  <c:v>3493.0</c:v>
                </c:pt>
                <c:pt idx="10901">
                  <c:v>3504.833305</c:v>
                </c:pt>
                <c:pt idx="10902">
                  <c:v>3516.69324</c:v>
                </c:pt>
                <c:pt idx="10903">
                  <c:v>3528.579835</c:v>
                </c:pt>
                <c:pt idx="10904">
                  <c:v>3540.49312</c:v>
                </c:pt>
                <c:pt idx="10905">
                  <c:v>3552.433125</c:v>
                </c:pt>
                <c:pt idx="10906">
                  <c:v>3564.39988</c:v>
                </c:pt>
                <c:pt idx="10907">
                  <c:v>3576.393415</c:v>
                </c:pt>
                <c:pt idx="10908">
                  <c:v>3588.41376</c:v>
                </c:pt>
                <c:pt idx="10909">
                  <c:v>3600.460945</c:v>
                </c:pt>
                <c:pt idx="10910">
                  <c:v>3612.535</c:v>
                </c:pt>
                <c:pt idx="10911">
                  <c:v>3624.6359549999997</c:v>
                </c:pt>
                <c:pt idx="10912">
                  <c:v>3636.7638399999996</c:v>
                </c:pt>
                <c:pt idx="10913">
                  <c:v>3648.9186849999983</c:v>
                </c:pt>
                <c:pt idx="10914">
                  <c:v>3661.10052</c:v>
                </c:pt>
                <c:pt idx="10915">
                  <c:v>3673.3093750000003</c:v>
                </c:pt>
                <c:pt idx="10916">
                  <c:v>3685.54528</c:v>
                </c:pt>
                <c:pt idx="10917">
                  <c:v>3697.8082649999997</c:v>
                </c:pt>
                <c:pt idx="10918">
                  <c:v>3710.09836</c:v>
                </c:pt>
                <c:pt idx="10919">
                  <c:v>3722.415595</c:v>
                </c:pt>
                <c:pt idx="10920">
                  <c:v>3734.7599999999998</c:v>
                </c:pt>
                <c:pt idx="10921">
                  <c:v>3747.1316049999996</c:v>
                </c:pt>
                <c:pt idx="10922">
                  <c:v>3759.53044</c:v>
                </c:pt>
                <c:pt idx="10923">
                  <c:v>3771.9565350000003</c:v>
                </c:pt>
                <c:pt idx="10924">
                  <c:v>3784.40992</c:v>
                </c:pt>
                <c:pt idx="10925">
                  <c:v>3796.890625</c:v>
                </c:pt>
                <c:pt idx="10926">
                  <c:v>3809.398679999998</c:v>
                </c:pt>
                <c:pt idx="10927">
                  <c:v>3821.934115</c:v>
                </c:pt>
                <c:pt idx="10928">
                  <c:v>3834.49696</c:v>
                </c:pt>
                <c:pt idx="10929">
                  <c:v>3847.087245</c:v>
                </c:pt>
                <c:pt idx="10930">
                  <c:v>3859.705000000002</c:v>
                </c:pt>
                <c:pt idx="10931">
                  <c:v>3872.350255</c:v>
                </c:pt>
                <c:pt idx="10932">
                  <c:v>3885.02304</c:v>
                </c:pt>
                <c:pt idx="10933">
                  <c:v>3897.7233850000002</c:v>
                </c:pt>
                <c:pt idx="10934">
                  <c:v>3910.45132</c:v>
                </c:pt>
                <c:pt idx="10935">
                  <c:v>3923.206875</c:v>
                </c:pt>
                <c:pt idx="10936">
                  <c:v>3935.99008</c:v>
                </c:pt>
                <c:pt idx="10937">
                  <c:v>3948.800965</c:v>
                </c:pt>
                <c:pt idx="10938">
                  <c:v>3961.639559999998</c:v>
                </c:pt>
                <c:pt idx="10939">
                  <c:v>3974.505895</c:v>
                </c:pt>
                <c:pt idx="10940">
                  <c:v>3987.4</c:v>
                </c:pt>
                <c:pt idx="10941">
                  <c:v>4000.321905</c:v>
                </c:pt>
                <c:pt idx="10942">
                  <c:v>4013.27164</c:v>
                </c:pt>
                <c:pt idx="10943">
                  <c:v>4026.249235</c:v>
                </c:pt>
                <c:pt idx="10944">
                  <c:v>4039.25472</c:v>
                </c:pt>
                <c:pt idx="10945">
                  <c:v>4052.288125</c:v>
                </c:pt>
                <c:pt idx="10946">
                  <c:v>4065.34948</c:v>
                </c:pt>
                <c:pt idx="10947">
                  <c:v>4078.4388150000023</c:v>
                </c:pt>
                <c:pt idx="10948">
                  <c:v>4091.55616</c:v>
                </c:pt>
                <c:pt idx="10949">
                  <c:v>4104.701545</c:v>
                </c:pt>
                <c:pt idx="10950">
                  <c:v>4117.875</c:v>
                </c:pt>
                <c:pt idx="10951">
                  <c:v>4131.076555</c:v>
                </c:pt>
                <c:pt idx="10952">
                  <c:v>4144.30624</c:v>
                </c:pt>
                <c:pt idx="10953">
                  <c:v>4157.564085</c:v>
                </c:pt>
                <c:pt idx="10954">
                  <c:v>4170.85012</c:v>
                </c:pt>
                <c:pt idx="10955">
                  <c:v>4184.164374999999</c:v>
                </c:pt>
                <c:pt idx="10956">
                  <c:v>4197.50688</c:v>
                </c:pt>
                <c:pt idx="10957">
                  <c:v>4210.877665</c:v>
                </c:pt>
                <c:pt idx="10958">
                  <c:v>4224.27676</c:v>
                </c:pt>
                <c:pt idx="10959">
                  <c:v>4237.704195</c:v>
                </c:pt>
                <c:pt idx="10960">
                  <c:v>4251.159999999998</c:v>
                </c:pt>
                <c:pt idx="10961">
                  <c:v>4264.644205</c:v>
                </c:pt>
                <c:pt idx="10962">
                  <c:v>4278.15684</c:v>
                </c:pt>
                <c:pt idx="10963">
                  <c:v>4291.697935000002</c:v>
                </c:pt>
                <c:pt idx="10964">
                  <c:v>4305.26752</c:v>
                </c:pt>
                <c:pt idx="10965">
                  <c:v>4318.865625</c:v>
                </c:pt>
                <c:pt idx="10966">
                  <c:v>4332.49228</c:v>
                </c:pt>
                <c:pt idx="10967">
                  <c:v>4346.147515</c:v>
                </c:pt>
                <c:pt idx="10968">
                  <c:v>4359.831360000002</c:v>
                </c:pt>
                <c:pt idx="10969">
                  <c:v>4373.543844999998</c:v>
                </c:pt>
                <c:pt idx="10970">
                  <c:v>4387.285</c:v>
                </c:pt>
                <c:pt idx="10971">
                  <c:v>4401.054854999999</c:v>
                </c:pt>
                <c:pt idx="10972">
                  <c:v>4414.85344</c:v>
                </c:pt>
                <c:pt idx="10973">
                  <c:v>4428.6807850000005</c:v>
                </c:pt>
                <c:pt idx="10974">
                  <c:v>4442.5369200000005</c:v>
                </c:pt>
                <c:pt idx="10975">
                  <c:v>4456.421875</c:v>
                </c:pt>
                <c:pt idx="10976">
                  <c:v>4470.33568</c:v>
                </c:pt>
                <c:pt idx="10977">
                  <c:v>4484.278365</c:v>
                </c:pt>
                <c:pt idx="10978">
                  <c:v>4498.24996</c:v>
                </c:pt>
                <c:pt idx="10979">
                  <c:v>4512.250495</c:v>
                </c:pt>
                <c:pt idx="10980">
                  <c:v>4526.28</c:v>
                </c:pt>
                <c:pt idx="10981">
                  <c:v>4540.338505</c:v>
                </c:pt>
                <c:pt idx="10982">
                  <c:v>4554.42604</c:v>
                </c:pt>
                <c:pt idx="10983">
                  <c:v>4568.542634999998</c:v>
                </c:pt>
                <c:pt idx="10984">
                  <c:v>4582.688320000002</c:v>
                </c:pt>
                <c:pt idx="10985">
                  <c:v>4596.863125</c:v>
                </c:pt>
                <c:pt idx="10986">
                  <c:v>4611.067080000001</c:v>
                </c:pt>
                <c:pt idx="10987">
                  <c:v>4625.300215</c:v>
                </c:pt>
                <c:pt idx="10988">
                  <c:v>4639.56256</c:v>
                </c:pt>
                <c:pt idx="10989">
                  <c:v>4653.854144999999</c:v>
                </c:pt>
                <c:pt idx="10990">
                  <c:v>4668.175</c:v>
                </c:pt>
                <c:pt idx="10991">
                  <c:v>4682.525155</c:v>
                </c:pt>
                <c:pt idx="10992">
                  <c:v>4696.90464</c:v>
                </c:pt>
                <c:pt idx="10993">
                  <c:v>4711.313485</c:v>
                </c:pt>
                <c:pt idx="10994">
                  <c:v>4725.751719999999</c:v>
                </c:pt>
                <c:pt idx="10995">
                  <c:v>4740.219375000001</c:v>
                </c:pt>
                <c:pt idx="10996">
                  <c:v>4754.71648</c:v>
                </c:pt>
                <c:pt idx="10997">
                  <c:v>4769.243065000002</c:v>
                </c:pt>
                <c:pt idx="10998">
                  <c:v>4783.79916</c:v>
                </c:pt>
                <c:pt idx="10999">
                  <c:v>4798.384795</c:v>
                </c:pt>
                <c:pt idx="11000">
                  <c:v>4813.0</c:v>
                </c:pt>
                <c:pt idx="11001">
                  <c:v>4827.644805000002</c:v>
                </c:pt>
                <c:pt idx="11002">
                  <c:v>4842.31924</c:v>
                </c:pt>
                <c:pt idx="11003">
                  <c:v>4857.023335</c:v>
                </c:pt>
                <c:pt idx="11004">
                  <c:v>4871.75712</c:v>
                </c:pt>
                <c:pt idx="11005">
                  <c:v>4886.520625000002</c:v>
                </c:pt>
                <c:pt idx="11006">
                  <c:v>4901.313880000001</c:v>
                </c:pt>
                <c:pt idx="11007">
                  <c:v>4916.136915</c:v>
                </c:pt>
                <c:pt idx="11008">
                  <c:v>4930.98976</c:v>
                </c:pt>
                <c:pt idx="11009">
                  <c:v>4945.872445</c:v>
                </c:pt>
                <c:pt idx="11010">
                  <c:v>4960.785</c:v>
                </c:pt>
                <c:pt idx="11011">
                  <c:v>4975.727455</c:v>
                </c:pt>
                <c:pt idx="11012">
                  <c:v>4990.69984</c:v>
                </c:pt>
                <c:pt idx="11013">
                  <c:v>5005.702185</c:v>
                </c:pt>
                <c:pt idx="11014">
                  <c:v>5020.734520000002</c:v>
                </c:pt>
                <c:pt idx="11015">
                  <c:v>5035.796875</c:v>
                </c:pt>
                <c:pt idx="11016">
                  <c:v>5050.889279999999</c:v>
                </c:pt>
                <c:pt idx="11017">
                  <c:v>5066.011765</c:v>
                </c:pt>
                <c:pt idx="11018">
                  <c:v>5081.16436</c:v>
                </c:pt>
                <c:pt idx="11019">
                  <c:v>5096.347095</c:v>
                </c:pt>
                <c:pt idx="11020">
                  <c:v>5111.56</c:v>
                </c:pt>
                <c:pt idx="11021">
                  <c:v>5126.803105</c:v>
                </c:pt>
                <c:pt idx="11022">
                  <c:v>5142.076440000003</c:v>
                </c:pt>
                <c:pt idx="11023">
                  <c:v>5157.380034999998</c:v>
                </c:pt>
                <c:pt idx="11024">
                  <c:v>5172.713919999997</c:v>
                </c:pt>
                <c:pt idx="11025">
                  <c:v>5188.078125</c:v>
                </c:pt>
                <c:pt idx="11026">
                  <c:v>5203.47268</c:v>
                </c:pt>
                <c:pt idx="11027">
                  <c:v>5218.897615000001</c:v>
                </c:pt>
                <c:pt idx="11028">
                  <c:v>5234.35296</c:v>
                </c:pt>
                <c:pt idx="11029">
                  <c:v>5249.838745</c:v>
                </c:pt>
                <c:pt idx="11030">
                  <c:v>5265.3550000000005</c:v>
                </c:pt>
                <c:pt idx="11031">
                  <c:v>5280.901755</c:v>
                </c:pt>
                <c:pt idx="11032">
                  <c:v>5296.47904</c:v>
                </c:pt>
                <c:pt idx="11033">
                  <c:v>5312.0868850000015</c:v>
                </c:pt>
                <c:pt idx="11034">
                  <c:v>5327.7253200000005</c:v>
                </c:pt>
                <c:pt idx="11035">
                  <c:v>5343.394375000001</c:v>
                </c:pt>
                <c:pt idx="11036">
                  <c:v>5359.09408</c:v>
                </c:pt>
                <c:pt idx="11037">
                  <c:v>5374.824465</c:v>
                </c:pt>
                <c:pt idx="11038">
                  <c:v>5390.5855599999995</c:v>
                </c:pt>
                <c:pt idx="11039">
                  <c:v>5406.377395</c:v>
                </c:pt>
                <c:pt idx="11040">
                  <c:v>5422.2</c:v>
                </c:pt>
                <c:pt idx="11041">
                  <c:v>5438.053405</c:v>
                </c:pt>
                <c:pt idx="11042">
                  <c:v>5453.93764</c:v>
                </c:pt>
                <c:pt idx="11043">
                  <c:v>5469.852735</c:v>
                </c:pt>
                <c:pt idx="11044">
                  <c:v>5485.79872</c:v>
                </c:pt>
                <c:pt idx="11045">
                  <c:v>5501.775625</c:v>
                </c:pt>
                <c:pt idx="11046">
                  <c:v>5517.78348</c:v>
                </c:pt>
                <c:pt idx="11047">
                  <c:v>5533.822315</c:v>
                </c:pt>
                <c:pt idx="11048">
                  <c:v>5549.892159999999</c:v>
                </c:pt>
                <c:pt idx="11049">
                  <c:v>5565.993045</c:v>
                </c:pt>
                <c:pt idx="11050">
                  <c:v>5582.124999999998</c:v>
                </c:pt>
                <c:pt idx="11051">
                  <c:v>5598.288054999998</c:v>
                </c:pt>
                <c:pt idx="11052">
                  <c:v>5614.48224</c:v>
                </c:pt>
                <c:pt idx="11053">
                  <c:v>5630.707585</c:v>
                </c:pt>
                <c:pt idx="11054">
                  <c:v>5646.964120000001</c:v>
                </c:pt>
                <c:pt idx="11055">
                  <c:v>5663.251875</c:v>
                </c:pt>
                <c:pt idx="11056">
                  <c:v>5679.57088</c:v>
                </c:pt>
                <c:pt idx="11057">
                  <c:v>5695.921165</c:v>
                </c:pt>
                <c:pt idx="11058">
                  <c:v>5712.30276</c:v>
                </c:pt>
                <c:pt idx="11059">
                  <c:v>5728.715694999998</c:v>
                </c:pt>
                <c:pt idx="11060">
                  <c:v>5745.16</c:v>
                </c:pt>
                <c:pt idx="11061">
                  <c:v>5761.635705000001</c:v>
                </c:pt>
                <c:pt idx="11062">
                  <c:v>5778.14284</c:v>
                </c:pt>
                <c:pt idx="11063">
                  <c:v>5794.6814349999995</c:v>
                </c:pt>
                <c:pt idx="11064">
                  <c:v>5811.25152</c:v>
                </c:pt>
                <c:pt idx="11065">
                  <c:v>5827.853125</c:v>
                </c:pt>
                <c:pt idx="11066">
                  <c:v>5844.486279999999</c:v>
                </c:pt>
                <c:pt idx="11067">
                  <c:v>5861.151015</c:v>
                </c:pt>
                <c:pt idx="11068">
                  <c:v>5877.84736</c:v>
                </c:pt>
                <c:pt idx="11069">
                  <c:v>5894.575345</c:v>
                </c:pt>
                <c:pt idx="11070">
                  <c:v>5911.335</c:v>
                </c:pt>
                <c:pt idx="11071">
                  <c:v>5928.126355</c:v>
                </c:pt>
                <c:pt idx="11072">
                  <c:v>5944.94944</c:v>
                </c:pt>
                <c:pt idx="11073">
                  <c:v>5961.804285000002</c:v>
                </c:pt>
                <c:pt idx="11074">
                  <c:v>5978.69092</c:v>
                </c:pt>
                <c:pt idx="11075">
                  <c:v>5995.609375</c:v>
                </c:pt>
                <c:pt idx="11076">
                  <c:v>6012.559679999999</c:v>
                </c:pt>
                <c:pt idx="11077">
                  <c:v>6029.541865</c:v>
                </c:pt>
                <c:pt idx="11078">
                  <c:v>6046.55596</c:v>
                </c:pt>
                <c:pt idx="11079">
                  <c:v>6063.601995</c:v>
                </c:pt>
                <c:pt idx="11080">
                  <c:v>6080.68</c:v>
                </c:pt>
                <c:pt idx="11081">
                  <c:v>6097.790005</c:v>
                </c:pt>
                <c:pt idx="11082">
                  <c:v>6114.93204</c:v>
                </c:pt>
                <c:pt idx="11083">
                  <c:v>6132.106135</c:v>
                </c:pt>
                <c:pt idx="11084">
                  <c:v>6149.31232</c:v>
                </c:pt>
                <c:pt idx="11085">
                  <c:v>6166.550625</c:v>
                </c:pt>
                <c:pt idx="11086">
                  <c:v>6183.8210800000015</c:v>
                </c:pt>
                <c:pt idx="11087">
                  <c:v>6201.123715000001</c:v>
                </c:pt>
                <c:pt idx="11088">
                  <c:v>6218.45856</c:v>
                </c:pt>
                <c:pt idx="11089">
                  <c:v>6235.825645</c:v>
                </c:pt>
                <c:pt idx="11090">
                  <c:v>6253.225</c:v>
                </c:pt>
                <c:pt idx="11091">
                  <c:v>6270.656654999998</c:v>
                </c:pt>
                <c:pt idx="11092">
                  <c:v>6288.120640000002</c:v>
                </c:pt>
                <c:pt idx="11093">
                  <c:v>6305.616985000002</c:v>
                </c:pt>
                <c:pt idx="11094">
                  <c:v>6323.145719999998</c:v>
                </c:pt>
                <c:pt idx="11095">
                  <c:v>6340.706875</c:v>
                </c:pt>
                <c:pt idx="11096">
                  <c:v>6358.30048</c:v>
                </c:pt>
                <c:pt idx="11097">
                  <c:v>6375.926565000001</c:v>
                </c:pt>
                <c:pt idx="11098">
                  <c:v>6393.58516</c:v>
                </c:pt>
                <c:pt idx="11099">
                  <c:v>6411.276295</c:v>
                </c:pt>
                <c:pt idx="11100">
                  <c:v>6429.0</c:v>
                </c:pt>
                <c:pt idx="11101">
                  <c:v>6446.756305000002</c:v>
                </c:pt>
                <c:pt idx="11102">
                  <c:v>6464.5452399999995</c:v>
                </c:pt>
                <c:pt idx="11103">
                  <c:v>6482.366835</c:v>
                </c:pt>
                <c:pt idx="11104">
                  <c:v>6500.22112</c:v>
                </c:pt>
                <c:pt idx="11105">
                  <c:v>6518.108125</c:v>
                </c:pt>
                <c:pt idx="11106">
                  <c:v>6536.027879999999</c:v>
                </c:pt>
                <c:pt idx="11107">
                  <c:v>6553.980414999997</c:v>
                </c:pt>
                <c:pt idx="11108">
                  <c:v>6571.965759999998</c:v>
                </c:pt>
                <c:pt idx="11109">
                  <c:v>6589.983945</c:v>
                </c:pt>
                <c:pt idx="11110">
                  <c:v>6608.034999999998</c:v>
                </c:pt>
                <c:pt idx="11111">
                  <c:v>6626.118955</c:v>
                </c:pt>
                <c:pt idx="11112">
                  <c:v>6644.23584</c:v>
                </c:pt>
                <c:pt idx="11113">
                  <c:v>6662.385685</c:v>
                </c:pt>
                <c:pt idx="11114">
                  <c:v>6680.5685200000025</c:v>
                </c:pt>
                <c:pt idx="11115">
                  <c:v>6698.784375</c:v>
                </c:pt>
                <c:pt idx="11116">
                  <c:v>6717.033280000001</c:v>
                </c:pt>
                <c:pt idx="11117">
                  <c:v>6735.315265</c:v>
                </c:pt>
                <c:pt idx="11118">
                  <c:v>6753.630359999999</c:v>
                </c:pt>
                <c:pt idx="11119">
                  <c:v>6771.9785950000005</c:v>
                </c:pt>
                <c:pt idx="11120">
                  <c:v>6790.360000000001</c:v>
                </c:pt>
                <c:pt idx="11121">
                  <c:v>6808.7746050000005</c:v>
                </c:pt>
                <c:pt idx="11122">
                  <c:v>6827.22244</c:v>
                </c:pt>
                <c:pt idx="11123">
                  <c:v>6845.703535000002</c:v>
                </c:pt>
                <c:pt idx="11124">
                  <c:v>6864.217919999998</c:v>
                </c:pt>
                <c:pt idx="11125">
                  <c:v>6882.765625</c:v>
                </c:pt>
                <c:pt idx="11126">
                  <c:v>6901.346680000002</c:v>
                </c:pt>
                <c:pt idx="11127">
                  <c:v>6919.961115</c:v>
                </c:pt>
                <c:pt idx="11128">
                  <c:v>6938.6089600000005</c:v>
                </c:pt>
                <c:pt idx="11129">
                  <c:v>6957.290245</c:v>
                </c:pt>
                <c:pt idx="11130">
                  <c:v>6976.005</c:v>
                </c:pt>
                <c:pt idx="11131">
                  <c:v>6994.753255</c:v>
                </c:pt>
                <c:pt idx="11132">
                  <c:v>7013.53504</c:v>
                </c:pt>
                <c:pt idx="11133">
                  <c:v>7032.350385</c:v>
                </c:pt>
                <c:pt idx="11134">
                  <c:v>7051.1993200000015</c:v>
                </c:pt>
                <c:pt idx="11135">
                  <c:v>7070.081874999998</c:v>
                </c:pt>
                <c:pt idx="11136">
                  <c:v>7088.99808</c:v>
                </c:pt>
                <c:pt idx="11137">
                  <c:v>7107.947965000002</c:v>
                </c:pt>
                <c:pt idx="11138">
                  <c:v>7126.93156</c:v>
                </c:pt>
                <c:pt idx="11139">
                  <c:v>7145.948895000001</c:v>
                </c:pt>
                <c:pt idx="11140">
                  <c:v>7165.0</c:v>
                </c:pt>
                <c:pt idx="11141">
                  <c:v>7184.084905</c:v>
                </c:pt>
                <c:pt idx="11142">
                  <c:v>7203.203640000001</c:v>
                </c:pt>
                <c:pt idx="11143">
                  <c:v>7222.356235</c:v>
                </c:pt>
                <c:pt idx="11144">
                  <c:v>7241.54272</c:v>
                </c:pt>
                <c:pt idx="11145">
                  <c:v>7260.763125</c:v>
                </c:pt>
                <c:pt idx="11146">
                  <c:v>7280.017480000002</c:v>
                </c:pt>
                <c:pt idx="11147">
                  <c:v>7299.305815</c:v>
                </c:pt>
                <c:pt idx="11148">
                  <c:v>7318.62816</c:v>
                </c:pt>
                <c:pt idx="11149">
                  <c:v>7337.9845449999975</c:v>
                </c:pt>
                <c:pt idx="11150">
                  <c:v>7357.374999999998</c:v>
                </c:pt>
                <c:pt idx="11151">
                  <c:v>7376.7995550000005</c:v>
                </c:pt>
                <c:pt idx="11152">
                  <c:v>7396.25824</c:v>
                </c:pt>
                <c:pt idx="11153">
                  <c:v>7415.751085000002</c:v>
                </c:pt>
                <c:pt idx="11154">
                  <c:v>7435.27812</c:v>
                </c:pt>
                <c:pt idx="11155">
                  <c:v>7454.8393750000005</c:v>
                </c:pt>
                <c:pt idx="11156">
                  <c:v>7474.43488</c:v>
                </c:pt>
                <c:pt idx="11157">
                  <c:v>7494.064664999998</c:v>
                </c:pt>
                <c:pt idx="11158">
                  <c:v>7513.728760000001</c:v>
                </c:pt>
                <c:pt idx="11159">
                  <c:v>7533.427195</c:v>
                </c:pt>
                <c:pt idx="11160">
                  <c:v>7553.16</c:v>
                </c:pt>
                <c:pt idx="11161">
                  <c:v>7572.927205</c:v>
                </c:pt>
                <c:pt idx="11162">
                  <c:v>7592.72884</c:v>
                </c:pt>
                <c:pt idx="11163">
                  <c:v>7612.564935</c:v>
                </c:pt>
                <c:pt idx="11164">
                  <c:v>7632.43552</c:v>
                </c:pt>
                <c:pt idx="11165">
                  <c:v>7652.340625</c:v>
                </c:pt>
                <c:pt idx="11166">
                  <c:v>7672.280280000002</c:v>
                </c:pt>
                <c:pt idx="11167">
                  <c:v>7692.254514999998</c:v>
                </c:pt>
                <c:pt idx="11168">
                  <c:v>7712.26336</c:v>
                </c:pt>
                <c:pt idx="11169">
                  <c:v>7732.306844999999</c:v>
                </c:pt>
                <c:pt idx="11170">
                  <c:v>7752.385</c:v>
                </c:pt>
                <c:pt idx="11171">
                  <c:v>7772.4978550000005</c:v>
                </c:pt>
                <c:pt idx="11172">
                  <c:v>7792.64544</c:v>
                </c:pt>
                <c:pt idx="11173">
                  <c:v>7812.827785</c:v>
                </c:pt>
                <c:pt idx="11174">
                  <c:v>7833.04492</c:v>
                </c:pt>
                <c:pt idx="11175">
                  <c:v>7853.296874999998</c:v>
                </c:pt>
                <c:pt idx="11176">
                  <c:v>7873.583679999998</c:v>
                </c:pt>
                <c:pt idx="11177">
                  <c:v>7893.9053650000005</c:v>
                </c:pt>
                <c:pt idx="11178">
                  <c:v>7914.26196</c:v>
                </c:pt>
                <c:pt idx="11179">
                  <c:v>7934.6534950000005</c:v>
                </c:pt>
                <c:pt idx="11180">
                  <c:v>7955.08</c:v>
                </c:pt>
                <c:pt idx="11181">
                  <c:v>7975.541505</c:v>
                </c:pt>
                <c:pt idx="11182">
                  <c:v>7996.0380399999995</c:v>
                </c:pt>
                <c:pt idx="11183">
                  <c:v>8016.569635000001</c:v>
                </c:pt>
                <c:pt idx="11184">
                  <c:v>8037.1363200000005</c:v>
                </c:pt>
                <c:pt idx="11185">
                  <c:v>8057.738125</c:v>
                </c:pt>
                <c:pt idx="11186">
                  <c:v>8078.375080000001</c:v>
                </c:pt>
                <c:pt idx="11187">
                  <c:v>8099.047215</c:v>
                </c:pt>
                <c:pt idx="11188">
                  <c:v>8119.75456</c:v>
                </c:pt>
                <c:pt idx="11189">
                  <c:v>8140.497144999999</c:v>
                </c:pt>
                <c:pt idx="11190">
                  <c:v>8161.275</c:v>
                </c:pt>
                <c:pt idx="11191">
                  <c:v>8182.0881549999995</c:v>
                </c:pt>
                <c:pt idx="11192">
                  <c:v>8202.93664</c:v>
                </c:pt>
                <c:pt idx="11193">
                  <c:v>8223.820485</c:v>
                </c:pt>
                <c:pt idx="11194">
                  <c:v>8244.73972</c:v>
                </c:pt>
                <c:pt idx="11195">
                  <c:v>8265.694375000001</c:v>
                </c:pt>
                <c:pt idx="11196">
                  <c:v>8286.684479999998</c:v>
                </c:pt>
                <c:pt idx="11197">
                  <c:v>8307.710065</c:v>
                </c:pt>
                <c:pt idx="11198">
                  <c:v>8328.771160000002</c:v>
                </c:pt>
                <c:pt idx="11199">
                  <c:v>8349.867795</c:v>
                </c:pt>
                <c:pt idx="11200">
                  <c:v>8371.0</c:v>
                </c:pt>
                <c:pt idx="11201">
                  <c:v>8392.167805000001</c:v>
                </c:pt>
                <c:pt idx="11202">
                  <c:v>8413.37124</c:v>
                </c:pt>
                <c:pt idx="11203">
                  <c:v>8434.610335</c:v>
                </c:pt>
                <c:pt idx="11204">
                  <c:v>8455.885119999997</c:v>
                </c:pt>
                <c:pt idx="11205">
                  <c:v>8477.195625</c:v>
                </c:pt>
                <c:pt idx="11206">
                  <c:v>8498.54188</c:v>
                </c:pt>
                <c:pt idx="11207">
                  <c:v>8519.923915000003</c:v>
                </c:pt>
                <c:pt idx="11208">
                  <c:v>8541.341760000003</c:v>
                </c:pt>
                <c:pt idx="11209">
                  <c:v>8562.795445</c:v>
                </c:pt>
                <c:pt idx="11210">
                  <c:v>8584.284999999998</c:v>
                </c:pt>
                <c:pt idx="11211">
                  <c:v>8605.810454999999</c:v>
                </c:pt>
                <c:pt idx="11212">
                  <c:v>8627.37184</c:v>
                </c:pt>
                <c:pt idx="11213">
                  <c:v>8648.969185000002</c:v>
                </c:pt>
                <c:pt idx="11214">
                  <c:v>8670.60252</c:v>
                </c:pt>
                <c:pt idx="11215">
                  <c:v>8692.271874999999</c:v>
                </c:pt>
                <c:pt idx="11216">
                  <c:v>8713.97728</c:v>
                </c:pt>
                <c:pt idx="11217">
                  <c:v>8735.718765000001</c:v>
                </c:pt>
                <c:pt idx="11218">
                  <c:v>8757.496360000001</c:v>
                </c:pt>
                <c:pt idx="11219">
                  <c:v>8779.310094999999</c:v>
                </c:pt>
                <c:pt idx="11220">
                  <c:v>8801.16</c:v>
                </c:pt>
                <c:pt idx="11221">
                  <c:v>8823.046105000001</c:v>
                </c:pt>
                <c:pt idx="11222">
                  <c:v>8844.96844</c:v>
                </c:pt>
                <c:pt idx="11223">
                  <c:v>8866.927034999999</c:v>
                </c:pt>
                <c:pt idx="11224">
                  <c:v>8888.921919999999</c:v>
                </c:pt>
                <c:pt idx="11225">
                  <c:v>8910.953125</c:v>
                </c:pt>
                <c:pt idx="11226">
                  <c:v>8933.02068</c:v>
                </c:pt>
                <c:pt idx="11227">
                  <c:v>8955.124615</c:v>
                </c:pt>
                <c:pt idx="11228">
                  <c:v>8977.264960000002</c:v>
                </c:pt>
                <c:pt idx="11229">
                  <c:v>8999.441745</c:v>
                </c:pt>
                <c:pt idx="11230">
                  <c:v>9021.655</c:v>
                </c:pt>
                <c:pt idx="11231">
                  <c:v>9043.904755</c:v>
                </c:pt>
                <c:pt idx="11232">
                  <c:v>9066.191040000002</c:v>
                </c:pt>
                <c:pt idx="11233">
                  <c:v>9088.513884999998</c:v>
                </c:pt>
                <c:pt idx="11234">
                  <c:v>9110.87332</c:v>
                </c:pt>
                <c:pt idx="11235">
                  <c:v>9133.269375</c:v>
                </c:pt>
                <c:pt idx="11236">
                  <c:v>9155.70208</c:v>
                </c:pt>
                <c:pt idx="11237">
                  <c:v>9178.171465</c:v>
                </c:pt>
                <c:pt idx="11238">
                  <c:v>9200.67756</c:v>
                </c:pt>
                <c:pt idx="11239">
                  <c:v>9223.220395</c:v>
                </c:pt>
                <c:pt idx="11240">
                  <c:v>9245.799999999997</c:v>
                </c:pt>
                <c:pt idx="11241">
                  <c:v>9268.416404999998</c:v>
                </c:pt>
                <c:pt idx="11242">
                  <c:v>9291.069640000002</c:v>
                </c:pt>
                <c:pt idx="11243">
                  <c:v>9313.759735</c:v>
                </c:pt>
                <c:pt idx="11244">
                  <c:v>9336.486720000003</c:v>
                </c:pt>
                <c:pt idx="11245">
                  <c:v>9359.250624999999</c:v>
                </c:pt>
                <c:pt idx="11246">
                  <c:v>9382.05148</c:v>
                </c:pt>
                <c:pt idx="11247">
                  <c:v>9404.889314999999</c:v>
                </c:pt>
                <c:pt idx="11248">
                  <c:v>9427.764160000002</c:v>
                </c:pt>
                <c:pt idx="11249">
                  <c:v>9450.676045</c:v>
                </c:pt>
                <c:pt idx="11250">
                  <c:v>9473.624999999998</c:v>
                </c:pt>
                <c:pt idx="11251">
                  <c:v>9496.611055</c:v>
                </c:pt>
                <c:pt idx="11252">
                  <c:v>9519.63424</c:v>
                </c:pt>
                <c:pt idx="11253">
                  <c:v>9542.694585000003</c:v>
                </c:pt>
                <c:pt idx="11254">
                  <c:v>9565.792120000002</c:v>
                </c:pt>
                <c:pt idx="11255">
                  <c:v>9588.926875000001</c:v>
                </c:pt>
                <c:pt idx="11256">
                  <c:v>9612.098880000001</c:v>
                </c:pt>
                <c:pt idx="11257">
                  <c:v>9635.308165</c:v>
                </c:pt>
                <c:pt idx="11258">
                  <c:v>9658.55476</c:v>
                </c:pt>
                <c:pt idx="11259">
                  <c:v>9681.838695000002</c:v>
                </c:pt>
                <c:pt idx="11260">
                  <c:v>9705.159999999998</c:v>
                </c:pt>
                <c:pt idx="11261">
                  <c:v>9728.518705000002</c:v>
                </c:pt>
                <c:pt idx="11262">
                  <c:v>9751.914840000001</c:v>
                </c:pt>
                <c:pt idx="11263">
                  <c:v>9775.348435</c:v>
                </c:pt>
                <c:pt idx="11264">
                  <c:v>9798.819520000001</c:v>
                </c:pt>
                <c:pt idx="11265">
                  <c:v>9822.328125</c:v>
                </c:pt>
                <c:pt idx="11266">
                  <c:v>9845.87428</c:v>
                </c:pt>
                <c:pt idx="11267">
                  <c:v>9869.458015000002</c:v>
                </c:pt>
                <c:pt idx="11268">
                  <c:v>9893.079359999998</c:v>
                </c:pt>
                <c:pt idx="11269">
                  <c:v>9916.738345000002</c:v>
                </c:pt>
                <c:pt idx="11270">
                  <c:v>9940.434999999998</c:v>
                </c:pt>
                <c:pt idx="11271">
                  <c:v>9964.169355</c:v>
                </c:pt>
                <c:pt idx="11272">
                  <c:v>9987.941440000002</c:v>
                </c:pt>
                <c:pt idx="11273">
                  <c:v>10011.751285000002</c:v>
                </c:pt>
                <c:pt idx="11274">
                  <c:v>10035.598919999997</c:v>
                </c:pt>
                <c:pt idx="11275">
                  <c:v>10059.484375</c:v>
                </c:pt>
                <c:pt idx="11276">
                  <c:v>10083.407680000002</c:v>
                </c:pt>
                <c:pt idx="11277">
                  <c:v>10107.368865</c:v>
                </c:pt>
                <c:pt idx="11278">
                  <c:v>10131.367960000001</c:v>
                </c:pt>
                <c:pt idx="11279">
                  <c:v>10155.404995000003</c:v>
                </c:pt>
                <c:pt idx="11280">
                  <c:v>10179.48</c:v>
                </c:pt>
                <c:pt idx="11281">
                  <c:v>10203.593005000002</c:v>
                </c:pt>
                <c:pt idx="11282">
                  <c:v>10227.744040000001</c:v>
                </c:pt>
                <c:pt idx="11283">
                  <c:v>10251.933135</c:v>
                </c:pt>
                <c:pt idx="11284">
                  <c:v>10276.16032</c:v>
                </c:pt>
                <c:pt idx="11285">
                  <c:v>10300.425625</c:v>
                </c:pt>
                <c:pt idx="11286">
                  <c:v>10324.729080000001</c:v>
                </c:pt>
                <c:pt idx="11287">
                  <c:v>10349.070714999998</c:v>
                </c:pt>
                <c:pt idx="11288">
                  <c:v>10373.450560000001</c:v>
                </c:pt>
                <c:pt idx="11289">
                  <c:v>10397.868645</c:v>
                </c:pt>
                <c:pt idx="11290">
                  <c:v>10422.325</c:v>
                </c:pt>
                <c:pt idx="11291">
                  <c:v>10446.819655</c:v>
                </c:pt>
                <c:pt idx="11292">
                  <c:v>10471.352640000001</c:v>
                </c:pt>
                <c:pt idx="11293">
                  <c:v>10495.923984999998</c:v>
                </c:pt>
                <c:pt idx="11294">
                  <c:v>10520.533720000001</c:v>
                </c:pt>
                <c:pt idx="11295">
                  <c:v>10545.181875000002</c:v>
                </c:pt>
                <c:pt idx="11296">
                  <c:v>10569.868480000001</c:v>
                </c:pt>
                <c:pt idx="11297">
                  <c:v>10594.593565</c:v>
                </c:pt>
                <c:pt idx="11298">
                  <c:v>10619.357160000001</c:v>
                </c:pt>
                <c:pt idx="11299">
                  <c:v>10644.159295000001</c:v>
                </c:pt>
                <c:pt idx="11300">
                  <c:v>10668.999999999998</c:v>
                </c:pt>
                <c:pt idx="11301">
                  <c:v>10693.879305</c:v>
                </c:pt>
                <c:pt idx="11302">
                  <c:v>10718.79724</c:v>
                </c:pt>
                <c:pt idx="11303">
                  <c:v>10743.753835000001</c:v>
                </c:pt>
                <c:pt idx="11304">
                  <c:v>10768.74912</c:v>
                </c:pt>
                <c:pt idx="11305">
                  <c:v>10793.783125</c:v>
                </c:pt>
                <c:pt idx="11306">
                  <c:v>10818.855880000003</c:v>
                </c:pt>
                <c:pt idx="11307">
                  <c:v>10843.967415</c:v>
                </c:pt>
                <c:pt idx="11308">
                  <c:v>10869.117759999997</c:v>
                </c:pt>
                <c:pt idx="11309">
                  <c:v>10894.306945</c:v>
                </c:pt>
                <c:pt idx="11310">
                  <c:v>10919.534999999998</c:v>
                </c:pt>
                <c:pt idx="11311">
                  <c:v>10944.801954999999</c:v>
                </c:pt>
                <c:pt idx="11312">
                  <c:v>10970.107839999997</c:v>
                </c:pt>
                <c:pt idx="11313">
                  <c:v>10995.452684999998</c:v>
                </c:pt>
                <c:pt idx="11314">
                  <c:v>11020.836519999999</c:v>
                </c:pt>
                <c:pt idx="11315">
                  <c:v>11046.259375</c:v>
                </c:pt>
                <c:pt idx="11316">
                  <c:v>11071.721280000002</c:v>
                </c:pt>
                <c:pt idx="11317">
                  <c:v>11097.222265</c:v>
                </c:pt>
                <c:pt idx="11318">
                  <c:v>11122.76236</c:v>
                </c:pt>
                <c:pt idx="11319">
                  <c:v>11148.341595000002</c:v>
                </c:pt>
                <c:pt idx="11320">
                  <c:v>11173.960000000001</c:v>
                </c:pt>
                <c:pt idx="11321">
                  <c:v>11199.617604999998</c:v>
                </c:pt>
                <c:pt idx="11322">
                  <c:v>11225.314439999996</c:v>
                </c:pt>
                <c:pt idx="11323">
                  <c:v>11251.050535000002</c:v>
                </c:pt>
                <c:pt idx="11324">
                  <c:v>11276.825920000001</c:v>
                </c:pt>
                <c:pt idx="11325">
                  <c:v>11302.640625000002</c:v>
                </c:pt>
                <c:pt idx="11326">
                  <c:v>11328.49468</c:v>
                </c:pt>
                <c:pt idx="11327">
                  <c:v>11354.388114999998</c:v>
                </c:pt>
                <c:pt idx="11328">
                  <c:v>11380.32096</c:v>
                </c:pt>
                <c:pt idx="11329">
                  <c:v>11406.293245</c:v>
                </c:pt>
                <c:pt idx="11330">
                  <c:v>11432.305</c:v>
                </c:pt>
                <c:pt idx="11331">
                  <c:v>11458.356255</c:v>
                </c:pt>
                <c:pt idx="11332">
                  <c:v>11484.44704</c:v>
                </c:pt>
                <c:pt idx="11333">
                  <c:v>11510.577384999999</c:v>
                </c:pt>
                <c:pt idx="11334">
                  <c:v>11536.747319999999</c:v>
                </c:pt>
                <c:pt idx="11335">
                  <c:v>11562.956875000002</c:v>
                </c:pt>
                <c:pt idx="11336">
                  <c:v>11589.206080000002</c:v>
                </c:pt>
                <c:pt idx="11337">
                  <c:v>11615.494965</c:v>
                </c:pt>
                <c:pt idx="11338">
                  <c:v>11641.823560000003</c:v>
                </c:pt>
                <c:pt idx="11339">
                  <c:v>11668.191894999998</c:v>
                </c:pt>
                <c:pt idx="11340">
                  <c:v>11694.599999999999</c:v>
                </c:pt>
                <c:pt idx="11341">
                  <c:v>11721.047905</c:v>
                </c:pt>
                <c:pt idx="11342">
                  <c:v>11747.535640000004</c:v>
                </c:pt>
                <c:pt idx="11343">
                  <c:v>11774.063235000001</c:v>
                </c:pt>
                <c:pt idx="11344">
                  <c:v>11800.630720000001</c:v>
                </c:pt>
                <c:pt idx="11345">
                  <c:v>11827.238125</c:v>
                </c:pt>
                <c:pt idx="11346">
                  <c:v>11853.885479999999</c:v>
                </c:pt>
                <c:pt idx="11347">
                  <c:v>11880.572815</c:v>
                </c:pt>
                <c:pt idx="11348">
                  <c:v>11907.30016</c:v>
                </c:pt>
                <c:pt idx="11349">
                  <c:v>11934.067545</c:v>
                </c:pt>
                <c:pt idx="11350">
                  <c:v>11960.875</c:v>
                </c:pt>
                <c:pt idx="11351">
                  <c:v>11987.722554999997</c:v>
                </c:pt>
                <c:pt idx="11352">
                  <c:v>12014.610239999998</c:v>
                </c:pt>
                <c:pt idx="11353">
                  <c:v>12041.538085</c:v>
                </c:pt>
                <c:pt idx="11354">
                  <c:v>12068.506120000002</c:v>
                </c:pt>
                <c:pt idx="11355">
                  <c:v>12095.514375000002</c:v>
                </c:pt>
                <c:pt idx="11356">
                  <c:v>12122.562879999998</c:v>
                </c:pt>
                <c:pt idx="11357">
                  <c:v>12149.651665000001</c:v>
                </c:pt>
                <c:pt idx="11358">
                  <c:v>12176.780760000001</c:v>
                </c:pt>
                <c:pt idx="11359">
                  <c:v>12203.950195</c:v>
                </c:pt>
                <c:pt idx="11360">
                  <c:v>12231.16</c:v>
                </c:pt>
                <c:pt idx="11361">
                  <c:v>12258.410205000002</c:v>
                </c:pt>
                <c:pt idx="11362">
                  <c:v>12285.70084</c:v>
                </c:pt>
                <c:pt idx="11363">
                  <c:v>12313.031934999999</c:v>
                </c:pt>
                <c:pt idx="11364">
                  <c:v>12340.40352</c:v>
                </c:pt>
                <c:pt idx="11365">
                  <c:v>12367.815625000003</c:v>
                </c:pt>
                <c:pt idx="11366">
                  <c:v>12395.26828</c:v>
                </c:pt>
                <c:pt idx="11367">
                  <c:v>12422.761515000002</c:v>
                </c:pt>
                <c:pt idx="11368">
                  <c:v>12450.295359999998</c:v>
                </c:pt>
                <c:pt idx="11369">
                  <c:v>12477.869845</c:v>
                </c:pt>
                <c:pt idx="11370">
                  <c:v>12505.484999999999</c:v>
                </c:pt>
                <c:pt idx="11371">
                  <c:v>12533.140855000001</c:v>
                </c:pt>
                <c:pt idx="11372">
                  <c:v>12560.83744</c:v>
                </c:pt>
                <c:pt idx="11373">
                  <c:v>12588.574784999999</c:v>
                </c:pt>
                <c:pt idx="11374">
                  <c:v>12616.352920000001</c:v>
                </c:pt>
                <c:pt idx="11375">
                  <c:v>12644.171875</c:v>
                </c:pt>
                <c:pt idx="11376">
                  <c:v>12672.03168</c:v>
                </c:pt>
                <c:pt idx="11377">
                  <c:v>12699.932365</c:v>
                </c:pt>
                <c:pt idx="11378">
                  <c:v>12727.87396</c:v>
                </c:pt>
                <c:pt idx="11379">
                  <c:v>12755.856495</c:v>
                </c:pt>
                <c:pt idx="11380">
                  <c:v>12783.879999999997</c:v>
                </c:pt>
                <c:pt idx="11381">
                  <c:v>12811.944505</c:v>
                </c:pt>
                <c:pt idx="11382">
                  <c:v>12840.05004</c:v>
                </c:pt>
                <c:pt idx="11383">
                  <c:v>12868.196635</c:v>
                </c:pt>
                <c:pt idx="11384">
                  <c:v>12896.38432</c:v>
                </c:pt>
                <c:pt idx="11385">
                  <c:v>12924.613124999998</c:v>
                </c:pt>
                <c:pt idx="11386">
                  <c:v>12952.88308</c:v>
                </c:pt>
                <c:pt idx="11387">
                  <c:v>12981.194215000001</c:v>
                </c:pt>
                <c:pt idx="11388">
                  <c:v>13009.546559999999</c:v>
                </c:pt>
                <c:pt idx="11389">
                  <c:v>13037.940145</c:v>
                </c:pt>
                <c:pt idx="11390">
                  <c:v>13066.375000000002</c:v>
                </c:pt>
                <c:pt idx="11391">
                  <c:v>13094.851155</c:v>
                </c:pt>
                <c:pt idx="11392">
                  <c:v>13123.368639999999</c:v>
                </c:pt>
                <c:pt idx="11393">
                  <c:v>13151.927485</c:v>
                </c:pt>
                <c:pt idx="11394">
                  <c:v>13180.527720000002</c:v>
                </c:pt>
                <c:pt idx="11395">
                  <c:v>13209.169374999998</c:v>
                </c:pt>
                <c:pt idx="11396">
                  <c:v>13237.852480000001</c:v>
                </c:pt>
                <c:pt idx="11397">
                  <c:v>13266.577065000003</c:v>
                </c:pt>
                <c:pt idx="11398">
                  <c:v>13295.343159999995</c:v>
                </c:pt>
                <c:pt idx="11399">
                  <c:v>13324.150794999998</c:v>
                </c:pt>
                <c:pt idx="11400">
                  <c:v>13352.999999999998</c:v>
                </c:pt>
                <c:pt idx="11401">
                  <c:v>13381.890805000001</c:v>
                </c:pt>
                <c:pt idx="11402">
                  <c:v>13410.823240000002</c:v>
                </c:pt>
                <c:pt idx="11403">
                  <c:v>13439.797335000003</c:v>
                </c:pt>
                <c:pt idx="11404">
                  <c:v>13468.813120000004</c:v>
                </c:pt>
                <c:pt idx="11405">
                  <c:v>13497.870625000003</c:v>
                </c:pt>
                <c:pt idx="11406">
                  <c:v>13526.96988</c:v>
                </c:pt>
                <c:pt idx="11407">
                  <c:v>13556.110915000001</c:v>
                </c:pt>
                <c:pt idx="11408">
                  <c:v>13585.29376</c:v>
                </c:pt>
                <c:pt idx="11409">
                  <c:v>13614.518445</c:v>
                </c:pt>
                <c:pt idx="11410">
                  <c:v>13643.785</c:v>
                </c:pt>
                <c:pt idx="11411">
                  <c:v>13673.093455</c:v>
                </c:pt>
                <c:pt idx="11412">
                  <c:v>13702.44384</c:v>
                </c:pt>
                <c:pt idx="11413">
                  <c:v>13731.836184999998</c:v>
                </c:pt>
                <c:pt idx="11414">
                  <c:v>13761.270519999998</c:v>
                </c:pt>
                <c:pt idx="11415">
                  <c:v>13790.746875</c:v>
                </c:pt>
                <c:pt idx="11416">
                  <c:v>13820.265279999998</c:v>
                </c:pt>
                <c:pt idx="11417">
                  <c:v>13849.825765000001</c:v>
                </c:pt>
                <c:pt idx="11418">
                  <c:v>13879.42836</c:v>
                </c:pt>
                <c:pt idx="11419">
                  <c:v>13909.073095000002</c:v>
                </c:pt>
                <c:pt idx="11420">
                  <c:v>13938.76</c:v>
                </c:pt>
                <c:pt idx="11421">
                  <c:v>13968.489104999999</c:v>
                </c:pt>
                <c:pt idx="11422">
                  <c:v>13998.260439999998</c:v>
                </c:pt>
                <c:pt idx="11423">
                  <c:v>14028.074034999998</c:v>
                </c:pt>
                <c:pt idx="11424">
                  <c:v>14057.929920000004</c:v>
                </c:pt>
                <c:pt idx="11425">
                  <c:v>14087.828125000002</c:v>
                </c:pt>
                <c:pt idx="11426">
                  <c:v>14117.76868</c:v>
                </c:pt>
                <c:pt idx="11427">
                  <c:v>14147.751614999996</c:v>
                </c:pt>
                <c:pt idx="11428">
                  <c:v>14177.77696</c:v>
                </c:pt>
                <c:pt idx="11429">
                  <c:v>14207.844744999999</c:v>
                </c:pt>
                <c:pt idx="11430">
                  <c:v>14237.954999999998</c:v>
                </c:pt>
                <c:pt idx="11431">
                  <c:v>14268.107754999995</c:v>
                </c:pt>
                <c:pt idx="11432">
                  <c:v>14298.30304</c:v>
                </c:pt>
                <c:pt idx="11433">
                  <c:v>14328.540885</c:v>
                </c:pt>
                <c:pt idx="11434">
                  <c:v>14358.82132</c:v>
                </c:pt>
                <c:pt idx="11435">
                  <c:v>14389.144375000002</c:v>
                </c:pt>
                <c:pt idx="11436">
                  <c:v>14419.510079999995</c:v>
                </c:pt>
                <c:pt idx="11437">
                  <c:v>14449.918464999999</c:v>
                </c:pt>
                <c:pt idx="11438">
                  <c:v>14480.36956</c:v>
                </c:pt>
                <c:pt idx="11439">
                  <c:v>14510.863395000002</c:v>
                </c:pt>
                <c:pt idx="11440">
                  <c:v>14541.4</c:v>
                </c:pt>
                <c:pt idx="11441">
                  <c:v>14571.979405000002</c:v>
                </c:pt>
                <c:pt idx="11442">
                  <c:v>14602.601639999997</c:v>
                </c:pt>
                <c:pt idx="11443">
                  <c:v>14633.266735000003</c:v>
                </c:pt>
                <c:pt idx="11444">
                  <c:v>14663.974720000002</c:v>
                </c:pt>
                <c:pt idx="11445">
                  <c:v>14694.725625</c:v>
                </c:pt>
                <c:pt idx="11446">
                  <c:v>14725.519479999999</c:v>
                </c:pt>
                <c:pt idx="11447">
                  <c:v>14756.356314999997</c:v>
                </c:pt>
                <c:pt idx="11448">
                  <c:v>14787.236160000004</c:v>
                </c:pt>
                <c:pt idx="11449">
                  <c:v>14818.159044999999</c:v>
                </c:pt>
                <c:pt idx="11450">
                  <c:v>14849.125</c:v>
                </c:pt>
                <c:pt idx="11451">
                  <c:v>14880.134054999997</c:v>
                </c:pt>
                <c:pt idx="11452">
                  <c:v>14911.18624</c:v>
                </c:pt>
                <c:pt idx="11453">
                  <c:v>14942.281585</c:v>
                </c:pt>
                <c:pt idx="11454">
                  <c:v>14973.420120000002</c:v>
                </c:pt>
                <c:pt idx="11455">
                  <c:v>15004.601874999998</c:v>
                </c:pt>
                <c:pt idx="11456">
                  <c:v>15035.82688</c:v>
                </c:pt>
                <c:pt idx="11457">
                  <c:v>15067.095165</c:v>
                </c:pt>
                <c:pt idx="11458">
                  <c:v>15098.406760000002</c:v>
                </c:pt>
                <c:pt idx="11459">
                  <c:v>15129.761695</c:v>
                </c:pt>
                <c:pt idx="11460">
                  <c:v>15161.159999999996</c:v>
                </c:pt>
                <c:pt idx="11461">
                  <c:v>15192.601704999995</c:v>
                </c:pt>
                <c:pt idx="11462">
                  <c:v>15224.08684</c:v>
                </c:pt>
                <c:pt idx="11463">
                  <c:v>15255.615435</c:v>
                </c:pt>
                <c:pt idx="11464">
                  <c:v>15287.18752</c:v>
                </c:pt>
                <c:pt idx="11465">
                  <c:v>15318.803125</c:v>
                </c:pt>
                <c:pt idx="11466">
                  <c:v>15350.46228</c:v>
                </c:pt>
                <c:pt idx="11467">
                  <c:v>15382.165015000002</c:v>
                </c:pt>
                <c:pt idx="11468">
                  <c:v>15413.911360000002</c:v>
                </c:pt>
                <c:pt idx="11469">
                  <c:v>15445.701344999998</c:v>
                </c:pt>
                <c:pt idx="11470">
                  <c:v>15477.534999999998</c:v>
                </c:pt>
                <c:pt idx="11471">
                  <c:v>15509.412354999999</c:v>
                </c:pt>
                <c:pt idx="11472">
                  <c:v>15541.333440000002</c:v>
                </c:pt>
                <c:pt idx="11473">
                  <c:v>15573.298284999997</c:v>
                </c:pt>
                <c:pt idx="11474">
                  <c:v>15605.306919999999</c:v>
                </c:pt>
                <c:pt idx="11475">
                  <c:v>15637.359374999996</c:v>
                </c:pt>
                <c:pt idx="11476">
                  <c:v>15669.455679999997</c:v>
                </c:pt>
                <c:pt idx="11477">
                  <c:v>15701.595865000003</c:v>
                </c:pt>
                <c:pt idx="11478">
                  <c:v>15733.779960000002</c:v>
                </c:pt>
                <c:pt idx="11479">
                  <c:v>15766.007995</c:v>
                </c:pt>
                <c:pt idx="11480">
                  <c:v>15798.28</c:v>
                </c:pt>
                <c:pt idx="11481">
                  <c:v>15830.596005</c:v>
                </c:pt>
                <c:pt idx="11482">
                  <c:v>15862.95604</c:v>
                </c:pt>
                <c:pt idx="11483">
                  <c:v>15895.360135</c:v>
                </c:pt>
                <c:pt idx="11484">
                  <c:v>15927.80832</c:v>
                </c:pt>
                <c:pt idx="11485">
                  <c:v>15960.300625</c:v>
                </c:pt>
                <c:pt idx="11486">
                  <c:v>15992.837080000001</c:v>
                </c:pt>
                <c:pt idx="11487">
                  <c:v>16025.417715</c:v>
                </c:pt>
                <c:pt idx="11488">
                  <c:v>16058.04256</c:v>
                </c:pt>
                <c:pt idx="11489">
                  <c:v>16090.711644999998</c:v>
                </c:pt>
                <c:pt idx="11490">
                  <c:v>16123.425000000001</c:v>
                </c:pt>
                <c:pt idx="11491">
                  <c:v>16156.182655</c:v>
                </c:pt>
                <c:pt idx="11492">
                  <c:v>16188.984639999999</c:v>
                </c:pt>
                <c:pt idx="11493">
                  <c:v>16221.830985</c:v>
                </c:pt>
                <c:pt idx="11494">
                  <c:v>16254.72172</c:v>
                </c:pt>
                <c:pt idx="11495">
                  <c:v>16287.656875000002</c:v>
                </c:pt>
                <c:pt idx="11496">
                  <c:v>16320.63648</c:v>
                </c:pt>
                <c:pt idx="11497">
                  <c:v>16353.660565</c:v>
                </c:pt>
                <c:pt idx="11498">
                  <c:v>16386.72916</c:v>
                </c:pt>
                <c:pt idx="11499">
                  <c:v>16419.842295</c:v>
                </c:pt>
                <c:pt idx="11500">
                  <c:v>16453.000000000004</c:v>
                </c:pt>
                <c:pt idx="11501">
                  <c:v>16486.202305000003</c:v>
                </c:pt>
                <c:pt idx="11502">
                  <c:v>16519.449239999998</c:v>
                </c:pt>
                <c:pt idx="11503">
                  <c:v>16552.740835</c:v>
                </c:pt>
                <c:pt idx="11504">
                  <c:v>16586.077119999998</c:v>
                </c:pt>
                <c:pt idx="11505">
                  <c:v>16619.458125</c:v>
                </c:pt>
                <c:pt idx="11506">
                  <c:v>16652.883879999998</c:v>
                </c:pt>
                <c:pt idx="11507">
                  <c:v>16686.354415</c:v>
                </c:pt>
                <c:pt idx="11508">
                  <c:v>16719.86976</c:v>
                </c:pt>
                <c:pt idx="11509">
                  <c:v>16753.429945</c:v>
                </c:pt>
                <c:pt idx="11510">
                  <c:v>16787.034999999996</c:v>
                </c:pt>
                <c:pt idx="11511">
                  <c:v>16820.684955</c:v>
                </c:pt>
                <c:pt idx="11512">
                  <c:v>16854.379839999998</c:v>
                </c:pt>
                <c:pt idx="11513">
                  <c:v>16888.119685</c:v>
                </c:pt>
                <c:pt idx="11514">
                  <c:v>16921.90452</c:v>
                </c:pt>
                <c:pt idx="11515">
                  <c:v>16955.734375</c:v>
                </c:pt>
                <c:pt idx="11516">
                  <c:v>16989.60928</c:v>
                </c:pt>
                <c:pt idx="11517">
                  <c:v>17023.529265</c:v>
                </c:pt>
                <c:pt idx="11518">
                  <c:v>17057.494359999997</c:v>
                </c:pt>
                <c:pt idx="11519">
                  <c:v>17091.504595</c:v>
                </c:pt>
                <c:pt idx="11520">
                  <c:v>17125.56</c:v>
                </c:pt>
                <c:pt idx="11521">
                  <c:v>17159.660605</c:v>
                </c:pt>
                <c:pt idx="11522">
                  <c:v>17193.80644</c:v>
                </c:pt>
                <c:pt idx="11523">
                  <c:v>17227.997535</c:v>
                </c:pt>
                <c:pt idx="11524">
                  <c:v>17262.233920000002</c:v>
                </c:pt>
                <c:pt idx="11525">
                  <c:v>17296.515625000004</c:v>
                </c:pt>
                <c:pt idx="11526">
                  <c:v>17330.84268</c:v>
                </c:pt>
                <c:pt idx="11527">
                  <c:v>17365.215115</c:v>
                </c:pt>
                <c:pt idx="11528">
                  <c:v>17399.63296</c:v>
                </c:pt>
                <c:pt idx="11529">
                  <c:v>17434.096245</c:v>
                </c:pt>
                <c:pt idx="11530">
                  <c:v>17468.605</c:v>
                </c:pt>
                <c:pt idx="11531">
                  <c:v>17503.159255000002</c:v>
                </c:pt>
                <c:pt idx="11532">
                  <c:v>17537.75904</c:v>
                </c:pt>
                <c:pt idx="11533">
                  <c:v>17572.404385</c:v>
                </c:pt>
                <c:pt idx="11534">
                  <c:v>17607.09532</c:v>
                </c:pt>
                <c:pt idx="11535">
                  <c:v>17641.831874999996</c:v>
                </c:pt>
                <c:pt idx="11536">
                  <c:v>17676.614080000003</c:v>
                </c:pt>
                <c:pt idx="11537">
                  <c:v>17711.441964999998</c:v>
                </c:pt>
                <c:pt idx="11538">
                  <c:v>17746.315560000003</c:v>
                </c:pt>
                <c:pt idx="11539">
                  <c:v>17781.234894999998</c:v>
                </c:pt>
                <c:pt idx="11540">
                  <c:v>17816.199999999997</c:v>
                </c:pt>
                <c:pt idx="11541">
                  <c:v>17851.210905</c:v>
                </c:pt>
                <c:pt idx="11542">
                  <c:v>17886.267640000002</c:v>
                </c:pt>
                <c:pt idx="11543">
                  <c:v>17921.370235000002</c:v>
                </c:pt>
                <c:pt idx="11544">
                  <c:v>17956.518719999996</c:v>
                </c:pt>
                <c:pt idx="11545">
                  <c:v>17991.713125000002</c:v>
                </c:pt>
                <c:pt idx="11546">
                  <c:v>18026.95348</c:v>
                </c:pt>
                <c:pt idx="11547">
                  <c:v>18062.239814999997</c:v>
                </c:pt>
                <c:pt idx="11548">
                  <c:v>18097.57216</c:v>
                </c:pt>
                <c:pt idx="11549">
                  <c:v>18132.950545</c:v>
                </c:pt>
                <c:pt idx="11550">
                  <c:v>18168.375</c:v>
                </c:pt>
                <c:pt idx="11551">
                  <c:v>18203.845555</c:v>
                </c:pt>
                <c:pt idx="11552">
                  <c:v>18239.362240000002</c:v>
                </c:pt>
                <c:pt idx="11553">
                  <c:v>18274.925085000003</c:v>
                </c:pt>
                <c:pt idx="11554">
                  <c:v>18310.53412</c:v>
                </c:pt>
                <c:pt idx="11555">
                  <c:v>18346.189375</c:v>
                </c:pt>
                <c:pt idx="11556">
                  <c:v>18381.89088</c:v>
                </c:pt>
                <c:pt idx="11557">
                  <c:v>18417.638665</c:v>
                </c:pt>
                <c:pt idx="11558">
                  <c:v>18453.43276</c:v>
                </c:pt>
                <c:pt idx="11559">
                  <c:v>18489.273195</c:v>
                </c:pt>
                <c:pt idx="11560">
                  <c:v>18525.16</c:v>
                </c:pt>
                <c:pt idx="11561">
                  <c:v>18561.093204999997</c:v>
                </c:pt>
                <c:pt idx="11562">
                  <c:v>18597.072839999997</c:v>
                </c:pt>
                <c:pt idx="11563">
                  <c:v>18633.098934999998</c:v>
                </c:pt>
                <c:pt idx="11564">
                  <c:v>18669.17152</c:v>
                </c:pt>
                <c:pt idx="11565">
                  <c:v>18705.290625</c:v>
                </c:pt>
                <c:pt idx="11566">
                  <c:v>18741.456280000002</c:v>
                </c:pt>
                <c:pt idx="11567">
                  <c:v>18777.668515</c:v>
                </c:pt>
                <c:pt idx="11568">
                  <c:v>18813.92736</c:v>
                </c:pt>
                <c:pt idx="11569">
                  <c:v>18850.232845</c:v>
                </c:pt>
                <c:pt idx="11570">
                  <c:v>18886.585</c:v>
                </c:pt>
                <c:pt idx="11571">
                  <c:v>18922.983855</c:v>
                </c:pt>
                <c:pt idx="11572">
                  <c:v>18959.42944</c:v>
                </c:pt>
                <c:pt idx="11573">
                  <c:v>18995.921785000002</c:v>
                </c:pt>
                <c:pt idx="11574">
                  <c:v>19032.46092</c:v>
                </c:pt>
                <c:pt idx="11575">
                  <c:v>19069.046875</c:v>
                </c:pt>
                <c:pt idx="11576">
                  <c:v>19105.67968</c:v>
                </c:pt>
                <c:pt idx="11577">
                  <c:v>19142.359364999997</c:v>
                </c:pt>
                <c:pt idx="11578">
                  <c:v>19179.085960000004</c:v>
                </c:pt>
                <c:pt idx="11579">
                  <c:v>19215.859495</c:v>
                </c:pt>
                <c:pt idx="11580">
                  <c:v>19252.680000000004</c:v>
                </c:pt>
                <c:pt idx="11581">
                  <c:v>19289.547505</c:v>
                </c:pt>
                <c:pt idx="11582">
                  <c:v>19326.462040000002</c:v>
                </c:pt>
                <c:pt idx="11583">
                  <c:v>19363.423635</c:v>
                </c:pt>
                <c:pt idx="11584">
                  <c:v>19400.43232</c:v>
                </c:pt>
                <c:pt idx="11585">
                  <c:v>19437.488125</c:v>
                </c:pt>
                <c:pt idx="11586">
                  <c:v>19474.59108</c:v>
                </c:pt>
                <c:pt idx="11587">
                  <c:v>19511.741215000002</c:v>
                </c:pt>
                <c:pt idx="11588">
                  <c:v>19548.938560000002</c:v>
                </c:pt>
                <c:pt idx="11589">
                  <c:v>19586.183145</c:v>
                </c:pt>
                <c:pt idx="11590">
                  <c:v>19623.475000000002</c:v>
                </c:pt>
                <c:pt idx="11591">
                  <c:v>19660.814155</c:v>
                </c:pt>
                <c:pt idx="11592">
                  <c:v>19698.200640000003</c:v>
                </c:pt>
                <c:pt idx="11593">
                  <c:v>19735.634485</c:v>
                </c:pt>
                <c:pt idx="11594">
                  <c:v>19773.115719999998</c:v>
                </c:pt>
                <c:pt idx="11595">
                  <c:v>19810.644375</c:v>
                </c:pt>
                <c:pt idx="11596">
                  <c:v>19848.22048</c:v>
                </c:pt>
                <c:pt idx="11597">
                  <c:v>19885.844065</c:v>
                </c:pt>
                <c:pt idx="11598">
                  <c:v>19923.515160000003</c:v>
                </c:pt>
                <c:pt idx="11599">
                  <c:v>19961.233795</c:v>
                </c:pt>
                <c:pt idx="11600">
                  <c:v>19999.000000000004</c:v>
                </c:pt>
                <c:pt idx="11601">
                  <c:v>20036.813804999998</c:v>
                </c:pt>
                <c:pt idx="11602">
                  <c:v>20074.67524</c:v>
                </c:pt>
                <c:pt idx="11603">
                  <c:v>20112.584335000003</c:v>
                </c:pt>
                <c:pt idx="11604">
                  <c:v>20150.541119999998</c:v>
                </c:pt>
                <c:pt idx="11605">
                  <c:v>20188.545625000002</c:v>
                </c:pt>
                <c:pt idx="11606">
                  <c:v>20226.59788</c:v>
                </c:pt>
                <c:pt idx="11607">
                  <c:v>20264.697915</c:v>
                </c:pt>
                <c:pt idx="11608">
                  <c:v>20302.84576</c:v>
                </c:pt>
                <c:pt idx="11609">
                  <c:v>20341.041445000003</c:v>
                </c:pt>
                <c:pt idx="11610">
                  <c:v>20379.285</c:v>
                </c:pt>
                <c:pt idx="11611">
                  <c:v>20417.576455</c:v>
                </c:pt>
                <c:pt idx="11612">
                  <c:v>20455.915839999998</c:v>
                </c:pt>
                <c:pt idx="11613">
                  <c:v>20494.303185</c:v>
                </c:pt>
                <c:pt idx="11614">
                  <c:v>20532.73852</c:v>
                </c:pt>
                <c:pt idx="11615">
                  <c:v>20571.221875</c:v>
                </c:pt>
                <c:pt idx="11616">
                  <c:v>20609.75328</c:v>
                </c:pt>
                <c:pt idx="11617">
                  <c:v>20648.332765</c:v>
                </c:pt>
                <c:pt idx="11618">
                  <c:v>20686.96036</c:v>
                </c:pt>
                <c:pt idx="11619">
                  <c:v>20725.636095</c:v>
                </c:pt>
                <c:pt idx="11620">
                  <c:v>20764.36</c:v>
                </c:pt>
                <c:pt idx="11621">
                  <c:v>20803.132105</c:v>
                </c:pt>
                <c:pt idx="11622">
                  <c:v>20841.952439999997</c:v>
                </c:pt>
                <c:pt idx="11623">
                  <c:v>20880.821035</c:v>
                </c:pt>
                <c:pt idx="11624">
                  <c:v>20919.73792</c:v>
                </c:pt>
                <c:pt idx="11625">
                  <c:v>20958.703125000004</c:v>
                </c:pt>
                <c:pt idx="11626">
                  <c:v>20997.71668</c:v>
                </c:pt>
                <c:pt idx="11627">
                  <c:v>21036.778615</c:v>
                </c:pt>
                <c:pt idx="11628">
                  <c:v>21075.88896</c:v>
                </c:pt>
                <c:pt idx="11629">
                  <c:v>21115.047744999996</c:v>
                </c:pt>
                <c:pt idx="11630">
                  <c:v>21154.255</c:v>
                </c:pt>
                <c:pt idx="11631">
                  <c:v>21193.510755</c:v>
                </c:pt>
                <c:pt idx="11632">
                  <c:v>21232.81504</c:v>
                </c:pt>
                <c:pt idx="11633">
                  <c:v>21272.167885000003</c:v>
                </c:pt>
                <c:pt idx="11634">
                  <c:v>21311.56932</c:v>
                </c:pt>
                <c:pt idx="11635">
                  <c:v>21351.019375</c:v>
                </c:pt>
                <c:pt idx="11636">
                  <c:v>21390.518079999998</c:v>
                </c:pt>
                <c:pt idx="11637">
                  <c:v>21430.065465</c:v>
                </c:pt>
                <c:pt idx="11638">
                  <c:v>21469.661559999997</c:v>
                </c:pt>
                <c:pt idx="11639">
                  <c:v>21509.306395</c:v>
                </c:pt>
                <c:pt idx="11640">
                  <c:v>21549.0</c:v>
                </c:pt>
                <c:pt idx="11641">
                  <c:v>21588.742404999997</c:v>
                </c:pt>
                <c:pt idx="11642">
                  <c:v>21628.533639999998</c:v>
                </c:pt>
                <c:pt idx="11643">
                  <c:v>21668.373734999997</c:v>
                </c:pt>
                <c:pt idx="11644">
                  <c:v>21708.262720000002</c:v>
                </c:pt>
                <c:pt idx="11645">
                  <c:v>21748.200625</c:v>
                </c:pt>
                <c:pt idx="11646">
                  <c:v>21788.187480000004</c:v>
                </c:pt>
                <c:pt idx="11647">
                  <c:v>21828.223315</c:v>
                </c:pt>
                <c:pt idx="11648">
                  <c:v>21868.30816</c:v>
                </c:pt>
                <c:pt idx="11649">
                  <c:v>21908.442045</c:v>
                </c:pt>
                <c:pt idx="11650">
                  <c:v>21948.625000000004</c:v>
                </c:pt>
                <c:pt idx="11651">
                  <c:v>21988.857055</c:v>
                </c:pt>
                <c:pt idx="11652">
                  <c:v>22029.13824</c:v>
                </c:pt>
                <c:pt idx="11653">
                  <c:v>22069.468585</c:v>
                </c:pt>
                <c:pt idx="11654">
                  <c:v>22109.84812</c:v>
                </c:pt>
                <c:pt idx="11655">
                  <c:v>22150.276875</c:v>
                </c:pt>
                <c:pt idx="11656">
                  <c:v>22190.75488</c:v>
                </c:pt>
                <c:pt idx="11657">
                  <c:v>22231.282164999997</c:v>
                </c:pt>
                <c:pt idx="11658">
                  <c:v>22271.85876</c:v>
                </c:pt>
                <c:pt idx="11659">
                  <c:v>22312.484695000003</c:v>
                </c:pt>
                <c:pt idx="11660">
                  <c:v>22353.16</c:v>
                </c:pt>
                <c:pt idx="11661">
                  <c:v>22393.884705</c:v>
                </c:pt>
                <c:pt idx="11662">
                  <c:v>22434.65884</c:v>
                </c:pt>
                <c:pt idx="11663">
                  <c:v>22475.482434999998</c:v>
                </c:pt>
                <c:pt idx="11664">
                  <c:v>22516.355519999997</c:v>
                </c:pt>
                <c:pt idx="11665">
                  <c:v>22557.278124999997</c:v>
                </c:pt>
                <c:pt idx="11666">
                  <c:v>22598.25028</c:v>
                </c:pt>
                <c:pt idx="11667">
                  <c:v>22639.272015000002</c:v>
                </c:pt>
                <c:pt idx="11668">
                  <c:v>22680.34336</c:v>
                </c:pt>
                <c:pt idx="11669">
                  <c:v>22721.464345</c:v>
                </c:pt>
                <c:pt idx="11670">
                  <c:v>22762.635000000002</c:v>
                </c:pt>
                <c:pt idx="11671">
                  <c:v>22803.855355</c:v>
                </c:pt>
                <c:pt idx="11672">
                  <c:v>22845.125439999996</c:v>
                </c:pt>
                <c:pt idx="11673">
                  <c:v>22886.445284999998</c:v>
                </c:pt>
                <c:pt idx="11674">
                  <c:v>22927.81492</c:v>
                </c:pt>
                <c:pt idx="11675">
                  <c:v>22969.234374999996</c:v>
                </c:pt>
                <c:pt idx="11676">
                  <c:v>23010.70368</c:v>
                </c:pt>
                <c:pt idx="11677">
                  <c:v>23052.222865</c:v>
                </c:pt>
                <c:pt idx="11678">
                  <c:v>23093.79196</c:v>
                </c:pt>
                <c:pt idx="11679">
                  <c:v>23135.410995</c:v>
                </c:pt>
                <c:pt idx="11680">
                  <c:v>23177.08</c:v>
                </c:pt>
                <c:pt idx="11681">
                  <c:v>23218.799005</c:v>
                </c:pt>
                <c:pt idx="11682">
                  <c:v>23260.56804</c:v>
                </c:pt>
                <c:pt idx="11683">
                  <c:v>23302.387135</c:v>
                </c:pt>
                <c:pt idx="11684">
                  <c:v>23344.256319999997</c:v>
                </c:pt>
                <c:pt idx="11685">
                  <c:v>23386.175625000003</c:v>
                </c:pt>
                <c:pt idx="11686">
                  <c:v>23428.14508</c:v>
                </c:pt>
                <c:pt idx="11687">
                  <c:v>23470.164715</c:v>
                </c:pt>
                <c:pt idx="11688">
                  <c:v>23512.23456</c:v>
                </c:pt>
                <c:pt idx="11689">
                  <c:v>23554.354645000003</c:v>
                </c:pt>
                <c:pt idx="11690">
                  <c:v>23596.525</c:v>
                </c:pt>
                <c:pt idx="11691">
                  <c:v>23638.745655000002</c:v>
                </c:pt>
                <c:pt idx="11692">
                  <c:v>23681.01664</c:v>
                </c:pt>
                <c:pt idx="11693">
                  <c:v>23723.337985</c:v>
                </c:pt>
                <c:pt idx="11694">
                  <c:v>23765.70972</c:v>
                </c:pt>
                <c:pt idx="11695">
                  <c:v>23808.131875000003</c:v>
                </c:pt>
                <c:pt idx="11696">
                  <c:v>23850.60448</c:v>
                </c:pt>
                <c:pt idx="11697">
                  <c:v>23893.127565000003</c:v>
                </c:pt>
                <c:pt idx="11698">
                  <c:v>23935.70116</c:v>
                </c:pt>
                <c:pt idx="11699">
                  <c:v>23978.325295</c:v>
                </c:pt>
                <c:pt idx="11700">
                  <c:v>24021.0</c:v>
                </c:pt>
                <c:pt idx="11701">
                  <c:v>24063.725305</c:v>
                </c:pt>
                <c:pt idx="11702">
                  <c:v>24106.50124</c:v>
                </c:pt>
                <c:pt idx="11703">
                  <c:v>24149.327835</c:v>
                </c:pt>
                <c:pt idx="11704">
                  <c:v>24192.20512</c:v>
                </c:pt>
                <c:pt idx="11705">
                  <c:v>24235.133125000004</c:v>
                </c:pt>
                <c:pt idx="11706">
                  <c:v>24278.11188</c:v>
                </c:pt>
                <c:pt idx="11707">
                  <c:v>24321.141415000002</c:v>
                </c:pt>
                <c:pt idx="11708">
                  <c:v>24364.22176</c:v>
                </c:pt>
                <c:pt idx="11709">
                  <c:v>24407.352945000002</c:v>
                </c:pt>
                <c:pt idx="11710">
                  <c:v>24450.534999999996</c:v>
                </c:pt>
                <c:pt idx="11711">
                  <c:v>24493.767955000003</c:v>
                </c:pt>
                <c:pt idx="11712">
                  <c:v>24537.05184</c:v>
                </c:pt>
                <c:pt idx="11713">
                  <c:v>24580.386685</c:v>
                </c:pt>
                <c:pt idx="11714">
                  <c:v>24623.772520000002</c:v>
                </c:pt>
                <c:pt idx="11715">
                  <c:v>24667.209375</c:v>
                </c:pt>
                <c:pt idx="11716">
                  <c:v>24710.697279999997</c:v>
                </c:pt>
                <c:pt idx="11717">
                  <c:v>24754.236264999996</c:v>
                </c:pt>
                <c:pt idx="11718">
                  <c:v>24797.82636</c:v>
                </c:pt>
                <c:pt idx="11719">
                  <c:v>24841.467595</c:v>
                </c:pt>
                <c:pt idx="11720">
                  <c:v>24885.16</c:v>
                </c:pt>
                <c:pt idx="11721">
                  <c:v>24928.903605</c:v>
                </c:pt>
                <c:pt idx="11722">
                  <c:v>24972.698440000004</c:v>
                </c:pt>
                <c:pt idx="11723">
                  <c:v>25016.544535</c:v>
                </c:pt>
                <c:pt idx="11724">
                  <c:v>25060.44192</c:v>
                </c:pt>
                <c:pt idx="11725">
                  <c:v>25104.390625000004</c:v>
                </c:pt>
                <c:pt idx="11726">
                  <c:v>25148.390679999997</c:v>
                </c:pt>
                <c:pt idx="11727">
                  <c:v>25192.442115</c:v>
                </c:pt>
                <c:pt idx="11728">
                  <c:v>25236.54496</c:v>
                </c:pt>
                <c:pt idx="11729">
                  <c:v>25280.699244999996</c:v>
                </c:pt>
                <c:pt idx="11730">
                  <c:v>25324.905</c:v>
                </c:pt>
                <c:pt idx="11731">
                  <c:v>25369.162255</c:v>
                </c:pt>
                <c:pt idx="11732">
                  <c:v>25413.47104</c:v>
                </c:pt>
                <c:pt idx="11733">
                  <c:v>25457.831385</c:v>
                </c:pt>
                <c:pt idx="11734">
                  <c:v>25502.243319999998</c:v>
                </c:pt>
                <c:pt idx="11735">
                  <c:v>25546.706875</c:v>
                </c:pt>
                <c:pt idx="11736">
                  <c:v>25591.222080000003</c:v>
                </c:pt>
                <c:pt idx="11737">
                  <c:v>25635.788965</c:v>
                </c:pt>
                <c:pt idx="11738">
                  <c:v>25680.407560000003</c:v>
                </c:pt>
                <c:pt idx="11739">
                  <c:v>25725.077895000002</c:v>
                </c:pt>
                <c:pt idx="11740">
                  <c:v>25769.8</c:v>
                </c:pt>
                <c:pt idx="11741">
                  <c:v>25814.573904999997</c:v>
                </c:pt>
                <c:pt idx="11742">
                  <c:v>25859.39964</c:v>
                </c:pt>
                <c:pt idx="11743">
                  <c:v>25904.277235</c:v>
                </c:pt>
                <c:pt idx="11744">
                  <c:v>25949.206720000002</c:v>
                </c:pt>
                <c:pt idx="11745">
                  <c:v>25994.188124999997</c:v>
                </c:pt>
                <c:pt idx="11746">
                  <c:v>26039.22148</c:v>
                </c:pt>
                <c:pt idx="11747">
                  <c:v>26084.306815</c:v>
                </c:pt>
                <c:pt idx="11748">
                  <c:v>26129.44416</c:v>
                </c:pt>
                <c:pt idx="11749">
                  <c:v>26174.633544999997</c:v>
                </c:pt>
                <c:pt idx="11750">
                  <c:v>26219.875000000004</c:v>
                </c:pt>
                <c:pt idx="11751">
                  <c:v>26265.168555</c:v>
                </c:pt>
                <c:pt idx="11752">
                  <c:v>26310.514239999997</c:v>
                </c:pt>
                <c:pt idx="11753">
                  <c:v>26355.912085</c:v>
                </c:pt>
                <c:pt idx="11754">
                  <c:v>26401.362119999998</c:v>
                </c:pt>
                <c:pt idx="11755">
                  <c:v>26446.864374999997</c:v>
                </c:pt>
                <c:pt idx="11756">
                  <c:v>26492.41888</c:v>
                </c:pt>
                <c:pt idx="11757">
                  <c:v>26538.025664999997</c:v>
                </c:pt>
                <c:pt idx="11758">
                  <c:v>26583.68476</c:v>
                </c:pt>
                <c:pt idx="11759">
                  <c:v>26629.396194999998</c:v>
                </c:pt>
                <c:pt idx="11760">
                  <c:v>26675.16</c:v>
                </c:pt>
                <c:pt idx="11761">
                  <c:v>26720.976205</c:v>
                </c:pt>
                <c:pt idx="11762">
                  <c:v>26766.844839999998</c:v>
                </c:pt>
                <c:pt idx="11763">
                  <c:v>26812.765934999996</c:v>
                </c:pt>
                <c:pt idx="11764">
                  <c:v>26858.73952</c:v>
                </c:pt>
                <c:pt idx="11765">
                  <c:v>26904.765624999996</c:v>
                </c:pt>
                <c:pt idx="11766">
                  <c:v>26950.844279999998</c:v>
                </c:pt>
                <c:pt idx="11767">
                  <c:v>26996.975515000002</c:v>
                </c:pt>
                <c:pt idx="11768">
                  <c:v>27043.15936</c:v>
                </c:pt>
                <c:pt idx="11769">
                  <c:v>27089.395845</c:v>
                </c:pt>
                <c:pt idx="11770">
                  <c:v>27135.684999999998</c:v>
                </c:pt>
                <c:pt idx="11771">
                  <c:v>27182.026855000004</c:v>
                </c:pt>
                <c:pt idx="11772">
                  <c:v>27228.42144</c:v>
                </c:pt>
                <c:pt idx="11773">
                  <c:v>27274.868785000002</c:v>
                </c:pt>
                <c:pt idx="11774">
                  <c:v>27321.368919999997</c:v>
                </c:pt>
                <c:pt idx="11775">
                  <c:v>27367.921875</c:v>
                </c:pt>
                <c:pt idx="11776">
                  <c:v>27414.52768</c:v>
                </c:pt>
                <c:pt idx="11777">
                  <c:v>27461.186365</c:v>
                </c:pt>
                <c:pt idx="11778">
                  <c:v>27507.897960000002</c:v>
                </c:pt>
                <c:pt idx="11779">
                  <c:v>27554.662495</c:v>
                </c:pt>
                <c:pt idx="11780">
                  <c:v>27601.48</c:v>
                </c:pt>
                <c:pt idx="11781">
                  <c:v>27648.350504999995</c:v>
                </c:pt>
                <c:pt idx="11782">
                  <c:v>27695.27404</c:v>
                </c:pt>
                <c:pt idx="11783">
                  <c:v>27742.250634999997</c:v>
                </c:pt>
                <c:pt idx="11784">
                  <c:v>27789.28032</c:v>
                </c:pt>
                <c:pt idx="11785">
                  <c:v>27836.363125</c:v>
                </c:pt>
                <c:pt idx="11786">
                  <c:v>27883.49908</c:v>
                </c:pt>
                <c:pt idx="11787">
                  <c:v>27930.688214999995</c:v>
                </c:pt>
                <c:pt idx="11788">
                  <c:v>27977.93056</c:v>
                </c:pt>
                <c:pt idx="11789">
                  <c:v>28025.226145</c:v>
                </c:pt>
                <c:pt idx="11790">
                  <c:v>28072.574999999997</c:v>
                </c:pt>
                <c:pt idx="11791">
                  <c:v>28119.977155</c:v>
                </c:pt>
                <c:pt idx="11792">
                  <c:v>28167.43264</c:v>
                </c:pt>
                <c:pt idx="11793">
                  <c:v>28214.941485</c:v>
                </c:pt>
                <c:pt idx="11794">
                  <c:v>28262.503719999997</c:v>
                </c:pt>
                <c:pt idx="11795">
                  <c:v>28310.119375000002</c:v>
                </c:pt>
                <c:pt idx="11796">
                  <c:v>28357.788480000003</c:v>
                </c:pt>
                <c:pt idx="11797">
                  <c:v>28405.511065</c:v>
                </c:pt>
                <c:pt idx="11798">
                  <c:v>28453.28716</c:v>
                </c:pt>
                <c:pt idx="11799">
                  <c:v>28501.116795</c:v>
                </c:pt>
                <c:pt idx="11800">
                  <c:v>28549.0</c:v>
                </c:pt>
                <c:pt idx="11801">
                  <c:v>28596.936805</c:v>
                </c:pt>
                <c:pt idx="11802">
                  <c:v>28644.927239999997</c:v>
                </c:pt>
                <c:pt idx="11803">
                  <c:v>28692.971335</c:v>
                </c:pt>
                <c:pt idx="11804">
                  <c:v>28741.069119999996</c:v>
                </c:pt>
                <c:pt idx="11805">
                  <c:v>28789.220624999998</c:v>
                </c:pt>
                <c:pt idx="11806">
                  <c:v>28837.425880000003</c:v>
                </c:pt>
                <c:pt idx="11807">
                  <c:v>28885.684914999998</c:v>
                </c:pt>
                <c:pt idx="11808">
                  <c:v>28933.99776</c:v>
                </c:pt>
                <c:pt idx="11809">
                  <c:v>28982.364445</c:v>
                </c:pt>
                <c:pt idx="11810">
                  <c:v>29030.785000000003</c:v>
                </c:pt>
                <c:pt idx="11811">
                  <c:v>29079.259455</c:v>
                </c:pt>
                <c:pt idx="11812">
                  <c:v>29127.78784</c:v>
                </c:pt>
                <c:pt idx="11813">
                  <c:v>29176.370185</c:v>
                </c:pt>
                <c:pt idx="11814">
                  <c:v>29225.00652</c:v>
                </c:pt>
                <c:pt idx="11815">
                  <c:v>29273.696875000005</c:v>
                </c:pt>
                <c:pt idx="11816">
                  <c:v>29322.441280000003</c:v>
                </c:pt>
                <c:pt idx="11817">
                  <c:v>29371.239765000002</c:v>
                </c:pt>
                <c:pt idx="11818">
                  <c:v>29420.09236</c:v>
                </c:pt>
                <c:pt idx="11819">
                  <c:v>29468.999094999996</c:v>
                </c:pt>
                <c:pt idx="11820">
                  <c:v>29517.96</c:v>
                </c:pt>
                <c:pt idx="11821">
                  <c:v>29566.975105</c:v>
                </c:pt>
                <c:pt idx="11822">
                  <c:v>29616.044439999998</c:v>
                </c:pt>
                <c:pt idx="11823">
                  <c:v>29665.168035000002</c:v>
                </c:pt>
                <c:pt idx="11824">
                  <c:v>29714.34592</c:v>
                </c:pt>
                <c:pt idx="11825">
                  <c:v>29763.578125000004</c:v>
                </c:pt>
                <c:pt idx="11826">
                  <c:v>29812.86468</c:v>
                </c:pt>
                <c:pt idx="11827">
                  <c:v>29862.205615000003</c:v>
                </c:pt>
                <c:pt idx="11828">
                  <c:v>29911.60096</c:v>
                </c:pt>
                <c:pt idx="11829">
                  <c:v>29961.050745</c:v>
                </c:pt>
                <c:pt idx="11830">
                  <c:v>30010.555000000004</c:v>
                </c:pt>
                <c:pt idx="11831">
                  <c:v>30060.113755000002</c:v>
                </c:pt>
                <c:pt idx="11832">
                  <c:v>30109.72704</c:v>
                </c:pt>
                <c:pt idx="11833">
                  <c:v>30159.394885</c:v>
                </c:pt>
                <c:pt idx="11834">
                  <c:v>30209.117319999998</c:v>
                </c:pt>
                <c:pt idx="11835">
                  <c:v>30258.894374999996</c:v>
                </c:pt>
                <c:pt idx="11836">
                  <c:v>30308.726079999997</c:v>
                </c:pt>
                <c:pt idx="11837">
                  <c:v>30358.612465</c:v>
                </c:pt>
                <c:pt idx="11838">
                  <c:v>30408.553560000004</c:v>
                </c:pt>
                <c:pt idx="11839">
                  <c:v>30458.549395000002</c:v>
                </c:pt>
                <c:pt idx="11840">
                  <c:v>30508.600000000002</c:v>
                </c:pt>
                <c:pt idx="11841">
                  <c:v>30558.705404999997</c:v>
                </c:pt>
                <c:pt idx="11842">
                  <c:v>30608.86564</c:v>
                </c:pt>
                <c:pt idx="11843">
                  <c:v>30659.080735</c:v>
                </c:pt>
                <c:pt idx="11844">
                  <c:v>30709.350720000002</c:v>
                </c:pt>
                <c:pt idx="11845">
                  <c:v>30759.675625</c:v>
                </c:pt>
                <c:pt idx="11846">
                  <c:v>30810.05548</c:v>
                </c:pt>
                <c:pt idx="11847">
                  <c:v>30860.490315000003</c:v>
                </c:pt>
                <c:pt idx="11848">
                  <c:v>30910.98016</c:v>
                </c:pt>
                <c:pt idx="11849">
                  <c:v>30961.525045</c:v>
                </c:pt>
                <c:pt idx="11850">
                  <c:v>31012.125000000004</c:v>
                </c:pt>
                <c:pt idx="11851">
                  <c:v>31062.780055</c:v>
                </c:pt>
                <c:pt idx="11852">
                  <c:v>31113.49024</c:v>
                </c:pt>
                <c:pt idx="11853">
                  <c:v>31164.255585000003</c:v>
                </c:pt>
                <c:pt idx="11854">
                  <c:v>31215.076119999998</c:v>
                </c:pt>
                <c:pt idx="11855">
                  <c:v>31265.951875000002</c:v>
                </c:pt>
                <c:pt idx="11856">
                  <c:v>31316.88288</c:v>
                </c:pt>
                <c:pt idx="11857">
                  <c:v>31367.869165000004</c:v>
                </c:pt>
                <c:pt idx="11858">
                  <c:v>31418.91076</c:v>
                </c:pt>
                <c:pt idx="11859">
                  <c:v>31470.007695</c:v>
                </c:pt>
                <c:pt idx="11860">
                  <c:v>31521.160000000003</c:v>
                </c:pt>
                <c:pt idx="11861">
                  <c:v>31572.367705</c:v>
                </c:pt>
                <c:pt idx="11862">
                  <c:v>31623.630839999998</c:v>
                </c:pt>
                <c:pt idx="11863">
                  <c:v>31674.949435000002</c:v>
                </c:pt>
                <c:pt idx="11864">
                  <c:v>31726.32352</c:v>
                </c:pt>
                <c:pt idx="11865">
                  <c:v>31777.753125</c:v>
                </c:pt>
                <c:pt idx="11866">
                  <c:v>31829.238279999998</c:v>
                </c:pt>
                <c:pt idx="11867">
                  <c:v>31880.779014999996</c:v>
                </c:pt>
                <c:pt idx="11868">
                  <c:v>31932.37536</c:v>
                </c:pt>
                <c:pt idx="11869">
                  <c:v>31984.027345000002</c:v>
                </c:pt>
                <c:pt idx="11870">
                  <c:v>32035.735</c:v>
                </c:pt>
                <c:pt idx="11871">
                  <c:v>32087.498355</c:v>
                </c:pt>
                <c:pt idx="11872">
                  <c:v>32139.31744</c:v>
                </c:pt>
                <c:pt idx="11873">
                  <c:v>32191.192285</c:v>
                </c:pt>
                <c:pt idx="11874">
                  <c:v>32243.122919999998</c:v>
                </c:pt>
                <c:pt idx="11875">
                  <c:v>32295.109374999996</c:v>
                </c:pt>
                <c:pt idx="11876">
                  <c:v>32347.151680000003</c:v>
                </c:pt>
                <c:pt idx="11877">
                  <c:v>32399.249865</c:v>
                </c:pt>
                <c:pt idx="11878">
                  <c:v>32451.40396</c:v>
                </c:pt>
                <c:pt idx="11879">
                  <c:v>32503.613995</c:v>
                </c:pt>
                <c:pt idx="11880">
                  <c:v>32555.88</c:v>
                </c:pt>
                <c:pt idx="11881">
                  <c:v>32608.202005000003</c:v>
                </c:pt>
                <c:pt idx="11882">
                  <c:v>32660.580039999997</c:v>
                </c:pt>
                <c:pt idx="11883">
                  <c:v>32713.014135000005</c:v>
                </c:pt>
                <c:pt idx="11884">
                  <c:v>32765.50432</c:v>
                </c:pt>
                <c:pt idx="11885">
                  <c:v>32818.050625</c:v>
                </c:pt>
                <c:pt idx="11886">
                  <c:v>32870.65308</c:v>
                </c:pt>
                <c:pt idx="11887">
                  <c:v>32923.311715</c:v>
                </c:pt>
                <c:pt idx="11888">
                  <c:v>32976.02656</c:v>
                </c:pt>
                <c:pt idx="11889">
                  <c:v>33028.797645</c:v>
                </c:pt>
                <c:pt idx="11890">
                  <c:v>33081.625</c:v>
                </c:pt>
                <c:pt idx="11891">
                  <c:v>33134.508655000005</c:v>
                </c:pt>
                <c:pt idx="11892">
                  <c:v>33187.44864</c:v>
                </c:pt>
                <c:pt idx="11893">
                  <c:v>33240.444985</c:v>
                </c:pt>
                <c:pt idx="11894">
                  <c:v>33293.49772</c:v>
                </c:pt>
                <c:pt idx="11895">
                  <c:v>33346.606875</c:v>
                </c:pt>
                <c:pt idx="11896">
                  <c:v>33399.77248</c:v>
                </c:pt>
                <c:pt idx="11897">
                  <c:v>33452.994565</c:v>
                </c:pt>
                <c:pt idx="11898">
                  <c:v>33506.273160000004</c:v>
                </c:pt>
                <c:pt idx="11899">
                  <c:v>33559.608295</c:v>
                </c:pt>
                <c:pt idx="11900">
                  <c:v>33612.99999999999</c:v>
                </c:pt>
                <c:pt idx="11901">
                  <c:v>33666.448305000005</c:v>
                </c:pt>
                <c:pt idx="11902">
                  <c:v>33719.95324</c:v>
                </c:pt>
                <c:pt idx="11903">
                  <c:v>33773.514835</c:v>
                </c:pt>
                <c:pt idx="11904">
                  <c:v>33827.133120000006</c:v>
                </c:pt>
                <c:pt idx="11905">
                  <c:v>33880.808124999996</c:v>
                </c:pt>
                <c:pt idx="11906">
                  <c:v>33934.539880000004</c:v>
                </c:pt>
                <c:pt idx="11907">
                  <c:v>33988.328414999996</c:v>
                </c:pt>
                <c:pt idx="11908">
                  <c:v>34042.17376</c:v>
                </c:pt>
                <c:pt idx="11909">
                  <c:v>34096.075945000004</c:v>
                </c:pt>
                <c:pt idx="11910">
                  <c:v>34150.034999999996</c:v>
                </c:pt>
                <c:pt idx="11911">
                  <c:v>34204.050955000006</c:v>
                </c:pt>
                <c:pt idx="11912">
                  <c:v>34258.12384</c:v>
                </c:pt>
                <c:pt idx="11913">
                  <c:v>34312.253684999996</c:v>
                </c:pt>
                <c:pt idx="11914">
                  <c:v>34366.44052</c:v>
                </c:pt>
                <c:pt idx="11915">
                  <c:v>34420.684375</c:v>
                </c:pt>
                <c:pt idx="11916">
                  <c:v>34474.98528000001</c:v>
                </c:pt>
                <c:pt idx="11917">
                  <c:v>34529.343265</c:v>
                </c:pt>
                <c:pt idx="11918">
                  <c:v>34583.75836</c:v>
                </c:pt>
                <c:pt idx="11919">
                  <c:v>34638.230595</c:v>
                </c:pt>
                <c:pt idx="11920">
                  <c:v>34692.76</c:v>
                </c:pt>
                <c:pt idx="11921">
                  <c:v>34747.346605</c:v>
                </c:pt>
                <c:pt idx="11922">
                  <c:v>34801.99044</c:v>
                </c:pt>
                <c:pt idx="11923">
                  <c:v>34856.691535</c:v>
                </c:pt>
                <c:pt idx="11924">
                  <c:v>34911.44992</c:v>
                </c:pt>
                <c:pt idx="11925">
                  <c:v>34966.265625</c:v>
                </c:pt>
                <c:pt idx="11926">
                  <c:v>35021.13868</c:v>
                </c:pt>
                <c:pt idx="11927">
                  <c:v>35076.069115</c:v>
                </c:pt>
                <c:pt idx="11928">
                  <c:v>35131.05696</c:v>
                </c:pt>
                <c:pt idx="11929">
                  <c:v>35186.102244999995</c:v>
                </c:pt>
                <c:pt idx="11930">
                  <c:v>35241.205</c:v>
                </c:pt>
                <c:pt idx="11931">
                  <c:v>35296.365255</c:v>
                </c:pt>
                <c:pt idx="11932">
                  <c:v>35351.58304</c:v>
                </c:pt>
                <c:pt idx="11933">
                  <c:v>35406.858385</c:v>
                </c:pt>
                <c:pt idx="11934">
                  <c:v>35462.19132</c:v>
                </c:pt>
                <c:pt idx="11935">
                  <c:v>35517.581875</c:v>
                </c:pt>
                <c:pt idx="11936">
                  <c:v>35573.030080000004</c:v>
                </c:pt>
                <c:pt idx="11937">
                  <c:v>35628.535965</c:v>
                </c:pt>
                <c:pt idx="11938">
                  <c:v>35684.09956</c:v>
                </c:pt>
                <c:pt idx="11939">
                  <c:v>35739.720895000006</c:v>
                </c:pt>
                <c:pt idx="11940">
                  <c:v>35795.4</c:v>
                </c:pt>
                <c:pt idx="11941">
                  <c:v>35851.136905</c:v>
                </c:pt>
                <c:pt idx="11942">
                  <c:v>35906.93164</c:v>
                </c:pt>
                <c:pt idx="11943">
                  <c:v>35962.784235</c:v>
                </c:pt>
                <c:pt idx="11944">
                  <c:v>36018.69472</c:v>
                </c:pt>
                <c:pt idx="11945">
                  <c:v>36074.663125</c:v>
                </c:pt>
                <c:pt idx="11946">
                  <c:v>36130.68948</c:v>
                </c:pt>
                <c:pt idx="11947">
                  <c:v>36186.773815</c:v>
                </c:pt>
                <c:pt idx="11948">
                  <c:v>36242.91615999999</c:v>
                </c:pt>
                <c:pt idx="11949">
                  <c:v>36299.116545</c:v>
                </c:pt>
                <c:pt idx="11950">
                  <c:v>36355.375</c:v>
                </c:pt>
                <c:pt idx="11951">
                  <c:v>36411.691555000005</c:v>
                </c:pt>
                <c:pt idx="11952">
                  <c:v>36468.06624</c:v>
                </c:pt>
                <c:pt idx="11953">
                  <c:v>36524.499085</c:v>
                </c:pt>
                <c:pt idx="11954">
                  <c:v>36580.990119999995</c:v>
                </c:pt>
                <c:pt idx="11955">
                  <c:v>36637.539375</c:v>
                </c:pt>
                <c:pt idx="11956">
                  <c:v>36694.14688000001</c:v>
                </c:pt>
                <c:pt idx="11957">
                  <c:v>36750.812665000005</c:v>
                </c:pt>
                <c:pt idx="11958">
                  <c:v>36807.536759999995</c:v>
                </c:pt>
                <c:pt idx="11959">
                  <c:v>36864.319195000004</c:v>
                </c:pt>
                <c:pt idx="11960">
                  <c:v>36921.159999999996</c:v>
                </c:pt>
                <c:pt idx="11961">
                  <c:v>36978.059205000005</c:v>
                </c:pt>
                <c:pt idx="11962">
                  <c:v>37035.01684</c:v>
                </c:pt>
                <c:pt idx="11963">
                  <c:v>37092.032935</c:v>
                </c:pt>
                <c:pt idx="11964">
                  <c:v>37149.107520000005</c:v>
                </c:pt>
                <c:pt idx="11965">
                  <c:v>37206.240625</c:v>
                </c:pt>
                <c:pt idx="11966">
                  <c:v>37263.43228</c:v>
                </c:pt>
                <c:pt idx="11967">
                  <c:v>37320.68251500001</c:v>
                </c:pt>
                <c:pt idx="11968">
                  <c:v>37377.99135999999</c:v>
                </c:pt>
                <c:pt idx="11969">
                  <c:v>37435.358844999995</c:v>
                </c:pt>
                <c:pt idx="11970">
                  <c:v>37492.785</c:v>
                </c:pt>
                <c:pt idx="11971">
                  <c:v>37550.269855</c:v>
                </c:pt>
                <c:pt idx="11972">
                  <c:v>37607.81344</c:v>
                </c:pt>
                <c:pt idx="11973">
                  <c:v>37665.415785</c:v>
                </c:pt>
                <c:pt idx="11974">
                  <c:v>37723.07692</c:v>
                </c:pt>
                <c:pt idx="11975">
                  <c:v>37780.796875</c:v>
                </c:pt>
                <c:pt idx="11976">
                  <c:v>37838.575679999994</c:v>
                </c:pt>
                <c:pt idx="11977">
                  <c:v>37896.413365</c:v>
                </c:pt>
                <c:pt idx="11978">
                  <c:v>37954.309960000006</c:v>
                </c:pt>
                <c:pt idx="11979">
                  <c:v>38012.265495</c:v>
                </c:pt>
                <c:pt idx="11980">
                  <c:v>38070.280000000006</c:v>
                </c:pt>
                <c:pt idx="11981">
                  <c:v>38128.35350500001</c:v>
                </c:pt>
                <c:pt idx="11982">
                  <c:v>38186.486039999996</c:v>
                </c:pt>
                <c:pt idx="11983">
                  <c:v>38244.677635</c:v>
                </c:pt>
                <c:pt idx="11984">
                  <c:v>38302.92832</c:v>
                </c:pt>
                <c:pt idx="11985">
                  <c:v>38361.23812499999</c:v>
                </c:pt>
                <c:pt idx="11986">
                  <c:v>38419.607079999994</c:v>
                </c:pt>
                <c:pt idx="11987">
                  <c:v>38478.035214999996</c:v>
                </c:pt>
                <c:pt idx="11988">
                  <c:v>38536.522560000005</c:v>
                </c:pt>
                <c:pt idx="11989">
                  <c:v>38595.069144999994</c:v>
                </c:pt>
                <c:pt idx="11990">
                  <c:v>38653.675</c:v>
                </c:pt>
                <c:pt idx="11991">
                  <c:v>38712.34015499999</c:v>
                </c:pt>
                <c:pt idx="11992">
                  <c:v>38771.064640000004</c:v>
                </c:pt>
                <c:pt idx="11993">
                  <c:v>38829.848485</c:v>
                </c:pt>
                <c:pt idx="11994">
                  <c:v>38888.69172</c:v>
                </c:pt>
                <c:pt idx="11995">
                  <c:v>38947.594375</c:v>
                </c:pt>
                <c:pt idx="11996">
                  <c:v>39006.55648</c:v>
                </c:pt>
                <c:pt idx="11997">
                  <c:v>39065.578064999994</c:v>
                </c:pt>
                <c:pt idx="11998">
                  <c:v>39124.659159999996</c:v>
                </c:pt>
                <c:pt idx="11999">
                  <c:v>39183.799795</c:v>
                </c:pt>
                <c:pt idx="12000">
                  <c:v>39243.0</c:v>
                </c:pt>
                <c:pt idx="12001">
                  <c:v>39302.259805</c:v>
                </c:pt>
                <c:pt idx="12002">
                  <c:v>39361.57923999999</c:v>
                </c:pt>
                <c:pt idx="12003">
                  <c:v>39420.958335</c:v>
                </c:pt>
                <c:pt idx="12004">
                  <c:v>39480.39712</c:v>
                </c:pt>
                <c:pt idx="12005">
                  <c:v>39539.895625000005</c:v>
                </c:pt>
                <c:pt idx="12006">
                  <c:v>39599.45388</c:v>
                </c:pt>
                <c:pt idx="12007">
                  <c:v>39659.071915</c:v>
                </c:pt>
                <c:pt idx="12008">
                  <c:v>39718.74976</c:v>
                </c:pt>
                <c:pt idx="12009">
                  <c:v>39778.487445</c:v>
                </c:pt>
                <c:pt idx="12010">
                  <c:v>39838.284999999996</c:v>
                </c:pt>
                <c:pt idx="12011">
                  <c:v>39898.14245500001</c:v>
                </c:pt>
                <c:pt idx="12012">
                  <c:v>39958.05984</c:v>
                </c:pt>
                <c:pt idx="12013">
                  <c:v>40018.037185</c:v>
                </c:pt>
                <c:pt idx="12014">
                  <c:v>40078.07452</c:v>
                </c:pt>
                <c:pt idx="12015">
                  <c:v>40138.171875</c:v>
                </c:pt>
                <c:pt idx="12016">
                  <c:v>40198.329280000005</c:v>
                </c:pt>
                <c:pt idx="12017">
                  <c:v>40258.546765</c:v>
                </c:pt>
                <c:pt idx="12018">
                  <c:v>40318.824360000006</c:v>
                </c:pt>
                <c:pt idx="12019">
                  <c:v>40379.162095</c:v>
                </c:pt>
                <c:pt idx="12020">
                  <c:v>40439.56</c:v>
                </c:pt>
                <c:pt idx="12021">
                  <c:v>40500.018105</c:v>
                </c:pt>
                <c:pt idx="12022">
                  <c:v>40560.536439999996</c:v>
                </c:pt>
                <c:pt idx="12023">
                  <c:v>40621.115035</c:v>
                </c:pt>
                <c:pt idx="12024">
                  <c:v>40681.75392</c:v>
                </c:pt>
                <c:pt idx="12025">
                  <c:v>40742.453125</c:v>
                </c:pt>
                <c:pt idx="12026">
                  <c:v>40803.212680000004</c:v>
                </c:pt>
                <c:pt idx="12027">
                  <c:v>40864.032615</c:v>
                </c:pt>
                <c:pt idx="12028">
                  <c:v>40924.91296</c:v>
                </c:pt>
                <c:pt idx="12029">
                  <c:v>40985.853745</c:v>
                </c:pt>
                <c:pt idx="12030">
                  <c:v>41046.854999999996</c:v>
                </c:pt>
                <c:pt idx="12031">
                  <c:v>41107.916755</c:v>
                </c:pt>
                <c:pt idx="12032">
                  <c:v>41169.039039999996</c:v>
                </c:pt>
                <c:pt idx="12033">
                  <c:v>41230.221885</c:v>
                </c:pt>
                <c:pt idx="12034">
                  <c:v>41291.46532</c:v>
                </c:pt>
                <c:pt idx="12035">
                  <c:v>41352.769374999996</c:v>
                </c:pt>
                <c:pt idx="12036">
                  <c:v>41414.134079999996</c:v>
                </c:pt>
                <c:pt idx="12037">
                  <c:v>41475.559465</c:v>
                </c:pt>
                <c:pt idx="12038">
                  <c:v>41537.04556</c:v>
                </c:pt>
                <c:pt idx="12039">
                  <c:v>41598.592395</c:v>
                </c:pt>
                <c:pt idx="12040">
                  <c:v>41660.2</c:v>
                </c:pt>
                <c:pt idx="12041">
                  <c:v>41721.868405</c:v>
                </c:pt>
                <c:pt idx="12042">
                  <c:v>41783.59764</c:v>
                </c:pt>
                <c:pt idx="12043">
                  <c:v>41845.387735000004</c:v>
                </c:pt>
                <c:pt idx="12044">
                  <c:v>41907.238719999994</c:v>
                </c:pt>
                <c:pt idx="12045">
                  <c:v>41969.150624999995</c:v>
                </c:pt>
                <c:pt idx="12046">
                  <c:v>42031.12348</c:v>
                </c:pt>
                <c:pt idx="12047">
                  <c:v>42093.157315000004</c:v>
                </c:pt>
                <c:pt idx="12048">
                  <c:v>42155.252160000004</c:v>
                </c:pt>
                <c:pt idx="12049">
                  <c:v>42217.408045000004</c:v>
                </c:pt>
                <c:pt idx="12050">
                  <c:v>42279.625</c:v>
                </c:pt>
                <c:pt idx="12051">
                  <c:v>42341.903054999995</c:v>
                </c:pt>
                <c:pt idx="12052">
                  <c:v>42404.24224</c:v>
                </c:pt>
                <c:pt idx="12053">
                  <c:v>42466.642585</c:v>
                </c:pt>
                <c:pt idx="12054">
                  <c:v>42529.10412</c:v>
                </c:pt>
                <c:pt idx="12055">
                  <c:v>42591.62687500001</c:v>
                </c:pt>
                <c:pt idx="12056">
                  <c:v>42654.210880000006</c:v>
                </c:pt>
                <c:pt idx="12057">
                  <c:v>42716.856165</c:v>
                </c:pt>
                <c:pt idx="12058">
                  <c:v>42779.56275999999</c:v>
                </c:pt>
                <c:pt idx="12059">
                  <c:v>42842.330695</c:v>
                </c:pt>
                <c:pt idx="12060">
                  <c:v>42905.159999999996</c:v>
                </c:pt>
                <c:pt idx="12061">
                  <c:v>42968.050705</c:v>
                </c:pt>
                <c:pt idx="12062">
                  <c:v>43031.002839999994</c:v>
                </c:pt>
                <c:pt idx="12063">
                  <c:v>43094.016435</c:v>
                </c:pt>
                <c:pt idx="12064">
                  <c:v>43157.09152</c:v>
                </c:pt>
                <c:pt idx="12065">
                  <c:v>43220.228125</c:v>
                </c:pt>
                <c:pt idx="12066">
                  <c:v>43283.42628000001</c:v>
                </c:pt>
                <c:pt idx="12067">
                  <c:v>43346.686015</c:v>
                </c:pt>
                <c:pt idx="12068">
                  <c:v>43410.00736</c:v>
                </c:pt>
                <c:pt idx="12069">
                  <c:v>43473.390345</c:v>
                </c:pt>
                <c:pt idx="12070">
                  <c:v>43536.835</c:v>
                </c:pt>
                <c:pt idx="12071">
                  <c:v>43600.341355000004</c:v>
                </c:pt>
                <c:pt idx="12072">
                  <c:v>43663.90944</c:v>
                </c:pt>
                <c:pt idx="12073">
                  <c:v>43727.539285000006</c:v>
                </c:pt>
                <c:pt idx="12074">
                  <c:v>43791.23092000001</c:v>
                </c:pt>
                <c:pt idx="12075">
                  <c:v>43854.984375</c:v>
                </c:pt>
                <c:pt idx="12076">
                  <c:v>43918.799680000004</c:v>
                </c:pt>
                <c:pt idx="12077">
                  <c:v>43982.67686500001</c:v>
                </c:pt>
                <c:pt idx="12078">
                  <c:v>44046.615959999996</c:v>
                </c:pt>
                <c:pt idx="12079">
                  <c:v>44110.616995000004</c:v>
                </c:pt>
                <c:pt idx="12080">
                  <c:v>44174.68</c:v>
                </c:pt>
                <c:pt idx="12081">
                  <c:v>44238.805005</c:v>
                </c:pt>
                <c:pt idx="12082">
                  <c:v>44302.99204</c:v>
                </c:pt>
                <c:pt idx="12083">
                  <c:v>44367.241135000004</c:v>
                </c:pt>
                <c:pt idx="12084">
                  <c:v>44431.55232</c:v>
                </c:pt>
                <c:pt idx="12085">
                  <c:v>44495.925625</c:v>
                </c:pt>
                <c:pt idx="12086">
                  <c:v>44560.36108</c:v>
                </c:pt>
                <c:pt idx="12087">
                  <c:v>44624.858715</c:v>
                </c:pt>
                <c:pt idx="12088">
                  <c:v>44689.418560000006</c:v>
                </c:pt>
                <c:pt idx="12089">
                  <c:v>44754.040645</c:v>
                </c:pt>
                <c:pt idx="12090">
                  <c:v>44818.72499999999</c:v>
                </c:pt>
                <c:pt idx="12091">
                  <c:v>44883.471654999994</c:v>
                </c:pt>
                <c:pt idx="12092">
                  <c:v>44948.280640000004</c:v>
                </c:pt>
                <c:pt idx="12093">
                  <c:v>45013.151985000004</c:v>
                </c:pt>
                <c:pt idx="12094">
                  <c:v>45078.08572</c:v>
                </c:pt>
                <c:pt idx="12095">
                  <c:v>45143.081874999996</c:v>
                </c:pt>
                <c:pt idx="12096">
                  <c:v>45208.14048</c:v>
                </c:pt>
                <c:pt idx="12097">
                  <c:v>45273.261565</c:v>
                </c:pt>
                <c:pt idx="12098">
                  <c:v>45338.44516</c:v>
                </c:pt>
                <c:pt idx="12099">
                  <c:v>45403.691295000004</c:v>
                </c:pt>
                <c:pt idx="12100">
                  <c:v>45469.0</c:v>
                </c:pt>
                <c:pt idx="12101">
                  <c:v>45534.37130500001</c:v>
                </c:pt>
                <c:pt idx="12102">
                  <c:v>45599.80524</c:v>
                </c:pt>
                <c:pt idx="12103">
                  <c:v>45665.301835</c:v>
                </c:pt>
                <c:pt idx="12104">
                  <c:v>45730.861119999994</c:v>
                </c:pt>
                <c:pt idx="12105">
                  <c:v>45796.483125</c:v>
                </c:pt>
                <c:pt idx="12106">
                  <c:v>45862.16788</c:v>
                </c:pt>
                <c:pt idx="12107">
                  <c:v>45927.915415</c:v>
                </c:pt>
                <c:pt idx="12108">
                  <c:v>45993.72576</c:v>
                </c:pt>
                <c:pt idx="12109">
                  <c:v>46059.598945000005</c:v>
                </c:pt>
                <c:pt idx="12110">
                  <c:v>46125.53499999999</c:v>
                </c:pt>
                <c:pt idx="12111">
                  <c:v>46191.533955</c:v>
                </c:pt>
                <c:pt idx="12112">
                  <c:v>46257.59584</c:v>
                </c:pt>
                <c:pt idx="12113">
                  <c:v>46323.72068499999</c:v>
                </c:pt>
                <c:pt idx="12114">
                  <c:v>46389.90852</c:v>
                </c:pt>
                <c:pt idx="12115">
                  <c:v>46456.159374999996</c:v>
                </c:pt>
                <c:pt idx="12116">
                  <c:v>46522.47328</c:v>
                </c:pt>
                <c:pt idx="12117">
                  <c:v>46588.850265</c:v>
                </c:pt>
                <c:pt idx="12118">
                  <c:v>46655.290360000006</c:v>
                </c:pt>
                <c:pt idx="12119">
                  <c:v>46721.793595</c:v>
                </c:pt>
                <c:pt idx="12120">
                  <c:v>46788.36000000001</c:v>
                </c:pt>
                <c:pt idx="12121">
                  <c:v>46854.989605</c:v>
                </c:pt>
                <c:pt idx="12122">
                  <c:v>46921.682440000004</c:v>
                </c:pt>
                <c:pt idx="12123">
                  <c:v>46988.438534999994</c:v>
                </c:pt>
                <c:pt idx="12124">
                  <c:v>47055.257920000004</c:v>
                </c:pt>
                <c:pt idx="12125">
                  <c:v>47122.140625</c:v>
                </c:pt>
                <c:pt idx="12126">
                  <c:v>47189.08667999999</c:v>
                </c:pt>
                <c:pt idx="12127">
                  <c:v>47256.09611499999</c:v>
                </c:pt>
                <c:pt idx="12128">
                  <c:v>47323.168959999995</c:v>
                </c:pt>
                <c:pt idx="12129">
                  <c:v>47390.305245</c:v>
                </c:pt>
                <c:pt idx="12130">
                  <c:v>47457.505</c:v>
                </c:pt>
                <c:pt idx="12131">
                  <c:v>47524.768254999995</c:v>
                </c:pt>
                <c:pt idx="12132">
                  <c:v>47592.09504</c:v>
                </c:pt>
                <c:pt idx="12133">
                  <c:v>47659.48538500001</c:v>
                </c:pt>
                <c:pt idx="12134">
                  <c:v>47726.93932</c:v>
                </c:pt>
                <c:pt idx="12135">
                  <c:v>47794.456874999996</c:v>
                </c:pt>
                <c:pt idx="12136">
                  <c:v>47862.03808</c:v>
                </c:pt>
                <c:pt idx="12137">
                  <c:v>47929.682965</c:v>
                </c:pt>
                <c:pt idx="12138">
                  <c:v>47997.391560000004</c:v>
                </c:pt>
                <c:pt idx="12139">
                  <c:v>48065.163895</c:v>
                </c:pt>
                <c:pt idx="12140">
                  <c:v>48133.0</c:v>
                </c:pt>
                <c:pt idx="12141">
                  <c:v>48200.899905</c:v>
                </c:pt>
                <c:pt idx="12142">
                  <c:v>48268.86364</c:v>
                </c:pt>
                <c:pt idx="12143">
                  <c:v>48336.891234999996</c:v>
                </c:pt>
                <c:pt idx="12144">
                  <c:v>48404.98272</c:v>
                </c:pt>
                <c:pt idx="12145">
                  <c:v>48473.138125</c:v>
                </c:pt>
                <c:pt idx="12146">
                  <c:v>48541.35748</c:v>
                </c:pt>
                <c:pt idx="12147">
                  <c:v>48609.640815</c:v>
                </c:pt>
                <c:pt idx="12148">
                  <c:v>48677.98816</c:v>
                </c:pt>
                <c:pt idx="12149">
                  <c:v>48746.399545</c:v>
                </c:pt>
                <c:pt idx="12150">
                  <c:v>48814.875</c:v>
                </c:pt>
                <c:pt idx="12151">
                  <c:v>48883.414554999996</c:v>
                </c:pt>
                <c:pt idx="12152">
                  <c:v>48952.01824</c:v>
                </c:pt>
                <c:pt idx="12153">
                  <c:v>49020.686085</c:v>
                </c:pt>
                <c:pt idx="12154">
                  <c:v>49089.418119999995</c:v>
                </c:pt>
                <c:pt idx="12155">
                  <c:v>49158.214374999996</c:v>
                </c:pt>
                <c:pt idx="12156">
                  <c:v>49227.07488</c:v>
                </c:pt>
                <c:pt idx="12157">
                  <c:v>49295.999665</c:v>
                </c:pt>
                <c:pt idx="12158">
                  <c:v>49364.98876</c:v>
                </c:pt>
                <c:pt idx="12159">
                  <c:v>49434.042194999995</c:v>
                </c:pt>
                <c:pt idx="12160">
                  <c:v>49503.159999999996</c:v>
                </c:pt>
                <c:pt idx="12161">
                  <c:v>49572.342205</c:v>
                </c:pt>
                <c:pt idx="12162">
                  <c:v>49641.588840000004</c:v>
                </c:pt>
                <c:pt idx="12163">
                  <c:v>49710.899935</c:v>
                </c:pt>
                <c:pt idx="12164">
                  <c:v>49780.275519999996</c:v>
                </c:pt>
                <c:pt idx="12165">
                  <c:v>49849.715625</c:v>
                </c:pt>
                <c:pt idx="12166">
                  <c:v>49919.22028</c:v>
                </c:pt>
                <c:pt idx="12167">
                  <c:v>49988.789515</c:v>
                </c:pt>
                <c:pt idx="12168">
                  <c:v>50058.42336</c:v>
                </c:pt>
                <c:pt idx="12169">
                  <c:v>50128.121845</c:v>
                </c:pt>
                <c:pt idx="12170">
                  <c:v>50197.885</c:v>
                </c:pt>
                <c:pt idx="12171">
                  <c:v>50267.712855</c:v>
                </c:pt>
                <c:pt idx="12172">
                  <c:v>50337.60544</c:v>
                </c:pt>
                <c:pt idx="12173">
                  <c:v>50407.562785</c:v>
                </c:pt>
                <c:pt idx="12174">
                  <c:v>50477.58492</c:v>
                </c:pt>
                <c:pt idx="12175">
                  <c:v>50547.671875</c:v>
                </c:pt>
                <c:pt idx="12176">
                  <c:v>50617.82368</c:v>
                </c:pt>
                <c:pt idx="12177">
                  <c:v>50688.040365</c:v>
                </c:pt>
                <c:pt idx="12178">
                  <c:v>50758.32196</c:v>
                </c:pt>
                <c:pt idx="12179">
                  <c:v>50828.668495</c:v>
                </c:pt>
                <c:pt idx="12180">
                  <c:v>50899.08</c:v>
                </c:pt>
                <c:pt idx="12181">
                  <c:v>50969.556505</c:v>
                </c:pt>
                <c:pt idx="12182">
                  <c:v>51040.098040000004</c:v>
                </c:pt>
                <c:pt idx="12183">
                  <c:v>51110.704635</c:v>
                </c:pt>
                <c:pt idx="12184">
                  <c:v>51181.37632</c:v>
                </c:pt>
                <c:pt idx="12185">
                  <c:v>51252.113125</c:v>
                </c:pt>
                <c:pt idx="12186">
                  <c:v>51322.91508</c:v>
                </c:pt>
                <c:pt idx="12187">
                  <c:v>51393.782215</c:v>
                </c:pt>
                <c:pt idx="12188">
                  <c:v>51464.71456</c:v>
                </c:pt>
                <c:pt idx="12189">
                  <c:v>51535.712145</c:v>
                </c:pt>
                <c:pt idx="12190">
                  <c:v>51606.775</c:v>
                </c:pt>
                <c:pt idx="12191">
                  <c:v>51677.903155</c:v>
                </c:pt>
                <c:pt idx="12192">
                  <c:v>51749.09664</c:v>
                </c:pt>
                <c:pt idx="12193">
                  <c:v>51820.355485</c:v>
                </c:pt>
                <c:pt idx="12194">
                  <c:v>51891.67972</c:v>
                </c:pt>
                <c:pt idx="12195">
                  <c:v>51963.069375</c:v>
                </c:pt>
                <c:pt idx="12196">
                  <c:v>52034.52448</c:v>
                </c:pt>
                <c:pt idx="12197">
                  <c:v>52106.045065000006</c:v>
                </c:pt>
                <c:pt idx="12198">
                  <c:v>52177.63116</c:v>
                </c:pt>
                <c:pt idx="12199">
                  <c:v>52249.282795</c:v>
                </c:pt>
                <c:pt idx="12200">
                  <c:v>52321.0</c:v>
                </c:pt>
                <c:pt idx="12201">
                  <c:v>52392.782805</c:v>
                </c:pt>
                <c:pt idx="12202">
                  <c:v>52464.631239999995</c:v>
                </c:pt>
                <c:pt idx="12203">
                  <c:v>52536.545335</c:v>
                </c:pt>
                <c:pt idx="12204">
                  <c:v>52608.52512</c:v>
                </c:pt>
                <c:pt idx="12205">
                  <c:v>52680.570625</c:v>
                </c:pt>
                <c:pt idx="12206">
                  <c:v>52752.68188</c:v>
                </c:pt>
                <c:pt idx="12207">
                  <c:v>52824.858915000004</c:v>
                </c:pt>
                <c:pt idx="12208">
                  <c:v>52897.10176</c:v>
                </c:pt>
                <c:pt idx="12209">
                  <c:v>52969.410444999994</c:v>
                </c:pt>
                <c:pt idx="12210">
                  <c:v>53041.785</c:v>
                </c:pt>
                <c:pt idx="12211">
                  <c:v>53114.225455</c:v>
                </c:pt>
                <c:pt idx="12212">
                  <c:v>53186.73184</c:v>
                </c:pt>
                <c:pt idx="12213">
                  <c:v>53259.30418499999</c:v>
                </c:pt>
                <c:pt idx="12214">
                  <c:v>53331.94252</c:v>
                </c:pt>
                <c:pt idx="12215">
                  <c:v>53404.646875</c:v>
                </c:pt>
                <c:pt idx="12216">
                  <c:v>53477.41728</c:v>
                </c:pt>
                <c:pt idx="12217">
                  <c:v>53550.253765</c:v>
                </c:pt>
                <c:pt idx="12218">
                  <c:v>53623.15636</c:v>
                </c:pt>
                <c:pt idx="12219">
                  <c:v>53696.125094999996</c:v>
                </c:pt>
                <c:pt idx="12220">
                  <c:v>53769.16</c:v>
                </c:pt>
                <c:pt idx="12221">
                  <c:v>53842.261105</c:v>
                </c:pt>
                <c:pt idx="12222">
                  <c:v>53915.428439999996</c:v>
                </c:pt>
                <c:pt idx="12223">
                  <c:v>53988.662035</c:v>
                </c:pt>
                <c:pt idx="12224">
                  <c:v>54061.96192</c:v>
                </c:pt>
                <c:pt idx="12225">
                  <c:v>54135.328125</c:v>
                </c:pt>
                <c:pt idx="12226">
                  <c:v>54208.76068</c:v>
                </c:pt>
                <c:pt idx="12227">
                  <c:v>54282.259615</c:v>
                </c:pt>
                <c:pt idx="12228">
                  <c:v>54355.82496</c:v>
                </c:pt>
                <c:pt idx="12229">
                  <c:v>54429.456745</c:v>
                </c:pt>
                <c:pt idx="12230">
                  <c:v>54503.155</c:v>
                </c:pt>
                <c:pt idx="12231">
                  <c:v>54576.919755</c:v>
                </c:pt>
                <c:pt idx="12232">
                  <c:v>54650.75104</c:v>
                </c:pt>
                <c:pt idx="12233">
                  <c:v>54724.648885</c:v>
                </c:pt>
                <c:pt idx="12234">
                  <c:v>54798.613320000004</c:v>
                </c:pt>
                <c:pt idx="12235">
                  <c:v>54872.644374999996</c:v>
                </c:pt>
                <c:pt idx="12236">
                  <c:v>54946.74208</c:v>
                </c:pt>
                <c:pt idx="12237">
                  <c:v>55020.90646499999</c:v>
                </c:pt>
                <c:pt idx="12238">
                  <c:v>55095.13756</c:v>
                </c:pt>
                <c:pt idx="12239">
                  <c:v>55169.435395</c:v>
                </c:pt>
                <c:pt idx="12240">
                  <c:v>55243.8</c:v>
                </c:pt>
                <c:pt idx="12241">
                  <c:v>55318.231405</c:v>
                </c:pt>
                <c:pt idx="12242">
                  <c:v>55392.72964</c:v>
                </c:pt>
                <c:pt idx="12243">
                  <c:v>55467.294734999996</c:v>
                </c:pt>
                <c:pt idx="12244">
                  <c:v>55541.92672</c:v>
                </c:pt>
                <c:pt idx="12245">
                  <c:v>55616.625625</c:v>
                </c:pt>
                <c:pt idx="12246">
                  <c:v>55691.39148</c:v>
                </c:pt>
                <c:pt idx="12247">
                  <c:v>55766.224315</c:v>
                </c:pt>
                <c:pt idx="12248">
                  <c:v>55841.12416</c:v>
                </c:pt>
                <c:pt idx="12249">
                  <c:v>55916.091045</c:v>
                </c:pt>
                <c:pt idx="12250">
                  <c:v>55991.125</c:v>
                </c:pt>
                <c:pt idx="12251">
                  <c:v>56066.226055</c:v>
                </c:pt>
                <c:pt idx="12252">
                  <c:v>56141.39424</c:v>
                </c:pt>
                <c:pt idx="12253">
                  <c:v>56216.629584999995</c:v>
                </c:pt>
                <c:pt idx="12254">
                  <c:v>56291.93212</c:v>
                </c:pt>
                <c:pt idx="12255">
                  <c:v>56367.301875000005</c:v>
                </c:pt>
                <c:pt idx="12256">
                  <c:v>56442.73888</c:v>
                </c:pt>
                <c:pt idx="12257">
                  <c:v>56518.243165</c:v>
                </c:pt>
                <c:pt idx="12258">
                  <c:v>56593.81476</c:v>
                </c:pt>
                <c:pt idx="12259">
                  <c:v>56669.453695</c:v>
                </c:pt>
                <c:pt idx="12260">
                  <c:v>56745.159999999996</c:v>
                </c:pt>
                <c:pt idx="12261">
                  <c:v>56820.933705</c:v>
                </c:pt>
                <c:pt idx="12262">
                  <c:v>56896.77484</c:v>
                </c:pt>
                <c:pt idx="12263">
                  <c:v>56972.683435</c:v>
                </c:pt>
                <c:pt idx="12264">
                  <c:v>57048.65952</c:v>
                </c:pt>
                <c:pt idx="12265">
                  <c:v>57124.703125</c:v>
                </c:pt>
                <c:pt idx="12266">
                  <c:v>57200.814280000006</c:v>
                </c:pt>
                <c:pt idx="12267">
                  <c:v>57276.993015</c:v>
                </c:pt>
                <c:pt idx="12268">
                  <c:v>57353.23936</c:v>
                </c:pt>
                <c:pt idx="12269">
                  <c:v>57429.553345</c:v>
                </c:pt>
                <c:pt idx="12270">
                  <c:v>57505.935</c:v>
                </c:pt>
                <c:pt idx="12271">
                  <c:v>57582.384355</c:v>
                </c:pt>
                <c:pt idx="12272">
                  <c:v>57658.90144</c:v>
                </c:pt>
                <c:pt idx="12273">
                  <c:v>57735.486285</c:v>
                </c:pt>
                <c:pt idx="12274">
                  <c:v>57812.13892</c:v>
                </c:pt>
                <c:pt idx="12275">
                  <c:v>57888.859375</c:v>
                </c:pt>
                <c:pt idx="12276">
                  <c:v>57965.64768</c:v>
                </c:pt>
                <c:pt idx="12277">
                  <c:v>58042.503865000006</c:v>
                </c:pt>
                <c:pt idx="12278">
                  <c:v>58119.42795999999</c:v>
                </c:pt>
                <c:pt idx="12279">
                  <c:v>58196.419995000004</c:v>
                </c:pt>
                <c:pt idx="12280">
                  <c:v>58273.479999999996</c:v>
                </c:pt>
                <c:pt idx="12281">
                  <c:v>58350.608004999995</c:v>
                </c:pt>
                <c:pt idx="12282">
                  <c:v>58427.80404</c:v>
                </c:pt>
                <c:pt idx="12283">
                  <c:v>58505.068135</c:v>
                </c:pt>
                <c:pt idx="12284">
                  <c:v>58582.40032</c:v>
                </c:pt>
                <c:pt idx="12285">
                  <c:v>58659.800624999996</c:v>
                </c:pt>
                <c:pt idx="12286">
                  <c:v>58737.26908</c:v>
                </c:pt>
                <c:pt idx="12287">
                  <c:v>58814.805715</c:v>
                </c:pt>
                <c:pt idx="12288">
                  <c:v>58892.410560000004</c:v>
                </c:pt>
                <c:pt idx="12289">
                  <c:v>58970.083645</c:v>
                </c:pt>
                <c:pt idx="12290">
                  <c:v>59047.825</c:v>
                </c:pt>
                <c:pt idx="12291">
                  <c:v>59125.634655</c:v>
                </c:pt>
                <c:pt idx="12292">
                  <c:v>59203.51263999999</c:v>
                </c:pt>
                <c:pt idx="12293">
                  <c:v>59281.458985</c:v>
                </c:pt>
                <c:pt idx="12294">
                  <c:v>59359.473719999995</c:v>
                </c:pt>
                <c:pt idx="12295">
                  <c:v>59437.556875</c:v>
                </c:pt>
                <c:pt idx="12296">
                  <c:v>59515.70848</c:v>
                </c:pt>
                <c:pt idx="12297">
                  <c:v>59593.928565</c:v>
                </c:pt>
                <c:pt idx="12298">
                  <c:v>59672.21716</c:v>
                </c:pt>
                <c:pt idx="12299">
                  <c:v>59750.574295000006</c:v>
                </c:pt>
                <c:pt idx="12300">
                  <c:v>59829.0</c:v>
                </c:pt>
                <c:pt idx="12301">
                  <c:v>59907.494305</c:v>
                </c:pt>
                <c:pt idx="12302">
                  <c:v>59986.05724</c:v>
                </c:pt>
                <c:pt idx="12303">
                  <c:v>60064.688835</c:v>
                </c:pt>
                <c:pt idx="12304">
                  <c:v>60143.38912</c:v>
                </c:pt>
                <c:pt idx="12305">
                  <c:v>60222.158125</c:v>
                </c:pt>
                <c:pt idx="12306">
                  <c:v>60300.99588</c:v>
                </c:pt>
                <c:pt idx="12307">
                  <c:v>60379.902415000004</c:v>
                </c:pt>
                <c:pt idx="12308">
                  <c:v>60458.877759999996</c:v>
                </c:pt>
                <c:pt idx="12309">
                  <c:v>60537.921944999995</c:v>
                </c:pt>
                <c:pt idx="12310">
                  <c:v>60617.035</c:v>
                </c:pt>
                <c:pt idx="12311">
                  <c:v>60696.216954999996</c:v>
                </c:pt>
                <c:pt idx="12312">
                  <c:v>60775.46784</c:v>
                </c:pt>
                <c:pt idx="12313">
                  <c:v>60854.787685</c:v>
                </c:pt>
                <c:pt idx="12314">
                  <c:v>60934.17652</c:v>
                </c:pt>
                <c:pt idx="12315">
                  <c:v>61013.634375</c:v>
                </c:pt>
                <c:pt idx="12316">
                  <c:v>61093.16128</c:v>
                </c:pt>
                <c:pt idx="12317">
                  <c:v>61172.757265</c:v>
                </c:pt>
                <c:pt idx="12318">
                  <c:v>61252.42236</c:v>
                </c:pt>
                <c:pt idx="12319">
                  <c:v>61332.156595</c:v>
                </c:pt>
                <c:pt idx="12320">
                  <c:v>61411.96</c:v>
                </c:pt>
                <c:pt idx="12321">
                  <c:v>61491.832605</c:v>
                </c:pt>
                <c:pt idx="12322">
                  <c:v>61571.77444</c:v>
                </c:pt>
                <c:pt idx="12323">
                  <c:v>61651.785535</c:v>
                </c:pt>
                <c:pt idx="12324">
                  <c:v>61731.865920000004</c:v>
                </c:pt>
                <c:pt idx="12325">
                  <c:v>61812.015625</c:v>
                </c:pt>
                <c:pt idx="12326">
                  <c:v>61892.23468</c:v>
                </c:pt>
                <c:pt idx="12327">
                  <c:v>61972.523114999996</c:v>
                </c:pt>
                <c:pt idx="12328">
                  <c:v>62052.88096</c:v>
                </c:pt>
                <c:pt idx="12329">
                  <c:v>62133.308245</c:v>
                </c:pt>
                <c:pt idx="12330">
                  <c:v>62213.805</c:v>
                </c:pt>
                <c:pt idx="12331">
                  <c:v>62294.371255</c:v>
                </c:pt>
                <c:pt idx="12332">
                  <c:v>62375.007040000004</c:v>
                </c:pt>
                <c:pt idx="12333">
                  <c:v>62455.712385</c:v>
                </c:pt>
                <c:pt idx="12334">
                  <c:v>62536.48732</c:v>
                </c:pt>
                <c:pt idx="12335">
                  <c:v>62617.331875</c:v>
                </c:pt>
                <c:pt idx="12336">
                  <c:v>62698.24608</c:v>
                </c:pt>
                <c:pt idx="12337">
                  <c:v>62779.229965</c:v>
                </c:pt>
                <c:pt idx="12338">
                  <c:v>62860.283559999996</c:v>
                </c:pt>
                <c:pt idx="12339">
                  <c:v>62941.406895</c:v>
                </c:pt>
                <c:pt idx="12340">
                  <c:v>63022.6</c:v>
                </c:pt>
                <c:pt idx="12341">
                  <c:v>63103.862905</c:v>
                </c:pt>
                <c:pt idx="12342">
                  <c:v>63185.19564</c:v>
                </c:pt>
                <c:pt idx="12343">
                  <c:v>63266.598235</c:v>
                </c:pt>
                <c:pt idx="12344">
                  <c:v>63348.07072</c:v>
                </c:pt>
                <c:pt idx="12345">
                  <c:v>63429.613125</c:v>
                </c:pt>
                <c:pt idx="12346">
                  <c:v>63511.22548</c:v>
                </c:pt>
                <c:pt idx="12347">
                  <c:v>63592.907815000006</c:v>
                </c:pt>
                <c:pt idx="12348">
                  <c:v>63674.66016</c:v>
                </c:pt>
                <c:pt idx="12349">
                  <c:v>63756.482545</c:v>
                </c:pt>
                <c:pt idx="12350">
                  <c:v>63838.375</c:v>
                </c:pt>
                <c:pt idx="12351">
                  <c:v>63920.337555</c:v>
                </c:pt>
                <c:pt idx="12352">
                  <c:v>64002.370240000004</c:v>
                </c:pt>
                <c:pt idx="12353">
                  <c:v>64084.473085</c:v>
                </c:pt>
                <c:pt idx="12354">
                  <c:v>64166.64612</c:v>
                </c:pt>
                <c:pt idx="12355">
                  <c:v>64248.889375</c:v>
                </c:pt>
                <c:pt idx="12356">
                  <c:v>64331.20288</c:v>
                </c:pt>
                <c:pt idx="12357">
                  <c:v>64413.586665</c:v>
                </c:pt>
                <c:pt idx="12358">
                  <c:v>64496.04076</c:v>
                </c:pt>
                <c:pt idx="12359">
                  <c:v>64578.565194999996</c:v>
                </c:pt>
                <c:pt idx="12360">
                  <c:v>64661.159999999996</c:v>
                </c:pt>
                <c:pt idx="12361">
                  <c:v>64743.825205</c:v>
                </c:pt>
                <c:pt idx="12362">
                  <c:v>64826.560840000006</c:v>
                </c:pt>
                <c:pt idx="12363">
                  <c:v>64909.366935000005</c:v>
                </c:pt>
                <c:pt idx="12364">
                  <c:v>64992.24352</c:v>
                </c:pt>
                <c:pt idx="12365">
                  <c:v>65075.190625</c:v>
                </c:pt>
                <c:pt idx="12366">
                  <c:v>65158.20828</c:v>
                </c:pt>
                <c:pt idx="12367">
                  <c:v>65241.296515</c:v>
                </c:pt>
                <c:pt idx="12368">
                  <c:v>65324.45536</c:v>
                </c:pt>
                <c:pt idx="12369">
                  <c:v>65407.684844999996</c:v>
                </c:pt>
                <c:pt idx="12370">
                  <c:v>65490.985</c:v>
                </c:pt>
                <c:pt idx="12371">
                  <c:v>65574.355855</c:v>
                </c:pt>
                <c:pt idx="12372">
                  <c:v>65657.79744</c:v>
                </c:pt>
                <c:pt idx="12373">
                  <c:v>65741.309785</c:v>
                </c:pt>
                <c:pt idx="12374">
                  <c:v>65824.89292</c:v>
                </c:pt>
                <c:pt idx="12375">
                  <c:v>65908.546875</c:v>
                </c:pt>
                <c:pt idx="12376">
                  <c:v>65992.27167999999</c:v>
                </c:pt>
                <c:pt idx="12377">
                  <c:v>66076.067365</c:v>
                </c:pt>
                <c:pt idx="12378">
                  <c:v>66159.93396000001</c:v>
                </c:pt>
                <c:pt idx="12379">
                  <c:v>66243.871495</c:v>
                </c:pt>
                <c:pt idx="12380">
                  <c:v>66327.88</c:v>
                </c:pt>
                <c:pt idx="12381">
                  <c:v>66411.95950499999</c:v>
                </c:pt>
                <c:pt idx="12382">
                  <c:v>66496.11004</c:v>
                </c:pt>
                <c:pt idx="12383">
                  <c:v>66580.331635</c:v>
                </c:pt>
                <c:pt idx="12384">
                  <c:v>66664.62432</c:v>
                </c:pt>
                <c:pt idx="12385">
                  <c:v>66748.988125</c:v>
                </c:pt>
                <c:pt idx="12386">
                  <c:v>66833.42308</c:v>
                </c:pt>
                <c:pt idx="12387">
                  <c:v>66917.92921500001</c:v>
                </c:pt>
                <c:pt idx="12388">
                  <c:v>67002.50656</c:v>
                </c:pt>
                <c:pt idx="12389">
                  <c:v>67087.155145</c:v>
                </c:pt>
                <c:pt idx="12390">
                  <c:v>67171.875</c:v>
                </c:pt>
                <c:pt idx="12391">
                  <c:v>67256.666155</c:v>
                </c:pt>
                <c:pt idx="12392">
                  <c:v>67341.52863999999</c:v>
                </c:pt>
                <c:pt idx="12393">
                  <c:v>67426.462485</c:v>
                </c:pt>
                <c:pt idx="12394">
                  <c:v>67511.46771999999</c:v>
                </c:pt>
                <c:pt idx="12395">
                  <c:v>67596.544375</c:v>
                </c:pt>
                <c:pt idx="12396">
                  <c:v>67681.69248000001</c:v>
                </c:pt>
                <c:pt idx="12397">
                  <c:v>67766.912065</c:v>
                </c:pt>
                <c:pt idx="12398">
                  <c:v>67852.20315999999</c:v>
                </c:pt>
                <c:pt idx="12399">
                  <c:v>67937.56579499999</c:v>
                </c:pt>
                <c:pt idx="12400">
                  <c:v>68023.0</c:v>
                </c:pt>
                <c:pt idx="12401">
                  <c:v>68108.505805</c:v>
                </c:pt>
                <c:pt idx="12402">
                  <c:v>68194.08323999999</c:v>
                </c:pt>
                <c:pt idx="12403">
                  <c:v>68279.732335</c:v>
                </c:pt>
                <c:pt idx="12404">
                  <c:v>68365.45312</c:v>
                </c:pt>
                <c:pt idx="12405">
                  <c:v>68451.24562500001</c:v>
                </c:pt>
                <c:pt idx="12406">
                  <c:v>68537.10988</c:v>
                </c:pt>
                <c:pt idx="12407">
                  <c:v>68623.045915</c:v>
                </c:pt>
                <c:pt idx="12408">
                  <c:v>68709.05376</c:v>
                </c:pt>
                <c:pt idx="12409">
                  <c:v>68795.133445</c:v>
                </c:pt>
                <c:pt idx="12410">
                  <c:v>68881.285</c:v>
                </c:pt>
                <c:pt idx="12411">
                  <c:v>68967.508455</c:v>
                </c:pt>
                <c:pt idx="12412">
                  <c:v>69053.80384</c:v>
                </c:pt>
                <c:pt idx="12413">
                  <c:v>69140.171185</c:v>
                </c:pt>
                <c:pt idx="12414">
                  <c:v>69226.61052</c:v>
                </c:pt>
                <c:pt idx="12415">
                  <c:v>69313.121875</c:v>
                </c:pt>
                <c:pt idx="12416">
                  <c:v>69399.70528</c:v>
                </c:pt>
                <c:pt idx="12417">
                  <c:v>69486.36076499999</c:v>
                </c:pt>
                <c:pt idx="12418">
                  <c:v>69573.08836</c:v>
                </c:pt>
                <c:pt idx="12419">
                  <c:v>69659.888095</c:v>
                </c:pt>
                <c:pt idx="12420">
                  <c:v>69746.76</c:v>
                </c:pt>
                <c:pt idx="12421">
                  <c:v>69833.704105</c:v>
                </c:pt>
                <c:pt idx="12422">
                  <c:v>69920.72044</c:v>
                </c:pt>
                <c:pt idx="12423">
                  <c:v>70007.809035</c:v>
                </c:pt>
                <c:pt idx="12424">
                  <c:v>70094.96992</c:v>
                </c:pt>
                <c:pt idx="12425">
                  <c:v>70182.203125</c:v>
                </c:pt>
                <c:pt idx="12426">
                  <c:v>70269.50868</c:v>
                </c:pt>
                <c:pt idx="12427">
                  <c:v>70356.886615</c:v>
                </c:pt>
                <c:pt idx="12428">
                  <c:v>70444.33696</c:v>
                </c:pt>
                <c:pt idx="12429">
                  <c:v>70531.859745</c:v>
                </c:pt>
                <c:pt idx="12430">
                  <c:v>70619.45499999999</c:v>
                </c:pt>
                <c:pt idx="12431">
                  <c:v>70707.122755</c:v>
                </c:pt>
                <c:pt idx="12432">
                  <c:v>70794.86304000001</c:v>
                </c:pt>
                <c:pt idx="12433">
                  <c:v>70882.675885</c:v>
                </c:pt>
                <c:pt idx="12434">
                  <c:v>70970.56132</c:v>
                </c:pt>
                <c:pt idx="12435">
                  <c:v>71058.51937499999</c:v>
                </c:pt>
                <c:pt idx="12436">
                  <c:v>71146.55008</c:v>
                </c:pt>
                <c:pt idx="12437">
                  <c:v>71234.653465</c:v>
                </c:pt>
                <c:pt idx="12438">
                  <c:v>71322.82956</c:v>
                </c:pt>
                <c:pt idx="12439">
                  <c:v>71411.078395</c:v>
                </c:pt>
                <c:pt idx="12440">
                  <c:v>71499.40000000001</c:v>
                </c:pt>
                <c:pt idx="12441">
                  <c:v>71587.79440500001</c:v>
                </c:pt>
                <c:pt idx="12442">
                  <c:v>71676.26164</c:v>
                </c:pt>
                <c:pt idx="12443">
                  <c:v>71764.801735</c:v>
                </c:pt>
                <c:pt idx="12444">
                  <c:v>71853.41472</c:v>
                </c:pt>
                <c:pt idx="12445">
                  <c:v>71942.10062499999</c:v>
                </c:pt>
                <c:pt idx="12446">
                  <c:v>72030.85948</c:v>
                </c:pt>
                <c:pt idx="12447">
                  <c:v>72119.691315</c:v>
                </c:pt>
                <c:pt idx="12448">
                  <c:v>72208.59616</c:v>
                </c:pt>
                <c:pt idx="12449">
                  <c:v>72297.574045</c:v>
                </c:pt>
                <c:pt idx="12450">
                  <c:v>72386.625</c:v>
                </c:pt>
                <c:pt idx="12451">
                  <c:v>72475.749055</c:v>
                </c:pt>
                <c:pt idx="12452">
                  <c:v>72564.94624</c:v>
                </c:pt>
                <c:pt idx="12453">
                  <c:v>72654.216585</c:v>
                </c:pt>
                <c:pt idx="12454">
                  <c:v>72743.56012</c:v>
                </c:pt>
                <c:pt idx="12455">
                  <c:v>72832.976875</c:v>
                </c:pt>
                <c:pt idx="12456">
                  <c:v>72922.46688</c:v>
                </c:pt>
                <c:pt idx="12457">
                  <c:v>73012.030165</c:v>
                </c:pt>
                <c:pt idx="12458">
                  <c:v>73101.66676000001</c:v>
                </c:pt>
                <c:pt idx="12459">
                  <c:v>73191.376695</c:v>
                </c:pt>
                <c:pt idx="12460">
                  <c:v>73281.16</c:v>
                </c:pt>
                <c:pt idx="12461">
                  <c:v>73371.016705</c:v>
                </c:pt>
                <c:pt idx="12462">
                  <c:v>73460.94684</c:v>
                </c:pt>
                <c:pt idx="12463">
                  <c:v>73550.950435</c:v>
                </c:pt>
                <c:pt idx="12464">
                  <c:v>73641.02752</c:v>
                </c:pt>
                <c:pt idx="12465">
                  <c:v>73731.178125</c:v>
                </c:pt>
                <c:pt idx="12466">
                  <c:v>73821.40228</c:v>
                </c:pt>
                <c:pt idx="12467">
                  <c:v>73911.70001500001</c:v>
                </c:pt>
                <c:pt idx="12468">
                  <c:v>74002.07135999999</c:v>
                </c:pt>
                <c:pt idx="12469">
                  <c:v>74092.516345</c:v>
                </c:pt>
                <c:pt idx="12470">
                  <c:v>74183.03499999999</c:v>
                </c:pt>
                <c:pt idx="12471">
                  <c:v>74273.62735499999</c:v>
                </c:pt>
                <c:pt idx="12472">
                  <c:v>74364.29344000001</c:v>
                </c:pt>
                <c:pt idx="12473">
                  <c:v>74455.033285</c:v>
                </c:pt>
                <c:pt idx="12474">
                  <c:v>74545.84692</c:v>
                </c:pt>
                <c:pt idx="12475">
                  <c:v>74636.734375</c:v>
                </c:pt>
                <c:pt idx="12476">
                  <c:v>74727.69567999999</c:v>
                </c:pt>
                <c:pt idx="12477">
                  <c:v>74818.730865</c:v>
                </c:pt>
                <c:pt idx="12478">
                  <c:v>74909.83996</c:v>
                </c:pt>
                <c:pt idx="12479">
                  <c:v>75001.022995</c:v>
                </c:pt>
                <c:pt idx="12480">
                  <c:v>75092.28</c:v>
                </c:pt>
                <c:pt idx="12481">
                  <c:v>75183.611005</c:v>
                </c:pt>
                <c:pt idx="12482">
                  <c:v>75275.01604</c:v>
                </c:pt>
                <c:pt idx="12483">
                  <c:v>75366.495135</c:v>
                </c:pt>
                <c:pt idx="12484">
                  <c:v>75458.04832</c:v>
                </c:pt>
                <c:pt idx="12485">
                  <c:v>75549.675625</c:v>
                </c:pt>
                <c:pt idx="12486">
                  <c:v>75641.37708</c:v>
                </c:pt>
                <c:pt idx="12487">
                  <c:v>75733.152715</c:v>
                </c:pt>
                <c:pt idx="12488">
                  <c:v>75825.00256000001</c:v>
                </c:pt>
                <c:pt idx="12489">
                  <c:v>75916.926645</c:v>
                </c:pt>
                <c:pt idx="12490">
                  <c:v>76008.92499999999</c:v>
                </c:pt>
                <c:pt idx="12491">
                  <c:v>76100.997655</c:v>
                </c:pt>
                <c:pt idx="12492">
                  <c:v>76193.14464</c:v>
                </c:pt>
                <c:pt idx="12493">
                  <c:v>76285.365985</c:v>
                </c:pt>
                <c:pt idx="12494">
                  <c:v>76377.66172</c:v>
                </c:pt>
                <c:pt idx="12495">
                  <c:v>76470.03187499999</c:v>
                </c:pt>
                <c:pt idx="12496">
                  <c:v>76562.47648</c:v>
                </c:pt>
                <c:pt idx="12497">
                  <c:v>76654.995565</c:v>
                </c:pt>
                <c:pt idx="12498">
                  <c:v>76747.58916</c:v>
                </c:pt>
                <c:pt idx="12499">
                  <c:v>76840.257295</c:v>
                </c:pt>
                <c:pt idx="12500">
                  <c:v>76933.0</c:v>
                </c:pt>
                <c:pt idx="12501">
                  <c:v>77025.817305</c:v>
                </c:pt>
                <c:pt idx="12502">
                  <c:v>77118.70924</c:v>
                </c:pt>
                <c:pt idx="12503">
                  <c:v>77211.67583499999</c:v>
                </c:pt>
                <c:pt idx="12504">
                  <c:v>77304.71712</c:v>
                </c:pt>
                <c:pt idx="12505">
                  <c:v>77397.833125</c:v>
                </c:pt>
                <c:pt idx="12506">
                  <c:v>77491.02388</c:v>
                </c:pt>
                <c:pt idx="12507">
                  <c:v>77584.28941499999</c:v>
                </c:pt>
                <c:pt idx="12508">
                  <c:v>77677.62976000001</c:v>
                </c:pt>
                <c:pt idx="12509">
                  <c:v>77771.044945</c:v>
                </c:pt>
                <c:pt idx="12510">
                  <c:v>77864.535</c:v>
                </c:pt>
                <c:pt idx="12511">
                  <c:v>77958.099955</c:v>
                </c:pt>
                <c:pt idx="12512">
                  <c:v>78051.73984</c:v>
                </c:pt>
                <c:pt idx="12513">
                  <c:v>78145.45468499999</c:v>
                </c:pt>
                <c:pt idx="12514">
                  <c:v>78239.24452</c:v>
                </c:pt>
                <c:pt idx="12515">
                  <c:v>78333.109375</c:v>
                </c:pt>
                <c:pt idx="12516">
                  <c:v>78427.04928</c:v>
                </c:pt>
                <c:pt idx="12517">
                  <c:v>78521.06426500001</c:v>
                </c:pt>
                <c:pt idx="12518">
                  <c:v>78615.15436</c:v>
                </c:pt>
                <c:pt idx="12519">
                  <c:v>78709.31959500001</c:v>
                </c:pt>
                <c:pt idx="12520">
                  <c:v>78803.56</c:v>
                </c:pt>
                <c:pt idx="12521">
                  <c:v>78897.875605</c:v>
                </c:pt>
                <c:pt idx="12522">
                  <c:v>78992.26644</c:v>
                </c:pt>
                <c:pt idx="12523">
                  <c:v>79086.732535</c:v>
                </c:pt>
                <c:pt idx="12524">
                  <c:v>79181.27392</c:v>
                </c:pt>
                <c:pt idx="12525">
                  <c:v>79275.890625</c:v>
                </c:pt>
                <c:pt idx="12526">
                  <c:v>79370.58267999999</c:v>
                </c:pt>
                <c:pt idx="12527">
                  <c:v>79465.350115</c:v>
                </c:pt>
                <c:pt idx="12528">
                  <c:v>79560.19296</c:v>
                </c:pt>
                <c:pt idx="12529">
                  <c:v>79655.11124500001</c:v>
                </c:pt>
                <c:pt idx="12530">
                  <c:v>79750.10500000001</c:v>
                </c:pt>
                <c:pt idx="12531">
                  <c:v>79845.17425499999</c:v>
                </c:pt>
                <c:pt idx="12532">
                  <c:v>79940.31904</c:v>
                </c:pt>
                <c:pt idx="12533">
                  <c:v>80035.53938500001</c:v>
                </c:pt>
                <c:pt idx="12534">
                  <c:v>80130.83532</c:v>
                </c:pt>
                <c:pt idx="12535">
                  <c:v>80226.206875</c:v>
                </c:pt>
                <c:pt idx="12536">
                  <c:v>80321.65408000001</c:v>
                </c:pt>
                <c:pt idx="12537">
                  <c:v>80417.176965</c:v>
                </c:pt>
                <c:pt idx="12538">
                  <c:v>80512.77556</c:v>
                </c:pt>
                <c:pt idx="12539">
                  <c:v>80608.449895</c:v>
                </c:pt>
                <c:pt idx="12540">
                  <c:v>80704.2</c:v>
                </c:pt>
                <c:pt idx="12541">
                  <c:v>80800.025905</c:v>
                </c:pt>
                <c:pt idx="12542">
                  <c:v>80895.92764</c:v>
                </c:pt>
                <c:pt idx="12543">
                  <c:v>80991.905235</c:v>
                </c:pt>
                <c:pt idx="12544">
                  <c:v>81087.95872000001</c:v>
                </c:pt>
                <c:pt idx="12545">
                  <c:v>81184.088125</c:v>
                </c:pt>
                <c:pt idx="12546">
                  <c:v>81280.29348000001</c:v>
                </c:pt>
                <c:pt idx="12547">
                  <c:v>81376.574815</c:v>
                </c:pt>
                <c:pt idx="12548">
                  <c:v>81472.93216</c:v>
                </c:pt>
                <c:pt idx="12549">
                  <c:v>81569.365545</c:v>
                </c:pt>
                <c:pt idx="12550">
                  <c:v>81665.875</c:v>
                </c:pt>
                <c:pt idx="12551">
                  <c:v>81762.460555</c:v>
                </c:pt>
                <c:pt idx="12552">
                  <c:v>81859.12224</c:v>
                </c:pt>
                <c:pt idx="12553">
                  <c:v>81955.86008500001</c:v>
                </c:pt>
                <c:pt idx="12554">
                  <c:v>82052.67412</c:v>
                </c:pt>
                <c:pt idx="12555">
                  <c:v>82149.56437499999</c:v>
                </c:pt>
                <c:pt idx="12556">
                  <c:v>82246.53087999999</c:v>
                </c:pt>
                <c:pt idx="12557">
                  <c:v>82343.573665</c:v>
                </c:pt>
                <c:pt idx="12558">
                  <c:v>82440.69276</c:v>
                </c:pt>
                <c:pt idx="12559">
                  <c:v>82537.888195</c:v>
                </c:pt>
                <c:pt idx="12560">
                  <c:v>82635.15999999999</c:v>
                </c:pt>
                <c:pt idx="12561">
                  <c:v>82732.508205</c:v>
                </c:pt>
                <c:pt idx="12562">
                  <c:v>82829.93284</c:v>
                </c:pt>
                <c:pt idx="12563">
                  <c:v>82927.43393500001</c:v>
                </c:pt>
                <c:pt idx="12564">
                  <c:v>83025.01152</c:v>
                </c:pt>
                <c:pt idx="12565">
                  <c:v>83122.66562500001</c:v>
                </c:pt>
                <c:pt idx="12566">
                  <c:v>83220.39627999999</c:v>
                </c:pt>
                <c:pt idx="12567">
                  <c:v>83318.203515</c:v>
                </c:pt>
                <c:pt idx="12568">
                  <c:v>83416.08735999999</c:v>
                </c:pt>
                <c:pt idx="12569">
                  <c:v>83514.047845</c:v>
                </c:pt>
                <c:pt idx="12570">
                  <c:v>83612.08499999999</c:v>
                </c:pt>
                <c:pt idx="12571">
                  <c:v>83710.198855</c:v>
                </c:pt>
                <c:pt idx="12572">
                  <c:v>83808.38944000001</c:v>
                </c:pt>
                <c:pt idx="12573">
                  <c:v>83906.656785</c:v>
                </c:pt>
                <c:pt idx="12574">
                  <c:v>84005.00092</c:v>
                </c:pt>
                <c:pt idx="12575">
                  <c:v>84103.421875</c:v>
                </c:pt>
                <c:pt idx="12576">
                  <c:v>84201.91968</c:v>
                </c:pt>
                <c:pt idx="12577">
                  <c:v>84300.49436499999</c:v>
                </c:pt>
                <c:pt idx="12578">
                  <c:v>84399.14596000001</c:v>
                </c:pt>
                <c:pt idx="12579">
                  <c:v>84497.87449500001</c:v>
                </c:pt>
                <c:pt idx="12580">
                  <c:v>84596.68</c:v>
                </c:pt>
                <c:pt idx="12581">
                  <c:v>84695.56250500001</c:v>
                </c:pt>
                <c:pt idx="12582">
                  <c:v>84794.52204000001</c:v>
                </c:pt>
                <c:pt idx="12583">
                  <c:v>84893.558635</c:v>
                </c:pt>
                <c:pt idx="12584">
                  <c:v>84992.67232</c:v>
                </c:pt>
                <c:pt idx="12585">
                  <c:v>85091.863125</c:v>
                </c:pt>
                <c:pt idx="12586">
                  <c:v>85191.13108</c:v>
                </c:pt>
                <c:pt idx="12587">
                  <c:v>85290.476215</c:v>
                </c:pt>
                <c:pt idx="12588">
                  <c:v>85389.89855999999</c:v>
                </c:pt>
                <c:pt idx="12589">
                  <c:v>85489.398145</c:v>
                </c:pt>
                <c:pt idx="12590">
                  <c:v>85588.975</c:v>
                </c:pt>
                <c:pt idx="12591">
                  <c:v>85688.629155</c:v>
                </c:pt>
                <c:pt idx="12592">
                  <c:v>85788.36064</c:v>
                </c:pt>
                <c:pt idx="12593">
                  <c:v>85888.169485</c:v>
                </c:pt>
                <c:pt idx="12594">
                  <c:v>85988.05572</c:v>
                </c:pt>
                <c:pt idx="12595">
                  <c:v>86088.01937499999</c:v>
                </c:pt>
                <c:pt idx="12596">
                  <c:v>86188.06048</c:v>
                </c:pt>
                <c:pt idx="12597">
                  <c:v>86288.17906499999</c:v>
                </c:pt>
                <c:pt idx="12598">
                  <c:v>86388.37516000001</c:v>
                </c:pt>
                <c:pt idx="12599">
                  <c:v>86488.64879499999</c:v>
                </c:pt>
                <c:pt idx="12600">
                  <c:v>86589.0</c:v>
                </c:pt>
                <c:pt idx="12601">
                  <c:v>86689.428805</c:v>
                </c:pt>
                <c:pt idx="12602">
                  <c:v>86789.93523999999</c:v>
                </c:pt>
                <c:pt idx="12603">
                  <c:v>86890.519335</c:v>
                </c:pt>
                <c:pt idx="12604">
                  <c:v>86991.18112</c:v>
                </c:pt>
                <c:pt idx="12605">
                  <c:v>87091.920625</c:v>
                </c:pt>
                <c:pt idx="12606">
                  <c:v>87192.73788</c:v>
                </c:pt>
                <c:pt idx="12607">
                  <c:v>87293.632915</c:v>
                </c:pt>
                <c:pt idx="12608">
                  <c:v>87394.60575999999</c:v>
                </c:pt>
                <c:pt idx="12609">
                  <c:v>87495.656445</c:v>
                </c:pt>
                <c:pt idx="12610">
                  <c:v>87596.785</c:v>
                </c:pt>
                <c:pt idx="12611">
                  <c:v>87697.99145500001</c:v>
                </c:pt>
                <c:pt idx="12612">
                  <c:v>87799.27584</c:v>
                </c:pt>
                <c:pt idx="12613">
                  <c:v>87900.638185</c:v>
                </c:pt>
                <c:pt idx="12614">
                  <c:v>88002.07852</c:v>
                </c:pt>
                <c:pt idx="12615">
                  <c:v>88103.59687499999</c:v>
                </c:pt>
                <c:pt idx="12616">
                  <c:v>88205.19328</c:v>
                </c:pt>
                <c:pt idx="12617">
                  <c:v>88306.867765</c:v>
                </c:pt>
                <c:pt idx="12618">
                  <c:v>88408.62036</c:v>
                </c:pt>
                <c:pt idx="12619">
                  <c:v>88510.451095</c:v>
                </c:pt>
                <c:pt idx="12620">
                  <c:v>88612.35999999999</c:v>
                </c:pt>
                <c:pt idx="12621">
                  <c:v>88714.34710500001</c:v>
                </c:pt>
                <c:pt idx="12622">
                  <c:v>88816.41244</c:v>
                </c:pt>
                <c:pt idx="12623">
                  <c:v>88918.556035</c:v>
                </c:pt>
                <c:pt idx="12624">
                  <c:v>89020.77792</c:v>
                </c:pt>
                <c:pt idx="12625">
                  <c:v>89123.078125</c:v>
                </c:pt>
                <c:pt idx="12626">
                  <c:v>89225.45668</c:v>
                </c:pt>
                <c:pt idx="12627">
                  <c:v>89327.913615</c:v>
                </c:pt>
                <c:pt idx="12628">
                  <c:v>89430.44896000001</c:v>
                </c:pt>
                <c:pt idx="12629">
                  <c:v>89533.062745</c:v>
                </c:pt>
                <c:pt idx="12630">
                  <c:v>89635.755</c:v>
                </c:pt>
                <c:pt idx="12631">
                  <c:v>89738.525755</c:v>
                </c:pt>
                <c:pt idx="12632">
                  <c:v>89841.37504</c:v>
                </c:pt>
                <c:pt idx="12633">
                  <c:v>89944.302885</c:v>
                </c:pt>
                <c:pt idx="12634">
                  <c:v>90047.30932</c:v>
                </c:pt>
                <c:pt idx="12635">
                  <c:v>90150.394375</c:v>
                </c:pt>
                <c:pt idx="12636">
                  <c:v>90253.55808</c:v>
                </c:pt>
                <c:pt idx="12637">
                  <c:v>90356.80046500001</c:v>
                </c:pt>
                <c:pt idx="12638">
                  <c:v>90460.12156</c:v>
                </c:pt>
                <c:pt idx="12639">
                  <c:v>90563.52139499999</c:v>
                </c:pt>
                <c:pt idx="12640">
                  <c:v>90667.0</c:v>
                </c:pt>
                <c:pt idx="12641">
                  <c:v>90770.557405</c:v>
                </c:pt>
                <c:pt idx="12642">
                  <c:v>90874.19364</c:v>
                </c:pt>
                <c:pt idx="12643">
                  <c:v>90977.908735</c:v>
                </c:pt>
                <c:pt idx="12644">
                  <c:v>91081.70272</c:v>
                </c:pt>
                <c:pt idx="12645">
                  <c:v>91185.575625</c:v>
                </c:pt>
                <c:pt idx="12646">
                  <c:v>91289.52748</c:v>
                </c:pt>
                <c:pt idx="12647">
                  <c:v>91393.558315</c:v>
                </c:pt>
                <c:pt idx="12648">
                  <c:v>91497.66816</c:v>
                </c:pt>
                <c:pt idx="12649">
                  <c:v>91601.857045</c:v>
                </c:pt>
                <c:pt idx="12650">
                  <c:v>91706.125</c:v>
                </c:pt>
                <c:pt idx="12651">
                  <c:v>91810.472055</c:v>
                </c:pt>
                <c:pt idx="12652">
                  <c:v>91914.89824000001</c:v>
                </c:pt>
                <c:pt idx="12653">
                  <c:v>92019.40358500001</c:v>
                </c:pt>
                <c:pt idx="12654">
                  <c:v>92123.98812</c:v>
                </c:pt>
                <c:pt idx="12655">
                  <c:v>92228.65187500001</c:v>
                </c:pt>
                <c:pt idx="12656">
                  <c:v>92333.39487999999</c:v>
                </c:pt>
                <c:pt idx="12657">
                  <c:v>92438.217165</c:v>
                </c:pt>
                <c:pt idx="12658">
                  <c:v>92543.11876</c:v>
                </c:pt>
                <c:pt idx="12659">
                  <c:v>92648.09969500001</c:v>
                </c:pt>
                <c:pt idx="12660">
                  <c:v>92753.16</c:v>
                </c:pt>
                <c:pt idx="12661">
                  <c:v>92858.29970500001</c:v>
                </c:pt>
                <c:pt idx="12662">
                  <c:v>92963.51884</c:v>
                </c:pt>
                <c:pt idx="12663">
                  <c:v>93068.81743499999</c:v>
                </c:pt>
                <c:pt idx="12664">
                  <c:v>93174.19552</c:v>
                </c:pt>
                <c:pt idx="12665">
                  <c:v>93279.653125</c:v>
                </c:pt>
                <c:pt idx="12666">
                  <c:v>93385.19028</c:v>
                </c:pt>
                <c:pt idx="12667">
                  <c:v>93490.80701500001</c:v>
                </c:pt>
                <c:pt idx="12668">
                  <c:v>93596.50336</c:v>
                </c:pt>
                <c:pt idx="12669">
                  <c:v>93702.279345</c:v>
                </c:pt>
                <c:pt idx="12670">
                  <c:v>93808.135</c:v>
                </c:pt>
                <c:pt idx="12671">
                  <c:v>93914.070355</c:v>
                </c:pt>
                <c:pt idx="12672">
                  <c:v>94020.08544</c:v>
                </c:pt>
                <c:pt idx="12673">
                  <c:v>94126.180285</c:v>
                </c:pt>
                <c:pt idx="12674">
                  <c:v>94232.35492</c:v>
                </c:pt>
                <c:pt idx="12675">
                  <c:v>94338.609375</c:v>
                </c:pt>
                <c:pt idx="12676">
                  <c:v>94444.94368</c:v>
                </c:pt>
                <c:pt idx="12677">
                  <c:v>94551.357865</c:v>
                </c:pt>
                <c:pt idx="12678">
                  <c:v>94657.85196</c:v>
                </c:pt>
                <c:pt idx="12679">
                  <c:v>94764.425995</c:v>
                </c:pt>
                <c:pt idx="12680">
                  <c:v>94871.07999999999</c:v>
                </c:pt>
                <c:pt idx="12681">
                  <c:v>94977.814005</c:v>
                </c:pt>
                <c:pt idx="12682">
                  <c:v>95084.62804000001</c:v>
                </c:pt>
                <c:pt idx="12683">
                  <c:v>95191.522135</c:v>
                </c:pt>
                <c:pt idx="12684">
                  <c:v>95298.49632</c:v>
                </c:pt>
                <c:pt idx="12685">
                  <c:v>95405.55062499999</c:v>
                </c:pt>
                <c:pt idx="12686">
                  <c:v>95512.68508000001</c:v>
                </c:pt>
                <c:pt idx="12687">
                  <c:v>95619.899715</c:v>
                </c:pt>
                <c:pt idx="12688">
                  <c:v>95727.19456</c:v>
                </c:pt>
                <c:pt idx="12689">
                  <c:v>95834.569645</c:v>
                </c:pt>
                <c:pt idx="12690">
                  <c:v>95942.02500000001</c:v>
                </c:pt>
                <c:pt idx="12691">
                  <c:v>96049.560655</c:v>
                </c:pt>
                <c:pt idx="12692">
                  <c:v>96157.17664</c:v>
                </c:pt>
                <c:pt idx="12693">
                  <c:v>96264.87298500001</c:v>
                </c:pt>
                <c:pt idx="12694">
                  <c:v>96372.64972</c:v>
                </c:pt>
                <c:pt idx="12695">
                  <c:v>96480.50687499999</c:v>
                </c:pt>
                <c:pt idx="12696">
                  <c:v>96588.44447999999</c:v>
                </c:pt>
                <c:pt idx="12697">
                  <c:v>96696.462565</c:v>
                </c:pt>
                <c:pt idx="12698">
                  <c:v>96804.56116</c:v>
                </c:pt>
                <c:pt idx="12699">
                  <c:v>96912.740295</c:v>
                </c:pt>
                <c:pt idx="12700">
                  <c:v>97021.0</c:v>
                </c:pt>
                <c:pt idx="12701">
                  <c:v>97129.340305</c:v>
                </c:pt>
                <c:pt idx="12702">
                  <c:v>97237.76123999999</c:v>
                </c:pt>
                <c:pt idx="12703">
                  <c:v>97346.262835</c:v>
                </c:pt>
                <c:pt idx="12704">
                  <c:v>97454.84512</c:v>
                </c:pt>
                <c:pt idx="12705">
                  <c:v>97563.508125</c:v>
                </c:pt>
                <c:pt idx="12706">
                  <c:v>97672.25188</c:v>
                </c:pt>
                <c:pt idx="12707">
                  <c:v>97781.076415</c:v>
                </c:pt>
                <c:pt idx="12708">
                  <c:v>97889.98176000001</c:v>
                </c:pt>
                <c:pt idx="12709">
                  <c:v>97998.967945</c:v>
                </c:pt>
                <c:pt idx="12710">
                  <c:v>98108.035</c:v>
                </c:pt>
                <c:pt idx="12711">
                  <c:v>98217.18295500001</c:v>
                </c:pt>
                <c:pt idx="12712">
                  <c:v>98326.41184</c:v>
                </c:pt>
                <c:pt idx="12713">
                  <c:v>98435.721685</c:v>
                </c:pt>
                <c:pt idx="12714">
                  <c:v>98545.11252000001</c:v>
                </c:pt>
                <c:pt idx="12715">
                  <c:v>98654.584375</c:v>
                </c:pt>
                <c:pt idx="12716">
                  <c:v>98764.13728</c:v>
                </c:pt>
                <c:pt idx="12717">
                  <c:v>98873.771265</c:v>
                </c:pt>
                <c:pt idx="12718">
                  <c:v>98983.48636</c:v>
                </c:pt>
                <c:pt idx="12719">
                  <c:v>99093.282595</c:v>
                </c:pt>
                <c:pt idx="12720">
                  <c:v>99203.15999999999</c:v>
                </c:pt>
                <c:pt idx="12721">
                  <c:v>99313.118605</c:v>
                </c:pt>
                <c:pt idx="12722">
                  <c:v>99423.15844</c:v>
                </c:pt>
                <c:pt idx="12723">
                  <c:v>99533.279535</c:v>
                </c:pt>
                <c:pt idx="12724">
                  <c:v>99643.48192</c:v>
                </c:pt>
                <c:pt idx="12725">
                  <c:v>99753.765625</c:v>
                </c:pt>
                <c:pt idx="12726">
                  <c:v>99864.13068</c:v>
                </c:pt>
                <c:pt idx="12727">
                  <c:v>99974.57711500001</c:v>
                </c:pt>
                <c:pt idx="12728">
                  <c:v>100085.10496</c:v>
                </c:pt>
                <c:pt idx="12729">
                  <c:v>100195.714245</c:v>
                </c:pt>
                <c:pt idx="12730">
                  <c:v>100306.405</c:v>
                </c:pt>
                <c:pt idx="12731">
                  <c:v>100417.177255</c:v>
                </c:pt>
                <c:pt idx="12732">
                  <c:v>100528.03104</c:v>
                </c:pt>
                <c:pt idx="12733">
                  <c:v>100638.966385</c:v>
                </c:pt>
                <c:pt idx="12734">
                  <c:v>100749.98332</c:v>
                </c:pt>
                <c:pt idx="12735">
                  <c:v>100861.081875</c:v>
                </c:pt>
                <c:pt idx="12736">
                  <c:v>100972.26207999999</c:v>
                </c:pt>
                <c:pt idx="12737">
                  <c:v>101083.523965</c:v>
                </c:pt>
                <c:pt idx="12738">
                  <c:v>101194.86756000001</c:v>
                </c:pt>
                <c:pt idx="12739">
                  <c:v>101306.292895</c:v>
                </c:pt>
                <c:pt idx="12740">
                  <c:v>101417.79999999999</c:v>
                </c:pt>
                <c:pt idx="12741">
                  <c:v>101529.388905</c:v>
                </c:pt>
                <c:pt idx="12742">
                  <c:v>101641.05964</c:v>
                </c:pt>
                <c:pt idx="12743">
                  <c:v>101752.812235</c:v>
                </c:pt>
                <c:pt idx="12744">
                  <c:v>101864.64671999999</c:v>
                </c:pt>
                <c:pt idx="12745">
                  <c:v>101976.56312499999</c:v>
                </c:pt>
                <c:pt idx="12746">
                  <c:v>102088.56147999999</c:v>
                </c:pt>
                <c:pt idx="12747">
                  <c:v>102200.641815</c:v>
                </c:pt>
                <c:pt idx="12748">
                  <c:v>102312.80416</c:v>
                </c:pt>
                <c:pt idx="12749">
                  <c:v>102425.048545</c:v>
                </c:pt>
                <c:pt idx="12750">
                  <c:v>102537.375</c:v>
                </c:pt>
                <c:pt idx="12751">
                  <c:v>102649.78355499999</c:v>
                </c:pt>
                <c:pt idx="12752">
                  <c:v>102762.27424</c:v>
                </c:pt>
                <c:pt idx="12753">
                  <c:v>102874.847085</c:v>
                </c:pt>
                <c:pt idx="12754">
                  <c:v>102987.50212</c:v>
                </c:pt>
                <c:pt idx="12755">
                  <c:v>103100.239375</c:v>
                </c:pt>
                <c:pt idx="12756">
                  <c:v>103213.05888</c:v>
                </c:pt>
                <c:pt idx="12757">
                  <c:v>103325.96066499999</c:v>
                </c:pt>
                <c:pt idx="12758">
                  <c:v>103438.94476000001</c:v>
                </c:pt>
                <c:pt idx="12759">
                  <c:v>103552.011195</c:v>
                </c:pt>
                <c:pt idx="12760">
                  <c:v>103665.16</c:v>
                </c:pt>
                <c:pt idx="12761">
                  <c:v>103778.39120499999</c:v>
                </c:pt>
                <c:pt idx="12762">
                  <c:v>103891.70483999999</c:v>
                </c:pt>
                <c:pt idx="12763">
                  <c:v>104005.100935</c:v>
                </c:pt>
                <c:pt idx="12764">
                  <c:v>104118.57952</c:v>
                </c:pt>
                <c:pt idx="12765">
                  <c:v>104232.140625</c:v>
                </c:pt>
                <c:pt idx="12766">
                  <c:v>104345.78428</c:v>
                </c:pt>
                <c:pt idx="12767">
                  <c:v>104459.510515</c:v>
                </c:pt>
                <c:pt idx="12768">
                  <c:v>104573.31936</c:v>
                </c:pt>
                <c:pt idx="12769">
                  <c:v>104687.210845</c:v>
                </c:pt>
                <c:pt idx="12770">
                  <c:v>104801.185</c:v>
                </c:pt>
                <c:pt idx="12771">
                  <c:v>104915.241855</c:v>
                </c:pt>
                <c:pt idx="12772">
                  <c:v>105029.38144</c:v>
                </c:pt>
                <c:pt idx="12773">
                  <c:v>105143.603785</c:v>
                </c:pt>
                <c:pt idx="12774">
                  <c:v>105257.90892</c:v>
                </c:pt>
                <c:pt idx="12775">
                  <c:v>105372.296875</c:v>
                </c:pt>
                <c:pt idx="12776">
                  <c:v>105486.76768</c:v>
                </c:pt>
                <c:pt idx="12777">
                  <c:v>105601.321365</c:v>
                </c:pt>
                <c:pt idx="12778">
                  <c:v>105715.95796</c:v>
                </c:pt>
                <c:pt idx="12779">
                  <c:v>105830.677495</c:v>
                </c:pt>
                <c:pt idx="12780">
                  <c:v>105945.48000000001</c:v>
                </c:pt>
                <c:pt idx="12781">
                  <c:v>106060.365505</c:v>
                </c:pt>
                <c:pt idx="12782">
                  <c:v>106175.33404</c:v>
                </c:pt>
                <c:pt idx="12783">
                  <c:v>106290.385635</c:v>
                </c:pt>
                <c:pt idx="12784">
                  <c:v>106405.52032000001</c:v>
                </c:pt>
                <c:pt idx="12785">
                  <c:v>106520.738125</c:v>
                </c:pt>
                <c:pt idx="12786">
                  <c:v>106636.03907999999</c:v>
                </c:pt>
                <c:pt idx="12787">
                  <c:v>106751.423215</c:v>
                </c:pt>
                <c:pt idx="12788">
                  <c:v>106866.89056</c:v>
                </c:pt>
                <c:pt idx="12789">
                  <c:v>106982.441145</c:v>
                </c:pt>
                <c:pt idx="12790">
                  <c:v>107098.075</c:v>
                </c:pt>
                <c:pt idx="12791">
                  <c:v>107213.792155</c:v>
                </c:pt>
                <c:pt idx="12792">
                  <c:v>107329.59264</c:v>
                </c:pt>
                <c:pt idx="12793">
                  <c:v>107445.476485</c:v>
                </c:pt>
                <c:pt idx="12794">
                  <c:v>107561.44372</c:v>
                </c:pt>
                <c:pt idx="12795">
                  <c:v>107677.494375</c:v>
                </c:pt>
                <c:pt idx="12796">
                  <c:v>107793.62848000001</c:v>
                </c:pt>
                <c:pt idx="12797">
                  <c:v>107909.846065</c:v>
                </c:pt>
                <c:pt idx="12798">
                  <c:v>108026.14716000001</c:v>
                </c:pt>
                <c:pt idx="12799">
                  <c:v>108142.531795</c:v>
                </c:pt>
                <c:pt idx="12800">
                  <c:v>108259.0</c:v>
                </c:pt>
                <c:pt idx="12801">
                  <c:v>108375.551805</c:v>
                </c:pt>
                <c:pt idx="12802">
                  <c:v>108492.18724</c:v>
                </c:pt>
                <c:pt idx="12803">
                  <c:v>108608.90633499999</c:v>
                </c:pt>
                <c:pt idx="12804">
                  <c:v>108725.70912</c:v>
                </c:pt>
                <c:pt idx="12805">
                  <c:v>108842.59562499999</c:v>
                </c:pt>
                <c:pt idx="12806">
                  <c:v>108959.56588</c:v>
                </c:pt>
                <c:pt idx="12807">
                  <c:v>109076.61991499999</c:v>
                </c:pt>
                <c:pt idx="12808">
                  <c:v>109193.75776</c:v>
                </c:pt>
                <c:pt idx="12809">
                  <c:v>109310.979445</c:v>
                </c:pt>
                <c:pt idx="12810">
                  <c:v>109428.28499999999</c:v>
                </c:pt>
                <c:pt idx="12811">
                  <c:v>109545.674455</c:v>
                </c:pt>
                <c:pt idx="12812">
                  <c:v>109663.14784</c:v>
                </c:pt>
                <c:pt idx="12813">
                  <c:v>109780.70518500001</c:v>
                </c:pt>
                <c:pt idx="12814">
                  <c:v>109898.34652</c:v>
                </c:pt>
                <c:pt idx="12815">
                  <c:v>110016.07187500001</c:v>
                </c:pt>
                <c:pt idx="12816">
                  <c:v>110133.88128</c:v>
                </c:pt>
                <c:pt idx="12817">
                  <c:v>110251.774765</c:v>
                </c:pt>
                <c:pt idx="12818">
                  <c:v>110369.75236</c:v>
                </c:pt>
                <c:pt idx="12819">
                  <c:v>110487.81409500001</c:v>
                </c:pt>
                <c:pt idx="12820">
                  <c:v>110605.95999999999</c:v>
                </c:pt>
                <c:pt idx="12821">
                  <c:v>110724.190105</c:v>
                </c:pt>
                <c:pt idx="12822">
                  <c:v>110842.50444</c:v>
                </c:pt>
                <c:pt idx="12823">
                  <c:v>110960.903035</c:v>
                </c:pt>
                <c:pt idx="12824">
                  <c:v>111079.38592</c:v>
                </c:pt>
                <c:pt idx="12825">
                  <c:v>111197.953125</c:v>
                </c:pt>
                <c:pt idx="12826">
                  <c:v>111316.60467999999</c:v>
                </c:pt>
                <c:pt idx="12827">
                  <c:v>111435.34061500001</c:v>
                </c:pt>
                <c:pt idx="12828">
                  <c:v>111554.16096</c:v>
                </c:pt>
                <c:pt idx="12829">
                  <c:v>111673.065745</c:v>
                </c:pt>
                <c:pt idx="12830">
                  <c:v>111792.055</c:v>
                </c:pt>
                <c:pt idx="12831">
                  <c:v>111911.128755</c:v>
                </c:pt>
                <c:pt idx="12832">
                  <c:v>112030.28704</c:v>
                </c:pt>
                <c:pt idx="12833">
                  <c:v>112149.529885</c:v>
                </c:pt>
                <c:pt idx="12834">
                  <c:v>112268.85732</c:v>
                </c:pt>
                <c:pt idx="12835">
                  <c:v>112388.269375</c:v>
                </c:pt>
                <c:pt idx="12836">
                  <c:v>112507.76608</c:v>
                </c:pt>
                <c:pt idx="12837">
                  <c:v>112627.347465</c:v>
                </c:pt>
                <c:pt idx="12838">
                  <c:v>112747.01355999999</c:v>
                </c:pt>
                <c:pt idx="12839">
                  <c:v>112866.764395</c:v>
                </c:pt>
                <c:pt idx="12840">
                  <c:v>112986.6</c:v>
                </c:pt>
                <c:pt idx="12841">
                  <c:v>113106.520405</c:v>
                </c:pt>
                <c:pt idx="12842">
                  <c:v>113226.52563999999</c:v>
                </c:pt>
                <c:pt idx="12843">
                  <c:v>113346.615735</c:v>
                </c:pt>
                <c:pt idx="12844">
                  <c:v>113466.79072</c:v>
                </c:pt>
                <c:pt idx="12845">
                  <c:v>113587.05062499999</c:v>
                </c:pt>
                <c:pt idx="12846">
                  <c:v>113707.39548</c:v>
                </c:pt>
                <c:pt idx="12847">
                  <c:v>113827.82531500001</c:v>
                </c:pt>
                <c:pt idx="12848">
                  <c:v>113948.34015999999</c:v>
                </c:pt>
                <c:pt idx="12849">
                  <c:v>114068.940045</c:v>
                </c:pt>
                <c:pt idx="12850">
                  <c:v>114189.625</c:v>
                </c:pt>
                <c:pt idx="12851">
                  <c:v>114310.395055</c:v>
                </c:pt>
                <c:pt idx="12852">
                  <c:v>114431.25024</c:v>
                </c:pt>
                <c:pt idx="12853">
                  <c:v>114552.190585</c:v>
                </c:pt>
                <c:pt idx="12854">
                  <c:v>114673.21612</c:v>
                </c:pt>
                <c:pt idx="12855">
                  <c:v>114794.326875</c:v>
                </c:pt>
                <c:pt idx="12856">
                  <c:v>114915.52287999999</c:v>
                </c:pt>
                <c:pt idx="12857">
                  <c:v>115036.804165</c:v>
                </c:pt>
                <c:pt idx="12858">
                  <c:v>115158.17076</c:v>
                </c:pt>
                <c:pt idx="12859">
                  <c:v>115279.622695</c:v>
                </c:pt>
                <c:pt idx="12860">
                  <c:v>115401.16</c:v>
                </c:pt>
                <c:pt idx="12861">
                  <c:v>115522.78270499999</c:v>
                </c:pt>
                <c:pt idx="12862">
                  <c:v>115644.49084</c:v>
                </c:pt>
                <c:pt idx="12863">
                  <c:v>115766.284435</c:v>
                </c:pt>
                <c:pt idx="12864">
                  <c:v>115888.16352</c:v>
                </c:pt>
                <c:pt idx="12865">
                  <c:v>116010.12812499999</c:v>
                </c:pt>
                <c:pt idx="12866">
                  <c:v>116132.17828000001</c:v>
                </c:pt>
                <c:pt idx="12867">
                  <c:v>116254.31401500001</c:v>
                </c:pt>
                <c:pt idx="12868">
                  <c:v>116376.53536</c:v>
                </c:pt>
                <c:pt idx="12869">
                  <c:v>116498.842345</c:v>
                </c:pt>
                <c:pt idx="12870">
                  <c:v>116621.23499999999</c:v>
                </c:pt>
                <c:pt idx="12871">
                  <c:v>116743.713355</c:v>
                </c:pt>
                <c:pt idx="12872">
                  <c:v>116866.27744</c:v>
                </c:pt>
                <c:pt idx="12873">
                  <c:v>116988.927285</c:v>
                </c:pt>
                <c:pt idx="12874">
                  <c:v>117111.66292</c:v>
                </c:pt>
                <c:pt idx="12875">
                  <c:v>117234.484375</c:v>
                </c:pt>
                <c:pt idx="12876">
                  <c:v>117357.39168</c:v>
                </c:pt>
                <c:pt idx="12877">
                  <c:v>117480.384865</c:v>
                </c:pt>
                <c:pt idx="12878">
                  <c:v>117603.46396000001</c:v>
                </c:pt>
                <c:pt idx="12879">
                  <c:v>117726.628995</c:v>
                </c:pt>
                <c:pt idx="12880">
                  <c:v>117849.88</c:v>
                </c:pt>
                <c:pt idx="12881">
                  <c:v>117973.21700500001</c:v>
                </c:pt>
                <c:pt idx="12882">
                  <c:v>118096.64004</c:v>
                </c:pt>
                <c:pt idx="12883">
                  <c:v>118220.149135</c:v>
                </c:pt>
                <c:pt idx="12884">
                  <c:v>118343.74432</c:v>
                </c:pt>
                <c:pt idx="12885">
                  <c:v>118467.425625</c:v>
                </c:pt>
                <c:pt idx="12886">
                  <c:v>118591.19308</c:v>
                </c:pt>
                <c:pt idx="12887">
                  <c:v>118715.046715</c:v>
                </c:pt>
                <c:pt idx="12888">
                  <c:v>118838.98656</c:v>
                </c:pt>
                <c:pt idx="12889">
                  <c:v>118963.01264500001</c:v>
                </c:pt>
                <c:pt idx="12890">
                  <c:v>119087.125</c:v>
                </c:pt>
                <c:pt idx="12891">
                  <c:v>119211.323655</c:v>
                </c:pt>
                <c:pt idx="12892">
                  <c:v>119335.60864</c:v>
                </c:pt>
                <c:pt idx="12893">
                  <c:v>119459.97998500001</c:v>
                </c:pt>
                <c:pt idx="12894">
                  <c:v>119584.43772</c:v>
                </c:pt>
                <c:pt idx="12895">
                  <c:v>119708.981875</c:v>
                </c:pt>
                <c:pt idx="12896">
                  <c:v>119833.61248000001</c:v>
                </c:pt>
                <c:pt idx="12897">
                  <c:v>119958.32956500001</c:v>
                </c:pt>
                <c:pt idx="12898">
                  <c:v>120083.13316</c:v>
                </c:pt>
                <c:pt idx="12899">
                  <c:v>120208.02329499999</c:v>
                </c:pt>
                <c:pt idx="12900">
                  <c:v>120333.0</c:v>
                </c:pt>
                <c:pt idx="12901">
                  <c:v>120458.063305</c:v>
                </c:pt>
                <c:pt idx="12902">
                  <c:v>120583.21324</c:v>
                </c:pt>
                <c:pt idx="12903">
                  <c:v>120708.449835</c:v>
                </c:pt>
                <c:pt idx="12904">
                  <c:v>120833.77312</c:v>
                </c:pt>
                <c:pt idx="12905">
                  <c:v>120959.18312500001</c:v>
                </c:pt>
                <c:pt idx="12906">
                  <c:v>121084.67988000001</c:v>
                </c:pt>
                <c:pt idx="12907">
                  <c:v>121210.263415</c:v>
                </c:pt>
                <c:pt idx="12908">
                  <c:v>121335.93376</c:v>
                </c:pt>
                <c:pt idx="12909">
                  <c:v>121461.690945</c:v>
                </c:pt>
                <c:pt idx="12910">
                  <c:v>121587.535</c:v>
                </c:pt>
                <c:pt idx="12911">
                  <c:v>121713.46595499999</c:v>
                </c:pt>
                <c:pt idx="12912">
                  <c:v>121839.48384</c:v>
                </c:pt>
                <c:pt idx="12913">
                  <c:v>121965.588685</c:v>
                </c:pt>
                <c:pt idx="12914">
                  <c:v>122091.78052</c:v>
                </c:pt>
                <c:pt idx="12915">
                  <c:v>122218.059375</c:v>
                </c:pt>
                <c:pt idx="12916">
                  <c:v>122344.42528</c:v>
                </c:pt>
                <c:pt idx="12917">
                  <c:v>122470.878265</c:v>
                </c:pt>
                <c:pt idx="12918">
                  <c:v>122597.41836</c:v>
                </c:pt>
                <c:pt idx="12919">
                  <c:v>122724.045595</c:v>
                </c:pt>
                <c:pt idx="12920">
                  <c:v>122850.76</c:v>
                </c:pt>
                <c:pt idx="12921">
                  <c:v>122977.561605</c:v>
                </c:pt>
                <c:pt idx="12922">
                  <c:v>123104.45044</c:v>
                </c:pt>
                <c:pt idx="12923">
                  <c:v>123231.42653499999</c:v>
                </c:pt>
                <c:pt idx="12924">
                  <c:v>123358.48992</c:v>
                </c:pt>
                <c:pt idx="12925">
                  <c:v>123485.640625</c:v>
                </c:pt>
                <c:pt idx="12926">
                  <c:v>123612.87868</c:v>
                </c:pt>
                <c:pt idx="12927">
                  <c:v>123740.204115</c:v>
                </c:pt>
                <c:pt idx="12928">
                  <c:v>123867.61696</c:v>
                </c:pt>
                <c:pt idx="12929">
                  <c:v>123995.117245</c:v>
                </c:pt>
                <c:pt idx="12930">
                  <c:v>124122.70499999999</c:v>
                </c:pt>
                <c:pt idx="12931">
                  <c:v>124250.380255</c:v>
                </c:pt>
                <c:pt idx="12932">
                  <c:v>124378.14304</c:v>
                </c:pt>
                <c:pt idx="12933">
                  <c:v>124505.99338500001</c:v>
                </c:pt>
                <c:pt idx="12934">
                  <c:v>124633.93132</c:v>
                </c:pt>
                <c:pt idx="12935">
                  <c:v>124761.95687499999</c:v>
                </c:pt>
                <c:pt idx="12936">
                  <c:v>124890.07007999999</c:v>
                </c:pt>
                <c:pt idx="12937">
                  <c:v>125018.270965</c:v>
                </c:pt>
                <c:pt idx="12938">
                  <c:v>125146.55956</c:v>
                </c:pt>
                <c:pt idx="12939">
                  <c:v>125274.935895</c:v>
                </c:pt>
                <c:pt idx="12940">
                  <c:v>125403.40000000001</c:v>
                </c:pt>
                <c:pt idx="12941">
                  <c:v>125531.95190500001</c:v>
                </c:pt>
                <c:pt idx="12942">
                  <c:v>125660.59164</c:v>
                </c:pt>
                <c:pt idx="12943">
                  <c:v>125789.319235</c:v>
                </c:pt>
                <c:pt idx="12944">
                  <c:v>125918.13472</c:v>
                </c:pt>
                <c:pt idx="12945">
                  <c:v>126047.03812499999</c:v>
                </c:pt>
                <c:pt idx="12946">
                  <c:v>126176.02948</c:v>
                </c:pt>
                <c:pt idx="12947">
                  <c:v>126305.108815</c:v>
                </c:pt>
                <c:pt idx="12948">
                  <c:v>126434.27616000001</c:v>
                </c:pt>
                <c:pt idx="12949">
                  <c:v>126563.53154499999</c:v>
                </c:pt>
                <c:pt idx="12950">
                  <c:v>126692.875</c:v>
                </c:pt>
                <c:pt idx="12951">
                  <c:v>126822.306555</c:v>
                </c:pt>
                <c:pt idx="12952">
                  <c:v>126951.82624</c:v>
                </c:pt>
                <c:pt idx="12953">
                  <c:v>127081.434085</c:v>
                </c:pt>
                <c:pt idx="12954">
                  <c:v>127211.13012</c:v>
                </c:pt>
                <c:pt idx="12955">
                  <c:v>127340.914375</c:v>
                </c:pt>
                <c:pt idx="12956">
                  <c:v>127470.78688</c:v>
                </c:pt>
                <c:pt idx="12957">
                  <c:v>127600.74766499999</c:v>
                </c:pt>
                <c:pt idx="12958">
                  <c:v>127730.79676000001</c:v>
                </c:pt>
                <c:pt idx="12959">
                  <c:v>127860.934195</c:v>
                </c:pt>
                <c:pt idx="12960">
                  <c:v>127991.16000000002</c:v>
                </c:pt>
                <c:pt idx="12961">
                  <c:v>128121.47420499999</c:v>
                </c:pt>
                <c:pt idx="12962">
                  <c:v>128251.87684</c:v>
                </c:pt>
                <c:pt idx="12963">
                  <c:v>128382.367935</c:v>
                </c:pt>
                <c:pt idx="12964">
                  <c:v>128512.94752</c:v>
                </c:pt>
                <c:pt idx="12965">
                  <c:v>128643.615625</c:v>
                </c:pt>
                <c:pt idx="12966">
                  <c:v>128774.37228000001</c:v>
                </c:pt>
                <c:pt idx="12967">
                  <c:v>128905.217515</c:v>
                </c:pt>
                <c:pt idx="12968">
                  <c:v>129036.15136</c:v>
                </c:pt>
                <c:pt idx="12969">
                  <c:v>129167.173845</c:v>
                </c:pt>
                <c:pt idx="12970">
                  <c:v>129298.28499999999</c:v>
                </c:pt>
                <c:pt idx="12971">
                  <c:v>129429.48485499999</c:v>
                </c:pt>
                <c:pt idx="12972">
                  <c:v>129560.77343999999</c:v>
                </c:pt>
                <c:pt idx="12973">
                  <c:v>129692.150785</c:v>
                </c:pt>
                <c:pt idx="12974">
                  <c:v>129823.61692</c:v>
                </c:pt>
                <c:pt idx="12975">
                  <c:v>129955.171875</c:v>
                </c:pt>
                <c:pt idx="12976">
                  <c:v>130086.81568</c:v>
                </c:pt>
                <c:pt idx="12977">
                  <c:v>130218.548365</c:v>
                </c:pt>
                <c:pt idx="12978">
                  <c:v>130350.36996</c:v>
                </c:pt>
                <c:pt idx="12979">
                  <c:v>130482.28049499998</c:v>
                </c:pt>
                <c:pt idx="12980">
                  <c:v>130614.28</c:v>
                </c:pt>
                <c:pt idx="12981">
                  <c:v>130746.36850499999</c:v>
                </c:pt>
                <c:pt idx="12982">
                  <c:v>130878.54604</c:v>
                </c:pt>
                <c:pt idx="12983">
                  <c:v>131010.812635</c:v>
                </c:pt>
                <c:pt idx="12984">
                  <c:v>131143.16832</c:v>
                </c:pt>
                <c:pt idx="12985">
                  <c:v>131275.613125</c:v>
                </c:pt>
                <c:pt idx="12986">
                  <c:v>131408.14708</c:v>
                </c:pt>
                <c:pt idx="12987">
                  <c:v>131540.770215</c:v>
                </c:pt>
                <c:pt idx="12988">
                  <c:v>131673.48256</c:v>
                </c:pt>
                <c:pt idx="12989">
                  <c:v>131806.28414499998</c:v>
                </c:pt>
                <c:pt idx="12990">
                  <c:v>131939.175</c:v>
                </c:pt>
                <c:pt idx="12991">
                  <c:v>132072.15515500001</c:v>
                </c:pt>
                <c:pt idx="12992">
                  <c:v>132205.22464</c:v>
                </c:pt>
                <c:pt idx="12993">
                  <c:v>132338.383485</c:v>
                </c:pt>
                <c:pt idx="12994">
                  <c:v>132471.63172</c:v>
                </c:pt>
                <c:pt idx="12995">
                  <c:v>132604.969375</c:v>
                </c:pt>
                <c:pt idx="12996">
                  <c:v>132738.39648</c:v>
                </c:pt>
                <c:pt idx="12997">
                  <c:v>132871.913065</c:v>
                </c:pt>
                <c:pt idx="12998">
                  <c:v>133005.51916</c:v>
                </c:pt>
                <c:pt idx="12999">
                  <c:v>133139.21479499998</c:v>
                </c:pt>
                <c:pt idx="13000">
                  <c:v>133273.0</c:v>
                </c:pt>
                <c:pt idx="13001">
                  <c:v>133406.874805</c:v>
                </c:pt>
                <c:pt idx="13002">
                  <c:v>133540.83924</c:v>
                </c:pt>
                <c:pt idx="13003">
                  <c:v>133674.893335</c:v>
                </c:pt>
                <c:pt idx="13004">
                  <c:v>133809.03712</c:v>
                </c:pt>
                <c:pt idx="13005">
                  <c:v>133943.27062499998</c:v>
                </c:pt>
                <c:pt idx="13006">
                  <c:v>134077.59388000003</c:v>
                </c:pt>
                <c:pt idx="13007">
                  <c:v>134212.006915</c:v>
                </c:pt>
                <c:pt idx="13008">
                  <c:v>134346.50976000002</c:v>
                </c:pt>
                <c:pt idx="13009">
                  <c:v>134481.102445</c:v>
                </c:pt>
                <c:pt idx="13010">
                  <c:v>134615.785</c:v>
                </c:pt>
                <c:pt idx="13011">
                  <c:v>134750.557455</c:v>
                </c:pt>
                <c:pt idx="13012">
                  <c:v>134885.41984000002</c:v>
                </c:pt>
                <c:pt idx="13013">
                  <c:v>135020.372185</c:v>
                </c:pt>
                <c:pt idx="13014">
                  <c:v>135155.41452000002</c:v>
                </c:pt>
                <c:pt idx="13015">
                  <c:v>135290.546875</c:v>
                </c:pt>
                <c:pt idx="13016">
                  <c:v>135425.76928</c:v>
                </c:pt>
                <c:pt idx="13017">
                  <c:v>135561.081765</c:v>
                </c:pt>
                <c:pt idx="13018">
                  <c:v>135696.48436</c:v>
                </c:pt>
                <c:pt idx="13019">
                  <c:v>135831.97709499998</c:v>
                </c:pt>
                <c:pt idx="13020">
                  <c:v>135967.56</c:v>
                </c:pt>
                <c:pt idx="13021">
                  <c:v>136103.233105</c:v>
                </c:pt>
                <c:pt idx="13022">
                  <c:v>136238.99644</c:v>
                </c:pt>
                <c:pt idx="13023">
                  <c:v>136374.850035</c:v>
                </c:pt>
                <c:pt idx="13024">
                  <c:v>136510.79392</c:v>
                </c:pt>
                <c:pt idx="13025">
                  <c:v>136646.828125</c:v>
                </c:pt>
                <c:pt idx="13026">
                  <c:v>136782.95268000002</c:v>
                </c:pt>
                <c:pt idx="13027">
                  <c:v>136919.16761499998</c:v>
                </c:pt>
                <c:pt idx="13028">
                  <c:v>137055.47295999998</c:v>
                </c:pt>
                <c:pt idx="13029">
                  <c:v>137191.868745</c:v>
                </c:pt>
                <c:pt idx="13030">
                  <c:v>137328.355</c:v>
                </c:pt>
                <c:pt idx="13031">
                  <c:v>137464.931755</c:v>
                </c:pt>
                <c:pt idx="13032">
                  <c:v>137601.59904</c:v>
                </c:pt>
                <c:pt idx="13033">
                  <c:v>137738.356885</c:v>
                </c:pt>
                <c:pt idx="13034">
                  <c:v>137875.20532</c:v>
                </c:pt>
                <c:pt idx="13035">
                  <c:v>138012.144375</c:v>
                </c:pt>
                <c:pt idx="13036">
                  <c:v>138149.17408000003</c:v>
                </c:pt>
                <c:pt idx="13037">
                  <c:v>138286.294465</c:v>
                </c:pt>
                <c:pt idx="13038">
                  <c:v>138423.50556</c:v>
                </c:pt>
                <c:pt idx="13039">
                  <c:v>138560.807395</c:v>
                </c:pt>
                <c:pt idx="13040">
                  <c:v>138698.2</c:v>
                </c:pt>
                <c:pt idx="13041">
                  <c:v>138835.683405</c:v>
                </c:pt>
                <c:pt idx="13042">
                  <c:v>138973.25764</c:v>
                </c:pt>
                <c:pt idx="13043">
                  <c:v>139110.922735</c:v>
                </c:pt>
                <c:pt idx="13044">
                  <c:v>139248.67872</c:v>
                </c:pt>
                <c:pt idx="13045">
                  <c:v>139386.52562499998</c:v>
                </c:pt>
                <c:pt idx="13046">
                  <c:v>139524.46348</c:v>
                </c:pt>
                <c:pt idx="13047">
                  <c:v>139662.492315</c:v>
                </c:pt>
                <c:pt idx="13048">
                  <c:v>139800.61216</c:v>
                </c:pt>
                <c:pt idx="13049">
                  <c:v>139938.823045</c:v>
                </c:pt>
                <c:pt idx="13050">
                  <c:v>140077.125</c:v>
                </c:pt>
                <c:pt idx="13051">
                  <c:v>140215.518055</c:v>
                </c:pt>
                <c:pt idx="13052">
                  <c:v>140354.00224</c:v>
                </c:pt>
                <c:pt idx="13053">
                  <c:v>140492.577585</c:v>
                </c:pt>
                <c:pt idx="13054">
                  <c:v>140631.24412</c:v>
                </c:pt>
                <c:pt idx="13055">
                  <c:v>140770.001875</c:v>
                </c:pt>
                <c:pt idx="13056">
                  <c:v>140908.85087999998</c:v>
                </c:pt>
                <c:pt idx="13057">
                  <c:v>141047.791165</c:v>
                </c:pt>
                <c:pt idx="13058">
                  <c:v>141186.82276</c:v>
                </c:pt>
                <c:pt idx="13059">
                  <c:v>141325.945695</c:v>
                </c:pt>
                <c:pt idx="13060">
                  <c:v>141465.16</c:v>
                </c:pt>
                <c:pt idx="13061">
                  <c:v>141604.465705</c:v>
                </c:pt>
                <c:pt idx="13062">
                  <c:v>141743.86284</c:v>
                </c:pt>
                <c:pt idx="13063">
                  <c:v>141883.35143500002</c:v>
                </c:pt>
                <c:pt idx="13064">
                  <c:v>142022.93152</c:v>
                </c:pt>
                <c:pt idx="13065">
                  <c:v>142162.603125</c:v>
                </c:pt>
                <c:pt idx="13066">
                  <c:v>142302.36628</c:v>
                </c:pt>
                <c:pt idx="13067">
                  <c:v>142442.221015</c:v>
                </c:pt>
                <c:pt idx="13068">
                  <c:v>142582.16736</c:v>
                </c:pt>
                <c:pt idx="13069">
                  <c:v>142722.205345</c:v>
                </c:pt>
                <c:pt idx="13070">
                  <c:v>142862.335</c:v>
                </c:pt>
                <c:pt idx="13071">
                  <c:v>143002.55635499998</c:v>
                </c:pt>
                <c:pt idx="13072">
                  <c:v>143142.86944</c:v>
                </c:pt>
                <c:pt idx="13073">
                  <c:v>143283.274285</c:v>
                </c:pt>
                <c:pt idx="13074">
                  <c:v>143423.77091999998</c:v>
                </c:pt>
                <c:pt idx="13075">
                  <c:v>143564.359375</c:v>
                </c:pt>
                <c:pt idx="13076">
                  <c:v>143705.03968</c:v>
                </c:pt>
                <c:pt idx="13077">
                  <c:v>143845.811865</c:v>
                </c:pt>
                <c:pt idx="13078">
                  <c:v>143986.67596</c:v>
                </c:pt>
                <c:pt idx="13079">
                  <c:v>144127.631995</c:v>
                </c:pt>
                <c:pt idx="13080">
                  <c:v>144268.68000000002</c:v>
                </c:pt>
                <c:pt idx="13081">
                  <c:v>144409.820005</c:v>
                </c:pt>
                <c:pt idx="13082">
                  <c:v>144551.05204</c:v>
                </c:pt>
                <c:pt idx="13083">
                  <c:v>144692.376135</c:v>
                </c:pt>
                <c:pt idx="13084">
                  <c:v>144833.79232</c:v>
                </c:pt>
                <c:pt idx="13085">
                  <c:v>144975.30062499997</c:v>
                </c:pt>
                <c:pt idx="13086">
                  <c:v>145116.90107999998</c:v>
                </c:pt>
                <c:pt idx="13087">
                  <c:v>145258.593715</c:v>
                </c:pt>
                <c:pt idx="13088">
                  <c:v>145400.37856</c:v>
                </c:pt>
                <c:pt idx="13089">
                  <c:v>145542.255645</c:v>
                </c:pt>
                <c:pt idx="13090">
                  <c:v>145684.225</c:v>
                </c:pt>
                <c:pt idx="13091">
                  <c:v>145826.286655</c:v>
                </c:pt>
                <c:pt idx="13092">
                  <c:v>145968.44064000002</c:v>
                </c:pt>
                <c:pt idx="13093">
                  <c:v>146110.686985</c:v>
                </c:pt>
                <c:pt idx="13094">
                  <c:v>146253.02572</c:v>
                </c:pt>
                <c:pt idx="13095">
                  <c:v>146395.456875</c:v>
                </c:pt>
                <c:pt idx="13096">
                  <c:v>146537.98048</c:v>
                </c:pt>
                <c:pt idx="13097">
                  <c:v>146680.596565</c:v>
                </c:pt>
                <c:pt idx="13098">
                  <c:v>146823.30516000002</c:v>
                </c:pt>
                <c:pt idx="13099">
                  <c:v>146966.106295</c:v>
                </c:pt>
                <c:pt idx="13100">
                  <c:v>147109.0</c:v>
                </c:pt>
                <c:pt idx="13101">
                  <c:v>147251.986305</c:v>
                </c:pt>
                <c:pt idx="13102">
                  <c:v>147395.06524</c:v>
                </c:pt>
                <c:pt idx="13103">
                  <c:v>147538.236835</c:v>
                </c:pt>
                <c:pt idx="13104">
                  <c:v>147681.50112</c:v>
                </c:pt>
                <c:pt idx="13105">
                  <c:v>147824.858125</c:v>
                </c:pt>
                <c:pt idx="13106">
                  <c:v>147968.30787999998</c:v>
                </c:pt>
                <c:pt idx="13107">
                  <c:v>148111.850415</c:v>
                </c:pt>
                <c:pt idx="13108">
                  <c:v>148255.48575999998</c:v>
                </c:pt>
                <c:pt idx="13109">
                  <c:v>148399.213945</c:v>
                </c:pt>
                <c:pt idx="13110">
                  <c:v>148543.03499999997</c:v>
                </c:pt>
                <c:pt idx="13111">
                  <c:v>148686.948955</c:v>
                </c:pt>
                <c:pt idx="13112">
                  <c:v>148830.95583999998</c:v>
                </c:pt>
                <c:pt idx="13113">
                  <c:v>148975.055685</c:v>
                </c:pt>
                <c:pt idx="13114">
                  <c:v>149119.24852000002</c:v>
                </c:pt>
                <c:pt idx="13115">
                  <c:v>149263.53437499996</c:v>
                </c:pt>
                <c:pt idx="13116">
                  <c:v>149407.91328</c:v>
                </c:pt>
                <c:pt idx="13117">
                  <c:v>149552.385265</c:v>
                </c:pt>
                <c:pt idx="13118">
                  <c:v>149696.95036</c:v>
                </c:pt>
                <c:pt idx="13119">
                  <c:v>149841.608595</c:v>
                </c:pt>
                <c:pt idx="13120">
                  <c:v>149986.36</c:v>
                </c:pt>
                <c:pt idx="13121">
                  <c:v>150131.204605</c:v>
                </c:pt>
                <c:pt idx="13122">
                  <c:v>150276.14244000003</c:v>
                </c:pt>
                <c:pt idx="13123">
                  <c:v>150421.17353499998</c:v>
                </c:pt>
                <c:pt idx="13124">
                  <c:v>150566.29792</c:v>
                </c:pt>
                <c:pt idx="13125">
                  <c:v>150711.515625</c:v>
                </c:pt>
                <c:pt idx="13126">
                  <c:v>150856.82668</c:v>
                </c:pt>
                <c:pt idx="13127">
                  <c:v>151002.231115</c:v>
                </c:pt>
                <c:pt idx="13128">
                  <c:v>151147.72896</c:v>
                </c:pt>
                <c:pt idx="13129">
                  <c:v>151293.320245</c:v>
                </c:pt>
                <c:pt idx="13130">
                  <c:v>151439.00499999998</c:v>
                </c:pt>
                <c:pt idx="13131">
                  <c:v>151584.78325500002</c:v>
                </c:pt>
                <c:pt idx="13132">
                  <c:v>151730.65504</c:v>
                </c:pt>
                <c:pt idx="13133">
                  <c:v>151876.62038500002</c:v>
                </c:pt>
                <c:pt idx="13134">
                  <c:v>152022.67932</c:v>
                </c:pt>
                <c:pt idx="13135">
                  <c:v>152168.831875</c:v>
                </c:pt>
                <c:pt idx="13136">
                  <c:v>152315.07807999998</c:v>
                </c:pt>
                <c:pt idx="13137">
                  <c:v>152461.417965</c:v>
                </c:pt>
                <c:pt idx="13138">
                  <c:v>152607.85155999998</c:v>
                </c:pt>
                <c:pt idx="13139">
                  <c:v>152754.378895</c:v>
                </c:pt>
                <c:pt idx="13140">
                  <c:v>152901.0</c:v>
                </c:pt>
                <c:pt idx="13141">
                  <c:v>153047.714905</c:v>
                </c:pt>
                <c:pt idx="13142">
                  <c:v>153194.52364</c:v>
                </c:pt>
                <c:pt idx="13143">
                  <c:v>153341.426235</c:v>
                </c:pt>
                <c:pt idx="13144">
                  <c:v>153488.42272</c:v>
                </c:pt>
                <c:pt idx="13145">
                  <c:v>153635.513125</c:v>
                </c:pt>
                <c:pt idx="13146">
                  <c:v>153782.69748</c:v>
                </c:pt>
                <c:pt idx="13147">
                  <c:v>153929.975815</c:v>
                </c:pt>
                <c:pt idx="13148">
                  <c:v>154077.34816</c:v>
                </c:pt>
                <c:pt idx="13149">
                  <c:v>154224.814545</c:v>
                </c:pt>
                <c:pt idx="13150">
                  <c:v>154372.375</c:v>
                </c:pt>
                <c:pt idx="13151">
                  <c:v>154520.029555</c:v>
                </c:pt>
                <c:pt idx="13152">
                  <c:v>154667.77824</c:v>
                </c:pt>
                <c:pt idx="13153">
                  <c:v>154815.621085</c:v>
                </c:pt>
                <c:pt idx="13154">
                  <c:v>154963.55812</c:v>
                </c:pt>
                <c:pt idx="13155">
                  <c:v>155111.589375</c:v>
                </c:pt>
                <c:pt idx="13156">
                  <c:v>155259.71488</c:v>
                </c:pt>
                <c:pt idx="13157">
                  <c:v>155407.934665</c:v>
                </c:pt>
                <c:pt idx="13158">
                  <c:v>155556.24876</c:v>
                </c:pt>
                <c:pt idx="13159">
                  <c:v>155704.657195</c:v>
                </c:pt>
                <c:pt idx="13160">
                  <c:v>155853.16</c:v>
                </c:pt>
                <c:pt idx="13161">
                  <c:v>156001.757205</c:v>
                </c:pt>
                <c:pt idx="13162">
                  <c:v>156150.44884</c:v>
                </c:pt>
                <c:pt idx="13163">
                  <c:v>156299.234935</c:v>
                </c:pt>
                <c:pt idx="13164">
                  <c:v>156448.11552000002</c:v>
                </c:pt>
                <c:pt idx="13165">
                  <c:v>156597.090625</c:v>
                </c:pt>
                <c:pt idx="13166">
                  <c:v>156746.16028</c:v>
                </c:pt>
                <c:pt idx="13167">
                  <c:v>156895.324515</c:v>
                </c:pt>
                <c:pt idx="13168">
                  <c:v>157044.58336</c:v>
                </c:pt>
                <c:pt idx="13169">
                  <c:v>157193.93684500002</c:v>
                </c:pt>
                <c:pt idx="13170">
                  <c:v>157343.38499999998</c:v>
                </c:pt>
                <c:pt idx="13171">
                  <c:v>157492.927855</c:v>
                </c:pt>
                <c:pt idx="13172">
                  <c:v>157642.56544</c:v>
                </c:pt>
                <c:pt idx="13173">
                  <c:v>157792.297785</c:v>
                </c:pt>
                <c:pt idx="13174">
                  <c:v>157942.12492</c:v>
                </c:pt>
                <c:pt idx="13175">
                  <c:v>158092.046875</c:v>
                </c:pt>
                <c:pt idx="13176">
                  <c:v>158242.06368000002</c:v>
                </c:pt>
                <c:pt idx="13177">
                  <c:v>158392.175365</c:v>
                </c:pt>
                <c:pt idx="13178">
                  <c:v>158542.38196000003</c:v>
                </c:pt>
                <c:pt idx="13179">
                  <c:v>158692.683495</c:v>
                </c:pt>
                <c:pt idx="13180">
                  <c:v>158843.08</c:v>
                </c:pt>
                <c:pt idx="13181">
                  <c:v>158993.571505</c:v>
                </c:pt>
                <c:pt idx="13182">
                  <c:v>159144.15804</c:v>
                </c:pt>
                <c:pt idx="13183">
                  <c:v>159294.839635</c:v>
                </c:pt>
                <c:pt idx="13184">
                  <c:v>159445.61632</c:v>
                </c:pt>
                <c:pt idx="13185">
                  <c:v>159596.488125</c:v>
                </c:pt>
                <c:pt idx="13186">
                  <c:v>159747.45507999999</c:v>
                </c:pt>
                <c:pt idx="13187">
                  <c:v>159898.517215</c:v>
                </c:pt>
                <c:pt idx="13188">
                  <c:v>160049.67456</c:v>
                </c:pt>
                <c:pt idx="13189">
                  <c:v>160200.927145</c:v>
                </c:pt>
                <c:pt idx="13190">
                  <c:v>160352.275</c:v>
                </c:pt>
                <c:pt idx="13191">
                  <c:v>160503.718155</c:v>
                </c:pt>
                <c:pt idx="13192">
                  <c:v>160655.25664</c:v>
                </c:pt>
                <c:pt idx="13193">
                  <c:v>160806.890485</c:v>
                </c:pt>
                <c:pt idx="13194">
                  <c:v>160958.61972000002</c:v>
                </c:pt>
                <c:pt idx="13195">
                  <c:v>161110.444375</c:v>
                </c:pt>
                <c:pt idx="13196">
                  <c:v>161262.36448000002</c:v>
                </c:pt>
                <c:pt idx="13197">
                  <c:v>161414.380065</c:v>
                </c:pt>
                <c:pt idx="13198">
                  <c:v>161566.49116</c:v>
                </c:pt>
                <c:pt idx="13199">
                  <c:v>161718.69779500001</c:v>
                </c:pt>
                <c:pt idx="13200">
                  <c:v>161871.0</c:v>
                </c:pt>
                <c:pt idx="13201">
                  <c:v>162023.397805</c:v>
                </c:pt>
                <c:pt idx="13202">
                  <c:v>162175.89124</c:v>
                </c:pt>
                <c:pt idx="13203">
                  <c:v>162328.480335</c:v>
                </c:pt>
                <c:pt idx="13204">
                  <c:v>162481.16512000002</c:v>
                </c:pt>
                <c:pt idx="13205">
                  <c:v>162633.94562500002</c:v>
                </c:pt>
                <c:pt idx="13206">
                  <c:v>162786.82188</c:v>
                </c:pt>
                <c:pt idx="13207">
                  <c:v>162939.793915</c:v>
                </c:pt>
                <c:pt idx="13208">
                  <c:v>163092.86176</c:v>
                </c:pt>
                <c:pt idx="13209">
                  <c:v>163246.02544499998</c:v>
                </c:pt>
                <c:pt idx="13210">
                  <c:v>163399.285</c:v>
                </c:pt>
                <c:pt idx="13211">
                  <c:v>163552.64045500002</c:v>
                </c:pt>
                <c:pt idx="13212">
                  <c:v>163706.09184000004</c:v>
                </c:pt>
                <c:pt idx="13213">
                  <c:v>163859.639185</c:v>
                </c:pt>
                <c:pt idx="13214">
                  <c:v>164013.28252</c:v>
                </c:pt>
                <c:pt idx="13215">
                  <c:v>164167.021875</c:v>
                </c:pt>
                <c:pt idx="13216">
                  <c:v>164320.85728000003</c:v>
                </c:pt>
                <c:pt idx="13217">
                  <c:v>164474.788765</c:v>
                </c:pt>
                <c:pt idx="13218">
                  <c:v>164628.81636</c:v>
                </c:pt>
                <c:pt idx="13219">
                  <c:v>164782.94009499997</c:v>
                </c:pt>
                <c:pt idx="13220">
                  <c:v>164937.16</c:v>
                </c:pt>
                <c:pt idx="13221">
                  <c:v>165091.476105</c:v>
                </c:pt>
                <c:pt idx="13222">
                  <c:v>165245.88844</c:v>
                </c:pt>
                <c:pt idx="13223">
                  <c:v>165400.397035</c:v>
                </c:pt>
                <c:pt idx="13224">
                  <c:v>165555.00191999998</c:v>
                </c:pt>
                <c:pt idx="13225">
                  <c:v>165709.703125</c:v>
                </c:pt>
                <c:pt idx="13226">
                  <c:v>165864.50068</c:v>
                </c:pt>
                <c:pt idx="13227">
                  <c:v>166019.39461500003</c:v>
                </c:pt>
                <c:pt idx="13228">
                  <c:v>166174.38496</c:v>
                </c:pt>
                <c:pt idx="13229">
                  <c:v>166329.47174500002</c:v>
                </c:pt>
                <c:pt idx="13230">
                  <c:v>166484.655</c:v>
                </c:pt>
                <c:pt idx="13231">
                  <c:v>166639.934755</c:v>
                </c:pt>
                <c:pt idx="13232">
                  <c:v>166795.31104</c:v>
                </c:pt>
                <c:pt idx="13233">
                  <c:v>166950.783885</c:v>
                </c:pt>
                <c:pt idx="13234">
                  <c:v>167106.35332000002</c:v>
                </c:pt>
                <c:pt idx="13235">
                  <c:v>167262.019375</c:v>
                </c:pt>
                <c:pt idx="13236">
                  <c:v>167417.78207999998</c:v>
                </c:pt>
                <c:pt idx="13237">
                  <c:v>167573.641465</c:v>
                </c:pt>
                <c:pt idx="13238">
                  <c:v>167729.59756000002</c:v>
                </c:pt>
                <c:pt idx="13239">
                  <c:v>167885.650395</c:v>
                </c:pt>
                <c:pt idx="13240">
                  <c:v>168041.8</c:v>
                </c:pt>
                <c:pt idx="13241">
                  <c:v>168198.04640499997</c:v>
                </c:pt>
                <c:pt idx="13242">
                  <c:v>168354.38964</c:v>
                </c:pt>
                <c:pt idx="13243">
                  <c:v>168510.829735</c:v>
                </c:pt>
                <c:pt idx="13244">
                  <c:v>168667.36672000002</c:v>
                </c:pt>
                <c:pt idx="13245">
                  <c:v>168824.000625</c:v>
                </c:pt>
                <c:pt idx="13246">
                  <c:v>168980.73148</c:v>
                </c:pt>
                <c:pt idx="13247">
                  <c:v>169137.55931500002</c:v>
                </c:pt>
                <c:pt idx="13248">
                  <c:v>169294.48416</c:v>
                </c:pt>
                <c:pt idx="13249">
                  <c:v>169451.50604500002</c:v>
                </c:pt>
                <c:pt idx="13250">
                  <c:v>169608.625</c:v>
                </c:pt>
                <c:pt idx="13251">
                  <c:v>169765.841055</c:v>
                </c:pt>
                <c:pt idx="13252">
                  <c:v>169923.15424</c:v>
                </c:pt>
                <c:pt idx="13253">
                  <c:v>170080.564585</c:v>
                </c:pt>
                <c:pt idx="13254">
                  <c:v>170238.07212</c:v>
                </c:pt>
                <c:pt idx="13255">
                  <c:v>170395.67687499998</c:v>
                </c:pt>
                <c:pt idx="13256">
                  <c:v>170553.37887999997</c:v>
                </c:pt>
                <c:pt idx="13257">
                  <c:v>170711.17816499996</c:v>
                </c:pt>
                <c:pt idx="13258">
                  <c:v>170869.07476</c:v>
                </c:pt>
                <c:pt idx="13259">
                  <c:v>171027.06869500002</c:v>
                </c:pt>
                <c:pt idx="13260">
                  <c:v>171185.16</c:v>
                </c:pt>
                <c:pt idx="13261">
                  <c:v>171343.348705</c:v>
                </c:pt>
                <c:pt idx="13262">
                  <c:v>171501.63483999998</c:v>
                </c:pt>
                <c:pt idx="13263">
                  <c:v>171660.01843499998</c:v>
                </c:pt>
                <c:pt idx="13264">
                  <c:v>171818.49952</c:v>
                </c:pt>
                <c:pt idx="13265">
                  <c:v>171977.078125</c:v>
                </c:pt>
                <c:pt idx="13266">
                  <c:v>172135.75428</c:v>
                </c:pt>
                <c:pt idx="13267">
                  <c:v>172294.52801500002</c:v>
                </c:pt>
                <c:pt idx="13268">
                  <c:v>172453.39936</c:v>
                </c:pt>
                <c:pt idx="13269">
                  <c:v>172612.368345</c:v>
                </c:pt>
                <c:pt idx="13270">
                  <c:v>172771.43500000003</c:v>
                </c:pt>
                <c:pt idx="13271">
                  <c:v>172930.599355</c:v>
                </c:pt>
                <c:pt idx="13272">
                  <c:v>173089.86144</c:v>
                </c:pt>
                <c:pt idx="13273">
                  <c:v>173249.221285</c:v>
                </c:pt>
                <c:pt idx="13274">
                  <c:v>173408.67892</c:v>
                </c:pt>
                <c:pt idx="13275">
                  <c:v>173568.234375</c:v>
                </c:pt>
                <c:pt idx="13276">
                  <c:v>173727.88767999999</c:v>
                </c:pt>
                <c:pt idx="13277">
                  <c:v>173887.638865</c:v>
                </c:pt>
                <c:pt idx="13278">
                  <c:v>174047.48796</c:v>
                </c:pt>
                <c:pt idx="13279">
                  <c:v>174207.434995</c:v>
                </c:pt>
                <c:pt idx="13280">
                  <c:v>174367.48</c:v>
                </c:pt>
                <c:pt idx="13281">
                  <c:v>174527.623005</c:v>
                </c:pt>
                <c:pt idx="13282">
                  <c:v>174687.86404000001</c:v>
                </c:pt>
                <c:pt idx="13283">
                  <c:v>174848.20313500002</c:v>
                </c:pt>
                <c:pt idx="13284">
                  <c:v>175008.64032</c:v>
                </c:pt>
                <c:pt idx="13285">
                  <c:v>175169.175625</c:v>
                </c:pt>
                <c:pt idx="13286">
                  <c:v>175329.80907999998</c:v>
                </c:pt>
                <c:pt idx="13287">
                  <c:v>175490.54071499998</c:v>
                </c:pt>
                <c:pt idx="13288">
                  <c:v>175651.37055999998</c:v>
                </c:pt>
                <c:pt idx="13289">
                  <c:v>175812.29864500003</c:v>
                </c:pt>
                <c:pt idx="13290">
                  <c:v>175973.325</c:v>
                </c:pt>
                <c:pt idx="13291">
                  <c:v>176134.449655</c:v>
                </c:pt>
                <c:pt idx="13292">
                  <c:v>176295.67264</c:v>
                </c:pt>
                <c:pt idx="13293">
                  <c:v>176456.993985</c:v>
                </c:pt>
                <c:pt idx="13294">
                  <c:v>176618.41371999998</c:v>
                </c:pt>
                <c:pt idx="13295">
                  <c:v>176779.93187499998</c:v>
                </c:pt>
                <c:pt idx="13296">
                  <c:v>176941.54847999997</c:v>
                </c:pt>
                <c:pt idx="13297">
                  <c:v>177103.263565</c:v>
                </c:pt>
                <c:pt idx="13298">
                  <c:v>177265.07716000002</c:v>
                </c:pt>
                <c:pt idx="13299">
                  <c:v>177426.989295</c:v>
                </c:pt>
                <c:pt idx="13300">
                  <c:v>177589.0</c:v>
                </c:pt>
                <c:pt idx="13301">
                  <c:v>177751.109305</c:v>
                </c:pt>
                <c:pt idx="13302">
                  <c:v>177913.31724</c:v>
                </c:pt>
                <c:pt idx="13303">
                  <c:v>178075.62383499998</c:v>
                </c:pt>
                <c:pt idx="13304">
                  <c:v>178238.02912000002</c:v>
                </c:pt>
                <c:pt idx="13305">
                  <c:v>178400.533125</c:v>
                </c:pt>
                <c:pt idx="13306">
                  <c:v>178563.13588</c:v>
                </c:pt>
                <c:pt idx="13307">
                  <c:v>178725.83741500002</c:v>
                </c:pt>
                <c:pt idx="13308">
                  <c:v>178888.63776</c:v>
                </c:pt>
                <c:pt idx="13309">
                  <c:v>179051.536945</c:v>
                </c:pt>
                <c:pt idx="13310">
                  <c:v>179214.535</c:v>
                </c:pt>
                <c:pt idx="13311">
                  <c:v>179377.63195500002</c:v>
                </c:pt>
                <c:pt idx="13312">
                  <c:v>179540.82784</c:v>
                </c:pt>
                <c:pt idx="13313">
                  <c:v>179704.12268500004</c:v>
                </c:pt>
                <c:pt idx="13314">
                  <c:v>179867.51652</c:v>
                </c:pt>
                <c:pt idx="13315">
                  <c:v>180031.00937499997</c:v>
                </c:pt>
                <c:pt idx="13316">
                  <c:v>180194.60128</c:v>
                </c:pt>
                <c:pt idx="13317">
                  <c:v>180358.292265</c:v>
                </c:pt>
                <c:pt idx="13318">
                  <c:v>180522.08235999997</c:v>
                </c:pt>
                <c:pt idx="13319">
                  <c:v>180685.971595</c:v>
                </c:pt>
                <c:pt idx="13320">
                  <c:v>180849.96</c:v>
                </c:pt>
                <c:pt idx="13321">
                  <c:v>181014.047605</c:v>
                </c:pt>
                <c:pt idx="13322">
                  <c:v>181178.23444</c:v>
                </c:pt>
                <c:pt idx="13323">
                  <c:v>181342.520535</c:v>
                </c:pt>
                <c:pt idx="13324">
                  <c:v>181506.90592000002</c:v>
                </c:pt>
                <c:pt idx="13325">
                  <c:v>181671.390625</c:v>
                </c:pt>
                <c:pt idx="13326">
                  <c:v>181835.97468</c:v>
                </c:pt>
                <c:pt idx="13327">
                  <c:v>182000.658115</c:v>
                </c:pt>
                <c:pt idx="13328">
                  <c:v>182165.44096</c:v>
                </c:pt>
                <c:pt idx="13329">
                  <c:v>182330.32324499998</c:v>
                </c:pt>
                <c:pt idx="13330">
                  <c:v>182495.30500000002</c:v>
                </c:pt>
                <c:pt idx="13331">
                  <c:v>182660.386255</c:v>
                </c:pt>
                <c:pt idx="13332">
                  <c:v>182825.56704</c:v>
                </c:pt>
                <c:pt idx="13333">
                  <c:v>182990.847385</c:v>
                </c:pt>
                <c:pt idx="13334">
                  <c:v>183156.22732</c:v>
                </c:pt>
                <c:pt idx="13335">
                  <c:v>183321.706875</c:v>
                </c:pt>
                <c:pt idx="13336">
                  <c:v>183487.28608</c:v>
                </c:pt>
                <c:pt idx="13337">
                  <c:v>183652.964965</c:v>
                </c:pt>
                <c:pt idx="13338">
                  <c:v>183818.74356000003</c:v>
                </c:pt>
                <c:pt idx="13339">
                  <c:v>183984.621895</c:v>
                </c:pt>
                <c:pt idx="13340">
                  <c:v>184150.6</c:v>
                </c:pt>
                <c:pt idx="13341">
                  <c:v>184316.67790500002</c:v>
                </c:pt>
                <c:pt idx="13342">
                  <c:v>184482.85564</c:v>
                </c:pt>
                <c:pt idx="13343">
                  <c:v>184649.13323500002</c:v>
                </c:pt>
                <c:pt idx="13344">
                  <c:v>184815.51072</c:v>
                </c:pt>
                <c:pt idx="13345">
                  <c:v>184981.988125</c:v>
                </c:pt>
                <c:pt idx="13346">
                  <c:v>185148.56548</c:v>
                </c:pt>
                <c:pt idx="13347">
                  <c:v>185315.242815</c:v>
                </c:pt>
                <c:pt idx="13348">
                  <c:v>185482.02016</c:v>
                </c:pt>
                <c:pt idx="13349">
                  <c:v>185648.89754499999</c:v>
                </c:pt>
                <c:pt idx="13350">
                  <c:v>185815.875</c:v>
                </c:pt>
                <c:pt idx="13351">
                  <c:v>185982.95255500003</c:v>
                </c:pt>
                <c:pt idx="13352">
                  <c:v>186150.13024</c:v>
                </c:pt>
                <c:pt idx="13353">
                  <c:v>186317.408085</c:v>
                </c:pt>
                <c:pt idx="13354">
                  <c:v>186484.78612</c:v>
                </c:pt>
                <c:pt idx="13355">
                  <c:v>186652.264375</c:v>
                </c:pt>
                <c:pt idx="13356">
                  <c:v>186819.84287999998</c:v>
                </c:pt>
                <c:pt idx="13357">
                  <c:v>186987.521665</c:v>
                </c:pt>
                <c:pt idx="13358">
                  <c:v>187155.30076</c:v>
                </c:pt>
                <c:pt idx="13359">
                  <c:v>187323.18019499996</c:v>
                </c:pt>
                <c:pt idx="13360">
                  <c:v>187491.16</c:v>
                </c:pt>
                <c:pt idx="13361">
                  <c:v>187659.240205</c:v>
                </c:pt>
                <c:pt idx="13362">
                  <c:v>187827.42084000004</c:v>
                </c:pt>
                <c:pt idx="13363">
                  <c:v>187995.70193500002</c:v>
                </c:pt>
                <c:pt idx="13364">
                  <c:v>188164.08352000001</c:v>
                </c:pt>
                <c:pt idx="13365">
                  <c:v>188332.565625</c:v>
                </c:pt>
                <c:pt idx="13366">
                  <c:v>188501.14828</c:v>
                </c:pt>
                <c:pt idx="13367">
                  <c:v>188669.831515</c:v>
                </c:pt>
                <c:pt idx="13368">
                  <c:v>188838.61536000003</c:v>
                </c:pt>
                <c:pt idx="13369">
                  <c:v>189007.49984499998</c:v>
                </c:pt>
                <c:pt idx="13370">
                  <c:v>189176.485</c:v>
                </c:pt>
                <c:pt idx="13371">
                  <c:v>189345.570855</c:v>
                </c:pt>
                <c:pt idx="13372">
                  <c:v>189514.75744000002</c:v>
                </c:pt>
                <c:pt idx="13373">
                  <c:v>189684.044785</c:v>
                </c:pt>
                <c:pt idx="13374">
                  <c:v>189853.43292</c:v>
                </c:pt>
                <c:pt idx="13375">
                  <c:v>190022.921875</c:v>
                </c:pt>
                <c:pt idx="13376">
                  <c:v>190192.51168</c:v>
                </c:pt>
                <c:pt idx="13377">
                  <c:v>190362.202365</c:v>
                </c:pt>
                <c:pt idx="13378">
                  <c:v>190531.99396000002</c:v>
                </c:pt>
                <c:pt idx="13379">
                  <c:v>190701.886495</c:v>
                </c:pt>
                <c:pt idx="13380">
                  <c:v>190871.87999999998</c:v>
                </c:pt>
                <c:pt idx="13381">
                  <c:v>191041.974505</c:v>
                </c:pt>
                <c:pt idx="13382">
                  <c:v>191212.17004</c:v>
                </c:pt>
                <c:pt idx="13383">
                  <c:v>191382.466635</c:v>
                </c:pt>
                <c:pt idx="13384">
                  <c:v>191552.86432000002</c:v>
                </c:pt>
                <c:pt idx="13385">
                  <c:v>191723.363125</c:v>
                </c:pt>
                <c:pt idx="13386">
                  <c:v>191893.96308</c:v>
                </c:pt>
                <c:pt idx="13387">
                  <c:v>192064.664215</c:v>
                </c:pt>
                <c:pt idx="13388">
                  <c:v>192235.46656</c:v>
                </c:pt>
                <c:pt idx="13389">
                  <c:v>192406.37014500002</c:v>
                </c:pt>
                <c:pt idx="13390">
                  <c:v>192577.375</c:v>
                </c:pt>
                <c:pt idx="13391">
                  <c:v>192748.48115500002</c:v>
                </c:pt>
                <c:pt idx="13392">
                  <c:v>192919.68864</c:v>
                </c:pt>
                <c:pt idx="13393">
                  <c:v>193090.997485</c:v>
                </c:pt>
                <c:pt idx="13394">
                  <c:v>193262.40772</c:v>
                </c:pt>
                <c:pt idx="13395">
                  <c:v>193433.919375</c:v>
                </c:pt>
                <c:pt idx="13396">
                  <c:v>193605.53248</c:v>
                </c:pt>
                <c:pt idx="13397">
                  <c:v>193777.24706499997</c:v>
                </c:pt>
                <c:pt idx="13398">
                  <c:v>193949.06316</c:v>
                </c:pt>
                <c:pt idx="13399">
                  <c:v>194120.98079499998</c:v>
                </c:pt>
                <c:pt idx="13400">
                  <c:v>194293.0</c:v>
                </c:pt>
                <c:pt idx="13401">
                  <c:v>194465.120805</c:v>
                </c:pt>
                <c:pt idx="13402">
                  <c:v>194637.34324</c:v>
                </c:pt>
                <c:pt idx="13403">
                  <c:v>194809.667335</c:v>
                </c:pt>
                <c:pt idx="13404">
                  <c:v>194982.09312</c:v>
                </c:pt>
                <c:pt idx="13405">
                  <c:v>195154.620625</c:v>
                </c:pt>
                <c:pt idx="13406">
                  <c:v>195327.24988</c:v>
                </c:pt>
                <c:pt idx="13407">
                  <c:v>195499.980915</c:v>
                </c:pt>
                <c:pt idx="13408">
                  <c:v>195672.81376</c:v>
                </c:pt>
                <c:pt idx="13409">
                  <c:v>195845.74844499998</c:v>
                </c:pt>
                <c:pt idx="13410">
                  <c:v>196018.785</c:v>
                </c:pt>
                <c:pt idx="13411">
                  <c:v>196191.923455</c:v>
                </c:pt>
                <c:pt idx="13412">
                  <c:v>196365.16384</c:v>
                </c:pt>
                <c:pt idx="13413">
                  <c:v>196538.50618499998</c:v>
                </c:pt>
                <c:pt idx="13414">
                  <c:v>196711.95052</c:v>
                </c:pt>
                <c:pt idx="13415">
                  <c:v>196885.496875</c:v>
                </c:pt>
                <c:pt idx="13416">
                  <c:v>197059.14528</c:v>
                </c:pt>
                <c:pt idx="13417">
                  <c:v>197232.895765</c:v>
                </c:pt>
                <c:pt idx="13418">
                  <c:v>197406.74835999997</c:v>
                </c:pt>
                <c:pt idx="13419">
                  <c:v>197580.703095</c:v>
                </c:pt>
                <c:pt idx="13420">
                  <c:v>197754.76</c:v>
                </c:pt>
                <c:pt idx="13421">
                  <c:v>197928.91910499998</c:v>
                </c:pt>
                <c:pt idx="13422">
                  <c:v>198103.18044</c:v>
                </c:pt>
                <c:pt idx="13423">
                  <c:v>198277.544035</c:v>
                </c:pt>
                <c:pt idx="13424">
                  <c:v>198452.00992</c:v>
                </c:pt>
                <c:pt idx="13425">
                  <c:v>198626.578125</c:v>
                </c:pt>
                <c:pt idx="13426">
                  <c:v>198801.24868000002</c:v>
                </c:pt>
                <c:pt idx="13427">
                  <c:v>198976.02161499998</c:v>
                </c:pt>
                <c:pt idx="13428">
                  <c:v>199150.89696</c:v>
                </c:pt>
                <c:pt idx="13429">
                  <c:v>199325.87474499998</c:v>
                </c:pt>
                <c:pt idx="13430">
                  <c:v>199500.955</c:v>
                </c:pt>
                <c:pt idx="13431">
                  <c:v>199676.137755</c:v>
                </c:pt>
                <c:pt idx="13432">
                  <c:v>199851.42304</c:v>
                </c:pt>
                <c:pt idx="13433">
                  <c:v>200026.810885</c:v>
                </c:pt>
                <c:pt idx="13434">
                  <c:v>200202.30132</c:v>
                </c:pt>
                <c:pt idx="13435">
                  <c:v>200377.894375</c:v>
                </c:pt>
                <c:pt idx="13436">
                  <c:v>200553.59008</c:v>
                </c:pt>
                <c:pt idx="13437">
                  <c:v>200729.38846500003</c:v>
                </c:pt>
                <c:pt idx="13438">
                  <c:v>200905.28956</c:v>
                </c:pt>
                <c:pt idx="13439">
                  <c:v>201081.293395</c:v>
                </c:pt>
                <c:pt idx="13440">
                  <c:v>201257.4</c:v>
                </c:pt>
                <c:pt idx="13441">
                  <c:v>201433.60940500002</c:v>
                </c:pt>
                <c:pt idx="13442">
                  <c:v>201609.92164000002</c:v>
                </c:pt>
                <c:pt idx="13443">
                  <c:v>201786.336735</c:v>
                </c:pt>
                <c:pt idx="13444">
                  <c:v>201962.85472</c:v>
                </c:pt>
                <c:pt idx="13445">
                  <c:v>202139.475625</c:v>
                </c:pt>
                <c:pt idx="13446">
                  <c:v>202316.19948</c:v>
                </c:pt>
                <c:pt idx="13447">
                  <c:v>202493.026315</c:v>
                </c:pt>
                <c:pt idx="13448">
                  <c:v>202669.95616</c:v>
                </c:pt>
                <c:pt idx="13449">
                  <c:v>202846.989045</c:v>
                </c:pt>
                <c:pt idx="13450">
                  <c:v>203024.125</c:v>
                </c:pt>
                <c:pt idx="13451">
                  <c:v>203201.36405499998</c:v>
                </c:pt>
                <c:pt idx="13452">
                  <c:v>203378.70624</c:v>
                </c:pt>
                <c:pt idx="13453">
                  <c:v>203556.151585</c:v>
                </c:pt>
                <c:pt idx="13454">
                  <c:v>203733.70012</c:v>
                </c:pt>
                <c:pt idx="13455">
                  <c:v>203911.35187500002</c:v>
                </c:pt>
                <c:pt idx="13456">
                  <c:v>204089.10688</c:v>
                </c:pt>
                <c:pt idx="13457">
                  <c:v>204266.965165</c:v>
                </c:pt>
                <c:pt idx="13458">
                  <c:v>204444.92676</c:v>
                </c:pt>
                <c:pt idx="13459">
                  <c:v>204622.991695</c:v>
                </c:pt>
                <c:pt idx="13460">
                  <c:v>204801.15999999997</c:v>
                </c:pt>
                <c:pt idx="13461">
                  <c:v>204979.431705</c:v>
                </c:pt>
                <c:pt idx="13462">
                  <c:v>205157.80684</c:v>
                </c:pt>
                <c:pt idx="13463">
                  <c:v>205336.285435</c:v>
                </c:pt>
                <c:pt idx="13464">
                  <c:v>205514.86752</c:v>
                </c:pt>
                <c:pt idx="13465">
                  <c:v>205693.553125</c:v>
                </c:pt>
                <c:pt idx="13466">
                  <c:v>205872.34227999998</c:v>
                </c:pt>
                <c:pt idx="13467">
                  <c:v>206051.23501499998</c:v>
                </c:pt>
                <c:pt idx="13468">
                  <c:v>206230.23135999998</c:v>
                </c:pt>
                <c:pt idx="13469">
                  <c:v>206409.331345</c:v>
                </c:pt>
                <c:pt idx="13470">
                  <c:v>206588.535</c:v>
                </c:pt>
                <c:pt idx="13471">
                  <c:v>206767.842355</c:v>
                </c:pt>
                <c:pt idx="13472">
                  <c:v>206947.25344</c:v>
                </c:pt>
                <c:pt idx="13473">
                  <c:v>207126.76828500003</c:v>
                </c:pt>
                <c:pt idx="13474">
                  <c:v>207306.38692</c:v>
                </c:pt>
                <c:pt idx="13475">
                  <c:v>207486.109375</c:v>
                </c:pt>
                <c:pt idx="13476">
                  <c:v>207665.93568</c:v>
                </c:pt>
                <c:pt idx="13477">
                  <c:v>207845.865865</c:v>
                </c:pt>
                <c:pt idx="13478">
                  <c:v>208025.89996</c:v>
                </c:pt>
                <c:pt idx="13479">
                  <c:v>208206.03799500002</c:v>
                </c:pt>
                <c:pt idx="13480">
                  <c:v>208386.28</c:v>
                </c:pt>
                <c:pt idx="13481">
                  <c:v>208566.626005</c:v>
                </c:pt>
                <c:pt idx="13482">
                  <c:v>208747.07604</c:v>
                </c:pt>
                <c:pt idx="13483">
                  <c:v>208927.63013499998</c:v>
                </c:pt>
                <c:pt idx="13484">
                  <c:v>209108.28832000002</c:v>
                </c:pt>
                <c:pt idx="13485">
                  <c:v>209289.050625</c:v>
                </c:pt>
                <c:pt idx="13486">
                  <c:v>209469.91707999998</c:v>
                </c:pt>
                <c:pt idx="13487">
                  <c:v>209650.88771500002</c:v>
                </c:pt>
                <c:pt idx="13488">
                  <c:v>209831.96256</c:v>
                </c:pt>
                <c:pt idx="13489">
                  <c:v>210013.141645</c:v>
                </c:pt>
                <c:pt idx="13490">
                  <c:v>210194.425</c:v>
                </c:pt>
                <c:pt idx="13491">
                  <c:v>210375.812655</c:v>
                </c:pt>
                <c:pt idx="13492">
                  <c:v>210557.30464000002</c:v>
                </c:pt>
                <c:pt idx="13493">
                  <c:v>210738.90098500001</c:v>
                </c:pt>
                <c:pt idx="13494">
                  <c:v>210920.60172</c:v>
                </c:pt>
                <c:pt idx="13495">
                  <c:v>211102.406875</c:v>
                </c:pt>
                <c:pt idx="13496">
                  <c:v>211284.31648</c:v>
                </c:pt>
                <c:pt idx="13497">
                  <c:v>211466.33056499998</c:v>
                </c:pt>
                <c:pt idx="13498">
                  <c:v>211648.44916000002</c:v>
                </c:pt>
                <c:pt idx="13499">
                  <c:v>211830.672295</c:v>
                </c:pt>
                <c:pt idx="13500">
                  <c:v>212013.0</c:v>
                </c:pt>
                <c:pt idx="13501">
                  <c:v>212195.43230500002</c:v>
                </c:pt>
                <c:pt idx="13502">
                  <c:v>212377.96924</c:v>
                </c:pt>
                <c:pt idx="13503">
                  <c:v>212560.610835</c:v>
                </c:pt>
                <c:pt idx="13504">
                  <c:v>212743.35712</c:v>
                </c:pt>
                <c:pt idx="13505">
                  <c:v>212926.20812499998</c:v>
                </c:pt>
                <c:pt idx="13506">
                  <c:v>213109.16388</c:v>
                </c:pt>
                <c:pt idx="13507">
                  <c:v>213292.22441499998</c:v>
                </c:pt>
                <c:pt idx="13508">
                  <c:v>213475.38976</c:v>
                </c:pt>
                <c:pt idx="13509">
                  <c:v>213658.659945</c:v>
                </c:pt>
                <c:pt idx="13510">
                  <c:v>213842.035</c:v>
                </c:pt>
                <c:pt idx="13511">
                  <c:v>214025.51495500002</c:v>
                </c:pt>
                <c:pt idx="13512">
                  <c:v>214209.09984</c:v>
                </c:pt>
                <c:pt idx="13513">
                  <c:v>214392.789685</c:v>
                </c:pt>
                <c:pt idx="13514">
                  <c:v>214576.58452</c:v>
                </c:pt>
                <c:pt idx="13515">
                  <c:v>214760.484375</c:v>
                </c:pt>
                <c:pt idx="13516">
                  <c:v>214944.48928</c:v>
                </c:pt>
                <c:pt idx="13517">
                  <c:v>215128.599265</c:v>
                </c:pt>
                <c:pt idx="13518">
                  <c:v>215312.81436000002</c:v>
                </c:pt>
                <c:pt idx="13519">
                  <c:v>215497.134595</c:v>
                </c:pt>
                <c:pt idx="13520">
                  <c:v>215681.56</c:v>
                </c:pt>
                <c:pt idx="13521">
                  <c:v>215866.09060499998</c:v>
                </c:pt>
                <c:pt idx="13522">
                  <c:v>216050.72644</c:v>
                </c:pt>
                <c:pt idx="13523">
                  <c:v>216235.467535</c:v>
                </c:pt>
                <c:pt idx="13524">
                  <c:v>216420.31392</c:v>
                </c:pt>
                <c:pt idx="13525">
                  <c:v>216605.265625</c:v>
                </c:pt>
                <c:pt idx="13526">
                  <c:v>216790.32267999998</c:v>
                </c:pt>
                <c:pt idx="13527">
                  <c:v>216975.485115</c:v>
                </c:pt>
                <c:pt idx="13528">
                  <c:v>217160.75296</c:v>
                </c:pt>
                <c:pt idx="13529">
                  <c:v>217346.12624500002</c:v>
                </c:pt>
                <c:pt idx="13530">
                  <c:v>217531.60500000004</c:v>
                </c:pt>
                <c:pt idx="13531">
                  <c:v>217717.189255</c:v>
                </c:pt>
                <c:pt idx="13532">
                  <c:v>217902.87904</c:v>
                </c:pt>
                <c:pt idx="13533">
                  <c:v>218088.674385</c:v>
                </c:pt>
                <c:pt idx="13534">
                  <c:v>218274.57532</c:v>
                </c:pt>
                <c:pt idx="13535">
                  <c:v>218460.581875</c:v>
                </c:pt>
                <c:pt idx="13536">
                  <c:v>218646.69408</c:v>
                </c:pt>
                <c:pt idx="13537">
                  <c:v>218832.911965</c:v>
                </c:pt>
                <c:pt idx="13538">
                  <c:v>219019.23556</c:v>
                </c:pt>
                <c:pt idx="13539">
                  <c:v>219205.664895</c:v>
                </c:pt>
                <c:pt idx="13540">
                  <c:v>219392.2</c:v>
                </c:pt>
                <c:pt idx="13541">
                  <c:v>219578.84090500002</c:v>
                </c:pt>
                <c:pt idx="13542">
                  <c:v>219765.58763999998</c:v>
                </c:pt>
                <c:pt idx="13543">
                  <c:v>219952.440235</c:v>
                </c:pt>
                <c:pt idx="13544">
                  <c:v>220139.39872000003</c:v>
                </c:pt>
                <c:pt idx="13545">
                  <c:v>220326.46312499998</c:v>
                </c:pt>
                <c:pt idx="13546">
                  <c:v>220513.63348000002</c:v>
                </c:pt>
                <c:pt idx="13547">
                  <c:v>220700.909815</c:v>
                </c:pt>
                <c:pt idx="13548">
                  <c:v>220888.29215999998</c:v>
                </c:pt>
                <c:pt idx="13549">
                  <c:v>221075.780545</c:v>
                </c:pt>
                <c:pt idx="13550">
                  <c:v>221263.375</c:v>
                </c:pt>
                <c:pt idx="13551">
                  <c:v>221451.075555</c:v>
                </c:pt>
                <c:pt idx="13552">
                  <c:v>221638.88224000004</c:v>
                </c:pt>
                <c:pt idx="13553">
                  <c:v>221826.795085</c:v>
                </c:pt>
                <c:pt idx="13554">
                  <c:v>222014.81412</c:v>
                </c:pt>
                <c:pt idx="13555">
                  <c:v>222202.939375</c:v>
                </c:pt>
                <c:pt idx="13556">
                  <c:v>222391.17088</c:v>
                </c:pt>
                <c:pt idx="13557">
                  <c:v>222579.508665</c:v>
                </c:pt>
                <c:pt idx="13558">
                  <c:v>222767.95276</c:v>
                </c:pt>
                <c:pt idx="13559">
                  <c:v>222956.50319499997</c:v>
                </c:pt>
                <c:pt idx="13560">
                  <c:v>223145.16</c:v>
                </c:pt>
                <c:pt idx="13561">
                  <c:v>223333.923205</c:v>
                </c:pt>
                <c:pt idx="13562">
                  <c:v>223522.79283999998</c:v>
                </c:pt>
                <c:pt idx="13563">
                  <c:v>223711.768935</c:v>
                </c:pt>
                <c:pt idx="13564">
                  <c:v>223900.85152</c:v>
                </c:pt>
                <c:pt idx="13565">
                  <c:v>224090.040625</c:v>
                </c:pt>
                <c:pt idx="13566">
                  <c:v>224279.33628</c:v>
                </c:pt>
                <c:pt idx="13567">
                  <c:v>224468.73851499998</c:v>
                </c:pt>
                <c:pt idx="13568">
                  <c:v>224658.24735999998</c:v>
                </c:pt>
                <c:pt idx="13569">
                  <c:v>224847.862845</c:v>
                </c:pt>
                <c:pt idx="13570">
                  <c:v>225037.585</c:v>
                </c:pt>
                <c:pt idx="13571">
                  <c:v>225227.413855</c:v>
                </c:pt>
                <c:pt idx="13572">
                  <c:v>225417.34944</c:v>
                </c:pt>
                <c:pt idx="13573">
                  <c:v>225607.39178499999</c:v>
                </c:pt>
                <c:pt idx="13574">
                  <c:v>225797.54092</c:v>
                </c:pt>
                <c:pt idx="13575">
                  <c:v>225987.796875</c:v>
                </c:pt>
                <c:pt idx="13576">
                  <c:v>226178.15968</c:v>
                </c:pt>
                <c:pt idx="13577">
                  <c:v>226368.629365</c:v>
                </c:pt>
                <c:pt idx="13578">
                  <c:v>226559.20596</c:v>
                </c:pt>
                <c:pt idx="13579">
                  <c:v>226749.889495</c:v>
                </c:pt>
                <c:pt idx="13580">
                  <c:v>226940.68000000002</c:v>
                </c:pt>
                <c:pt idx="13581">
                  <c:v>227131.577505</c:v>
                </c:pt>
                <c:pt idx="13582">
                  <c:v>227322.58204</c:v>
                </c:pt>
                <c:pt idx="13583">
                  <c:v>227513.693635</c:v>
                </c:pt>
                <c:pt idx="13584">
                  <c:v>227704.91232</c:v>
                </c:pt>
                <c:pt idx="13585">
                  <c:v>227896.238125</c:v>
                </c:pt>
                <c:pt idx="13586">
                  <c:v>228087.67108</c:v>
                </c:pt>
                <c:pt idx="13587">
                  <c:v>228279.21121500002</c:v>
                </c:pt>
                <c:pt idx="13588">
                  <c:v>228470.85856</c:v>
                </c:pt>
                <c:pt idx="13589">
                  <c:v>228662.61314499998</c:v>
                </c:pt>
                <c:pt idx="13590">
                  <c:v>228854.47499999998</c:v>
                </c:pt>
                <c:pt idx="13591">
                  <c:v>229046.444155</c:v>
                </c:pt>
                <c:pt idx="13592">
                  <c:v>229238.52064</c:v>
                </c:pt>
                <c:pt idx="13593">
                  <c:v>229430.70448500002</c:v>
                </c:pt>
                <c:pt idx="13594">
                  <c:v>229622.99571999998</c:v>
                </c:pt>
                <c:pt idx="13595">
                  <c:v>229815.394375</c:v>
                </c:pt>
                <c:pt idx="13596">
                  <c:v>230007.90047999998</c:v>
                </c:pt>
                <c:pt idx="13597">
                  <c:v>230200.514065</c:v>
                </c:pt>
                <c:pt idx="13598">
                  <c:v>230393.23515999998</c:v>
                </c:pt>
                <c:pt idx="13599">
                  <c:v>230586.063795</c:v>
                </c:pt>
                <c:pt idx="13600">
                  <c:v>230779.0</c:v>
                </c:pt>
                <c:pt idx="13601">
                  <c:v>230972.043805</c:v>
                </c:pt>
                <c:pt idx="13602">
                  <c:v>231165.19524</c:v>
                </c:pt>
                <c:pt idx="13603">
                  <c:v>231358.454335</c:v>
                </c:pt>
                <c:pt idx="13604">
                  <c:v>231551.82111999998</c:v>
                </c:pt>
                <c:pt idx="13605">
                  <c:v>231745.295625</c:v>
                </c:pt>
                <c:pt idx="13606">
                  <c:v>231938.87788</c:v>
                </c:pt>
                <c:pt idx="13607">
                  <c:v>232132.567915</c:v>
                </c:pt>
                <c:pt idx="13608">
                  <c:v>232326.36576</c:v>
                </c:pt>
                <c:pt idx="13609">
                  <c:v>232520.271445</c:v>
                </c:pt>
                <c:pt idx="13610">
                  <c:v>232714.285</c:v>
                </c:pt>
                <c:pt idx="13611">
                  <c:v>232908.406455</c:v>
                </c:pt>
                <c:pt idx="13612">
                  <c:v>233102.63584</c:v>
                </c:pt>
                <c:pt idx="13613">
                  <c:v>233296.973185</c:v>
                </c:pt>
                <c:pt idx="13614">
                  <c:v>233491.41852</c:v>
                </c:pt>
                <c:pt idx="13615">
                  <c:v>233685.971875</c:v>
                </c:pt>
                <c:pt idx="13616">
                  <c:v>233880.63328</c:v>
                </c:pt>
                <c:pt idx="13617">
                  <c:v>234075.402765</c:v>
                </c:pt>
                <c:pt idx="13618">
                  <c:v>234270.28036</c:v>
                </c:pt>
                <c:pt idx="13619">
                  <c:v>234465.266095</c:v>
                </c:pt>
                <c:pt idx="13620">
                  <c:v>234660.36</c:v>
                </c:pt>
                <c:pt idx="13621">
                  <c:v>234855.56210500002</c:v>
                </c:pt>
                <c:pt idx="13622">
                  <c:v>235050.87244000004</c:v>
                </c:pt>
                <c:pt idx="13623">
                  <c:v>235246.291035</c:v>
                </c:pt>
                <c:pt idx="13624">
                  <c:v>235441.81792000003</c:v>
                </c:pt>
                <c:pt idx="13625">
                  <c:v>235637.453125</c:v>
                </c:pt>
                <c:pt idx="13626">
                  <c:v>235833.19668000002</c:v>
                </c:pt>
                <c:pt idx="13627">
                  <c:v>236029.04861499998</c:v>
                </c:pt>
                <c:pt idx="13628">
                  <c:v>236225.00896</c:v>
                </c:pt>
                <c:pt idx="13629">
                  <c:v>236421.077745</c:v>
                </c:pt>
                <c:pt idx="13630">
                  <c:v>236617.25499999998</c:v>
                </c:pt>
                <c:pt idx="13631">
                  <c:v>236813.540755</c:v>
                </c:pt>
                <c:pt idx="13632">
                  <c:v>237009.93503999998</c:v>
                </c:pt>
                <c:pt idx="13633">
                  <c:v>237206.43788500002</c:v>
                </c:pt>
                <c:pt idx="13634">
                  <c:v>237403.04932</c:v>
                </c:pt>
                <c:pt idx="13635">
                  <c:v>237599.769375</c:v>
                </c:pt>
                <c:pt idx="13636">
                  <c:v>237796.59808000003</c:v>
                </c:pt>
                <c:pt idx="13637">
                  <c:v>237993.535465</c:v>
                </c:pt>
                <c:pt idx="13638">
                  <c:v>238190.58155999996</c:v>
                </c:pt>
                <c:pt idx="13639">
                  <c:v>238387.736395</c:v>
                </c:pt>
                <c:pt idx="13640">
                  <c:v>238585.0</c:v>
                </c:pt>
                <c:pt idx="13641">
                  <c:v>238782.372405</c:v>
                </c:pt>
                <c:pt idx="13642">
                  <c:v>238979.85364</c:v>
                </c:pt>
                <c:pt idx="13643">
                  <c:v>239177.44373499998</c:v>
                </c:pt>
                <c:pt idx="13644">
                  <c:v>239375.14272</c:v>
                </c:pt>
                <c:pt idx="13645">
                  <c:v>239572.950625</c:v>
                </c:pt>
                <c:pt idx="13646">
                  <c:v>239770.86748000002</c:v>
                </c:pt>
                <c:pt idx="13647">
                  <c:v>239968.893315</c:v>
                </c:pt>
                <c:pt idx="13648">
                  <c:v>240167.02816000002</c:v>
                </c:pt>
                <c:pt idx="13649">
                  <c:v>240365.27204500002</c:v>
                </c:pt>
                <c:pt idx="13650">
                  <c:v>240563.625</c:v>
                </c:pt>
                <c:pt idx="13651">
                  <c:v>240762.087055</c:v>
                </c:pt>
                <c:pt idx="13652">
                  <c:v>240960.65824000002</c:v>
                </c:pt>
                <c:pt idx="13653">
                  <c:v>241159.338585</c:v>
                </c:pt>
                <c:pt idx="13654">
                  <c:v>241358.12812</c:v>
                </c:pt>
                <c:pt idx="13655">
                  <c:v>241557.026875</c:v>
                </c:pt>
                <c:pt idx="13656">
                  <c:v>241756.03488</c:v>
                </c:pt>
                <c:pt idx="13657">
                  <c:v>241955.152165</c:v>
                </c:pt>
                <c:pt idx="13658">
                  <c:v>242154.37875999996</c:v>
                </c:pt>
                <c:pt idx="13659">
                  <c:v>242353.714695</c:v>
                </c:pt>
                <c:pt idx="13660">
                  <c:v>242553.16</c:v>
                </c:pt>
                <c:pt idx="13661">
                  <c:v>242752.714705</c:v>
                </c:pt>
                <c:pt idx="13662">
                  <c:v>242952.37884</c:v>
                </c:pt>
                <c:pt idx="13663">
                  <c:v>243152.152435</c:v>
                </c:pt>
                <c:pt idx="13664">
                  <c:v>243352.03552</c:v>
                </c:pt>
                <c:pt idx="13665">
                  <c:v>243552.028125</c:v>
                </c:pt>
                <c:pt idx="13666">
                  <c:v>243752.13027999998</c:v>
                </c:pt>
                <c:pt idx="13667">
                  <c:v>243952.342015</c:v>
                </c:pt>
                <c:pt idx="13668">
                  <c:v>244152.66336</c:v>
                </c:pt>
                <c:pt idx="13669">
                  <c:v>244353.094345</c:v>
                </c:pt>
                <c:pt idx="13670">
                  <c:v>244553.635</c:v>
                </c:pt>
                <c:pt idx="13671">
                  <c:v>244754.28535499997</c:v>
                </c:pt>
                <c:pt idx="13672">
                  <c:v>244955.04543999996</c:v>
                </c:pt>
                <c:pt idx="13673">
                  <c:v>245155.915285</c:v>
                </c:pt>
                <c:pt idx="13674">
                  <c:v>245356.89492</c:v>
                </c:pt>
                <c:pt idx="13675">
                  <c:v>245557.984375</c:v>
                </c:pt>
                <c:pt idx="13676">
                  <c:v>245759.18368</c:v>
                </c:pt>
                <c:pt idx="13677">
                  <c:v>245960.49286500004</c:v>
                </c:pt>
                <c:pt idx="13678">
                  <c:v>246161.91196</c:v>
                </c:pt>
                <c:pt idx="13679">
                  <c:v>246363.440995</c:v>
                </c:pt>
                <c:pt idx="13680">
                  <c:v>246565.08</c:v>
                </c:pt>
                <c:pt idx="13681">
                  <c:v>246766.82900499998</c:v>
                </c:pt>
                <c:pt idx="13682">
                  <c:v>246968.68804</c:v>
                </c:pt>
                <c:pt idx="13683">
                  <c:v>247170.65713500002</c:v>
                </c:pt>
                <c:pt idx="13684">
                  <c:v>247372.73632</c:v>
                </c:pt>
                <c:pt idx="13685">
                  <c:v>247574.925625</c:v>
                </c:pt>
                <c:pt idx="13686">
                  <c:v>247777.22507999997</c:v>
                </c:pt>
                <c:pt idx="13687">
                  <c:v>247979.634715</c:v>
                </c:pt>
                <c:pt idx="13688">
                  <c:v>248182.15456</c:v>
                </c:pt>
                <c:pt idx="13689">
                  <c:v>248384.784645</c:v>
                </c:pt>
                <c:pt idx="13690">
                  <c:v>248587.525</c:v>
                </c:pt>
                <c:pt idx="13691">
                  <c:v>248790.37565499998</c:v>
                </c:pt>
                <c:pt idx="13692">
                  <c:v>248993.33664000002</c:v>
                </c:pt>
                <c:pt idx="13693">
                  <c:v>249196.407985</c:v>
                </c:pt>
                <c:pt idx="13694">
                  <c:v>249399.58972</c:v>
                </c:pt>
                <c:pt idx="13695">
                  <c:v>249602.881875</c:v>
                </c:pt>
                <c:pt idx="13696">
                  <c:v>249806.28448</c:v>
                </c:pt>
                <c:pt idx="13697">
                  <c:v>250009.79756499996</c:v>
                </c:pt>
                <c:pt idx="13698">
                  <c:v>250213.42116</c:v>
                </c:pt>
                <c:pt idx="13699">
                  <c:v>250417.155295</c:v>
                </c:pt>
                <c:pt idx="13700">
                  <c:v>250621.0</c:v>
                </c:pt>
                <c:pt idx="13701">
                  <c:v>250824.95530499998</c:v>
                </c:pt>
                <c:pt idx="13702">
                  <c:v>251029.02124</c:v>
                </c:pt>
                <c:pt idx="13703">
                  <c:v>251233.197835</c:v>
                </c:pt>
                <c:pt idx="13704">
                  <c:v>251437.48512</c:v>
                </c:pt>
                <c:pt idx="13705">
                  <c:v>251641.88312500002</c:v>
                </c:pt>
                <c:pt idx="13706">
                  <c:v>251846.39187999998</c:v>
                </c:pt>
                <c:pt idx="13707">
                  <c:v>252051.01141500002</c:v>
                </c:pt>
                <c:pt idx="13708">
                  <c:v>252255.74176</c:v>
                </c:pt>
                <c:pt idx="13709">
                  <c:v>252460.582945</c:v>
                </c:pt>
                <c:pt idx="13710">
                  <c:v>252665.53499999997</c:v>
                </c:pt>
                <c:pt idx="13711">
                  <c:v>252870.59795499998</c:v>
                </c:pt>
                <c:pt idx="13712">
                  <c:v>253075.77184</c:v>
                </c:pt>
                <c:pt idx="13713">
                  <c:v>253281.05668500002</c:v>
                </c:pt>
                <c:pt idx="13714">
                  <c:v>253486.45252000002</c:v>
                </c:pt>
                <c:pt idx="13715">
                  <c:v>253691.959375</c:v>
                </c:pt>
                <c:pt idx="13716">
                  <c:v>253897.57728</c:v>
                </c:pt>
                <c:pt idx="13717">
                  <c:v>254103.306265</c:v>
                </c:pt>
                <c:pt idx="13718">
                  <c:v>254309.14636</c:v>
                </c:pt>
                <c:pt idx="13719">
                  <c:v>254515.097595</c:v>
                </c:pt>
                <c:pt idx="13720">
                  <c:v>254721.16</c:v>
                </c:pt>
                <c:pt idx="13721">
                  <c:v>254927.33360500002</c:v>
                </c:pt>
                <c:pt idx="13722">
                  <c:v>255133.61844</c:v>
                </c:pt>
                <c:pt idx="13723">
                  <c:v>255340.01453500002</c:v>
                </c:pt>
                <c:pt idx="13724">
                  <c:v>255546.52191999997</c:v>
                </c:pt>
                <c:pt idx="13725">
                  <c:v>255753.140625</c:v>
                </c:pt>
                <c:pt idx="13726">
                  <c:v>255959.87068000002</c:v>
                </c:pt>
                <c:pt idx="13727">
                  <c:v>256166.712115</c:v>
                </c:pt>
                <c:pt idx="13728">
                  <c:v>256373.66495999997</c:v>
                </c:pt>
                <c:pt idx="13729">
                  <c:v>256580.729245</c:v>
                </c:pt>
                <c:pt idx="13730">
                  <c:v>256787.905</c:v>
                </c:pt>
                <c:pt idx="13731">
                  <c:v>256995.19225499997</c:v>
                </c:pt>
                <c:pt idx="13732">
                  <c:v>257202.59104</c:v>
                </c:pt>
                <c:pt idx="13733">
                  <c:v>257410.10138500002</c:v>
                </c:pt>
                <c:pt idx="13734">
                  <c:v>257617.72332</c:v>
                </c:pt>
                <c:pt idx="13735">
                  <c:v>257825.456875</c:v>
                </c:pt>
                <c:pt idx="13736">
                  <c:v>258033.30208</c:v>
                </c:pt>
                <c:pt idx="13737">
                  <c:v>258241.258965</c:v>
                </c:pt>
                <c:pt idx="13738">
                  <c:v>258449.32755999998</c:v>
                </c:pt>
                <c:pt idx="13739">
                  <c:v>258657.50789500002</c:v>
                </c:pt>
                <c:pt idx="13740">
                  <c:v>258865.8</c:v>
                </c:pt>
                <c:pt idx="13741">
                  <c:v>259074.203905</c:v>
                </c:pt>
                <c:pt idx="13742">
                  <c:v>259282.71964000002</c:v>
                </c:pt>
                <c:pt idx="13743">
                  <c:v>259491.347235</c:v>
                </c:pt>
                <c:pt idx="13744">
                  <c:v>259700.08672</c:v>
                </c:pt>
                <c:pt idx="13745">
                  <c:v>259908.938125</c:v>
                </c:pt>
                <c:pt idx="13746">
                  <c:v>260117.90148</c:v>
                </c:pt>
                <c:pt idx="13747">
                  <c:v>260326.97681500003</c:v>
                </c:pt>
                <c:pt idx="13748">
                  <c:v>260536.16416</c:v>
                </c:pt>
                <c:pt idx="13749">
                  <c:v>260745.463545</c:v>
                </c:pt>
                <c:pt idx="13750">
                  <c:v>260954.875</c:v>
                </c:pt>
                <c:pt idx="13751">
                  <c:v>261164.39855500002</c:v>
                </c:pt>
                <c:pt idx="13752">
                  <c:v>261374.03424</c:v>
                </c:pt>
                <c:pt idx="13753">
                  <c:v>261583.78208499998</c:v>
                </c:pt>
                <c:pt idx="13754">
                  <c:v>261793.64212</c:v>
                </c:pt>
                <c:pt idx="13755">
                  <c:v>262003.614375</c:v>
                </c:pt>
                <c:pt idx="13756">
                  <c:v>262213.69888</c:v>
                </c:pt>
                <c:pt idx="13757">
                  <c:v>262423.89566499996</c:v>
                </c:pt>
                <c:pt idx="13758">
                  <c:v>262634.20476</c:v>
                </c:pt>
                <c:pt idx="13759">
                  <c:v>262844.626195</c:v>
                </c:pt>
                <c:pt idx="13760">
                  <c:v>263055.16</c:v>
                </c:pt>
                <c:pt idx="13761">
                  <c:v>263265.80620500003</c:v>
                </c:pt>
                <c:pt idx="13762">
                  <c:v>263476.56484</c:v>
                </c:pt>
                <c:pt idx="13763">
                  <c:v>263687.435935</c:v>
                </c:pt>
                <c:pt idx="13764">
                  <c:v>263898.41952</c:v>
                </c:pt>
                <c:pt idx="13765">
                  <c:v>264109.515625</c:v>
                </c:pt>
                <c:pt idx="13766">
                  <c:v>264320.72427999997</c:v>
                </c:pt>
                <c:pt idx="13767">
                  <c:v>264532.045515</c:v>
                </c:pt>
                <c:pt idx="13768">
                  <c:v>264743.47936</c:v>
                </c:pt>
                <c:pt idx="13769">
                  <c:v>264955.025845</c:v>
                </c:pt>
                <c:pt idx="13770">
                  <c:v>265166.685</c:v>
                </c:pt>
                <c:pt idx="13771">
                  <c:v>265378.456855</c:v>
                </c:pt>
                <c:pt idx="13772">
                  <c:v>265590.34144</c:v>
                </c:pt>
                <c:pt idx="13773">
                  <c:v>265802.338785</c:v>
                </c:pt>
                <c:pt idx="13774">
                  <c:v>266014.44892</c:v>
                </c:pt>
                <c:pt idx="13775">
                  <c:v>266226.671875</c:v>
                </c:pt>
                <c:pt idx="13776">
                  <c:v>266439.00768</c:v>
                </c:pt>
                <c:pt idx="13777">
                  <c:v>266651.456365</c:v>
                </c:pt>
                <c:pt idx="13778">
                  <c:v>266864.01795999997</c:v>
                </c:pt>
                <c:pt idx="13779">
                  <c:v>267076.69249499997</c:v>
                </c:pt>
                <c:pt idx="13780">
                  <c:v>267289.48</c:v>
                </c:pt>
                <c:pt idx="13781">
                  <c:v>267502.380505</c:v>
                </c:pt>
                <c:pt idx="13782">
                  <c:v>267715.39404</c:v>
                </c:pt>
                <c:pt idx="13783">
                  <c:v>267928.52063499996</c:v>
                </c:pt>
                <c:pt idx="13784">
                  <c:v>268141.76032</c:v>
                </c:pt>
                <c:pt idx="13785">
                  <c:v>268355.11312500003</c:v>
                </c:pt>
                <c:pt idx="13786">
                  <c:v>268568.57908</c:v>
                </c:pt>
                <c:pt idx="13787">
                  <c:v>268782.158215</c:v>
                </c:pt>
                <c:pt idx="13788">
                  <c:v>268995.85056</c:v>
                </c:pt>
                <c:pt idx="13789">
                  <c:v>269209.656145</c:v>
                </c:pt>
                <c:pt idx="13790">
                  <c:v>269423.575</c:v>
                </c:pt>
                <c:pt idx="13791">
                  <c:v>269637.60715500003</c:v>
                </c:pt>
                <c:pt idx="13792">
                  <c:v>269851.75263999996</c:v>
                </c:pt>
                <c:pt idx="13793">
                  <c:v>270066.011485</c:v>
                </c:pt>
                <c:pt idx="13794">
                  <c:v>270280.38372</c:v>
                </c:pt>
                <c:pt idx="13795">
                  <c:v>270494.869375</c:v>
                </c:pt>
                <c:pt idx="13796">
                  <c:v>270709.46848</c:v>
                </c:pt>
                <c:pt idx="13797">
                  <c:v>270924.18106499995</c:v>
                </c:pt>
                <c:pt idx="13798">
                  <c:v>271139.00716</c:v>
                </c:pt>
                <c:pt idx="13799">
                  <c:v>271353.946795</c:v>
                </c:pt>
                <c:pt idx="13800">
                  <c:v>271569.0</c:v>
                </c:pt>
                <c:pt idx="13801">
                  <c:v>271784.166805</c:v>
                </c:pt>
                <c:pt idx="13802">
                  <c:v>271999.44723999995</c:v>
                </c:pt>
                <c:pt idx="13803">
                  <c:v>272214.841335</c:v>
                </c:pt>
                <c:pt idx="13804">
                  <c:v>272430.34911999997</c:v>
                </c:pt>
                <c:pt idx="13805">
                  <c:v>272645.970625</c:v>
                </c:pt>
                <c:pt idx="13806">
                  <c:v>272861.70587999996</c:v>
                </c:pt>
                <c:pt idx="13807">
                  <c:v>273077.55491500004</c:v>
                </c:pt>
                <c:pt idx="13808">
                  <c:v>273293.51776</c:v>
                </c:pt>
                <c:pt idx="13809">
                  <c:v>273509.594445</c:v>
                </c:pt>
                <c:pt idx="13810">
                  <c:v>273725.785</c:v>
                </c:pt>
                <c:pt idx="13811">
                  <c:v>273942.08945499995</c:v>
                </c:pt>
                <c:pt idx="13812">
                  <c:v>274158.50784</c:v>
                </c:pt>
                <c:pt idx="13813">
                  <c:v>274375.040185</c:v>
                </c:pt>
                <c:pt idx="13814">
                  <c:v>274591.68652</c:v>
                </c:pt>
                <c:pt idx="13815">
                  <c:v>274808.446875</c:v>
                </c:pt>
                <c:pt idx="13816">
                  <c:v>275025.32128000003</c:v>
                </c:pt>
                <c:pt idx="13817">
                  <c:v>275242.309765</c:v>
                </c:pt>
                <c:pt idx="13818">
                  <c:v>275459.41235999996</c:v>
                </c:pt>
                <c:pt idx="13819">
                  <c:v>275676.629095</c:v>
                </c:pt>
                <c:pt idx="13820">
                  <c:v>275893.96</c:v>
                </c:pt>
                <c:pt idx="13821">
                  <c:v>276111.405105</c:v>
                </c:pt>
                <c:pt idx="13822">
                  <c:v>276328.96444</c:v>
                </c:pt>
                <c:pt idx="13823">
                  <c:v>276546.638035</c:v>
                </c:pt>
                <c:pt idx="13824">
                  <c:v>276764.42592</c:v>
                </c:pt>
                <c:pt idx="13825">
                  <c:v>276982.328125</c:v>
                </c:pt>
                <c:pt idx="13826">
                  <c:v>277200.34468000004</c:v>
                </c:pt>
                <c:pt idx="13827">
                  <c:v>277418.475615</c:v>
                </c:pt>
                <c:pt idx="13828">
                  <c:v>277636.72096000006</c:v>
                </c:pt>
                <c:pt idx="13829">
                  <c:v>277855.080745</c:v>
                </c:pt>
                <c:pt idx="13830">
                  <c:v>278073.555</c:v>
                </c:pt>
                <c:pt idx="13831">
                  <c:v>278292.14375499997</c:v>
                </c:pt>
                <c:pt idx="13832">
                  <c:v>278510.84703999996</c:v>
                </c:pt>
                <c:pt idx="13833">
                  <c:v>278729.66488500003</c:v>
                </c:pt>
                <c:pt idx="13834">
                  <c:v>278948.59732</c:v>
                </c:pt>
                <c:pt idx="13835">
                  <c:v>279167.644375</c:v>
                </c:pt>
                <c:pt idx="13836">
                  <c:v>279386.80608</c:v>
                </c:pt>
                <c:pt idx="13837">
                  <c:v>279606.082465</c:v>
                </c:pt>
                <c:pt idx="13838">
                  <c:v>279825.47356</c:v>
                </c:pt>
                <c:pt idx="13839">
                  <c:v>280044.97939500003</c:v>
                </c:pt>
                <c:pt idx="13840">
                  <c:v>280264.6</c:v>
                </c:pt>
                <c:pt idx="13841">
                  <c:v>280484.33540499996</c:v>
                </c:pt>
                <c:pt idx="13842">
                  <c:v>280704.18564000004</c:v>
                </c:pt>
                <c:pt idx="13843">
                  <c:v>280924.150735</c:v>
                </c:pt>
                <c:pt idx="13844">
                  <c:v>281144.23072</c:v>
                </c:pt>
                <c:pt idx="13845">
                  <c:v>281364.425625</c:v>
                </c:pt>
                <c:pt idx="13846">
                  <c:v>281584.73548000003</c:v>
                </c:pt>
                <c:pt idx="13847">
                  <c:v>281805.16031500004</c:v>
                </c:pt>
                <c:pt idx="13848">
                  <c:v>282025.70016</c:v>
                </c:pt>
                <c:pt idx="13849">
                  <c:v>282246.355045</c:v>
                </c:pt>
                <c:pt idx="13850">
                  <c:v>282467.125</c:v>
                </c:pt>
                <c:pt idx="13851">
                  <c:v>282688.010055</c:v>
                </c:pt>
                <c:pt idx="13852">
                  <c:v>282909.01024000003</c:v>
                </c:pt>
                <c:pt idx="13853">
                  <c:v>283130.12558500003</c:v>
                </c:pt>
                <c:pt idx="13854">
                  <c:v>283351.35612</c:v>
                </c:pt>
                <c:pt idx="13855">
                  <c:v>283572.701875</c:v>
                </c:pt>
                <c:pt idx="13856">
                  <c:v>283794.16288</c:v>
                </c:pt>
                <c:pt idx="13857">
                  <c:v>284015.739165</c:v>
                </c:pt>
                <c:pt idx="13858">
                  <c:v>284237.43076</c:v>
                </c:pt>
                <c:pt idx="13859">
                  <c:v>284459.23769499996</c:v>
                </c:pt>
                <c:pt idx="13860">
                  <c:v>284681.16000000003</c:v>
                </c:pt>
                <c:pt idx="13861">
                  <c:v>284903.197705</c:v>
                </c:pt>
                <c:pt idx="13862">
                  <c:v>285125.35083999997</c:v>
                </c:pt>
                <c:pt idx="13863">
                  <c:v>285347.619435</c:v>
                </c:pt>
                <c:pt idx="13864">
                  <c:v>285570.00351999997</c:v>
                </c:pt>
                <c:pt idx="13865">
                  <c:v>285792.503125</c:v>
                </c:pt>
                <c:pt idx="13866">
                  <c:v>286015.11827999994</c:v>
                </c:pt>
                <c:pt idx="13867">
                  <c:v>286237.849015</c:v>
                </c:pt>
                <c:pt idx="13868">
                  <c:v>286460.69536</c:v>
                </c:pt>
                <c:pt idx="13869">
                  <c:v>286683.657345</c:v>
                </c:pt>
                <c:pt idx="13870">
                  <c:v>286906.735</c:v>
                </c:pt>
                <c:pt idx="13871">
                  <c:v>287129.928355</c:v>
                </c:pt>
                <c:pt idx="13872">
                  <c:v>287353.23744</c:v>
                </c:pt>
                <c:pt idx="13873">
                  <c:v>287576.66228499997</c:v>
                </c:pt>
                <c:pt idx="13874">
                  <c:v>287800.20292</c:v>
                </c:pt>
                <c:pt idx="13875">
                  <c:v>288023.859375</c:v>
                </c:pt>
                <c:pt idx="13876">
                  <c:v>288247.63168000005</c:v>
                </c:pt>
                <c:pt idx="13877">
                  <c:v>288471.519865</c:v>
                </c:pt>
                <c:pt idx="13878">
                  <c:v>288695.52395999996</c:v>
                </c:pt>
                <c:pt idx="13879">
                  <c:v>288919.64399500005</c:v>
                </c:pt>
                <c:pt idx="13880">
                  <c:v>289143.88</c:v>
                </c:pt>
                <c:pt idx="13881">
                  <c:v>289368.232005</c:v>
                </c:pt>
                <c:pt idx="13882">
                  <c:v>289592.70004</c:v>
                </c:pt>
                <c:pt idx="13883">
                  <c:v>289817.284135</c:v>
                </c:pt>
                <c:pt idx="13884">
                  <c:v>290041.98432</c:v>
                </c:pt>
                <c:pt idx="13885">
                  <c:v>290266.800625</c:v>
                </c:pt>
                <c:pt idx="13886">
                  <c:v>290491.73308000003</c:v>
                </c:pt>
                <c:pt idx="13887">
                  <c:v>290716.781715</c:v>
                </c:pt>
                <c:pt idx="13888">
                  <c:v>290941.94656</c:v>
                </c:pt>
                <c:pt idx="13889">
                  <c:v>291167.22764500004</c:v>
                </c:pt>
                <c:pt idx="13890">
                  <c:v>291392.62499999994</c:v>
                </c:pt>
                <c:pt idx="13891">
                  <c:v>291618.138655</c:v>
                </c:pt>
                <c:pt idx="13892">
                  <c:v>291843.76863999997</c:v>
                </c:pt>
                <c:pt idx="13893">
                  <c:v>292069.514985</c:v>
                </c:pt>
                <c:pt idx="13894">
                  <c:v>292295.37772</c:v>
                </c:pt>
                <c:pt idx="13895">
                  <c:v>292521.356875</c:v>
                </c:pt>
                <c:pt idx="13896">
                  <c:v>292747.45248000004</c:v>
                </c:pt>
                <c:pt idx="13897">
                  <c:v>292973.664565</c:v>
                </c:pt>
                <c:pt idx="13898">
                  <c:v>293199.99316</c:v>
                </c:pt>
                <c:pt idx="13899">
                  <c:v>293426.438295</c:v>
                </c:pt>
                <c:pt idx="13900">
                  <c:v>293653.0</c:v>
                </c:pt>
                <c:pt idx="13901">
                  <c:v>293879.678305</c:v>
                </c:pt>
                <c:pt idx="13902">
                  <c:v>294106.47323999996</c:v>
                </c:pt>
                <c:pt idx="13903">
                  <c:v>294333.38483500003</c:v>
                </c:pt>
                <c:pt idx="13904">
                  <c:v>294560.41312</c:v>
                </c:pt>
                <c:pt idx="13905">
                  <c:v>294787.558125</c:v>
                </c:pt>
                <c:pt idx="13906">
                  <c:v>295014.81987999997</c:v>
                </c:pt>
                <c:pt idx="13907">
                  <c:v>295242.198415</c:v>
                </c:pt>
                <c:pt idx="13908">
                  <c:v>295469.69375999994</c:v>
                </c:pt>
                <c:pt idx="13909">
                  <c:v>295697.305945</c:v>
                </c:pt>
                <c:pt idx="13910">
                  <c:v>295925.03500000003</c:v>
                </c:pt>
                <c:pt idx="13911">
                  <c:v>296152.880955</c:v>
                </c:pt>
                <c:pt idx="13912">
                  <c:v>296380.84384</c:v>
                </c:pt>
                <c:pt idx="13913">
                  <c:v>296608.92368500005</c:v>
                </c:pt>
                <c:pt idx="13914">
                  <c:v>296837.12052</c:v>
                </c:pt>
                <c:pt idx="13915">
                  <c:v>297065.434375</c:v>
                </c:pt>
                <c:pt idx="13916">
                  <c:v>297293.86528</c:v>
                </c:pt>
                <c:pt idx="13917">
                  <c:v>297522.41326500004</c:v>
                </c:pt>
                <c:pt idx="13918">
                  <c:v>297751.07836</c:v>
                </c:pt>
                <c:pt idx="13919">
                  <c:v>297979.86059500003</c:v>
                </c:pt>
                <c:pt idx="13920">
                  <c:v>298208.76</c:v>
                </c:pt>
                <c:pt idx="13921">
                  <c:v>298437.77660499996</c:v>
                </c:pt>
                <c:pt idx="13922">
                  <c:v>298666.91044</c:v>
                </c:pt>
                <c:pt idx="13923">
                  <c:v>298896.161535</c:v>
                </c:pt>
                <c:pt idx="13924">
                  <c:v>299125.52992</c:v>
                </c:pt>
                <c:pt idx="13925">
                  <c:v>299355.015625</c:v>
                </c:pt>
                <c:pt idx="13926">
                  <c:v>299584.61868</c:v>
                </c:pt>
                <c:pt idx="13927">
                  <c:v>299814.33911500004</c:v>
                </c:pt>
                <c:pt idx="13928">
                  <c:v>300044.17696</c:v>
                </c:pt>
                <c:pt idx="13929">
                  <c:v>300274.132245</c:v>
                </c:pt>
                <c:pt idx="13930">
                  <c:v>300504.205</c:v>
                </c:pt>
                <c:pt idx="13931">
                  <c:v>300734.39525500004</c:v>
                </c:pt>
                <c:pt idx="13932">
                  <c:v>300964.70304</c:v>
                </c:pt>
                <c:pt idx="13933">
                  <c:v>301195.128385</c:v>
                </c:pt>
                <c:pt idx="13934">
                  <c:v>301425.67132</c:v>
                </c:pt>
                <c:pt idx="13935">
                  <c:v>301656.331875</c:v>
                </c:pt>
                <c:pt idx="13936">
                  <c:v>301887.11008</c:v>
                </c:pt>
                <c:pt idx="13937">
                  <c:v>302118.00596499996</c:v>
                </c:pt>
                <c:pt idx="13938">
                  <c:v>302349.01956000004</c:v>
                </c:pt>
                <c:pt idx="13939">
                  <c:v>302580.15089499997</c:v>
                </c:pt>
                <c:pt idx="13940">
                  <c:v>302811.4</c:v>
                </c:pt>
                <c:pt idx="13941">
                  <c:v>303042.76690499997</c:v>
                </c:pt>
                <c:pt idx="13942">
                  <c:v>303274.25164000003</c:v>
                </c:pt>
                <c:pt idx="13943">
                  <c:v>303505.854235</c:v>
                </c:pt>
                <c:pt idx="13944">
                  <c:v>303737.57472000003</c:v>
                </c:pt>
                <c:pt idx="13945">
                  <c:v>303969.413125</c:v>
                </c:pt>
                <c:pt idx="13946">
                  <c:v>304201.36948</c:v>
                </c:pt>
                <c:pt idx="13947">
                  <c:v>304433.443815</c:v>
                </c:pt>
                <c:pt idx="13948">
                  <c:v>304665.63616</c:v>
                </c:pt>
                <c:pt idx="13949">
                  <c:v>304897.946545</c:v>
                </c:pt>
                <c:pt idx="13950">
                  <c:v>305130.375</c:v>
                </c:pt>
                <c:pt idx="13951">
                  <c:v>305362.921555</c:v>
                </c:pt>
                <c:pt idx="13952">
                  <c:v>305595.58624000003</c:v>
                </c:pt>
                <c:pt idx="13953">
                  <c:v>305828.369085</c:v>
                </c:pt>
                <c:pt idx="13954">
                  <c:v>306061.27012</c:v>
                </c:pt>
                <c:pt idx="13955">
                  <c:v>306294.289375</c:v>
                </c:pt>
                <c:pt idx="13956">
                  <c:v>306527.42688000004</c:v>
                </c:pt>
                <c:pt idx="13957">
                  <c:v>306760.68266500003</c:v>
                </c:pt>
                <c:pt idx="13958">
                  <c:v>306994.05676</c:v>
                </c:pt>
                <c:pt idx="13959">
                  <c:v>307227.549195</c:v>
                </c:pt>
                <c:pt idx="13960">
                  <c:v>307461.16</c:v>
                </c:pt>
                <c:pt idx="13961">
                  <c:v>307694.889205</c:v>
                </c:pt>
                <c:pt idx="13962">
                  <c:v>307928.73683999997</c:v>
                </c:pt>
                <c:pt idx="13963">
                  <c:v>308162.70293499995</c:v>
                </c:pt>
                <c:pt idx="13964">
                  <c:v>308396.78752</c:v>
                </c:pt>
                <c:pt idx="13965">
                  <c:v>308630.990625</c:v>
                </c:pt>
                <c:pt idx="13966">
                  <c:v>308865.31227999995</c:v>
                </c:pt>
                <c:pt idx="13967">
                  <c:v>309099.752515</c:v>
                </c:pt>
                <c:pt idx="13968">
                  <c:v>309334.31136000005</c:v>
                </c:pt>
                <c:pt idx="13969">
                  <c:v>309568.988845</c:v>
                </c:pt>
                <c:pt idx="13970">
                  <c:v>309803.785</c:v>
                </c:pt>
                <c:pt idx="13971">
                  <c:v>310038.699855</c:v>
                </c:pt>
                <c:pt idx="13972">
                  <c:v>310273.73344000004</c:v>
                </c:pt>
                <c:pt idx="13973">
                  <c:v>310508.88578500005</c:v>
                </c:pt>
                <c:pt idx="13974">
                  <c:v>310744.15692</c:v>
                </c:pt>
                <c:pt idx="13975">
                  <c:v>310979.546875</c:v>
                </c:pt>
                <c:pt idx="13976">
                  <c:v>311215.05568</c:v>
                </c:pt>
                <c:pt idx="13977">
                  <c:v>311450.683365</c:v>
                </c:pt>
                <c:pt idx="13978">
                  <c:v>311686.42996</c:v>
                </c:pt>
                <c:pt idx="13979">
                  <c:v>311922.29549499997</c:v>
                </c:pt>
                <c:pt idx="13980">
                  <c:v>312158.28</c:v>
                </c:pt>
                <c:pt idx="13981">
                  <c:v>312394.38350500003</c:v>
                </c:pt>
                <c:pt idx="13982">
                  <c:v>312630.60604</c:v>
                </c:pt>
                <c:pt idx="13983">
                  <c:v>312866.947635</c:v>
                </c:pt>
                <c:pt idx="13984">
                  <c:v>313103.40832</c:v>
                </c:pt>
                <c:pt idx="13985">
                  <c:v>313339.98812500003</c:v>
                </c:pt>
                <c:pt idx="13986">
                  <c:v>313576.68708</c:v>
                </c:pt>
                <c:pt idx="13987">
                  <c:v>313813.505215</c:v>
                </c:pt>
                <c:pt idx="13988">
                  <c:v>314050.44256</c:v>
                </c:pt>
                <c:pt idx="13989">
                  <c:v>314287.499145</c:v>
                </c:pt>
                <c:pt idx="13990">
                  <c:v>314524.675</c:v>
                </c:pt>
                <c:pt idx="13991">
                  <c:v>314761.970155</c:v>
                </c:pt>
                <c:pt idx="13992">
                  <c:v>314999.38464</c:v>
                </c:pt>
                <c:pt idx="13993">
                  <c:v>315236.91848500003</c:v>
                </c:pt>
                <c:pt idx="13994">
                  <c:v>315474.57172</c:v>
                </c:pt>
                <c:pt idx="13995">
                  <c:v>315712.344375</c:v>
                </c:pt>
                <c:pt idx="13996">
                  <c:v>315950.23647999996</c:v>
                </c:pt>
                <c:pt idx="13997">
                  <c:v>316188.248065</c:v>
                </c:pt>
                <c:pt idx="13998">
                  <c:v>316426.37915999995</c:v>
                </c:pt>
                <c:pt idx="13999">
                  <c:v>316664.629795</c:v>
                </c:pt>
                <c:pt idx="14000">
                  <c:v>316903.0</c:v>
                </c:pt>
                <c:pt idx="14001">
                  <c:v>317141.489805</c:v>
                </c:pt>
                <c:pt idx="14002">
                  <c:v>317380.09924</c:v>
                </c:pt>
                <c:pt idx="14003">
                  <c:v>317618.82833499997</c:v>
                </c:pt>
                <c:pt idx="14004">
                  <c:v>317857.67711999995</c:v>
                </c:pt>
                <c:pt idx="14005">
                  <c:v>318096.645625</c:v>
                </c:pt>
                <c:pt idx="14006">
                  <c:v>318335.73388</c:v>
                </c:pt>
                <c:pt idx="14007">
                  <c:v>318574.94191500003</c:v>
                </c:pt>
                <c:pt idx="14008">
                  <c:v>318814.26976</c:v>
                </c:pt>
                <c:pt idx="14009">
                  <c:v>319053.717445</c:v>
                </c:pt>
                <c:pt idx="14010">
                  <c:v>319293.285</c:v>
                </c:pt>
                <c:pt idx="14011">
                  <c:v>319532.97245500004</c:v>
                </c:pt>
                <c:pt idx="14012">
                  <c:v>319772.77984000003</c:v>
                </c:pt>
                <c:pt idx="14013">
                  <c:v>320012.70718500006</c:v>
                </c:pt>
                <c:pt idx="14014">
                  <c:v>320252.75451999996</c:v>
                </c:pt>
                <c:pt idx="14015">
                  <c:v>320492.921875</c:v>
                </c:pt>
                <c:pt idx="14016">
                  <c:v>320733.20927999995</c:v>
                </c:pt>
                <c:pt idx="14017">
                  <c:v>320973.61676500004</c:v>
                </c:pt>
                <c:pt idx="14018">
                  <c:v>321214.14436000003</c:v>
                </c:pt>
                <c:pt idx="14019">
                  <c:v>321454.79209500004</c:v>
                </c:pt>
                <c:pt idx="14020">
                  <c:v>321695.56</c:v>
                </c:pt>
                <c:pt idx="14021">
                  <c:v>321936.448105</c:v>
                </c:pt>
                <c:pt idx="14022">
                  <c:v>322177.45644000004</c:v>
                </c:pt>
                <c:pt idx="14023">
                  <c:v>322418.585035</c:v>
                </c:pt>
                <c:pt idx="14024">
                  <c:v>322659.83392</c:v>
                </c:pt>
                <c:pt idx="14025">
                  <c:v>322901.203125</c:v>
                </c:pt>
                <c:pt idx="14026">
                  <c:v>323142.69268</c:v>
                </c:pt>
                <c:pt idx="14027">
                  <c:v>323384.30261500005</c:v>
                </c:pt>
                <c:pt idx="14028">
                  <c:v>323626.03296</c:v>
                </c:pt>
                <c:pt idx="14029">
                  <c:v>323867.88374499994</c:v>
                </c:pt>
                <c:pt idx="14030">
                  <c:v>324109.855</c:v>
                </c:pt>
                <c:pt idx="14031">
                  <c:v>324351.946755</c:v>
                </c:pt>
                <c:pt idx="14032">
                  <c:v>324594.15904000006</c:v>
                </c:pt>
                <c:pt idx="14033">
                  <c:v>324836.49188499997</c:v>
                </c:pt>
                <c:pt idx="14034">
                  <c:v>325078.94532</c:v>
                </c:pt>
                <c:pt idx="14035">
                  <c:v>325321.51937500003</c:v>
                </c:pt>
                <c:pt idx="14036">
                  <c:v>325564.21408</c:v>
                </c:pt>
                <c:pt idx="14037">
                  <c:v>325807.029465</c:v>
                </c:pt>
                <c:pt idx="14038">
                  <c:v>326049.96556</c:v>
                </c:pt>
                <c:pt idx="14039">
                  <c:v>326293.022395</c:v>
                </c:pt>
                <c:pt idx="14040">
                  <c:v>326536.2</c:v>
                </c:pt>
                <c:pt idx="14041">
                  <c:v>326779.498405</c:v>
                </c:pt>
                <c:pt idx="14042">
                  <c:v>327022.91764</c:v>
                </c:pt>
                <c:pt idx="14043">
                  <c:v>327266.457735</c:v>
                </c:pt>
                <c:pt idx="14044">
                  <c:v>327510.11871999997</c:v>
                </c:pt>
                <c:pt idx="14045">
                  <c:v>327753.900625</c:v>
                </c:pt>
                <c:pt idx="14046">
                  <c:v>327997.80348</c:v>
                </c:pt>
                <c:pt idx="14047">
                  <c:v>328241.827315</c:v>
                </c:pt>
                <c:pt idx="14048">
                  <c:v>328485.97215999995</c:v>
                </c:pt>
                <c:pt idx="14049">
                  <c:v>328730.238045</c:v>
                </c:pt>
                <c:pt idx="14050">
                  <c:v>328974.625</c:v>
                </c:pt>
                <c:pt idx="14051">
                  <c:v>329219.13305500004</c:v>
                </c:pt>
                <c:pt idx="14052">
                  <c:v>329463.76224000007</c:v>
                </c:pt>
                <c:pt idx="14053">
                  <c:v>329708.512585</c:v>
                </c:pt>
                <c:pt idx="14054">
                  <c:v>329953.38412</c:v>
                </c:pt>
                <c:pt idx="14055">
                  <c:v>330198.376875</c:v>
                </c:pt>
                <c:pt idx="14056">
                  <c:v>330443.49087999994</c:v>
                </c:pt>
                <c:pt idx="14057">
                  <c:v>330688.726165</c:v>
                </c:pt>
                <c:pt idx="14058">
                  <c:v>330934.08276</c:v>
                </c:pt>
                <c:pt idx="14059">
                  <c:v>331179.560695</c:v>
                </c:pt>
                <c:pt idx="14060">
                  <c:v>331425.16</c:v>
                </c:pt>
                <c:pt idx="14061">
                  <c:v>331670.880705</c:v>
                </c:pt>
                <c:pt idx="14062">
                  <c:v>331916.72284</c:v>
                </c:pt>
                <c:pt idx="14063">
                  <c:v>332162.686435</c:v>
                </c:pt>
                <c:pt idx="14064">
                  <c:v>332408.77152000007</c:v>
                </c:pt>
                <c:pt idx="14065">
                  <c:v>332654.978125</c:v>
                </c:pt>
                <c:pt idx="14066">
                  <c:v>332901.30628</c:v>
                </c:pt>
                <c:pt idx="14067">
                  <c:v>333147.756015</c:v>
                </c:pt>
                <c:pt idx="14068">
                  <c:v>333394.32736</c:v>
                </c:pt>
                <c:pt idx="14069">
                  <c:v>333641.02034499997</c:v>
                </c:pt>
                <c:pt idx="14070">
                  <c:v>333887.835</c:v>
                </c:pt>
                <c:pt idx="14071">
                  <c:v>334134.771355</c:v>
                </c:pt>
                <c:pt idx="14072">
                  <c:v>334381.82944</c:v>
                </c:pt>
                <c:pt idx="14073">
                  <c:v>334629.00928500004</c:v>
                </c:pt>
                <c:pt idx="14074">
                  <c:v>334876.31092</c:v>
                </c:pt>
                <c:pt idx="14075">
                  <c:v>335123.734375</c:v>
                </c:pt>
                <c:pt idx="14076">
                  <c:v>335371.27968</c:v>
                </c:pt>
                <c:pt idx="14077">
                  <c:v>335618.946865</c:v>
                </c:pt>
                <c:pt idx="14078">
                  <c:v>335866.73595999996</c:v>
                </c:pt>
                <c:pt idx="14079">
                  <c:v>336114.646995</c:v>
                </c:pt>
                <c:pt idx="14080">
                  <c:v>336362.68</c:v>
                </c:pt>
                <c:pt idx="14081">
                  <c:v>336610.835005</c:v>
                </c:pt>
                <c:pt idx="14082">
                  <c:v>336859.11204</c:v>
                </c:pt>
                <c:pt idx="14083">
                  <c:v>337107.51113500004</c:v>
                </c:pt>
                <c:pt idx="14084">
                  <c:v>337356.03232</c:v>
                </c:pt>
                <c:pt idx="14085">
                  <c:v>337604.675625</c:v>
                </c:pt>
                <c:pt idx="14086">
                  <c:v>337853.44107999996</c:v>
                </c:pt>
                <c:pt idx="14087">
                  <c:v>338102.328715</c:v>
                </c:pt>
                <c:pt idx="14088">
                  <c:v>338351.33856</c:v>
                </c:pt>
                <c:pt idx="14089">
                  <c:v>338600.470645</c:v>
                </c:pt>
                <c:pt idx="14090">
                  <c:v>338849.725</c:v>
                </c:pt>
                <c:pt idx="14091">
                  <c:v>339099.101655</c:v>
                </c:pt>
                <c:pt idx="14092">
                  <c:v>339348.60064</c:v>
                </c:pt>
                <c:pt idx="14093">
                  <c:v>339598.221985</c:v>
                </c:pt>
                <c:pt idx="14094">
                  <c:v>339847.96572</c:v>
                </c:pt>
                <c:pt idx="14095">
                  <c:v>340097.831875</c:v>
                </c:pt>
                <c:pt idx="14096">
                  <c:v>340347.82048</c:v>
                </c:pt>
                <c:pt idx="14097">
                  <c:v>340597.931565</c:v>
                </c:pt>
                <c:pt idx="14098">
                  <c:v>340848.16516</c:v>
                </c:pt>
                <c:pt idx="14099">
                  <c:v>341098.52129500004</c:v>
                </c:pt>
                <c:pt idx="14100">
                  <c:v>341349.0</c:v>
                </c:pt>
                <c:pt idx="14101">
                  <c:v>341599.601305</c:v>
                </c:pt>
                <c:pt idx="14102">
                  <c:v>341850.32524000003</c:v>
                </c:pt>
                <c:pt idx="14103">
                  <c:v>342101.171835</c:v>
                </c:pt>
                <c:pt idx="14104">
                  <c:v>342352.14112</c:v>
                </c:pt>
                <c:pt idx="14105">
                  <c:v>342603.233125</c:v>
                </c:pt>
                <c:pt idx="14106">
                  <c:v>342854.44788</c:v>
                </c:pt>
                <c:pt idx="14107">
                  <c:v>343105.785415</c:v>
                </c:pt>
                <c:pt idx="14108">
                  <c:v>343357.24576</c:v>
                </c:pt>
                <c:pt idx="14109">
                  <c:v>343608.828945</c:v>
                </c:pt>
                <c:pt idx="14110">
                  <c:v>343860.53500000003</c:v>
                </c:pt>
                <c:pt idx="14111">
                  <c:v>344112.363955</c:v>
                </c:pt>
                <c:pt idx="14112">
                  <c:v>344364.31584</c:v>
                </c:pt>
                <c:pt idx="14113">
                  <c:v>344616.390685</c:v>
                </c:pt>
                <c:pt idx="14114">
                  <c:v>344868.58852</c:v>
                </c:pt>
                <c:pt idx="14115">
                  <c:v>345120.909375</c:v>
                </c:pt>
                <c:pt idx="14116">
                  <c:v>345373.35328</c:v>
                </c:pt>
                <c:pt idx="14117">
                  <c:v>345625.920265</c:v>
                </c:pt>
                <c:pt idx="14118">
                  <c:v>345878.61036</c:v>
                </c:pt>
                <c:pt idx="14119">
                  <c:v>346131.423595</c:v>
                </c:pt>
                <c:pt idx="14120">
                  <c:v>346384.36</c:v>
                </c:pt>
                <c:pt idx="14121">
                  <c:v>346637.419605</c:v>
                </c:pt>
                <c:pt idx="14122">
                  <c:v>346890.60244000005</c:v>
                </c:pt>
                <c:pt idx="14123">
                  <c:v>347143.908535</c:v>
                </c:pt>
                <c:pt idx="14124">
                  <c:v>347397.33792</c:v>
                </c:pt>
                <c:pt idx="14125">
                  <c:v>347650.890625</c:v>
                </c:pt>
                <c:pt idx="14126">
                  <c:v>347904.56668</c:v>
                </c:pt>
                <c:pt idx="14127">
                  <c:v>348158.366115</c:v>
                </c:pt>
                <c:pt idx="14128">
                  <c:v>348412.28896</c:v>
                </c:pt>
                <c:pt idx="14129">
                  <c:v>348666.335245</c:v>
                </c:pt>
                <c:pt idx="14130">
                  <c:v>348920.505</c:v>
                </c:pt>
                <c:pt idx="14131">
                  <c:v>349174.79825500003</c:v>
                </c:pt>
                <c:pt idx="14132">
                  <c:v>349429.21504</c:v>
                </c:pt>
                <c:pt idx="14133">
                  <c:v>349683.75538499997</c:v>
                </c:pt>
                <c:pt idx="14134">
                  <c:v>349938.41932000004</c:v>
                </c:pt>
                <c:pt idx="14135">
                  <c:v>350193.206875</c:v>
                </c:pt>
                <c:pt idx="14136">
                  <c:v>350448.11808</c:v>
                </c:pt>
                <c:pt idx="14137">
                  <c:v>350703.152965</c:v>
                </c:pt>
                <c:pt idx="14138">
                  <c:v>350958.31156</c:v>
                </c:pt>
                <c:pt idx="14139">
                  <c:v>351213.59389500006</c:v>
                </c:pt>
                <c:pt idx="14140">
                  <c:v>351469.0</c:v>
                </c:pt>
                <c:pt idx="14141">
                  <c:v>351724.529905</c:v>
                </c:pt>
                <c:pt idx="14142">
                  <c:v>351980.18364</c:v>
                </c:pt>
                <c:pt idx="14143">
                  <c:v>352235.96123500005</c:v>
                </c:pt>
                <c:pt idx="14144">
                  <c:v>352491.86272</c:v>
                </c:pt>
                <c:pt idx="14145">
                  <c:v>352747.888125</c:v>
                </c:pt>
                <c:pt idx="14146">
                  <c:v>353004.03748000006</c:v>
                </c:pt>
                <c:pt idx="14147">
                  <c:v>353260.310815</c:v>
                </c:pt>
                <c:pt idx="14148">
                  <c:v>353516.70816000004</c:v>
                </c:pt>
                <c:pt idx="14149">
                  <c:v>353773.229545</c:v>
                </c:pt>
                <c:pt idx="14150">
                  <c:v>354029.875</c:v>
                </c:pt>
                <c:pt idx="14151">
                  <c:v>354286.64455499995</c:v>
                </c:pt>
                <c:pt idx="14152">
                  <c:v>354543.53824</c:v>
                </c:pt>
                <c:pt idx="14153">
                  <c:v>354800.556085</c:v>
                </c:pt>
                <c:pt idx="14154">
                  <c:v>355057.69812</c:v>
                </c:pt>
                <c:pt idx="14155">
                  <c:v>355314.964375</c:v>
                </c:pt>
                <c:pt idx="14156">
                  <c:v>355572.35488</c:v>
                </c:pt>
                <c:pt idx="14157">
                  <c:v>355829.869665</c:v>
                </c:pt>
                <c:pt idx="14158">
                  <c:v>356087.50876</c:v>
                </c:pt>
                <c:pt idx="14159">
                  <c:v>356345.272195</c:v>
                </c:pt>
                <c:pt idx="14160">
                  <c:v>356603.16000000003</c:v>
                </c:pt>
                <c:pt idx="14161">
                  <c:v>356861.172205</c:v>
                </c:pt>
                <c:pt idx="14162">
                  <c:v>357119.30884</c:v>
                </c:pt>
                <c:pt idx="14163">
                  <c:v>357377.56993500004</c:v>
                </c:pt>
                <c:pt idx="14164">
                  <c:v>357635.95551999996</c:v>
                </c:pt>
                <c:pt idx="14165">
                  <c:v>357894.465625</c:v>
                </c:pt>
                <c:pt idx="14166">
                  <c:v>358153.10028</c:v>
                </c:pt>
                <c:pt idx="14167">
                  <c:v>358411.85951499996</c:v>
                </c:pt>
                <c:pt idx="14168">
                  <c:v>358670.74336</c:v>
                </c:pt>
                <c:pt idx="14169">
                  <c:v>358929.751845</c:v>
                </c:pt>
                <c:pt idx="14170">
                  <c:v>359188.885</c:v>
                </c:pt>
                <c:pt idx="14171">
                  <c:v>359448.142855</c:v>
                </c:pt>
                <c:pt idx="14172">
                  <c:v>359707.52543999994</c:v>
                </c:pt>
                <c:pt idx="14173">
                  <c:v>359967.032785</c:v>
                </c:pt>
                <c:pt idx="14174">
                  <c:v>360226.66492</c:v>
                </c:pt>
                <c:pt idx="14175">
                  <c:v>360486.421875</c:v>
                </c:pt>
                <c:pt idx="14176">
                  <c:v>360746.30367999995</c:v>
                </c:pt>
                <c:pt idx="14177">
                  <c:v>361006.31036500004</c:v>
                </c:pt>
                <c:pt idx="14178">
                  <c:v>361266.44195999997</c:v>
                </c:pt>
                <c:pt idx="14179">
                  <c:v>361526.698495</c:v>
                </c:pt>
                <c:pt idx="14180">
                  <c:v>361787.08</c:v>
                </c:pt>
                <c:pt idx="14181">
                  <c:v>362047.586505</c:v>
                </c:pt>
                <c:pt idx="14182">
                  <c:v>362308.21803999995</c:v>
                </c:pt>
                <c:pt idx="14183">
                  <c:v>362568.974635</c:v>
                </c:pt>
                <c:pt idx="14184">
                  <c:v>362829.85632</c:v>
                </c:pt>
                <c:pt idx="14185">
                  <c:v>363090.863125</c:v>
                </c:pt>
                <c:pt idx="14186">
                  <c:v>363351.99507999996</c:v>
                </c:pt>
                <c:pt idx="14187">
                  <c:v>363613.252215</c:v>
                </c:pt>
                <c:pt idx="14188">
                  <c:v>363874.63456000003</c:v>
                </c:pt>
                <c:pt idx="14189">
                  <c:v>364136.142145</c:v>
                </c:pt>
                <c:pt idx="14190">
                  <c:v>364397.775</c:v>
                </c:pt>
                <c:pt idx="14191">
                  <c:v>364659.53315499995</c:v>
                </c:pt>
                <c:pt idx="14192">
                  <c:v>364921.41664</c:v>
                </c:pt>
                <c:pt idx="14193">
                  <c:v>365183.425485</c:v>
                </c:pt>
                <c:pt idx="14194">
                  <c:v>365445.55971999996</c:v>
                </c:pt>
                <c:pt idx="14195">
                  <c:v>365707.819375</c:v>
                </c:pt>
                <c:pt idx="14196">
                  <c:v>365970.20447999996</c:v>
                </c:pt>
                <c:pt idx="14197">
                  <c:v>366232.715065</c:v>
                </c:pt>
                <c:pt idx="14198">
                  <c:v>366495.35115999996</c:v>
                </c:pt>
                <c:pt idx="14199">
                  <c:v>366758.11279499996</c:v>
                </c:pt>
                <c:pt idx="14200">
                  <c:v>367021.0</c:v>
                </c:pt>
                <c:pt idx="14201">
                  <c:v>367284.012805</c:v>
                </c:pt>
                <c:pt idx="14202">
                  <c:v>367547.15124</c:v>
                </c:pt>
                <c:pt idx="14203">
                  <c:v>367810.415335</c:v>
                </c:pt>
                <c:pt idx="14204">
                  <c:v>368073.80512</c:v>
                </c:pt>
                <c:pt idx="14205">
                  <c:v>368337.320625</c:v>
                </c:pt>
                <c:pt idx="14206">
                  <c:v>368600.96188</c:v>
                </c:pt>
                <c:pt idx="14207">
                  <c:v>368864.728915</c:v>
                </c:pt>
                <c:pt idx="14208">
                  <c:v>369128.62175999995</c:v>
                </c:pt>
                <c:pt idx="14209">
                  <c:v>369392.64044499997</c:v>
                </c:pt>
                <c:pt idx="14210">
                  <c:v>369656.785</c:v>
                </c:pt>
                <c:pt idx="14211">
                  <c:v>369921.055455</c:v>
                </c:pt>
                <c:pt idx="14212">
                  <c:v>370185.45184</c:v>
                </c:pt>
                <c:pt idx="14213">
                  <c:v>370449.974185</c:v>
                </c:pt>
                <c:pt idx="14214">
                  <c:v>370714.62252000003</c:v>
                </c:pt>
                <c:pt idx="14215">
                  <c:v>370979.396875</c:v>
                </c:pt>
                <c:pt idx="14216">
                  <c:v>371244.29728</c:v>
                </c:pt>
                <c:pt idx="14217">
                  <c:v>371509.323765</c:v>
                </c:pt>
                <c:pt idx="14218">
                  <c:v>371774.47636000003</c:v>
                </c:pt>
                <c:pt idx="14219">
                  <c:v>372039.755095</c:v>
                </c:pt>
                <c:pt idx="14220">
                  <c:v>372305.16</c:v>
                </c:pt>
                <c:pt idx="14221">
                  <c:v>372570.691105</c:v>
                </c:pt>
                <c:pt idx="14222">
                  <c:v>372836.34844000003</c:v>
                </c:pt>
                <c:pt idx="14223">
                  <c:v>373102.132035</c:v>
                </c:pt>
                <c:pt idx="14224">
                  <c:v>373368.04192000005</c:v>
                </c:pt>
                <c:pt idx="14225">
                  <c:v>373634.078125</c:v>
                </c:pt>
                <c:pt idx="14226">
                  <c:v>373900.24068</c:v>
                </c:pt>
                <c:pt idx="14227">
                  <c:v>374166.529615</c:v>
                </c:pt>
                <c:pt idx="14228">
                  <c:v>374432.94496</c:v>
                </c:pt>
                <c:pt idx="14229">
                  <c:v>374699.486745</c:v>
                </c:pt>
                <c:pt idx="14230">
                  <c:v>374966.155</c:v>
                </c:pt>
                <c:pt idx="14231">
                  <c:v>375232.949755</c:v>
                </c:pt>
                <c:pt idx="14232">
                  <c:v>375499.87104</c:v>
                </c:pt>
                <c:pt idx="14233">
                  <c:v>375766.918885</c:v>
                </c:pt>
                <c:pt idx="14234">
                  <c:v>376034.09332000004</c:v>
                </c:pt>
                <c:pt idx="14235">
                  <c:v>376301.39437500003</c:v>
                </c:pt>
                <c:pt idx="14236">
                  <c:v>376568.82208</c:v>
                </c:pt>
                <c:pt idx="14237">
                  <c:v>376836.376465</c:v>
                </c:pt>
                <c:pt idx="14238">
                  <c:v>377104.05756000004</c:v>
                </c:pt>
                <c:pt idx="14239">
                  <c:v>377371.86539500003</c:v>
                </c:pt>
                <c:pt idx="14240">
                  <c:v>377639.8</c:v>
                </c:pt>
                <c:pt idx="14241">
                  <c:v>377907.861405</c:v>
                </c:pt>
                <c:pt idx="14242">
                  <c:v>378176.04964</c:v>
                </c:pt>
                <c:pt idx="14243">
                  <c:v>378444.364735</c:v>
                </c:pt>
                <c:pt idx="14244">
                  <c:v>378712.80672</c:v>
                </c:pt>
                <c:pt idx="14245">
                  <c:v>378981.375625</c:v>
                </c:pt>
                <c:pt idx="14246">
                  <c:v>379250.07148</c:v>
                </c:pt>
                <c:pt idx="14247">
                  <c:v>379518.894315</c:v>
                </c:pt>
                <c:pt idx="14248">
                  <c:v>379787.84416</c:v>
                </c:pt>
                <c:pt idx="14249">
                  <c:v>380056.921045</c:v>
                </c:pt>
                <c:pt idx="14250">
                  <c:v>380326.125</c:v>
                </c:pt>
                <c:pt idx="14251">
                  <c:v>380595.456055</c:v>
                </c:pt>
                <c:pt idx="14252">
                  <c:v>380864.91424</c:v>
                </c:pt>
                <c:pt idx="14253">
                  <c:v>381134.499585</c:v>
                </c:pt>
                <c:pt idx="14254">
                  <c:v>381404.21212</c:v>
                </c:pt>
                <c:pt idx="14255">
                  <c:v>381674.051875</c:v>
                </c:pt>
                <c:pt idx="14256">
                  <c:v>381944.01888</c:v>
                </c:pt>
                <c:pt idx="14257">
                  <c:v>382214.113165</c:v>
                </c:pt>
                <c:pt idx="14258">
                  <c:v>382484.33476</c:v>
                </c:pt>
                <c:pt idx="14259">
                  <c:v>382754.6836950001</c:v>
                </c:pt>
                <c:pt idx="14260">
                  <c:v>383025.16</c:v>
                </c:pt>
                <c:pt idx="14261">
                  <c:v>383295.763705</c:v>
                </c:pt>
                <c:pt idx="14262">
                  <c:v>383566.49484</c:v>
                </c:pt>
                <c:pt idx="14263">
                  <c:v>383837.35343500006</c:v>
                </c:pt>
                <c:pt idx="14264">
                  <c:v>384108.33952000004</c:v>
                </c:pt>
                <c:pt idx="14265">
                  <c:v>384379.45312499994</c:v>
                </c:pt>
                <c:pt idx="14266">
                  <c:v>384650.69428</c:v>
                </c:pt>
                <c:pt idx="14267">
                  <c:v>384922.063015</c:v>
                </c:pt>
                <c:pt idx="14268">
                  <c:v>385193.55936</c:v>
                </c:pt>
                <c:pt idx="14269">
                  <c:v>385465.18334499997</c:v>
                </c:pt>
                <c:pt idx="14270">
                  <c:v>385736.935</c:v>
                </c:pt>
                <c:pt idx="14271">
                  <c:v>386008.81435500004</c:v>
                </c:pt>
                <c:pt idx="14272">
                  <c:v>386280.82144</c:v>
                </c:pt>
                <c:pt idx="14273">
                  <c:v>386552.956285</c:v>
                </c:pt>
                <c:pt idx="14274">
                  <c:v>386825.21892</c:v>
                </c:pt>
                <c:pt idx="14275">
                  <c:v>387097.609375</c:v>
                </c:pt>
                <c:pt idx="14276">
                  <c:v>387370.12768</c:v>
                </c:pt>
                <c:pt idx="14277">
                  <c:v>387642.77386500005</c:v>
                </c:pt>
                <c:pt idx="14278">
                  <c:v>387915.54796</c:v>
                </c:pt>
                <c:pt idx="14279">
                  <c:v>388188.44999500003</c:v>
                </c:pt>
                <c:pt idx="14280">
                  <c:v>388461.48</c:v>
                </c:pt>
                <c:pt idx="14281">
                  <c:v>388734.638005</c:v>
                </c:pt>
                <c:pt idx="14282">
                  <c:v>389007.92404</c:v>
                </c:pt>
                <c:pt idx="14283">
                  <c:v>389281.338135</c:v>
                </c:pt>
                <c:pt idx="14284">
                  <c:v>389554.88032</c:v>
                </c:pt>
                <c:pt idx="14285">
                  <c:v>389828.55062500003</c:v>
                </c:pt>
                <c:pt idx="14286">
                  <c:v>390102.34907999996</c:v>
                </c:pt>
                <c:pt idx="14287">
                  <c:v>390376.275715</c:v>
                </c:pt>
                <c:pt idx="14288">
                  <c:v>390650.33056</c:v>
                </c:pt>
                <c:pt idx="14289">
                  <c:v>390924.513645</c:v>
                </c:pt>
                <c:pt idx="14290">
                  <c:v>391198.825</c:v>
                </c:pt>
                <c:pt idx="14291">
                  <c:v>391473.264655</c:v>
                </c:pt>
                <c:pt idx="14292">
                  <c:v>391747.83264000004</c:v>
                </c:pt>
                <c:pt idx="14293">
                  <c:v>392022.528985</c:v>
                </c:pt>
                <c:pt idx="14294">
                  <c:v>392297.35372</c:v>
                </c:pt>
                <c:pt idx="14295">
                  <c:v>392572.306875</c:v>
                </c:pt>
                <c:pt idx="14296">
                  <c:v>392847.38848</c:v>
                </c:pt>
                <c:pt idx="14297">
                  <c:v>393122.598565</c:v>
                </c:pt>
                <c:pt idx="14298">
                  <c:v>393397.93716000003</c:v>
                </c:pt>
                <c:pt idx="14299">
                  <c:v>393673.404295</c:v>
                </c:pt>
                <c:pt idx="14300">
                  <c:v>393949.0</c:v>
                </c:pt>
                <c:pt idx="14301">
                  <c:v>394224.724305</c:v>
                </c:pt>
                <c:pt idx="14302">
                  <c:v>394500.57724</c:v>
                </c:pt>
                <c:pt idx="14303">
                  <c:v>394776.558835</c:v>
                </c:pt>
                <c:pt idx="14304">
                  <c:v>395052.66912000004</c:v>
                </c:pt>
                <c:pt idx="14305">
                  <c:v>395328.908125</c:v>
                </c:pt>
                <c:pt idx="14306">
                  <c:v>395605.27588</c:v>
                </c:pt>
                <c:pt idx="14307">
                  <c:v>395881.772415</c:v>
                </c:pt>
                <c:pt idx="14308">
                  <c:v>396158.39776</c:v>
                </c:pt>
                <c:pt idx="14309">
                  <c:v>396435.151945</c:v>
                </c:pt>
                <c:pt idx="14310">
                  <c:v>396712.035</c:v>
                </c:pt>
                <c:pt idx="14311">
                  <c:v>396989.04695499997</c:v>
                </c:pt>
                <c:pt idx="14312">
                  <c:v>397266.18784</c:v>
                </c:pt>
                <c:pt idx="14313">
                  <c:v>397543.457685</c:v>
                </c:pt>
                <c:pt idx="14314">
                  <c:v>397820.85652000003</c:v>
                </c:pt>
                <c:pt idx="14315">
                  <c:v>398098.384375</c:v>
                </c:pt>
                <c:pt idx="14316">
                  <c:v>398376.04128</c:v>
                </c:pt>
                <c:pt idx="14317">
                  <c:v>398653.82726499997</c:v>
                </c:pt>
                <c:pt idx="14318">
                  <c:v>398931.74236</c:v>
                </c:pt>
                <c:pt idx="14319">
                  <c:v>399209.786595</c:v>
                </c:pt>
                <c:pt idx="14320">
                  <c:v>399487.96</c:v>
                </c:pt>
                <c:pt idx="14321">
                  <c:v>399766.262605</c:v>
                </c:pt>
                <c:pt idx="14322">
                  <c:v>400044.69444</c:v>
                </c:pt>
                <c:pt idx="14323">
                  <c:v>400323.255535</c:v>
                </c:pt>
                <c:pt idx="14324">
                  <c:v>400601.94591999997</c:v>
                </c:pt>
                <c:pt idx="14325">
                  <c:v>400880.765625</c:v>
                </c:pt>
                <c:pt idx="14326">
                  <c:v>401159.71468000003</c:v>
                </c:pt>
                <c:pt idx="14327">
                  <c:v>401438.793115</c:v>
                </c:pt>
                <c:pt idx="14328">
                  <c:v>401718.00096000003</c:v>
                </c:pt>
                <c:pt idx="14329">
                  <c:v>401997.338245</c:v>
                </c:pt>
                <c:pt idx="14330">
                  <c:v>402276.80500000005</c:v>
                </c:pt>
                <c:pt idx="14331">
                  <c:v>402556.40125500003</c:v>
                </c:pt>
                <c:pt idx="14332">
                  <c:v>402836.12704</c:v>
                </c:pt>
                <c:pt idx="14333">
                  <c:v>403115.982385</c:v>
                </c:pt>
                <c:pt idx="14334">
                  <c:v>403395.96732</c:v>
                </c:pt>
                <c:pt idx="14335">
                  <c:v>403676.081875</c:v>
                </c:pt>
                <c:pt idx="14336">
                  <c:v>403956.32608</c:v>
                </c:pt>
                <c:pt idx="14337">
                  <c:v>404236.69996500004</c:v>
                </c:pt>
                <c:pt idx="14338">
                  <c:v>404517.20356000005</c:v>
                </c:pt>
                <c:pt idx="14339">
                  <c:v>404797.836895</c:v>
                </c:pt>
                <c:pt idx="14340">
                  <c:v>405078.6</c:v>
                </c:pt>
                <c:pt idx="14341">
                  <c:v>405359.492905</c:v>
                </c:pt>
                <c:pt idx="14342">
                  <c:v>405640.51564000006</c:v>
                </c:pt>
                <c:pt idx="14343">
                  <c:v>405921.668235</c:v>
                </c:pt>
                <c:pt idx="14344">
                  <c:v>406202.95072</c:v>
                </c:pt>
                <c:pt idx="14345">
                  <c:v>406484.363125</c:v>
                </c:pt>
                <c:pt idx="14346">
                  <c:v>406765.90547999996</c:v>
                </c:pt>
                <c:pt idx="14347">
                  <c:v>407047.577815</c:v>
                </c:pt>
                <c:pt idx="14348">
                  <c:v>407329.38016000006</c:v>
                </c:pt>
                <c:pt idx="14349">
                  <c:v>407611.312545</c:v>
                </c:pt>
                <c:pt idx="14350">
                  <c:v>407893.375</c:v>
                </c:pt>
                <c:pt idx="14351">
                  <c:v>408175.56755499996</c:v>
                </c:pt>
                <c:pt idx="14352">
                  <c:v>408457.89024</c:v>
                </c:pt>
                <c:pt idx="14353">
                  <c:v>408740.343085</c:v>
                </c:pt>
                <c:pt idx="14354">
                  <c:v>409022.92611999996</c:v>
                </c:pt>
                <c:pt idx="14355">
                  <c:v>409305.639375</c:v>
                </c:pt>
                <c:pt idx="14356">
                  <c:v>409588.48287999997</c:v>
                </c:pt>
                <c:pt idx="14357">
                  <c:v>409871.456665</c:v>
                </c:pt>
                <c:pt idx="14358">
                  <c:v>410154.56076</c:v>
                </c:pt>
                <c:pt idx="14359">
                  <c:v>410437.79519499996</c:v>
                </c:pt>
                <c:pt idx="14360">
                  <c:v>410721.16000000003</c:v>
                </c:pt>
                <c:pt idx="14361">
                  <c:v>411004.655205</c:v>
                </c:pt>
                <c:pt idx="14362">
                  <c:v>411288.28083999996</c:v>
                </c:pt>
                <c:pt idx="14363">
                  <c:v>411572.036935</c:v>
                </c:pt>
                <c:pt idx="14364">
                  <c:v>411855.92352000007</c:v>
                </c:pt>
                <c:pt idx="14365">
                  <c:v>412139.940625</c:v>
                </c:pt>
                <c:pt idx="14366">
                  <c:v>412424.08828</c:v>
                </c:pt>
                <c:pt idx="14367">
                  <c:v>412708.366515</c:v>
                </c:pt>
                <c:pt idx="14368">
                  <c:v>412992.77535999997</c:v>
                </c:pt>
                <c:pt idx="14369">
                  <c:v>413277.314845</c:v>
                </c:pt>
                <c:pt idx="14370">
                  <c:v>413561.985</c:v>
                </c:pt>
                <c:pt idx="14371">
                  <c:v>413846.785855</c:v>
                </c:pt>
                <c:pt idx="14372">
                  <c:v>414131.71744</c:v>
                </c:pt>
                <c:pt idx="14373">
                  <c:v>414416.779785</c:v>
                </c:pt>
                <c:pt idx="14374">
                  <c:v>414701.97292</c:v>
                </c:pt>
                <c:pt idx="14375">
                  <c:v>414987.296875</c:v>
                </c:pt>
                <c:pt idx="14376">
                  <c:v>415272.75168</c:v>
                </c:pt>
                <c:pt idx="14377">
                  <c:v>415558.337365</c:v>
                </c:pt>
                <c:pt idx="14378">
                  <c:v>415844.05396</c:v>
                </c:pt>
                <c:pt idx="14379">
                  <c:v>416129.901495</c:v>
                </c:pt>
                <c:pt idx="14380">
                  <c:v>416415.88</c:v>
                </c:pt>
                <c:pt idx="14381">
                  <c:v>416701.989505</c:v>
                </c:pt>
                <c:pt idx="14382">
                  <c:v>416988.23004</c:v>
                </c:pt>
                <c:pt idx="14383">
                  <c:v>417274.601635</c:v>
                </c:pt>
                <c:pt idx="14384">
                  <c:v>417561.10432</c:v>
                </c:pt>
                <c:pt idx="14385">
                  <c:v>417847.73812500003</c:v>
                </c:pt>
                <c:pt idx="14386">
                  <c:v>418134.50308</c:v>
                </c:pt>
                <c:pt idx="14387">
                  <c:v>418421.399215</c:v>
                </c:pt>
                <c:pt idx="14388">
                  <c:v>418708.42656</c:v>
                </c:pt>
                <c:pt idx="14389">
                  <c:v>418995.585145</c:v>
                </c:pt>
                <c:pt idx="14390">
                  <c:v>419282.875</c:v>
                </c:pt>
                <c:pt idx="14391">
                  <c:v>419570.296155</c:v>
                </c:pt>
                <c:pt idx="14392">
                  <c:v>419857.84864</c:v>
                </c:pt>
                <c:pt idx="14393">
                  <c:v>420145.53248500003</c:v>
                </c:pt>
                <c:pt idx="14394">
                  <c:v>420433.34772</c:v>
                </c:pt>
                <c:pt idx="14395">
                  <c:v>420721.294375</c:v>
                </c:pt>
                <c:pt idx="14396">
                  <c:v>421009.37248</c:v>
                </c:pt>
                <c:pt idx="14397">
                  <c:v>421297.582065</c:v>
                </c:pt>
                <c:pt idx="14398">
                  <c:v>421585.92316</c:v>
                </c:pt>
                <c:pt idx="14399">
                  <c:v>421874.395795</c:v>
                </c:pt>
                <c:pt idx="14400">
                  <c:v>422163.0</c:v>
                </c:pt>
                <c:pt idx="14401">
                  <c:v>422451.735805</c:v>
                </c:pt>
                <c:pt idx="14402">
                  <c:v>422740.60323999997</c:v>
                </c:pt>
                <c:pt idx="14403">
                  <c:v>423029.602335</c:v>
                </c:pt>
                <c:pt idx="14404">
                  <c:v>423318.73312</c:v>
                </c:pt>
                <c:pt idx="14405">
                  <c:v>423607.995625</c:v>
                </c:pt>
                <c:pt idx="14406">
                  <c:v>423897.38988</c:v>
                </c:pt>
                <c:pt idx="14407">
                  <c:v>424186.915915</c:v>
                </c:pt>
                <c:pt idx="14408">
                  <c:v>424476.57376000006</c:v>
                </c:pt>
                <c:pt idx="14409">
                  <c:v>424766.363445</c:v>
                </c:pt>
                <c:pt idx="14410">
                  <c:v>425056.28500000003</c:v>
                </c:pt>
                <c:pt idx="14411">
                  <c:v>425346.338455</c:v>
                </c:pt>
                <c:pt idx="14412">
                  <c:v>425636.52384</c:v>
                </c:pt>
                <c:pt idx="14413">
                  <c:v>425926.841185</c:v>
                </c:pt>
                <c:pt idx="14414">
                  <c:v>426217.29052000004</c:v>
                </c:pt>
                <c:pt idx="14415">
                  <c:v>426507.87187500007</c:v>
                </c:pt>
                <c:pt idx="14416">
                  <c:v>426798.58528</c:v>
                </c:pt>
                <c:pt idx="14417">
                  <c:v>427089.430765</c:v>
                </c:pt>
                <c:pt idx="14418">
                  <c:v>427380.40836</c:v>
                </c:pt>
                <c:pt idx="14419">
                  <c:v>427671.518095</c:v>
                </c:pt>
                <c:pt idx="14420">
                  <c:v>427962.75999999995</c:v>
                </c:pt>
                <c:pt idx="14421">
                  <c:v>428254.134105</c:v>
                </c:pt>
                <c:pt idx="14422">
                  <c:v>428545.64044</c:v>
                </c:pt>
                <c:pt idx="14423">
                  <c:v>428837.27903499996</c:v>
                </c:pt>
                <c:pt idx="14424">
                  <c:v>429129.04991999996</c:v>
                </c:pt>
                <c:pt idx="14425">
                  <c:v>429420.953125</c:v>
                </c:pt>
                <c:pt idx="14426">
                  <c:v>429712.98868</c:v>
                </c:pt>
                <c:pt idx="14427">
                  <c:v>430005.156615</c:v>
                </c:pt>
                <c:pt idx="14428">
                  <c:v>430297.45696</c:v>
                </c:pt>
                <c:pt idx="14429">
                  <c:v>430589.889745</c:v>
                </c:pt>
                <c:pt idx="14430">
                  <c:v>430882.455</c:v>
                </c:pt>
                <c:pt idx="14431">
                  <c:v>431175.152755</c:v>
                </c:pt>
                <c:pt idx="14432">
                  <c:v>431467.98303999996</c:v>
                </c:pt>
                <c:pt idx="14433">
                  <c:v>431760.945885</c:v>
                </c:pt>
                <c:pt idx="14434">
                  <c:v>432054.04132</c:v>
                </c:pt>
                <c:pt idx="14435">
                  <c:v>432347.269375</c:v>
                </c:pt>
                <c:pt idx="14436">
                  <c:v>432640.63008000003</c:v>
                </c:pt>
                <c:pt idx="14437">
                  <c:v>432934.123465</c:v>
                </c:pt>
                <c:pt idx="14438">
                  <c:v>433227.74956</c:v>
                </c:pt>
                <c:pt idx="14439">
                  <c:v>433521.508395</c:v>
                </c:pt>
                <c:pt idx="14440">
                  <c:v>433815.4</c:v>
                </c:pt>
                <c:pt idx="14441">
                  <c:v>434109.424405</c:v>
                </c:pt>
                <c:pt idx="14442">
                  <c:v>434403.58164000005</c:v>
                </c:pt>
                <c:pt idx="14443">
                  <c:v>434697.871735</c:v>
                </c:pt>
                <c:pt idx="14444">
                  <c:v>434992.29472</c:v>
                </c:pt>
                <c:pt idx="14445">
                  <c:v>435286.850625</c:v>
                </c:pt>
                <c:pt idx="14446">
                  <c:v>435581.53948000004</c:v>
                </c:pt>
                <c:pt idx="14447">
                  <c:v>435876.361315</c:v>
                </c:pt>
                <c:pt idx="14448">
                  <c:v>436171.31616</c:v>
                </c:pt>
                <c:pt idx="14449">
                  <c:v>436466.404045</c:v>
                </c:pt>
                <c:pt idx="14450">
                  <c:v>436761.625</c:v>
                </c:pt>
                <c:pt idx="14451">
                  <c:v>437056.979055</c:v>
                </c:pt>
                <c:pt idx="14452">
                  <c:v>437352.46624</c:v>
                </c:pt>
                <c:pt idx="14453">
                  <c:v>437648.086585</c:v>
                </c:pt>
                <c:pt idx="14454">
                  <c:v>437943.84011999995</c:v>
                </c:pt>
                <c:pt idx="14455">
                  <c:v>438239.72687500005</c:v>
                </c:pt>
                <c:pt idx="14456">
                  <c:v>438535.74688</c:v>
                </c:pt>
                <c:pt idx="14457">
                  <c:v>438831.900165</c:v>
                </c:pt>
                <c:pt idx="14458">
                  <c:v>439128.18676</c:v>
                </c:pt>
                <c:pt idx="14459">
                  <c:v>439424.60669499997</c:v>
                </c:pt>
                <c:pt idx="14460">
                  <c:v>439721.16000000003</c:v>
                </c:pt>
                <c:pt idx="14461">
                  <c:v>440017.84670500003</c:v>
                </c:pt>
                <c:pt idx="14462">
                  <c:v>440314.66684</c:v>
                </c:pt>
                <c:pt idx="14463">
                  <c:v>440611.620435</c:v>
                </c:pt>
                <c:pt idx="14464">
                  <c:v>440908.70752</c:v>
                </c:pt>
                <c:pt idx="14465">
                  <c:v>441205.928125</c:v>
                </c:pt>
                <c:pt idx="14466">
                  <c:v>441503.28228</c:v>
                </c:pt>
                <c:pt idx="14467">
                  <c:v>441800.770015</c:v>
                </c:pt>
                <c:pt idx="14468">
                  <c:v>442098.39136</c:v>
                </c:pt>
                <c:pt idx="14469">
                  <c:v>442396.146345</c:v>
                </c:pt>
                <c:pt idx="14470">
                  <c:v>442694.035</c:v>
                </c:pt>
                <c:pt idx="14471">
                  <c:v>442992.057355</c:v>
                </c:pt>
                <c:pt idx="14472">
                  <c:v>443290.21343999996</c:v>
                </c:pt>
                <c:pt idx="14473">
                  <c:v>443588.503285</c:v>
                </c:pt>
                <c:pt idx="14474">
                  <c:v>443886.92692</c:v>
                </c:pt>
                <c:pt idx="14475">
                  <c:v>444185.484375</c:v>
                </c:pt>
                <c:pt idx="14476">
                  <c:v>444484.17568</c:v>
                </c:pt>
                <c:pt idx="14477">
                  <c:v>444783.00086499995</c:v>
                </c:pt>
                <c:pt idx="14478">
                  <c:v>445081.95995999995</c:v>
                </c:pt>
                <c:pt idx="14479">
                  <c:v>445381.052995</c:v>
                </c:pt>
                <c:pt idx="14480">
                  <c:v>445680.28</c:v>
                </c:pt>
                <c:pt idx="14481">
                  <c:v>445979.641005</c:v>
                </c:pt>
                <c:pt idx="14482">
                  <c:v>446279.13604</c:v>
                </c:pt>
                <c:pt idx="14483">
                  <c:v>446578.765135</c:v>
                </c:pt>
                <c:pt idx="14484">
                  <c:v>446878.52832000004</c:v>
                </c:pt>
                <c:pt idx="14485">
                  <c:v>447178.42562500003</c:v>
                </c:pt>
                <c:pt idx="14486">
                  <c:v>447478.45707999996</c:v>
                </c:pt>
                <c:pt idx="14487">
                  <c:v>447778.622715</c:v>
                </c:pt>
                <c:pt idx="14488">
                  <c:v>448078.92256000004</c:v>
                </c:pt>
                <c:pt idx="14489">
                  <c:v>448379.356645</c:v>
                </c:pt>
                <c:pt idx="14490">
                  <c:v>448679.925</c:v>
                </c:pt>
                <c:pt idx="14491">
                  <c:v>448980.627655</c:v>
                </c:pt>
                <c:pt idx="14492">
                  <c:v>449281.46464</c:v>
                </c:pt>
                <c:pt idx="14493">
                  <c:v>449582.435985</c:v>
                </c:pt>
                <c:pt idx="14494">
                  <c:v>449883.54172000004</c:v>
                </c:pt>
                <c:pt idx="14495">
                  <c:v>450184.781875</c:v>
                </c:pt>
                <c:pt idx="14496">
                  <c:v>450486.15648</c:v>
                </c:pt>
                <c:pt idx="14497">
                  <c:v>450787.66556500003</c:v>
                </c:pt>
                <c:pt idx="14498">
                  <c:v>451089.30916000006</c:v>
                </c:pt>
                <c:pt idx="14499">
                  <c:v>451391.08729500003</c:v>
                </c:pt>
                <c:pt idx="14500">
                  <c:v>451693.0</c:v>
                </c:pt>
                <c:pt idx="14501">
                  <c:v>451995.04730499996</c:v>
                </c:pt>
                <c:pt idx="14502">
                  <c:v>452297.22923999996</c:v>
                </c:pt>
                <c:pt idx="14503">
                  <c:v>452599.545835</c:v>
                </c:pt>
                <c:pt idx="14504">
                  <c:v>452901.99712</c:v>
                </c:pt>
                <c:pt idx="14505">
                  <c:v>453204.583125</c:v>
                </c:pt>
                <c:pt idx="14506">
                  <c:v>453507.30388</c:v>
                </c:pt>
                <c:pt idx="14507">
                  <c:v>453810.159415</c:v>
                </c:pt>
                <c:pt idx="14508">
                  <c:v>454113.14976</c:v>
                </c:pt>
                <c:pt idx="14509">
                  <c:v>454416.274945</c:v>
                </c:pt>
                <c:pt idx="14510">
                  <c:v>454719.535</c:v>
                </c:pt>
                <c:pt idx="14511">
                  <c:v>455022.929955</c:v>
                </c:pt>
                <c:pt idx="14512">
                  <c:v>455326.45983999997</c:v>
                </c:pt>
                <c:pt idx="14513">
                  <c:v>455630.12468500005</c:v>
                </c:pt>
                <c:pt idx="14514">
                  <c:v>455933.92452</c:v>
                </c:pt>
                <c:pt idx="14515">
                  <c:v>456237.859375</c:v>
                </c:pt>
                <c:pt idx="14516">
                  <c:v>456541.92928</c:v>
                </c:pt>
                <c:pt idx="14517">
                  <c:v>456846.134265</c:v>
                </c:pt>
                <c:pt idx="14518">
                  <c:v>457150.47436</c:v>
                </c:pt>
                <c:pt idx="14519">
                  <c:v>457454.94959499995</c:v>
                </c:pt>
                <c:pt idx="14520">
                  <c:v>457759.56000000006</c:v>
                </c:pt>
                <c:pt idx="14521">
                  <c:v>458064.305605</c:v>
                </c:pt>
                <c:pt idx="14522">
                  <c:v>458369.18643999996</c:v>
                </c:pt>
                <c:pt idx="14523">
                  <c:v>458674.20253500005</c:v>
                </c:pt>
                <c:pt idx="14524">
                  <c:v>458979.35392</c:v>
                </c:pt>
                <c:pt idx="14525">
                  <c:v>459284.640625</c:v>
                </c:pt>
                <c:pt idx="14526">
                  <c:v>459590.06268</c:v>
                </c:pt>
                <c:pt idx="14527">
                  <c:v>459895.620115</c:v>
                </c:pt>
                <c:pt idx="14528">
                  <c:v>460201.31296</c:v>
                </c:pt>
                <c:pt idx="14529">
                  <c:v>460507.141245</c:v>
                </c:pt>
                <c:pt idx="14530">
                  <c:v>460813.105</c:v>
                </c:pt>
                <c:pt idx="14531">
                  <c:v>461119.204255</c:v>
                </c:pt>
                <c:pt idx="14532">
                  <c:v>461425.43904</c:v>
                </c:pt>
                <c:pt idx="14533">
                  <c:v>461731.80938500003</c:v>
                </c:pt>
                <c:pt idx="14534">
                  <c:v>462038.31532</c:v>
                </c:pt>
                <c:pt idx="14535">
                  <c:v>462344.95687500003</c:v>
                </c:pt>
                <c:pt idx="14536">
                  <c:v>462651.73408</c:v>
                </c:pt>
                <c:pt idx="14537">
                  <c:v>462958.646965</c:v>
                </c:pt>
                <c:pt idx="14538">
                  <c:v>463265.69556</c:v>
                </c:pt>
                <c:pt idx="14539">
                  <c:v>463572.879895</c:v>
                </c:pt>
                <c:pt idx="14540">
                  <c:v>463880.2</c:v>
                </c:pt>
                <c:pt idx="14541">
                  <c:v>464187.655905</c:v>
                </c:pt>
                <c:pt idx="14542">
                  <c:v>464495.24763999996</c:v>
                </c:pt>
                <c:pt idx="14543">
                  <c:v>464802.97523499996</c:v>
                </c:pt>
                <c:pt idx="14544">
                  <c:v>465110.83872</c:v>
                </c:pt>
                <c:pt idx="14545">
                  <c:v>465418.838125</c:v>
                </c:pt>
                <c:pt idx="14546">
                  <c:v>465726.97348000004</c:v>
                </c:pt>
                <c:pt idx="14547">
                  <c:v>466035.244815</c:v>
                </c:pt>
                <c:pt idx="14548">
                  <c:v>466343.65216</c:v>
                </c:pt>
                <c:pt idx="14549">
                  <c:v>466652.195545</c:v>
                </c:pt>
                <c:pt idx="14550">
                  <c:v>466960.875</c:v>
                </c:pt>
                <c:pt idx="14551">
                  <c:v>467269.690555</c:v>
                </c:pt>
                <c:pt idx="14552">
                  <c:v>467578.64224</c:v>
                </c:pt>
                <c:pt idx="14553">
                  <c:v>467887.730085</c:v>
                </c:pt>
                <c:pt idx="14554">
                  <c:v>468196.95412</c:v>
                </c:pt>
                <c:pt idx="14555">
                  <c:v>468506.314375</c:v>
                </c:pt>
                <c:pt idx="14556">
                  <c:v>468815.81087999995</c:v>
                </c:pt>
                <c:pt idx="14557">
                  <c:v>469125.443665</c:v>
                </c:pt>
                <c:pt idx="14558">
                  <c:v>469435.21276</c:v>
                </c:pt>
                <c:pt idx="14559">
                  <c:v>469745.118195</c:v>
                </c:pt>
                <c:pt idx="14560">
                  <c:v>470055.16</c:v>
                </c:pt>
                <c:pt idx="14561">
                  <c:v>470365.338205</c:v>
                </c:pt>
                <c:pt idx="14562">
                  <c:v>470675.65284</c:v>
                </c:pt>
                <c:pt idx="14563">
                  <c:v>470986.103935</c:v>
                </c:pt>
                <c:pt idx="14564">
                  <c:v>471296.69152000005</c:v>
                </c:pt>
                <c:pt idx="14565">
                  <c:v>471607.415625</c:v>
                </c:pt>
                <c:pt idx="14566">
                  <c:v>471918.27628</c:v>
                </c:pt>
                <c:pt idx="14567">
                  <c:v>472229.273515</c:v>
                </c:pt>
                <c:pt idx="14568">
                  <c:v>472540.40735999995</c:v>
                </c:pt>
                <c:pt idx="14569">
                  <c:v>472851.677845</c:v>
                </c:pt>
                <c:pt idx="14570">
                  <c:v>473163.085</c:v>
                </c:pt>
                <c:pt idx="14571">
                  <c:v>473474.628855</c:v>
                </c:pt>
                <c:pt idx="14572">
                  <c:v>473786.30944</c:v>
                </c:pt>
                <c:pt idx="14573">
                  <c:v>474098.126785</c:v>
                </c:pt>
                <c:pt idx="14574">
                  <c:v>474410.08092000004</c:v>
                </c:pt>
                <c:pt idx="14575">
                  <c:v>474722.171875</c:v>
                </c:pt>
                <c:pt idx="14576">
                  <c:v>475034.39968000003</c:v>
                </c:pt>
                <c:pt idx="14577">
                  <c:v>475346.76436499995</c:v>
                </c:pt>
                <c:pt idx="14578">
                  <c:v>475659.26596</c:v>
                </c:pt>
                <c:pt idx="14579">
                  <c:v>475971.904495</c:v>
                </c:pt>
                <c:pt idx="14580">
                  <c:v>476284.68000000005</c:v>
                </c:pt>
                <c:pt idx="14581">
                  <c:v>476597.592505</c:v>
                </c:pt>
                <c:pt idx="14582">
                  <c:v>476910.64204</c:v>
                </c:pt>
                <c:pt idx="14583">
                  <c:v>477223.828635</c:v>
                </c:pt>
                <c:pt idx="14584">
                  <c:v>477537.15232000005</c:v>
                </c:pt>
                <c:pt idx="14585">
                  <c:v>477850.61312500003</c:v>
                </c:pt>
                <c:pt idx="14586">
                  <c:v>478164.21108</c:v>
                </c:pt>
                <c:pt idx="14587">
                  <c:v>478477.94621499995</c:v>
                </c:pt>
                <c:pt idx="14588">
                  <c:v>478791.81856</c:v>
                </c:pt>
                <c:pt idx="14589">
                  <c:v>479105.828145</c:v>
                </c:pt>
                <c:pt idx="14590">
                  <c:v>479419.97500000003</c:v>
                </c:pt>
                <c:pt idx="14591">
                  <c:v>479734.259155</c:v>
                </c:pt>
                <c:pt idx="14592">
                  <c:v>480048.68064</c:v>
                </c:pt>
                <c:pt idx="14593">
                  <c:v>480363.239485</c:v>
                </c:pt>
                <c:pt idx="14594">
                  <c:v>480677.93572</c:v>
                </c:pt>
                <c:pt idx="14595">
                  <c:v>480992.769375</c:v>
                </c:pt>
                <c:pt idx="14596">
                  <c:v>481307.74048000004</c:v>
                </c:pt>
                <c:pt idx="14597">
                  <c:v>481622.849065</c:v>
                </c:pt>
                <c:pt idx="14598">
                  <c:v>481938.09516</c:v>
                </c:pt>
                <c:pt idx="14599">
                  <c:v>482253.478795</c:v>
                </c:pt>
                <c:pt idx="14600">
                  <c:v>482569.0</c:v>
                </c:pt>
                <c:pt idx="14601">
                  <c:v>482884.658805</c:v>
                </c:pt>
                <c:pt idx="14602">
                  <c:v>483200.45524</c:v>
                </c:pt>
                <c:pt idx="14603">
                  <c:v>483516.38933499996</c:v>
                </c:pt>
                <c:pt idx="14604">
                  <c:v>483832.46112</c:v>
                </c:pt>
                <c:pt idx="14605">
                  <c:v>484148.670625</c:v>
                </c:pt>
                <c:pt idx="14606">
                  <c:v>484465.01788</c:v>
                </c:pt>
                <c:pt idx="14607">
                  <c:v>484781.50291499996</c:v>
                </c:pt>
                <c:pt idx="14608">
                  <c:v>485098.12576</c:v>
                </c:pt>
                <c:pt idx="14609">
                  <c:v>485414.886445</c:v>
                </c:pt>
                <c:pt idx="14610">
                  <c:v>485731.78500000003</c:v>
                </c:pt>
                <c:pt idx="14611">
                  <c:v>486048.82145499997</c:v>
                </c:pt>
                <c:pt idx="14612">
                  <c:v>486365.99584000005</c:v>
                </c:pt>
                <c:pt idx="14613">
                  <c:v>486683.308185</c:v>
                </c:pt>
                <c:pt idx="14614">
                  <c:v>487000.75852000003</c:v>
                </c:pt>
                <c:pt idx="14615">
                  <c:v>487318.346875</c:v>
                </c:pt>
                <c:pt idx="14616">
                  <c:v>487636.07327999995</c:v>
                </c:pt>
                <c:pt idx="14617">
                  <c:v>487953.937765</c:v>
                </c:pt>
                <c:pt idx="14618">
                  <c:v>488271.94036</c:v>
                </c:pt>
                <c:pt idx="14619">
                  <c:v>488590.081095</c:v>
                </c:pt>
                <c:pt idx="14620">
                  <c:v>488908.36</c:v>
                </c:pt>
                <c:pt idx="14621">
                  <c:v>489226.77710500004</c:v>
                </c:pt>
                <c:pt idx="14622">
                  <c:v>489545.33243999997</c:v>
                </c:pt>
                <c:pt idx="14623">
                  <c:v>489864.026035</c:v>
                </c:pt>
                <c:pt idx="14624">
                  <c:v>490182.85792</c:v>
                </c:pt>
                <c:pt idx="14625">
                  <c:v>490501.828125</c:v>
                </c:pt>
                <c:pt idx="14626">
                  <c:v>490820.93668</c:v>
                </c:pt>
                <c:pt idx="14627">
                  <c:v>491140.183615</c:v>
                </c:pt>
                <c:pt idx="14628">
                  <c:v>491459.56895999995</c:v>
                </c:pt>
                <c:pt idx="14629">
                  <c:v>491779.092745</c:v>
                </c:pt>
                <c:pt idx="14630">
                  <c:v>492098.755</c:v>
                </c:pt>
                <c:pt idx="14631">
                  <c:v>492418.55575500004</c:v>
                </c:pt>
                <c:pt idx="14632">
                  <c:v>492738.49504</c:v>
                </c:pt>
                <c:pt idx="14633">
                  <c:v>493058.57288500003</c:v>
                </c:pt>
                <c:pt idx="14634">
                  <c:v>493378.78932000004</c:v>
                </c:pt>
                <c:pt idx="14635">
                  <c:v>493699.144375</c:v>
                </c:pt>
                <c:pt idx="14636">
                  <c:v>494019.63808</c:v>
                </c:pt>
                <c:pt idx="14637">
                  <c:v>494340.270465</c:v>
                </c:pt>
                <c:pt idx="14638">
                  <c:v>494661.04156</c:v>
                </c:pt>
                <c:pt idx="14639">
                  <c:v>494981.95139500004</c:v>
                </c:pt>
                <c:pt idx="14640">
                  <c:v>495303.0</c:v>
                </c:pt>
                <c:pt idx="14641">
                  <c:v>495624.187405</c:v>
                </c:pt>
                <c:pt idx="14642">
                  <c:v>495945.51364</c:v>
                </c:pt>
                <c:pt idx="14643">
                  <c:v>496266.97873499995</c:v>
                </c:pt>
                <c:pt idx="14644">
                  <c:v>496588.58271999995</c:v>
                </c:pt>
                <c:pt idx="14645">
                  <c:v>496910.325625</c:v>
                </c:pt>
                <c:pt idx="14646">
                  <c:v>497232.20748</c:v>
                </c:pt>
                <c:pt idx="14647">
                  <c:v>497554.228315</c:v>
                </c:pt>
                <c:pt idx="14648">
                  <c:v>497876.38816</c:v>
                </c:pt>
                <c:pt idx="14649">
                  <c:v>498198.687045</c:v>
                </c:pt>
                <c:pt idx="14650">
                  <c:v>498521.125</c:v>
                </c:pt>
                <c:pt idx="14651">
                  <c:v>498843.702055</c:v>
                </c:pt>
                <c:pt idx="14652">
                  <c:v>499166.41823999997</c:v>
                </c:pt>
                <c:pt idx="14653">
                  <c:v>499489.27358499996</c:v>
                </c:pt>
                <c:pt idx="14654">
                  <c:v>499812.26811999996</c:v>
                </c:pt>
                <c:pt idx="14655">
                  <c:v>500135.401875</c:v>
                </c:pt>
                <c:pt idx="14656">
                  <c:v>500458.67487999995</c:v>
                </c:pt>
                <c:pt idx="14657">
                  <c:v>500782.08716500003</c:v>
                </c:pt>
                <c:pt idx="14658">
                  <c:v>501105.63876</c:v>
                </c:pt>
                <c:pt idx="14659">
                  <c:v>501429.32969499996</c:v>
                </c:pt>
                <c:pt idx="14660">
                  <c:v>501753.16000000003</c:v>
                </c:pt>
                <c:pt idx="14661">
                  <c:v>502077.129705</c:v>
                </c:pt>
                <c:pt idx="14662">
                  <c:v>502401.23884</c:v>
                </c:pt>
                <c:pt idx="14663">
                  <c:v>502725.48743499996</c:v>
                </c:pt>
                <c:pt idx="14664">
                  <c:v>503049.87552</c:v>
                </c:pt>
                <c:pt idx="14665">
                  <c:v>503374.403125</c:v>
                </c:pt>
                <c:pt idx="14666">
                  <c:v>503699.07028</c:v>
                </c:pt>
                <c:pt idx="14667">
                  <c:v>504023.877015</c:v>
                </c:pt>
                <c:pt idx="14668">
                  <c:v>504348.82336</c:v>
                </c:pt>
                <c:pt idx="14669">
                  <c:v>504673.909345</c:v>
                </c:pt>
                <c:pt idx="14670">
                  <c:v>504999.135</c:v>
                </c:pt>
                <c:pt idx="14671">
                  <c:v>505324.500355</c:v>
                </c:pt>
                <c:pt idx="14672">
                  <c:v>505650.00544</c:v>
                </c:pt>
                <c:pt idx="14673">
                  <c:v>505975.650285</c:v>
                </c:pt>
                <c:pt idx="14674">
                  <c:v>506301.43491999997</c:v>
                </c:pt>
                <c:pt idx="14675">
                  <c:v>506627.359375</c:v>
                </c:pt>
                <c:pt idx="14676">
                  <c:v>506953.42368</c:v>
                </c:pt>
                <c:pt idx="14677">
                  <c:v>507279.627865</c:v>
                </c:pt>
                <c:pt idx="14678">
                  <c:v>507605.97196</c:v>
                </c:pt>
                <c:pt idx="14679">
                  <c:v>507932.45599499997</c:v>
                </c:pt>
                <c:pt idx="14680">
                  <c:v>508259.07999999996</c:v>
                </c:pt>
                <c:pt idx="14681">
                  <c:v>508585.84400499996</c:v>
                </c:pt>
                <c:pt idx="14682">
                  <c:v>508912.74804</c:v>
                </c:pt>
                <c:pt idx="14683">
                  <c:v>509239.792135</c:v>
                </c:pt>
                <c:pt idx="14684">
                  <c:v>509566.97632</c:v>
                </c:pt>
                <c:pt idx="14685">
                  <c:v>509894.300625</c:v>
                </c:pt>
                <c:pt idx="14686">
                  <c:v>510221.76508</c:v>
                </c:pt>
                <c:pt idx="14687">
                  <c:v>510549.36971500004</c:v>
                </c:pt>
                <c:pt idx="14688">
                  <c:v>510877.11456</c:v>
                </c:pt>
                <c:pt idx="14689">
                  <c:v>511204.999645</c:v>
                </c:pt>
                <c:pt idx="14690">
                  <c:v>511533.025</c:v>
                </c:pt>
                <c:pt idx="14691">
                  <c:v>511861.190655</c:v>
                </c:pt>
                <c:pt idx="14692">
                  <c:v>512189.49663999997</c:v>
                </c:pt>
                <c:pt idx="14693">
                  <c:v>512517.942985</c:v>
                </c:pt>
                <c:pt idx="14694">
                  <c:v>512846.52972</c:v>
                </c:pt>
                <c:pt idx="14695">
                  <c:v>513175.256875</c:v>
                </c:pt>
                <c:pt idx="14696">
                  <c:v>513504.12448</c:v>
                </c:pt>
                <c:pt idx="14697">
                  <c:v>513833.13256500004</c:v>
                </c:pt>
                <c:pt idx="14698">
                  <c:v>514162.28115999995</c:v>
                </c:pt>
                <c:pt idx="14699">
                  <c:v>514491.57029500004</c:v>
                </c:pt>
                <c:pt idx="14700">
                  <c:v>514821.0</c:v>
                </c:pt>
                <c:pt idx="14701">
                  <c:v>515150.570305</c:v>
                </c:pt>
                <c:pt idx="14702">
                  <c:v>515480.28124</c:v>
                </c:pt>
                <c:pt idx="14703">
                  <c:v>515810.132835</c:v>
                </c:pt>
                <c:pt idx="14704">
                  <c:v>516140.12512000004</c:v>
                </c:pt>
                <c:pt idx="14705">
                  <c:v>516470.258125</c:v>
                </c:pt>
                <c:pt idx="14706">
                  <c:v>516800.53188</c:v>
                </c:pt>
                <c:pt idx="14707">
                  <c:v>517130.946415</c:v>
                </c:pt>
                <c:pt idx="14708">
                  <c:v>517461.50175999996</c:v>
                </c:pt>
                <c:pt idx="14709">
                  <c:v>517792.19794499996</c:v>
                </c:pt>
                <c:pt idx="14710">
                  <c:v>518123.035</c:v>
                </c:pt>
                <c:pt idx="14711">
                  <c:v>518454.012955</c:v>
                </c:pt>
                <c:pt idx="14712">
                  <c:v>518785.13184</c:v>
                </c:pt>
                <c:pt idx="14713">
                  <c:v>519116.391685</c:v>
                </c:pt>
                <c:pt idx="14714">
                  <c:v>519447.79252</c:v>
                </c:pt>
                <c:pt idx="14715">
                  <c:v>519779.334375</c:v>
                </c:pt>
                <c:pt idx="14716">
                  <c:v>520111.01728</c:v>
                </c:pt>
                <c:pt idx="14717">
                  <c:v>520442.841265</c:v>
                </c:pt>
                <c:pt idx="14718">
                  <c:v>520774.80636</c:v>
                </c:pt>
                <c:pt idx="14719">
                  <c:v>521106.912595</c:v>
                </c:pt>
                <c:pt idx="14720">
                  <c:v>521439.16000000003</c:v>
                </c:pt>
                <c:pt idx="14721">
                  <c:v>521771.548605</c:v>
                </c:pt>
                <c:pt idx="14722">
                  <c:v>522104.07844000007</c:v>
                </c:pt>
                <c:pt idx="14723">
                  <c:v>522436.749535</c:v>
                </c:pt>
                <c:pt idx="14724">
                  <c:v>522769.56192</c:v>
                </c:pt>
                <c:pt idx="14725">
                  <c:v>523102.515625</c:v>
                </c:pt>
                <c:pt idx="14726">
                  <c:v>523435.61068</c:v>
                </c:pt>
                <c:pt idx="14727">
                  <c:v>523768.84711499995</c:v>
                </c:pt>
                <c:pt idx="14728">
                  <c:v>524102.22496</c:v>
                </c:pt>
                <c:pt idx="14729">
                  <c:v>524435.744245</c:v>
                </c:pt>
                <c:pt idx="14730">
                  <c:v>524769.405</c:v>
                </c:pt>
                <c:pt idx="14731">
                  <c:v>525103.207255</c:v>
                </c:pt>
                <c:pt idx="14732">
                  <c:v>525437.15104</c:v>
                </c:pt>
                <c:pt idx="14733">
                  <c:v>525771.236385</c:v>
                </c:pt>
                <c:pt idx="14734">
                  <c:v>526105.46332</c:v>
                </c:pt>
                <c:pt idx="14735">
                  <c:v>526439.831875</c:v>
                </c:pt>
                <c:pt idx="14736">
                  <c:v>526774.34208</c:v>
                </c:pt>
                <c:pt idx="14737">
                  <c:v>527108.993965</c:v>
                </c:pt>
                <c:pt idx="14738">
                  <c:v>527443.7875600001</c:v>
                </c:pt>
                <c:pt idx="14739">
                  <c:v>527778.722895</c:v>
                </c:pt>
                <c:pt idx="14740">
                  <c:v>528113.8</c:v>
                </c:pt>
                <c:pt idx="14741">
                  <c:v>528449.0189050001</c:v>
                </c:pt>
                <c:pt idx="14742">
                  <c:v>528784.3796399999</c:v>
                </c:pt>
                <c:pt idx="14743">
                  <c:v>529119.882235</c:v>
                </c:pt>
                <c:pt idx="14744">
                  <c:v>529455.52672</c:v>
                </c:pt>
                <c:pt idx="14745">
                  <c:v>529791.3131250001</c:v>
                </c:pt>
                <c:pt idx="14746">
                  <c:v>530127.2414800001</c:v>
                </c:pt>
                <c:pt idx="14747">
                  <c:v>530463.311815</c:v>
                </c:pt>
                <c:pt idx="14748">
                  <c:v>530799.52416</c:v>
                </c:pt>
                <c:pt idx="14749">
                  <c:v>531135.878545</c:v>
                </c:pt>
                <c:pt idx="14750">
                  <c:v>531472.375</c:v>
                </c:pt>
                <c:pt idx="14751">
                  <c:v>531809.013555</c:v>
                </c:pt>
                <c:pt idx="14752">
                  <c:v>532145.7942400001</c:v>
                </c:pt>
                <c:pt idx="14753">
                  <c:v>532482.717085</c:v>
                </c:pt>
                <c:pt idx="14754">
                  <c:v>532819.7821199999</c:v>
                </c:pt>
                <c:pt idx="14755">
                  <c:v>533156.9893750001</c:v>
                </c:pt>
                <c:pt idx="14756">
                  <c:v>533494.33888</c:v>
                </c:pt>
                <c:pt idx="14757">
                  <c:v>533831.830665</c:v>
                </c:pt>
                <c:pt idx="14758">
                  <c:v>534169.46476</c:v>
                </c:pt>
                <c:pt idx="14759">
                  <c:v>534507.241195</c:v>
                </c:pt>
                <c:pt idx="14760">
                  <c:v>534845.16</c:v>
                </c:pt>
                <c:pt idx="14761">
                  <c:v>535183.221205</c:v>
                </c:pt>
                <c:pt idx="14762">
                  <c:v>535521.42484</c:v>
                </c:pt>
                <c:pt idx="14763">
                  <c:v>535859.7709349999</c:v>
                </c:pt>
                <c:pt idx="14764">
                  <c:v>536198.2595200001</c:v>
                </c:pt>
                <c:pt idx="14765">
                  <c:v>536536.890625</c:v>
                </c:pt>
                <c:pt idx="14766">
                  <c:v>536875.66428</c:v>
                </c:pt>
                <c:pt idx="14767">
                  <c:v>537214.5805149999</c:v>
                </c:pt>
                <c:pt idx="14768">
                  <c:v>537553.63936</c:v>
                </c:pt>
                <c:pt idx="14769">
                  <c:v>537892.840845</c:v>
                </c:pt>
                <c:pt idx="14770">
                  <c:v>538232.185</c:v>
                </c:pt>
                <c:pt idx="14771">
                  <c:v>538571.671855</c:v>
                </c:pt>
                <c:pt idx="14772">
                  <c:v>538911.30144</c:v>
                </c:pt>
                <c:pt idx="14773">
                  <c:v>539251.073785</c:v>
                </c:pt>
                <c:pt idx="14774">
                  <c:v>539590.9889199999</c:v>
                </c:pt>
                <c:pt idx="14775">
                  <c:v>539931.046875</c:v>
                </c:pt>
                <c:pt idx="14776">
                  <c:v>540271.2476799999</c:v>
                </c:pt>
                <c:pt idx="14777">
                  <c:v>540611.5913650001</c:v>
                </c:pt>
                <c:pt idx="14778">
                  <c:v>540952.07796</c:v>
                </c:pt>
                <c:pt idx="14779">
                  <c:v>541292.707495</c:v>
                </c:pt>
                <c:pt idx="14780">
                  <c:v>541633.48</c:v>
                </c:pt>
                <c:pt idx="14781">
                  <c:v>541974.3955049999</c:v>
                </c:pt>
                <c:pt idx="14782">
                  <c:v>542315.45404</c:v>
                </c:pt>
                <c:pt idx="14783">
                  <c:v>542656.655635</c:v>
                </c:pt>
                <c:pt idx="14784">
                  <c:v>542998.00032</c:v>
                </c:pt>
                <c:pt idx="14785">
                  <c:v>543339.488125</c:v>
                </c:pt>
                <c:pt idx="14786">
                  <c:v>543681.1190800001</c:v>
                </c:pt>
                <c:pt idx="14787">
                  <c:v>544022.893215</c:v>
                </c:pt>
                <c:pt idx="14788">
                  <c:v>544364.8105599999</c:v>
                </c:pt>
                <c:pt idx="14789">
                  <c:v>544706.8711450001</c:v>
                </c:pt>
                <c:pt idx="14790">
                  <c:v>545049.0750000001</c:v>
                </c:pt>
                <c:pt idx="14791">
                  <c:v>545391.422155</c:v>
                </c:pt>
                <c:pt idx="14792">
                  <c:v>545733.91264</c:v>
                </c:pt>
                <c:pt idx="14793">
                  <c:v>546076.546485</c:v>
                </c:pt>
                <c:pt idx="14794">
                  <c:v>546419.32372</c:v>
                </c:pt>
                <c:pt idx="14795">
                  <c:v>546762.244375</c:v>
                </c:pt>
                <c:pt idx="14796">
                  <c:v>547105.30848</c:v>
                </c:pt>
                <c:pt idx="14797">
                  <c:v>547448.516065</c:v>
                </c:pt>
                <c:pt idx="14798">
                  <c:v>547791.86716</c:v>
                </c:pt>
                <c:pt idx="14799">
                  <c:v>548135.361795</c:v>
                </c:pt>
                <c:pt idx="14800">
                  <c:v>548479.0</c:v>
                </c:pt>
                <c:pt idx="14801">
                  <c:v>548822.7818049999</c:v>
                </c:pt>
                <c:pt idx="14802">
                  <c:v>549166.70724</c:v>
                </c:pt>
                <c:pt idx="14803">
                  <c:v>549510.776335</c:v>
                </c:pt>
                <c:pt idx="14804">
                  <c:v>549854.98912</c:v>
                </c:pt>
                <c:pt idx="14805">
                  <c:v>550199.3456250001</c:v>
                </c:pt>
                <c:pt idx="14806">
                  <c:v>550543.84588</c:v>
                </c:pt>
                <c:pt idx="14807">
                  <c:v>550888.4899149999</c:v>
                </c:pt>
                <c:pt idx="14808">
                  <c:v>551233.2777600001</c:v>
                </c:pt>
                <c:pt idx="14809">
                  <c:v>551578.2094449999</c:v>
                </c:pt>
                <c:pt idx="14810">
                  <c:v>551923.285</c:v>
                </c:pt>
                <c:pt idx="14811">
                  <c:v>552268.504455</c:v>
                </c:pt>
                <c:pt idx="14812">
                  <c:v>552613.86784</c:v>
                </c:pt>
                <c:pt idx="14813">
                  <c:v>552959.3751850001</c:v>
                </c:pt>
                <c:pt idx="14814">
                  <c:v>553305.0265200001</c:v>
                </c:pt>
                <c:pt idx="14815">
                  <c:v>553650.821875</c:v>
                </c:pt>
                <c:pt idx="14816">
                  <c:v>553996.76128</c:v>
                </c:pt>
                <c:pt idx="14817">
                  <c:v>554342.844765</c:v>
                </c:pt>
                <c:pt idx="14818">
                  <c:v>554689.07236</c:v>
                </c:pt>
                <c:pt idx="14819">
                  <c:v>555035.4440949999</c:v>
                </c:pt>
                <c:pt idx="14820">
                  <c:v>555381.9600000001</c:v>
                </c:pt>
                <c:pt idx="14821">
                  <c:v>555728.620105</c:v>
                </c:pt>
                <c:pt idx="14822">
                  <c:v>556075.4244400001</c:v>
                </c:pt>
                <c:pt idx="14823">
                  <c:v>556422.3730349999</c:v>
                </c:pt>
                <c:pt idx="14824">
                  <c:v>556769.46592</c:v>
                </c:pt>
                <c:pt idx="14825">
                  <c:v>557116.703125</c:v>
                </c:pt>
                <c:pt idx="14826">
                  <c:v>557464.08468</c:v>
                </c:pt>
                <c:pt idx="14827">
                  <c:v>557811.610615</c:v>
                </c:pt>
                <c:pt idx="14828">
                  <c:v>558159.28096</c:v>
                </c:pt>
                <c:pt idx="14829">
                  <c:v>558507.0957449999</c:v>
                </c:pt>
                <c:pt idx="14830">
                  <c:v>558855.0549999999</c:v>
                </c:pt>
                <c:pt idx="14831">
                  <c:v>559203.158755</c:v>
                </c:pt>
                <c:pt idx="14832">
                  <c:v>559551.4070400001</c:v>
                </c:pt>
                <c:pt idx="14833">
                  <c:v>559899.799885</c:v>
                </c:pt>
                <c:pt idx="14834">
                  <c:v>560248.33732</c:v>
                </c:pt>
                <c:pt idx="14835">
                  <c:v>560597.0193749999</c:v>
                </c:pt>
                <c:pt idx="14836">
                  <c:v>560945.84608</c:v>
                </c:pt>
                <c:pt idx="14837">
                  <c:v>561294.817465</c:v>
                </c:pt>
                <c:pt idx="14838">
                  <c:v>561643.9335599999</c:v>
                </c:pt>
                <c:pt idx="14839">
                  <c:v>561993.194395</c:v>
                </c:pt>
                <c:pt idx="14840">
                  <c:v>562342.6000000001</c:v>
                </c:pt>
                <c:pt idx="14841">
                  <c:v>562692.150405</c:v>
                </c:pt>
                <c:pt idx="14842">
                  <c:v>563041.84564</c:v>
                </c:pt>
                <c:pt idx="14843">
                  <c:v>563391.6857350001</c:v>
                </c:pt>
                <c:pt idx="14844">
                  <c:v>563741.6707199999</c:v>
                </c:pt>
                <c:pt idx="14845">
                  <c:v>564091.8006250001</c:v>
                </c:pt>
                <c:pt idx="14846">
                  <c:v>564442.07548</c:v>
                </c:pt>
                <c:pt idx="14847">
                  <c:v>564792.4953150001</c:v>
                </c:pt>
                <c:pt idx="14848">
                  <c:v>565143.06016</c:v>
                </c:pt>
                <c:pt idx="14849">
                  <c:v>565493.770045</c:v>
                </c:pt>
                <c:pt idx="14850">
                  <c:v>565844.625</c:v>
                </c:pt>
                <c:pt idx="14851">
                  <c:v>566195.625055</c:v>
                </c:pt>
                <c:pt idx="14852">
                  <c:v>566546.77024</c:v>
                </c:pt>
                <c:pt idx="14853">
                  <c:v>566898.0605850001</c:v>
                </c:pt>
                <c:pt idx="14854">
                  <c:v>567249.4961199999</c:v>
                </c:pt>
                <c:pt idx="14855">
                  <c:v>567601.076875</c:v>
                </c:pt>
                <c:pt idx="14856">
                  <c:v>567952.80288</c:v>
                </c:pt>
                <c:pt idx="14857">
                  <c:v>568304.674165</c:v>
                </c:pt>
                <c:pt idx="14858">
                  <c:v>568656.69076</c:v>
                </c:pt>
                <c:pt idx="14859">
                  <c:v>569008.852695</c:v>
                </c:pt>
                <c:pt idx="14860">
                  <c:v>569361.16</c:v>
                </c:pt>
                <c:pt idx="14861">
                  <c:v>569713.612705</c:v>
                </c:pt>
                <c:pt idx="14862">
                  <c:v>570066.21084</c:v>
                </c:pt>
                <c:pt idx="14863">
                  <c:v>570418.954435</c:v>
                </c:pt>
                <c:pt idx="14864">
                  <c:v>570771.84352</c:v>
                </c:pt>
                <c:pt idx="14865">
                  <c:v>571124.878125</c:v>
                </c:pt>
                <c:pt idx="14866">
                  <c:v>571478.05828</c:v>
                </c:pt>
                <c:pt idx="14867">
                  <c:v>571831.384015</c:v>
                </c:pt>
                <c:pt idx="14868">
                  <c:v>572184.8553599999</c:v>
                </c:pt>
                <c:pt idx="14869">
                  <c:v>572538.472345</c:v>
                </c:pt>
                <c:pt idx="14870">
                  <c:v>572892.2350000001</c:v>
                </c:pt>
                <c:pt idx="14871">
                  <c:v>573246.1433550001</c:v>
                </c:pt>
                <c:pt idx="14872">
                  <c:v>573600.19744</c:v>
                </c:pt>
                <c:pt idx="14873">
                  <c:v>573954.3972850001</c:v>
                </c:pt>
                <c:pt idx="14874">
                  <c:v>574308.74292</c:v>
                </c:pt>
                <c:pt idx="14875">
                  <c:v>574663.234375</c:v>
                </c:pt>
                <c:pt idx="14876">
                  <c:v>575017.87168</c:v>
                </c:pt>
                <c:pt idx="14877">
                  <c:v>575372.654865</c:v>
                </c:pt>
                <c:pt idx="14878">
                  <c:v>575727.5839600001</c:v>
                </c:pt>
                <c:pt idx="14879">
                  <c:v>576082.658995</c:v>
                </c:pt>
                <c:pt idx="14880">
                  <c:v>576437.88</c:v>
                </c:pt>
                <c:pt idx="14881">
                  <c:v>576793.247005</c:v>
                </c:pt>
                <c:pt idx="14882">
                  <c:v>577148.76004</c:v>
                </c:pt>
                <c:pt idx="14883">
                  <c:v>577504.419135</c:v>
                </c:pt>
                <c:pt idx="14884">
                  <c:v>577860.22432</c:v>
                </c:pt>
                <c:pt idx="14885">
                  <c:v>578216.175625</c:v>
                </c:pt>
                <c:pt idx="14886">
                  <c:v>578572.27308</c:v>
                </c:pt>
                <c:pt idx="14887">
                  <c:v>578928.5167149999</c:v>
                </c:pt>
                <c:pt idx="14888">
                  <c:v>579284.9065599999</c:v>
                </c:pt>
                <c:pt idx="14889">
                  <c:v>579641.442645</c:v>
                </c:pt>
                <c:pt idx="14890">
                  <c:v>579998.125</c:v>
                </c:pt>
                <c:pt idx="14891">
                  <c:v>580354.9536550001</c:v>
                </c:pt>
                <c:pt idx="14892">
                  <c:v>580711.92864</c:v>
                </c:pt>
                <c:pt idx="14893">
                  <c:v>581069.049985</c:v>
                </c:pt>
                <c:pt idx="14894">
                  <c:v>581426.31772</c:v>
                </c:pt>
                <c:pt idx="14895">
                  <c:v>581783.731875</c:v>
                </c:pt>
                <c:pt idx="14896">
                  <c:v>582141.2924800001</c:v>
                </c:pt>
                <c:pt idx="14897">
                  <c:v>582498.999565</c:v>
                </c:pt>
                <c:pt idx="14898">
                  <c:v>582856.8531599999</c:v>
                </c:pt>
                <c:pt idx="14899">
                  <c:v>583214.853295</c:v>
                </c:pt>
                <c:pt idx="14900">
                  <c:v>583573.0</c:v>
                </c:pt>
                <c:pt idx="14901">
                  <c:v>583931.293305</c:v>
                </c:pt>
                <c:pt idx="14902">
                  <c:v>584289.7332400001</c:v>
                </c:pt>
                <c:pt idx="14903">
                  <c:v>584648.319835</c:v>
                </c:pt>
                <c:pt idx="14904">
                  <c:v>585007.05312</c:v>
                </c:pt>
                <c:pt idx="14905">
                  <c:v>585365.933125</c:v>
                </c:pt>
                <c:pt idx="14906">
                  <c:v>585724.95988</c:v>
                </c:pt>
                <c:pt idx="14907">
                  <c:v>586084.133415</c:v>
                </c:pt>
                <c:pt idx="14908">
                  <c:v>586443.4537600001</c:v>
                </c:pt>
                <c:pt idx="14909">
                  <c:v>586802.9209449999</c:v>
                </c:pt>
                <c:pt idx="14910">
                  <c:v>587162.535</c:v>
                </c:pt>
                <c:pt idx="14911">
                  <c:v>587522.295955</c:v>
                </c:pt>
                <c:pt idx="14912">
                  <c:v>587882.20384</c:v>
                </c:pt>
                <c:pt idx="14913">
                  <c:v>588242.258685</c:v>
                </c:pt>
                <c:pt idx="14914">
                  <c:v>588602.46052</c:v>
                </c:pt>
                <c:pt idx="14915">
                  <c:v>588962.8093750001</c:v>
                </c:pt>
                <c:pt idx="14916">
                  <c:v>589323.30528</c:v>
                </c:pt>
                <c:pt idx="14917">
                  <c:v>589683.9482649999</c:v>
                </c:pt>
                <c:pt idx="14918">
                  <c:v>590044.7383600001</c:v>
                </c:pt>
                <c:pt idx="14919">
                  <c:v>590405.675595</c:v>
                </c:pt>
                <c:pt idx="14920">
                  <c:v>590766.76</c:v>
                </c:pt>
                <c:pt idx="14921">
                  <c:v>591127.991605</c:v>
                </c:pt>
                <c:pt idx="14922">
                  <c:v>591489.37044</c:v>
                </c:pt>
                <c:pt idx="14923">
                  <c:v>591850.8965350001</c:v>
                </c:pt>
                <c:pt idx="14924">
                  <c:v>592212.56992</c:v>
                </c:pt>
                <c:pt idx="14925">
                  <c:v>592574.390625</c:v>
                </c:pt>
                <c:pt idx="14926">
                  <c:v>592936.3586800001</c:v>
                </c:pt>
                <c:pt idx="14927">
                  <c:v>593298.474115</c:v>
                </c:pt>
                <c:pt idx="14928">
                  <c:v>593660.73696</c:v>
                </c:pt>
                <c:pt idx="14929">
                  <c:v>594023.1472450001</c:v>
                </c:pt>
                <c:pt idx="14930">
                  <c:v>594385.7050000001</c:v>
                </c:pt>
                <c:pt idx="14931">
                  <c:v>594748.4102549999</c:v>
                </c:pt>
                <c:pt idx="14932">
                  <c:v>595111.26304</c:v>
                </c:pt>
                <c:pt idx="14933">
                  <c:v>595474.2633849999</c:v>
                </c:pt>
                <c:pt idx="14934">
                  <c:v>595837.4113200001</c:v>
                </c:pt>
                <c:pt idx="14935">
                  <c:v>596200.706875</c:v>
                </c:pt>
                <c:pt idx="14936">
                  <c:v>596564.1500799999</c:v>
                </c:pt>
                <c:pt idx="14937">
                  <c:v>596927.740965</c:v>
                </c:pt>
                <c:pt idx="14938">
                  <c:v>597291.47956</c:v>
                </c:pt>
                <c:pt idx="14939">
                  <c:v>597655.365895</c:v>
                </c:pt>
                <c:pt idx="14940">
                  <c:v>598019.3999999999</c:v>
                </c:pt>
                <c:pt idx="14941">
                  <c:v>598383.581905</c:v>
                </c:pt>
                <c:pt idx="14942">
                  <c:v>598747.91164</c:v>
                </c:pt>
                <c:pt idx="14943">
                  <c:v>599112.389235</c:v>
                </c:pt>
                <c:pt idx="14944">
                  <c:v>599477.01472</c:v>
                </c:pt>
                <c:pt idx="14945">
                  <c:v>599841.7881250001</c:v>
                </c:pt>
                <c:pt idx="14946">
                  <c:v>600206.70948</c:v>
                </c:pt>
                <c:pt idx="14947">
                  <c:v>600571.7788150001</c:v>
                </c:pt>
                <c:pt idx="14948">
                  <c:v>600936.99616</c:v>
                </c:pt>
                <c:pt idx="14949">
                  <c:v>601302.361545</c:v>
                </c:pt>
                <c:pt idx="14950">
                  <c:v>601667.875</c:v>
                </c:pt>
                <c:pt idx="14951">
                  <c:v>602033.536555</c:v>
                </c:pt>
                <c:pt idx="14952">
                  <c:v>602399.34624</c:v>
                </c:pt>
                <c:pt idx="14953">
                  <c:v>602765.3040850001</c:v>
                </c:pt>
                <c:pt idx="14954">
                  <c:v>603131.41012</c:v>
                </c:pt>
                <c:pt idx="14955">
                  <c:v>603497.6643749999</c:v>
                </c:pt>
                <c:pt idx="14956">
                  <c:v>603864.0668799999</c:v>
                </c:pt>
                <c:pt idx="14957">
                  <c:v>604230.617665</c:v>
                </c:pt>
                <c:pt idx="14958">
                  <c:v>604597.3167600001</c:v>
                </c:pt>
                <c:pt idx="14959">
                  <c:v>604964.164195</c:v>
                </c:pt>
                <c:pt idx="14960">
                  <c:v>605331.1599999999</c:v>
                </c:pt>
                <c:pt idx="14961">
                  <c:v>605698.3042049999</c:v>
                </c:pt>
                <c:pt idx="14962">
                  <c:v>606065.59684</c:v>
                </c:pt>
                <c:pt idx="14963">
                  <c:v>606433.037935</c:v>
                </c:pt>
                <c:pt idx="14964">
                  <c:v>606800.62752</c:v>
                </c:pt>
                <c:pt idx="14965">
                  <c:v>607168.365625</c:v>
                </c:pt>
                <c:pt idx="14966">
                  <c:v>607536.25228</c:v>
                </c:pt>
                <c:pt idx="14967">
                  <c:v>607904.2875150001</c:v>
                </c:pt>
                <c:pt idx="14968">
                  <c:v>608272.4713600001</c:v>
                </c:pt>
                <c:pt idx="14969">
                  <c:v>608640.803845</c:v>
                </c:pt>
                <c:pt idx="14970">
                  <c:v>609009.285</c:v>
                </c:pt>
                <c:pt idx="14971">
                  <c:v>609377.9148550001</c:v>
                </c:pt>
                <c:pt idx="14972">
                  <c:v>609746.69344</c:v>
                </c:pt>
                <c:pt idx="14973">
                  <c:v>610115.620785</c:v>
                </c:pt>
                <c:pt idx="14974">
                  <c:v>610484.69692</c:v>
                </c:pt>
                <c:pt idx="14975">
                  <c:v>610853.921875</c:v>
                </c:pt>
                <c:pt idx="14976">
                  <c:v>611223.29568</c:v>
                </c:pt>
                <c:pt idx="14977">
                  <c:v>611592.818365</c:v>
                </c:pt>
                <c:pt idx="14978">
                  <c:v>611962.48996</c:v>
                </c:pt>
                <c:pt idx="14979">
                  <c:v>612332.310495</c:v>
                </c:pt>
                <c:pt idx="14980">
                  <c:v>612702.28</c:v>
                </c:pt>
                <c:pt idx="14981">
                  <c:v>613072.398505</c:v>
                </c:pt>
                <c:pt idx="14982">
                  <c:v>613442.6660399999</c:v>
                </c:pt>
                <c:pt idx="14983">
                  <c:v>613813.082635</c:v>
                </c:pt>
                <c:pt idx="14984">
                  <c:v>614183.6483199999</c:v>
                </c:pt>
                <c:pt idx="14985">
                  <c:v>614554.3631249999</c:v>
                </c:pt>
                <c:pt idx="14986">
                  <c:v>614925.2270800001</c:v>
                </c:pt>
                <c:pt idx="14987">
                  <c:v>615296.2402150001</c:v>
                </c:pt>
                <c:pt idx="14988">
                  <c:v>615667.40256</c:v>
                </c:pt>
                <c:pt idx="14989">
                  <c:v>616038.7141450001</c:v>
                </c:pt>
                <c:pt idx="14990">
                  <c:v>616410.175</c:v>
                </c:pt>
                <c:pt idx="14991">
                  <c:v>616781.7851549999</c:v>
                </c:pt>
                <c:pt idx="14992">
                  <c:v>617153.5446400001</c:v>
                </c:pt>
                <c:pt idx="14993">
                  <c:v>617525.453485</c:v>
                </c:pt>
                <c:pt idx="14994">
                  <c:v>617897.51172</c:v>
                </c:pt>
                <c:pt idx="14995">
                  <c:v>618269.7193750001</c:v>
                </c:pt>
                <c:pt idx="14996">
                  <c:v>618642.07648</c:v>
                </c:pt>
                <c:pt idx="14997">
                  <c:v>619014.583065</c:v>
                </c:pt>
                <c:pt idx="14998">
                  <c:v>619387.23916</c:v>
                </c:pt>
                <c:pt idx="14999">
                  <c:v>619760.044795</c:v>
                </c:pt>
                <c:pt idx="15000">
                  <c:v>620133.0</c:v>
                </c:pt>
                <c:pt idx="15001">
                  <c:v>620506.104805</c:v>
                </c:pt>
                <c:pt idx="15002">
                  <c:v>620879.35924</c:v>
                </c:pt>
                <c:pt idx="15003">
                  <c:v>621252.7633349999</c:v>
                </c:pt>
                <c:pt idx="15004">
                  <c:v>621626.3171199999</c:v>
                </c:pt>
                <c:pt idx="15005">
                  <c:v>622000.020625</c:v>
                </c:pt>
                <c:pt idx="15006">
                  <c:v>622373.87388</c:v>
                </c:pt>
                <c:pt idx="15007">
                  <c:v>622747.876915</c:v>
                </c:pt>
                <c:pt idx="15008">
                  <c:v>623122.02976</c:v>
                </c:pt>
                <c:pt idx="15009">
                  <c:v>623496.3324450001</c:v>
                </c:pt>
                <c:pt idx="15010">
                  <c:v>623870.785</c:v>
                </c:pt>
                <c:pt idx="15011">
                  <c:v>624245.3874550001</c:v>
                </c:pt>
                <c:pt idx="15012">
                  <c:v>624620.13984</c:v>
                </c:pt>
                <c:pt idx="15013">
                  <c:v>624995.042185</c:v>
                </c:pt>
                <c:pt idx="15014">
                  <c:v>625370.09452</c:v>
                </c:pt>
                <c:pt idx="15015">
                  <c:v>625745.296875</c:v>
                </c:pt>
                <c:pt idx="15016">
                  <c:v>626120.64928</c:v>
                </c:pt>
                <c:pt idx="15017">
                  <c:v>626496.151765</c:v>
                </c:pt>
                <c:pt idx="15018">
                  <c:v>626871.8043600001</c:v>
                </c:pt>
                <c:pt idx="15019">
                  <c:v>627247.6070950001</c:v>
                </c:pt>
                <c:pt idx="15020">
                  <c:v>627623.56</c:v>
                </c:pt>
                <c:pt idx="15021">
                  <c:v>627999.6631049999</c:v>
                </c:pt>
                <c:pt idx="15022">
                  <c:v>628375.91644</c:v>
                </c:pt>
                <c:pt idx="15023">
                  <c:v>628752.3200350001</c:v>
                </c:pt>
                <c:pt idx="15024">
                  <c:v>629128.8739199999</c:v>
                </c:pt>
                <c:pt idx="15025">
                  <c:v>629505.578125</c:v>
                </c:pt>
                <c:pt idx="15026">
                  <c:v>629882.43268</c:v>
                </c:pt>
                <c:pt idx="15027">
                  <c:v>630259.4376150001</c:v>
                </c:pt>
                <c:pt idx="15028">
                  <c:v>630636.59296</c:v>
                </c:pt>
                <c:pt idx="15029">
                  <c:v>631013.898745</c:v>
                </c:pt>
                <c:pt idx="15030">
                  <c:v>631391.355</c:v>
                </c:pt>
                <c:pt idx="15031">
                  <c:v>631768.9617549999</c:v>
                </c:pt>
                <c:pt idx="15032">
                  <c:v>632146.71904</c:v>
                </c:pt>
                <c:pt idx="15033">
                  <c:v>632524.626885</c:v>
                </c:pt>
                <c:pt idx="15034">
                  <c:v>632902.68532</c:v>
                </c:pt>
                <c:pt idx="15035">
                  <c:v>633280.894375</c:v>
                </c:pt>
                <c:pt idx="15036">
                  <c:v>633659.25408</c:v>
                </c:pt>
                <c:pt idx="15037">
                  <c:v>634037.7644649999</c:v>
                </c:pt>
                <c:pt idx="15038">
                  <c:v>634416.42556</c:v>
                </c:pt>
                <c:pt idx="15039">
                  <c:v>634795.237395</c:v>
                </c:pt>
                <c:pt idx="15040">
                  <c:v>635174.2000000001</c:v>
                </c:pt>
                <c:pt idx="15041">
                  <c:v>635553.313405</c:v>
                </c:pt>
                <c:pt idx="15042">
                  <c:v>635932.57764</c:v>
                </c:pt>
                <c:pt idx="15043">
                  <c:v>636311.992735</c:v>
                </c:pt>
                <c:pt idx="15044">
                  <c:v>636691.55872</c:v>
                </c:pt>
                <c:pt idx="15045">
                  <c:v>637071.275625</c:v>
                </c:pt>
                <c:pt idx="15046">
                  <c:v>637451.1434800001</c:v>
                </c:pt>
                <c:pt idx="15047">
                  <c:v>637831.1623150001</c:v>
                </c:pt>
                <c:pt idx="15048">
                  <c:v>638211.33216</c:v>
                </c:pt>
                <c:pt idx="15049">
                  <c:v>638591.6530449999</c:v>
                </c:pt>
                <c:pt idx="15050">
                  <c:v>638972.125</c:v>
                </c:pt>
                <c:pt idx="15051">
                  <c:v>639352.7480550001</c:v>
                </c:pt>
                <c:pt idx="15052">
                  <c:v>639733.5222400001</c:v>
                </c:pt>
                <c:pt idx="15053">
                  <c:v>640114.4475850001</c:v>
                </c:pt>
                <c:pt idx="15054">
                  <c:v>640495.5241200001</c:v>
                </c:pt>
                <c:pt idx="15055">
                  <c:v>640876.7518750001</c:v>
                </c:pt>
                <c:pt idx="15056">
                  <c:v>641258.13088</c:v>
                </c:pt>
                <c:pt idx="15057">
                  <c:v>641639.661165</c:v>
                </c:pt>
                <c:pt idx="15058">
                  <c:v>642021.34276</c:v>
                </c:pt>
                <c:pt idx="15059">
                  <c:v>642403.175695</c:v>
                </c:pt>
                <c:pt idx="15060">
                  <c:v>642785.16</c:v>
                </c:pt>
                <c:pt idx="15061">
                  <c:v>643167.295705</c:v>
                </c:pt>
                <c:pt idx="15062">
                  <c:v>643549.5828399999</c:v>
                </c:pt>
                <c:pt idx="15063">
                  <c:v>643932.021435</c:v>
                </c:pt>
                <c:pt idx="15064">
                  <c:v>644314.6115199999</c:v>
                </c:pt>
                <c:pt idx="15065">
                  <c:v>644697.3531249999</c:v>
                </c:pt>
                <c:pt idx="15066">
                  <c:v>645080.24628</c:v>
                </c:pt>
                <c:pt idx="15067">
                  <c:v>645463.291015</c:v>
                </c:pt>
                <c:pt idx="15068">
                  <c:v>645846.48736</c:v>
                </c:pt>
                <c:pt idx="15069">
                  <c:v>646229.8353449999</c:v>
                </c:pt>
                <c:pt idx="15070">
                  <c:v>646613.3350000001</c:v>
                </c:pt>
                <c:pt idx="15071">
                  <c:v>646996.9863550001</c:v>
                </c:pt>
                <c:pt idx="15072">
                  <c:v>647380.78944</c:v>
                </c:pt>
                <c:pt idx="15073">
                  <c:v>647764.744285</c:v>
                </c:pt>
                <c:pt idx="15074">
                  <c:v>648148.85092</c:v>
                </c:pt>
                <c:pt idx="15075">
                  <c:v>648533.109375</c:v>
                </c:pt>
                <c:pt idx="15076">
                  <c:v>648917.5196799999</c:v>
                </c:pt>
                <c:pt idx="15077">
                  <c:v>649302.0818650001</c:v>
                </c:pt>
                <c:pt idx="15078">
                  <c:v>649686.79596</c:v>
                </c:pt>
                <c:pt idx="15079">
                  <c:v>650071.661995</c:v>
                </c:pt>
                <c:pt idx="15080">
                  <c:v>650456.6799999999</c:v>
                </c:pt>
                <c:pt idx="15081">
                  <c:v>650841.850005</c:v>
                </c:pt>
                <c:pt idx="15082">
                  <c:v>651227.17204</c:v>
                </c:pt>
                <c:pt idx="15083">
                  <c:v>651612.6461349999</c:v>
                </c:pt>
                <c:pt idx="15084">
                  <c:v>651998.2723200001</c:v>
                </c:pt>
                <c:pt idx="15085">
                  <c:v>652384.0506249999</c:v>
                </c:pt>
                <c:pt idx="15086">
                  <c:v>652769.98108</c:v>
                </c:pt>
                <c:pt idx="15087">
                  <c:v>653156.063715</c:v>
                </c:pt>
                <c:pt idx="15088">
                  <c:v>653542.29856</c:v>
                </c:pt>
                <c:pt idx="15089">
                  <c:v>653928.685645</c:v>
                </c:pt>
                <c:pt idx="15090">
                  <c:v>654315.225</c:v>
                </c:pt>
                <c:pt idx="15091">
                  <c:v>654701.916655</c:v>
                </c:pt>
                <c:pt idx="15092">
                  <c:v>655088.76064</c:v>
                </c:pt>
                <c:pt idx="15093">
                  <c:v>655475.756985</c:v>
                </c:pt>
                <c:pt idx="15094">
                  <c:v>655862.90572</c:v>
                </c:pt>
                <c:pt idx="15095">
                  <c:v>656250.206875</c:v>
                </c:pt>
                <c:pt idx="15096">
                  <c:v>656637.66048</c:v>
                </c:pt>
                <c:pt idx="15097">
                  <c:v>657025.2665649999</c:v>
                </c:pt>
                <c:pt idx="15098">
                  <c:v>657413.02516</c:v>
                </c:pt>
                <c:pt idx="15099">
                  <c:v>657800.936295</c:v>
                </c:pt>
                <c:pt idx="15100">
                  <c:v>658189.0</c:v>
                </c:pt>
                <c:pt idx="15101">
                  <c:v>658577.216305</c:v>
                </c:pt>
                <c:pt idx="15102">
                  <c:v>658965.5852399999</c:v>
                </c:pt>
                <c:pt idx="15103">
                  <c:v>659354.106835</c:v>
                </c:pt>
                <c:pt idx="15104">
                  <c:v>659742.7811199999</c:v>
                </c:pt>
                <c:pt idx="15105">
                  <c:v>660131.608125</c:v>
                </c:pt>
                <c:pt idx="15106">
                  <c:v>660520.58788</c:v>
                </c:pt>
                <c:pt idx="15107">
                  <c:v>660909.7204150001</c:v>
                </c:pt>
                <c:pt idx="15108">
                  <c:v>661299.0057600001</c:v>
                </c:pt>
                <c:pt idx="15109">
                  <c:v>661688.4439450001</c:v>
                </c:pt>
                <c:pt idx="15110">
                  <c:v>662078.0349999999</c:v>
                </c:pt>
                <c:pt idx="15111">
                  <c:v>662467.778955</c:v>
                </c:pt>
                <c:pt idx="15112">
                  <c:v>662857.67584</c:v>
                </c:pt>
                <c:pt idx="15113">
                  <c:v>663247.7256850001</c:v>
                </c:pt>
                <c:pt idx="15114">
                  <c:v>663637.92852</c:v>
                </c:pt>
                <c:pt idx="15115">
                  <c:v>664028.284375</c:v>
                </c:pt>
                <c:pt idx="15116">
                  <c:v>664418.79328</c:v>
                </c:pt>
                <c:pt idx="15117">
                  <c:v>664809.455265</c:v>
                </c:pt>
                <c:pt idx="15118">
                  <c:v>665200.27036</c:v>
                </c:pt>
                <c:pt idx="15119">
                  <c:v>665591.238595</c:v>
                </c:pt>
                <c:pt idx="15120">
                  <c:v>665982.3600000001</c:v>
                </c:pt>
                <c:pt idx="15121">
                  <c:v>666373.634605</c:v>
                </c:pt>
                <c:pt idx="15122">
                  <c:v>666765.06244</c:v>
                </c:pt>
                <c:pt idx="15123">
                  <c:v>667156.643535</c:v>
                </c:pt>
                <c:pt idx="15124">
                  <c:v>667548.3779199999</c:v>
                </c:pt>
                <c:pt idx="15125">
                  <c:v>667940.265625</c:v>
                </c:pt>
                <c:pt idx="15126">
                  <c:v>668332.3066799999</c:v>
                </c:pt>
                <c:pt idx="15127">
                  <c:v>668724.501115</c:v>
                </c:pt>
                <c:pt idx="15128">
                  <c:v>669116.84896</c:v>
                </c:pt>
                <c:pt idx="15129">
                  <c:v>669509.350245</c:v>
                </c:pt>
                <c:pt idx="15130">
                  <c:v>669902.005</c:v>
                </c:pt>
                <c:pt idx="15131">
                  <c:v>670294.813255</c:v>
                </c:pt>
                <c:pt idx="15132">
                  <c:v>670687.77504</c:v>
                </c:pt>
                <c:pt idx="15133">
                  <c:v>671080.890385</c:v>
                </c:pt>
                <c:pt idx="15134">
                  <c:v>671474.15932</c:v>
                </c:pt>
                <c:pt idx="15135">
                  <c:v>671867.581875</c:v>
                </c:pt>
                <c:pt idx="15136">
                  <c:v>672261.15808</c:v>
                </c:pt>
                <c:pt idx="15137">
                  <c:v>672654.887965</c:v>
                </c:pt>
                <c:pt idx="15138">
                  <c:v>673048.77156</c:v>
                </c:pt>
                <c:pt idx="15139">
                  <c:v>673442.808895</c:v>
                </c:pt>
                <c:pt idx="15140">
                  <c:v>673837.0</c:v>
                </c:pt>
                <c:pt idx="15141">
                  <c:v>674231.3449050001</c:v>
                </c:pt>
                <c:pt idx="15142">
                  <c:v>674625.84364</c:v>
                </c:pt>
                <c:pt idx="15143">
                  <c:v>675020.4962350001</c:v>
                </c:pt>
                <c:pt idx="15144">
                  <c:v>675415.30272</c:v>
                </c:pt>
                <c:pt idx="15145">
                  <c:v>675810.263125</c:v>
                </c:pt>
                <c:pt idx="15146">
                  <c:v>676205.37748</c:v>
                </c:pt>
                <c:pt idx="15147">
                  <c:v>676600.645815</c:v>
                </c:pt>
                <c:pt idx="15148">
                  <c:v>676996.06816</c:v>
                </c:pt>
                <c:pt idx="15149">
                  <c:v>677391.644545</c:v>
                </c:pt>
                <c:pt idx="15150">
                  <c:v>677787.375</c:v>
                </c:pt>
                <c:pt idx="15151">
                  <c:v>678183.259555</c:v>
                </c:pt>
                <c:pt idx="15152">
                  <c:v>678579.29824</c:v>
                </c:pt>
                <c:pt idx="15153">
                  <c:v>678975.491085</c:v>
                </c:pt>
                <c:pt idx="15154">
                  <c:v>679371.83812</c:v>
                </c:pt>
                <c:pt idx="15155">
                  <c:v>679768.339375</c:v>
                </c:pt>
                <c:pt idx="15156">
                  <c:v>680164.99488</c:v>
                </c:pt>
                <c:pt idx="15157">
                  <c:v>680561.804665</c:v>
                </c:pt>
                <c:pt idx="15158">
                  <c:v>680958.76876</c:v>
                </c:pt>
                <c:pt idx="15159">
                  <c:v>681355.887195</c:v>
                </c:pt>
                <c:pt idx="15160">
                  <c:v>681753.16</c:v>
                </c:pt>
                <c:pt idx="15161">
                  <c:v>682150.587205</c:v>
                </c:pt>
                <c:pt idx="15162">
                  <c:v>682548.16884</c:v>
                </c:pt>
                <c:pt idx="15163">
                  <c:v>682945.904935</c:v>
                </c:pt>
                <c:pt idx="15164">
                  <c:v>683343.79552</c:v>
                </c:pt>
                <c:pt idx="15165">
                  <c:v>683741.8406250001</c:v>
                </c:pt>
                <c:pt idx="15166">
                  <c:v>684140.04028</c:v>
                </c:pt>
                <c:pt idx="15167">
                  <c:v>684538.394515</c:v>
                </c:pt>
                <c:pt idx="15168">
                  <c:v>684936.90336</c:v>
                </c:pt>
                <c:pt idx="15169">
                  <c:v>685335.5668449999</c:v>
                </c:pt>
                <c:pt idx="15170">
                  <c:v>685734.385</c:v>
                </c:pt>
                <c:pt idx="15171">
                  <c:v>686133.357855</c:v>
                </c:pt>
                <c:pt idx="15172">
                  <c:v>686532.48544</c:v>
                </c:pt>
                <c:pt idx="15173">
                  <c:v>686931.7677849999</c:v>
                </c:pt>
                <c:pt idx="15174">
                  <c:v>687331.20492</c:v>
                </c:pt>
                <c:pt idx="15175">
                  <c:v>687730.796875</c:v>
                </c:pt>
                <c:pt idx="15176">
                  <c:v>688130.54368</c:v>
                </c:pt>
                <c:pt idx="15177">
                  <c:v>688530.445365</c:v>
                </c:pt>
                <c:pt idx="15178">
                  <c:v>688930.50196</c:v>
                </c:pt>
                <c:pt idx="15179">
                  <c:v>689330.713495</c:v>
                </c:pt>
                <c:pt idx="15180">
                  <c:v>689731.0800000001</c:v>
                </c:pt>
                <c:pt idx="15181">
                  <c:v>690131.601505</c:v>
                </c:pt>
                <c:pt idx="15182">
                  <c:v>690532.27804</c:v>
                </c:pt>
                <c:pt idx="15183">
                  <c:v>690933.109635</c:v>
                </c:pt>
                <c:pt idx="15184">
                  <c:v>691334.0963199999</c:v>
                </c:pt>
                <c:pt idx="15185">
                  <c:v>691735.238125</c:v>
                </c:pt>
                <c:pt idx="15186">
                  <c:v>692136.53508</c:v>
                </c:pt>
                <c:pt idx="15187">
                  <c:v>692537.9872150001</c:v>
                </c:pt>
                <c:pt idx="15188">
                  <c:v>692939.59456</c:v>
                </c:pt>
                <c:pt idx="15189">
                  <c:v>693341.357145</c:v>
                </c:pt>
                <c:pt idx="15190">
                  <c:v>693743.2749999999</c:v>
                </c:pt>
                <c:pt idx="15191">
                  <c:v>694145.348155</c:v>
                </c:pt>
                <c:pt idx="15192">
                  <c:v>694547.57664</c:v>
                </c:pt>
                <c:pt idx="15193">
                  <c:v>694949.960485</c:v>
                </c:pt>
                <c:pt idx="15194">
                  <c:v>695352.49972</c:v>
                </c:pt>
                <c:pt idx="15195">
                  <c:v>695755.1943750001</c:v>
                </c:pt>
                <c:pt idx="15196">
                  <c:v>696158.04448</c:v>
                </c:pt>
                <c:pt idx="15197">
                  <c:v>696561.050065</c:v>
                </c:pt>
                <c:pt idx="15198">
                  <c:v>696964.2111600001</c:v>
                </c:pt>
                <c:pt idx="15199">
                  <c:v>697367.527795</c:v>
                </c:pt>
                <c:pt idx="15200">
                  <c:v>697771.0</c:v>
                </c:pt>
                <c:pt idx="15201">
                  <c:v>698174.627805</c:v>
                </c:pt>
                <c:pt idx="15202">
                  <c:v>698578.41124</c:v>
                </c:pt>
                <c:pt idx="15203">
                  <c:v>698982.350335</c:v>
                </c:pt>
                <c:pt idx="15204">
                  <c:v>699386.44512</c:v>
                </c:pt>
                <c:pt idx="15205">
                  <c:v>699790.6956249999</c:v>
                </c:pt>
                <c:pt idx="15206">
                  <c:v>700195.10188</c:v>
                </c:pt>
                <c:pt idx="15207">
                  <c:v>700599.6639149999</c:v>
                </c:pt>
                <c:pt idx="15208">
                  <c:v>701004.38176</c:v>
                </c:pt>
                <c:pt idx="15209">
                  <c:v>701409.255445</c:v>
                </c:pt>
                <c:pt idx="15210">
                  <c:v>701814.2849999999</c:v>
                </c:pt>
                <c:pt idx="15211">
                  <c:v>702219.4704550001</c:v>
                </c:pt>
                <c:pt idx="15212">
                  <c:v>702624.81184</c:v>
                </c:pt>
                <c:pt idx="15213">
                  <c:v>703030.309185</c:v>
                </c:pt>
                <c:pt idx="15214">
                  <c:v>703435.9625200001</c:v>
                </c:pt>
                <c:pt idx="15215">
                  <c:v>703841.771875</c:v>
                </c:pt>
                <c:pt idx="15216">
                  <c:v>704247.73728</c:v>
                </c:pt>
                <c:pt idx="15217">
                  <c:v>704653.858765</c:v>
                </c:pt>
                <c:pt idx="15218">
                  <c:v>705060.13636</c:v>
                </c:pt>
                <c:pt idx="15219">
                  <c:v>705466.570095</c:v>
                </c:pt>
                <c:pt idx="15220">
                  <c:v>705873.16</c:v>
                </c:pt>
                <c:pt idx="15221">
                  <c:v>706279.9061050001</c:v>
                </c:pt>
                <c:pt idx="15222">
                  <c:v>706686.8084399999</c:v>
                </c:pt>
                <c:pt idx="15223">
                  <c:v>707093.867035</c:v>
                </c:pt>
                <c:pt idx="15224">
                  <c:v>707501.08192</c:v>
                </c:pt>
                <c:pt idx="15225">
                  <c:v>707908.453125</c:v>
                </c:pt>
                <c:pt idx="15226">
                  <c:v>708315.98068</c:v>
                </c:pt>
                <c:pt idx="15227">
                  <c:v>708723.664615</c:v>
                </c:pt>
                <c:pt idx="15228">
                  <c:v>709131.5049599999</c:v>
                </c:pt>
                <c:pt idx="15229">
                  <c:v>709539.501745</c:v>
                </c:pt>
                <c:pt idx="15230">
                  <c:v>709947.655</c:v>
                </c:pt>
                <c:pt idx="15231">
                  <c:v>710355.964755</c:v>
                </c:pt>
                <c:pt idx="15232">
                  <c:v>710764.43104</c:v>
                </c:pt>
                <c:pt idx="15233">
                  <c:v>711173.053885</c:v>
                </c:pt>
                <c:pt idx="15234">
                  <c:v>711581.83332</c:v>
                </c:pt>
                <c:pt idx="15235">
                  <c:v>711990.7693749999</c:v>
                </c:pt>
                <c:pt idx="15236">
                  <c:v>712399.86208</c:v>
                </c:pt>
                <c:pt idx="15237">
                  <c:v>712809.1114650001</c:v>
                </c:pt>
                <c:pt idx="15238">
                  <c:v>713218.5175600001</c:v>
                </c:pt>
                <c:pt idx="15239">
                  <c:v>713628.0803949999</c:v>
                </c:pt>
                <c:pt idx="15240">
                  <c:v>714037.8</c:v>
                </c:pt>
                <c:pt idx="15241">
                  <c:v>714447.6764049999</c:v>
                </c:pt>
                <c:pt idx="15242">
                  <c:v>714857.70964</c:v>
                </c:pt>
                <c:pt idx="15243">
                  <c:v>715267.899735</c:v>
                </c:pt>
                <c:pt idx="15244">
                  <c:v>715678.24672</c:v>
                </c:pt>
                <c:pt idx="15245">
                  <c:v>716088.7506250001</c:v>
                </c:pt>
                <c:pt idx="15246">
                  <c:v>716499.41148</c:v>
                </c:pt>
                <c:pt idx="15247">
                  <c:v>716910.229315</c:v>
                </c:pt>
                <c:pt idx="15248">
                  <c:v>717321.20416</c:v>
                </c:pt>
                <c:pt idx="15249">
                  <c:v>717732.336045</c:v>
                </c:pt>
                <c:pt idx="15250">
                  <c:v>718143.625</c:v>
                </c:pt>
                <c:pt idx="15251">
                  <c:v>718555.0710550001</c:v>
                </c:pt>
                <c:pt idx="15252">
                  <c:v>718966.67424</c:v>
                </c:pt>
                <c:pt idx="15253">
                  <c:v>719378.434585</c:v>
                </c:pt>
                <c:pt idx="15254">
                  <c:v>719790.3521199999</c:v>
                </c:pt>
                <c:pt idx="15255">
                  <c:v>720202.426875</c:v>
                </c:pt>
                <c:pt idx="15256">
                  <c:v>720614.65888</c:v>
                </c:pt>
                <c:pt idx="15257">
                  <c:v>721027.0481649999</c:v>
                </c:pt>
                <c:pt idx="15258">
                  <c:v>721439.59476</c:v>
                </c:pt>
                <c:pt idx="15259">
                  <c:v>721852.298695</c:v>
                </c:pt>
                <c:pt idx="15260">
                  <c:v>722265.16</c:v>
                </c:pt>
                <c:pt idx="15261">
                  <c:v>722678.178705</c:v>
                </c:pt>
                <c:pt idx="15262">
                  <c:v>723091.35484</c:v>
                </c:pt>
                <c:pt idx="15263">
                  <c:v>723504.6884349999</c:v>
                </c:pt>
                <c:pt idx="15264">
                  <c:v>723918.17952</c:v>
                </c:pt>
                <c:pt idx="15265">
                  <c:v>724331.828125</c:v>
                </c:pt>
                <c:pt idx="15266">
                  <c:v>724745.63428</c:v>
                </c:pt>
                <c:pt idx="15267">
                  <c:v>725159.598015</c:v>
                </c:pt>
                <c:pt idx="15268">
                  <c:v>725573.7193600001</c:v>
                </c:pt>
                <c:pt idx="15269">
                  <c:v>725987.998345</c:v>
                </c:pt>
                <c:pt idx="15270">
                  <c:v>726402.435</c:v>
                </c:pt>
                <c:pt idx="15271">
                  <c:v>726817.0293549999</c:v>
                </c:pt>
                <c:pt idx="15272">
                  <c:v>727231.78144</c:v>
                </c:pt>
                <c:pt idx="15273">
                  <c:v>727646.691285</c:v>
                </c:pt>
                <c:pt idx="15274">
                  <c:v>728061.7589199999</c:v>
                </c:pt>
                <c:pt idx="15275">
                  <c:v>728476.984375</c:v>
                </c:pt>
                <c:pt idx="15276">
                  <c:v>728892.36768</c:v>
                </c:pt>
                <c:pt idx="15277">
                  <c:v>729307.908865</c:v>
                </c:pt>
                <c:pt idx="15278">
                  <c:v>729723.60796</c:v>
                </c:pt>
                <c:pt idx="15279">
                  <c:v>730139.464995</c:v>
                </c:pt>
                <c:pt idx="15280">
                  <c:v>730555.48</c:v>
                </c:pt>
                <c:pt idx="15281">
                  <c:v>730971.653005</c:v>
                </c:pt>
                <c:pt idx="15282">
                  <c:v>731387.98404</c:v>
                </c:pt>
                <c:pt idx="15283">
                  <c:v>731804.473135</c:v>
                </c:pt>
                <c:pt idx="15284">
                  <c:v>732221.1203200001</c:v>
                </c:pt>
                <c:pt idx="15285">
                  <c:v>732637.925625</c:v>
                </c:pt>
                <c:pt idx="15286">
                  <c:v>733054.88908</c:v>
                </c:pt>
                <c:pt idx="15287">
                  <c:v>733472.010715</c:v>
                </c:pt>
                <c:pt idx="15288">
                  <c:v>733889.2905599999</c:v>
                </c:pt>
                <c:pt idx="15289">
                  <c:v>734306.728645</c:v>
                </c:pt>
                <c:pt idx="15290">
                  <c:v>734724.3250000001</c:v>
                </c:pt>
                <c:pt idx="15291">
                  <c:v>735142.079655</c:v>
                </c:pt>
                <c:pt idx="15292">
                  <c:v>735559.99264</c:v>
                </c:pt>
                <c:pt idx="15293">
                  <c:v>735978.063985</c:v>
                </c:pt>
                <c:pt idx="15294">
                  <c:v>736396.2937200001</c:v>
                </c:pt>
                <c:pt idx="15295">
                  <c:v>736814.681875</c:v>
                </c:pt>
                <c:pt idx="15296">
                  <c:v>737233.22848</c:v>
                </c:pt>
                <c:pt idx="15297">
                  <c:v>737651.933565</c:v>
                </c:pt>
                <c:pt idx="15298">
                  <c:v>738070.79716</c:v>
                </c:pt>
                <c:pt idx="15299">
                  <c:v>738489.8192949999</c:v>
                </c:pt>
                <c:pt idx="15300">
                  <c:v>738909.0</c:v>
                </c:pt>
                <c:pt idx="15301">
                  <c:v>739328.3393049999</c:v>
                </c:pt>
                <c:pt idx="15302">
                  <c:v>739747.83724</c:v>
                </c:pt>
                <c:pt idx="15303">
                  <c:v>740167.4938350001</c:v>
                </c:pt>
                <c:pt idx="15304">
                  <c:v>740587.3091200001</c:v>
                </c:pt>
                <c:pt idx="15305">
                  <c:v>741007.2831250001</c:v>
                </c:pt>
                <c:pt idx="15306">
                  <c:v>741427.41588</c:v>
                </c:pt>
                <c:pt idx="15307">
                  <c:v>741847.707415</c:v>
                </c:pt>
                <c:pt idx="15308">
                  <c:v>742268.1577600001</c:v>
                </c:pt>
                <c:pt idx="15309">
                  <c:v>742688.766945</c:v>
                </c:pt>
                <c:pt idx="15310">
                  <c:v>743109.535</c:v>
                </c:pt>
                <c:pt idx="15311">
                  <c:v>743530.461955</c:v>
                </c:pt>
                <c:pt idx="15312">
                  <c:v>743951.54784</c:v>
                </c:pt>
                <c:pt idx="15313">
                  <c:v>744372.792685</c:v>
                </c:pt>
                <c:pt idx="15314">
                  <c:v>744794.19652</c:v>
                </c:pt>
                <c:pt idx="15315">
                  <c:v>745215.7593749999</c:v>
                </c:pt>
                <c:pt idx="15316">
                  <c:v>745637.4812800001</c:v>
                </c:pt>
                <c:pt idx="15317">
                  <c:v>746059.362265</c:v>
                </c:pt>
                <c:pt idx="15318">
                  <c:v>746481.4023600001</c:v>
                </c:pt>
                <c:pt idx="15319">
                  <c:v>746903.601595</c:v>
                </c:pt>
                <c:pt idx="15320">
                  <c:v>747325.9600000001</c:v>
                </c:pt>
                <c:pt idx="15321">
                  <c:v>747748.477605</c:v>
                </c:pt>
                <c:pt idx="15322">
                  <c:v>748171.15444</c:v>
                </c:pt>
                <c:pt idx="15323">
                  <c:v>748593.990535</c:v>
                </c:pt>
                <c:pt idx="15324">
                  <c:v>749016.98592</c:v>
                </c:pt>
                <c:pt idx="15325">
                  <c:v>749440.140625</c:v>
                </c:pt>
                <c:pt idx="15326">
                  <c:v>749863.4546800001</c:v>
                </c:pt>
                <c:pt idx="15327">
                  <c:v>750286.928115</c:v>
                </c:pt>
                <c:pt idx="15328">
                  <c:v>750710.56096</c:v>
                </c:pt>
                <c:pt idx="15329">
                  <c:v>751134.353245</c:v>
                </c:pt>
                <c:pt idx="15330">
                  <c:v>751558.3049999999</c:v>
                </c:pt>
                <c:pt idx="15331">
                  <c:v>751982.416255</c:v>
                </c:pt>
                <c:pt idx="15332">
                  <c:v>752406.6870400001</c:v>
                </c:pt>
                <c:pt idx="15333">
                  <c:v>752831.117385</c:v>
                </c:pt>
                <c:pt idx="15334">
                  <c:v>753255.7073199999</c:v>
                </c:pt>
                <c:pt idx="15335">
                  <c:v>753680.4568749999</c:v>
                </c:pt>
                <c:pt idx="15336">
                  <c:v>754105.36608</c:v>
                </c:pt>
                <c:pt idx="15337">
                  <c:v>754530.434965</c:v>
                </c:pt>
                <c:pt idx="15338">
                  <c:v>754955.66356</c:v>
                </c:pt>
                <c:pt idx="15339">
                  <c:v>755381.051895</c:v>
                </c:pt>
                <c:pt idx="15340">
                  <c:v>755806.6</c:v>
                </c:pt>
                <c:pt idx="15341">
                  <c:v>756232.307905</c:v>
                </c:pt>
                <c:pt idx="15342">
                  <c:v>756658.1756399999</c:v>
                </c:pt>
                <c:pt idx="15343">
                  <c:v>757084.203235</c:v>
                </c:pt>
                <c:pt idx="15344">
                  <c:v>757510.39072</c:v>
                </c:pt>
                <c:pt idx="15345">
                  <c:v>757936.738125</c:v>
                </c:pt>
                <c:pt idx="15346">
                  <c:v>758363.2454799999</c:v>
                </c:pt>
                <c:pt idx="15347">
                  <c:v>758789.912815</c:v>
                </c:pt>
                <c:pt idx="15348">
                  <c:v>759216.74016</c:v>
                </c:pt>
                <c:pt idx="15349">
                  <c:v>759643.7275449999</c:v>
                </c:pt>
                <c:pt idx="15350">
                  <c:v>760070.875</c:v>
                </c:pt>
                <c:pt idx="15351">
                  <c:v>760498.182555</c:v>
                </c:pt>
                <c:pt idx="15352">
                  <c:v>760925.65024</c:v>
                </c:pt>
                <c:pt idx="15353">
                  <c:v>761353.278085</c:v>
                </c:pt>
                <c:pt idx="15354">
                  <c:v>761781.06612</c:v>
                </c:pt>
                <c:pt idx="15355">
                  <c:v>762209.014375</c:v>
                </c:pt>
                <c:pt idx="15356">
                  <c:v>762637.1228799999</c:v>
                </c:pt>
                <c:pt idx="15357">
                  <c:v>763065.391665</c:v>
                </c:pt>
                <c:pt idx="15358">
                  <c:v>763493.8207599999</c:v>
                </c:pt>
                <c:pt idx="15359">
                  <c:v>763922.410195</c:v>
                </c:pt>
                <c:pt idx="15360">
                  <c:v>764351.1599999999</c:v>
                </c:pt>
                <c:pt idx="15361">
                  <c:v>764780.070205</c:v>
                </c:pt>
                <c:pt idx="15362">
                  <c:v>765209.14084</c:v>
                </c:pt>
                <c:pt idx="15363">
                  <c:v>765638.371935</c:v>
                </c:pt>
                <c:pt idx="15364">
                  <c:v>766067.76352</c:v>
                </c:pt>
                <c:pt idx="15365">
                  <c:v>766497.315625</c:v>
                </c:pt>
                <c:pt idx="15366">
                  <c:v>766927.02828</c:v>
                </c:pt>
                <c:pt idx="15367">
                  <c:v>767356.901515</c:v>
                </c:pt>
                <c:pt idx="15368">
                  <c:v>767786.93536</c:v>
                </c:pt>
                <c:pt idx="15369">
                  <c:v>768217.129845</c:v>
                </c:pt>
                <c:pt idx="15370">
                  <c:v>768647.4850000001</c:v>
                </c:pt>
                <c:pt idx="15371">
                  <c:v>769078.000855</c:v>
                </c:pt>
                <c:pt idx="15372">
                  <c:v>769508.67744</c:v>
                </c:pt>
                <c:pt idx="15373">
                  <c:v>769939.514785</c:v>
                </c:pt>
                <c:pt idx="15374">
                  <c:v>770370.5129199999</c:v>
                </c:pt>
                <c:pt idx="15375">
                  <c:v>770801.671875</c:v>
                </c:pt>
                <c:pt idx="15376">
                  <c:v>771232.99168</c:v>
                </c:pt>
                <c:pt idx="15377">
                  <c:v>771664.472365</c:v>
                </c:pt>
                <c:pt idx="15378">
                  <c:v>772096.11396</c:v>
                </c:pt>
                <c:pt idx="15379">
                  <c:v>772527.916495</c:v>
                </c:pt>
                <c:pt idx="15380">
                  <c:v>772959.88</c:v>
                </c:pt>
                <c:pt idx="15381">
                  <c:v>773392.004505</c:v>
                </c:pt>
                <c:pt idx="15382">
                  <c:v>773824.29004</c:v>
                </c:pt>
                <c:pt idx="15383">
                  <c:v>774256.7366350001</c:v>
                </c:pt>
                <c:pt idx="15384">
                  <c:v>774689.34432</c:v>
                </c:pt>
                <c:pt idx="15385">
                  <c:v>775122.113125</c:v>
                </c:pt>
                <c:pt idx="15386">
                  <c:v>775555.0430800001</c:v>
                </c:pt>
                <c:pt idx="15387">
                  <c:v>775988.134215</c:v>
                </c:pt>
                <c:pt idx="15388">
                  <c:v>776421.38656</c:v>
                </c:pt>
                <c:pt idx="15389">
                  <c:v>776854.800145</c:v>
                </c:pt>
                <c:pt idx="15390">
                  <c:v>777288.375</c:v>
                </c:pt>
                <c:pt idx="15391">
                  <c:v>777722.111155</c:v>
                </c:pt>
                <c:pt idx="15392">
                  <c:v>778156.00864</c:v>
                </c:pt>
                <c:pt idx="15393">
                  <c:v>778590.067485</c:v>
                </c:pt>
                <c:pt idx="15394">
                  <c:v>779024.28772</c:v>
                </c:pt>
                <c:pt idx="15395">
                  <c:v>779458.669375</c:v>
                </c:pt>
                <c:pt idx="15396">
                  <c:v>779893.21248</c:v>
                </c:pt>
                <c:pt idx="15397">
                  <c:v>780327.917065</c:v>
                </c:pt>
                <c:pt idx="15398">
                  <c:v>780762.78316</c:v>
                </c:pt>
                <c:pt idx="15399">
                  <c:v>781197.810795</c:v>
                </c:pt>
                <c:pt idx="15400">
                  <c:v>781633.0</c:v>
                </c:pt>
                <c:pt idx="15401">
                  <c:v>782068.3508049999</c:v>
                </c:pt>
                <c:pt idx="15402">
                  <c:v>782503.8632400001</c:v>
                </c:pt>
                <c:pt idx="15403">
                  <c:v>782939.537335</c:v>
                </c:pt>
                <c:pt idx="15404">
                  <c:v>783375.37312</c:v>
                </c:pt>
                <c:pt idx="15405">
                  <c:v>783811.370625</c:v>
                </c:pt>
                <c:pt idx="15406">
                  <c:v>784247.5298799999</c:v>
                </c:pt>
                <c:pt idx="15407">
                  <c:v>784683.8509150001</c:v>
                </c:pt>
                <c:pt idx="15408">
                  <c:v>785120.33376</c:v>
                </c:pt>
                <c:pt idx="15409">
                  <c:v>785556.978445</c:v>
                </c:pt>
                <c:pt idx="15410">
                  <c:v>785993.785</c:v>
                </c:pt>
                <c:pt idx="15411">
                  <c:v>786430.7534549999</c:v>
                </c:pt>
                <c:pt idx="15412">
                  <c:v>786867.88384</c:v>
                </c:pt>
                <c:pt idx="15413">
                  <c:v>787305.176185</c:v>
                </c:pt>
                <c:pt idx="15414">
                  <c:v>787742.63052</c:v>
                </c:pt>
                <c:pt idx="15415">
                  <c:v>788180.2468750001</c:v>
                </c:pt>
                <c:pt idx="15416">
                  <c:v>788618.0252800001</c:v>
                </c:pt>
                <c:pt idx="15417">
                  <c:v>789055.965765</c:v>
                </c:pt>
                <c:pt idx="15418">
                  <c:v>789494.06836</c:v>
                </c:pt>
                <c:pt idx="15419">
                  <c:v>789932.333095</c:v>
                </c:pt>
                <c:pt idx="15420">
                  <c:v>790370.76</c:v>
                </c:pt>
                <c:pt idx="15421">
                  <c:v>790809.3491049999</c:v>
                </c:pt>
                <c:pt idx="15422">
                  <c:v>791248.10044</c:v>
                </c:pt>
                <c:pt idx="15423">
                  <c:v>791687.014035</c:v>
                </c:pt>
                <c:pt idx="15424">
                  <c:v>792126.0899199999</c:v>
                </c:pt>
                <c:pt idx="15425">
                  <c:v>792565.328125</c:v>
                </c:pt>
                <c:pt idx="15426">
                  <c:v>793004.72868</c:v>
                </c:pt>
                <c:pt idx="15427">
                  <c:v>793444.291615</c:v>
                </c:pt>
                <c:pt idx="15428">
                  <c:v>793884.0169599999</c:v>
                </c:pt>
                <c:pt idx="15429">
                  <c:v>794323.904745</c:v>
                </c:pt>
                <c:pt idx="15430">
                  <c:v>794763.9550000001</c:v>
                </c:pt>
                <c:pt idx="15431">
                  <c:v>795204.167755</c:v>
                </c:pt>
                <c:pt idx="15432">
                  <c:v>795644.54304</c:v>
                </c:pt>
                <c:pt idx="15433">
                  <c:v>796085.080885</c:v>
                </c:pt>
                <c:pt idx="15434">
                  <c:v>796525.78132</c:v>
                </c:pt>
                <c:pt idx="15435">
                  <c:v>796966.644375</c:v>
                </c:pt>
                <c:pt idx="15436">
                  <c:v>797407.6700800001</c:v>
                </c:pt>
                <c:pt idx="15437">
                  <c:v>797848.8584649999</c:v>
                </c:pt>
                <c:pt idx="15438">
                  <c:v>798290.20956</c:v>
                </c:pt>
                <c:pt idx="15439">
                  <c:v>798731.723395</c:v>
                </c:pt>
                <c:pt idx="15440">
                  <c:v>799173.4</c:v>
                </c:pt>
                <c:pt idx="15441">
                  <c:v>799615.239405</c:v>
                </c:pt>
                <c:pt idx="15442">
                  <c:v>800057.24164</c:v>
                </c:pt>
                <c:pt idx="15443">
                  <c:v>800499.406735</c:v>
                </c:pt>
                <c:pt idx="15444">
                  <c:v>800941.7347200001</c:v>
                </c:pt>
                <c:pt idx="15445">
                  <c:v>801384.2256250001</c:v>
                </c:pt>
                <c:pt idx="15446">
                  <c:v>801826.87948</c:v>
                </c:pt>
                <c:pt idx="15447">
                  <c:v>802269.6963150001</c:v>
                </c:pt>
                <c:pt idx="15448">
                  <c:v>802712.67616</c:v>
                </c:pt>
                <c:pt idx="15449">
                  <c:v>803155.819045</c:v>
                </c:pt>
                <c:pt idx="15450">
                  <c:v>803599.125</c:v>
                </c:pt>
                <c:pt idx="15451">
                  <c:v>804042.594055</c:v>
                </c:pt>
                <c:pt idx="15452">
                  <c:v>804486.22624</c:v>
                </c:pt>
                <c:pt idx="15453">
                  <c:v>804930.021585</c:v>
                </c:pt>
                <c:pt idx="15454">
                  <c:v>805373.9801200001</c:v>
                </c:pt>
                <c:pt idx="15455">
                  <c:v>805818.1018749999</c:v>
                </c:pt>
                <c:pt idx="15456">
                  <c:v>806262.3868799999</c:v>
                </c:pt>
                <c:pt idx="15457">
                  <c:v>806706.835165</c:v>
                </c:pt>
                <c:pt idx="15458">
                  <c:v>807151.4467600001</c:v>
                </c:pt>
                <c:pt idx="15459">
                  <c:v>807596.2216950001</c:v>
                </c:pt>
                <c:pt idx="15460">
                  <c:v>808041.1599999999</c:v>
                </c:pt>
                <c:pt idx="15461">
                  <c:v>808486.2617050001</c:v>
                </c:pt>
                <c:pt idx="15462">
                  <c:v>808931.52684</c:v>
                </c:pt>
                <c:pt idx="15463">
                  <c:v>809376.955435</c:v>
                </c:pt>
                <c:pt idx="15464">
                  <c:v>809822.5475199999</c:v>
                </c:pt>
                <c:pt idx="15465">
                  <c:v>810268.303125</c:v>
                </c:pt>
                <c:pt idx="15466">
                  <c:v>810714.22228</c:v>
                </c:pt>
                <c:pt idx="15467">
                  <c:v>811160.3050149999</c:v>
                </c:pt>
                <c:pt idx="15468">
                  <c:v>811606.55136</c:v>
                </c:pt>
                <c:pt idx="15469">
                  <c:v>812052.961345</c:v>
                </c:pt>
                <c:pt idx="15470">
                  <c:v>812499.535</c:v>
                </c:pt>
                <c:pt idx="15471">
                  <c:v>812946.272355</c:v>
                </c:pt>
                <c:pt idx="15472">
                  <c:v>813393.17344</c:v>
                </c:pt>
                <c:pt idx="15473">
                  <c:v>813840.238285</c:v>
                </c:pt>
                <c:pt idx="15474">
                  <c:v>814287.46692</c:v>
                </c:pt>
                <c:pt idx="15475">
                  <c:v>814734.859375</c:v>
                </c:pt>
                <c:pt idx="15476">
                  <c:v>815182.41568</c:v>
                </c:pt>
                <c:pt idx="15477">
                  <c:v>815630.135865</c:v>
                </c:pt>
                <c:pt idx="15478">
                  <c:v>816078.0199600001</c:v>
                </c:pt>
                <c:pt idx="15479">
                  <c:v>816526.0679949999</c:v>
                </c:pt>
                <c:pt idx="15480">
                  <c:v>816974.28</c:v>
                </c:pt>
                <c:pt idx="15481">
                  <c:v>817422.656005</c:v>
                </c:pt>
                <c:pt idx="15482">
                  <c:v>817871.19604</c:v>
                </c:pt>
                <c:pt idx="15483">
                  <c:v>818319.900135</c:v>
                </c:pt>
                <c:pt idx="15484">
                  <c:v>818768.76832</c:v>
                </c:pt>
                <c:pt idx="15485">
                  <c:v>819217.8006249999</c:v>
                </c:pt>
                <c:pt idx="15486">
                  <c:v>819666.99708</c:v>
                </c:pt>
                <c:pt idx="15487">
                  <c:v>820116.3577149999</c:v>
                </c:pt>
                <c:pt idx="15488">
                  <c:v>820565.8825599999</c:v>
                </c:pt>
                <c:pt idx="15489">
                  <c:v>821015.571645</c:v>
                </c:pt>
                <c:pt idx="15490">
                  <c:v>821465.425</c:v>
                </c:pt>
                <c:pt idx="15491">
                  <c:v>821915.442655</c:v>
                </c:pt>
                <c:pt idx="15492">
                  <c:v>822365.6246399999</c:v>
                </c:pt>
                <c:pt idx="15493">
                  <c:v>822815.970985</c:v>
                </c:pt>
                <c:pt idx="15494">
                  <c:v>823266.48172</c:v>
                </c:pt>
                <c:pt idx="15495">
                  <c:v>823717.1568750001</c:v>
                </c:pt>
                <c:pt idx="15496">
                  <c:v>824167.99648</c:v>
                </c:pt>
                <c:pt idx="15497">
                  <c:v>824619.000565</c:v>
                </c:pt>
                <c:pt idx="15498">
                  <c:v>825070.1691599999</c:v>
                </c:pt>
                <c:pt idx="15499">
                  <c:v>825521.502295</c:v>
                </c:pt>
                <c:pt idx="15500">
                  <c:v>825973.0</c:v>
                </c:pt>
                <c:pt idx="15501">
                  <c:v>826424.662305</c:v>
                </c:pt>
                <c:pt idx="15502">
                  <c:v>826876.48924</c:v>
                </c:pt>
                <c:pt idx="15503">
                  <c:v>827328.4808349999</c:v>
                </c:pt>
                <c:pt idx="15504">
                  <c:v>827780.63712</c:v>
                </c:pt>
                <c:pt idx="15505">
                  <c:v>828232.958125</c:v>
                </c:pt>
                <c:pt idx="15506">
                  <c:v>828685.44388</c:v>
                </c:pt>
                <c:pt idx="15507">
                  <c:v>829138.094415</c:v>
                </c:pt>
                <c:pt idx="15508">
                  <c:v>829590.90976</c:v>
                </c:pt>
                <c:pt idx="15509">
                  <c:v>830043.889945</c:v>
                </c:pt>
                <c:pt idx="15510">
                  <c:v>830497.0349999999</c:v>
                </c:pt>
                <c:pt idx="15511">
                  <c:v>830950.344955</c:v>
                </c:pt>
                <c:pt idx="15512">
                  <c:v>831403.81984</c:v>
                </c:pt>
                <c:pt idx="15513">
                  <c:v>831857.459685</c:v>
                </c:pt>
                <c:pt idx="15514">
                  <c:v>832311.26452</c:v>
                </c:pt>
                <c:pt idx="15515">
                  <c:v>832765.234375</c:v>
                </c:pt>
                <c:pt idx="15516">
                  <c:v>833219.36928</c:v>
                </c:pt>
                <c:pt idx="15517">
                  <c:v>833673.669265</c:v>
                </c:pt>
                <c:pt idx="15518">
                  <c:v>834128.13436</c:v>
                </c:pt>
                <c:pt idx="15519">
                  <c:v>834582.764595</c:v>
                </c:pt>
                <c:pt idx="15520">
                  <c:v>835037.56</c:v>
                </c:pt>
                <c:pt idx="15521">
                  <c:v>835492.5206050001</c:v>
                </c:pt>
                <c:pt idx="15522">
                  <c:v>835947.6464399999</c:v>
                </c:pt>
                <c:pt idx="15523">
                  <c:v>836402.937535</c:v>
                </c:pt>
                <c:pt idx="15524">
                  <c:v>836858.3939200001</c:v>
                </c:pt>
                <c:pt idx="15525">
                  <c:v>837314.015625</c:v>
                </c:pt>
                <c:pt idx="15526">
                  <c:v>837769.80268</c:v>
                </c:pt>
                <c:pt idx="15527">
                  <c:v>838225.7551150001</c:v>
                </c:pt>
                <c:pt idx="15528">
                  <c:v>838681.87296</c:v>
                </c:pt>
                <c:pt idx="15529">
                  <c:v>839138.1562450001</c:v>
                </c:pt>
                <c:pt idx="15530">
                  <c:v>839594.605</c:v>
                </c:pt>
                <c:pt idx="15531">
                  <c:v>840051.219255</c:v>
                </c:pt>
                <c:pt idx="15532">
                  <c:v>840507.99904</c:v>
                </c:pt>
                <c:pt idx="15533">
                  <c:v>840964.944385</c:v>
                </c:pt>
                <c:pt idx="15534">
                  <c:v>841422.0553199999</c:v>
                </c:pt>
                <c:pt idx="15535">
                  <c:v>841879.331875</c:v>
                </c:pt>
                <c:pt idx="15536">
                  <c:v>842336.77408</c:v>
                </c:pt>
                <c:pt idx="15537">
                  <c:v>842794.381965</c:v>
                </c:pt>
                <c:pt idx="15538">
                  <c:v>843252.15556</c:v>
                </c:pt>
                <c:pt idx="15539">
                  <c:v>843710.094895</c:v>
                </c:pt>
                <c:pt idx="15540">
                  <c:v>844168.2000000001</c:v>
                </c:pt>
                <c:pt idx="15541">
                  <c:v>844626.470905</c:v>
                </c:pt>
                <c:pt idx="15542">
                  <c:v>845084.9076400001</c:v>
                </c:pt>
                <c:pt idx="15543">
                  <c:v>845543.510235</c:v>
                </c:pt>
                <c:pt idx="15544">
                  <c:v>846002.27872</c:v>
                </c:pt>
                <c:pt idx="15545">
                  <c:v>846461.213125</c:v>
                </c:pt>
                <c:pt idx="15546">
                  <c:v>846920.31348</c:v>
                </c:pt>
                <c:pt idx="15547">
                  <c:v>847379.5798150001</c:v>
                </c:pt>
                <c:pt idx="15548">
                  <c:v>847839.01216</c:v>
                </c:pt>
                <c:pt idx="15549">
                  <c:v>848298.610545</c:v>
                </c:pt>
                <c:pt idx="15550">
                  <c:v>848758.375</c:v>
                </c:pt>
                <c:pt idx="15551">
                  <c:v>849218.305555</c:v>
                </c:pt>
                <c:pt idx="15552">
                  <c:v>849678.40224</c:v>
                </c:pt>
                <c:pt idx="15553">
                  <c:v>850138.665085</c:v>
                </c:pt>
                <c:pt idx="15554">
                  <c:v>850599.09412</c:v>
                </c:pt>
                <c:pt idx="15555">
                  <c:v>851059.689375</c:v>
                </c:pt>
                <c:pt idx="15556">
                  <c:v>851520.45088</c:v>
                </c:pt>
                <c:pt idx="15557">
                  <c:v>851981.3786650001</c:v>
                </c:pt>
                <c:pt idx="15558">
                  <c:v>852442.47276</c:v>
                </c:pt>
                <c:pt idx="15559">
                  <c:v>852903.7331950001</c:v>
                </c:pt>
                <c:pt idx="15560">
                  <c:v>853365.16</c:v>
                </c:pt>
                <c:pt idx="15561">
                  <c:v>853826.753205</c:v>
                </c:pt>
                <c:pt idx="15562">
                  <c:v>854288.51284</c:v>
                </c:pt>
                <c:pt idx="15563">
                  <c:v>854750.438935</c:v>
                </c:pt>
                <c:pt idx="15564">
                  <c:v>855212.53152</c:v>
                </c:pt>
                <c:pt idx="15565">
                  <c:v>855674.7906249999</c:v>
                </c:pt>
                <c:pt idx="15566">
                  <c:v>856137.21628</c:v>
                </c:pt>
                <c:pt idx="15567">
                  <c:v>856599.808515</c:v>
                </c:pt>
                <c:pt idx="15568">
                  <c:v>857062.56736</c:v>
                </c:pt>
                <c:pt idx="15569">
                  <c:v>857525.492845</c:v>
                </c:pt>
                <c:pt idx="15570">
                  <c:v>857988.5850000001</c:v>
                </c:pt>
                <c:pt idx="15571">
                  <c:v>858451.8438550001</c:v>
                </c:pt>
                <c:pt idx="15572">
                  <c:v>858915.2694400001</c:v>
                </c:pt>
                <c:pt idx="15573">
                  <c:v>859378.861785</c:v>
                </c:pt>
                <c:pt idx="15574">
                  <c:v>859842.62092</c:v>
                </c:pt>
                <c:pt idx="15575">
                  <c:v>860306.546875</c:v>
                </c:pt>
                <c:pt idx="15576">
                  <c:v>860770.63968</c:v>
                </c:pt>
                <c:pt idx="15577">
                  <c:v>861234.899365</c:v>
                </c:pt>
                <c:pt idx="15578">
                  <c:v>861699.32596</c:v>
                </c:pt>
                <c:pt idx="15579">
                  <c:v>862163.919495</c:v>
                </c:pt>
                <c:pt idx="15580">
                  <c:v>862628.6799999999</c:v>
                </c:pt>
                <c:pt idx="15581">
                  <c:v>863093.607505</c:v>
                </c:pt>
                <c:pt idx="15582">
                  <c:v>863558.70204</c:v>
                </c:pt>
                <c:pt idx="15583">
                  <c:v>864023.9636349999</c:v>
                </c:pt>
                <c:pt idx="15584">
                  <c:v>864489.39232</c:v>
                </c:pt>
                <c:pt idx="15585">
                  <c:v>864954.9881249999</c:v>
                </c:pt>
                <c:pt idx="15586">
                  <c:v>865420.7510800001</c:v>
                </c:pt>
                <c:pt idx="15587">
                  <c:v>865886.681215</c:v>
                </c:pt>
                <c:pt idx="15588">
                  <c:v>866352.77856</c:v>
                </c:pt>
                <c:pt idx="15589">
                  <c:v>866819.043145</c:v>
                </c:pt>
                <c:pt idx="15590">
                  <c:v>867285.475</c:v>
                </c:pt>
                <c:pt idx="15591">
                  <c:v>867752.0741549999</c:v>
                </c:pt>
                <c:pt idx="15592">
                  <c:v>868218.8406400001</c:v>
                </c:pt>
                <c:pt idx="15593">
                  <c:v>868685.7744850001</c:v>
                </c:pt>
                <c:pt idx="15594">
                  <c:v>869152.8757199999</c:v>
                </c:pt>
                <c:pt idx="15595">
                  <c:v>869620.144375</c:v>
                </c:pt>
                <c:pt idx="15596">
                  <c:v>870087.58048</c:v>
                </c:pt>
                <c:pt idx="15597">
                  <c:v>870555.184065</c:v>
                </c:pt>
                <c:pt idx="15598">
                  <c:v>871022.95516</c:v>
                </c:pt>
                <c:pt idx="15599">
                  <c:v>871490.8937949999</c:v>
                </c:pt>
                <c:pt idx="15600">
                  <c:v>871959.0</c:v>
                </c:pt>
                <c:pt idx="15601">
                  <c:v>872427.273805</c:v>
                </c:pt>
                <c:pt idx="15602">
                  <c:v>872895.7152399999</c:v>
                </c:pt>
                <c:pt idx="15603">
                  <c:v>873364.324335</c:v>
                </c:pt>
                <c:pt idx="15604">
                  <c:v>873833.10112</c:v>
                </c:pt>
                <c:pt idx="15605">
                  <c:v>874302.045625</c:v>
                </c:pt>
                <c:pt idx="15606">
                  <c:v>874771.1578800001</c:v>
                </c:pt>
                <c:pt idx="15607">
                  <c:v>875240.437915</c:v>
                </c:pt>
                <c:pt idx="15608">
                  <c:v>875709.88576</c:v>
                </c:pt>
                <c:pt idx="15609">
                  <c:v>876179.501445</c:v>
                </c:pt>
                <c:pt idx="15610">
                  <c:v>876649.2849999999</c:v>
                </c:pt>
                <c:pt idx="15611">
                  <c:v>877119.2364549999</c:v>
                </c:pt>
                <c:pt idx="15612">
                  <c:v>877589.3558400001</c:v>
                </c:pt>
                <c:pt idx="15613">
                  <c:v>878059.6431849999</c:v>
                </c:pt>
                <c:pt idx="15614">
                  <c:v>878530.09852</c:v>
                </c:pt>
                <c:pt idx="15615">
                  <c:v>879000.721875</c:v>
                </c:pt>
                <c:pt idx="15616">
                  <c:v>879471.51328</c:v>
                </c:pt>
                <c:pt idx="15617">
                  <c:v>879942.4727650001</c:v>
                </c:pt>
                <c:pt idx="15618">
                  <c:v>880413.6003599999</c:v>
                </c:pt>
                <c:pt idx="15619">
                  <c:v>880884.896095</c:v>
                </c:pt>
                <c:pt idx="15620">
                  <c:v>881356.36</c:v>
                </c:pt>
                <c:pt idx="15621">
                  <c:v>881827.992105</c:v>
                </c:pt>
                <c:pt idx="15622">
                  <c:v>882299.79244</c:v>
                </c:pt>
                <c:pt idx="15623">
                  <c:v>882771.761035</c:v>
                </c:pt>
                <c:pt idx="15624">
                  <c:v>883243.89792</c:v>
                </c:pt>
                <c:pt idx="15625">
                  <c:v>883716.203125</c:v>
                </c:pt>
                <c:pt idx="15626">
                  <c:v>884188.67668</c:v>
                </c:pt>
                <c:pt idx="15627">
                  <c:v>884661.318615</c:v>
                </c:pt>
                <c:pt idx="15628">
                  <c:v>885134.12896</c:v>
                </c:pt>
                <c:pt idx="15629">
                  <c:v>885607.107745</c:v>
                </c:pt>
                <c:pt idx="15630">
                  <c:v>886080.2550000001</c:v>
                </c:pt>
                <c:pt idx="15631">
                  <c:v>886553.570755</c:v>
                </c:pt>
                <c:pt idx="15632">
                  <c:v>887027.05504</c:v>
                </c:pt>
                <c:pt idx="15633">
                  <c:v>887500.7078849999</c:v>
                </c:pt>
                <c:pt idx="15634">
                  <c:v>887974.5293200001</c:v>
                </c:pt>
                <c:pt idx="15635">
                  <c:v>888448.519375</c:v>
                </c:pt>
                <c:pt idx="15636">
                  <c:v>888922.67808</c:v>
                </c:pt>
                <c:pt idx="15637">
                  <c:v>889397.0054649999</c:v>
                </c:pt>
                <c:pt idx="15638">
                  <c:v>889871.50156</c:v>
                </c:pt>
                <c:pt idx="15639">
                  <c:v>890346.166395</c:v>
                </c:pt>
                <c:pt idx="15640">
                  <c:v>890821.0</c:v>
                </c:pt>
                <c:pt idx="15641">
                  <c:v>891296.002405</c:v>
                </c:pt>
                <c:pt idx="15642">
                  <c:v>891771.17364</c:v>
                </c:pt>
                <c:pt idx="15643">
                  <c:v>892246.513735</c:v>
                </c:pt>
                <c:pt idx="15644">
                  <c:v>892722.02272</c:v>
                </c:pt>
                <c:pt idx="15645">
                  <c:v>893197.700625</c:v>
                </c:pt>
                <c:pt idx="15646">
                  <c:v>893673.54748</c:v>
                </c:pt>
                <c:pt idx="15647">
                  <c:v>894149.5633149999</c:v>
                </c:pt>
                <c:pt idx="15648">
                  <c:v>894625.74816</c:v>
                </c:pt>
                <c:pt idx="15649">
                  <c:v>895102.102045</c:v>
                </c:pt>
                <c:pt idx="15650">
                  <c:v>895578.625</c:v>
                </c:pt>
                <c:pt idx="15651">
                  <c:v>896055.3170550001</c:v>
                </c:pt>
                <c:pt idx="15652">
                  <c:v>896532.17824</c:v>
                </c:pt>
                <c:pt idx="15653">
                  <c:v>897009.208585</c:v>
                </c:pt>
                <c:pt idx="15654">
                  <c:v>897486.40812</c:v>
                </c:pt>
                <c:pt idx="15655">
                  <c:v>897963.776875</c:v>
                </c:pt>
                <c:pt idx="15656">
                  <c:v>898441.31488</c:v>
                </c:pt>
                <c:pt idx="15657">
                  <c:v>898919.022165</c:v>
                </c:pt>
                <c:pt idx="15658">
                  <c:v>899396.8987599999</c:v>
                </c:pt>
                <c:pt idx="15659">
                  <c:v>899874.9446950001</c:v>
                </c:pt>
                <c:pt idx="15660">
                  <c:v>900353.16</c:v>
                </c:pt>
                <c:pt idx="15661">
                  <c:v>900831.544705</c:v>
                </c:pt>
                <c:pt idx="15662">
                  <c:v>901310.0988400001</c:v>
                </c:pt>
                <c:pt idx="15663">
                  <c:v>901788.822435</c:v>
                </c:pt>
                <c:pt idx="15664">
                  <c:v>902267.71552</c:v>
                </c:pt>
                <c:pt idx="15665">
                  <c:v>902746.7781250001</c:v>
                </c:pt>
                <c:pt idx="15666">
                  <c:v>903226.01028</c:v>
                </c:pt>
                <c:pt idx="15667">
                  <c:v>903705.412015</c:v>
                </c:pt>
                <c:pt idx="15668">
                  <c:v>904184.98336</c:v>
                </c:pt>
                <c:pt idx="15669">
                  <c:v>904664.724345</c:v>
                </c:pt>
                <c:pt idx="15670">
                  <c:v>905144.635</c:v>
                </c:pt>
                <c:pt idx="15671">
                  <c:v>905624.7153549999</c:v>
                </c:pt>
                <c:pt idx="15672">
                  <c:v>906104.96544</c:v>
                </c:pt>
                <c:pt idx="15673">
                  <c:v>906585.3852850001</c:v>
                </c:pt>
                <c:pt idx="15674">
                  <c:v>907065.9749200001</c:v>
                </c:pt>
                <c:pt idx="15675">
                  <c:v>907546.734375</c:v>
                </c:pt>
                <c:pt idx="15676">
                  <c:v>908027.6636800001</c:v>
                </c:pt>
                <c:pt idx="15677">
                  <c:v>908508.762865</c:v>
                </c:pt>
                <c:pt idx="15678">
                  <c:v>908990.03196</c:v>
                </c:pt>
                <c:pt idx="15679">
                  <c:v>909471.470995</c:v>
                </c:pt>
                <c:pt idx="15680">
                  <c:v>909953.0800000001</c:v>
                </c:pt>
                <c:pt idx="15681">
                  <c:v>910434.859005</c:v>
                </c:pt>
                <c:pt idx="15682">
                  <c:v>910916.80804</c:v>
                </c:pt>
                <c:pt idx="15683">
                  <c:v>911398.927135</c:v>
                </c:pt>
                <c:pt idx="15684">
                  <c:v>911881.21632</c:v>
                </c:pt>
                <c:pt idx="15685">
                  <c:v>912363.675625</c:v>
                </c:pt>
                <c:pt idx="15686">
                  <c:v>912846.30508</c:v>
                </c:pt>
                <c:pt idx="15687">
                  <c:v>913329.104715</c:v>
                </c:pt>
                <c:pt idx="15688">
                  <c:v>913812.07456</c:v>
                </c:pt>
                <c:pt idx="15689">
                  <c:v>914295.214645</c:v>
                </c:pt>
                <c:pt idx="15690">
                  <c:v>914778.5249999999</c:v>
                </c:pt>
                <c:pt idx="15691">
                  <c:v>915262.005655</c:v>
                </c:pt>
                <c:pt idx="15692">
                  <c:v>915745.65664</c:v>
                </c:pt>
                <c:pt idx="15693">
                  <c:v>916229.477985</c:v>
                </c:pt>
                <c:pt idx="15694">
                  <c:v>916713.46972</c:v>
                </c:pt>
                <c:pt idx="15695">
                  <c:v>917197.6318750001</c:v>
                </c:pt>
                <c:pt idx="15696">
                  <c:v>917681.96448</c:v>
                </c:pt>
                <c:pt idx="15697">
                  <c:v>918166.467565</c:v>
                </c:pt>
                <c:pt idx="15698">
                  <c:v>918651.14116</c:v>
                </c:pt>
                <c:pt idx="15699">
                  <c:v>919135.9852949999</c:v>
                </c:pt>
                <c:pt idx="15700">
                  <c:v>919621.0</c:v>
                </c:pt>
                <c:pt idx="15701">
                  <c:v>920106.185305</c:v>
                </c:pt>
                <c:pt idx="15702">
                  <c:v>920591.5412399999</c:v>
                </c:pt>
                <c:pt idx="15703">
                  <c:v>921077.0678349999</c:v>
                </c:pt>
                <c:pt idx="15704">
                  <c:v>921562.7651200001</c:v>
                </c:pt>
                <c:pt idx="15705">
                  <c:v>922048.6331249999</c:v>
                </c:pt>
                <c:pt idx="15706">
                  <c:v>922534.67188</c:v>
                </c:pt>
                <c:pt idx="15707">
                  <c:v>923020.881415</c:v>
                </c:pt>
                <c:pt idx="15708">
                  <c:v>923507.26176</c:v>
                </c:pt>
                <c:pt idx="15709">
                  <c:v>923993.812945</c:v>
                </c:pt>
                <c:pt idx="15710">
                  <c:v>924480.5349999999</c:v>
                </c:pt>
                <c:pt idx="15711">
                  <c:v>924967.427955</c:v>
                </c:pt>
                <c:pt idx="15712">
                  <c:v>925454.49184</c:v>
                </c:pt>
                <c:pt idx="15713">
                  <c:v>925941.726685</c:v>
                </c:pt>
                <c:pt idx="15714">
                  <c:v>926429.13252</c:v>
                </c:pt>
                <c:pt idx="15715">
                  <c:v>926916.709375</c:v>
                </c:pt>
                <c:pt idx="15716">
                  <c:v>927404.45728</c:v>
                </c:pt>
                <c:pt idx="15717">
                  <c:v>927892.376265</c:v>
                </c:pt>
                <c:pt idx="15718">
                  <c:v>928380.46636</c:v>
                </c:pt>
                <c:pt idx="15719">
                  <c:v>928868.7275950001</c:v>
                </c:pt>
                <c:pt idx="15720">
                  <c:v>929357.16</c:v>
                </c:pt>
                <c:pt idx="15721">
                  <c:v>929845.763605</c:v>
                </c:pt>
                <c:pt idx="15722">
                  <c:v>930334.53844</c:v>
                </c:pt>
                <c:pt idx="15723">
                  <c:v>930823.484535</c:v>
                </c:pt>
                <c:pt idx="15724">
                  <c:v>931312.60192</c:v>
                </c:pt>
                <c:pt idx="15725">
                  <c:v>931801.890625</c:v>
                </c:pt>
                <c:pt idx="15726">
                  <c:v>932291.3506799999</c:v>
                </c:pt>
                <c:pt idx="15727">
                  <c:v>932780.982115</c:v>
                </c:pt>
                <c:pt idx="15728">
                  <c:v>933270.7849600001</c:v>
                </c:pt>
                <c:pt idx="15729">
                  <c:v>933760.759245</c:v>
                </c:pt>
                <c:pt idx="15730">
                  <c:v>934250.905</c:v>
                </c:pt>
                <c:pt idx="15731">
                  <c:v>934741.222255</c:v>
                </c:pt>
                <c:pt idx="15732">
                  <c:v>935231.7110400001</c:v>
                </c:pt>
                <c:pt idx="15733">
                  <c:v>935722.3713850001</c:v>
                </c:pt>
                <c:pt idx="15734">
                  <c:v>936213.2033200001</c:v>
                </c:pt>
                <c:pt idx="15735">
                  <c:v>936704.2068749999</c:v>
                </c:pt>
                <c:pt idx="15736">
                  <c:v>937195.38208</c:v>
                </c:pt>
                <c:pt idx="15737">
                  <c:v>937686.728965</c:v>
                </c:pt>
                <c:pt idx="15738">
                  <c:v>938178.24756</c:v>
                </c:pt>
                <c:pt idx="15739">
                  <c:v>938669.937895</c:v>
                </c:pt>
                <c:pt idx="15740">
                  <c:v>939161.8</c:v>
                </c:pt>
                <c:pt idx="15741">
                  <c:v>939653.833905</c:v>
                </c:pt>
                <c:pt idx="15742">
                  <c:v>940146.0396400001</c:v>
                </c:pt>
                <c:pt idx="15743">
                  <c:v>940638.417235</c:v>
                </c:pt>
                <c:pt idx="15744">
                  <c:v>941130.9667199999</c:v>
                </c:pt>
                <c:pt idx="15745">
                  <c:v>941623.6881250001</c:v>
                </c:pt>
                <c:pt idx="15746">
                  <c:v>942116.5814799999</c:v>
                </c:pt>
                <c:pt idx="15747">
                  <c:v>942609.6468150001</c:v>
                </c:pt>
                <c:pt idx="15748">
                  <c:v>943102.88416</c:v>
                </c:pt>
                <c:pt idx="15749">
                  <c:v>943596.2935449999</c:v>
                </c:pt>
                <c:pt idx="15750">
                  <c:v>944089.875</c:v>
                </c:pt>
                <c:pt idx="15751">
                  <c:v>944583.628555</c:v>
                </c:pt>
                <c:pt idx="15752">
                  <c:v>945077.55424</c:v>
                </c:pt>
                <c:pt idx="15753">
                  <c:v>945571.652085</c:v>
                </c:pt>
                <c:pt idx="15754">
                  <c:v>946065.92212</c:v>
                </c:pt>
                <c:pt idx="15755">
                  <c:v>946560.364375</c:v>
                </c:pt>
                <c:pt idx="15756">
                  <c:v>947054.9788800001</c:v>
                </c:pt>
                <c:pt idx="15757">
                  <c:v>947549.765665</c:v>
                </c:pt>
                <c:pt idx="15758">
                  <c:v>948044.72476</c:v>
                </c:pt>
                <c:pt idx="15759">
                  <c:v>948539.856195</c:v>
                </c:pt>
                <c:pt idx="15760">
                  <c:v>949035.1599999999</c:v>
                </c:pt>
                <c:pt idx="15761">
                  <c:v>949530.636205</c:v>
                </c:pt>
                <c:pt idx="15762">
                  <c:v>950026.2848400001</c:v>
                </c:pt>
                <c:pt idx="15763">
                  <c:v>950522.105935</c:v>
                </c:pt>
                <c:pt idx="15764">
                  <c:v>951018.09952</c:v>
                </c:pt>
                <c:pt idx="15765">
                  <c:v>951514.265625</c:v>
                </c:pt>
                <c:pt idx="15766">
                  <c:v>952010.6042800001</c:v>
                </c:pt>
                <c:pt idx="15767">
                  <c:v>952507.115515</c:v>
                </c:pt>
                <c:pt idx="15768">
                  <c:v>953003.7993600001</c:v>
                </c:pt>
                <c:pt idx="15769">
                  <c:v>953500.6558450001</c:v>
                </c:pt>
                <c:pt idx="15770">
                  <c:v>953997.685</c:v>
                </c:pt>
                <c:pt idx="15771">
                  <c:v>954494.886855</c:v>
                </c:pt>
                <c:pt idx="15772">
                  <c:v>954992.26144</c:v>
                </c:pt>
                <c:pt idx="15773">
                  <c:v>955489.808785</c:v>
                </c:pt>
                <c:pt idx="15774">
                  <c:v>955987.5289200001</c:v>
                </c:pt>
                <c:pt idx="15775">
                  <c:v>956485.421875</c:v>
                </c:pt>
                <c:pt idx="15776">
                  <c:v>956983.48768</c:v>
                </c:pt>
                <c:pt idx="15777">
                  <c:v>957481.726365</c:v>
                </c:pt>
                <c:pt idx="15778">
                  <c:v>957980.13796</c:v>
                </c:pt>
                <c:pt idx="15779">
                  <c:v>958478.722495</c:v>
                </c:pt>
                <c:pt idx="15780">
                  <c:v>958977.48</c:v>
                </c:pt>
                <c:pt idx="15781">
                  <c:v>959476.4105049999</c:v>
                </c:pt>
                <c:pt idx="15782">
                  <c:v>959975.51404</c:v>
                </c:pt>
                <c:pt idx="15783">
                  <c:v>960474.790635</c:v>
                </c:pt>
                <c:pt idx="15784">
                  <c:v>960974.24032</c:v>
                </c:pt>
                <c:pt idx="15785">
                  <c:v>961473.863125</c:v>
                </c:pt>
                <c:pt idx="15786">
                  <c:v>961973.65908</c:v>
                </c:pt>
                <c:pt idx="15787">
                  <c:v>962473.628215</c:v>
                </c:pt>
                <c:pt idx="15788">
                  <c:v>962973.77056</c:v>
                </c:pt>
                <c:pt idx="15789">
                  <c:v>963474.0861450001</c:v>
                </c:pt>
                <c:pt idx="15790">
                  <c:v>963974.5750000001</c:v>
                </c:pt>
                <c:pt idx="15791">
                  <c:v>964475.237155</c:v>
                </c:pt>
                <c:pt idx="15792">
                  <c:v>964976.07264</c:v>
                </c:pt>
                <c:pt idx="15793">
                  <c:v>965477.081485</c:v>
                </c:pt>
                <c:pt idx="15794">
                  <c:v>965978.2637199999</c:v>
                </c:pt>
                <c:pt idx="15795">
                  <c:v>966479.6193750001</c:v>
                </c:pt>
                <c:pt idx="15796">
                  <c:v>966981.14848</c:v>
                </c:pt>
                <c:pt idx="15797">
                  <c:v>967482.851065</c:v>
                </c:pt>
                <c:pt idx="15798">
                  <c:v>967984.7271599999</c:v>
                </c:pt>
                <c:pt idx="15799">
                  <c:v>968486.7767950001</c:v>
                </c:pt>
                <c:pt idx="15800">
                  <c:v>968989.0</c:v>
                </c:pt>
                <c:pt idx="15801">
                  <c:v>969491.396805</c:v>
                </c:pt>
                <c:pt idx="15802">
                  <c:v>969993.96724</c:v>
                </c:pt>
                <c:pt idx="15803">
                  <c:v>970496.7113349999</c:v>
                </c:pt>
                <c:pt idx="15804">
                  <c:v>970999.6291199999</c:v>
                </c:pt>
                <c:pt idx="15805">
                  <c:v>971502.7206250001</c:v>
                </c:pt>
                <c:pt idx="15806">
                  <c:v>972005.98588</c:v>
                </c:pt>
                <c:pt idx="15807">
                  <c:v>972509.424915</c:v>
                </c:pt>
                <c:pt idx="15808">
                  <c:v>973013.03776</c:v>
                </c:pt>
                <c:pt idx="15809">
                  <c:v>973516.8244449999</c:v>
                </c:pt>
                <c:pt idx="15810">
                  <c:v>974020.785</c:v>
                </c:pt>
                <c:pt idx="15811">
                  <c:v>974524.9194550001</c:v>
                </c:pt>
                <c:pt idx="15812">
                  <c:v>975029.2278400001</c:v>
                </c:pt>
                <c:pt idx="15813">
                  <c:v>975533.710185</c:v>
                </c:pt>
                <c:pt idx="15814">
                  <c:v>976038.36652</c:v>
                </c:pt>
                <c:pt idx="15815">
                  <c:v>976543.196875</c:v>
                </c:pt>
                <c:pt idx="15816">
                  <c:v>977048.20128</c:v>
                </c:pt>
                <c:pt idx="15817">
                  <c:v>977553.3797650001</c:v>
                </c:pt>
                <c:pt idx="15818">
                  <c:v>978058.73236</c:v>
                </c:pt>
                <c:pt idx="15819">
                  <c:v>978564.259095</c:v>
                </c:pt>
                <c:pt idx="15820">
                  <c:v>979069.9600000001</c:v>
                </c:pt>
                <c:pt idx="15821">
                  <c:v>979575.8351050001</c:v>
                </c:pt>
                <c:pt idx="15822">
                  <c:v>980081.8844399999</c:v>
                </c:pt>
                <c:pt idx="15823">
                  <c:v>980588.108035</c:v>
                </c:pt>
                <c:pt idx="15824">
                  <c:v>981094.50592</c:v>
                </c:pt>
                <c:pt idx="15825">
                  <c:v>981601.078125</c:v>
                </c:pt>
                <c:pt idx="15826">
                  <c:v>982107.82468</c:v>
                </c:pt>
                <c:pt idx="15827">
                  <c:v>982614.745615</c:v>
                </c:pt>
                <c:pt idx="15828">
                  <c:v>983121.8409600001</c:v>
                </c:pt>
                <c:pt idx="15829">
                  <c:v>983629.1107450001</c:v>
                </c:pt>
                <c:pt idx="15830">
                  <c:v>984136.5549999999</c:v>
                </c:pt>
                <c:pt idx="15831">
                  <c:v>984644.173755</c:v>
                </c:pt>
                <c:pt idx="15832">
                  <c:v>985151.96704</c:v>
                </c:pt>
                <c:pt idx="15833">
                  <c:v>985659.934885</c:v>
                </c:pt>
                <c:pt idx="15834">
                  <c:v>986168.07732</c:v>
                </c:pt>
                <c:pt idx="15835">
                  <c:v>986676.3943749999</c:v>
                </c:pt>
                <c:pt idx="15836">
                  <c:v>987184.8860800001</c:v>
                </c:pt>
                <c:pt idx="15837">
                  <c:v>987693.5524650001</c:v>
                </c:pt>
                <c:pt idx="15838">
                  <c:v>988202.39356</c:v>
                </c:pt>
                <c:pt idx="15839">
                  <c:v>988711.409395</c:v>
                </c:pt>
                <c:pt idx="15840">
                  <c:v>989220.6</c:v>
                </c:pt>
                <c:pt idx="15841">
                  <c:v>989729.965405</c:v>
                </c:pt>
                <c:pt idx="15842">
                  <c:v>990239.50564</c:v>
                </c:pt>
                <c:pt idx="15843">
                  <c:v>990749.220735</c:v>
                </c:pt>
                <c:pt idx="15844">
                  <c:v>991259.11072</c:v>
                </c:pt>
                <c:pt idx="15845">
                  <c:v>991769.175625</c:v>
                </c:pt>
                <c:pt idx="15846">
                  <c:v>992279.41548</c:v>
                </c:pt>
                <c:pt idx="15847">
                  <c:v>992789.830315</c:v>
                </c:pt>
                <c:pt idx="15848">
                  <c:v>993300.42016</c:v>
                </c:pt>
                <c:pt idx="15849">
                  <c:v>993811.185045</c:v>
                </c:pt>
                <c:pt idx="15850">
                  <c:v>994322.125</c:v>
                </c:pt>
                <c:pt idx="15851">
                  <c:v>994833.2400550001</c:v>
                </c:pt>
                <c:pt idx="15852">
                  <c:v>995344.53024</c:v>
                </c:pt>
                <c:pt idx="15853">
                  <c:v>995855.995585</c:v>
                </c:pt>
                <c:pt idx="15854">
                  <c:v>996367.63612</c:v>
                </c:pt>
                <c:pt idx="15855">
                  <c:v>996879.451875</c:v>
                </c:pt>
                <c:pt idx="15856">
                  <c:v>997391.44288</c:v>
                </c:pt>
                <c:pt idx="15857">
                  <c:v>997903.609165</c:v>
                </c:pt>
                <c:pt idx="15858">
                  <c:v>998415.9507599999</c:v>
                </c:pt>
                <c:pt idx="15859">
                  <c:v>998928.467695</c:v>
                </c:pt>
                <c:pt idx="15860">
                  <c:v>999441.1599999999</c:v>
                </c:pt>
                <c:pt idx="15861">
                  <c:v>999954.027705</c:v>
                </c:pt>
                <c:pt idx="15862">
                  <c:v>1000467.0708400001</c:v>
                </c:pt>
                <c:pt idx="15863">
                  <c:v>1000980.289435</c:v>
                </c:pt>
                <c:pt idx="15864">
                  <c:v>1001493.68352</c:v>
                </c:pt>
                <c:pt idx="15865">
                  <c:v>1002007.253125</c:v>
                </c:pt>
                <c:pt idx="15866">
                  <c:v>1002520.9982799999</c:v>
                </c:pt>
                <c:pt idx="15867">
                  <c:v>1003034.919015</c:v>
                </c:pt>
                <c:pt idx="15868">
                  <c:v>1003549.01536</c:v>
                </c:pt>
                <c:pt idx="15869">
                  <c:v>1004063.2873450001</c:v>
                </c:pt>
                <c:pt idx="15870">
                  <c:v>1004577.7350000001</c:v>
                </c:pt>
                <c:pt idx="15871">
                  <c:v>1005092.358355</c:v>
                </c:pt>
                <c:pt idx="15872">
                  <c:v>1005607.1574400001</c:v>
                </c:pt>
                <c:pt idx="15873">
                  <c:v>1006122.132285</c:v>
                </c:pt>
                <c:pt idx="15874">
                  <c:v>1006637.28292</c:v>
                </c:pt>
                <c:pt idx="15875">
                  <c:v>1007152.609375</c:v>
                </c:pt>
                <c:pt idx="15876">
                  <c:v>1007668.11168</c:v>
                </c:pt>
                <c:pt idx="15877">
                  <c:v>1008183.7898649999</c:v>
                </c:pt>
                <c:pt idx="15878">
                  <c:v>1008699.64396</c:v>
                </c:pt>
                <c:pt idx="15879">
                  <c:v>1009215.673995</c:v>
                </c:pt>
                <c:pt idx="15880">
                  <c:v>1009731.8800000001</c:v>
                </c:pt>
                <c:pt idx="15881">
                  <c:v>1010248.2620049999</c:v>
                </c:pt>
                <c:pt idx="15882">
                  <c:v>1010764.82004</c:v>
                </c:pt>
                <c:pt idx="15883">
                  <c:v>1011281.554135</c:v>
                </c:pt>
                <c:pt idx="15884">
                  <c:v>1011798.4643199999</c:v>
                </c:pt>
                <c:pt idx="15885">
                  <c:v>1012315.550625</c:v>
                </c:pt>
                <c:pt idx="15886">
                  <c:v>1012832.81308</c:v>
                </c:pt>
                <c:pt idx="15887">
                  <c:v>1013350.251715</c:v>
                </c:pt>
                <c:pt idx="15888">
                  <c:v>1013867.86656</c:v>
                </c:pt>
                <c:pt idx="15889">
                  <c:v>1014385.6576449999</c:v>
                </c:pt>
                <c:pt idx="15890">
                  <c:v>1014903.625</c:v>
                </c:pt>
                <c:pt idx="15891">
                  <c:v>1015421.768655</c:v>
                </c:pt>
                <c:pt idx="15892">
                  <c:v>1015940.08864</c:v>
                </c:pt>
                <c:pt idx="15893">
                  <c:v>1016458.5849850001</c:v>
                </c:pt>
                <c:pt idx="15894">
                  <c:v>1016977.25772</c:v>
                </c:pt>
                <c:pt idx="15895">
                  <c:v>1017496.106875</c:v>
                </c:pt>
                <c:pt idx="15896">
                  <c:v>1018015.1324799999</c:v>
                </c:pt>
                <c:pt idx="15897">
                  <c:v>1018534.334565</c:v>
                </c:pt>
                <c:pt idx="15898">
                  <c:v>1019053.71316</c:v>
                </c:pt>
                <c:pt idx="15899">
                  <c:v>1019573.268295</c:v>
                </c:pt>
                <c:pt idx="15900">
                  <c:v>1020093.0</c:v>
                </c:pt>
                <c:pt idx="15901">
                  <c:v>1020612.908305</c:v>
                </c:pt>
                <c:pt idx="15902">
                  <c:v>1021132.99324</c:v>
                </c:pt>
                <c:pt idx="15903">
                  <c:v>1021653.2548349999</c:v>
                </c:pt>
                <c:pt idx="15904">
                  <c:v>1022173.6931200001</c:v>
                </c:pt>
                <c:pt idx="15905">
                  <c:v>1022694.308125</c:v>
                </c:pt>
                <c:pt idx="15906">
                  <c:v>1023215.09988</c:v>
                </c:pt>
                <c:pt idx="15907">
                  <c:v>1023736.068415</c:v>
                </c:pt>
                <c:pt idx="15908">
                  <c:v>1024257.21376</c:v>
                </c:pt>
                <c:pt idx="15909">
                  <c:v>1024778.535945</c:v>
                </c:pt>
                <c:pt idx="15910">
                  <c:v>1025300.035</c:v>
                </c:pt>
                <c:pt idx="15911">
                  <c:v>1025821.710955</c:v>
                </c:pt>
                <c:pt idx="15912">
                  <c:v>1026343.5638400001</c:v>
                </c:pt>
                <c:pt idx="15913">
                  <c:v>1026865.5936850001</c:v>
                </c:pt>
                <c:pt idx="15914">
                  <c:v>1027387.8005199999</c:v>
                </c:pt>
                <c:pt idx="15915">
                  <c:v>1027910.1843750001</c:v>
                </c:pt>
                <c:pt idx="15916">
                  <c:v>1028432.74528</c:v>
                </c:pt>
                <c:pt idx="15917">
                  <c:v>1028955.483265</c:v>
                </c:pt>
                <c:pt idx="15918">
                  <c:v>1029478.39836</c:v>
                </c:pt>
                <c:pt idx="15919">
                  <c:v>1030001.490595</c:v>
                </c:pt>
                <c:pt idx="15920">
                  <c:v>1030524.7600000001</c:v>
                </c:pt>
                <c:pt idx="15921">
                  <c:v>1031048.2066050001</c:v>
                </c:pt>
                <c:pt idx="15922">
                  <c:v>1031571.8304399999</c:v>
                </c:pt>
                <c:pt idx="15923">
                  <c:v>1032095.6315349999</c:v>
                </c:pt>
                <c:pt idx="15924">
                  <c:v>1032619.60992</c:v>
                </c:pt>
                <c:pt idx="15925">
                  <c:v>1033143.765625</c:v>
                </c:pt>
                <c:pt idx="15926">
                  <c:v>1033668.09868</c:v>
                </c:pt>
                <c:pt idx="15927">
                  <c:v>1034192.609115</c:v>
                </c:pt>
                <c:pt idx="15928">
                  <c:v>1034717.2969600001</c:v>
                </c:pt>
                <c:pt idx="15929">
                  <c:v>1035242.162245</c:v>
                </c:pt>
                <c:pt idx="15930">
                  <c:v>1035767.205</c:v>
                </c:pt>
                <c:pt idx="15931">
                  <c:v>1036292.425255</c:v>
                </c:pt>
                <c:pt idx="15932">
                  <c:v>1036817.82304</c:v>
                </c:pt>
                <c:pt idx="15933">
                  <c:v>1037343.3983850001</c:v>
                </c:pt>
                <c:pt idx="15934">
                  <c:v>1037869.1513200001</c:v>
                </c:pt>
                <c:pt idx="15935">
                  <c:v>1038395.081875</c:v>
                </c:pt>
                <c:pt idx="15936">
                  <c:v>1038921.19008</c:v>
                </c:pt>
                <c:pt idx="15937">
                  <c:v>1039447.475965</c:v>
                </c:pt>
                <c:pt idx="15938">
                  <c:v>1039973.93956</c:v>
                </c:pt>
                <c:pt idx="15939">
                  <c:v>1040500.580895</c:v>
                </c:pt>
                <c:pt idx="15940">
                  <c:v>1041027.4</c:v>
                </c:pt>
                <c:pt idx="15941">
                  <c:v>1041554.3969050001</c:v>
                </c:pt>
                <c:pt idx="15942">
                  <c:v>1042081.5716400001</c:v>
                </c:pt>
                <c:pt idx="15943">
                  <c:v>1042608.924235</c:v>
                </c:pt>
                <c:pt idx="15944">
                  <c:v>1043136.4547199999</c:v>
                </c:pt>
                <c:pt idx="15945">
                  <c:v>1043664.1631250001</c:v>
                </c:pt>
                <c:pt idx="15946">
                  <c:v>1044192.0494799999</c:v>
                </c:pt>
                <c:pt idx="15947">
                  <c:v>1044720.113815</c:v>
                </c:pt>
                <c:pt idx="15948">
                  <c:v>1045248.35616</c:v>
                </c:pt>
                <c:pt idx="15949">
                  <c:v>1045776.7765449999</c:v>
                </c:pt>
                <c:pt idx="15950">
                  <c:v>1046305.375</c:v>
                </c:pt>
                <c:pt idx="15951">
                  <c:v>1046834.1515550001</c:v>
                </c:pt>
                <c:pt idx="15952">
                  <c:v>1047363.10624</c:v>
                </c:pt>
                <c:pt idx="15953">
                  <c:v>1047892.239085</c:v>
                </c:pt>
                <c:pt idx="15954">
                  <c:v>1048421.5501199999</c:v>
                </c:pt>
                <c:pt idx="15955">
                  <c:v>1048951.039375</c:v>
                </c:pt>
                <c:pt idx="15956">
                  <c:v>1049480.70688</c:v>
                </c:pt>
                <c:pt idx="15957">
                  <c:v>1050010.552665</c:v>
                </c:pt>
                <c:pt idx="15958">
                  <c:v>1050540.57676</c:v>
                </c:pt>
                <c:pt idx="15959">
                  <c:v>1051070.779195</c:v>
                </c:pt>
                <c:pt idx="15960">
                  <c:v>1051601.16</c:v>
                </c:pt>
                <c:pt idx="15961">
                  <c:v>1052131.719205</c:v>
                </c:pt>
                <c:pt idx="15962">
                  <c:v>1052662.45684</c:v>
                </c:pt>
                <c:pt idx="15963">
                  <c:v>1053193.372935</c:v>
                </c:pt>
                <c:pt idx="15964">
                  <c:v>1053724.46752</c:v>
                </c:pt>
                <c:pt idx="15965">
                  <c:v>1054255.740625</c:v>
                </c:pt>
                <c:pt idx="15966">
                  <c:v>1054787.19228</c:v>
                </c:pt>
                <c:pt idx="15967">
                  <c:v>1055318.8225150001</c:v>
                </c:pt>
                <c:pt idx="15968">
                  <c:v>1055850.63136</c:v>
                </c:pt>
                <c:pt idx="15969">
                  <c:v>1056382.618845</c:v>
                </c:pt>
                <c:pt idx="15970">
                  <c:v>1056914.785</c:v>
                </c:pt>
                <c:pt idx="15971">
                  <c:v>1057447.129855</c:v>
                </c:pt>
                <c:pt idx="15972">
                  <c:v>1057979.65344</c:v>
                </c:pt>
                <c:pt idx="15973">
                  <c:v>1058512.355785</c:v>
                </c:pt>
                <c:pt idx="15974">
                  <c:v>1059045.23692</c:v>
                </c:pt>
                <c:pt idx="15975">
                  <c:v>1059578.296875</c:v>
                </c:pt>
                <c:pt idx="15976">
                  <c:v>1060111.53568</c:v>
                </c:pt>
                <c:pt idx="15977">
                  <c:v>1060644.953365</c:v>
                </c:pt>
                <c:pt idx="15978">
                  <c:v>1061178.54996</c:v>
                </c:pt>
                <c:pt idx="15979">
                  <c:v>1061712.325495</c:v>
                </c:pt>
                <c:pt idx="15980">
                  <c:v>1062246.28</c:v>
                </c:pt>
                <c:pt idx="15981">
                  <c:v>1062780.413505</c:v>
                </c:pt>
                <c:pt idx="15982">
                  <c:v>1063314.72604</c:v>
                </c:pt>
                <c:pt idx="15983">
                  <c:v>1063849.2176350001</c:v>
                </c:pt>
                <c:pt idx="15984">
                  <c:v>1064383.8883200001</c:v>
                </c:pt>
                <c:pt idx="15985">
                  <c:v>1064918.7381250001</c:v>
                </c:pt>
                <c:pt idx="15986">
                  <c:v>1065453.7670800001</c:v>
                </c:pt>
                <c:pt idx="15987">
                  <c:v>1065988.9752149999</c:v>
                </c:pt>
                <c:pt idx="15988">
                  <c:v>1066524.36256</c:v>
                </c:pt>
                <c:pt idx="15989">
                  <c:v>1067059.929145</c:v>
                </c:pt>
                <c:pt idx="15990">
                  <c:v>1067595.6749999998</c:v>
                </c:pt>
                <c:pt idx="15991">
                  <c:v>1068131.6001549999</c:v>
                </c:pt>
                <c:pt idx="15992">
                  <c:v>1068667.70464</c:v>
                </c:pt>
                <c:pt idx="15993">
                  <c:v>1069203.988485</c:v>
                </c:pt>
                <c:pt idx="15994">
                  <c:v>1069740.45172</c:v>
                </c:pt>
                <c:pt idx="15995">
                  <c:v>1070277.0943749999</c:v>
                </c:pt>
                <c:pt idx="15996">
                  <c:v>1070813.91648</c:v>
                </c:pt>
                <c:pt idx="15997">
                  <c:v>1071350.9180649999</c:v>
                </c:pt>
                <c:pt idx="15998">
                  <c:v>1071888.09916</c:v>
                </c:pt>
                <c:pt idx="15999">
                  <c:v>1072425.459795</c:v>
                </c:pt>
                <c:pt idx="16000">
                  <c:v>1072963.0</c:v>
                </c:pt>
                <c:pt idx="16001">
                  <c:v>1073500.7198050001</c:v>
                </c:pt>
                <c:pt idx="16002">
                  <c:v>1074038.61924</c:v>
                </c:pt>
                <c:pt idx="16003">
                  <c:v>1074576.698335</c:v>
                </c:pt>
                <c:pt idx="16004">
                  <c:v>1075114.95712</c:v>
                </c:pt>
                <c:pt idx="16005">
                  <c:v>1075653.3956250001</c:v>
                </c:pt>
                <c:pt idx="16006">
                  <c:v>1076192.01388</c:v>
                </c:pt>
                <c:pt idx="16007">
                  <c:v>1076730.811915</c:v>
                </c:pt>
                <c:pt idx="16008">
                  <c:v>1077269.7897599998</c:v>
                </c:pt>
                <c:pt idx="16009">
                  <c:v>1077808.9474449998</c:v>
                </c:pt>
                <c:pt idx="16010">
                  <c:v>1078348.285</c:v>
                </c:pt>
                <c:pt idx="16011">
                  <c:v>1078887.8024549999</c:v>
                </c:pt>
                <c:pt idx="16012">
                  <c:v>1079427.49984</c:v>
                </c:pt>
                <c:pt idx="16013">
                  <c:v>1079967.377185</c:v>
                </c:pt>
                <c:pt idx="16014">
                  <c:v>1080507.43452</c:v>
                </c:pt>
                <c:pt idx="16015">
                  <c:v>1081047.671875</c:v>
                </c:pt>
                <c:pt idx="16016">
                  <c:v>1081588.08928</c:v>
                </c:pt>
                <c:pt idx="16017">
                  <c:v>1082128.686765</c:v>
                </c:pt>
                <c:pt idx="16018">
                  <c:v>1082669.4643599999</c:v>
                </c:pt>
                <c:pt idx="16019">
                  <c:v>1083210.4220949998</c:v>
                </c:pt>
                <c:pt idx="16020">
                  <c:v>1083751.5599999998</c:v>
                </c:pt>
                <c:pt idx="16021">
                  <c:v>1084292.8781050001</c:v>
                </c:pt>
                <c:pt idx="16022">
                  <c:v>1084834.37644</c:v>
                </c:pt>
                <c:pt idx="16023">
                  <c:v>1085376.055035</c:v>
                </c:pt>
                <c:pt idx="16024">
                  <c:v>1085917.91392</c:v>
                </c:pt>
                <c:pt idx="16025">
                  <c:v>1086459.953125</c:v>
                </c:pt>
                <c:pt idx="16026">
                  <c:v>1087002.17268</c:v>
                </c:pt>
                <c:pt idx="16027">
                  <c:v>1087544.572615</c:v>
                </c:pt>
                <c:pt idx="16028">
                  <c:v>1088087.15296</c:v>
                </c:pt>
                <c:pt idx="16029">
                  <c:v>1088629.913745</c:v>
                </c:pt>
                <c:pt idx="16030">
                  <c:v>1089172.855</c:v>
                </c:pt>
                <c:pt idx="16031">
                  <c:v>1089715.976755</c:v>
                </c:pt>
                <c:pt idx="16032">
                  <c:v>1090259.27904</c:v>
                </c:pt>
                <c:pt idx="16033">
                  <c:v>1090802.761885</c:v>
                </c:pt>
                <c:pt idx="16034">
                  <c:v>1091346.42532</c:v>
                </c:pt>
                <c:pt idx="16035">
                  <c:v>1091890.269375</c:v>
                </c:pt>
                <c:pt idx="16036">
                  <c:v>1092434.2940800001</c:v>
                </c:pt>
                <c:pt idx="16037">
                  <c:v>1092978.4994650001</c:v>
                </c:pt>
                <c:pt idx="16038">
                  <c:v>1093522.8855599998</c:v>
                </c:pt>
                <c:pt idx="16039">
                  <c:v>1094067.452395</c:v>
                </c:pt>
                <c:pt idx="16040">
                  <c:v>1094612.2</c:v>
                </c:pt>
                <c:pt idx="16041">
                  <c:v>1095157.128405</c:v>
                </c:pt>
                <c:pt idx="16042">
                  <c:v>1095702.23764</c:v>
                </c:pt>
                <c:pt idx="16043">
                  <c:v>1096247.527735</c:v>
                </c:pt>
                <c:pt idx="16044">
                  <c:v>1096792.99872</c:v>
                </c:pt>
                <c:pt idx="16045">
                  <c:v>1097338.650625</c:v>
                </c:pt>
                <c:pt idx="16046">
                  <c:v>1097884.4834800002</c:v>
                </c:pt>
                <c:pt idx="16047">
                  <c:v>1098430.497315</c:v>
                </c:pt>
                <c:pt idx="16048">
                  <c:v>1098976.69216</c:v>
                </c:pt>
                <c:pt idx="16049">
                  <c:v>1099523.0680449998</c:v>
                </c:pt>
                <c:pt idx="16050">
                  <c:v>1100069.625</c:v>
                </c:pt>
                <c:pt idx="16051">
                  <c:v>1100616.363055</c:v>
                </c:pt>
                <c:pt idx="16052">
                  <c:v>1101163.2822399999</c:v>
                </c:pt>
                <c:pt idx="16053">
                  <c:v>1101710.382585</c:v>
                </c:pt>
                <c:pt idx="16054">
                  <c:v>1102257.66412</c:v>
                </c:pt>
                <c:pt idx="16055">
                  <c:v>1102805.1268749998</c:v>
                </c:pt>
                <c:pt idx="16056">
                  <c:v>1103352.7708800002</c:v>
                </c:pt>
                <c:pt idx="16057">
                  <c:v>1103900.596165</c:v>
                </c:pt>
                <c:pt idx="16058">
                  <c:v>1104448.6027600002</c:v>
                </c:pt>
                <c:pt idx="16059">
                  <c:v>1104996.790695</c:v>
                </c:pt>
                <c:pt idx="16060">
                  <c:v>1105545.1600000001</c:v>
                </c:pt>
                <c:pt idx="16061">
                  <c:v>1106093.710705</c:v>
                </c:pt>
                <c:pt idx="16062">
                  <c:v>1106642.44284</c:v>
                </c:pt>
                <c:pt idx="16063">
                  <c:v>1107191.356435</c:v>
                </c:pt>
                <c:pt idx="16064">
                  <c:v>1107740.45152</c:v>
                </c:pt>
                <c:pt idx="16065">
                  <c:v>1108289.7281250001</c:v>
                </c:pt>
                <c:pt idx="16066">
                  <c:v>1108839.18628</c:v>
                </c:pt>
                <c:pt idx="16067">
                  <c:v>1109388.826015</c:v>
                </c:pt>
                <c:pt idx="16068">
                  <c:v>1109938.64736</c:v>
                </c:pt>
                <c:pt idx="16069">
                  <c:v>1110488.650345</c:v>
                </c:pt>
                <c:pt idx="16070">
                  <c:v>1111038.835</c:v>
                </c:pt>
                <c:pt idx="16071">
                  <c:v>1111589.201355</c:v>
                </c:pt>
                <c:pt idx="16072">
                  <c:v>1112139.7494400002</c:v>
                </c:pt>
                <c:pt idx="16073">
                  <c:v>1112690.4792850001</c:v>
                </c:pt>
                <c:pt idx="16074">
                  <c:v>1113241.39092</c:v>
                </c:pt>
                <c:pt idx="16075">
                  <c:v>1113792.484375</c:v>
                </c:pt>
                <c:pt idx="16076">
                  <c:v>1114343.75968</c:v>
                </c:pt>
                <c:pt idx="16077">
                  <c:v>1114895.216865</c:v>
                </c:pt>
                <c:pt idx="16078">
                  <c:v>1115446.85596</c:v>
                </c:pt>
                <c:pt idx="16079">
                  <c:v>1115998.676995</c:v>
                </c:pt>
                <c:pt idx="16080">
                  <c:v>1116550.68</c:v>
                </c:pt>
                <c:pt idx="16081">
                  <c:v>1117102.865005</c:v>
                </c:pt>
                <c:pt idx="16082">
                  <c:v>1117655.23204</c:v>
                </c:pt>
                <c:pt idx="16083">
                  <c:v>1118207.7811349998</c:v>
                </c:pt>
                <c:pt idx="16084">
                  <c:v>1118760.51232</c:v>
                </c:pt>
                <c:pt idx="16085">
                  <c:v>1119313.425625</c:v>
                </c:pt>
                <c:pt idx="16086">
                  <c:v>1119866.52108</c:v>
                </c:pt>
                <c:pt idx="16087">
                  <c:v>1120419.7987149998</c:v>
                </c:pt>
                <c:pt idx="16088">
                  <c:v>1120973.25856</c:v>
                </c:pt>
                <c:pt idx="16089">
                  <c:v>1121526.9006450002</c:v>
                </c:pt>
                <c:pt idx="16090">
                  <c:v>1122080.7249999999</c:v>
                </c:pt>
                <c:pt idx="16091">
                  <c:v>1122634.7316549998</c:v>
                </c:pt>
                <c:pt idx="16092">
                  <c:v>1123188.9206400001</c:v>
                </c:pt>
                <c:pt idx="16093">
                  <c:v>1123743.291985</c:v>
                </c:pt>
                <c:pt idx="16094">
                  <c:v>1124297.84572</c:v>
                </c:pt>
                <c:pt idx="16095">
                  <c:v>1124852.581875</c:v>
                </c:pt>
                <c:pt idx="16096">
                  <c:v>1125407.50048</c:v>
                </c:pt>
                <c:pt idx="16097">
                  <c:v>1125962.6015650001</c:v>
                </c:pt>
                <c:pt idx="16098">
                  <c:v>1126517.88516</c:v>
                </c:pt>
                <c:pt idx="16099">
                  <c:v>1127073.351295</c:v>
                </c:pt>
                <c:pt idx="16100">
                  <c:v>1127629.0</c:v>
                </c:pt>
                <c:pt idx="16101">
                  <c:v>1128184.831305</c:v>
                </c:pt>
                <c:pt idx="16102">
                  <c:v>1128740.84524</c:v>
                </c:pt>
                <c:pt idx="16103">
                  <c:v>1129297.0418349998</c:v>
                </c:pt>
                <c:pt idx="16104">
                  <c:v>1129853.42112</c:v>
                </c:pt>
                <c:pt idx="16105">
                  <c:v>1130409.983125</c:v>
                </c:pt>
                <c:pt idx="16106">
                  <c:v>1130966.72788</c:v>
                </c:pt>
                <c:pt idx="16107">
                  <c:v>1131523.655415</c:v>
                </c:pt>
                <c:pt idx="16108">
                  <c:v>1132080.76576</c:v>
                </c:pt>
                <c:pt idx="16109">
                  <c:v>1132638.058945</c:v>
                </c:pt>
                <c:pt idx="16110">
                  <c:v>1133195.5350000001</c:v>
                </c:pt>
                <c:pt idx="16111">
                  <c:v>1133753.193955</c:v>
                </c:pt>
                <c:pt idx="16112">
                  <c:v>1134311.03584</c:v>
                </c:pt>
                <c:pt idx="16113">
                  <c:v>1134869.0606850001</c:v>
                </c:pt>
                <c:pt idx="16114">
                  <c:v>1135427.26852</c:v>
                </c:pt>
                <c:pt idx="16115">
                  <c:v>1135985.6593749998</c:v>
                </c:pt>
                <c:pt idx="16116">
                  <c:v>1136544.23328</c:v>
                </c:pt>
                <c:pt idx="16117">
                  <c:v>1137102.990265</c:v>
                </c:pt>
                <c:pt idx="16118">
                  <c:v>1137661.9303599999</c:v>
                </c:pt>
                <c:pt idx="16119">
                  <c:v>1138221.053595</c:v>
                </c:pt>
                <c:pt idx="16120">
                  <c:v>1138780.3599999999</c:v>
                </c:pt>
                <c:pt idx="16121">
                  <c:v>1139339.8496049999</c:v>
                </c:pt>
                <c:pt idx="16122">
                  <c:v>1139899.52244</c:v>
                </c:pt>
                <c:pt idx="16123">
                  <c:v>1140459.3785350001</c:v>
                </c:pt>
                <c:pt idx="16124">
                  <c:v>1141019.41792</c:v>
                </c:pt>
                <c:pt idx="16125">
                  <c:v>1141579.640625</c:v>
                </c:pt>
                <c:pt idx="16126">
                  <c:v>1142140.0466800001</c:v>
                </c:pt>
                <c:pt idx="16127">
                  <c:v>1142700.6361150001</c:v>
                </c:pt>
                <c:pt idx="16128">
                  <c:v>1143261.40896</c:v>
                </c:pt>
                <c:pt idx="16129">
                  <c:v>1143822.3652450002</c:v>
                </c:pt>
                <c:pt idx="16130">
                  <c:v>1144383.5050000001</c:v>
                </c:pt>
                <c:pt idx="16131">
                  <c:v>1144944.828255</c:v>
                </c:pt>
                <c:pt idx="16132">
                  <c:v>1145506.33504</c:v>
                </c:pt>
                <c:pt idx="16133">
                  <c:v>1146068.025385</c:v>
                </c:pt>
                <c:pt idx="16134">
                  <c:v>1146629.89932</c:v>
                </c:pt>
                <c:pt idx="16135">
                  <c:v>1147191.956875</c:v>
                </c:pt>
                <c:pt idx="16136">
                  <c:v>1147754.19808</c:v>
                </c:pt>
                <c:pt idx="16137">
                  <c:v>1148316.622965</c:v>
                </c:pt>
                <c:pt idx="16138">
                  <c:v>1148879.23156</c:v>
                </c:pt>
                <c:pt idx="16139">
                  <c:v>1149442.0238949999</c:v>
                </c:pt>
                <c:pt idx="16140">
                  <c:v>1150005.0</c:v>
                </c:pt>
                <c:pt idx="16141">
                  <c:v>1150568.159905</c:v>
                </c:pt>
                <c:pt idx="16142">
                  <c:v>1151131.5036400002</c:v>
                </c:pt>
                <c:pt idx="16143">
                  <c:v>1151695.0312350001</c:v>
                </c:pt>
                <c:pt idx="16144">
                  <c:v>1152258.7427200002</c:v>
                </c:pt>
                <c:pt idx="16145">
                  <c:v>1152822.638125</c:v>
                </c:pt>
                <c:pt idx="16146">
                  <c:v>1153386.7174799999</c:v>
                </c:pt>
                <c:pt idx="16147">
                  <c:v>1153950.980815</c:v>
                </c:pt>
                <c:pt idx="16148">
                  <c:v>1154515.4281600001</c:v>
                </c:pt>
                <c:pt idx="16149">
                  <c:v>1155080.0595449999</c:v>
                </c:pt>
                <c:pt idx="16150">
                  <c:v>1155644.875</c:v>
                </c:pt>
                <c:pt idx="16151">
                  <c:v>1156209.8745549999</c:v>
                </c:pt>
                <c:pt idx="16152">
                  <c:v>1156775.05824</c:v>
                </c:pt>
                <c:pt idx="16153">
                  <c:v>1157340.426085</c:v>
                </c:pt>
                <c:pt idx="16154">
                  <c:v>1157905.9781199999</c:v>
                </c:pt>
                <c:pt idx="16155">
                  <c:v>1158471.714375</c:v>
                </c:pt>
                <c:pt idx="16156">
                  <c:v>1159037.6348799998</c:v>
                </c:pt>
                <c:pt idx="16157">
                  <c:v>1159603.739665</c:v>
                </c:pt>
                <c:pt idx="16158">
                  <c:v>1160170.02876</c:v>
                </c:pt>
                <c:pt idx="16159">
                  <c:v>1160736.502195</c:v>
                </c:pt>
                <c:pt idx="16160">
                  <c:v>1161303.16</c:v>
                </c:pt>
                <c:pt idx="16161">
                  <c:v>1161870.002205</c:v>
                </c:pt>
                <c:pt idx="16162">
                  <c:v>1162437.02884</c:v>
                </c:pt>
                <c:pt idx="16163">
                  <c:v>1163004.239935</c:v>
                </c:pt>
                <c:pt idx="16164">
                  <c:v>1163571.63552</c:v>
                </c:pt>
                <c:pt idx="16165">
                  <c:v>1164139.215625</c:v>
                </c:pt>
                <c:pt idx="16166">
                  <c:v>1164706.98028</c:v>
                </c:pt>
                <c:pt idx="16167">
                  <c:v>1165274.929515</c:v>
                </c:pt>
                <c:pt idx="16168">
                  <c:v>1165843.06336</c:v>
                </c:pt>
                <c:pt idx="16169">
                  <c:v>1166411.381845</c:v>
                </c:pt>
                <c:pt idx="16170">
                  <c:v>1166979.885</c:v>
                </c:pt>
                <c:pt idx="16171">
                  <c:v>1167548.5728550002</c:v>
                </c:pt>
                <c:pt idx="16172">
                  <c:v>1168117.44544</c:v>
                </c:pt>
                <c:pt idx="16173">
                  <c:v>1168686.502785</c:v>
                </c:pt>
                <c:pt idx="16174">
                  <c:v>1169255.74492</c:v>
                </c:pt>
                <c:pt idx="16175">
                  <c:v>1169825.171875</c:v>
                </c:pt>
                <c:pt idx="16176">
                  <c:v>1170394.7836799999</c:v>
                </c:pt>
                <c:pt idx="16177">
                  <c:v>1170964.580365</c:v>
                </c:pt>
                <c:pt idx="16178">
                  <c:v>1171534.56196</c:v>
                </c:pt>
                <c:pt idx="16179">
                  <c:v>1172104.728495</c:v>
                </c:pt>
                <c:pt idx="16180">
                  <c:v>1172675.0799999998</c:v>
                </c:pt>
                <c:pt idx="16181">
                  <c:v>1173245.616505</c:v>
                </c:pt>
                <c:pt idx="16182">
                  <c:v>1173816.33804</c:v>
                </c:pt>
                <c:pt idx="16183">
                  <c:v>1174387.244635</c:v>
                </c:pt>
                <c:pt idx="16184">
                  <c:v>1174958.33632</c:v>
                </c:pt>
                <c:pt idx="16185">
                  <c:v>1175529.613125</c:v>
                </c:pt>
                <c:pt idx="16186">
                  <c:v>1176101.0750799999</c:v>
                </c:pt>
                <c:pt idx="16187">
                  <c:v>1176672.722215</c:v>
                </c:pt>
                <c:pt idx="16188">
                  <c:v>1177244.55456</c:v>
                </c:pt>
                <c:pt idx="16189">
                  <c:v>1177816.572145</c:v>
                </c:pt>
                <c:pt idx="16190">
                  <c:v>1178388.7750000001</c:v>
                </c:pt>
                <c:pt idx="16191">
                  <c:v>1178961.163155</c:v>
                </c:pt>
                <c:pt idx="16192">
                  <c:v>1179533.73664</c:v>
                </c:pt>
                <c:pt idx="16193">
                  <c:v>1180106.495485</c:v>
                </c:pt>
                <c:pt idx="16194">
                  <c:v>1180679.43972</c:v>
                </c:pt>
                <c:pt idx="16195">
                  <c:v>1181252.569375</c:v>
                </c:pt>
                <c:pt idx="16196">
                  <c:v>1181825.88448</c:v>
                </c:pt>
                <c:pt idx="16197">
                  <c:v>1182399.3850649998</c:v>
                </c:pt>
                <c:pt idx="16198">
                  <c:v>1182973.07116</c:v>
                </c:pt>
                <c:pt idx="16199">
                  <c:v>1183546.9427949998</c:v>
                </c:pt>
                <c:pt idx="16200">
                  <c:v>1184121.0</c:v>
                </c:pt>
                <c:pt idx="16201">
                  <c:v>1184695.242805</c:v>
                </c:pt>
                <c:pt idx="16202">
                  <c:v>1185269.67124</c:v>
                </c:pt>
                <c:pt idx="16203">
                  <c:v>1185844.2853350001</c:v>
                </c:pt>
                <c:pt idx="16204">
                  <c:v>1186419.08512</c:v>
                </c:pt>
                <c:pt idx="16205">
                  <c:v>1186994.070625</c:v>
                </c:pt>
                <c:pt idx="16206">
                  <c:v>1187569.24188</c:v>
                </c:pt>
                <c:pt idx="16207">
                  <c:v>1188144.598915</c:v>
                </c:pt>
                <c:pt idx="16208">
                  <c:v>1188720.14176</c:v>
                </c:pt>
                <c:pt idx="16209">
                  <c:v>1189295.870445</c:v>
                </c:pt>
                <c:pt idx="16210">
                  <c:v>1189871.785</c:v>
                </c:pt>
                <c:pt idx="16211">
                  <c:v>1190447.885455</c:v>
                </c:pt>
                <c:pt idx="16212">
                  <c:v>1191024.17184</c:v>
                </c:pt>
                <c:pt idx="16213">
                  <c:v>1191600.6441849999</c:v>
                </c:pt>
                <c:pt idx="16214">
                  <c:v>1192177.3025200001</c:v>
                </c:pt>
                <c:pt idx="16215">
                  <c:v>1192754.1468749999</c:v>
                </c:pt>
                <c:pt idx="16216">
                  <c:v>1193331.17728</c:v>
                </c:pt>
                <c:pt idx="16217">
                  <c:v>1193908.393765</c:v>
                </c:pt>
                <c:pt idx="16218">
                  <c:v>1194485.79636</c:v>
                </c:pt>
                <c:pt idx="16219">
                  <c:v>1195063.385095</c:v>
                </c:pt>
                <c:pt idx="16220">
                  <c:v>1195641.16</c:v>
                </c:pt>
                <c:pt idx="16221">
                  <c:v>1196219.1211050001</c:v>
                </c:pt>
                <c:pt idx="16222">
                  <c:v>1196797.2684399998</c:v>
                </c:pt>
                <c:pt idx="16223">
                  <c:v>1197375.602035</c:v>
                </c:pt>
                <c:pt idx="16224">
                  <c:v>1197954.12192</c:v>
                </c:pt>
                <c:pt idx="16225">
                  <c:v>1198532.828125</c:v>
                </c:pt>
                <c:pt idx="16226">
                  <c:v>1199111.72068</c:v>
                </c:pt>
                <c:pt idx="16227">
                  <c:v>1199690.7996150001</c:v>
                </c:pt>
                <c:pt idx="16228">
                  <c:v>1200270.06496</c:v>
                </c:pt>
                <c:pt idx="16229">
                  <c:v>1200849.5167450001</c:v>
                </c:pt>
                <c:pt idx="16230">
                  <c:v>1201429.155</c:v>
                </c:pt>
                <c:pt idx="16231">
                  <c:v>1202008.979755</c:v>
                </c:pt>
                <c:pt idx="16232">
                  <c:v>1202588.99104</c:v>
                </c:pt>
                <c:pt idx="16233">
                  <c:v>1203169.188885</c:v>
                </c:pt>
                <c:pt idx="16234">
                  <c:v>1203749.57332</c:v>
                </c:pt>
                <c:pt idx="16235">
                  <c:v>1204330.1443750001</c:v>
                </c:pt>
                <c:pt idx="16236">
                  <c:v>1204910.90208</c:v>
                </c:pt>
                <c:pt idx="16237">
                  <c:v>1205491.8464650002</c:v>
                </c:pt>
                <c:pt idx="16238">
                  <c:v>1206072.97756</c:v>
                </c:pt>
                <c:pt idx="16239">
                  <c:v>1206654.295395</c:v>
                </c:pt>
                <c:pt idx="16240">
                  <c:v>1207235.8</c:v>
                </c:pt>
                <c:pt idx="16241">
                  <c:v>1207817.491405</c:v>
                </c:pt>
                <c:pt idx="16242">
                  <c:v>1208399.3696400002</c:v>
                </c:pt>
                <c:pt idx="16243">
                  <c:v>1208981.4347350001</c:v>
                </c:pt>
                <c:pt idx="16244">
                  <c:v>1209563.6867199999</c:v>
                </c:pt>
                <c:pt idx="16245">
                  <c:v>1210146.1256249999</c:v>
                </c:pt>
                <c:pt idx="16246">
                  <c:v>1210728.75148</c:v>
                </c:pt>
                <c:pt idx="16247">
                  <c:v>1211311.564315</c:v>
                </c:pt>
                <c:pt idx="16248">
                  <c:v>1211894.56416</c:v>
                </c:pt>
                <c:pt idx="16249">
                  <c:v>1212477.751045</c:v>
                </c:pt>
                <c:pt idx="16250">
                  <c:v>1213061.125</c:v>
                </c:pt>
                <c:pt idx="16251">
                  <c:v>1213644.686055</c:v>
                </c:pt>
                <c:pt idx="16252">
                  <c:v>1214228.43424</c:v>
                </c:pt>
                <c:pt idx="16253">
                  <c:v>1214812.369585</c:v>
                </c:pt>
                <c:pt idx="16254">
                  <c:v>1215396.49212</c:v>
                </c:pt>
                <c:pt idx="16255">
                  <c:v>1215980.8018750001</c:v>
                </c:pt>
                <c:pt idx="16256">
                  <c:v>1216565.29888</c:v>
                </c:pt>
                <c:pt idx="16257">
                  <c:v>1217149.9831649999</c:v>
                </c:pt>
                <c:pt idx="16258">
                  <c:v>1217734.85476</c:v>
                </c:pt>
                <c:pt idx="16259">
                  <c:v>1218319.913695</c:v>
                </c:pt>
                <c:pt idx="16260">
                  <c:v>1218905.16</c:v>
                </c:pt>
                <c:pt idx="16261">
                  <c:v>1219490.5937050001</c:v>
                </c:pt>
                <c:pt idx="16262">
                  <c:v>1220076.21484</c:v>
                </c:pt>
                <c:pt idx="16263">
                  <c:v>1220662.0234349999</c:v>
                </c:pt>
                <c:pt idx="16264">
                  <c:v>1221248.01952</c:v>
                </c:pt>
                <c:pt idx="16265">
                  <c:v>1221834.203125</c:v>
                </c:pt>
                <c:pt idx="16266">
                  <c:v>1222420.57428</c:v>
                </c:pt>
                <c:pt idx="16267">
                  <c:v>1223007.133015</c:v>
                </c:pt>
                <c:pt idx="16268">
                  <c:v>1223593.8793600001</c:v>
                </c:pt>
                <c:pt idx="16269">
                  <c:v>1224180.8133450001</c:v>
                </c:pt>
                <c:pt idx="16270">
                  <c:v>1224767.935</c:v>
                </c:pt>
                <c:pt idx="16271">
                  <c:v>1225355.2443549999</c:v>
                </c:pt>
                <c:pt idx="16272">
                  <c:v>1225942.74144</c:v>
                </c:pt>
                <c:pt idx="16273">
                  <c:v>1226530.426285</c:v>
                </c:pt>
                <c:pt idx="16274">
                  <c:v>1227118.29892</c:v>
                </c:pt>
                <c:pt idx="16275">
                  <c:v>1227706.359375</c:v>
                </c:pt>
                <c:pt idx="16276">
                  <c:v>1228294.60768</c:v>
                </c:pt>
                <c:pt idx="16277">
                  <c:v>1228883.043865</c:v>
                </c:pt>
                <c:pt idx="16278">
                  <c:v>1229471.66796</c:v>
                </c:pt>
                <c:pt idx="16279">
                  <c:v>1230060.4799950002</c:v>
                </c:pt>
                <c:pt idx="16280">
                  <c:v>1230649.48</c:v>
                </c:pt>
                <c:pt idx="16281">
                  <c:v>1231238.6680049999</c:v>
                </c:pt>
                <c:pt idx="16282">
                  <c:v>1231828.04404</c:v>
                </c:pt>
                <c:pt idx="16283">
                  <c:v>1232417.608135</c:v>
                </c:pt>
                <c:pt idx="16284">
                  <c:v>1233007.36032</c:v>
                </c:pt>
                <c:pt idx="16285">
                  <c:v>1233597.300625</c:v>
                </c:pt>
                <c:pt idx="16286">
                  <c:v>1234187.4290800001</c:v>
                </c:pt>
                <c:pt idx="16287">
                  <c:v>1234777.745715</c:v>
                </c:pt>
                <c:pt idx="16288">
                  <c:v>1235368.25056</c:v>
                </c:pt>
                <c:pt idx="16289">
                  <c:v>1235958.943645</c:v>
                </c:pt>
                <c:pt idx="16290">
                  <c:v>1236549.825</c:v>
                </c:pt>
                <c:pt idx="16291">
                  <c:v>1237140.894655</c:v>
                </c:pt>
                <c:pt idx="16292">
                  <c:v>1237732.15264</c:v>
                </c:pt>
                <c:pt idx="16293">
                  <c:v>1238323.598985</c:v>
                </c:pt>
                <c:pt idx="16294">
                  <c:v>1238915.23372</c:v>
                </c:pt>
                <c:pt idx="16295">
                  <c:v>1239507.056875</c:v>
                </c:pt>
                <c:pt idx="16296">
                  <c:v>1240099.06848</c:v>
                </c:pt>
                <c:pt idx="16297">
                  <c:v>1240691.268565</c:v>
                </c:pt>
                <c:pt idx="16298">
                  <c:v>1241283.65716</c:v>
                </c:pt>
                <c:pt idx="16299">
                  <c:v>1241876.234295</c:v>
                </c:pt>
                <c:pt idx="16300">
                  <c:v>1242469.0</c:v>
                </c:pt>
                <c:pt idx="16301">
                  <c:v>1243061.954305</c:v>
                </c:pt>
                <c:pt idx="16302">
                  <c:v>1243655.0972400003</c:v>
                </c:pt>
                <c:pt idx="16303">
                  <c:v>1244248.428835</c:v>
                </c:pt>
                <c:pt idx="16304">
                  <c:v>1244841.94912</c:v>
                </c:pt>
                <c:pt idx="16305">
                  <c:v>1245435.6581249998</c:v>
                </c:pt>
                <c:pt idx="16306">
                  <c:v>1246029.5558799999</c:v>
                </c:pt>
                <c:pt idx="16307">
                  <c:v>1246623.6424150001</c:v>
                </c:pt>
                <c:pt idx="16308">
                  <c:v>1247217.91776</c:v>
                </c:pt>
                <c:pt idx="16309">
                  <c:v>1247812.381945</c:v>
                </c:pt>
                <c:pt idx="16310">
                  <c:v>1248407.0350000001</c:v>
                </c:pt>
                <c:pt idx="16311">
                  <c:v>1249001.876955</c:v>
                </c:pt>
                <c:pt idx="16312">
                  <c:v>1249596.90784</c:v>
                </c:pt>
                <c:pt idx="16313">
                  <c:v>1250192.127685</c:v>
                </c:pt>
                <c:pt idx="16314">
                  <c:v>1250787.53652</c:v>
                </c:pt>
                <c:pt idx="16315">
                  <c:v>1251383.1343750001</c:v>
                </c:pt>
                <c:pt idx="16316">
                  <c:v>1251978.9212800001</c:v>
                </c:pt>
                <c:pt idx="16317">
                  <c:v>1252574.897265</c:v>
                </c:pt>
                <c:pt idx="16318">
                  <c:v>1253171.0623599999</c:v>
                </c:pt>
                <c:pt idx="16319">
                  <c:v>1253767.4165949998</c:v>
                </c:pt>
                <c:pt idx="16320">
                  <c:v>1254363.96</c:v>
                </c:pt>
                <c:pt idx="16321">
                  <c:v>1254960.692605</c:v>
                </c:pt>
                <c:pt idx="16322">
                  <c:v>1255557.61444</c:v>
                </c:pt>
                <c:pt idx="16323">
                  <c:v>1256154.725535</c:v>
                </c:pt>
                <c:pt idx="16324">
                  <c:v>1256752.0259200002</c:v>
                </c:pt>
                <c:pt idx="16325">
                  <c:v>1257349.515625</c:v>
                </c:pt>
                <c:pt idx="16326">
                  <c:v>1257947.19468</c:v>
                </c:pt>
                <c:pt idx="16327">
                  <c:v>1258545.063115</c:v>
                </c:pt>
                <c:pt idx="16328">
                  <c:v>1259143.12096</c:v>
                </c:pt>
                <c:pt idx="16329">
                  <c:v>1259741.368245</c:v>
                </c:pt>
                <c:pt idx="16330">
                  <c:v>1260339.805</c:v>
                </c:pt>
                <c:pt idx="16331">
                  <c:v>1260938.431255</c:v>
                </c:pt>
                <c:pt idx="16332">
                  <c:v>1261537.2470399998</c:v>
                </c:pt>
                <c:pt idx="16333">
                  <c:v>1262136.252385</c:v>
                </c:pt>
                <c:pt idx="16334">
                  <c:v>1262735.4473199998</c:v>
                </c:pt>
                <c:pt idx="16335">
                  <c:v>1263334.831875</c:v>
                </c:pt>
                <c:pt idx="16336">
                  <c:v>1263934.4060799999</c:v>
                </c:pt>
                <c:pt idx="16337">
                  <c:v>1264534.1699650001</c:v>
                </c:pt>
                <c:pt idx="16338">
                  <c:v>1265134.12356</c:v>
                </c:pt>
                <c:pt idx="16339">
                  <c:v>1265734.266895</c:v>
                </c:pt>
                <c:pt idx="16340">
                  <c:v>1266334.5999999999</c:v>
                </c:pt>
                <c:pt idx="16341">
                  <c:v>1266935.1229049999</c:v>
                </c:pt>
                <c:pt idx="16342">
                  <c:v>1267535.83564</c:v>
                </c:pt>
                <c:pt idx="16343">
                  <c:v>1268136.738235</c:v>
                </c:pt>
                <c:pt idx="16344">
                  <c:v>1268737.83072</c:v>
                </c:pt>
                <c:pt idx="16345">
                  <c:v>1269339.113125</c:v>
                </c:pt>
                <c:pt idx="16346">
                  <c:v>1269940.5854800001</c:v>
                </c:pt>
                <c:pt idx="16347">
                  <c:v>1270542.247815</c:v>
                </c:pt>
                <c:pt idx="16348">
                  <c:v>1271144.10016</c:v>
                </c:pt>
                <c:pt idx="16349">
                  <c:v>1271746.142545</c:v>
                </c:pt>
                <c:pt idx="16350">
                  <c:v>1272348.375</c:v>
                </c:pt>
                <c:pt idx="16351">
                  <c:v>1272950.797555</c:v>
                </c:pt>
                <c:pt idx="16352">
                  <c:v>1273553.4102399999</c:v>
                </c:pt>
                <c:pt idx="16353">
                  <c:v>1274156.213085</c:v>
                </c:pt>
                <c:pt idx="16354">
                  <c:v>1274759.20612</c:v>
                </c:pt>
                <c:pt idx="16355">
                  <c:v>1275362.389375</c:v>
                </c:pt>
                <c:pt idx="16356">
                  <c:v>1275965.76288</c:v>
                </c:pt>
                <c:pt idx="16357">
                  <c:v>1276569.3266649998</c:v>
                </c:pt>
                <c:pt idx="16358">
                  <c:v>1277173.08076</c:v>
                </c:pt>
                <c:pt idx="16359">
                  <c:v>1277777.025195</c:v>
                </c:pt>
                <c:pt idx="16360">
                  <c:v>1278381.1600000001</c:v>
                </c:pt>
                <c:pt idx="16361">
                  <c:v>1278985.485205</c:v>
                </c:pt>
                <c:pt idx="16362">
                  <c:v>1279590.0008399999</c:v>
                </c:pt>
                <c:pt idx="16363">
                  <c:v>1280194.706935</c:v>
                </c:pt>
                <c:pt idx="16364">
                  <c:v>1280799.6035200001</c:v>
                </c:pt>
                <c:pt idx="16365">
                  <c:v>1281404.690625</c:v>
                </c:pt>
                <c:pt idx="16366">
                  <c:v>1282009.96828</c:v>
                </c:pt>
                <c:pt idx="16367">
                  <c:v>1282615.436515</c:v>
                </c:pt>
                <c:pt idx="16368">
                  <c:v>1283221.09536</c:v>
                </c:pt>
                <c:pt idx="16369">
                  <c:v>1283826.944845</c:v>
                </c:pt>
                <c:pt idx="16370">
                  <c:v>1284432.9849999999</c:v>
                </c:pt>
                <c:pt idx="16371">
                  <c:v>1285039.215855</c:v>
                </c:pt>
                <c:pt idx="16372">
                  <c:v>1285645.63744</c:v>
                </c:pt>
                <c:pt idx="16373">
                  <c:v>1286252.249785</c:v>
                </c:pt>
                <c:pt idx="16374">
                  <c:v>1286859.05292</c:v>
                </c:pt>
                <c:pt idx="16375">
                  <c:v>1287466.046875</c:v>
                </c:pt>
                <c:pt idx="16376">
                  <c:v>1288073.23168</c:v>
                </c:pt>
                <c:pt idx="16377">
                  <c:v>1288680.607365</c:v>
                </c:pt>
                <c:pt idx="16378">
                  <c:v>1289288.17396</c:v>
                </c:pt>
                <c:pt idx="16379">
                  <c:v>1289895.931495</c:v>
                </c:pt>
                <c:pt idx="16380">
                  <c:v>1290503.8800000001</c:v>
                </c:pt>
                <c:pt idx="16381">
                  <c:v>1291112.019505</c:v>
                </c:pt>
                <c:pt idx="16382">
                  <c:v>1291720.35004</c:v>
                </c:pt>
                <c:pt idx="16383">
                  <c:v>1292328.8716350002</c:v>
                </c:pt>
                <c:pt idx="16384">
                  <c:v>1292937.58432</c:v>
                </c:pt>
                <c:pt idx="16385">
                  <c:v>1293546.488125</c:v>
                </c:pt>
                <c:pt idx="16386">
                  <c:v>1294155.58308</c:v>
                </c:pt>
                <c:pt idx="16387">
                  <c:v>1294764.869215</c:v>
                </c:pt>
                <c:pt idx="16388">
                  <c:v>1295374.34656</c:v>
                </c:pt>
                <c:pt idx="16389">
                  <c:v>1295984.015145</c:v>
                </c:pt>
                <c:pt idx="16390">
                  <c:v>1296593.875</c:v>
                </c:pt>
                <c:pt idx="16391">
                  <c:v>1297203.926155</c:v>
                </c:pt>
                <c:pt idx="16392">
                  <c:v>1297814.16864</c:v>
                </c:pt>
                <c:pt idx="16393">
                  <c:v>1298424.602485</c:v>
                </c:pt>
                <c:pt idx="16394">
                  <c:v>1299035.22772</c:v>
                </c:pt>
                <c:pt idx="16395">
                  <c:v>1299646.044375</c:v>
                </c:pt>
                <c:pt idx="16396">
                  <c:v>1300257.05248</c:v>
                </c:pt>
                <c:pt idx="16397">
                  <c:v>1300868.252065</c:v>
                </c:pt>
                <c:pt idx="16398">
                  <c:v>1301479.64316</c:v>
                </c:pt>
                <c:pt idx="16399">
                  <c:v>1302091.225795</c:v>
                </c:pt>
                <c:pt idx="16400">
                  <c:v>1302703.0</c:v>
                </c:pt>
                <c:pt idx="16401">
                  <c:v>1303314.965805</c:v>
                </c:pt>
                <c:pt idx="16402">
                  <c:v>1303927.12324</c:v>
                </c:pt>
                <c:pt idx="16403">
                  <c:v>1304539.472335</c:v>
                </c:pt>
                <c:pt idx="16404">
                  <c:v>1305152.01312</c:v>
                </c:pt>
                <c:pt idx="16405">
                  <c:v>1305764.7456250002</c:v>
                </c:pt>
                <c:pt idx="16406">
                  <c:v>1306377.66988</c:v>
                </c:pt>
                <c:pt idx="16407">
                  <c:v>1306990.7859150001</c:v>
                </c:pt>
                <c:pt idx="16408">
                  <c:v>1307604.0937599998</c:v>
                </c:pt>
                <c:pt idx="16409">
                  <c:v>1308217.593445</c:v>
                </c:pt>
                <c:pt idx="16410">
                  <c:v>1308831.285</c:v>
                </c:pt>
                <c:pt idx="16411">
                  <c:v>1309445.168455</c:v>
                </c:pt>
                <c:pt idx="16412">
                  <c:v>1310059.24384</c:v>
                </c:pt>
                <c:pt idx="16413">
                  <c:v>1310673.511185</c:v>
                </c:pt>
                <c:pt idx="16414">
                  <c:v>1311287.97052</c:v>
                </c:pt>
                <c:pt idx="16415">
                  <c:v>1311902.621875</c:v>
                </c:pt>
                <c:pt idx="16416">
                  <c:v>1312517.46528</c:v>
                </c:pt>
                <c:pt idx="16417">
                  <c:v>1313132.500765</c:v>
                </c:pt>
                <c:pt idx="16418">
                  <c:v>1313747.7283599998</c:v>
                </c:pt>
                <c:pt idx="16419">
                  <c:v>1314363.148095</c:v>
                </c:pt>
                <c:pt idx="16420">
                  <c:v>1314978.76</c:v>
                </c:pt>
                <c:pt idx="16421">
                  <c:v>1315594.5641049999</c:v>
                </c:pt>
                <c:pt idx="16422">
                  <c:v>1316210.5604400001</c:v>
                </c:pt>
                <c:pt idx="16423">
                  <c:v>1316826.749035</c:v>
                </c:pt>
                <c:pt idx="16424">
                  <c:v>1317443.12992</c:v>
                </c:pt>
                <c:pt idx="16425">
                  <c:v>1318059.703125</c:v>
                </c:pt>
                <c:pt idx="16426">
                  <c:v>1318676.46868</c:v>
                </c:pt>
                <c:pt idx="16427">
                  <c:v>1319293.426615</c:v>
                </c:pt>
                <c:pt idx="16428">
                  <c:v>1319910.57696</c:v>
                </c:pt>
                <c:pt idx="16429">
                  <c:v>1320527.919745</c:v>
                </c:pt>
                <c:pt idx="16430">
                  <c:v>1321145.4549999998</c:v>
                </c:pt>
                <c:pt idx="16431">
                  <c:v>1321763.182755</c:v>
                </c:pt>
                <c:pt idx="16432">
                  <c:v>1322381.1030400002</c:v>
                </c:pt>
                <c:pt idx="16433">
                  <c:v>1322999.215885</c:v>
                </c:pt>
                <c:pt idx="16434">
                  <c:v>1323617.52132</c:v>
                </c:pt>
                <c:pt idx="16435">
                  <c:v>1324236.0193750001</c:v>
                </c:pt>
                <c:pt idx="16436">
                  <c:v>1324854.71008</c:v>
                </c:pt>
                <c:pt idx="16437">
                  <c:v>1325473.593465</c:v>
                </c:pt>
                <c:pt idx="16438">
                  <c:v>1326092.66956</c:v>
                </c:pt>
                <c:pt idx="16439">
                  <c:v>1326711.938395</c:v>
                </c:pt>
                <c:pt idx="16440">
                  <c:v>1327331.4000000001</c:v>
                </c:pt>
                <c:pt idx="16441">
                  <c:v>1327951.0544049998</c:v>
                </c:pt>
                <c:pt idx="16442">
                  <c:v>1328570.90164</c:v>
                </c:pt>
                <c:pt idx="16443">
                  <c:v>1329190.9417350001</c:v>
                </c:pt>
                <c:pt idx="16444">
                  <c:v>1329811.17472</c:v>
                </c:pt>
                <c:pt idx="16445">
                  <c:v>1330431.600625</c:v>
                </c:pt>
                <c:pt idx="16446">
                  <c:v>1331052.21948</c:v>
                </c:pt>
                <c:pt idx="16447">
                  <c:v>1331673.031315</c:v>
                </c:pt>
                <c:pt idx="16448">
                  <c:v>1332294.0361600001</c:v>
                </c:pt>
                <c:pt idx="16449">
                  <c:v>1332915.234045</c:v>
                </c:pt>
                <c:pt idx="16450">
                  <c:v>1333536.625</c:v>
                </c:pt>
                <c:pt idx="16451">
                  <c:v>1334158.209055</c:v>
                </c:pt>
                <c:pt idx="16452">
                  <c:v>1334779.98624</c:v>
                </c:pt>
                <c:pt idx="16453">
                  <c:v>1335401.956585</c:v>
                </c:pt>
                <c:pt idx="16454">
                  <c:v>1336024.12012</c:v>
                </c:pt>
                <c:pt idx="16455">
                  <c:v>1336646.476875</c:v>
                </c:pt>
                <c:pt idx="16456">
                  <c:v>1337269.02688</c:v>
                </c:pt>
                <c:pt idx="16457">
                  <c:v>1337891.7701649999</c:v>
                </c:pt>
                <c:pt idx="16458">
                  <c:v>1338514.7067600002</c:v>
                </c:pt>
                <c:pt idx="16459">
                  <c:v>1339137.836695</c:v>
                </c:pt>
                <c:pt idx="16460">
                  <c:v>1339761.16</c:v>
                </c:pt>
                <c:pt idx="16461">
                  <c:v>1340384.676705</c:v>
                </c:pt>
                <c:pt idx="16462">
                  <c:v>1341008.3868399998</c:v>
                </c:pt>
                <c:pt idx="16463">
                  <c:v>1341632.2904349999</c:v>
                </c:pt>
                <c:pt idx="16464">
                  <c:v>1342256.3875199999</c:v>
                </c:pt>
                <c:pt idx="16465">
                  <c:v>1342880.6781249999</c:v>
                </c:pt>
                <c:pt idx="16466">
                  <c:v>1343505.16228</c:v>
                </c:pt>
                <c:pt idx="16467">
                  <c:v>1344129.8400150002</c:v>
                </c:pt>
                <c:pt idx="16468">
                  <c:v>1344754.71136</c:v>
                </c:pt>
                <c:pt idx="16469">
                  <c:v>1345379.7763450001</c:v>
                </c:pt>
                <c:pt idx="16470">
                  <c:v>1346005.035</c:v>
                </c:pt>
                <c:pt idx="16471">
                  <c:v>1346630.4873549999</c:v>
                </c:pt>
                <c:pt idx="16472">
                  <c:v>1347256.13344</c:v>
                </c:pt>
                <c:pt idx="16473">
                  <c:v>1347881.973285</c:v>
                </c:pt>
                <c:pt idx="16474">
                  <c:v>1348508.00692</c:v>
                </c:pt>
                <c:pt idx="16475">
                  <c:v>1349134.234375</c:v>
                </c:pt>
                <c:pt idx="16476">
                  <c:v>1349760.65568</c:v>
                </c:pt>
                <c:pt idx="16477">
                  <c:v>1350387.270865</c:v>
                </c:pt>
                <c:pt idx="16478">
                  <c:v>1351014.07996</c:v>
                </c:pt>
                <c:pt idx="16479">
                  <c:v>1351641.0829949998</c:v>
                </c:pt>
                <c:pt idx="16480">
                  <c:v>1352268.28</c:v>
                </c:pt>
                <c:pt idx="16481">
                  <c:v>1352895.671005</c:v>
                </c:pt>
                <c:pt idx="16482">
                  <c:v>1353523.2560400001</c:v>
                </c:pt>
                <c:pt idx="16483">
                  <c:v>1354151.035135</c:v>
                </c:pt>
                <c:pt idx="16484">
                  <c:v>1354779.00832</c:v>
                </c:pt>
                <c:pt idx="16485">
                  <c:v>1355407.1756250001</c:v>
                </c:pt>
                <c:pt idx="16486">
                  <c:v>1356035.53708</c:v>
                </c:pt>
                <c:pt idx="16487">
                  <c:v>1356664.092715</c:v>
                </c:pt>
                <c:pt idx="16488">
                  <c:v>1357292.84256</c:v>
                </c:pt>
                <c:pt idx="16489">
                  <c:v>1357921.786645</c:v>
                </c:pt>
                <c:pt idx="16490">
                  <c:v>1358550.925</c:v>
                </c:pt>
                <c:pt idx="16491">
                  <c:v>1359180.2576549998</c:v>
                </c:pt>
                <c:pt idx="16492">
                  <c:v>1359809.78464</c:v>
                </c:pt>
                <c:pt idx="16493">
                  <c:v>1360439.505985</c:v>
                </c:pt>
                <c:pt idx="16494">
                  <c:v>1361069.42172</c:v>
                </c:pt>
                <c:pt idx="16495">
                  <c:v>1361699.5318749999</c:v>
                </c:pt>
                <c:pt idx="16496">
                  <c:v>1362329.83648</c:v>
                </c:pt>
                <c:pt idx="16497">
                  <c:v>1362960.335565</c:v>
                </c:pt>
                <c:pt idx="16498">
                  <c:v>1363591.02916</c:v>
                </c:pt>
                <c:pt idx="16499">
                  <c:v>1364221.917295</c:v>
                </c:pt>
                <c:pt idx="16500">
                  <c:v>1364853.0</c:v>
                </c:pt>
                <c:pt idx="16501">
                  <c:v>1365484.277305</c:v>
                </c:pt>
                <c:pt idx="16502">
                  <c:v>1366115.74924</c:v>
                </c:pt>
                <c:pt idx="16503">
                  <c:v>1366747.4158349999</c:v>
                </c:pt>
                <c:pt idx="16504">
                  <c:v>1367379.27712</c:v>
                </c:pt>
                <c:pt idx="16505">
                  <c:v>1368011.3331250001</c:v>
                </c:pt>
                <c:pt idx="16506">
                  <c:v>1368643.58388</c:v>
                </c:pt>
                <c:pt idx="16507">
                  <c:v>1369276.029415</c:v>
                </c:pt>
                <c:pt idx="16508">
                  <c:v>1369908.66976</c:v>
                </c:pt>
                <c:pt idx="16509">
                  <c:v>1370541.504945</c:v>
                </c:pt>
                <c:pt idx="16510">
                  <c:v>1371174.535</c:v>
                </c:pt>
                <c:pt idx="16511">
                  <c:v>1371807.759955</c:v>
                </c:pt>
                <c:pt idx="16512">
                  <c:v>1372441.1798399999</c:v>
                </c:pt>
                <c:pt idx="16513">
                  <c:v>1373074.7946849999</c:v>
                </c:pt>
                <c:pt idx="16514">
                  <c:v>1373708.60452</c:v>
                </c:pt>
                <c:pt idx="16515">
                  <c:v>1374342.609375</c:v>
                </c:pt>
                <c:pt idx="16516">
                  <c:v>1374976.8092800002</c:v>
                </c:pt>
                <c:pt idx="16517">
                  <c:v>1375611.204265</c:v>
                </c:pt>
                <c:pt idx="16518">
                  <c:v>1376245.7943600002</c:v>
                </c:pt>
                <c:pt idx="16519">
                  <c:v>1376880.579595</c:v>
                </c:pt>
                <c:pt idx="16520">
                  <c:v>1377515.5599999998</c:v>
                </c:pt>
                <c:pt idx="16521">
                  <c:v>1378150.735605</c:v>
                </c:pt>
                <c:pt idx="16522">
                  <c:v>1378786.10644</c:v>
                </c:pt>
                <c:pt idx="16523">
                  <c:v>1379421.672535</c:v>
                </c:pt>
                <c:pt idx="16524">
                  <c:v>1380057.43392</c:v>
                </c:pt>
                <c:pt idx="16525">
                  <c:v>1380693.390625</c:v>
                </c:pt>
                <c:pt idx="16526">
                  <c:v>1381329.54268</c:v>
                </c:pt>
                <c:pt idx="16527">
                  <c:v>1381965.890115</c:v>
                </c:pt>
                <c:pt idx="16528">
                  <c:v>1382602.4329600001</c:v>
                </c:pt>
                <c:pt idx="16529">
                  <c:v>1383239.171245</c:v>
                </c:pt>
                <c:pt idx="16530">
                  <c:v>1383876.105</c:v>
                </c:pt>
                <c:pt idx="16531">
                  <c:v>1384513.234255</c:v>
                </c:pt>
                <c:pt idx="16532">
                  <c:v>1385150.55904</c:v>
                </c:pt>
                <c:pt idx="16533">
                  <c:v>1385788.079385</c:v>
                </c:pt>
                <c:pt idx="16534">
                  <c:v>1386425.79532</c:v>
                </c:pt>
                <c:pt idx="16535">
                  <c:v>1387063.706875</c:v>
                </c:pt>
                <c:pt idx="16536">
                  <c:v>1387701.81408</c:v>
                </c:pt>
                <c:pt idx="16537">
                  <c:v>1388340.116965</c:v>
                </c:pt>
                <c:pt idx="16538">
                  <c:v>1388978.61556</c:v>
                </c:pt>
                <c:pt idx="16539">
                  <c:v>1389617.309895</c:v>
                </c:pt>
                <c:pt idx="16540">
                  <c:v>1390256.2</c:v>
                </c:pt>
                <c:pt idx="16541">
                  <c:v>1390895.285905</c:v>
                </c:pt>
                <c:pt idx="16542">
                  <c:v>1391534.5676399998</c:v>
                </c:pt>
                <c:pt idx="16543">
                  <c:v>1392174.045235</c:v>
                </c:pt>
                <c:pt idx="16544">
                  <c:v>1392813.71872</c:v>
                </c:pt>
                <c:pt idx="16545">
                  <c:v>1393453.588125</c:v>
                </c:pt>
                <c:pt idx="16546">
                  <c:v>1394093.65348</c:v>
                </c:pt>
                <c:pt idx="16547">
                  <c:v>1394733.914815</c:v>
                </c:pt>
                <c:pt idx="16548">
                  <c:v>1395374.37216</c:v>
                </c:pt>
                <c:pt idx="16549">
                  <c:v>1396015.0255449999</c:v>
                </c:pt>
                <c:pt idx="16550">
                  <c:v>1396655.875</c:v>
                </c:pt>
                <c:pt idx="16551">
                  <c:v>1397296.920555</c:v>
                </c:pt>
                <c:pt idx="16552">
                  <c:v>1397938.16224</c:v>
                </c:pt>
                <c:pt idx="16553">
                  <c:v>1398579.600085</c:v>
                </c:pt>
                <c:pt idx="16554">
                  <c:v>1399221.2341200002</c:v>
                </c:pt>
                <c:pt idx="16555">
                  <c:v>1399863.0643749998</c:v>
                </c:pt>
                <c:pt idx="16556">
                  <c:v>1400505.09088</c:v>
                </c:pt>
                <c:pt idx="16557">
                  <c:v>1401147.313665</c:v>
                </c:pt>
                <c:pt idx="16558">
                  <c:v>1401789.73276</c:v>
                </c:pt>
                <c:pt idx="16559">
                  <c:v>1402432.3481949999</c:v>
                </c:pt>
                <c:pt idx="16560">
                  <c:v>1403075.1600000001</c:v>
                </c:pt>
                <c:pt idx="16561">
                  <c:v>1403718.168205</c:v>
                </c:pt>
                <c:pt idx="16562">
                  <c:v>1404361.37284</c:v>
                </c:pt>
                <c:pt idx="16563">
                  <c:v>1405004.773935</c:v>
                </c:pt>
                <c:pt idx="16564">
                  <c:v>1405648.37152</c:v>
                </c:pt>
                <c:pt idx="16565">
                  <c:v>1406292.1656250001</c:v>
                </c:pt>
                <c:pt idx="16566">
                  <c:v>1406936.15628</c:v>
                </c:pt>
                <c:pt idx="16567">
                  <c:v>1407580.343515</c:v>
                </c:pt>
                <c:pt idx="16568">
                  <c:v>1408224.72736</c:v>
                </c:pt>
                <c:pt idx="16569">
                  <c:v>1408869.3078450002</c:v>
                </c:pt>
                <c:pt idx="16570">
                  <c:v>1409514.085</c:v>
                </c:pt>
                <c:pt idx="16571">
                  <c:v>1410159.058855</c:v>
                </c:pt>
                <c:pt idx="16572">
                  <c:v>1410804.22944</c:v>
                </c:pt>
                <c:pt idx="16573">
                  <c:v>1411449.596785</c:v>
                </c:pt>
                <c:pt idx="16574">
                  <c:v>1412095.16092</c:v>
                </c:pt>
                <c:pt idx="16575">
                  <c:v>1412740.921875</c:v>
                </c:pt>
                <c:pt idx="16576">
                  <c:v>1413386.87968</c:v>
                </c:pt>
                <c:pt idx="16577">
                  <c:v>1414033.0343650002</c:v>
                </c:pt>
                <c:pt idx="16578">
                  <c:v>1414679.3859599999</c:v>
                </c:pt>
                <c:pt idx="16579">
                  <c:v>1415325.9344950002</c:v>
                </c:pt>
                <c:pt idx="16580">
                  <c:v>1415972.68</c:v>
                </c:pt>
                <c:pt idx="16581">
                  <c:v>1416619.622505</c:v>
                </c:pt>
                <c:pt idx="16582">
                  <c:v>1417266.7620400002</c:v>
                </c:pt>
                <c:pt idx="16583">
                  <c:v>1417914.098635</c:v>
                </c:pt>
                <c:pt idx="16584">
                  <c:v>1418561.63232</c:v>
                </c:pt>
                <c:pt idx="16585">
                  <c:v>1419209.363125</c:v>
                </c:pt>
                <c:pt idx="16586">
                  <c:v>1419857.2910799999</c:v>
                </c:pt>
                <c:pt idx="16587">
                  <c:v>1420505.416215</c:v>
                </c:pt>
                <c:pt idx="16588">
                  <c:v>1421153.73856</c:v>
                </c:pt>
                <c:pt idx="16589">
                  <c:v>1421802.2581449999</c:v>
                </c:pt>
                <c:pt idx="16590">
                  <c:v>1422450.9749999999</c:v>
                </c:pt>
                <c:pt idx="16591">
                  <c:v>1423099.889155</c:v>
                </c:pt>
                <c:pt idx="16592">
                  <c:v>1423749.00064</c:v>
                </c:pt>
                <c:pt idx="16593">
                  <c:v>1424398.3094849999</c:v>
                </c:pt>
                <c:pt idx="16594">
                  <c:v>1425047.81572</c:v>
                </c:pt>
                <c:pt idx="16595">
                  <c:v>1425697.519375</c:v>
                </c:pt>
                <c:pt idx="16596">
                  <c:v>1426347.4204799999</c:v>
                </c:pt>
                <c:pt idx="16597">
                  <c:v>1426997.519065</c:v>
                </c:pt>
                <c:pt idx="16598">
                  <c:v>1427647.81516</c:v>
                </c:pt>
                <c:pt idx="16599">
                  <c:v>1428298.308795</c:v>
                </c:pt>
                <c:pt idx="16600">
                  <c:v>1428949.0</c:v>
                </c:pt>
                <c:pt idx="16601">
                  <c:v>1429599.888805</c:v>
                </c:pt>
                <c:pt idx="16602">
                  <c:v>1430250.9752399998</c:v>
                </c:pt>
                <c:pt idx="16603">
                  <c:v>1430902.259335</c:v>
                </c:pt>
                <c:pt idx="16604">
                  <c:v>1431553.74112</c:v>
                </c:pt>
                <c:pt idx="16605">
                  <c:v>1432205.420625</c:v>
                </c:pt>
                <c:pt idx="16606">
                  <c:v>1432857.29788</c:v>
                </c:pt>
                <c:pt idx="16607">
                  <c:v>1433509.372915</c:v>
                </c:pt>
                <c:pt idx="16608">
                  <c:v>1434161.64576</c:v>
                </c:pt>
                <c:pt idx="16609">
                  <c:v>1434814.116445</c:v>
                </c:pt>
                <c:pt idx="16610">
                  <c:v>1435466.7850000001</c:v>
                </c:pt>
                <c:pt idx="16611">
                  <c:v>1436119.6514549998</c:v>
                </c:pt>
                <c:pt idx="16612">
                  <c:v>1436772.7158400002</c:v>
                </c:pt>
                <c:pt idx="16613">
                  <c:v>1437425.978185</c:v>
                </c:pt>
                <c:pt idx="16614">
                  <c:v>1438079.43852</c:v>
                </c:pt>
                <c:pt idx="16615">
                  <c:v>1438733.0968749998</c:v>
                </c:pt>
                <c:pt idx="16616">
                  <c:v>1439386.95328</c:v>
                </c:pt>
                <c:pt idx="16617">
                  <c:v>1440041.0077650002</c:v>
                </c:pt>
                <c:pt idx="16618">
                  <c:v>1440695.26036</c:v>
                </c:pt>
                <c:pt idx="16619">
                  <c:v>1441349.711095</c:v>
                </c:pt>
                <c:pt idx="16620">
                  <c:v>1442004.3599999999</c:v>
                </c:pt>
                <c:pt idx="16621">
                  <c:v>1442659.2071049998</c:v>
                </c:pt>
                <c:pt idx="16622">
                  <c:v>1443314.25244</c:v>
                </c:pt>
                <c:pt idx="16623">
                  <c:v>1443969.4960349998</c:v>
                </c:pt>
                <c:pt idx="16624">
                  <c:v>1444624.93792</c:v>
                </c:pt>
                <c:pt idx="16625">
                  <c:v>1445280.578125</c:v>
                </c:pt>
                <c:pt idx="16626">
                  <c:v>1445936.41668</c:v>
                </c:pt>
                <c:pt idx="16627">
                  <c:v>1446592.453615</c:v>
                </c:pt>
                <c:pt idx="16628">
                  <c:v>1447248.68896</c:v>
                </c:pt>
                <c:pt idx="16629">
                  <c:v>1447905.1227449998</c:v>
                </c:pt>
                <c:pt idx="16630">
                  <c:v>1448561.7550000001</c:v>
                </c:pt>
                <c:pt idx="16631">
                  <c:v>1449218.585755</c:v>
                </c:pt>
                <c:pt idx="16632">
                  <c:v>1449875.61504</c:v>
                </c:pt>
                <c:pt idx="16633">
                  <c:v>1450532.842885</c:v>
                </c:pt>
                <c:pt idx="16634">
                  <c:v>1451190.26932</c:v>
                </c:pt>
                <c:pt idx="16635">
                  <c:v>1451847.894375</c:v>
                </c:pt>
                <c:pt idx="16636">
                  <c:v>1452505.71808</c:v>
                </c:pt>
                <c:pt idx="16637">
                  <c:v>1453163.740465</c:v>
                </c:pt>
                <c:pt idx="16638">
                  <c:v>1453821.96156</c:v>
                </c:pt>
                <c:pt idx="16639">
                  <c:v>1454480.3813949998</c:v>
                </c:pt>
                <c:pt idx="16640">
                  <c:v>1455139.0</c:v>
                </c:pt>
                <c:pt idx="16641">
                  <c:v>1455797.8174049999</c:v>
                </c:pt>
                <c:pt idx="16642">
                  <c:v>1456456.83364</c:v>
                </c:pt>
                <c:pt idx="16643">
                  <c:v>1457116.048735</c:v>
                </c:pt>
                <c:pt idx="16644">
                  <c:v>1457775.46272</c:v>
                </c:pt>
                <c:pt idx="16645">
                  <c:v>1458435.075625</c:v>
                </c:pt>
                <c:pt idx="16646">
                  <c:v>1459094.88748</c:v>
                </c:pt>
                <c:pt idx="16647">
                  <c:v>1459754.898315</c:v>
                </c:pt>
                <c:pt idx="16648">
                  <c:v>1460415.10816</c:v>
                </c:pt>
                <c:pt idx="16649">
                  <c:v>1461075.5170449999</c:v>
                </c:pt>
                <c:pt idx="16650">
                  <c:v>1461736.125</c:v>
                </c:pt>
                <c:pt idx="16651">
                  <c:v>1462396.932055</c:v>
                </c:pt>
                <c:pt idx="16652">
                  <c:v>1463057.93824</c:v>
                </c:pt>
                <c:pt idx="16653">
                  <c:v>1463719.143585</c:v>
                </c:pt>
                <c:pt idx="16654">
                  <c:v>1464380.54812</c:v>
                </c:pt>
                <c:pt idx="16655">
                  <c:v>1465042.1518750002</c:v>
                </c:pt>
                <c:pt idx="16656">
                  <c:v>1465703.95488</c:v>
                </c:pt>
                <c:pt idx="16657">
                  <c:v>1466365.957165</c:v>
                </c:pt>
                <c:pt idx="16658">
                  <c:v>1467028.15876</c:v>
                </c:pt>
                <c:pt idx="16659">
                  <c:v>1467690.559695</c:v>
                </c:pt>
                <c:pt idx="16660">
                  <c:v>1468353.16</c:v>
                </c:pt>
                <c:pt idx="16661">
                  <c:v>1469015.959705</c:v>
                </c:pt>
                <c:pt idx="16662">
                  <c:v>1469678.9588400002</c:v>
                </c:pt>
                <c:pt idx="16663">
                  <c:v>1470342.157435</c:v>
                </c:pt>
                <c:pt idx="16664">
                  <c:v>1471005.55552</c:v>
                </c:pt>
                <c:pt idx="16665">
                  <c:v>1471669.153125</c:v>
                </c:pt>
                <c:pt idx="16666">
                  <c:v>1472332.95028</c:v>
                </c:pt>
                <c:pt idx="16667">
                  <c:v>1472996.947015</c:v>
                </c:pt>
                <c:pt idx="16668">
                  <c:v>1473661.1433599999</c:v>
                </c:pt>
                <c:pt idx="16669">
                  <c:v>1474325.5393450002</c:v>
                </c:pt>
                <c:pt idx="16670">
                  <c:v>1474990.135</c:v>
                </c:pt>
                <c:pt idx="16671">
                  <c:v>1475654.930355</c:v>
                </c:pt>
                <c:pt idx="16672">
                  <c:v>1476319.9254400001</c:v>
                </c:pt>
                <c:pt idx="16673">
                  <c:v>1476985.1202850002</c:v>
                </c:pt>
                <c:pt idx="16674">
                  <c:v>1477650.51492</c:v>
                </c:pt>
                <c:pt idx="16675">
                  <c:v>1478316.109375</c:v>
                </c:pt>
                <c:pt idx="16676">
                  <c:v>1478981.90368</c:v>
                </c:pt>
                <c:pt idx="16677">
                  <c:v>1479647.897865</c:v>
                </c:pt>
                <c:pt idx="16678">
                  <c:v>1480314.09196</c:v>
                </c:pt>
                <c:pt idx="16679">
                  <c:v>1480980.485995</c:v>
                </c:pt>
                <c:pt idx="16680">
                  <c:v>1481647.0799999998</c:v>
                </c:pt>
                <c:pt idx="16681">
                  <c:v>1482313.8740049999</c:v>
                </c:pt>
                <c:pt idx="16682">
                  <c:v>1482980.86804</c:v>
                </c:pt>
                <c:pt idx="16683">
                  <c:v>1483648.062135</c:v>
                </c:pt>
                <c:pt idx="16684">
                  <c:v>1484315.45632</c:v>
                </c:pt>
                <c:pt idx="16685">
                  <c:v>1484983.0506250001</c:v>
                </c:pt>
                <c:pt idx="16686">
                  <c:v>1485650.8450799999</c:v>
                </c:pt>
                <c:pt idx="16687">
                  <c:v>1486318.839715</c:v>
                </c:pt>
                <c:pt idx="16688">
                  <c:v>1486987.03456</c:v>
                </c:pt>
                <c:pt idx="16689">
                  <c:v>1487655.429645</c:v>
                </c:pt>
                <c:pt idx="16690">
                  <c:v>1488324.0250000001</c:v>
                </c:pt>
                <c:pt idx="16691">
                  <c:v>1488992.820655</c:v>
                </c:pt>
                <c:pt idx="16692">
                  <c:v>1489661.8166399999</c:v>
                </c:pt>
                <c:pt idx="16693">
                  <c:v>1490331.0129850002</c:v>
                </c:pt>
                <c:pt idx="16694">
                  <c:v>1491000.40972</c:v>
                </c:pt>
                <c:pt idx="16695">
                  <c:v>1491670.006875</c:v>
                </c:pt>
                <c:pt idx="16696">
                  <c:v>1492339.80448</c:v>
                </c:pt>
                <c:pt idx="16697">
                  <c:v>1493009.802565</c:v>
                </c:pt>
                <c:pt idx="16698">
                  <c:v>1493680.00116</c:v>
                </c:pt>
                <c:pt idx="16699">
                  <c:v>1494350.4002949998</c:v>
                </c:pt>
                <c:pt idx="16700">
                  <c:v>1495021.0</c:v>
                </c:pt>
                <c:pt idx="16701">
                  <c:v>1495691.800305</c:v>
                </c:pt>
                <c:pt idx="16702">
                  <c:v>1496362.80124</c:v>
                </c:pt>
                <c:pt idx="16703">
                  <c:v>1497034.002835</c:v>
                </c:pt>
                <c:pt idx="16704">
                  <c:v>1497705.40512</c:v>
                </c:pt>
                <c:pt idx="16705">
                  <c:v>1498377.008125</c:v>
                </c:pt>
                <c:pt idx="16706">
                  <c:v>1499048.81188</c:v>
                </c:pt>
                <c:pt idx="16707">
                  <c:v>1499720.816415</c:v>
                </c:pt>
                <c:pt idx="16708">
                  <c:v>1500393.02176</c:v>
                </c:pt>
                <c:pt idx="16709">
                  <c:v>1501065.427945</c:v>
                </c:pt>
                <c:pt idx="16710">
                  <c:v>1501738.035</c:v>
                </c:pt>
                <c:pt idx="16711">
                  <c:v>1502410.842955</c:v>
                </c:pt>
                <c:pt idx="16712">
                  <c:v>1503083.8518400001</c:v>
                </c:pt>
                <c:pt idx="16713">
                  <c:v>1503757.0616849998</c:v>
                </c:pt>
                <c:pt idx="16714">
                  <c:v>1504430.47252</c:v>
                </c:pt>
                <c:pt idx="16715">
                  <c:v>1505104.0843749999</c:v>
                </c:pt>
                <c:pt idx="16716">
                  <c:v>1505777.89728</c:v>
                </c:pt>
                <c:pt idx="16717">
                  <c:v>1506451.911265</c:v>
                </c:pt>
                <c:pt idx="16718">
                  <c:v>1507126.12636</c:v>
                </c:pt>
                <c:pt idx="16719">
                  <c:v>1507800.542595</c:v>
                </c:pt>
                <c:pt idx="16720">
                  <c:v>1508475.16</c:v>
                </c:pt>
                <c:pt idx="16721">
                  <c:v>1509149.978605</c:v>
                </c:pt>
                <c:pt idx="16722">
                  <c:v>1509824.99844</c:v>
                </c:pt>
                <c:pt idx="16723">
                  <c:v>1510500.2195350002</c:v>
                </c:pt>
                <c:pt idx="16724">
                  <c:v>1511175.6419199998</c:v>
                </c:pt>
                <c:pt idx="16725">
                  <c:v>1511851.265625</c:v>
                </c:pt>
                <c:pt idx="16726">
                  <c:v>1512527.0906800001</c:v>
                </c:pt>
                <c:pt idx="16727">
                  <c:v>1513203.117115</c:v>
                </c:pt>
                <c:pt idx="16728">
                  <c:v>1513879.34496</c:v>
                </c:pt>
                <c:pt idx="16729">
                  <c:v>1514555.7742449997</c:v>
                </c:pt>
                <c:pt idx="16730">
                  <c:v>1515232.405</c:v>
                </c:pt>
                <c:pt idx="16731">
                  <c:v>1515909.237255</c:v>
                </c:pt>
                <c:pt idx="16732">
                  <c:v>1516586.27104</c:v>
                </c:pt>
                <c:pt idx="16733">
                  <c:v>1517263.506385</c:v>
                </c:pt>
                <c:pt idx="16734">
                  <c:v>1517940.94332</c:v>
                </c:pt>
                <c:pt idx="16735">
                  <c:v>1518618.5818750001</c:v>
                </c:pt>
                <c:pt idx="16736">
                  <c:v>1519296.42208</c:v>
                </c:pt>
                <c:pt idx="16737">
                  <c:v>1519974.463965</c:v>
                </c:pt>
                <c:pt idx="16738">
                  <c:v>1520652.70756</c:v>
                </c:pt>
                <c:pt idx="16739">
                  <c:v>1521331.152895</c:v>
                </c:pt>
                <c:pt idx="16740">
                  <c:v>1522009.8</c:v>
                </c:pt>
                <c:pt idx="16741">
                  <c:v>1522688.648905</c:v>
                </c:pt>
                <c:pt idx="16742">
                  <c:v>1523367.69964</c:v>
                </c:pt>
                <c:pt idx="16743">
                  <c:v>1524046.952235</c:v>
                </c:pt>
                <c:pt idx="16744">
                  <c:v>1524726.4067199999</c:v>
                </c:pt>
                <c:pt idx="16745">
                  <c:v>1525406.0631249999</c:v>
                </c:pt>
                <c:pt idx="16746">
                  <c:v>1526085.92148</c:v>
                </c:pt>
                <c:pt idx="16747">
                  <c:v>1526765.981815</c:v>
                </c:pt>
                <c:pt idx="16748">
                  <c:v>1527446.24416</c:v>
                </c:pt>
                <c:pt idx="16749">
                  <c:v>1528126.7085449998</c:v>
                </c:pt>
                <c:pt idx="16750">
                  <c:v>1528807.375</c:v>
                </c:pt>
                <c:pt idx="16751">
                  <c:v>1529488.2435549998</c:v>
                </c:pt>
                <c:pt idx="16752">
                  <c:v>1530169.31424</c:v>
                </c:pt>
                <c:pt idx="16753">
                  <c:v>1530850.587085</c:v>
                </c:pt>
                <c:pt idx="16754">
                  <c:v>1531532.0621200001</c:v>
                </c:pt>
                <c:pt idx="16755">
                  <c:v>1532213.7393750001</c:v>
                </c:pt>
                <c:pt idx="16756">
                  <c:v>1532895.61888</c:v>
                </c:pt>
                <c:pt idx="16757">
                  <c:v>1533577.7006650001</c:v>
                </c:pt>
                <c:pt idx="16758">
                  <c:v>1534259.9847600001</c:v>
                </c:pt>
                <c:pt idx="16759">
                  <c:v>1534942.471195</c:v>
                </c:pt>
                <c:pt idx="16760">
                  <c:v>1535625.16</c:v>
                </c:pt>
                <c:pt idx="16761">
                  <c:v>1536308.051205</c:v>
                </c:pt>
                <c:pt idx="16762">
                  <c:v>1536991.1448400002</c:v>
                </c:pt>
                <c:pt idx="16763">
                  <c:v>1537674.440935</c:v>
                </c:pt>
                <c:pt idx="16764">
                  <c:v>1538357.93952</c:v>
                </c:pt>
                <c:pt idx="16765">
                  <c:v>1539041.640625</c:v>
                </c:pt>
                <c:pt idx="16766">
                  <c:v>1539725.54428</c:v>
                </c:pt>
                <c:pt idx="16767">
                  <c:v>1540409.6505149999</c:v>
                </c:pt>
                <c:pt idx="16768">
                  <c:v>1541093.9593600002</c:v>
                </c:pt>
                <c:pt idx="16769">
                  <c:v>1541778.470845</c:v>
                </c:pt>
                <c:pt idx="16770">
                  <c:v>1542463.1849999998</c:v>
                </c:pt>
                <c:pt idx="16771">
                  <c:v>1543148.101855</c:v>
                </c:pt>
                <c:pt idx="16772">
                  <c:v>1543833.22144</c:v>
                </c:pt>
                <c:pt idx="16773">
                  <c:v>1544518.543785</c:v>
                </c:pt>
                <c:pt idx="16774">
                  <c:v>1545204.0689200002</c:v>
                </c:pt>
                <c:pt idx="16775">
                  <c:v>1545889.796875</c:v>
                </c:pt>
                <c:pt idx="16776">
                  <c:v>1546575.72768</c:v>
                </c:pt>
                <c:pt idx="16777">
                  <c:v>1547261.861365</c:v>
                </c:pt>
                <c:pt idx="16778">
                  <c:v>1547948.19796</c:v>
                </c:pt>
                <c:pt idx="16779">
                  <c:v>1548634.737495</c:v>
                </c:pt>
                <c:pt idx="16780">
                  <c:v>1549321.48</c:v>
                </c:pt>
                <c:pt idx="16781">
                  <c:v>1550008.425505</c:v>
                </c:pt>
                <c:pt idx="16782">
                  <c:v>1550695.5740399999</c:v>
                </c:pt>
                <c:pt idx="16783">
                  <c:v>1551382.925635</c:v>
                </c:pt>
                <c:pt idx="16784">
                  <c:v>1552070.4803199999</c:v>
                </c:pt>
                <c:pt idx="16785">
                  <c:v>1552758.238125</c:v>
                </c:pt>
                <c:pt idx="16786">
                  <c:v>1553446.1990800002</c:v>
                </c:pt>
                <c:pt idx="16787">
                  <c:v>1554134.363215</c:v>
                </c:pt>
                <c:pt idx="16788">
                  <c:v>1554822.73056</c:v>
                </c:pt>
                <c:pt idx="16789">
                  <c:v>1555511.301145</c:v>
                </c:pt>
                <c:pt idx="16790">
                  <c:v>1556200.075</c:v>
                </c:pt>
                <c:pt idx="16791">
                  <c:v>1556889.0521550002</c:v>
                </c:pt>
                <c:pt idx="16792">
                  <c:v>1557578.23264</c:v>
                </c:pt>
                <c:pt idx="16793">
                  <c:v>1558267.6164850001</c:v>
                </c:pt>
                <c:pt idx="16794">
                  <c:v>1558957.20372</c:v>
                </c:pt>
                <c:pt idx="16795">
                  <c:v>1559646.994375</c:v>
                </c:pt>
                <c:pt idx="16796">
                  <c:v>1560336.98848</c:v>
                </c:pt>
                <c:pt idx="16797">
                  <c:v>1561027.186065</c:v>
                </c:pt>
                <c:pt idx="16798">
                  <c:v>1561717.58716</c:v>
                </c:pt>
                <c:pt idx="16799">
                  <c:v>1562408.1917949999</c:v>
                </c:pt>
                <c:pt idx="16800">
                  <c:v>1563099.0</c:v>
                </c:pt>
                <c:pt idx="16801">
                  <c:v>1563790.011805</c:v>
                </c:pt>
                <c:pt idx="16802">
                  <c:v>1564481.2272400002</c:v>
                </c:pt>
                <c:pt idx="16803">
                  <c:v>1565172.646335</c:v>
                </c:pt>
                <c:pt idx="16804">
                  <c:v>1565864.26912</c:v>
                </c:pt>
                <c:pt idx="16805">
                  <c:v>1566556.0956249998</c:v>
                </c:pt>
                <c:pt idx="16806">
                  <c:v>1567248.12588</c:v>
                </c:pt>
                <c:pt idx="16807">
                  <c:v>1567940.359915</c:v>
                </c:pt>
                <c:pt idx="16808">
                  <c:v>1568632.79776</c:v>
                </c:pt>
                <c:pt idx="16809">
                  <c:v>1569325.4394450001</c:v>
                </c:pt>
                <c:pt idx="16810">
                  <c:v>1570018.2850000001</c:v>
                </c:pt>
                <c:pt idx="16811">
                  <c:v>1570711.334455</c:v>
                </c:pt>
                <c:pt idx="16812">
                  <c:v>1571404.5878400002</c:v>
                </c:pt>
                <c:pt idx="16813">
                  <c:v>1572098.045185</c:v>
                </c:pt>
                <c:pt idx="16814">
                  <c:v>1572791.70652</c:v>
                </c:pt>
                <c:pt idx="16815">
                  <c:v>1573485.5718750001</c:v>
                </c:pt>
                <c:pt idx="16816">
                  <c:v>1574179.64128</c:v>
                </c:pt>
                <c:pt idx="16817">
                  <c:v>1574873.9147649999</c:v>
                </c:pt>
                <c:pt idx="16818">
                  <c:v>1575568.39236</c:v>
                </c:pt>
                <c:pt idx="16819">
                  <c:v>1576263.074095</c:v>
                </c:pt>
                <c:pt idx="16820">
                  <c:v>1576957.96</c:v>
                </c:pt>
                <c:pt idx="16821">
                  <c:v>1577653.0501050001</c:v>
                </c:pt>
                <c:pt idx="16822">
                  <c:v>1578348.34444</c:v>
                </c:pt>
                <c:pt idx="16823">
                  <c:v>1579043.843035</c:v>
                </c:pt>
                <c:pt idx="16824">
                  <c:v>1579739.54592</c:v>
                </c:pt>
                <c:pt idx="16825">
                  <c:v>1580435.453125</c:v>
                </c:pt>
                <c:pt idx="16826">
                  <c:v>1581131.56468</c:v>
                </c:pt>
                <c:pt idx="16827">
                  <c:v>1581827.8806150001</c:v>
                </c:pt>
                <c:pt idx="16828">
                  <c:v>1582524.40096</c:v>
                </c:pt>
                <c:pt idx="16829">
                  <c:v>1583221.125745</c:v>
                </c:pt>
                <c:pt idx="16830">
                  <c:v>1583918.055</c:v>
                </c:pt>
                <c:pt idx="16831">
                  <c:v>1584615.188755</c:v>
                </c:pt>
                <c:pt idx="16832">
                  <c:v>1585312.52704</c:v>
                </c:pt>
                <c:pt idx="16833">
                  <c:v>1586010.0698850001</c:v>
                </c:pt>
                <c:pt idx="16834">
                  <c:v>1586707.81732</c:v>
                </c:pt>
                <c:pt idx="16835">
                  <c:v>1587405.769375</c:v>
                </c:pt>
                <c:pt idx="16836">
                  <c:v>1588103.9260800001</c:v>
                </c:pt>
                <c:pt idx="16837">
                  <c:v>1588802.287465</c:v>
                </c:pt>
                <c:pt idx="16838">
                  <c:v>1589500.8535600002</c:v>
                </c:pt>
                <c:pt idx="16839">
                  <c:v>1590199.624395</c:v>
                </c:pt>
                <c:pt idx="16840">
                  <c:v>1590898.5999999999</c:v>
                </c:pt>
                <c:pt idx="16841">
                  <c:v>1591597.7804049999</c:v>
                </c:pt>
                <c:pt idx="16842">
                  <c:v>1592297.16564</c:v>
                </c:pt>
                <c:pt idx="16843">
                  <c:v>1592996.755735</c:v>
                </c:pt>
                <c:pt idx="16844">
                  <c:v>1593696.55072</c:v>
                </c:pt>
                <c:pt idx="16845">
                  <c:v>1594396.550625</c:v>
                </c:pt>
                <c:pt idx="16846">
                  <c:v>1595096.75548</c:v>
                </c:pt>
                <c:pt idx="16847">
                  <c:v>1595797.1653149999</c:v>
                </c:pt>
                <c:pt idx="16848">
                  <c:v>1596497.78016</c:v>
                </c:pt>
                <c:pt idx="16849">
                  <c:v>1597198.600045</c:v>
                </c:pt>
                <c:pt idx="16850">
                  <c:v>1597899.625</c:v>
                </c:pt>
                <c:pt idx="16851">
                  <c:v>1598600.855055</c:v>
                </c:pt>
                <c:pt idx="16852">
                  <c:v>1599302.29024</c:v>
                </c:pt>
                <c:pt idx="16853">
                  <c:v>1600003.930585</c:v>
                </c:pt>
                <c:pt idx="16854">
                  <c:v>1600705.77612</c:v>
                </c:pt>
                <c:pt idx="16855">
                  <c:v>1601407.826875</c:v>
                </c:pt>
                <c:pt idx="16856">
                  <c:v>1602110.0828800001</c:v>
                </c:pt>
                <c:pt idx="16857">
                  <c:v>1602812.544165</c:v>
                </c:pt>
                <c:pt idx="16858">
                  <c:v>1603515.2107600002</c:v>
                </c:pt>
                <c:pt idx="16859">
                  <c:v>1604218.0826949999</c:v>
                </c:pt>
                <c:pt idx="16860">
                  <c:v>1604921.1600000001</c:v>
                </c:pt>
                <c:pt idx="16861">
                  <c:v>1605624.442705</c:v>
                </c:pt>
                <c:pt idx="16862">
                  <c:v>1606327.93084</c:v>
                </c:pt>
                <c:pt idx="16863">
                  <c:v>1607031.624435</c:v>
                </c:pt>
                <c:pt idx="16864">
                  <c:v>1607735.5235199998</c:v>
                </c:pt>
                <c:pt idx="16865">
                  <c:v>1608439.628125</c:v>
                </c:pt>
                <c:pt idx="16866">
                  <c:v>1609143.9382800001</c:v>
                </c:pt>
                <c:pt idx="16867">
                  <c:v>1609848.454015</c:v>
                </c:pt>
                <c:pt idx="16868">
                  <c:v>1610553.17536</c:v>
                </c:pt>
                <c:pt idx="16869">
                  <c:v>1611258.1023449998</c:v>
                </c:pt>
                <c:pt idx="16870">
                  <c:v>1611963.2349999999</c:v>
                </c:pt>
                <c:pt idx="16871">
                  <c:v>1612668.573355</c:v>
                </c:pt>
                <c:pt idx="16872">
                  <c:v>1613374.1174400002</c:v>
                </c:pt>
                <c:pt idx="16873">
                  <c:v>1614079.867285</c:v>
                </c:pt>
                <c:pt idx="16874">
                  <c:v>1614785.8229200002</c:v>
                </c:pt>
                <c:pt idx="16875">
                  <c:v>1615491.984375</c:v>
                </c:pt>
                <c:pt idx="16876">
                  <c:v>1616198.3516799998</c:v>
                </c:pt>
                <c:pt idx="16877">
                  <c:v>1616904.924865</c:v>
                </c:pt>
                <c:pt idx="16878">
                  <c:v>1617611.70396</c:v>
                </c:pt>
                <c:pt idx="16879">
                  <c:v>1618318.688995</c:v>
                </c:pt>
                <c:pt idx="16880">
                  <c:v>1619025.8800000001</c:v>
                </c:pt>
                <c:pt idx="16881">
                  <c:v>1619733.2770049998</c:v>
                </c:pt>
                <c:pt idx="16882">
                  <c:v>1620440.88004</c:v>
                </c:pt>
                <c:pt idx="16883">
                  <c:v>1621148.6891349999</c:v>
                </c:pt>
                <c:pt idx="16884">
                  <c:v>1621856.70432</c:v>
                </c:pt>
                <c:pt idx="16885">
                  <c:v>1622564.925625</c:v>
                </c:pt>
                <c:pt idx="16886">
                  <c:v>1623273.35308</c:v>
                </c:pt>
                <c:pt idx="16887">
                  <c:v>1623981.986715</c:v>
                </c:pt>
                <c:pt idx="16888">
                  <c:v>1624690.82656</c:v>
                </c:pt>
                <c:pt idx="16889">
                  <c:v>1625399.872645</c:v>
                </c:pt>
                <c:pt idx="16890">
                  <c:v>1626109.125</c:v>
                </c:pt>
                <c:pt idx="16891">
                  <c:v>1626818.583655</c:v>
                </c:pt>
                <c:pt idx="16892">
                  <c:v>1627528.24864</c:v>
                </c:pt>
                <c:pt idx="16893">
                  <c:v>1628238.119985</c:v>
                </c:pt>
                <c:pt idx="16894">
                  <c:v>1628948.19772</c:v>
                </c:pt>
                <c:pt idx="16895">
                  <c:v>1629658.4818749998</c:v>
                </c:pt>
                <c:pt idx="16896">
                  <c:v>1630368.97248</c:v>
                </c:pt>
                <c:pt idx="16897">
                  <c:v>1631079.669565</c:v>
                </c:pt>
                <c:pt idx="16898">
                  <c:v>1631790.57316</c:v>
                </c:pt>
                <c:pt idx="16899">
                  <c:v>1632501.6832949999</c:v>
                </c:pt>
                <c:pt idx="16900">
                  <c:v>1633213.0</c:v>
                </c:pt>
                <c:pt idx="16901">
                  <c:v>1633924.523305</c:v>
                </c:pt>
                <c:pt idx="16902">
                  <c:v>1634636.25324</c:v>
                </c:pt>
                <c:pt idx="16903">
                  <c:v>1635348.189835</c:v>
                </c:pt>
                <c:pt idx="16904">
                  <c:v>1636060.3331199999</c:v>
                </c:pt>
                <c:pt idx="16905">
                  <c:v>1636772.683125</c:v>
                </c:pt>
                <c:pt idx="16906">
                  <c:v>1637485.23988</c:v>
                </c:pt>
                <c:pt idx="16907">
                  <c:v>1638198.003415</c:v>
                </c:pt>
                <c:pt idx="16908">
                  <c:v>1638910.97376</c:v>
                </c:pt>
                <c:pt idx="16909">
                  <c:v>1639624.150945</c:v>
                </c:pt>
                <c:pt idx="16910">
                  <c:v>1640337.535</c:v>
                </c:pt>
                <c:pt idx="16911">
                  <c:v>1641051.1259549998</c:v>
                </c:pt>
                <c:pt idx="16912">
                  <c:v>1641764.92384</c:v>
                </c:pt>
                <c:pt idx="16913">
                  <c:v>1642478.928685</c:v>
                </c:pt>
                <c:pt idx="16914">
                  <c:v>1643193.14052</c:v>
                </c:pt>
                <c:pt idx="16915">
                  <c:v>1643907.559375</c:v>
                </c:pt>
                <c:pt idx="16916">
                  <c:v>1644622.1852799999</c:v>
                </c:pt>
                <c:pt idx="16917">
                  <c:v>1645337.0182649998</c:v>
                </c:pt>
                <c:pt idx="16918">
                  <c:v>1646052.05836</c:v>
                </c:pt>
                <c:pt idx="16919">
                  <c:v>1646767.305595</c:v>
                </c:pt>
                <c:pt idx="16920">
                  <c:v>1647482.76</c:v>
                </c:pt>
                <c:pt idx="16921">
                  <c:v>1648198.421605</c:v>
                </c:pt>
                <c:pt idx="16922">
                  <c:v>1648914.2904400001</c:v>
                </c:pt>
                <c:pt idx="16923">
                  <c:v>1649630.366535</c:v>
                </c:pt>
                <c:pt idx="16924">
                  <c:v>1650346.64992</c:v>
                </c:pt>
                <c:pt idx="16925">
                  <c:v>1651063.140625</c:v>
                </c:pt>
                <c:pt idx="16926">
                  <c:v>1651779.83868</c:v>
                </c:pt>
                <c:pt idx="16927">
                  <c:v>1652496.744115</c:v>
                </c:pt>
                <c:pt idx="16928">
                  <c:v>1653213.85696</c:v>
                </c:pt>
                <c:pt idx="16929">
                  <c:v>1653931.1772450001</c:v>
                </c:pt>
                <c:pt idx="16930">
                  <c:v>1654648.7049999998</c:v>
                </c:pt>
                <c:pt idx="16931">
                  <c:v>1655366.440255</c:v>
                </c:pt>
                <c:pt idx="16932">
                  <c:v>1656084.38304</c:v>
                </c:pt>
                <c:pt idx="16933">
                  <c:v>1656802.5333850002</c:v>
                </c:pt>
                <c:pt idx="16934">
                  <c:v>1657520.89132</c:v>
                </c:pt>
                <c:pt idx="16935">
                  <c:v>1658239.4568750001</c:v>
                </c:pt>
                <c:pt idx="16936">
                  <c:v>1658958.2300800001</c:v>
                </c:pt>
                <c:pt idx="16937">
                  <c:v>1659677.2109649999</c:v>
                </c:pt>
                <c:pt idx="16938">
                  <c:v>1660396.39956</c:v>
                </c:pt>
                <c:pt idx="16939">
                  <c:v>1661115.795895</c:v>
                </c:pt>
                <c:pt idx="16940">
                  <c:v>1661835.4000000001</c:v>
                </c:pt>
                <c:pt idx="16941">
                  <c:v>1662555.211905</c:v>
                </c:pt>
                <c:pt idx="16942">
                  <c:v>1663275.2316400001</c:v>
                </c:pt>
                <c:pt idx="16943">
                  <c:v>1663995.459235</c:v>
                </c:pt>
                <c:pt idx="16944">
                  <c:v>1664715.89472</c:v>
                </c:pt>
                <c:pt idx="16945">
                  <c:v>1665436.538125</c:v>
                </c:pt>
                <c:pt idx="16946">
                  <c:v>1666157.3894800001</c:v>
                </c:pt>
                <c:pt idx="16947">
                  <c:v>1666878.448815</c:v>
                </c:pt>
                <c:pt idx="16948">
                  <c:v>1667599.7161599998</c:v>
                </c:pt>
                <c:pt idx="16949">
                  <c:v>1668321.191545</c:v>
                </c:pt>
                <c:pt idx="16950">
                  <c:v>1669042.875</c:v>
                </c:pt>
                <c:pt idx="16951">
                  <c:v>1669764.7665549999</c:v>
                </c:pt>
                <c:pt idx="16952">
                  <c:v>1670486.86624</c:v>
                </c:pt>
                <c:pt idx="16953">
                  <c:v>1671209.1740849998</c:v>
                </c:pt>
                <c:pt idx="16954">
                  <c:v>1671931.69012</c:v>
                </c:pt>
                <c:pt idx="16955">
                  <c:v>1672654.414375</c:v>
                </c:pt>
                <c:pt idx="16956">
                  <c:v>1673377.34688</c:v>
                </c:pt>
                <c:pt idx="16957">
                  <c:v>1674100.4876650001</c:v>
                </c:pt>
                <c:pt idx="16958">
                  <c:v>1674823.8367599999</c:v>
                </c:pt>
                <c:pt idx="16959">
                  <c:v>1675547.3941950002</c:v>
                </c:pt>
                <c:pt idx="16960">
                  <c:v>1676271.16</c:v>
                </c:pt>
                <c:pt idx="16961">
                  <c:v>1676995.1342049998</c:v>
                </c:pt>
                <c:pt idx="16962">
                  <c:v>1677719.31684</c:v>
                </c:pt>
                <c:pt idx="16963">
                  <c:v>1678443.707935</c:v>
                </c:pt>
                <c:pt idx="16964">
                  <c:v>1679168.30752</c:v>
                </c:pt>
                <c:pt idx="16965">
                  <c:v>1679893.1156249999</c:v>
                </c:pt>
                <c:pt idx="16966">
                  <c:v>1680618.13228</c:v>
                </c:pt>
                <c:pt idx="16967">
                  <c:v>1681343.357515</c:v>
                </c:pt>
                <c:pt idx="16968">
                  <c:v>1682068.7913600001</c:v>
                </c:pt>
                <c:pt idx="16969">
                  <c:v>1682794.4338449999</c:v>
                </c:pt>
                <c:pt idx="16970">
                  <c:v>1683520.285</c:v>
                </c:pt>
                <c:pt idx="16971">
                  <c:v>1684246.344855</c:v>
                </c:pt>
                <c:pt idx="16972">
                  <c:v>1684972.61344</c:v>
                </c:pt>
                <c:pt idx="16973">
                  <c:v>1685699.0907849998</c:v>
                </c:pt>
                <c:pt idx="16974">
                  <c:v>1686425.77692</c:v>
                </c:pt>
                <c:pt idx="16975">
                  <c:v>1687152.671875</c:v>
                </c:pt>
                <c:pt idx="16976">
                  <c:v>1687879.77568</c:v>
                </c:pt>
                <c:pt idx="16977">
                  <c:v>1688607.088365</c:v>
                </c:pt>
                <c:pt idx="16978">
                  <c:v>1689334.60996</c:v>
                </c:pt>
                <c:pt idx="16979">
                  <c:v>1690062.340495</c:v>
                </c:pt>
                <c:pt idx="16980">
                  <c:v>1690790.28</c:v>
                </c:pt>
                <c:pt idx="16981">
                  <c:v>1691518.4285050002</c:v>
                </c:pt>
                <c:pt idx="16982">
                  <c:v>1692246.78604</c:v>
                </c:pt>
                <c:pt idx="16983">
                  <c:v>1692975.3526350001</c:v>
                </c:pt>
                <c:pt idx="16984">
                  <c:v>1693704.12832</c:v>
                </c:pt>
                <c:pt idx="16985">
                  <c:v>1694433.1131250001</c:v>
                </c:pt>
                <c:pt idx="16986">
                  <c:v>1695162.30708</c:v>
                </c:pt>
                <c:pt idx="16987">
                  <c:v>1695891.710215</c:v>
                </c:pt>
                <c:pt idx="16988">
                  <c:v>1696621.32256</c:v>
                </c:pt>
                <c:pt idx="16989">
                  <c:v>1697351.144145</c:v>
                </c:pt>
                <c:pt idx="16990">
                  <c:v>1698081.175</c:v>
                </c:pt>
                <c:pt idx="16991">
                  <c:v>1698811.4151549998</c:v>
                </c:pt>
                <c:pt idx="16992">
                  <c:v>1699541.86464</c:v>
                </c:pt>
                <c:pt idx="16993">
                  <c:v>1700272.523485</c:v>
                </c:pt>
                <c:pt idx="16994">
                  <c:v>1701003.39172</c:v>
                </c:pt>
                <c:pt idx="16995">
                  <c:v>1701734.4693749999</c:v>
                </c:pt>
                <c:pt idx="16996">
                  <c:v>1702465.75648</c:v>
                </c:pt>
                <c:pt idx="16997">
                  <c:v>1703197.253065</c:v>
                </c:pt>
                <c:pt idx="16998">
                  <c:v>1703928.95916</c:v>
                </c:pt>
                <c:pt idx="16999">
                  <c:v>1704660.874795</c:v>
                </c:pt>
                <c:pt idx="17000">
                  <c:v>1705393.0</c:v>
                </c:pt>
                <c:pt idx="17001">
                  <c:v>1706125.3348049999</c:v>
                </c:pt>
                <c:pt idx="17002">
                  <c:v>1706857.87924</c:v>
                </c:pt>
                <c:pt idx="17003">
                  <c:v>1707590.633335</c:v>
                </c:pt>
                <c:pt idx="17004">
                  <c:v>1708323.59712</c:v>
                </c:pt>
                <c:pt idx="17005">
                  <c:v>1709056.7706250001</c:v>
                </c:pt>
                <c:pt idx="17006">
                  <c:v>1709790.1538799999</c:v>
                </c:pt>
                <c:pt idx="17007">
                  <c:v>1710523.746915</c:v>
                </c:pt>
                <c:pt idx="17008">
                  <c:v>1711257.54976</c:v>
                </c:pt>
                <c:pt idx="17009">
                  <c:v>1711991.562445</c:v>
                </c:pt>
                <c:pt idx="17010">
                  <c:v>1712725.785</c:v>
                </c:pt>
                <c:pt idx="17011">
                  <c:v>1713460.2174550002</c:v>
                </c:pt>
                <c:pt idx="17012">
                  <c:v>1714194.85984</c:v>
                </c:pt>
                <c:pt idx="17013">
                  <c:v>1714929.712185</c:v>
                </c:pt>
                <c:pt idx="17014">
                  <c:v>1715664.77452</c:v>
                </c:pt>
                <c:pt idx="17015">
                  <c:v>1716400.046875</c:v>
                </c:pt>
                <c:pt idx="17016">
                  <c:v>1717135.5292800001</c:v>
                </c:pt>
                <c:pt idx="17017">
                  <c:v>1717871.2217650001</c:v>
                </c:pt>
                <c:pt idx="17018">
                  <c:v>1718607.12436</c:v>
                </c:pt>
                <c:pt idx="17019">
                  <c:v>1719343.237095</c:v>
                </c:pt>
                <c:pt idx="17020">
                  <c:v>1720079.5599999998</c:v>
                </c:pt>
                <c:pt idx="17021">
                  <c:v>1720816.093105</c:v>
                </c:pt>
                <c:pt idx="17022">
                  <c:v>1721552.83644</c:v>
                </c:pt>
                <c:pt idx="17023">
                  <c:v>1722289.790035</c:v>
                </c:pt>
                <c:pt idx="17024">
                  <c:v>1723026.95392</c:v>
                </c:pt>
                <c:pt idx="17025">
                  <c:v>1723764.328125</c:v>
                </c:pt>
                <c:pt idx="17026">
                  <c:v>1724501.91268</c:v>
                </c:pt>
                <c:pt idx="17027">
                  <c:v>1725239.707615</c:v>
                </c:pt>
                <c:pt idx="17028">
                  <c:v>1725977.71296</c:v>
                </c:pt>
                <c:pt idx="17029">
                  <c:v>1726715.9287450002</c:v>
                </c:pt>
                <c:pt idx="17030">
                  <c:v>1727454.355</c:v>
                </c:pt>
                <c:pt idx="17031">
                  <c:v>1728192.991755</c:v>
                </c:pt>
                <c:pt idx="17032">
                  <c:v>1728931.83904</c:v>
                </c:pt>
                <c:pt idx="17033">
                  <c:v>1729670.896885</c:v>
                </c:pt>
                <c:pt idx="17034">
                  <c:v>1730410.1653200001</c:v>
                </c:pt>
                <c:pt idx="17035">
                  <c:v>1731149.644375</c:v>
                </c:pt>
                <c:pt idx="17036">
                  <c:v>1731889.33408</c:v>
                </c:pt>
                <c:pt idx="17037">
                  <c:v>1732629.234465</c:v>
                </c:pt>
                <c:pt idx="17038">
                  <c:v>1733369.3455599998</c:v>
                </c:pt>
                <c:pt idx="17039">
                  <c:v>1734109.6673949999</c:v>
                </c:pt>
                <c:pt idx="17040">
                  <c:v>1734850.2</c:v>
                </c:pt>
                <c:pt idx="17041">
                  <c:v>1735590.943405</c:v>
                </c:pt>
                <c:pt idx="17042">
                  <c:v>1736331.89764</c:v>
                </c:pt>
                <c:pt idx="17043">
                  <c:v>1737073.0627350002</c:v>
                </c:pt>
                <c:pt idx="17044">
                  <c:v>1737814.43872</c:v>
                </c:pt>
                <c:pt idx="17045">
                  <c:v>1738556.025625</c:v>
                </c:pt>
                <c:pt idx="17046">
                  <c:v>1739297.82348</c:v>
                </c:pt>
                <c:pt idx="17047">
                  <c:v>1740039.832315</c:v>
                </c:pt>
                <c:pt idx="17048">
                  <c:v>1740782.05216</c:v>
                </c:pt>
                <c:pt idx="17049">
                  <c:v>1741524.4830450001</c:v>
                </c:pt>
                <c:pt idx="17050">
                  <c:v>1742267.125</c:v>
                </c:pt>
                <c:pt idx="17051">
                  <c:v>1743009.978055</c:v>
                </c:pt>
                <c:pt idx="17052">
                  <c:v>1743753.04224</c:v>
                </c:pt>
                <c:pt idx="17053">
                  <c:v>1744496.317585</c:v>
                </c:pt>
                <c:pt idx="17054">
                  <c:v>1745239.80412</c:v>
                </c:pt>
                <c:pt idx="17055">
                  <c:v>1745983.5018749998</c:v>
                </c:pt>
                <c:pt idx="17056">
                  <c:v>1746727.41088</c:v>
                </c:pt>
                <c:pt idx="17057">
                  <c:v>1747471.5311649998</c:v>
                </c:pt>
                <c:pt idx="17058">
                  <c:v>1748215.86276</c:v>
                </c:pt>
                <c:pt idx="17059">
                  <c:v>1748960.405695</c:v>
                </c:pt>
                <c:pt idx="17060">
                  <c:v>1749705.1600000001</c:v>
                </c:pt>
                <c:pt idx="17061">
                  <c:v>1750450.125705</c:v>
                </c:pt>
                <c:pt idx="17062">
                  <c:v>1751195.30284</c:v>
                </c:pt>
                <c:pt idx="17063">
                  <c:v>1751940.691435</c:v>
                </c:pt>
                <c:pt idx="17064">
                  <c:v>1752686.29152</c:v>
                </c:pt>
                <c:pt idx="17065">
                  <c:v>1753432.1031250001</c:v>
                </c:pt>
                <c:pt idx="17066">
                  <c:v>1754178.1262800002</c:v>
                </c:pt>
                <c:pt idx="17067">
                  <c:v>1754924.361015</c:v>
                </c:pt>
                <c:pt idx="17068">
                  <c:v>1755670.80736</c:v>
                </c:pt>
                <c:pt idx="17069">
                  <c:v>1756417.465345</c:v>
                </c:pt>
                <c:pt idx="17070">
                  <c:v>1757164.335</c:v>
                </c:pt>
                <c:pt idx="17071">
                  <c:v>1757911.4163549999</c:v>
                </c:pt>
                <c:pt idx="17072">
                  <c:v>1758658.7094400001</c:v>
                </c:pt>
                <c:pt idx="17073">
                  <c:v>1759406.214285</c:v>
                </c:pt>
                <c:pt idx="17074">
                  <c:v>1760153.93092</c:v>
                </c:pt>
                <c:pt idx="17075">
                  <c:v>1760901.859375</c:v>
                </c:pt>
                <c:pt idx="17076">
                  <c:v>1761649.99968</c:v>
                </c:pt>
                <c:pt idx="17077">
                  <c:v>1762398.351865</c:v>
                </c:pt>
                <c:pt idx="17078">
                  <c:v>1763146.9159600001</c:v>
                </c:pt>
                <c:pt idx="17079">
                  <c:v>1763895.691995</c:v>
                </c:pt>
                <c:pt idx="17080">
                  <c:v>1764644.68</c:v>
                </c:pt>
                <c:pt idx="17081">
                  <c:v>1765393.8800050002</c:v>
                </c:pt>
                <c:pt idx="17082">
                  <c:v>1766143.29204</c:v>
                </c:pt>
                <c:pt idx="17083">
                  <c:v>1766892.916135</c:v>
                </c:pt>
                <c:pt idx="17084">
                  <c:v>1767642.75232</c:v>
                </c:pt>
                <c:pt idx="17085">
                  <c:v>1768392.800625</c:v>
                </c:pt>
                <c:pt idx="17086">
                  <c:v>1769143.06108</c:v>
                </c:pt>
                <c:pt idx="17087">
                  <c:v>1769893.533715</c:v>
                </c:pt>
                <c:pt idx="17088">
                  <c:v>1770644.21856</c:v>
                </c:pt>
                <c:pt idx="17089">
                  <c:v>1771395.115645</c:v>
                </c:pt>
                <c:pt idx="17090">
                  <c:v>1772146.2249999999</c:v>
                </c:pt>
                <c:pt idx="17091">
                  <c:v>1772897.546655</c:v>
                </c:pt>
                <c:pt idx="17092">
                  <c:v>1773649.08064</c:v>
                </c:pt>
                <c:pt idx="17093">
                  <c:v>1774400.826985</c:v>
                </c:pt>
                <c:pt idx="17094">
                  <c:v>1775152.78572</c:v>
                </c:pt>
                <c:pt idx="17095">
                  <c:v>1775904.956875</c:v>
                </c:pt>
                <c:pt idx="17096">
                  <c:v>1776657.34048</c:v>
                </c:pt>
                <c:pt idx="17097">
                  <c:v>1777409.936565</c:v>
                </c:pt>
                <c:pt idx="17098">
                  <c:v>1778162.74516</c:v>
                </c:pt>
                <c:pt idx="17099">
                  <c:v>1778915.766295</c:v>
                </c:pt>
                <c:pt idx="17100">
                  <c:v>1779669.0</c:v>
                </c:pt>
                <c:pt idx="17101">
                  <c:v>1780422.446305</c:v>
                </c:pt>
                <c:pt idx="17102">
                  <c:v>1781176.10524</c:v>
                </c:pt>
                <c:pt idx="17103">
                  <c:v>1781929.976835</c:v>
                </c:pt>
                <c:pt idx="17104">
                  <c:v>1782684.06112</c:v>
                </c:pt>
                <c:pt idx="17105">
                  <c:v>1783438.358125</c:v>
                </c:pt>
                <c:pt idx="17106">
                  <c:v>1784192.8678799998</c:v>
                </c:pt>
                <c:pt idx="17107">
                  <c:v>1784947.590415</c:v>
                </c:pt>
                <c:pt idx="17108">
                  <c:v>1785702.5257599999</c:v>
                </c:pt>
                <c:pt idx="17109">
                  <c:v>1786457.6739450002</c:v>
                </c:pt>
                <c:pt idx="17110">
                  <c:v>1787213.0350000001</c:v>
                </c:pt>
                <c:pt idx="17111">
                  <c:v>1787968.608955</c:v>
                </c:pt>
                <c:pt idx="17112">
                  <c:v>1788724.3958400001</c:v>
                </c:pt>
                <c:pt idx="17113">
                  <c:v>1789480.395685</c:v>
                </c:pt>
                <c:pt idx="17114">
                  <c:v>1790236.60852</c:v>
                </c:pt>
                <c:pt idx="17115">
                  <c:v>1790993.034375</c:v>
                </c:pt>
                <c:pt idx="17116">
                  <c:v>1791749.67328</c:v>
                </c:pt>
                <c:pt idx="17117">
                  <c:v>1792506.525265</c:v>
                </c:pt>
                <c:pt idx="17118">
                  <c:v>1793263.5903599998</c:v>
                </c:pt>
                <c:pt idx="17119">
                  <c:v>1794020.8685950001</c:v>
                </c:pt>
                <c:pt idx="17120">
                  <c:v>1794778.3599999999</c:v>
                </c:pt>
                <c:pt idx="17121">
                  <c:v>1795536.0646050002</c:v>
                </c:pt>
                <c:pt idx="17122">
                  <c:v>1796293.98244</c:v>
                </c:pt>
                <c:pt idx="17123">
                  <c:v>1797052.113535</c:v>
                </c:pt>
                <c:pt idx="17124">
                  <c:v>1797810.45792</c:v>
                </c:pt>
                <c:pt idx="17125">
                  <c:v>1798569.015625</c:v>
                </c:pt>
                <c:pt idx="17126">
                  <c:v>1799327.7866800001</c:v>
                </c:pt>
                <c:pt idx="17127">
                  <c:v>1800086.7711150001</c:v>
                </c:pt>
                <c:pt idx="17128">
                  <c:v>1800845.96896</c:v>
                </c:pt>
                <c:pt idx="17129">
                  <c:v>1801605.380245</c:v>
                </c:pt>
                <c:pt idx="17130">
                  <c:v>1802365.0050000001</c:v>
                </c:pt>
                <c:pt idx="17131">
                  <c:v>1803124.843255</c:v>
                </c:pt>
                <c:pt idx="17132">
                  <c:v>1803884.89504</c:v>
                </c:pt>
                <c:pt idx="17133">
                  <c:v>1804645.160385</c:v>
                </c:pt>
                <c:pt idx="17134">
                  <c:v>1805405.63932</c:v>
                </c:pt>
                <c:pt idx="17135">
                  <c:v>1806166.331875</c:v>
                </c:pt>
                <c:pt idx="17136">
                  <c:v>1806927.2380799998</c:v>
                </c:pt>
                <c:pt idx="17137">
                  <c:v>1807688.357965</c:v>
                </c:pt>
                <c:pt idx="17138">
                  <c:v>1808449.69156</c:v>
                </c:pt>
                <c:pt idx="17139">
                  <c:v>1809211.238895</c:v>
                </c:pt>
                <c:pt idx="17140">
                  <c:v>1809973.0</c:v>
                </c:pt>
                <c:pt idx="17141">
                  <c:v>1810734.974905</c:v>
                </c:pt>
                <c:pt idx="17142">
                  <c:v>1811497.16364</c:v>
                </c:pt>
                <c:pt idx="17143">
                  <c:v>1812259.566235</c:v>
                </c:pt>
                <c:pt idx="17144">
                  <c:v>1813022.18272</c:v>
                </c:pt>
                <c:pt idx="17145">
                  <c:v>1813785.0131249998</c:v>
                </c:pt>
                <c:pt idx="17146">
                  <c:v>1814548.05748</c:v>
                </c:pt>
                <c:pt idx="17147">
                  <c:v>1815311.315815</c:v>
                </c:pt>
                <c:pt idx="17148">
                  <c:v>1816074.78816</c:v>
                </c:pt>
                <c:pt idx="17149">
                  <c:v>1816838.474545</c:v>
                </c:pt>
                <c:pt idx="17150">
                  <c:v>1817602.375</c:v>
                </c:pt>
                <c:pt idx="17151">
                  <c:v>1818366.489555</c:v>
                </c:pt>
                <c:pt idx="17152">
                  <c:v>1819130.8182400002</c:v>
                </c:pt>
                <c:pt idx="17153">
                  <c:v>1819895.361085</c:v>
                </c:pt>
                <c:pt idx="17154">
                  <c:v>1820660.11812</c:v>
                </c:pt>
                <c:pt idx="17155">
                  <c:v>1821425.089375</c:v>
                </c:pt>
                <c:pt idx="17156">
                  <c:v>1822190.27488</c:v>
                </c:pt>
                <c:pt idx="17157">
                  <c:v>1822955.6746649998</c:v>
                </c:pt>
                <c:pt idx="17158">
                  <c:v>1823721.2887600001</c:v>
                </c:pt>
                <c:pt idx="17159">
                  <c:v>1824487.117195</c:v>
                </c:pt>
                <c:pt idx="17160">
                  <c:v>1825253.16</c:v>
                </c:pt>
                <c:pt idx="17161">
                  <c:v>1826019.417205</c:v>
                </c:pt>
                <c:pt idx="17162">
                  <c:v>1826785.88884</c:v>
                </c:pt>
                <c:pt idx="17163">
                  <c:v>1827552.5749350002</c:v>
                </c:pt>
                <c:pt idx="17164">
                  <c:v>1828319.47552</c:v>
                </c:pt>
                <c:pt idx="17165">
                  <c:v>1829086.590625</c:v>
                </c:pt>
                <c:pt idx="17166">
                  <c:v>1829853.92028</c:v>
                </c:pt>
                <c:pt idx="17167">
                  <c:v>1830621.464515</c:v>
                </c:pt>
                <c:pt idx="17168">
                  <c:v>1831389.22336</c:v>
                </c:pt>
                <c:pt idx="17169">
                  <c:v>1832157.196845</c:v>
                </c:pt>
                <c:pt idx="17170">
                  <c:v>1832925.385</c:v>
                </c:pt>
                <c:pt idx="17171">
                  <c:v>1833693.787855</c:v>
                </c:pt>
                <c:pt idx="17172">
                  <c:v>1834462.40544</c:v>
                </c:pt>
                <c:pt idx="17173">
                  <c:v>1835231.237785</c:v>
                </c:pt>
                <c:pt idx="17174">
                  <c:v>1836000.28492</c:v>
                </c:pt>
                <c:pt idx="17175">
                  <c:v>1836769.546875</c:v>
                </c:pt>
                <c:pt idx="17176">
                  <c:v>1837539.02368</c:v>
                </c:pt>
                <c:pt idx="17177">
                  <c:v>1838308.715365</c:v>
                </c:pt>
                <c:pt idx="17178">
                  <c:v>1839078.62196</c:v>
                </c:pt>
                <c:pt idx="17179">
                  <c:v>1839848.743495</c:v>
                </c:pt>
                <c:pt idx="17180">
                  <c:v>1840619.0799999998</c:v>
                </c:pt>
                <c:pt idx="17181">
                  <c:v>1841389.6315050002</c:v>
                </c:pt>
                <c:pt idx="17182">
                  <c:v>1842160.39804</c:v>
                </c:pt>
                <c:pt idx="17183">
                  <c:v>1842931.379635</c:v>
                </c:pt>
                <c:pt idx="17184">
                  <c:v>1843702.57632</c:v>
                </c:pt>
                <c:pt idx="17185">
                  <c:v>1844473.9881250001</c:v>
                </c:pt>
                <c:pt idx="17186">
                  <c:v>1845245.6150800001</c:v>
                </c:pt>
                <c:pt idx="17187">
                  <c:v>1846017.457215</c:v>
                </c:pt>
                <c:pt idx="17188">
                  <c:v>1846789.51456</c:v>
                </c:pt>
                <c:pt idx="17189">
                  <c:v>1847561.787145</c:v>
                </c:pt>
                <c:pt idx="17190">
                  <c:v>1848334.2750000001</c:v>
                </c:pt>
                <c:pt idx="17191">
                  <c:v>1849106.978155</c:v>
                </c:pt>
                <c:pt idx="17192">
                  <c:v>1849879.89664</c:v>
                </c:pt>
                <c:pt idx="17193">
                  <c:v>1850653.030485</c:v>
                </c:pt>
                <c:pt idx="17194">
                  <c:v>1851426.37972</c:v>
                </c:pt>
                <c:pt idx="17195">
                  <c:v>1852199.944375</c:v>
                </c:pt>
                <c:pt idx="17196">
                  <c:v>1852973.72448</c:v>
                </c:pt>
                <c:pt idx="17197">
                  <c:v>1853747.720065</c:v>
                </c:pt>
                <c:pt idx="17198">
                  <c:v>1854521.93116</c:v>
                </c:pt>
                <c:pt idx="17199">
                  <c:v>1855296.357795</c:v>
                </c:pt>
                <c:pt idx="17200">
                  <c:v>1856071.0</c:v>
                </c:pt>
                <c:pt idx="17201">
                  <c:v>1856845.8578050002</c:v>
                </c:pt>
                <c:pt idx="17202">
                  <c:v>1857620.9312399998</c:v>
                </c:pt>
                <c:pt idx="17203">
                  <c:v>1858396.220335</c:v>
                </c:pt>
                <c:pt idx="17204">
                  <c:v>1859171.72512</c:v>
                </c:pt>
                <c:pt idx="17205">
                  <c:v>1859947.445625</c:v>
                </c:pt>
                <c:pt idx="17206">
                  <c:v>1860723.38188</c:v>
                </c:pt>
                <c:pt idx="17207">
                  <c:v>1861499.533915</c:v>
                </c:pt>
                <c:pt idx="17208">
                  <c:v>1862275.90176</c:v>
                </c:pt>
                <c:pt idx="17209">
                  <c:v>1863052.485445</c:v>
                </c:pt>
                <c:pt idx="17210">
                  <c:v>1863829.285</c:v>
                </c:pt>
                <c:pt idx="17211">
                  <c:v>1864606.300455</c:v>
                </c:pt>
                <c:pt idx="17212">
                  <c:v>1865383.53184</c:v>
                </c:pt>
                <c:pt idx="17213">
                  <c:v>1866160.979185</c:v>
                </c:pt>
                <c:pt idx="17214">
                  <c:v>1866938.64252</c:v>
                </c:pt>
                <c:pt idx="17215">
                  <c:v>1867716.5218749999</c:v>
                </c:pt>
                <c:pt idx="17216">
                  <c:v>1868494.6172800001</c:v>
                </c:pt>
                <c:pt idx="17217">
                  <c:v>1869272.928765</c:v>
                </c:pt>
                <c:pt idx="17218">
                  <c:v>1870051.4563600002</c:v>
                </c:pt>
                <c:pt idx="17219">
                  <c:v>1870830.200095</c:v>
                </c:pt>
                <c:pt idx="17220">
                  <c:v>1871609.16</c:v>
                </c:pt>
                <c:pt idx="17221">
                  <c:v>1872388.336105</c:v>
                </c:pt>
                <c:pt idx="17222">
                  <c:v>1873167.72844</c:v>
                </c:pt>
                <c:pt idx="17223">
                  <c:v>1873947.3370349999</c:v>
                </c:pt>
                <c:pt idx="17224">
                  <c:v>1874727.1619199999</c:v>
                </c:pt>
                <c:pt idx="17225">
                  <c:v>1875507.203125</c:v>
                </c:pt>
                <c:pt idx="17226">
                  <c:v>1876287.46068</c:v>
                </c:pt>
                <c:pt idx="17227">
                  <c:v>1877067.934615</c:v>
                </c:pt>
                <c:pt idx="17228">
                  <c:v>1877848.62496</c:v>
                </c:pt>
                <c:pt idx="17229">
                  <c:v>1878629.5317449998</c:v>
                </c:pt>
                <c:pt idx="17230">
                  <c:v>1879410.655</c:v>
                </c:pt>
                <c:pt idx="17231">
                  <c:v>1880191.9947549999</c:v>
                </c:pt>
                <c:pt idx="17232">
                  <c:v>1880973.5510399998</c:v>
                </c:pt>
                <c:pt idx="17233">
                  <c:v>1881755.323885</c:v>
                </c:pt>
                <c:pt idx="17234">
                  <c:v>1882537.31332</c:v>
                </c:pt>
                <c:pt idx="17235">
                  <c:v>1883319.5193750001</c:v>
                </c:pt>
                <c:pt idx="17236">
                  <c:v>1884101.9420800002</c:v>
                </c:pt>
                <c:pt idx="17237">
                  <c:v>1884884.5814649998</c:v>
                </c:pt>
                <c:pt idx="17238">
                  <c:v>1885667.43756</c:v>
                </c:pt>
                <c:pt idx="17239">
                  <c:v>1886450.510395</c:v>
                </c:pt>
                <c:pt idx="17240">
                  <c:v>1887233.8</c:v>
                </c:pt>
                <c:pt idx="17241">
                  <c:v>1888017.306405</c:v>
                </c:pt>
                <c:pt idx="17242">
                  <c:v>1888801.0296399998</c:v>
                </c:pt>
                <c:pt idx="17243">
                  <c:v>1889584.969735</c:v>
                </c:pt>
                <c:pt idx="17244">
                  <c:v>1890369.12672</c:v>
                </c:pt>
                <c:pt idx="17245">
                  <c:v>1891153.5006249999</c:v>
                </c:pt>
                <c:pt idx="17246">
                  <c:v>1891938.09148</c:v>
                </c:pt>
                <c:pt idx="17247">
                  <c:v>1892722.8993149998</c:v>
                </c:pt>
                <c:pt idx="17248">
                  <c:v>1893507.92416</c:v>
                </c:pt>
                <c:pt idx="17249">
                  <c:v>1894293.1660449998</c:v>
                </c:pt>
                <c:pt idx="17250">
                  <c:v>1895078.625</c:v>
                </c:pt>
                <c:pt idx="17251">
                  <c:v>1895864.3010550002</c:v>
                </c:pt>
                <c:pt idx="17252">
                  <c:v>1896650.1942399999</c:v>
                </c:pt>
                <c:pt idx="17253">
                  <c:v>1897436.304585</c:v>
                </c:pt>
                <c:pt idx="17254">
                  <c:v>1898222.63212</c:v>
                </c:pt>
                <c:pt idx="17255">
                  <c:v>1899009.1768750001</c:v>
                </c:pt>
                <c:pt idx="17256">
                  <c:v>1899795.93888</c:v>
                </c:pt>
                <c:pt idx="17257">
                  <c:v>1900582.918165</c:v>
                </c:pt>
                <c:pt idx="17258">
                  <c:v>1901370.11476</c:v>
                </c:pt>
                <c:pt idx="17259">
                  <c:v>1902157.5286949999</c:v>
                </c:pt>
                <c:pt idx="17260">
                  <c:v>1902945.16</c:v>
                </c:pt>
                <c:pt idx="17261">
                  <c:v>1903733.008705</c:v>
                </c:pt>
                <c:pt idx="17262">
                  <c:v>1904521.07484</c:v>
                </c:pt>
                <c:pt idx="17263">
                  <c:v>1905309.358435</c:v>
                </c:pt>
                <c:pt idx="17264">
                  <c:v>1906097.85952</c:v>
                </c:pt>
                <c:pt idx="17265">
                  <c:v>1906886.578125</c:v>
                </c:pt>
                <c:pt idx="17266">
                  <c:v>1907675.51428</c:v>
                </c:pt>
                <c:pt idx="17267">
                  <c:v>1908464.668015</c:v>
                </c:pt>
                <c:pt idx="17268">
                  <c:v>1909254.03936</c:v>
                </c:pt>
                <c:pt idx="17269">
                  <c:v>1910043.6283449999</c:v>
                </c:pt>
                <c:pt idx="17270">
                  <c:v>1910833.4349999998</c:v>
                </c:pt>
                <c:pt idx="17271">
                  <c:v>1911623.4593550002</c:v>
                </c:pt>
                <c:pt idx="17272">
                  <c:v>1912413.7014400002</c:v>
                </c:pt>
                <c:pt idx="17273">
                  <c:v>1913204.161285</c:v>
                </c:pt>
                <c:pt idx="17274">
                  <c:v>1913994.83892</c:v>
                </c:pt>
                <c:pt idx="17275">
                  <c:v>1914785.734375</c:v>
                </c:pt>
                <c:pt idx="17276">
                  <c:v>1915576.8476800001</c:v>
                </c:pt>
                <c:pt idx="17277">
                  <c:v>1916368.178865</c:v>
                </c:pt>
                <c:pt idx="17278">
                  <c:v>1917159.72796</c:v>
                </c:pt>
                <c:pt idx="17279">
                  <c:v>1917951.494995</c:v>
                </c:pt>
                <c:pt idx="17280">
                  <c:v>1918743.48</c:v>
                </c:pt>
                <c:pt idx="17281">
                  <c:v>1919535.683005</c:v>
                </c:pt>
                <c:pt idx="17282">
                  <c:v>1920328.1040400001</c:v>
                </c:pt>
                <c:pt idx="17283">
                  <c:v>1921120.743135</c:v>
                </c:pt>
                <c:pt idx="17284">
                  <c:v>1921913.60032</c:v>
                </c:pt>
                <c:pt idx="17285">
                  <c:v>1922706.675625</c:v>
                </c:pt>
                <c:pt idx="17286">
                  <c:v>1923499.96908</c:v>
                </c:pt>
                <c:pt idx="17287">
                  <c:v>1924293.480715</c:v>
                </c:pt>
                <c:pt idx="17288">
                  <c:v>1925087.21056</c:v>
                </c:pt>
                <c:pt idx="17289">
                  <c:v>1925881.158645</c:v>
                </c:pt>
                <c:pt idx="17290">
                  <c:v>1926675.325</c:v>
                </c:pt>
                <c:pt idx="17291">
                  <c:v>1927469.7096550001</c:v>
                </c:pt>
                <c:pt idx="17292">
                  <c:v>1928264.31264</c:v>
                </c:pt>
                <c:pt idx="17293">
                  <c:v>1929059.133985</c:v>
                </c:pt>
                <c:pt idx="17294">
                  <c:v>1929854.17372</c:v>
                </c:pt>
                <c:pt idx="17295">
                  <c:v>1930649.431875</c:v>
                </c:pt>
                <c:pt idx="17296">
                  <c:v>1931444.90848</c:v>
                </c:pt>
                <c:pt idx="17297">
                  <c:v>1932240.603565</c:v>
                </c:pt>
                <c:pt idx="17298">
                  <c:v>1933036.51716</c:v>
                </c:pt>
                <c:pt idx="17299">
                  <c:v>1933832.649295</c:v>
                </c:pt>
                <c:pt idx="17300">
                  <c:v>1934629.0</c:v>
                </c:pt>
                <c:pt idx="17301">
                  <c:v>1935425.5693050001</c:v>
                </c:pt>
                <c:pt idx="17302">
                  <c:v>1936222.35724</c:v>
                </c:pt>
                <c:pt idx="17303">
                  <c:v>1937019.3638350002</c:v>
                </c:pt>
                <c:pt idx="17304">
                  <c:v>1937816.58912</c:v>
                </c:pt>
                <c:pt idx="17305">
                  <c:v>1938614.0331249998</c:v>
                </c:pt>
                <c:pt idx="17306">
                  <c:v>1939411.6958799998</c:v>
                </c:pt>
                <c:pt idx="17307">
                  <c:v>1940209.5774150002</c:v>
                </c:pt>
                <c:pt idx="17308">
                  <c:v>1941007.67776</c:v>
                </c:pt>
                <c:pt idx="17309">
                  <c:v>1941805.996945</c:v>
                </c:pt>
                <c:pt idx="17310">
                  <c:v>1942604.5350000001</c:v>
                </c:pt>
                <c:pt idx="17311">
                  <c:v>1943403.291955</c:v>
                </c:pt>
                <c:pt idx="17312">
                  <c:v>1944202.26784</c:v>
                </c:pt>
                <c:pt idx="17313">
                  <c:v>1945001.4626850002</c:v>
                </c:pt>
                <c:pt idx="17314">
                  <c:v>1945800.87652</c:v>
                </c:pt>
                <c:pt idx="17315">
                  <c:v>1946600.5093750001</c:v>
                </c:pt>
                <c:pt idx="17316">
                  <c:v>1947400.36128</c:v>
                </c:pt>
                <c:pt idx="17317">
                  <c:v>1948200.432265</c:v>
                </c:pt>
                <c:pt idx="17318">
                  <c:v>1949000.72236</c:v>
                </c:pt>
                <c:pt idx="17319">
                  <c:v>1949801.231595</c:v>
                </c:pt>
                <c:pt idx="17320">
                  <c:v>1950601.96</c:v>
                </c:pt>
                <c:pt idx="17321">
                  <c:v>1951402.907605</c:v>
                </c:pt>
                <c:pt idx="17322">
                  <c:v>1952204.07444</c:v>
                </c:pt>
                <c:pt idx="17323">
                  <c:v>1953005.460535</c:v>
                </c:pt>
                <c:pt idx="17324">
                  <c:v>1953807.06592</c:v>
                </c:pt>
                <c:pt idx="17325">
                  <c:v>1954608.890625</c:v>
                </c:pt>
                <c:pt idx="17326">
                  <c:v>1955410.9346800002</c:v>
                </c:pt>
                <c:pt idx="17327">
                  <c:v>1956213.198115</c:v>
                </c:pt>
                <c:pt idx="17328">
                  <c:v>1957015.6809599998</c:v>
                </c:pt>
                <c:pt idx="17329">
                  <c:v>1957818.3832450002</c:v>
                </c:pt>
                <c:pt idx="17330">
                  <c:v>1958621.305</c:v>
                </c:pt>
                <c:pt idx="17331">
                  <c:v>1959424.4462549998</c:v>
                </c:pt>
                <c:pt idx="17332">
                  <c:v>1960227.8070399999</c:v>
                </c:pt>
                <c:pt idx="17333">
                  <c:v>1961031.387385</c:v>
                </c:pt>
                <c:pt idx="17334">
                  <c:v>1961835.18732</c:v>
                </c:pt>
                <c:pt idx="17335">
                  <c:v>1962639.206875</c:v>
                </c:pt>
                <c:pt idx="17336">
                  <c:v>1963443.4460800001</c:v>
                </c:pt>
                <c:pt idx="17337">
                  <c:v>1964247.904965</c:v>
                </c:pt>
                <c:pt idx="17338">
                  <c:v>1965052.58356</c:v>
                </c:pt>
                <c:pt idx="17339">
                  <c:v>1965857.481895</c:v>
                </c:pt>
                <c:pt idx="17340">
                  <c:v>1966662.5999999999</c:v>
                </c:pt>
                <c:pt idx="17341">
                  <c:v>1967467.9379049998</c:v>
                </c:pt>
                <c:pt idx="17342">
                  <c:v>1968273.49564</c:v>
                </c:pt>
                <c:pt idx="17343">
                  <c:v>1969079.273235</c:v>
                </c:pt>
                <c:pt idx="17344">
                  <c:v>1969885.27072</c:v>
                </c:pt>
                <c:pt idx="17345">
                  <c:v>1970691.488125</c:v>
                </c:pt>
                <c:pt idx="17346">
                  <c:v>1971497.92548</c:v>
                </c:pt>
                <c:pt idx="17347">
                  <c:v>1972304.582815</c:v>
                </c:pt>
                <c:pt idx="17348">
                  <c:v>1973111.46016</c:v>
                </c:pt>
                <c:pt idx="17349">
                  <c:v>1973918.557545</c:v>
                </c:pt>
                <c:pt idx="17350">
                  <c:v>1974725.875</c:v>
                </c:pt>
                <c:pt idx="17351">
                  <c:v>1975533.412555</c:v>
                </c:pt>
                <c:pt idx="17352">
                  <c:v>1976341.17024</c:v>
                </c:pt>
                <c:pt idx="17353">
                  <c:v>1977149.148085</c:v>
                </c:pt>
                <c:pt idx="17354">
                  <c:v>1977957.3461200001</c:v>
                </c:pt>
                <c:pt idx="17355">
                  <c:v>1978765.764375</c:v>
                </c:pt>
                <c:pt idx="17356">
                  <c:v>1979574.40288</c:v>
                </c:pt>
                <c:pt idx="17357">
                  <c:v>1980383.2616649999</c:v>
                </c:pt>
                <c:pt idx="17358">
                  <c:v>1981192.34076</c:v>
                </c:pt>
                <c:pt idx="17359">
                  <c:v>1982001.640195</c:v>
                </c:pt>
                <c:pt idx="17360">
                  <c:v>1982811.1600000001</c:v>
                </c:pt>
                <c:pt idx="17361">
                  <c:v>1983620.9002049998</c:v>
                </c:pt>
                <c:pt idx="17362">
                  <c:v>1984430.86084</c:v>
                </c:pt>
                <c:pt idx="17363">
                  <c:v>1985241.041935</c:v>
                </c:pt>
                <c:pt idx="17364">
                  <c:v>1986051.44352</c:v>
                </c:pt>
                <c:pt idx="17365">
                  <c:v>1986862.065625</c:v>
                </c:pt>
                <c:pt idx="17366">
                  <c:v>1987672.90828</c:v>
                </c:pt>
                <c:pt idx="17367">
                  <c:v>1988483.971515</c:v>
                </c:pt>
                <c:pt idx="17368">
                  <c:v>1989295.2553599998</c:v>
                </c:pt>
                <c:pt idx="17369">
                  <c:v>1990106.759845</c:v>
                </c:pt>
                <c:pt idx="17370">
                  <c:v>1990918.4849999999</c:v>
                </c:pt>
                <c:pt idx="17371">
                  <c:v>1991730.430855</c:v>
                </c:pt>
                <c:pt idx="17372">
                  <c:v>1992542.59744</c:v>
                </c:pt>
                <c:pt idx="17373">
                  <c:v>1993354.984785</c:v>
                </c:pt>
                <c:pt idx="17374">
                  <c:v>1994167.59292</c:v>
                </c:pt>
                <c:pt idx="17375">
                  <c:v>1994980.421875</c:v>
                </c:pt>
                <c:pt idx="17376">
                  <c:v>1995793.47168</c:v>
                </c:pt>
                <c:pt idx="17377">
                  <c:v>1996606.742365</c:v>
                </c:pt>
                <c:pt idx="17378">
                  <c:v>1997420.2339599999</c:v>
                </c:pt>
                <c:pt idx="17379">
                  <c:v>1998233.946495</c:v>
                </c:pt>
                <c:pt idx="17380">
                  <c:v>1999047.8800000001</c:v>
                </c:pt>
                <c:pt idx="17381">
                  <c:v>1999862.034505</c:v>
                </c:pt>
                <c:pt idx="17382">
                  <c:v>2000676.41004</c:v>
                </c:pt>
                <c:pt idx="17383">
                  <c:v>2001491.006635</c:v>
                </c:pt>
                <c:pt idx="17384">
                  <c:v>2002305.8243200001</c:v>
                </c:pt>
                <c:pt idx="17385">
                  <c:v>2003120.863125</c:v>
                </c:pt>
                <c:pt idx="17386">
                  <c:v>2003936.12308</c:v>
                </c:pt>
                <c:pt idx="17387">
                  <c:v>2004751.604215</c:v>
                </c:pt>
                <c:pt idx="17388">
                  <c:v>2005567.30656</c:v>
                </c:pt>
                <c:pt idx="17389">
                  <c:v>2006383.2301450002</c:v>
                </c:pt>
                <c:pt idx="17390">
                  <c:v>2007199.375</c:v>
                </c:pt>
                <c:pt idx="17391">
                  <c:v>2008015.741155</c:v>
                </c:pt>
                <c:pt idx="17392">
                  <c:v>2008832.32864</c:v>
                </c:pt>
                <c:pt idx="17393">
                  <c:v>2009649.1374849998</c:v>
                </c:pt>
                <c:pt idx="17394">
                  <c:v>2010466.16772</c:v>
                </c:pt>
                <c:pt idx="17395">
                  <c:v>2011283.4193749998</c:v>
                </c:pt>
                <c:pt idx="17396">
                  <c:v>2012100.89248</c:v>
                </c:pt>
                <c:pt idx="17397">
                  <c:v>2012918.5870649999</c:v>
                </c:pt>
                <c:pt idx="17398">
                  <c:v>2013736.50316</c:v>
                </c:pt>
                <c:pt idx="17399">
                  <c:v>2014554.640795</c:v>
                </c:pt>
                <c:pt idx="17400">
                  <c:v>2015373.0</c:v>
                </c:pt>
                <c:pt idx="17401">
                  <c:v>2016191.580805</c:v>
                </c:pt>
                <c:pt idx="17402">
                  <c:v>2017010.38324</c:v>
                </c:pt>
                <c:pt idx="17403">
                  <c:v>2017829.4073349999</c:v>
                </c:pt>
                <c:pt idx="17404">
                  <c:v>2018648.65312</c:v>
                </c:pt>
                <c:pt idx="17405">
                  <c:v>2019468.120625</c:v>
                </c:pt>
                <c:pt idx="17406">
                  <c:v>2020287.80988</c:v>
                </c:pt>
                <c:pt idx="17407">
                  <c:v>2021107.720915</c:v>
                </c:pt>
                <c:pt idx="17408">
                  <c:v>2021927.8537599999</c:v>
                </c:pt>
                <c:pt idx="17409">
                  <c:v>2022748.208445</c:v>
                </c:pt>
                <c:pt idx="17410">
                  <c:v>2023568.785</c:v>
                </c:pt>
                <c:pt idx="17411">
                  <c:v>2024389.583455</c:v>
                </c:pt>
                <c:pt idx="17412">
                  <c:v>2025210.60384</c:v>
                </c:pt>
                <c:pt idx="17413">
                  <c:v>2026031.8461850001</c:v>
                </c:pt>
                <c:pt idx="17414">
                  <c:v>2026853.31052</c:v>
                </c:pt>
                <c:pt idx="17415">
                  <c:v>2027674.996875</c:v>
                </c:pt>
                <c:pt idx="17416">
                  <c:v>2028496.90528</c:v>
                </c:pt>
                <c:pt idx="17417">
                  <c:v>2029319.0357650002</c:v>
                </c:pt>
                <c:pt idx="17418">
                  <c:v>2030141.38836</c:v>
                </c:pt>
                <c:pt idx="17419">
                  <c:v>2030963.963095</c:v>
                </c:pt>
                <c:pt idx="17420">
                  <c:v>2031786.76</c:v>
                </c:pt>
                <c:pt idx="17421">
                  <c:v>2032609.7791050002</c:v>
                </c:pt>
                <c:pt idx="17422">
                  <c:v>2033433.0204399999</c:v>
                </c:pt>
                <c:pt idx="17423">
                  <c:v>2034256.484035</c:v>
                </c:pt>
                <c:pt idx="17424">
                  <c:v>2035080.1699199998</c:v>
                </c:pt>
                <c:pt idx="17425">
                  <c:v>2035904.078125</c:v>
                </c:pt>
                <c:pt idx="17426">
                  <c:v>2036728.20868</c:v>
                </c:pt>
                <c:pt idx="17427">
                  <c:v>2037552.561615</c:v>
                </c:pt>
                <c:pt idx="17428">
                  <c:v>2038377.13696</c:v>
                </c:pt>
                <c:pt idx="17429">
                  <c:v>2039201.934745</c:v>
                </c:pt>
                <c:pt idx="17430">
                  <c:v>2040026.9549999998</c:v>
                </c:pt>
                <c:pt idx="17431">
                  <c:v>2040852.1977549999</c:v>
                </c:pt>
                <c:pt idx="17432">
                  <c:v>2041677.66304</c:v>
                </c:pt>
                <c:pt idx="17433">
                  <c:v>2042503.350885</c:v>
                </c:pt>
                <c:pt idx="17434">
                  <c:v>2043329.26132</c:v>
                </c:pt>
                <c:pt idx="17435">
                  <c:v>2044155.3943750001</c:v>
                </c:pt>
                <c:pt idx="17436">
                  <c:v>2044981.75008</c:v>
                </c:pt>
                <c:pt idx="17437">
                  <c:v>2045808.328465</c:v>
                </c:pt>
                <c:pt idx="17438">
                  <c:v>2046635.12956</c:v>
                </c:pt>
                <c:pt idx="17439">
                  <c:v>2047462.153395</c:v>
                </c:pt>
                <c:pt idx="17440">
                  <c:v>2048289.4000000001</c:v>
                </c:pt>
                <c:pt idx="17441">
                  <c:v>2049116.869405</c:v>
                </c:pt>
                <c:pt idx="17442">
                  <c:v>2049944.56164</c:v>
                </c:pt>
                <c:pt idx="17443">
                  <c:v>2050772.476735</c:v>
                </c:pt>
                <c:pt idx="17444">
                  <c:v>2051600.61472</c:v>
                </c:pt>
                <c:pt idx="17445">
                  <c:v>2052428.975625</c:v>
                </c:pt>
                <c:pt idx="17446">
                  <c:v>2053257.55948</c:v>
                </c:pt>
                <c:pt idx="17447">
                  <c:v>2054086.366315</c:v>
                </c:pt>
                <c:pt idx="17448">
                  <c:v>2054915.39616</c:v>
                </c:pt>
                <c:pt idx="17449">
                  <c:v>2055744.649045</c:v>
                </c:pt>
                <c:pt idx="17450">
                  <c:v>2056574.125</c:v>
                </c:pt>
                <c:pt idx="17451">
                  <c:v>2057403.824055</c:v>
                </c:pt>
                <c:pt idx="17452">
                  <c:v>2058233.74624</c:v>
                </c:pt>
                <c:pt idx="17453">
                  <c:v>2059063.891585</c:v>
                </c:pt>
                <c:pt idx="17454">
                  <c:v>2059894.26012</c:v>
                </c:pt>
                <c:pt idx="17455">
                  <c:v>2060724.851875</c:v>
                </c:pt>
                <c:pt idx="17456">
                  <c:v>2061555.66688</c:v>
                </c:pt>
                <c:pt idx="17457">
                  <c:v>2062386.705165</c:v>
                </c:pt>
                <c:pt idx="17458">
                  <c:v>2063217.96676</c:v>
                </c:pt>
                <c:pt idx="17459">
                  <c:v>2064049.4516949998</c:v>
                </c:pt>
                <c:pt idx="17460">
                  <c:v>2064881.16</c:v>
                </c:pt>
                <c:pt idx="17461">
                  <c:v>2065713.091705</c:v>
                </c:pt>
                <c:pt idx="17462">
                  <c:v>2066545.24684</c:v>
                </c:pt>
                <c:pt idx="17463">
                  <c:v>2067377.625435</c:v>
                </c:pt>
                <c:pt idx="17464">
                  <c:v>2068210.22752</c:v>
                </c:pt>
                <c:pt idx="17465">
                  <c:v>2069043.0531249999</c:v>
                </c:pt>
                <c:pt idx="17466">
                  <c:v>2069876.10228</c:v>
                </c:pt>
                <c:pt idx="17467">
                  <c:v>2070709.3750149999</c:v>
                </c:pt>
                <c:pt idx="17468">
                  <c:v>2071542.87136</c:v>
                </c:pt>
                <c:pt idx="17469">
                  <c:v>2072376.5913449998</c:v>
                </c:pt>
                <c:pt idx="17470">
                  <c:v>2073210.535</c:v>
                </c:pt>
                <c:pt idx="17471">
                  <c:v>2074044.702355</c:v>
                </c:pt>
                <c:pt idx="17472">
                  <c:v>2074879.09344</c:v>
                </c:pt>
                <c:pt idx="17473">
                  <c:v>2075713.708285</c:v>
                </c:pt>
                <c:pt idx="17474">
                  <c:v>2076548.54692</c:v>
                </c:pt>
                <c:pt idx="17475">
                  <c:v>2077383.609375</c:v>
                </c:pt>
                <c:pt idx="17476">
                  <c:v>2078218.8956799998</c:v>
                </c:pt>
                <c:pt idx="17477">
                  <c:v>2079054.405865</c:v>
                </c:pt>
                <c:pt idx="17478">
                  <c:v>2079890.13996</c:v>
                </c:pt>
                <c:pt idx="17479">
                  <c:v>2080726.097995</c:v>
                </c:pt>
                <c:pt idx="17480">
                  <c:v>2081562.28</c:v>
                </c:pt>
                <c:pt idx="17481">
                  <c:v>2082398.686005</c:v>
                </c:pt>
                <c:pt idx="17482">
                  <c:v>2083235.3160400002</c:v>
                </c:pt>
                <c:pt idx="17483">
                  <c:v>2084072.1701349998</c:v>
                </c:pt>
                <c:pt idx="17484">
                  <c:v>2084909.24832</c:v>
                </c:pt>
                <c:pt idx="17485">
                  <c:v>2085746.5506250001</c:v>
                </c:pt>
                <c:pt idx="17486">
                  <c:v>2086584.07708</c:v>
                </c:pt>
                <c:pt idx="17487">
                  <c:v>2087421.8277150001</c:v>
                </c:pt>
                <c:pt idx="17488">
                  <c:v>2088259.80256</c:v>
                </c:pt>
                <c:pt idx="17489">
                  <c:v>2089098.001645</c:v>
                </c:pt>
                <c:pt idx="17490">
                  <c:v>2089936.425</c:v>
                </c:pt>
                <c:pt idx="17491">
                  <c:v>2090775.072655</c:v>
                </c:pt>
                <c:pt idx="17492">
                  <c:v>2091613.9446400001</c:v>
                </c:pt>
                <c:pt idx="17493">
                  <c:v>2092453.040985</c:v>
                </c:pt>
                <c:pt idx="17494">
                  <c:v>2093292.36172</c:v>
                </c:pt>
                <c:pt idx="17495">
                  <c:v>2094131.9068749999</c:v>
                </c:pt>
                <c:pt idx="17496">
                  <c:v>2094971.67648</c:v>
                </c:pt>
                <c:pt idx="17497">
                  <c:v>2095811.670565</c:v>
                </c:pt>
                <c:pt idx="17498">
                  <c:v>2096651.88916</c:v>
                </c:pt>
                <c:pt idx="17499">
                  <c:v>2097492.332295</c:v>
                </c:pt>
                <c:pt idx="17500">
                  <c:v>2098333.0</c:v>
                </c:pt>
                <c:pt idx="17501">
                  <c:v>2099173.892305</c:v>
                </c:pt>
                <c:pt idx="17502">
                  <c:v>2100015.00924</c:v>
                </c:pt>
                <c:pt idx="17503">
                  <c:v>2100856.350835</c:v>
                </c:pt>
                <c:pt idx="17504">
                  <c:v>2101697.91712</c:v>
                </c:pt>
                <c:pt idx="17505">
                  <c:v>2102539.708125</c:v>
                </c:pt>
                <c:pt idx="17506">
                  <c:v>2103381.72388</c:v>
                </c:pt>
                <c:pt idx="17507">
                  <c:v>2104223.964415</c:v>
                </c:pt>
                <c:pt idx="17508">
                  <c:v>2105066.42976</c:v>
                </c:pt>
                <c:pt idx="17509">
                  <c:v>2105909.119945</c:v>
                </c:pt>
                <c:pt idx="17510">
                  <c:v>2106752.035</c:v>
                </c:pt>
                <c:pt idx="17511">
                  <c:v>2107595.1749549997</c:v>
                </c:pt>
                <c:pt idx="17512">
                  <c:v>2108438.53984</c:v>
                </c:pt>
                <c:pt idx="17513">
                  <c:v>2109282.129685</c:v>
                </c:pt>
                <c:pt idx="17514">
                  <c:v>2110125.94452</c:v>
                </c:pt>
                <c:pt idx="17515">
                  <c:v>2110969.984375</c:v>
                </c:pt>
                <c:pt idx="17516">
                  <c:v>2111814.2492799996</c:v>
                </c:pt>
                <c:pt idx="17517">
                  <c:v>2112658.739265</c:v>
                </c:pt>
                <c:pt idx="17518">
                  <c:v>2113503.45436</c:v>
                </c:pt>
                <c:pt idx="17519">
                  <c:v>2114348.394595</c:v>
                </c:pt>
                <c:pt idx="17520">
                  <c:v>2115193.56</c:v>
                </c:pt>
                <c:pt idx="17521">
                  <c:v>2116038.950605</c:v>
                </c:pt>
                <c:pt idx="17522">
                  <c:v>2116884.5664399997</c:v>
                </c:pt>
                <c:pt idx="17523">
                  <c:v>2117730.407535</c:v>
                </c:pt>
                <c:pt idx="17524">
                  <c:v>2118576.47392</c:v>
                </c:pt>
                <c:pt idx="17525">
                  <c:v>2119422.765625</c:v>
                </c:pt>
                <c:pt idx="17526">
                  <c:v>2120269.2826799997</c:v>
                </c:pt>
                <c:pt idx="17527">
                  <c:v>2121116.025115</c:v>
                </c:pt>
                <c:pt idx="17528">
                  <c:v>2121962.99296</c:v>
                </c:pt>
                <c:pt idx="17529">
                  <c:v>2122810.186245</c:v>
                </c:pt>
                <c:pt idx="17530">
                  <c:v>2123657.605</c:v>
                </c:pt>
                <c:pt idx="17531">
                  <c:v>2124505.249255</c:v>
                </c:pt>
                <c:pt idx="17532">
                  <c:v>2125353.1190400003</c:v>
                </c:pt>
                <c:pt idx="17533">
                  <c:v>2126201.214385</c:v>
                </c:pt>
                <c:pt idx="17534">
                  <c:v>2127049.5353200003</c:v>
                </c:pt>
                <c:pt idx="17535">
                  <c:v>2127898.081875</c:v>
                </c:pt>
                <c:pt idx="17536">
                  <c:v>2128746.85408</c:v>
                </c:pt>
                <c:pt idx="17537">
                  <c:v>2129595.851965</c:v>
                </c:pt>
                <c:pt idx="17538">
                  <c:v>2130445.0755600003</c:v>
                </c:pt>
                <c:pt idx="17539">
                  <c:v>2131294.5248950003</c:v>
                </c:pt>
                <c:pt idx="17540">
                  <c:v>2132144.1999999997</c:v>
                </c:pt>
                <c:pt idx="17541">
                  <c:v>2132994.1009049998</c:v>
                </c:pt>
                <c:pt idx="17542">
                  <c:v>2133844.22764</c:v>
                </c:pt>
                <c:pt idx="17543">
                  <c:v>2134694.5802350002</c:v>
                </c:pt>
                <c:pt idx="17544">
                  <c:v>2135545.15872</c:v>
                </c:pt>
                <c:pt idx="17545">
                  <c:v>2136395.9631250002</c:v>
                </c:pt>
                <c:pt idx="17546">
                  <c:v>2137246.9934799997</c:v>
                </c:pt>
                <c:pt idx="17547">
                  <c:v>2138098.249815</c:v>
                </c:pt>
                <c:pt idx="17548">
                  <c:v>2138949.73216</c:v>
                </c:pt>
                <c:pt idx="17549">
                  <c:v>2139801.440545</c:v>
                </c:pt>
                <c:pt idx="17550">
                  <c:v>2140653.375</c:v>
                </c:pt>
                <c:pt idx="17551">
                  <c:v>2141505.535555</c:v>
                </c:pt>
                <c:pt idx="17552">
                  <c:v>2142357.92224</c:v>
                </c:pt>
                <c:pt idx="17553">
                  <c:v>2143210.535085</c:v>
                </c:pt>
                <c:pt idx="17554">
                  <c:v>2144063.37412</c:v>
                </c:pt>
                <c:pt idx="17555">
                  <c:v>2144916.439375</c:v>
                </c:pt>
                <c:pt idx="17556">
                  <c:v>2145769.73088</c:v>
                </c:pt>
                <c:pt idx="17557">
                  <c:v>2146623.248665</c:v>
                </c:pt>
                <c:pt idx="17558">
                  <c:v>2147476.9927600003</c:v>
                </c:pt>
                <c:pt idx="17559">
                  <c:v>2148330.963195</c:v>
                </c:pt>
                <c:pt idx="17560">
                  <c:v>2149185.16</c:v>
                </c:pt>
                <c:pt idx="17561">
                  <c:v>2150039.583205</c:v>
                </c:pt>
                <c:pt idx="17562">
                  <c:v>2150894.23284</c:v>
                </c:pt>
                <c:pt idx="17563">
                  <c:v>2151749.108935</c:v>
                </c:pt>
                <c:pt idx="17564">
                  <c:v>2152604.21152</c:v>
                </c:pt>
                <c:pt idx="17565">
                  <c:v>2153459.540625</c:v>
                </c:pt>
                <c:pt idx="17566">
                  <c:v>2154315.09628</c:v>
                </c:pt>
                <c:pt idx="17567">
                  <c:v>2155170.878515</c:v>
                </c:pt>
                <c:pt idx="17568">
                  <c:v>2156026.88736</c:v>
                </c:pt>
                <c:pt idx="17569">
                  <c:v>2156883.122845</c:v>
                </c:pt>
                <c:pt idx="17570">
                  <c:v>2157739.585</c:v>
                </c:pt>
                <c:pt idx="17571">
                  <c:v>2158596.273855</c:v>
                </c:pt>
                <c:pt idx="17572">
                  <c:v>2159453.18944</c:v>
                </c:pt>
                <c:pt idx="17573">
                  <c:v>2160310.331785</c:v>
                </c:pt>
                <c:pt idx="17574">
                  <c:v>2161167.7009199997</c:v>
                </c:pt>
                <c:pt idx="17575">
                  <c:v>2162025.296875</c:v>
                </c:pt>
                <c:pt idx="17576">
                  <c:v>2162883.11968</c:v>
                </c:pt>
                <c:pt idx="17577">
                  <c:v>2163741.169365</c:v>
                </c:pt>
                <c:pt idx="17578">
                  <c:v>2164599.44596</c:v>
                </c:pt>
                <c:pt idx="17579">
                  <c:v>2165457.949495</c:v>
                </c:pt>
                <c:pt idx="17580">
                  <c:v>2166316.68</c:v>
                </c:pt>
                <c:pt idx="17581">
                  <c:v>2167175.637505</c:v>
                </c:pt>
                <c:pt idx="17582">
                  <c:v>2168034.82204</c:v>
                </c:pt>
                <c:pt idx="17583">
                  <c:v>2168894.2336350004</c:v>
                </c:pt>
                <c:pt idx="17584">
                  <c:v>2169753.8723199996</c:v>
                </c:pt>
                <c:pt idx="17585">
                  <c:v>2170613.738125</c:v>
                </c:pt>
                <c:pt idx="17586">
                  <c:v>2171473.83108</c:v>
                </c:pt>
                <c:pt idx="17587">
                  <c:v>2172334.1512149996</c:v>
                </c:pt>
                <c:pt idx="17588">
                  <c:v>2173194.69856</c:v>
                </c:pt>
                <c:pt idx="17589">
                  <c:v>2174055.473145</c:v>
                </c:pt>
                <c:pt idx="17590">
                  <c:v>2174916.475</c:v>
                </c:pt>
                <c:pt idx="17591">
                  <c:v>2175777.7041550004</c:v>
                </c:pt>
                <c:pt idx="17592">
                  <c:v>2176639.16064</c:v>
                </c:pt>
                <c:pt idx="17593">
                  <c:v>2177500.8444850002</c:v>
                </c:pt>
                <c:pt idx="17594">
                  <c:v>2178362.75572</c:v>
                </c:pt>
                <c:pt idx="17595">
                  <c:v>2179224.894375</c:v>
                </c:pt>
                <c:pt idx="17596">
                  <c:v>2180087.2604799997</c:v>
                </c:pt>
                <c:pt idx="17597">
                  <c:v>2180949.854065</c:v>
                </c:pt>
                <c:pt idx="17598">
                  <c:v>2181812.67516</c:v>
                </c:pt>
                <c:pt idx="17599">
                  <c:v>2182675.723795</c:v>
                </c:pt>
                <c:pt idx="17600">
                  <c:v>2183539.0</c:v>
                </c:pt>
                <c:pt idx="17601">
                  <c:v>2184402.5038050003</c:v>
                </c:pt>
                <c:pt idx="17602">
                  <c:v>2185266.2352400003</c:v>
                </c:pt>
                <c:pt idx="17603">
                  <c:v>2186130.194335</c:v>
                </c:pt>
                <c:pt idx="17604">
                  <c:v>2186994.38112</c:v>
                </c:pt>
                <c:pt idx="17605">
                  <c:v>2187858.795625</c:v>
                </c:pt>
                <c:pt idx="17606">
                  <c:v>2188723.4378799996</c:v>
                </c:pt>
                <c:pt idx="17607">
                  <c:v>2189588.3079150002</c:v>
                </c:pt>
                <c:pt idx="17608">
                  <c:v>2190453.40576</c:v>
                </c:pt>
                <c:pt idx="17609">
                  <c:v>2191318.731445</c:v>
                </c:pt>
                <c:pt idx="17610">
                  <c:v>2192184.2849999997</c:v>
                </c:pt>
                <c:pt idx="17611">
                  <c:v>2193050.066455</c:v>
                </c:pt>
                <c:pt idx="17612">
                  <c:v>2193916.07584</c:v>
                </c:pt>
                <c:pt idx="17613">
                  <c:v>2194782.313185</c:v>
                </c:pt>
                <c:pt idx="17614">
                  <c:v>2195648.77852</c:v>
                </c:pt>
                <c:pt idx="17615">
                  <c:v>2196515.4718750003</c:v>
                </c:pt>
                <c:pt idx="17616">
                  <c:v>2197382.39328</c:v>
                </c:pt>
                <c:pt idx="17617">
                  <c:v>2198249.542765</c:v>
                </c:pt>
                <c:pt idx="17618">
                  <c:v>2199116.9203600003</c:v>
                </c:pt>
                <c:pt idx="17619">
                  <c:v>2199984.5260949996</c:v>
                </c:pt>
                <c:pt idx="17620">
                  <c:v>2200852.3600000003</c:v>
                </c:pt>
                <c:pt idx="17621">
                  <c:v>2201720.422105</c:v>
                </c:pt>
                <c:pt idx="17622">
                  <c:v>2202588.7124400004</c:v>
                </c:pt>
                <c:pt idx="17623">
                  <c:v>2203457.2310349997</c:v>
                </c:pt>
                <c:pt idx="17624">
                  <c:v>2204325.97792</c:v>
                </c:pt>
                <c:pt idx="17625">
                  <c:v>2205194.953125</c:v>
                </c:pt>
                <c:pt idx="17626">
                  <c:v>2206064.15668</c:v>
                </c:pt>
                <c:pt idx="17627">
                  <c:v>2206933.5886150002</c:v>
                </c:pt>
                <c:pt idx="17628">
                  <c:v>2207803.24896</c:v>
                </c:pt>
                <c:pt idx="17629">
                  <c:v>2208673.137745</c:v>
                </c:pt>
                <c:pt idx="17630">
                  <c:v>2209543.255</c:v>
                </c:pt>
                <c:pt idx="17631">
                  <c:v>2210413.600755</c:v>
                </c:pt>
                <c:pt idx="17632">
                  <c:v>2211284.17504</c:v>
                </c:pt>
                <c:pt idx="17633">
                  <c:v>2212154.977885</c:v>
                </c:pt>
                <c:pt idx="17634">
                  <c:v>2213026.00932</c:v>
                </c:pt>
                <c:pt idx="17635">
                  <c:v>2213897.269375</c:v>
                </c:pt>
                <c:pt idx="17636">
                  <c:v>2214768.75808</c:v>
                </c:pt>
                <c:pt idx="17637">
                  <c:v>2215640.475465</c:v>
                </c:pt>
                <c:pt idx="17638">
                  <c:v>2216512.4215599997</c:v>
                </c:pt>
                <c:pt idx="17639">
                  <c:v>2217384.596395</c:v>
                </c:pt>
                <c:pt idx="17640">
                  <c:v>2218257.0</c:v>
                </c:pt>
                <c:pt idx="17641">
                  <c:v>2219129.6324050003</c:v>
                </c:pt>
                <c:pt idx="17642">
                  <c:v>2220002.49364</c:v>
                </c:pt>
                <c:pt idx="17643">
                  <c:v>2220875.583735</c:v>
                </c:pt>
                <c:pt idx="17644">
                  <c:v>2221748.9027199997</c:v>
                </c:pt>
                <c:pt idx="17645">
                  <c:v>2222622.450625</c:v>
                </c:pt>
                <c:pt idx="17646">
                  <c:v>2223496.22748</c:v>
                </c:pt>
                <c:pt idx="17647">
                  <c:v>2224370.233315</c:v>
                </c:pt>
                <c:pt idx="17648">
                  <c:v>2225244.4681599997</c:v>
                </c:pt>
                <c:pt idx="17649">
                  <c:v>2226118.932045</c:v>
                </c:pt>
                <c:pt idx="17650">
                  <c:v>2226993.625</c:v>
                </c:pt>
                <c:pt idx="17651">
                  <c:v>2227868.5470550004</c:v>
                </c:pt>
                <c:pt idx="17652">
                  <c:v>2228743.6982400003</c:v>
                </c:pt>
                <c:pt idx="17653">
                  <c:v>2229619.0785850002</c:v>
                </c:pt>
                <c:pt idx="17654">
                  <c:v>2230494.68812</c:v>
                </c:pt>
                <c:pt idx="17655">
                  <c:v>2231370.526875</c:v>
                </c:pt>
                <c:pt idx="17656">
                  <c:v>2232246.5948799998</c:v>
                </c:pt>
                <c:pt idx="17657">
                  <c:v>2233122.8921649996</c:v>
                </c:pt>
                <c:pt idx="17658">
                  <c:v>2233999.41876</c:v>
                </c:pt>
                <c:pt idx="17659">
                  <c:v>2234876.174695</c:v>
                </c:pt>
                <c:pt idx="17660">
                  <c:v>2235753.16</c:v>
                </c:pt>
                <c:pt idx="17661">
                  <c:v>2236630.374705</c:v>
                </c:pt>
                <c:pt idx="17662">
                  <c:v>2237507.8188400003</c:v>
                </c:pt>
                <c:pt idx="17663">
                  <c:v>2238385.4924350004</c:v>
                </c:pt>
                <c:pt idx="17664">
                  <c:v>2239263.39552</c:v>
                </c:pt>
                <c:pt idx="17665">
                  <c:v>2240141.5281249997</c:v>
                </c:pt>
                <c:pt idx="17666">
                  <c:v>2241019.8902800004</c:v>
                </c:pt>
                <c:pt idx="17667">
                  <c:v>2241898.4820149997</c:v>
                </c:pt>
                <c:pt idx="17668">
                  <c:v>2242777.3033600003</c:v>
                </c:pt>
                <c:pt idx="17669">
                  <c:v>2243656.3543450003</c:v>
                </c:pt>
                <c:pt idx="17670">
                  <c:v>2244535.6350000002</c:v>
                </c:pt>
                <c:pt idx="17671">
                  <c:v>2245415.145355</c:v>
                </c:pt>
                <c:pt idx="17672">
                  <c:v>2246294.8854400003</c:v>
                </c:pt>
                <c:pt idx="17673">
                  <c:v>2247174.855285</c:v>
                </c:pt>
                <c:pt idx="17674">
                  <c:v>2248055.0549199996</c:v>
                </c:pt>
                <c:pt idx="17675">
                  <c:v>2248935.484375</c:v>
                </c:pt>
                <c:pt idx="17676">
                  <c:v>2249816.14368</c:v>
                </c:pt>
                <c:pt idx="17677">
                  <c:v>2250697.032865</c:v>
                </c:pt>
                <c:pt idx="17678">
                  <c:v>2251578.15196</c:v>
                </c:pt>
                <c:pt idx="17679">
                  <c:v>2252459.500995</c:v>
                </c:pt>
                <c:pt idx="17680">
                  <c:v>2253341.08</c:v>
                </c:pt>
                <c:pt idx="17681">
                  <c:v>2254222.8890050002</c:v>
                </c:pt>
                <c:pt idx="17682">
                  <c:v>2255104.92804</c:v>
                </c:pt>
                <c:pt idx="17683">
                  <c:v>2255987.197135</c:v>
                </c:pt>
                <c:pt idx="17684">
                  <c:v>2256869.69632</c:v>
                </c:pt>
                <c:pt idx="17685">
                  <c:v>2257752.425625</c:v>
                </c:pt>
                <c:pt idx="17686">
                  <c:v>2258635.38508</c:v>
                </c:pt>
                <c:pt idx="17687">
                  <c:v>2259518.5747149996</c:v>
                </c:pt>
                <c:pt idx="17688">
                  <c:v>2260401.99456</c:v>
                </c:pt>
                <c:pt idx="17689">
                  <c:v>2261285.644645</c:v>
                </c:pt>
                <c:pt idx="17690">
                  <c:v>2262169.525</c:v>
                </c:pt>
                <c:pt idx="17691">
                  <c:v>2263053.635655</c:v>
                </c:pt>
                <c:pt idx="17692">
                  <c:v>2263937.97664</c:v>
                </c:pt>
                <c:pt idx="17693">
                  <c:v>2264822.5479849996</c:v>
                </c:pt>
                <c:pt idx="17694">
                  <c:v>2265707.3497200003</c:v>
                </c:pt>
                <c:pt idx="17695">
                  <c:v>2266592.381875</c:v>
                </c:pt>
                <c:pt idx="17696">
                  <c:v>2267477.6444800003</c:v>
                </c:pt>
                <c:pt idx="17697">
                  <c:v>2268363.137565</c:v>
                </c:pt>
                <c:pt idx="17698">
                  <c:v>2269248.86116</c:v>
                </c:pt>
                <c:pt idx="17699">
                  <c:v>2270134.815295</c:v>
                </c:pt>
                <c:pt idx="17700">
                  <c:v>2271021.0</c:v>
                </c:pt>
                <c:pt idx="17701">
                  <c:v>2271907.415305</c:v>
                </c:pt>
                <c:pt idx="17702">
                  <c:v>2272794.0612399997</c:v>
                </c:pt>
                <c:pt idx="17703">
                  <c:v>2273680.937835</c:v>
                </c:pt>
                <c:pt idx="17704">
                  <c:v>2274568.04512</c:v>
                </c:pt>
                <c:pt idx="17705">
                  <c:v>2275455.383125</c:v>
                </c:pt>
                <c:pt idx="17706">
                  <c:v>2276342.95188</c:v>
                </c:pt>
                <c:pt idx="17707">
                  <c:v>2277230.751415</c:v>
                </c:pt>
                <c:pt idx="17708">
                  <c:v>2278118.78176</c:v>
                </c:pt>
                <c:pt idx="17709">
                  <c:v>2279007.042945</c:v>
                </c:pt>
                <c:pt idx="17710">
                  <c:v>2279895.535</c:v>
                </c:pt>
                <c:pt idx="17711">
                  <c:v>2280784.2579550003</c:v>
                </c:pt>
                <c:pt idx="17712">
                  <c:v>2281673.21184</c:v>
                </c:pt>
                <c:pt idx="17713">
                  <c:v>2282562.396685</c:v>
                </c:pt>
                <c:pt idx="17714">
                  <c:v>2283451.81252</c:v>
                </c:pt>
                <c:pt idx="17715">
                  <c:v>2284341.459375</c:v>
                </c:pt>
                <c:pt idx="17716">
                  <c:v>2285231.33728</c:v>
                </c:pt>
                <c:pt idx="17717">
                  <c:v>2286121.446265</c:v>
                </c:pt>
                <c:pt idx="17718">
                  <c:v>2287011.78636</c:v>
                </c:pt>
                <c:pt idx="17719">
                  <c:v>2287902.357595</c:v>
                </c:pt>
                <c:pt idx="17720">
                  <c:v>2288793.16</c:v>
                </c:pt>
                <c:pt idx="17721">
                  <c:v>2289684.193605</c:v>
                </c:pt>
                <c:pt idx="17722">
                  <c:v>2290575.45844</c:v>
                </c:pt>
                <c:pt idx="17723">
                  <c:v>2291466.954535</c:v>
                </c:pt>
                <c:pt idx="17724">
                  <c:v>2292358.68192</c:v>
                </c:pt>
                <c:pt idx="17725">
                  <c:v>2293250.640625</c:v>
                </c:pt>
                <c:pt idx="17726">
                  <c:v>2294142.83068</c:v>
                </c:pt>
                <c:pt idx="17727">
                  <c:v>2295035.252115</c:v>
                </c:pt>
                <c:pt idx="17728">
                  <c:v>2295927.90496</c:v>
                </c:pt>
                <c:pt idx="17729">
                  <c:v>2296820.789245</c:v>
                </c:pt>
                <c:pt idx="17730">
                  <c:v>2297713.905</c:v>
                </c:pt>
                <c:pt idx="17731">
                  <c:v>2298607.252255</c:v>
                </c:pt>
                <c:pt idx="17732">
                  <c:v>2299500.8310399996</c:v>
                </c:pt>
                <c:pt idx="17733">
                  <c:v>2300394.641385</c:v>
                </c:pt>
                <c:pt idx="17734">
                  <c:v>2301288.68332</c:v>
                </c:pt>
                <c:pt idx="17735">
                  <c:v>2302182.9568749997</c:v>
                </c:pt>
                <c:pt idx="17736">
                  <c:v>2303077.46208</c:v>
                </c:pt>
                <c:pt idx="17737">
                  <c:v>2303972.198965</c:v>
                </c:pt>
                <c:pt idx="17738">
                  <c:v>2304867.16756</c:v>
                </c:pt>
                <c:pt idx="17739">
                  <c:v>2305762.3678949997</c:v>
                </c:pt>
                <c:pt idx="17740">
                  <c:v>2306657.8000000003</c:v>
                </c:pt>
                <c:pt idx="17741">
                  <c:v>2307553.463905</c:v>
                </c:pt>
                <c:pt idx="17742">
                  <c:v>2308449.35964</c:v>
                </c:pt>
                <c:pt idx="17743">
                  <c:v>2309345.4872350004</c:v>
                </c:pt>
                <c:pt idx="17744">
                  <c:v>2310241.84672</c:v>
                </c:pt>
                <c:pt idx="17745">
                  <c:v>2311138.4381250003</c:v>
                </c:pt>
                <c:pt idx="17746">
                  <c:v>2312035.26148</c:v>
                </c:pt>
                <c:pt idx="17747">
                  <c:v>2312932.316815</c:v>
                </c:pt>
                <c:pt idx="17748">
                  <c:v>2313829.6041599996</c:v>
                </c:pt>
                <c:pt idx="17749">
                  <c:v>2314727.123545</c:v>
                </c:pt>
                <c:pt idx="17750">
                  <c:v>2315624.875</c:v>
                </c:pt>
                <c:pt idx="17751">
                  <c:v>2316522.858555</c:v>
                </c:pt>
                <c:pt idx="17752">
                  <c:v>2317421.07424</c:v>
                </c:pt>
                <c:pt idx="17753">
                  <c:v>2318319.5220850003</c:v>
                </c:pt>
                <c:pt idx="17754">
                  <c:v>2319218.20212</c:v>
                </c:pt>
                <c:pt idx="17755">
                  <c:v>2320117.114375</c:v>
                </c:pt>
                <c:pt idx="17756">
                  <c:v>2321016.25888</c:v>
                </c:pt>
                <c:pt idx="17757">
                  <c:v>2321915.635665</c:v>
                </c:pt>
                <c:pt idx="17758">
                  <c:v>2322815.2447599997</c:v>
                </c:pt>
                <c:pt idx="17759">
                  <c:v>2323715.086195</c:v>
                </c:pt>
                <c:pt idx="17760">
                  <c:v>2324615.16</c:v>
                </c:pt>
                <c:pt idx="17761">
                  <c:v>2325515.466205</c:v>
                </c:pt>
                <c:pt idx="17762">
                  <c:v>2326416.00484</c:v>
                </c:pt>
                <c:pt idx="17763">
                  <c:v>2327316.7759350003</c:v>
                </c:pt>
                <c:pt idx="17764">
                  <c:v>2328217.77952</c:v>
                </c:pt>
                <c:pt idx="17765">
                  <c:v>2329119.015625</c:v>
                </c:pt>
                <c:pt idx="17766">
                  <c:v>2330020.48428</c:v>
                </c:pt>
                <c:pt idx="17767">
                  <c:v>2330922.185515</c:v>
                </c:pt>
                <c:pt idx="17768">
                  <c:v>2331824.11936</c:v>
                </c:pt>
                <c:pt idx="17769">
                  <c:v>2332726.285845</c:v>
                </c:pt>
                <c:pt idx="17770">
                  <c:v>2333628.685</c:v>
                </c:pt>
                <c:pt idx="17771">
                  <c:v>2334531.316855</c:v>
                </c:pt>
                <c:pt idx="17772">
                  <c:v>2335434.18144</c:v>
                </c:pt>
                <c:pt idx="17773">
                  <c:v>2336337.278785</c:v>
                </c:pt>
                <c:pt idx="17774">
                  <c:v>2337240.60892</c:v>
                </c:pt>
                <c:pt idx="17775">
                  <c:v>2338144.171875</c:v>
                </c:pt>
                <c:pt idx="17776">
                  <c:v>2339047.9676800002</c:v>
                </c:pt>
                <c:pt idx="17777">
                  <c:v>2339951.996365</c:v>
                </c:pt>
                <c:pt idx="17778">
                  <c:v>2340856.25796</c:v>
                </c:pt>
                <c:pt idx="17779">
                  <c:v>2341760.7524949997</c:v>
                </c:pt>
                <c:pt idx="17780">
                  <c:v>2342665.48</c:v>
                </c:pt>
                <c:pt idx="17781">
                  <c:v>2343570.440505</c:v>
                </c:pt>
                <c:pt idx="17782">
                  <c:v>2344475.63404</c:v>
                </c:pt>
                <c:pt idx="17783">
                  <c:v>2345381.060635</c:v>
                </c:pt>
                <c:pt idx="17784">
                  <c:v>2346286.72032</c:v>
                </c:pt>
                <c:pt idx="17785">
                  <c:v>2347192.613125</c:v>
                </c:pt>
                <c:pt idx="17786">
                  <c:v>2348098.7390799997</c:v>
                </c:pt>
                <c:pt idx="17787">
                  <c:v>2349005.098215</c:v>
                </c:pt>
                <c:pt idx="17788">
                  <c:v>2349911.69056</c:v>
                </c:pt>
                <c:pt idx="17789">
                  <c:v>2350818.5161450002</c:v>
                </c:pt>
                <c:pt idx="17790">
                  <c:v>2351725.5749999997</c:v>
                </c:pt>
                <c:pt idx="17791">
                  <c:v>2352632.867155</c:v>
                </c:pt>
                <c:pt idx="17792">
                  <c:v>2353540.3926399997</c:v>
                </c:pt>
                <c:pt idx="17793">
                  <c:v>2354448.151485</c:v>
                </c:pt>
                <c:pt idx="17794">
                  <c:v>2355356.14372</c:v>
                </c:pt>
                <c:pt idx="17795">
                  <c:v>2356264.3693750002</c:v>
                </c:pt>
                <c:pt idx="17796">
                  <c:v>2357172.82848</c:v>
                </c:pt>
                <c:pt idx="17797">
                  <c:v>2358081.5210650004</c:v>
                </c:pt>
                <c:pt idx="17798">
                  <c:v>2358990.44716</c:v>
                </c:pt>
                <c:pt idx="17799">
                  <c:v>2359899.606795</c:v>
                </c:pt>
                <c:pt idx="17800">
                  <c:v>2360809.0</c:v>
                </c:pt>
                <c:pt idx="17801">
                  <c:v>2361718.626805</c:v>
                </c:pt>
                <c:pt idx="17802">
                  <c:v>2362628.4872399997</c:v>
                </c:pt>
                <c:pt idx="17803">
                  <c:v>2363538.581335</c:v>
                </c:pt>
                <c:pt idx="17804">
                  <c:v>2364448.90912</c:v>
                </c:pt>
                <c:pt idx="17805">
                  <c:v>2365359.470625</c:v>
                </c:pt>
                <c:pt idx="17806">
                  <c:v>2366270.26588</c:v>
                </c:pt>
                <c:pt idx="17807">
                  <c:v>2367181.2949150004</c:v>
                </c:pt>
                <c:pt idx="17808">
                  <c:v>2368092.5577599998</c:v>
                </c:pt>
                <c:pt idx="17809">
                  <c:v>2369004.054445</c:v>
                </c:pt>
                <c:pt idx="17810">
                  <c:v>2369915.785</c:v>
                </c:pt>
                <c:pt idx="17811">
                  <c:v>2370827.7494550003</c:v>
                </c:pt>
                <c:pt idx="17812">
                  <c:v>2371739.94784</c:v>
                </c:pt>
                <c:pt idx="17813">
                  <c:v>2372652.380185</c:v>
                </c:pt>
                <c:pt idx="17814">
                  <c:v>2373565.0465200003</c:v>
                </c:pt>
                <c:pt idx="17815">
                  <c:v>2374477.946875</c:v>
                </c:pt>
                <c:pt idx="17816">
                  <c:v>2375391.08128</c:v>
                </c:pt>
                <c:pt idx="17817">
                  <c:v>2376304.449765</c:v>
                </c:pt>
                <c:pt idx="17818">
                  <c:v>2377218.05236</c:v>
                </c:pt>
                <c:pt idx="17819">
                  <c:v>2378131.889095</c:v>
                </c:pt>
                <c:pt idx="17820">
                  <c:v>2379045.96</c:v>
                </c:pt>
                <c:pt idx="17821">
                  <c:v>2379960.2651049998</c:v>
                </c:pt>
                <c:pt idx="17822">
                  <c:v>2380874.80444</c:v>
                </c:pt>
                <c:pt idx="17823">
                  <c:v>2381789.5780350002</c:v>
                </c:pt>
                <c:pt idx="17824">
                  <c:v>2382704.58592</c:v>
                </c:pt>
                <c:pt idx="17825">
                  <c:v>2383619.828125</c:v>
                </c:pt>
                <c:pt idx="17826">
                  <c:v>2384535.30468</c:v>
                </c:pt>
                <c:pt idx="17827">
                  <c:v>2385451.015615</c:v>
                </c:pt>
                <c:pt idx="17828">
                  <c:v>2386366.96096</c:v>
                </c:pt>
                <c:pt idx="17829">
                  <c:v>2387283.140745</c:v>
                </c:pt>
                <c:pt idx="17830">
                  <c:v>2388199.555</c:v>
                </c:pt>
                <c:pt idx="17831">
                  <c:v>2389116.2037549997</c:v>
                </c:pt>
                <c:pt idx="17832">
                  <c:v>2390033.08704</c:v>
                </c:pt>
                <c:pt idx="17833">
                  <c:v>2390950.204885</c:v>
                </c:pt>
                <c:pt idx="17834">
                  <c:v>2391867.55732</c:v>
                </c:pt>
                <c:pt idx="17835">
                  <c:v>2392785.144375</c:v>
                </c:pt>
                <c:pt idx="17836">
                  <c:v>2393702.96608</c:v>
                </c:pt>
                <c:pt idx="17837">
                  <c:v>2394621.022465</c:v>
                </c:pt>
                <c:pt idx="17838">
                  <c:v>2395539.3135599997</c:v>
                </c:pt>
                <c:pt idx="17839">
                  <c:v>2396457.8393949997</c:v>
                </c:pt>
                <c:pt idx="17840">
                  <c:v>2397376.6</c:v>
                </c:pt>
                <c:pt idx="17841">
                  <c:v>2398295.595405</c:v>
                </c:pt>
                <c:pt idx="17842">
                  <c:v>2399214.8256400004</c:v>
                </c:pt>
                <c:pt idx="17843">
                  <c:v>2400134.290735</c:v>
                </c:pt>
                <c:pt idx="17844">
                  <c:v>2401053.9907199997</c:v>
                </c:pt>
                <c:pt idx="17845">
                  <c:v>2401973.925625</c:v>
                </c:pt>
                <c:pt idx="17846">
                  <c:v>2402894.09548</c:v>
                </c:pt>
                <c:pt idx="17847">
                  <c:v>2403814.5003150003</c:v>
                </c:pt>
                <c:pt idx="17848">
                  <c:v>2404735.14016</c:v>
                </c:pt>
                <c:pt idx="17849">
                  <c:v>2405656.015045</c:v>
                </c:pt>
                <c:pt idx="17850">
                  <c:v>2406577.125</c:v>
                </c:pt>
                <c:pt idx="17851">
                  <c:v>2407498.470055</c:v>
                </c:pt>
                <c:pt idx="17852">
                  <c:v>2408420.05024</c:v>
                </c:pt>
                <c:pt idx="17853">
                  <c:v>2409341.865585</c:v>
                </c:pt>
                <c:pt idx="17854">
                  <c:v>2410263.9161199997</c:v>
                </c:pt>
                <c:pt idx="17855">
                  <c:v>2411186.201875</c:v>
                </c:pt>
                <c:pt idx="17856">
                  <c:v>2412108.72288</c:v>
                </c:pt>
                <c:pt idx="17857">
                  <c:v>2413031.479165</c:v>
                </c:pt>
                <c:pt idx="17858">
                  <c:v>2413954.47076</c:v>
                </c:pt>
                <c:pt idx="17859">
                  <c:v>2414877.697695</c:v>
                </c:pt>
                <c:pt idx="17860">
                  <c:v>2415801.1599999997</c:v>
                </c:pt>
                <c:pt idx="17861">
                  <c:v>2416724.857705</c:v>
                </c:pt>
                <c:pt idx="17862">
                  <c:v>2417648.79084</c:v>
                </c:pt>
                <c:pt idx="17863">
                  <c:v>2418572.959435</c:v>
                </c:pt>
                <c:pt idx="17864">
                  <c:v>2419497.36352</c:v>
                </c:pt>
                <c:pt idx="17865">
                  <c:v>2420422.0031250003</c:v>
                </c:pt>
                <c:pt idx="17866">
                  <c:v>2421346.87828</c:v>
                </c:pt>
                <c:pt idx="17867">
                  <c:v>2422271.989015</c:v>
                </c:pt>
                <c:pt idx="17868">
                  <c:v>2423197.33536</c:v>
                </c:pt>
                <c:pt idx="17869">
                  <c:v>2424122.9173450004</c:v>
                </c:pt>
                <c:pt idx="17870">
                  <c:v>2425048.7350000003</c:v>
                </c:pt>
                <c:pt idx="17871">
                  <c:v>2425974.788355</c:v>
                </c:pt>
                <c:pt idx="17872">
                  <c:v>2426901.0774399997</c:v>
                </c:pt>
                <c:pt idx="17873">
                  <c:v>2427827.602285</c:v>
                </c:pt>
                <c:pt idx="17874">
                  <c:v>2428754.36292</c:v>
                </c:pt>
                <c:pt idx="17875">
                  <c:v>2429681.359375</c:v>
                </c:pt>
                <c:pt idx="17876">
                  <c:v>2430608.59168</c:v>
                </c:pt>
                <c:pt idx="17877">
                  <c:v>2431536.0598649997</c:v>
                </c:pt>
                <c:pt idx="17878">
                  <c:v>2432463.76396</c:v>
                </c:pt>
                <c:pt idx="17879">
                  <c:v>2433391.703995</c:v>
                </c:pt>
                <c:pt idx="17880">
                  <c:v>2434319.88</c:v>
                </c:pt>
                <c:pt idx="17881">
                  <c:v>2435248.292005</c:v>
                </c:pt>
                <c:pt idx="17882">
                  <c:v>2436176.9400400002</c:v>
                </c:pt>
                <c:pt idx="17883">
                  <c:v>2437105.8241350004</c:v>
                </c:pt>
                <c:pt idx="17884">
                  <c:v>2438034.94432</c:v>
                </c:pt>
                <c:pt idx="17885">
                  <c:v>2438964.300625</c:v>
                </c:pt>
                <c:pt idx="17886">
                  <c:v>2439893.8930800003</c:v>
                </c:pt>
                <c:pt idx="17887">
                  <c:v>2440823.7217150005</c:v>
                </c:pt>
                <c:pt idx="17888">
                  <c:v>2441753.78656</c:v>
                </c:pt>
                <c:pt idx="17889">
                  <c:v>2442684.0876450003</c:v>
                </c:pt>
                <c:pt idx="17890">
                  <c:v>2443614.625</c:v>
                </c:pt>
                <c:pt idx="17891">
                  <c:v>2444545.398655</c:v>
                </c:pt>
                <c:pt idx="17892">
                  <c:v>2445476.40864</c:v>
                </c:pt>
                <c:pt idx="17893">
                  <c:v>2446407.6549850004</c:v>
                </c:pt>
                <c:pt idx="17894">
                  <c:v>2447339.13772</c:v>
                </c:pt>
                <c:pt idx="17895">
                  <c:v>2448270.856875</c:v>
                </c:pt>
                <c:pt idx="17896">
                  <c:v>2449202.81248</c:v>
                </c:pt>
                <c:pt idx="17897">
                  <c:v>2450135.004565</c:v>
                </c:pt>
                <c:pt idx="17898">
                  <c:v>2451067.43316</c:v>
                </c:pt>
                <c:pt idx="17899">
                  <c:v>2452000.098295</c:v>
                </c:pt>
                <c:pt idx="17900">
                  <c:v>2452933.0</c:v>
                </c:pt>
                <c:pt idx="17901">
                  <c:v>2453866.138305</c:v>
                </c:pt>
                <c:pt idx="17902">
                  <c:v>2454799.51324</c:v>
                </c:pt>
                <c:pt idx="17903">
                  <c:v>2455733.124835</c:v>
                </c:pt>
                <c:pt idx="17904">
                  <c:v>2456666.9731199997</c:v>
                </c:pt>
                <c:pt idx="17905">
                  <c:v>2457601.058125</c:v>
                </c:pt>
                <c:pt idx="17906">
                  <c:v>2458535.37988</c:v>
                </c:pt>
                <c:pt idx="17907">
                  <c:v>2459469.938415</c:v>
                </c:pt>
                <c:pt idx="17908">
                  <c:v>2460404.7337599997</c:v>
                </c:pt>
                <c:pt idx="17909">
                  <c:v>2461339.7659449996</c:v>
                </c:pt>
                <c:pt idx="17910">
                  <c:v>2462275.035</c:v>
                </c:pt>
                <c:pt idx="17911">
                  <c:v>2463210.540955</c:v>
                </c:pt>
                <c:pt idx="17912">
                  <c:v>2464146.2838399997</c:v>
                </c:pt>
                <c:pt idx="17913">
                  <c:v>2465082.263685</c:v>
                </c:pt>
                <c:pt idx="17914">
                  <c:v>2466018.4805199997</c:v>
                </c:pt>
                <c:pt idx="17915">
                  <c:v>2466954.9343749997</c:v>
                </c:pt>
                <c:pt idx="17916">
                  <c:v>2467891.62528</c:v>
                </c:pt>
                <c:pt idx="17917">
                  <c:v>2468828.5532649998</c:v>
                </c:pt>
                <c:pt idx="17918">
                  <c:v>2469765.71836</c:v>
                </c:pt>
                <c:pt idx="17919">
                  <c:v>2470703.120595</c:v>
                </c:pt>
                <c:pt idx="17920">
                  <c:v>2471640.7600000002</c:v>
                </c:pt>
                <c:pt idx="17921">
                  <c:v>2472578.6366049997</c:v>
                </c:pt>
                <c:pt idx="17922">
                  <c:v>2473516.7504399996</c:v>
                </c:pt>
                <c:pt idx="17923">
                  <c:v>2474455.101535</c:v>
                </c:pt>
                <c:pt idx="17924">
                  <c:v>2475393.6899200003</c:v>
                </c:pt>
                <c:pt idx="17925">
                  <c:v>2476332.515625</c:v>
                </c:pt>
                <c:pt idx="17926">
                  <c:v>2477271.5786800003</c:v>
                </c:pt>
                <c:pt idx="17927">
                  <c:v>2478210.879115</c:v>
                </c:pt>
                <c:pt idx="17928">
                  <c:v>2479150.41696</c:v>
                </c:pt>
                <c:pt idx="17929">
                  <c:v>2480090.192245</c:v>
                </c:pt>
                <c:pt idx="17930">
                  <c:v>2481030.205</c:v>
                </c:pt>
                <c:pt idx="17931">
                  <c:v>2481970.455255</c:v>
                </c:pt>
                <c:pt idx="17932">
                  <c:v>2482910.94304</c:v>
                </c:pt>
                <c:pt idx="17933">
                  <c:v>2483851.668385</c:v>
                </c:pt>
                <c:pt idx="17934">
                  <c:v>2484792.63132</c:v>
                </c:pt>
                <c:pt idx="17935">
                  <c:v>2485733.831875</c:v>
                </c:pt>
                <c:pt idx="17936">
                  <c:v>2486675.2700799997</c:v>
                </c:pt>
                <c:pt idx="17937">
                  <c:v>2487616.945965</c:v>
                </c:pt>
                <c:pt idx="17938">
                  <c:v>2488558.85956</c:v>
                </c:pt>
                <c:pt idx="17939">
                  <c:v>2489501.010895</c:v>
                </c:pt>
                <c:pt idx="17940">
                  <c:v>2490443.4</c:v>
                </c:pt>
                <c:pt idx="17941">
                  <c:v>2491386.0269049997</c:v>
                </c:pt>
                <c:pt idx="17942">
                  <c:v>2492328.89164</c:v>
                </c:pt>
                <c:pt idx="17943">
                  <c:v>2493271.994235</c:v>
                </c:pt>
                <c:pt idx="17944">
                  <c:v>2494215.33472</c:v>
                </c:pt>
                <c:pt idx="17945">
                  <c:v>2495158.913125</c:v>
                </c:pt>
                <c:pt idx="17946">
                  <c:v>2496102.7294799997</c:v>
                </c:pt>
                <c:pt idx="17947">
                  <c:v>2497046.783815</c:v>
                </c:pt>
                <c:pt idx="17948">
                  <c:v>2497991.07616</c:v>
                </c:pt>
                <c:pt idx="17949">
                  <c:v>2498935.606545</c:v>
                </c:pt>
                <c:pt idx="17950">
                  <c:v>2499880.375</c:v>
                </c:pt>
                <c:pt idx="17951">
                  <c:v>2500825.381555</c:v>
                </c:pt>
                <c:pt idx="17952">
                  <c:v>2501770.62624</c:v>
                </c:pt>
                <c:pt idx="17953">
                  <c:v>2502716.1090849997</c:v>
                </c:pt>
                <c:pt idx="17954">
                  <c:v>2503661.83012</c:v>
                </c:pt>
                <c:pt idx="17955">
                  <c:v>2504607.789375</c:v>
                </c:pt>
                <c:pt idx="17956">
                  <c:v>2505553.98688</c:v>
                </c:pt>
                <c:pt idx="17957">
                  <c:v>2506500.422665</c:v>
                </c:pt>
                <c:pt idx="17958">
                  <c:v>2507447.09676</c:v>
                </c:pt>
                <c:pt idx="17959">
                  <c:v>2508394.009195</c:v>
                </c:pt>
                <c:pt idx="17960">
                  <c:v>2509341.16</c:v>
                </c:pt>
                <c:pt idx="17961">
                  <c:v>2510288.5492049996</c:v>
                </c:pt>
                <c:pt idx="17962">
                  <c:v>2511236.1768400003</c:v>
                </c:pt>
                <c:pt idx="17963">
                  <c:v>2512184.0429350003</c:v>
                </c:pt>
                <c:pt idx="17964">
                  <c:v>2513132.14752</c:v>
                </c:pt>
                <c:pt idx="17965">
                  <c:v>2514080.490625</c:v>
                </c:pt>
                <c:pt idx="17966">
                  <c:v>2515029.07228</c:v>
                </c:pt>
                <c:pt idx="17967">
                  <c:v>2515977.892515</c:v>
                </c:pt>
                <c:pt idx="17968">
                  <c:v>2516926.95136</c:v>
                </c:pt>
                <c:pt idx="17969">
                  <c:v>2517876.248845</c:v>
                </c:pt>
                <c:pt idx="17970">
                  <c:v>2518825.785</c:v>
                </c:pt>
                <c:pt idx="17971">
                  <c:v>2519775.559855</c:v>
                </c:pt>
                <c:pt idx="17972">
                  <c:v>2520725.57344</c:v>
                </c:pt>
                <c:pt idx="17973">
                  <c:v>2521675.825785</c:v>
                </c:pt>
                <c:pt idx="17974">
                  <c:v>2522626.31692</c:v>
                </c:pt>
                <c:pt idx="17975">
                  <c:v>2523577.046875</c:v>
                </c:pt>
                <c:pt idx="17976">
                  <c:v>2524528.01568</c:v>
                </c:pt>
                <c:pt idx="17977">
                  <c:v>2525479.223365</c:v>
                </c:pt>
                <c:pt idx="17978">
                  <c:v>2526430.66996</c:v>
                </c:pt>
                <c:pt idx="17979">
                  <c:v>2527382.3554950003</c:v>
                </c:pt>
                <c:pt idx="17980">
                  <c:v>2528334.28</c:v>
                </c:pt>
                <c:pt idx="17981">
                  <c:v>2529286.4435050003</c:v>
                </c:pt>
                <c:pt idx="17982">
                  <c:v>2530238.84604</c:v>
                </c:pt>
                <c:pt idx="17983">
                  <c:v>2531191.487635</c:v>
                </c:pt>
                <c:pt idx="17984">
                  <c:v>2532144.36832</c:v>
                </c:pt>
                <c:pt idx="17985">
                  <c:v>2533097.4881249997</c:v>
                </c:pt>
                <c:pt idx="17986">
                  <c:v>2534050.84708</c:v>
                </c:pt>
                <c:pt idx="17987">
                  <c:v>2535004.4452150003</c:v>
                </c:pt>
                <c:pt idx="17988">
                  <c:v>2535958.28256</c:v>
                </c:pt>
                <c:pt idx="17989">
                  <c:v>2536912.359145</c:v>
                </c:pt>
                <c:pt idx="17990">
                  <c:v>2537866.6750000003</c:v>
                </c:pt>
                <c:pt idx="17991">
                  <c:v>2538821.230155</c:v>
                </c:pt>
                <c:pt idx="17992">
                  <c:v>2539776.0246400004</c:v>
                </c:pt>
                <c:pt idx="17993">
                  <c:v>2540731.058485</c:v>
                </c:pt>
                <c:pt idx="17994">
                  <c:v>2541686.33172</c:v>
                </c:pt>
                <c:pt idx="17995">
                  <c:v>2542641.8443750003</c:v>
                </c:pt>
                <c:pt idx="17996">
                  <c:v>2543597.5964800003</c:v>
                </c:pt>
                <c:pt idx="17997">
                  <c:v>2544553.588065</c:v>
                </c:pt>
                <c:pt idx="17998">
                  <c:v>2545509.81916</c:v>
                </c:pt>
                <c:pt idx="17999">
                  <c:v>2546466.289795</c:v>
                </c:pt>
                <c:pt idx="18000">
                  <c:v>2547423.0</c:v>
                </c:pt>
                <c:pt idx="18001">
                  <c:v>2548379.949805</c:v>
                </c:pt>
                <c:pt idx="18002">
                  <c:v>2549337.13924</c:v>
                </c:pt>
                <c:pt idx="18003">
                  <c:v>2550294.568335</c:v>
                </c:pt>
                <c:pt idx="18004">
                  <c:v>2551252.23712</c:v>
                </c:pt>
                <c:pt idx="18005">
                  <c:v>2552210.145625</c:v>
                </c:pt>
                <c:pt idx="18006">
                  <c:v>2553168.29388</c:v>
                </c:pt>
                <c:pt idx="18007">
                  <c:v>2554126.6819149996</c:v>
                </c:pt>
                <c:pt idx="18008">
                  <c:v>2555085.30976</c:v>
                </c:pt>
                <c:pt idx="18009">
                  <c:v>2556044.177445</c:v>
                </c:pt>
                <c:pt idx="18010">
                  <c:v>2557003.285</c:v>
                </c:pt>
                <c:pt idx="18011">
                  <c:v>2557962.632455</c:v>
                </c:pt>
                <c:pt idx="18012">
                  <c:v>2558922.21984</c:v>
                </c:pt>
                <c:pt idx="18013">
                  <c:v>2559882.047185</c:v>
                </c:pt>
                <c:pt idx="18014">
                  <c:v>2560842.11452</c:v>
                </c:pt>
                <c:pt idx="18015">
                  <c:v>2561802.421875</c:v>
                </c:pt>
                <c:pt idx="18016">
                  <c:v>2562762.96928</c:v>
                </c:pt>
                <c:pt idx="18017">
                  <c:v>2563723.756765</c:v>
                </c:pt>
                <c:pt idx="18018">
                  <c:v>2564684.78436</c:v>
                </c:pt>
                <c:pt idx="18019">
                  <c:v>2565646.0520949997</c:v>
                </c:pt>
                <c:pt idx="18020">
                  <c:v>2566607.56</c:v>
                </c:pt>
                <c:pt idx="18021">
                  <c:v>2567569.3081050003</c:v>
                </c:pt>
                <c:pt idx="18022">
                  <c:v>2568531.29644</c:v>
                </c:pt>
                <c:pt idx="18023">
                  <c:v>2569493.525035</c:v>
                </c:pt>
                <c:pt idx="18024">
                  <c:v>2570455.9939200003</c:v>
                </c:pt>
                <c:pt idx="18025">
                  <c:v>2571418.703125</c:v>
                </c:pt>
                <c:pt idx="18026">
                  <c:v>2572381.6526800003</c:v>
                </c:pt>
                <c:pt idx="18027">
                  <c:v>2573344.842615</c:v>
                </c:pt>
                <c:pt idx="18028">
                  <c:v>2574308.27296</c:v>
                </c:pt>
                <c:pt idx="18029">
                  <c:v>2575271.9437450003</c:v>
                </c:pt>
                <c:pt idx="18030">
                  <c:v>2576235.855</c:v>
                </c:pt>
                <c:pt idx="18031">
                  <c:v>2577200.006755</c:v>
                </c:pt>
                <c:pt idx="18032">
                  <c:v>2578164.39904</c:v>
                </c:pt>
                <c:pt idx="18033">
                  <c:v>2579129.031885</c:v>
                </c:pt>
                <c:pt idx="18034">
                  <c:v>2580093.90532</c:v>
                </c:pt>
                <c:pt idx="18035">
                  <c:v>2581059.019375</c:v>
                </c:pt>
                <c:pt idx="18036">
                  <c:v>2582024.37408</c:v>
                </c:pt>
                <c:pt idx="18037">
                  <c:v>2582989.969465</c:v>
                </c:pt>
                <c:pt idx="18038">
                  <c:v>2583955.80556</c:v>
                </c:pt>
                <c:pt idx="18039">
                  <c:v>2584921.882395</c:v>
                </c:pt>
                <c:pt idx="18040">
                  <c:v>2585888.1999999997</c:v>
                </c:pt>
                <c:pt idx="18041">
                  <c:v>2586854.758405</c:v>
                </c:pt>
                <c:pt idx="18042">
                  <c:v>2587821.5576400002</c:v>
                </c:pt>
                <c:pt idx="18043">
                  <c:v>2588788.597735</c:v>
                </c:pt>
                <c:pt idx="18044">
                  <c:v>2589755.87872</c:v>
                </c:pt>
                <c:pt idx="18045">
                  <c:v>2590723.4006250002</c:v>
                </c:pt>
                <c:pt idx="18046">
                  <c:v>2591691.16348</c:v>
                </c:pt>
                <c:pt idx="18047">
                  <c:v>2592659.1673149997</c:v>
                </c:pt>
                <c:pt idx="18048">
                  <c:v>2593627.41216</c:v>
                </c:pt>
                <c:pt idx="18049">
                  <c:v>2594595.8980449997</c:v>
                </c:pt>
                <c:pt idx="18050">
                  <c:v>2595564.625</c:v>
                </c:pt>
                <c:pt idx="18051">
                  <c:v>2596533.593055</c:v>
                </c:pt>
                <c:pt idx="18052">
                  <c:v>2597502.80224</c:v>
                </c:pt>
                <c:pt idx="18053">
                  <c:v>2598472.252585</c:v>
                </c:pt>
                <c:pt idx="18054">
                  <c:v>2599441.94412</c:v>
                </c:pt>
                <c:pt idx="18055">
                  <c:v>2600411.876875</c:v>
                </c:pt>
                <c:pt idx="18056">
                  <c:v>2601382.05088</c:v>
                </c:pt>
                <c:pt idx="18057">
                  <c:v>2602352.466165</c:v>
                </c:pt>
                <c:pt idx="18058">
                  <c:v>2603323.12276</c:v>
                </c:pt>
                <c:pt idx="18059">
                  <c:v>2604294.020695</c:v>
                </c:pt>
                <c:pt idx="18060">
                  <c:v>2605265.16</c:v>
                </c:pt>
                <c:pt idx="18061">
                  <c:v>2606236.540705</c:v>
                </c:pt>
                <c:pt idx="18062">
                  <c:v>2607208.16284</c:v>
                </c:pt>
                <c:pt idx="18063">
                  <c:v>2608180.0264350004</c:v>
                </c:pt>
                <c:pt idx="18064">
                  <c:v>2609152.1315200003</c:v>
                </c:pt>
                <c:pt idx="18065">
                  <c:v>2610124.478125</c:v>
                </c:pt>
                <c:pt idx="18066">
                  <c:v>2611097.06628</c:v>
                </c:pt>
                <c:pt idx="18067">
                  <c:v>2612069.896015</c:v>
                </c:pt>
                <c:pt idx="18068">
                  <c:v>2613042.96736</c:v>
                </c:pt>
                <c:pt idx="18069">
                  <c:v>2614016.2803450003</c:v>
                </c:pt>
                <c:pt idx="18070">
                  <c:v>2614989.835</c:v>
                </c:pt>
                <c:pt idx="18071">
                  <c:v>2615963.631355</c:v>
                </c:pt>
                <c:pt idx="18072">
                  <c:v>2616937.6694400003</c:v>
                </c:pt>
                <c:pt idx="18073">
                  <c:v>2617911.949285</c:v>
                </c:pt>
                <c:pt idx="18074">
                  <c:v>2618886.47092</c:v>
                </c:pt>
                <c:pt idx="18075">
                  <c:v>2619861.234375</c:v>
                </c:pt>
                <c:pt idx="18076">
                  <c:v>2620836.23968</c:v>
                </c:pt>
                <c:pt idx="18077">
                  <c:v>2621811.486865</c:v>
                </c:pt>
                <c:pt idx="18078">
                  <c:v>2622786.97596</c:v>
                </c:pt>
                <c:pt idx="18079">
                  <c:v>2623762.706995</c:v>
                </c:pt>
                <c:pt idx="18080">
                  <c:v>2624738.68</c:v>
                </c:pt>
                <c:pt idx="18081">
                  <c:v>2625714.895005</c:v>
                </c:pt>
                <c:pt idx="18082">
                  <c:v>2626691.35204</c:v>
                </c:pt>
                <c:pt idx="18083">
                  <c:v>2627668.051135</c:v>
                </c:pt>
                <c:pt idx="18084">
                  <c:v>2628644.99232</c:v>
                </c:pt>
                <c:pt idx="18085">
                  <c:v>2629622.175625</c:v>
                </c:pt>
                <c:pt idx="18086">
                  <c:v>2630599.60108</c:v>
                </c:pt>
                <c:pt idx="18087">
                  <c:v>2631577.2687150002</c:v>
                </c:pt>
                <c:pt idx="18088">
                  <c:v>2632555.17856</c:v>
                </c:pt>
                <c:pt idx="18089">
                  <c:v>2633533.3306449996</c:v>
                </c:pt>
                <c:pt idx="18090">
                  <c:v>2634511.725</c:v>
                </c:pt>
                <c:pt idx="18091">
                  <c:v>2635490.361655</c:v>
                </c:pt>
                <c:pt idx="18092">
                  <c:v>2636469.24064</c:v>
                </c:pt>
                <c:pt idx="18093">
                  <c:v>2637448.3619850003</c:v>
                </c:pt>
                <c:pt idx="18094">
                  <c:v>2638427.72572</c:v>
                </c:pt>
                <c:pt idx="18095">
                  <c:v>2639407.331875</c:v>
                </c:pt>
                <c:pt idx="18096">
                  <c:v>2640387.18048</c:v>
                </c:pt>
                <c:pt idx="18097">
                  <c:v>2641367.271565</c:v>
                </c:pt>
                <c:pt idx="18098">
                  <c:v>2642347.60516</c:v>
                </c:pt>
                <c:pt idx="18099">
                  <c:v>2643328.181295</c:v>
                </c:pt>
                <c:pt idx="18100">
                  <c:v>2644309.0</c:v>
                </c:pt>
                <c:pt idx="18101">
                  <c:v>2645290.061305</c:v>
                </c:pt>
                <c:pt idx="18102">
                  <c:v>2646271.36524</c:v>
                </c:pt>
                <c:pt idx="18103">
                  <c:v>2647252.911835</c:v>
                </c:pt>
                <c:pt idx="18104">
                  <c:v>2648234.70112</c:v>
                </c:pt>
                <c:pt idx="18105">
                  <c:v>2649216.733125</c:v>
                </c:pt>
                <c:pt idx="18106">
                  <c:v>2650199.00788</c:v>
                </c:pt>
                <c:pt idx="18107">
                  <c:v>2651181.525415</c:v>
                </c:pt>
                <c:pt idx="18108">
                  <c:v>2652164.28576</c:v>
                </c:pt>
                <c:pt idx="18109">
                  <c:v>2653147.288945</c:v>
                </c:pt>
                <c:pt idx="18110">
                  <c:v>2654130.5349999997</c:v>
                </c:pt>
                <c:pt idx="18111">
                  <c:v>2655114.023955</c:v>
                </c:pt>
                <c:pt idx="18112">
                  <c:v>2656097.7558399998</c:v>
                </c:pt>
                <c:pt idx="18113">
                  <c:v>2657081.730685</c:v>
                </c:pt>
                <c:pt idx="18114">
                  <c:v>2658065.94852</c:v>
                </c:pt>
                <c:pt idx="18115">
                  <c:v>2659050.4093750003</c:v>
                </c:pt>
                <c:pt idx="18116">
                  <c:v>2660035.11328</c:v>
                </c:pt>
                <c:pt idx="18117">
                  <c:v>2661020.060265</c:v>
                </c:pt>
                <c:pt idx="18118">
                  <c:v>2662005.25036</c:v>
                </c:pt>
                <c:pt idx="18119">
                  <c:v>2662990.6835950003</c:v>
                </c:pt>
                <c:pt idx="18120">
                  <c:v>2663976.3600000003</c:v>
                </c:pt>
                <c:pt idx="18121">
                  <c:v>2664962.279605</c:v>
                </c:pt>
                <c:pt idx="18122">
                  <c:v>2665948.44244</c:v>
                </c:pt>
                <c:pt idx="18123">
                  <c:v>2666934.848535</c:v>
                </c:pt>
                <c:pt idx="18124">
                  <c:v>2667921.49792</c:v>
                </c:pt>
                <c:pt idx="18125">
                  <c:v>2668908.390625</c:v>
                </c:pt>
                <c:pt idx="18126">
                  <c:v>2669895.52668</c:v>
                </c:pt>
                <c:pt idx="18127">
                  <c:v>2670882.906115</c:v>
                </c:pt>
                <c:pt idx="18128">
                  <c:v>2671870.52896</c:v>
                </c:pt>
                <c:pt idx="18129">
                  <c:v>2672858.395245</c:v>
                </c:pt>
                <c:pt idx="18130">
                  <c:v>2673846.505</c:v>
                </c:pt>
                <c:pt idx="18131">
                  <c:v>2674834.8582550003</c:v>
                </c:pt>
                <c:pt idx="18132">
                  <c:v>2675823.45504</c:v>
                </c:pt>
                <c:pt idx="18133">
                  <c:v>2676812.295385</c:v>
                </c:pt>
                <c:pt idx="18134">
                  <c:v>2677801.37932</c:v>
                </c:pt>
                <c:pt idx="18135">
                  <c:v>2678790.706875</c:v>
                </c:pt>
                <c:pt idx="18136">
                  <c:v>2679780.2780799996</c:v>
                </c:pt>
                <c:pt idx="18137">
                  <c:v>2680770.092965</c:v>
                </c:pt>
                <c:pt idx="18138">
                  <c:v>2681760.1515599997</c:v>
                </c:pt>
                <c:pt idx="18139">
                  <c:v>2682750.4538950003</c:v>
                </c:pt>
                <c:pt idx="18140">
                  <c:v>2683741.0</c:v>
                </c:pt>
                <c:pt idx="18141">
                  <c:v>2684731.7899049995</c:v>
                </c:pt>
                <c:pt idx="18142">
                  <c:v>2685722.8236399996</c:v>
                </c:pt>
                <c:pt idx="18143">
                  <c:v>2686714.101235</c:v>
                </c:pt>
                <c:pt idx="18144">
                  <c:v>2687705.62272</c:v>
                </c:pt>
                <c:pt idx="18145">
                  <c:v>2688697.388125</c:v>
                </c:pt>
                <c:pt idx="18146">
                  <c:v>2689689.39748</c:v>
                </c:pt>
                <c:pt idx="18147">
                  <c:v>2690681.650815</c:v>
                </c:pt>
                <c:pt idx="18148">
                  <c:v>2691674.14816</c:v>
                </c:pt>
                <c:pt idx="18149">
                  <c:v>2692666.8895449997</c:v>
                </c:pt>
                <c:pt idx="18150">
                  <c:v>2693659.875</c:v>
                </c:pt>
                <c:pt idx="18151">
                  <c:v>2694653.104555</c:v>
                </c:pt>
                <c:pt idx="18152">
                  <c:v>2695646.57824</c:v>
                </c:pt>
                <c:pt idx="18153">
                  <c:v>2696640.296085</c:v>
                </c:pt>
                <c:pt idx="18154">
                  <c:v>2697634.25812</c:v>
                </c:pt>
                <c:pt idx="18155">
                  <c:v>2698628.464375</c:v>
                </c:pt>
                <c:pt idx="18156">
                  <c:v>2699622.91488</c:v>
                </c:pt>
                <c:pt idx="18157">
                  <c:v>2700617.6096650003</c:v>
                </c:pt>
                <c:pt idx="18158">
                  <c:v>2701612.54876</c:v>
                </c:pt>
                <c:pt idx="18159">
                  <c:v>2702607.732195</c:v>
                </c:pt>
                <c:pt idx="18160">
                  <c:v>2703603.16</c:v>
                </c:pt>
                <c:pt idx="18161">
                  <c:v>2704598.8322050003</c:v>
                </c:pt>
                <c:pt idx="18162">
                  <c:v>2705594.74884</c:v>
                </c:pt>
                <c:pt idx="18163">
                  <c:v>2706590.9099350004</c:v>
                </c:pt>
                <c:pt idx="18164">
                  <c:v>2707587.31552</c:v>
                </c:pt>
                <c:pt idx="18165">
                  <c:v>2708583.9656249997</c:v>
                </c:pt>
                <c:pt idx="18166">
                  <c:v>2709580.86028</c:v>
                </c:pt>
                <c:pt idx="18167">
                  <c:v>2710577.9995150003</c:v>
                </c:pt>
                <c:pt idx="18168">
                  <c:v>2711575.3833600003</c:v>
                </c:pt>
                <c:pt idx="18169">
                  <c:v>2712573.011845</c:v>
                </c:pt>
                <c:pt idx="18170">
                  <c:v>2713570.8850000002</c:v>
                </c:pt>
                <c:pt idx="18171">
                  <c:v>2714569.002855</c:v>
                </c:pt>
                <c:pt idx="18172">
                  <c:v>2715567.36544</c:v>
                </c:pt>
                <c:pt idx="18173">
                  <c:v>2716565.9727849998</c:v>
                </c:pt>
                <c:pt idx="18174">
                  <c:v>2717564.82492</c:v>
                </c:pt>
                <c:pt idx="18175">
                  <c:v>2718563.921875</c:v>
                </c:pt>
                <c:pt idx="18176">
                  <c:v>2719563.2636800003</c:v>
                </c:pt>
                <c:pt idx="18177">
                  <c:v>2720562.8503650003</c:v>
                </c:pt>
                <c:pt idx="18178">
                  <c:v>2721562.6819599997</c:v>
                </c:pt>
                <c:pt idx="18179">
                  <c:v>2722562.7584949997</c:v>
                </c:pt>
                <c:pt idx="18180">
                  <c:v>2723563.08</c:v>
                </c:pt>
                <c:pt idx="18181">
                  <c:v>2724563.646505</c:v>
                </c:pt>
                <c:pt idx="18182">
                  <c:v>2725564.45804</c:v>
                </c:pt>
                <c:pt idx="18183">
                  <c:v>2726565.514635</c:v>
                </c:pt>
                <c:pt idx="18184">
                  <c:v>2727566.81632</c:v>
                </c:pt>
                <c:pt idx="18185">
                  <c:v>2728568.363125</c:v>
                </c:pt>
                <c:pt idx="18186">
                  <c:v>2729570.15508</c:v>
                </c:pt>
                <c:pt idx="18187">
                  <c:v>2730572.1922150003</c:v>
                </c:pt>
                <c:pt idx="18188">
                  <c:v>2731574.47456</c:v>
                </c:pt>
                <c:pt idx="18189">
                  <c:v>2732577.002145</c:v>
                </c:pt>
                <c:pt idx="18190">
                  <c:v>2733579.775</c:v>
                </c:pt>
                <c:pt idx="18191">
                  <c:v>2734582.793155</c:v>
                </c:pt>
                <c:pt idx="18192">
                  <c:v>2735586.05664</c:v>
                </c:pt>
                <c:pt idx="18193">
                  <c:v>2736589.5654849997</c:v>
                </c:pt>
                <c:pt idx="18194">
                  <c:v>2737593.31972</c:v>
                </c:pt>
                <c:pt idx="18195">
                  <c:v>2738597.319375</c:v>
                </c:pt>
                <c:pt idx="18196">
                  <c:v>2739601.5644799997</c:v>
                </c:pt>
                <c:pt idx="18197">
                  <c:v>2740606.055065</c:v>
                </c:pt>
                <c:pt idx="18198">
                  <c:v>2741610.79116</c:v>
                </c:pt>
                <c:pt idx="18199">
                  <c:v>2742615.7727949996</c:v>
                </c:pt>
                <c:pt idx="18200">
                  <c:v>2743621.0</c:v>
                </c:pt>
                <c:pt idx="18201">
                  <c:v>2744626.472805</c:v>
                </c:pt>
                <c:pt idx="18202">
                  <c:v>2745632.19124</c:v>
                </c:pt>
                <c:pt idx="18203">
                  <c:v>2746638.1553350003</c:v>
                </c:pt>
                <c:pt idx="18204">
                  <c:v>2747644.3651199997</c:v>
                </c:pt>
                <c:pt idx="18205">
                  <c:v>2748650.820625</c:v>
                </c:pt>
                <c:pt idx="18206">
                  <c:v>2749657.52188</c:v>
                </c:pt>
                <c:pt idx="18207">
                  <c:v>2750664.468915</c:v>
                </c:pt>
                <c:pt idx="18208">
                  <c:v>2751671.66176</c:v>
                </c:pt>
                <c:pt idx="18209">
                  <c:v>2752679.100445</c:v>
                </c:pt>
                <c:pt idx="18210">
                  <c:v>2753686.785</c:v>
                </c:pt>
                <c:pt idx="18211">
                  <c:v>2754694.715455</c:v>
                </c:pt>
                <c:pt idx="18212">
                  <c:v>2755702.8918399997</c:v>
                </c:pt>
                <c:pt idx="18213">
                  <c:v>2756711.314185</c:v>
                </c:pt>
                <c:pt idx="18214">
                  <c:v>2757719.98252</c:v>
                </c:pt>
                <c:pt idx="18215">
                  <c:v>2758728.896875</c:v>
                </c:pt>
                <c:pt idx="18216">
                  <c:v>2759738.0572800003</c:v>
                </c:pt>
                <c:pt idx="18217">
                  <c:v>2760747.463765</c:v>
                </c:pt>
                <c:pt idx="18218">
                  <c:v>2761757.11636</c:v>
                </c:pt>
                <c:pt idx="18219">
                  <c:v>2762767.0150949997</c:v>
                </c:pt>
                <c:pt idx="18220">
                  <c:v>2763777.16</c:v>
                </c:pt>
                <c:pt idx="18221">
                  <c:v>2764787.551105</c:v>
                </c:pt>
                <c:pt idx="18222">
                  <c:v>2765798.18844</c:v>
                </c:pt>
                <c:pt idx="18223">
                  <c:v>2766809.0720349997</c:v>
                </c:pt>
                <c:pt idx="18224">
                  <c:v>2767820.20192</c:v>
                </c:pt>
                <c:pt idx="18225">
                  <c:v>2768831.578125</c:v>
                </c:pt>
                <c:pt idx="18226">
                  <c:v>2769843.2006800002</c:v>
                </c:pt>
                <c:pt idx="18227">
                  <c:v>2770855.0696150004</c:v>
                </c:pt>
                <c:pt idx="18228">
                  <c:v>2771867.1849599998</c:v>
                </c:pt>
                <c:pt idx="18229">
                  <c:v>2772879.546745</c:v>
                </c:pt>
                <c:pt idx="18230">
                  <c:v>2773892.155</c:v>
                </c:pt>
                <c:pt idx="18231">
                  <c:v>2774905.009755</c:v>
                </c:pt>
                <c:pt idx="18232">
                  <c:v>2775918.1110400003</c:v>
                </c:pt>
                <c:pt idx="18233">
                  <c:v>2776931.4588849996</c:v>
                </c:pt>
                <c:pt idx="18234">
                  <c:v>2777945.05332</c:v>
                </c:pt>
                <c:pt idx="18235">
                  <c:v>2778958.8943749997</c:v>
                </c:pt>
                <c:pt idx="18236">
                  <c:v>2779972.9820800005</c:v>
                </c:pt>
                <c:pt idx="18237">
                  <c:v>2780987.316465</c:v>
                </c:pt>
                <c:pt idx="18238">
                  <c:v>2782001.89756</c:v>
                </c:pt>
                <c:pt idx="18239">
                  <c:v>2783016.725395</c:v>
                </c:pt>
                <c:pt idx="18240">
                  <c:v>2784031.8000000003</c:v>
                </c:pt>
                <c:pt idx="18241">
                  <c:v>2785047.121405</c:v>
                </c:pt>
                <c:pt idx="18242">
                  <c:v>2786062.68964</c:v>
                </c:pt>
                <c:pt idx="18243">
                  <c:v>2787078.5047350004</c:v>
                </c:pt>
                <c:pt idx="18244">
                  <c:v>2788094.56672</c:v>
                </c:pt>
                <c:pt idx="18245">
                  <c:v>2789110.8756250003</c:v>
                </c:pt>
                <c:pt idx="18246">
                  <c:v>2790127.43148</c:v>
                </c:pt>
                <c:pt idx="18247">
                  <c:v>2791144.234315</c:v>
                </c:pt>
                <c:pt idx="18248">
                  <c:v>2792161.28416</c:v>
                </c:pt>
                <c:pt idx="18249">
                  <c:v>2793178.581045</c:v>
                </c:pt>
                <c:pt idx="18250">
                  <c:v>2794196.125</c:v>
                </c:pt>
                <c:pt idx="18251">
                  <c:v>2795213.916055</c:v>
                </c:pt>
                <c:pt idx="18252">
                  <c:v>2796231.9542400003</c:v>
                </c:pt>
                <c:pt idx="18253">
                  <c:v>2797250.239585</c:v>
                </c:pt>
                <c:pt idx="18254">
                  <c:v>2798268.77212</c:v>
                </c:pt>
                <c:pt idx="18255">
                  <c:v>2799287.551875</c:v>
                </c:pt>
                <c:pt idx="18256">
                  <c:v>2800306.57888</c:v>
                </c:pt>
                <c:pt idx="18257">
                  <c:v>2801325.853165</c:v>
                </c:pt>
                <c:pt idx="18258">
                  <c:v>2802345.37476</c:v>
                </c:pt>
                <c:pt idx="18259">
                  <c:v>2803365.143695</c:v>
                </c:pt>
                <c:pt idx="18260">
                  <c:v>2804385.16</c:v>
                </c:pt>
                <c:pt idx="18261">
                  <c:v>2805405.423705</c:v>
                </c:pt>
                <c:pt idx="18262">
                  <c:v>2806425.9348400002</c:v>
                </c:pt>
                <c:pt idx="18263">
                  <c:v>2807446.693435</c:v>
                </c:pt>
                <c:pt idx="18264">
                  <c:v>2808467.69952</c:v>
                </c:pt>
                <c:pt idx="18265">
                  <c:v>2809488.953125</c:v>
                </c:pt>
                <c:pt idx="18266">
                  <c:v>2810510.45428</c:v>
                </c:pt>
                <c:pt idx="18267">
                  <c:v>2811532.203015</c:v>
                </c:pt>
                <c:pt idx="18268">
                  <c:v>2812554.19936</c:v>
                </c:pt>
                <c:pt idx="18269">
                  <c:v>2813576.4433449996</c:v>
                </c:pt>
                <c:pt idx="18270">
                  <c:v>2814598.935</c:v>
                </c:pt>
                <c:pt idx="18271">
                  <c:v>2815621.674355</c:v>
                </c:pt>
                <c:pt idx="18272">
                  <c:v>2816644.66144</c:v>
                </c:pt>
                <c:pt idx="18273">
                  <c:v>2817667.896285</c:v>
                </c:pt>
                <c:pt idx="18274">
                  <c:v>2818691.37892</c:v>
                </c:pt>
                <c:pt idx="18275">
                  <c:v>2819715.109375</c:v>
                </c:pt>
                <c:pt idx="18276">
                  <c:v>2820739.0876800003</c:v>
                </c:pt>
                <c:pt idx="18277">
                  <c:v>2821763.3138650004</c:v>
                </c:pt>
                <c:pt idx="18278">
                  <c:v>2822787.78796</c:v>
                </c:pt>
                <c:pt idx="18279">
                  <c:v>2823812.509995</c:v>
                </c:pt>
                <c:pt idx="18280">
                  <c:v>2824837.48</c:v>
                </c:pt>
                <c:pt idx="18281">
                  <c:v>2825862.698005</c:v>
                </c:pt>
                <c:pt idx="18282">
                  <c:v>2826888.1640399997</c:v>
                </c:pt>
                <c:pt idx="18283">
                  <c:v>2827913.878135</c:v>
                </c:pt>
                <c:pt idx="18284">
                  <c:v>2828939.84032</c:v>
                </c:pt>
                <c:pt idx="18285">
                  <c:v>2829966.050625</c:v>
                </c:pt>
                <c:pt idx="18286">
                  <c:v>2830992.5090799998</c:v>
                </c:pt>
                <c:pt idx="18287">
                  <c:v>2832019.215715</c:v>
                </c:pt>
                <c:pt idx="18288">
                  <c:v>2833046.17056</c:v>
                </c:pt>
                <c:pt idx="18289">
                  <c:v>2834073.3736449997</c:v>
                </c:pt>
                <c:pt idx="18290">
                  <c:v>2835100.8249999997</c:v>
                </c:pt>
                <c:pt idx="18291">
                  <c:v>2836128.5246550003</c:v>
                </c:pt>
                <c:pt idx="18292">
                  <c:v>2837156.47264</c:v>
                </c:pt>
                <c:pt idx="18293">
                  <c:v>2838184.668985</c:v>
                </c:pt>
                <c:pt idx="18294">
                  <c:v>2839213.1137200003</c:v>
                </c:pt>
                <c:pt idx="18295">
                  <c:v>2840241.8068750002</c:v>
                </c:pt>
                <c:pt idx="18296">
                  <c:v>2841270.74848</c:v>
                </c:pt>
                <c:pt idx="18297">
                  <c:v>2842299.938565</c:v>
                </c:pt>
                <c:pt idx="18298">
                  <c:v>2843329.3771599997</c:v>
                </c:pt>
                <c:pt idx="18299">
                  <c:v>2844359.064295</c:v>
                </c:pt>
                <c:pt idx="18300">
                  <c:v>2845389.0</c:v>
                </c:pt>
                <c:pt idx="18301">
                  <c:v>2846419.184305</c:v>
                </c:pt>
                <c:pt idx="18302">
                  <c:v>2847449.6172399996</c:v>
                </c:pt>
                <c:pt idx="18303">
                  <c:v>2848480.298835</c:v>
                </c:pt>
                <c:pt idx="18304">
                  <c:v>2849511.2291200003</c:v>
                </c:pt>
                <c:pt idx="18305">
                  <c:v>2850542.408125</c:v>
                </c:pt>
                <c:pt idx="18306">
                  <c:v>2851573.83588</c:v>
                </c:pt>
                <c:pt idx="18307">
                  <c:v>2852605.5124150002</c:v>
                </c:pt>
                <c:pt idx="18308">
                  <c:v>2853637.43776</c:v>
                </c:pt>
                <c:pt idx="18309">
                  <c:v>2854669.611945</c:v>
                </c:pt>
                <c:pt idx="18310">
                  <c:v>2855702.035</c:v>
                </c:pt>
                <c:pt idx="18311">
                  <c:v>2856734.706955</c:v>
                </c:pt>
                <c:pt idx="18312">
                  <c:v>2857767.6278399997</c:v>
                </c:pt>
                <c:pt idx="18313">
                  <c:v>2858800.797685</c:v>
                </c:pt>
                <c:pt idx="18314">
                  <c:v>2859834.2165200002</c:v>
                </c:pt>
                <c:pt idx="18315">
                  <c:v>2860867.884375</c:v>
                </c:pt>
                <c:pt idx="18316">
                  <c:v>2861901.80128</c:v>
                </c:pt>
                <c:pt idx="18317">
                  <c:v>2862935.967265</c:v>
                </c:pt>
                <c:pt idx="18318">
                  <c:v>2863970.3823599997</c:v>
                </c:pt>
                <c:pt idx="18319">
                  <c:v>2865005.046595</c:v>
                </c:pt>
                <c:pt idx="18320">
                  <c:v>2866039.96</c:v>
                </c:pt>
                <c:pt idx="18321">
                  <c:v>2867075.122605</c:v>
                </c:pt>
                <c:pt idx="18322">
                  <c:v>2868110.53444</c:v>
                </c:pt>
                <c:pt idx="18323">
                  <c:v>2869146.195535</c:v>
                </c:pt>
                <c:pt idx="18324">
                  <c:v>2870182.10592</c:v>
                </c:pt>
                <c:pt idx="18325">
                  <c:v>2871218.265625</c:v>
                </c:pt>
                <c:pt idx="18326">
                  <c:v>2872254.6746799997</c:v>
                </c:pt>
                <c:pt idx="18327">
                  <c:v>2873291.333115</c:v>
                </c:pt>
                <c:pt idx="18328">
                  <c:v>2874328.24096</c:v>
                </c:pt>
                <c:pt idx="18329">
                  <c:v>2875365.3982450003</c:v>
                </c:pt>
                <c:pt idx="18330">
                  <c:v>2876402.805</c:v>
                </c:pt>
                <c:pt idx="18331">
                  <c:v>2877440.461255</c:v>
                </c:pt>
                <c:pt idx="18332">
                  <c:v>2878478.36704</c:v>
                </c:pt>
                <c:pt idx="18333">
                  <c:v>2879516.5223850003</c:v>
                </c:pt>
                <c:pt idx="18334">
                  <c:v>2880554.9273200002</c:v>
                </c:pt>
                <c:pt idx="18335">
                  <c:v>2881593.581875</c:v>
                </c:pt>
                <c:pt idx="18336">
                  <c:v>2882632.48608</c:v>
                </c:pt>
                <c:pt idx="18337">
                  <c:v>2883671.639965</c:v>
                </c:pt>
                <c:pt idx="18338">
                  <c:v>2884711.04356</c:v>
                </c:pt>
                <c:pt idx="18339">
                  <c:v>2885750.696895</c:v>
                </c:pt>
                <c:pt idx="18340">
                  <c:v>2886790.6</c:v>
                </c:pt>
                <c:pt idx="18341">
                  <c:v>2887830.752905</c:v>
                </c:pt>
                <c:pt idx="18342">
                  <c:v>2888871.15564</c:v>
                </c:pt>
                <c:pt idx="18343">
                  <c:v>2889911.808235</c:v>
                </c:pt>
                <c:pt idx="18344">
                  <c:v>2890952.71072</c:v>
                </c:pt>
                <c:pt idx="18345">
                  <c:v>2891993.863125</c:v>
                </c:pt>
                <c:pt idx="18346">
                  <c:v>2893035.26548</c:v>
                </c:pt>
                <c:pt idx="18347">
                  <c:v>2894076.9178150003</c:v>
                </c:pt>
                <c:pt idx="18348">
                  <c:v>2895118.8201599997</c:v>
                </c:pt>
                <c:pt idx="18349">
                  <c:v>2896160.972545</c:v>
                </c:pt>
                <c:pt idx="18350">
                  <c:v>2897203.375</c:v>
                </c:pt>
                <c:pt idx="18351">
                  <c:v>2898246.027555</c:v>
                </c:pt>
                <c:pt idx="18352">
                  <c:v>2899288.9302399997</c:v>
                </c:pt>
                <c:pt idx="18353">
                  <c:v>2900332.083085</c:v>
                </c:pt>
                <c:pt idx="18354">
                  <c:v>2901375.48612</c:v>
                </c:pt>
                <c:pt idx="18355">
                  <c:v>2902419.139375</c:v>
                </c:pt>
                <c:pt idx="18356">
                  <c:v>2903463.04288</c:v>
                </c:pt>
                <c:pt idx="18357">
                  <c:v>2904507.1966649997</c:v>
                </c:pt>
                <c:pt idx="18358">
                  <c:v>2905551.6007600003</c:v>
                </c:pt>
                <c:pt idx="18359">
                  <c:v>2906596.2551949997</c:v>
                </c:pt>
                <c:pt idx="18360">
                  <c:v>2907641.1599999997</c:v>
                </c:pt>
                <c:pt idx="18361">
                  <c:v>2908686.315205</c:v>
                </c:pt>
                <c:pt idx="18362">
                  <c:v>2909731.72084</c:v>
                </c:pt>
                <c:pt idx="18363">
                  <c:v>2910777.3769349996</c:v>
                </c:pt>
                <c:pt idx="18364">
                  <c:v>2911823.28352</c:v>
                </c:pt>
                <c:pt idx="18365">
                  <c:v>2912869.4406250003</c:v>
                </c:pt>
                <c:pt idx="18366">
                  <c:v>2913915.84828</c:v>
                </c:pt>
                <c:pt idx="18367">
                  <c:v>2914962.506515</c:v>
                </c:pt>
                <c:pt idx="18368">
                  <c:v>2916009.41536</c:v>
                </c:pt>
                <c:pt idx="18369">
                  <c:v>2917056.574845</c:v>
                </c:pt>
                <c:pt idx="18370">
                  <c:v>2918103.9850000003</c:v>
                </c:pt>
                <c:pt idx="18371">
                  <c:v>2919151.6458550002</c:v>
                </c:pt>
                <c:pt idx="18372">
                  <c:v>2920199.5574399997</c:v>
                </c:pt>
                <c:pt idx="18373">
                  <c:v>2921247.7197849997</c:v>
                </c:pt>
                <c:pt idx="18374">
                  <c:v>2922296.13292</c:v>
                </c:pt>
                <c:pt idx="18375">
                  <c:v>2923344.796875</c:v>
                </c:pt>
                <c:pt idx="18376">
                  <c:v>2924393.7116799997</c:v>
                </c:pt>
                <c:pt idx="18377">
                  <c:v>2925442.8773649996</c:v>
                </c:pt>
                <c:pt idx="18378">
                  <c:v>2926492.29396</c:v>
                </c:pt>
                <c:pt idx="18379">
                  <c:v>2927541.9614950004</c:v>
                </c:pt>
                <c:pt idx="18380">
                  <c:v>2928591.88</c:v>
                </c:pt>
                <c:pt idx="18381">
                  <c:v>2929642.049505</c:v>
                </c:pt>
                <c:pt idx="18382">
                  <c:v>2930692.47004</c:v>
                </c:pt>
                <c:pt idx="18383">
                  <c:v>2931743.141635</c:v>
                </c:pt>
                <c:pt idx="18384">
                  <c:v>2932794.0643200004</c:v>
                </c:pt>
                <c:pt idx="18385">
                  <c:v>2933845.238125</c:v>
                </c:pt>
                <c:pt idx="18386">
                  <c:v>2934896.66308</c:v>
                </c:pt>
                <c:pt idx="18387">
                  <c:v>2935948.339215</c:v>
                </c:pt>
                <c:pt idx="18388">
                  <c:v>2937000.2665600004</c:v>
                </c:pt>
                <c:pt idx="18389">
                  <c:v>2938052.445145</c:v>
                </c:pt>
                <c:pt idx="18390">
                  <c:v>2939104.875</c:v>
                </c:pt>
                <c:pt idx="18391">
                  <c:v>2940157.556155</c:v>
                </c:pt>
                <c:pt idx="18392">
                  <c:v>2941210.48864</c:v>
                </c:pt>
                <c:pt idx="18393">
                  <c:v>2942263.672485</c:v>
                </c:pt>
                <c:pt idx="18394">
                  <c:v>2943317.1077199997</c:v>
                </c:pt>
                <c:pt idx="18395">
                  <c:v>2944370.794375</c:v>
                </c:pt>
                <c:pt idx="18396">
                  <c:v>2945424.7324800002</c:v>
                </c:pt>
                <c:pt idx="18397">
                  <c:v>2946478.922065</c:v>
                </c:pt>
                <c:pt idx="18398">
                  <c:v>2947533.36316</c:v>
                </c:pt>
                <c:pt idx="18399">
                  <c:v>2948588.0557950004</c:v>
                </c:pt>
                <c:pt idx="18400">
                  <c:v>2949643.0</c:v>
                </c:pt>
                <c:pt idx="18401">
                  <c:v>2950698.195805</c:v>
                </c:pt>
                <c:pt idx="18402">
                  <c:v>2951753.6432399997</c:v>
                </c:pt>
                <c:pt idx="18403">
                  <c:v>2952809.3423349997</c:v>
                </c:pt>
                <c:pt idx="18404">
                  <c:v>2953865.2931199996</c:v>
                </c:pt>
                <c:pt idx="18405">
                  <c:v>2954921.495625</c:v>
                </c:pt>
                <c:pt idx="18406">
                  <c:v>2955977.9498799997</c:v>
                </c:pt>
                <c:pt idx="18407">
                  <c:v>2957034.655915</c:v>
                </c:pt>
                <c:pt idx="18408">
                  <c:v>2958091.61376</c:v>
                </c:pt>
                <c:pt idx="18409">
                  <c:v>2959148.823445</c:v>
                </c:pt>
                <c:pt idx="18410">
                  <c:v>2960206.285</c:v>
                </c:pt>
                <c:pt idx="18411">
                  <c:v>2961263.9984549996</c:v>
                </c:pt>
                <c:pt idx="18412">
                  <c:v>2962321.96384</c:v>
                </c:pt>
                <c:pt idx="18413">
                  <c:v>2963380.181185</c:v>
                </c:pt>
                <c:pt idx="18414">
                  <c:v>2964438.65052</c:v>
                </c:pt>
                <c:pt idx="18415">
                  <c:v>2965497.3718749997</c:v>
                </c:pt>
                <c:pt idx="18416">
                  <c:v>2966556.34528</c:v>
                </c:pt>
                <c:pt idx="18417">
                  <c:v>2967615.570765</c:v>
                </c:pt>
                <c:pt idx="18418">
                  <c:v>2968675.04836</c:v>
                </c:pt>
                <c:pt idx="18419">
                  <c:v>2969734.778095</c:v>
                </c:pt>
                <c:pt idx="18420">
                  <c:v>2970794.7600000002</c:v>
                </c:pt>
                <c:pt idx="18421">
                  <c:v>2971854.994105</c:v>
                </c:pt>
                <c:pt idx="18422">
                  <c:v>2972915.48044</c:v>
                </c:pt>
                <c:pt idx="18423">
                  <c:v>2973976.219035</c:v>
                </c:pt>
                <c:pt idx="18424">
                  <c:v>2975037.20992</c:v>
                </c:pt>
                <c:pt idx="18425">
                  <c:v>2976098.453125</c:v>
                </c:pt>
                <c:pt idx="18426">
                  <c:v>2977159.94868</c:v>
                </c:pt>
                <c:pt idx="18427">
                  <c:v>2978221.696615</c:v>
                </c:pt>
                <c:pt idx="18428">
                  <c:v>2979283.6969600003</c:v>
                </c:pt>
                <c:pt idx="18429">
                  <c:v>2980345.949745</c:v>
                </c:pt>
                <c:pt idx="18430">
                  <c:v>2981408.455</c:v>
                </c:pt>
                <c:pt idx="18431">
                  <c:v>2982471.2127549998</c:v>
                </c:pt>
                <c:pt idx="18432">
                  <c:v>2983534.22304</c:v>
                </c:pt>
                <c:pt idx="18433">
                  <c:v>2984597.485885</c:v>
                </c:pt>
                <c:pt idx="18434">
                  <c:v>2985661.00132</c:v>
                </c:pt>
                <c:pt idx="18435">
                  <c:v>2986724.769375</c:v>
                </c:pt>
                <c:pt idx="18436">
                  <c:v>2987788.79008</c:v>
                </c:pt>
                <c:pt idx="18437">
                  <c:v>2988853.0634649997</c:v>
                </c:pt>
                <c:pt idx="18438">
                  <c:v>2989917.5895599998</c:v>
                </c:pt>
                <c:pt idx="18439">
                  <c:v>2990982.368395</c:v>
                </c:pt>
                <c:pt idx="18440">
                  <c:v>2992047.4</c:v>
                </c:pt>
                <c:pt idx="18441">
                  <c:v>2993112.684405</c:v>
                </c:pt>
                <c:pt idx="18442">
                  <c:v>2994178.2216399997</c:v>
                </c:pt>
                <c:pt idx="18443">
                  <c:v>2995244.011735</c:v>
                </c:pt>
                <c:pt idx="18444">
                  <c:v>2996310.05472</c:v>
                </c:pt>
                <c:pt idx="18445">
                  <c:v>2997376.350625</c:v>
                </c:pt>
                <c:pt idx="18446">
                  <c:v>2998442.89948</c:v>
                </c:pt>
                <c:pt idx="18447">
                  <c:v>2999509.701315</c:v>
                </c:pt>
                <c:pt idx="18448">
                  <c:v>3000576.7561600003</c:v>
                </c:pt>
                <c:pt idx="18449">
                  <c:v>3001644.0640450004</c:v>
                </c:pt>
                <c:pt idx="18450">
                  <c:v>3002711.625</c:v>
                </c:pt>
                <c:pt idx="18451">
                  <c:v>3003779.439055</c:v>
                </c:pt>
                <c:pt idx="18452">
                  <c:v>3004847.50624</c:v>
                </c:pt>
                <c:pt idx="18453">
                  <c:v>3005915.826585</c:v>
                </c:pt>
                <c:pt idx="18454">
                  <c:v>3006984.40012</c:v>
                </c:pt>
                <c:pt idx="18455">
                  <c:v>3008053.226875</c:v>
                </c:pt>
                <c:pt idx="18456">
                  <c:v>3009122.30688</c:v>
                </c:pt>
                <c:pt idx="18457">
                  <c:v>3010191.640165</c:v>
                </c:pt>
                <c:pt idx="18458">
                  <c:v>3011261.22676</c:v>
                </c:pt>
                <c:pt idx="18459">
                  <c:v>3012331.066695</c:v>
                </c:pt>
                <c:pt idx="18460">
                  <c:v>3013401.16</c:v>
                </c:pt>
                <c:pt idx="18461">
                  <c:v>3014471.506705</c:v>
                </c:pt>
                <c:pt idx="18462">
                  <c:v>3015542.10684</c:v>
                </c:pt>
                <c:pt idx="18463">
                  <c:v>3016612.960435</c:v>
                </c:pt>
                <c:pt idx="18464">
                  <c:v>3017684.06752</c:v>
                </c:pt>
                <c:pt idx="18465">
                  <c:v>3018755.428125</c:v>
                </c:pt>
                <c:pt idx="18466">
                  <c:v>3019827.0422799997</c:v>
                </c:pt>
                <c:pt idx="18467">
                  <c:v>3020898.910015</c:v>
                </c:pt>
                <c:pt idx="18468">
                  <c:v>3021971.03136</c:v>
                </c:pt>
                <c:pt idx="18469">
                  <c:v>3023043.406345</c:v>
                </c:pt>
                <c:pt idx="18470">
                  <c:v>3024116.035</c:v>
                </c:pt>
                <c:pt idx="18471">
                  <c:v>3025188.917355</c:v>
                </c:pt>
                <c:pt idx="18472">
                  <c:v>3026262.0534400004</c:v>
                </c:pt>
                <c:pt idx="18473">
                  <c:v>3027335.443285</c:v>
                </c:pt>
                <c:pt idx="18474">
                  <c:v>3028409.08692</c:v>
                </c:pt>
                <c:pt idx="18475">
                  <c:v>3029482.984375</c:v>
                </c:pt>
                <c:pt idx="18476">
                  <c:v>3030557.13568</c:v>
                </c:pt>
                <c:pt idx="18477">
                  <c:v>3031631.540865</c:v>
                </c:pt>
                <c:pt idx="18478">
                  <c:v>3032706.19996</c:v>
                </c:pt>
                <c:pt idx="18479">
                  <c:v>3033781.112995</c:v>
                </c:pt>
                <c:pt idx="18480">
                  <c:v>3034856.28</c:v>
                </c:pt>
                <c:pt idx="18481">
                  <c:v>3035931.701005</c:v>
                </c:pt>
                <c:pt idx="18482">
                  <c:v>3037007.37604</c:v>
                </c:pt>
                <c:pt idx="18483">
                  <c:v>3038083.305135</c:v>
                </c:pt>
                <c:pt idx="18484">
                  <c:v>3039159.48832</c:v>
                </c:pt>
                <c:pt idx="18485">
                  <c:v>3040235.9256249997</c:v>
                </c:pt>
                <c:pt idx="18486">
                  <c:v>3041312.6170799998</c:v>
                </c:pt>
                <c:pt idx="18487">
                  <c:v>3042389.562715</c:v>
                </c:pt>
                <c:pt idx="18488">
                  <c:v>3043466.76256</c:v>
                </c:pt>
                <c:pt idx="18489">
                  <c:v>3044544.216645</c:v>
                </c:pt>
                <c:pt idx="18490">
                  <c:v>3045621.9250000003</c:v>
                </c:pt>
                <c:pt idx="18491">
                  <c:v>3046699.887655</c:v>
                </c:pt>
                <c:pt idx="18492">
                  <c:v>3047778.10464</c:v>
                </c:pt>
                <c:pt idx="18493">
                  <c:v>3048856.575985</c:v>
                </c:pt>
                <c:pt idx="18494">
                  <c:v>3049935.3017200003</c:v>
                </c:pt>
                <c:pt idx="18495">
                  <c:v>3051014.2818750003</c:v>
                </c:pt>
                <c:pt idx="18496">
                  <c:v>3052093.5164799998</c:v>
                </c:pt>
                <c:pt idx="18497">
                  <c:v>3053173.0055649998</c:v>
                </c:pt>
                <c:pt idx="18498">
                  <c:v>3054252.74916</c:v>
                </c:pt>
                <c:pt idx="18499">
                  <c:v>3055332.747295</c:v>
                </c:pt>
                <c:pt idx="18500">
                  <c:v>3056413.0</c:v>
                </c:pt>
                <c:pt idx="18501">
                  <c:v>3057493.507305</c:v>
                </c:pt>
                <c:pt idx="18502">
                  <c:v>3058574.26924</c:v>
                </c:pt>
                <c:pt idx="18503">
                  <c:v>3059655.285835</c:v>
                </c:pt>
                <c:pt idx="18504">
                  <c:v>3060736.55712</c:v>
                </c:pt>
                <c:pt idx="18505">
                  <c:v>3061818.083125</c:v>
                </c:pt>
                <c:pt idx="18506">
                  <c:v>3062899.86388</c:v>
                </c:pt>
                <c:pt idx="18507">
                  <c:v>3063981.8994150003</c:v>
                </c:pt>
                <c:pt idx="18508">
                  <c:v>3065064.18976</c:v>
                </c:pt>
                <c:pt idx="18509">
                  <c:v>3066146.734945</c:v>
                </c:pt>
                <c:pt idx="18510">
                  <c:v>3067229.535</c:v>
                </c:pt>
                <c:pt idx="18511">
                  <c:v>3068312.589955</c:v>
                </c:pt>
                <c:pt idx="18512">
                  <c:v>3069395.89984</c:v>
                </c:pt>
                <c:pt idx="18513">
                  <c:v>3070479.464685</c:v>
                </c:pt>
                <c:pt idx="18514">
                  <c:v>3071563.28452</c:v>
                </c:pt>
                <c:pt idx="18515">
                  <c:v>3072647.359375</c:v>
                </c:pt>
                <c:pt idx="18516">
                  <c:v>3073731.68928</c:v>
                </c:pt>
                <c:pt idx="18517">
                  <c:v>3074816.274265</c:v>
                </c:pt>
                <c:pt idx="18518">
                  <c:v>3075901.11436</c:v>
                </c:pt>
                <c:pt idx="18519">
                  <c:v>3076986.2095950004</c:v>
                </c:pt>
                <c:pt idx="18520">
                  <c:v>3078071.56</c:v>
                </c:pt>
                <c:pt idx="18521">
                  <c:v>3079157.1656049998</c:v>
                </c:pt>
                <c:pt idx="18522">
                  <c:v>3080243.02644</c:v>
                </c:pt>
                <c:pt idx="18523">
                  <c:v>3081329.142535</c:v>
                </c:pt>
                <c:pt idx="18524">
                  <c:v>3082415.51392</c:v>
                </c:pt>
                <c:pt idx="18525">
                  <c:v>3083502.140625</c:v>
                </c:pt>
                <c:pt idx="18526">
                  <c:v>3084589.02268</c:v>
                </c:pt>
                <c:pt idx="18527">
                  <c:v>3085676.160115</c:v>
                </c:pt>
                <c:pt idx="18528">
                  <c:v>3086763.55296</c:v>
                </c:pt>
                <c:pt idx="18529">
                  <c:v>3087851.201245</c:v>
                </c:pt>
                <c:pt idx="18530">
                  <c:v>3088939.105</c:v>
                </c:pt>
                <c:pt idx="18531">
                  <c:v>3090027.2642550003</c:v>
                </c:pt>
                <c:pt idx="18532">
                  <c:v>3091115.67904</c:v>
                </c:pt>
                <c:pt idx="18533">
                  <c:v>3092204.349385</c:v>
                </c:pt>
                <c:pt idx="18534">
                  <c:v>3093293.2753199995</c:v>
                </c:pt>
                <c:pt idx="18535">
                  <c:v>3094382.456875</c:v>
                </c:pt>
                <c:pt idx="18536">
                  <c:v>3095471.89408</c:v>
                </c:pt>
                <c:pt idx="18537">
                  <c:v>3096561.586965</c:v>
                </c:pt>
                <c:pt idx="18538">
                  <c:v>3097651.5355599998</c:v>
                </c:pt>
                <c:pt idx="18539">
                  <c:v>3098741.7398949997</c:v>
                </c:pt>
                <c:pt idx="18540">
                  <c:v>3099832.1999999997</c:v>
                </c:pt>
                <c:pt idx="18541">
                  <c:v>3100922.9159049997</c:v>
                </c:pt>
                <c:pt idx="18542">
                  <c:v>3102013.88764</c:v>
                </c:pt>
                <c:pt idx="18543">
                  <c:v>3103105.115235</c:v>
                </c:pt>
                <c:pt idx="18544">
                  <c:v>3104196.59872</c:v>
                </c:pt>
                <c:pt idx="18545">
                  <c:v>3105288.3381250002</c:v>
                </c:pt>
                <c:pt idx="18546">
                  <c:v>3106380.33348</c:v>
                </c:pt>
                <c:pt idx="18547">
                  <c:v>3107472.5848149997</c:v>
                </c:pt>
                <c:pt idx="18548">
                  <c:v>3108565.09216</c:v>
                </c:pt>
                <c:pt idx="18549">
                  <c:v>3109657.855545</c:v>
                </c:pt>
                <c:pt idx="18550">
                  <c:v>3110750.875</c:v>
                </c:pt>
                <c:pt idx="18551">
                  <c:v>3111844.150555</c:v>
                </c:pt>
                <c:pt idx="18552">
                  <c:v>3112937.68224</c:v>
                </c:pt>
                <c:pt idx="18553">
                  <c:v>3114031.470085</c:v>
                </c:pt>
                <c:pt idx="18554">
                  <c:v>3115125.51412</c:v>
                </c:pt>
                <c:pt idx="18555">
                  <c:v>3116219.814375</c:v>
                </c:pt>
                <c:pt idx="18556">
                  <c:v>3117314.3708800003</c:v>
                </c:pt>
                <c:pt idx="18557">
                  <c:v>3118409.183665</c:v>
                </c:pt>
                <c:pt idx="18558">
                  <c:v>3119504.25276</c:v>
                </c:pt>
                <c:pt idx="18559">
                  <c:v>3120599.578195</c:v>
                </c:pt>
                <c:pt idx="18560">
                  <c:v>3121695.16</c:v>
                </c:pt>
                <c:pt idx="18561">
                  <c:v>3122790.998205</c:v>
                </c:pt>
                <c:pt idx="18562">
                  <c:v>3123887.09284</c:v>
                </c:pt>
                <c:pt idx="18563">
                  <c:v>3124983.443935</c:v>
                </c:pt>
                <c:pt idx="18564">
                  <c:v>3126080.0515199997</c:v>
                </c:pt>
                <c:pt idx="18565">
                  <c:v>3127176.915625</c:v>
                </c:pt>
                <c:pt idx="18566">
                  <c:v>3128274.03628</c:v>
                </c:pt>
                <c:pt idx="18567">
                  <c:v>3129371.4135149997</c:v>
                </c:pt>
                <c:pt idx="18568">
                  <c:v>3130469.04736</c:v>
                </c:pt>
                <c:pt idx="18569">
                  <c:v>3131566.937845</c:v>
                </c:pt>
                <c:pt idx="18570">
                  <c:v>3132665.085</c:v>
                </c:pt>
                <c:pt idx="18571">
                  <c:v>3133763.4888549997</c:v>
                </c:pt>
                <c:pt idx="18572">
                  <c:v>3134862.14944</c:v>
                </c:pt>
                <c:pt idx="18573">
                  <c:v>3135961.0667850003</c:v>
                </c:pt>
                <c:pt idx="18574">
                  <c:v>3137060.24092</c:v>
                </c:pt>
                <c:pt idx="18575">
                  <c:v>3138159.671875</c:v>
                </c:pt>
                <c:pt idx="18576">
                  <c:v>3139259.3596799998</c:v>
                </c:pt>
                <c:pt idx="18577">
                  <c:v>3140359.3043649998</c:v>
                </c:pt>
                <c:pt idx="18578">
                  <c:v>3141459.5059599997</c:v>
                </c:pt>
                <c:pt idx="18579">
                  <c:v>3142559.964495</c:v>
                </c:pt>
                <c:pt idx="18580">
                  <c:v>3143660.68</c:v>
                </c:pt>
                <c:pt idx="18581">
                  <c:v>3144761.652505</c:v>
                </c:pt>
                <c:pt idx="18582">
                  <c:v>3145862.88204</c:v>
                </c:pt>
                <c:pt idx="18583">
                  <c:v>3146964.3686349997</c:v>
                </c:pt>
                <c:pt idx="18584">
                  <c:v>3148066.11232</c:v>
                </c:pt>
                <c:pt idx="18585">
                  <c:v>3149168.113125</c:v>
                </c:pt>
                <c:pt idx="18586">
                  <c:v>3150270.37108</c:v>
                </c:pt>
                <c:pt idx="18587">
                  <c:v>3151372.886215</c:v>
                </c:pt>
                <c:pt idx="18588">
                  <c:v>3152475.6585600004</c:v>
                </c:pt>
                <c:pt idx="18589">
                  <c:v>3153578.688145</c:v>
                </c:pt>
                <c:pt idx="18590">
                  <c:v>3154681.975</c:v>
                </c:pt>
                <c:pt idx="18591">
                  <c:v>3155785.5191550003</c:v>
                </c:pt>
                <c:pt idx="18592">
                  <c:v>3156889.32064</c:v>
                </c:pt>
                <c:pt idx="18593">
                  <c:v>3157993.379485</c:v>
                </c:pt>
                <c:pt idx="18594">
                  <c:v>3159097.69572</c:v>
                </c:pt>
                <c:pt idx="18595">
                  <c:v>3160202.269375</c:v>
                </c:pt>
                <c:pt idx="18596">
                  <c:v>3161307.10048</c:v>
                </c:pt>
                <c:pt idx="18597">
                  <c:v>3162412.1890649996</c:v>
                </c:pt>
                <c:pt idx="18598">
                  <c:v>3163517.53516</c:v>
                </c:pt>
                <c:pt idx="18599">
                  <c:v>3164623.138795</c:v>
                </c:pt>
                <c:pt idx="18600">
                  <c:v>3165729.0</c:v>
                </c:pt>
                <c:pt idx="18601">
                  <c:v>3166835.118805</c:v>
                </c:pt>
                <c:pt idx="18602">
                  <c:v>3167941.49524</c:v>
                </c:pt>
                <c:pt idx="18603">
                  <c:v>3169048.129335</c:v>
                </c:pt>
                <c:pt idx="18604">
                  <c:v>3170155.02112</c:v>
                </c:pt>
                <c:pt idx="18605">
                  <c:v>3171262.170625</c:v>
                </c:pt>
                <c:pt idx="18606">
                  <c:v>3172369.57788</c:v>
                </c:pt>
                <c:pt idx="18607">
                  <c:v>3173477.242915</c:v>
                </c:pt>
                <c:pt idx="18608">
                  <c:v>3174585.16576</c:v>
                </c:pt>
                <c:pt idx="18609">
                  <c:v>3175693.346445</c:v>
                </c:pt>
                <c:pt idx="18610">
                  <c:v>3176801.7849999997</c:v>
                </c:pt>
                <c:pt idx="18611">
                  <c:v>3177910.481455</c:v>
                </c:pt>
                <c:pt idx="18612">
                  <c:v>3179019.4358400004</c:v>
                </c:pt>
                <c:pt idx="18613">
                  <c:v>3180128.6481850003</c:v>
                </c:pt>
                <c:pt idx="18614">
                  <c:v>3181238.11852</c:v>
                </c:pt>
                <c:pt idx="18615">
                  <c:v>3182347.8468750003</c:v>
                </c:pt>
                <c:pt idx="18616">
                  <c:v>3183457.83328</c:v>
                </c:pt>
                <c:pt idx="18617">
                  <c:v>3184568.077765</c:v>
                </c:pt>
                <c:pt idx="18618">
                  <c:v>3185678.58036</c:v>
                </c:pt>
                <c:pt idx="18619">
                  <c:v>3186789.341095</c:v>
                </c:pt>
                <c:pt idx="18620">
                  <c:v>3187900.3600000003</c:v>
                </c:pt>
                <c:pt idx="18621">
                  <c:v>3189011.637105</c:v>
                </c:pt>
                <c:pt idx="18622">
                  <c:v>3190123.17244</c:v>
                </c:pt>
                <c:pt idx="18623">
                  <c:v>3191234.966035</c:v>
                </c:pt>
                <c:pt idx="18624">
                  <c:v>3192347.01792</c:v>
                </c:pt>
                <c:pt idx="18625">
                  <c:v>3193459.328125</c:v>
                </c:pt>
                <c:pt idx="18626">
                  <c:v>3194571.89668</c:v>
                </c:pt>
                <c:pt idx="18627">
                  <c:v>3195684.723615</c:v>
                </c:pt>
                <c:pt idx="18628">
                  <c:v>3196797.80896</c:v>
                </c:pt>
                <c:pt idx="18629">
                  <c:v>3197911.152745</c:v>
                </c:pt>
                <c:pt idx="18630">
                  <c:v>3199024.755</c:v>
                </c:pt>
                <c:pt idx="18631">
                  <c:v>3200138.6157549997</c:v>
                </c:pt>
                <c:pt idx="18632">
                  <c:v>3201252.7350399997</c:v>
                </c:pt>
                <c:pt idx="18633">
                  <c:v>3202367.112885</c:v>
                </c:pt>
                <c:pt idx="18634">
                  <c:v>3203481.74932</c:v>
                </c:pt>
                <c:pt idx="18635">
                  <c:v>3204596.644375</c:v>
                </c:pt>
                <c:pt idx="18636">
                  <c:v>3205711.79808</c:v>
                </c:pt>
                <c:pt idx="18637">
                  <c:v>3206827.210465</c:v>
                </c:pt>
                <c:pt idx="18638">
                  <c:v>3207942.88156</c:v>
                </c:pt>
                <c:pt idx="18639">
                  <c:v>3209058.8113949997</c:v>
                </c:pt>
                <c:pt idx="18640">
                  <c:v>3210175.0</c:v>
                </c:pt>
                <c:pt idx="18641">
                  <c:v>3211291.4474049998</c:v>
                </c:pt>
                <c:pt idx="18642">
                  <c:v>3212408.15364</c:v>
                </c:pt>
                <c:pt idx="18643">
                  <c:v>3213525.118735</c:v>
                </c:pt>
                <c:pt idx="18644">
                  <c:v>3214642.34272</c:v>
                </c:pt>
                <c:pt idx="18645">
                  <c:v>3215759.825625</c:v>
                </c:pt>
                <c:pt idx="18646">
                  <c:v>3216877.56748</c:v>
                </c:pt>
                <c:pt idx="18647">
                  <c:v>3217995.5683150003</c:v>
                </c:pt>
                <c:pt idx="18648">
                  <c:v>3219113.82816</c:v>
                </c:pt>
                <c:pt idx="18649">
                  <c:v>3220232.347045</c:v>
                </c:pt>
                <c:pt idx="18650">
                  <c:v>3221351.125</c:v>
                </c:pt>
                <c:pt idx="18651">
                  <c:v>3222470.162055</c:v>
                </c:pt>
                <c:pt idx="18652">
                  <c:v>3223589.45824</c:v>
                </c:pt>
                <c:pt idx="18653">
                  <c:v>3224709.0135850003</c:v>
                </c:pt>
                <c:pt idx="18654">
                  <c:v>3225828.82812</c:v>
                </c:pt>
                <c:pt idx="18655">
                  <c:v>3226948.901875</c:v>
                </c:pt>
                <c:pt idx="18656">
                  <c:v>3228069.23488</c:v>
                </c:pt>
                <c:pt idx="18657">
                  <c:v>3229189.827165</c:v>
                </c:pt>
                <c:pt idx="18658">
                  <c:v>3230310.67876</c:v>
                </c:pt>
                <c:pt idx="18659">
                  <c:v>3231431.789695</c:v>
                </c:pt>
                <c:pt idx="18660">
                  <c:v>3232553.16</c:v>
                </c:pt>
                <c:pt idx="18661">
                  <c:v>3233674.789705</c:v>
                </c:pt>
                <c:pt idx="18662">
                  <c:v>3234796.67884</c:v>
                </c:pt>
                <c:pt idx="18663">
                  <c:v>3235918.827435</c:v>
                </c:pt>
                <c:pt idx="18664">
                  <c:v>3237041.23552</c:v>
                </c:pt>
                <c:pt idx="18665">
                  <c:v>3238163.9031249997</c:v>
                </c:pt>
                <c:pt idx="18666">
                  <c:v>3239286.83028</c:v>
                </c:pt>
                <c:pt idx="18667">
                  <c:v>3240410.017015</c:v>
                </c:pt>
                <c:pt idx="18668">
                  <c:v>3241533.46336</c:v>
                </c:pt>
                <c:pt idx="18669">
                  <c:v>3242657.169345</c:v>
                </c:pt>
                <c:pt idx="18670">
                  <c:v>3243781.1350000002</c:v>
                </c:pt>
                <c:pt idx="18671">
                  <c:v>3244905.360355</c:v>
                </c:pt>
                <c:pt idx="18672">
                  <c:v>3246029.84544</c:v>
                </c:pt>
                <c:pt idx="18673">
                  <c:v>3247154.590285</c:v>
                </c:pt>
                <c:pt idx="18674">
                  <c:v>3248279.59492</c:v>
                </c:pt>
                <c:pt idx="18675">
                  <c:v>3249404.859375</c:v>
                </c:pt>
                <c:pt idx="18676">
                  <c:v>3250530.38368</c:v>
                </c:pt>
                <c:pt idx="18677">
                  <c:v>3251656.167865</c:v>
                </c:pt>
                <c:pt idx="18678">
                  <c:v>3252782.21196</c:v>
                </c:pt>
                <c:pt idx="18679">
                  <c:v>3253908.515995</c:v>
                </c:pt>
                <c:pt idx="18680">
                  <c:v>3255035.08</c:v>
                </c:pt>
                <c:pt idx="18681">
                  <c:v>3256161.904005</c:v>
                </c:pt>
                <c:pt idx="18682">
                  <c:v>3257288.9880399997</c:v>
                </c:pt>
                <c:pt idx="18683">
                  <c:v>3258416.3321350003</c:v>
                </c:pt>
                <c:pt idx="18684">
                  <c:v>3259543.93632</c:v>
                </c:pt>
                <c:pt idx="18685">
                  <c:v>3260671.800625</c:v>
                </c:pt>
                <c:pt idx="18686">
                  <c:v>3261799.9250800004</c:v>
                </c:pt>
                <c:pt idx="18687">
                  <c:v>3262928.309715</c:v>
                </c:pt>
                <c:pt idx="18688">
                  <c:v>3264056.95456</c:v>
                </c:pt>
                <c:pt idx="18689">
                  <c:v>3265185.859645</c:v>
                </c:pt>
                <c:pt idx="18690">
                  <c:v>3266315.025</c:v>
                </c:pt>
                <c:pt idx="18691">
                  <c:v>3267444.450655</c:v>
                </c:pt>
                <c:pt idx="18692">
                  <c:v>3268574.13664</c:v>
                </c:pt>
                <c:pt idx="18693">
                  <c:v>3269704.0829849998</c:v>
                </c:pt>
                <c:pt idx="18694">
                  <c:v>3270834.2897200002</c:v>
                </c:pt>
                <c:pt idx="18695">
                  <c:v>3271964.756875</c:v>
                </c:pt>
                <c:pt idx="18696">
                  <c:v>3273095.48448</c:v>
                </c:pt>
                <c:pt idx="18697">
                  <c:v>3274226.472565</c:v>
                </c:pt>
                <c:pt idx="18698">
                  <c:v>3275357.72116</c:v>
                </c:pt>
                <c:pt idx="18699">
                  <c:v>3276489.230295</c:v>
                </c:pt>
                <c:pt idx="18700">
                  <c:v>3277621.0</c:v>
                </c:pt>
                <c:pt idx="18701">
                  <c:v>3278753.030305</c:v>
                </c:pt>
                <c:pt idx="18702">
                  <c:v>3279885.32124</c:v>
                </c:pt>
                <c:pt idx="18703">
                  <c:v>3281017.8728349996</c:v>
                </c:pt>
                <c:pt idx="18704">
                  <c:v>3282150.68512</c:v>
                </c:pt>
                <c:pt idx="18705">
                  <c:v>3283283.758125</c:v>
                </c:pt>
                <c:pt idx="18706">
                  <c:v>3284417.09188</c:v>
                </c:pt>
                <c:pt idx="18707">
                  <c:v>3285550.686415</c:v>
                </c:pt>
                <c:pt idx="18708">
                  <c:v>3286684.54176</c:v>
                </c:pt>
                <c:pt idx="18709">
                  <c:v>3287818.657945</c:v>
                </c:pt>
                <c:pt idx="18710">
                  <c:v>3288953.035</c:v>
                </c:pt>
                <c:pt idx="18711">
                  <c:v>3290087.672955</c:v>
                </c:pt>
                <c:pt idx="18712">
                  <c:v>3291222.5718400003</c:v>
                </c:pt>
                <c:pt idx="18713">
                  <c:v>3292357.731685</c:v>
                </c:pt>
                <c:pt idx="18714">
                  <c:v>3293493.15252</c:v>
                </c:pt>
                <c:pt idx="18715">
                  <c:v>3294628.834375</c:v>
                </c:pt>
                <c:pt idx="18716">
                  <c:v>3295764.77728</c:v>
                </c:pt>
                <c:pt idx="18717">
                  <c:v>3296900.981265</c:v>
                </c:pt>
                <c:pt idx="18718">
                  <c:v>3298037.44636</c:v>
                </c:pt>
                <c:pt idx="18719">
                  <c:v>3299174.1725950004</c:v>
                </c:pt>
                <c:pt idx="18720">
                  <c:v>3300311.16</c:v>
                </c:pt>
                <c:pt idx="18721">
                  <c:v>3301448.408605</c:v>
                </c:pt>
                <c:pt idx="18722">
                  <c:v>3302585.9184399997</c:v>
                </c:pt>
                <c:pt idx="18723">
                  <c:v>3303723.689535</c:v>
                </c:pt>
                <c:pt idx="18724">
                  <c:v>3304861.72192</c:v>
                </c:pt>
                <c:pt idx="18725">
                  <c:v>3306000.015625</c:v>
                </c:pt>
                <c:pt idx="18726">
                  <c:v>3307138.57068</c:v>
                </c:pt>
                <c:pt idx="18727">
                  <c:v>3308277.3871150003</c:v>
                </c:pt>
                <c:pt idx="18728">
                  <c:v>3309416.46496</c:v>
                </c:pt>
                <c:pt idx="18729">
                  <c:v>3310555.804245</c:v>
                </c:pt>
                <c:pt idx="18730">
                  <c:v>3311695.405</c:v>
                </c:pt>
                <c:pt idx="18731">
                  <c:v>3312835.267255</c:v>
                </c:pt>
                <c:pt idx="18732">
                  <c:v>3313975.39104</c:v>
                </c:pt>
                <c:pt idx="18733">
                  <c:v>3315115.776385</c:v>
                </c:pt>
                <c:pt idx="18734">
                  <c:v>3316256.42332</c:v>
                </c:pt>
                <c:pt idx="18735">
                  <c:v>3317397.3318749997</c:v>
                </c:pt>
                <c:pt idx="18736">
                  <c:v>3318538.50208</c:v>
                </c:pt>
                <c:pt idx="18737">
                  <c:v>3319679.933965</c:v>
                </c:pt>
                <c:pt idx="18738">
                  <c:v>3320821.62756</c:v>
                </c:pt>
                <c:pt idx="18739">
                  <c:v>3321963.582895</c:v>
                </c:pt>
                <c:pt idx="18740">
                  <c:v>3323105.8000000003</c:v>
                </c:pt>
                <c:pt idx="18741">
                  <c:v>3324248.278905</c:v>
                </c:pt>
                <c:pt idx="18742">
                  <c:v>3325391.01964</c:v>
                </c:pt>
                <c:pt idx="18743">
                  <c:v>3326534.022235</c:v>
                </c:pt>
                <c:pt idx="18744">
                  <c:v>3327677.28672</c:v>
                </c:pt>
                <c:pt idx="18745">
                  <c:v>3328820.8131250003</c:v>
                </c:pt>
                <c:pt idx="18746">
                  <c:v>3329964.60148</c:v>
                </c:pt>
                <c:pt idx="18747">
                  <c:v>3331108.651815</c:v>
                </c:pt>
                <c:pt idx="18748">
                  <c:v>3332252.96416</c:v>
                </c:pt>
                <c:pt idx="18749">
                  <c:v>3333397.538545</c:v>
                </c:pt>
                <c:pt idx="18750">
                  <c:v>3334542.375</c:v>
                </c:pt>
                <c:pt idx="18751">
                  <c:v>3335687.473555</c:v>
                </c:pt>
                <c:pt idx="18752">
                  <c:v>3336832.83424</c:v>
                </c:pt>
                <c:pt idx="18753">
                  <c:v>3337978.457085</c:v>
                </c:pt>
                <c:pt idx="18754">
                  <c:v>3339124.3421199997</c:v>
                </c:pt>
                <c:pt idx="18755">
                  <c:v>3340270.489375</c:v>
                </c:pt>
                <c:pt idx="18756">
                  <c:v>3341416.89888</c:v>
                </c:pt>
                <c:pt idx="18757">
                  <c:v>3342563.570665</c:v>
                </c:pt>
                <c:pt idx="18758">
                  <c:v>3343710.50476</c:v>
                </c:pt>
                <c:pt idx="18759">
                  <c:v>3344857.7011949997</c:v>
                </c:pt>
                <c:pt idx="18760">
                  <c:v>3346005.16</c:v>
                </c:pt>
                <c:pt idx="18761">
                  <c:v>3347152.881205</c:v>
                </c:pt>
                <c:pt idx="18762">
                  <c:v>3348300.86484</c:v>
                </c:pt>
                <c:pt idx="18763">
                  <c:v>3349449.110935</c:v>
                </c:pt>
                <c:pt idx="18764">
                  <c:v>3350597.61952</c:v>
                </c:pt>
                <c:pt idx="18765">
                  <c:v>3351746.390625</c:v>
                </c:pt>
                <c:pt idx="18766">
                  <c:v>3352895.42428</c:v>
                </c:pt>
                <c:pt idx="18767">
                  <c:v>3354044.7205149997</c:v>
                </c:pt>
                <c:pt idx="18768">
                  <c:v>3355194.27936</c:v>
                </c:pt>
                <c:pt idx="18769">
                  <c:v>3356344.1008450002</c:v>
                </c:pt>
                <c:pt idx="18770">
                  <c:v>3357494.185</c:v>
                </c:pt>
                <c:pt idx="18771">
                  <c:v>3358644.531855</c:v>
                </c:pt>
                <c:pt idx="18772">
                  <c:v>3359795.14144</c:v>
                </c:pt>
                <c:pt idx="18773">
                  <c:v>3360946.013785</c:v>
                </c:pt>
                <c:pt idx="18774">
                  <c:v>3362097.14892</c:v>
                </c:pt>
                <c:pt idx="18775">
                  <c:v>3363248.546875</c:v>
                </c:pt>
                <c:pt idx="18776">
                  <c:v>3364400.20768</c:v>
                </c:pt>
                <c:pt idx="18777">
                  <c:v>3365552.1313650003</c:v>
                </c:pt>
                <c:pt idx="18778">
                  <c:v>3366704.31796</c:v>
                </c:pt>
                <c:pt idx="18779">
                  <c:v>3367856.767495</c:v>
                </c:pt>
                <c:pt idx="18780">
                  <c:v>3369009.48</c:v>
                </c:pt>
                <c:pt idx="18781">
                  <c:v>3370162.455505</c:v>
                </c:pt>
                <c:pt idx="18782">
                  <c:v>3371315.6940400004</c:v>
                </c:pt>
                <c:pt idx="18783">
                  <c:v>3372469.1956350002</c:v>
                </c:pt>
                <c:pt idx="18784">
                  <c:v>3373622.96032</c:v>
                </c:pt>
                <c:pt idx="18785">
                  <c:v>3374776.988125</c:v>
                </c:pt>
                <c:pt idx="18786">
                  <c:v>3375931.2790800002</c:v>
                </c:pt>
                <c:pt idx="18787">
                  <c:v>3377085.833215</c:v>
                </c:pt>
                <c:pt idx="18788">
                  <c:v>3378240.6505600004</c:v>
                </c:pt>
                <c:pt idx="18789">
                  <c:v>3379395.731145</c:v>
                </c:pt>
                <c:pt idx="18790">
                  <c:v>3380551.0749999997</c:v>
                </c:pt>
                <c:pt idx="18791">
                  <c:v>3381706.682155</c:v>
                </c:pt>
                <c:pt idx="18792">
                  <c:v>3382862.5526400004</c:v>
                </c:pt>
                <c:pt idx="18793">
                  <c:v>3384018.6864850004</c:v>
                </c:pt>
                <c:pt idx="18794">
                  <c:v>3385175.08372</c:v>
                </c:pt>
                <c:pt idx="18795">
                  <c:v>3386331.7443750002</c:v>
                </c:pt>
                <c:pt idx="18796">
                  <c:v>3387488.66848</c:v>
                </c:pt>
                <c:pt idx="18797">
                  <c:v>3388645.856065</c:v>
                </c:pt>
                <c:pt idx="18798">
                  <c:v>3389803.30716</c:v>
                </c:pt>
                <c:pt idx="18799">
                  <c:v>3390961.021795</c:v>
                </c:pt>
                <c:pt idx="18800">
                  <c:v>3392119.0</c:v>
                </c:pt>
                <c:pt idx="18801">
                  <c:v>3393277.241805</c:v>
                </c:pt>
                <c:pt idx="18802">
                  <c:v>3394435.74724</c:v>
                </c:pt>
                <c:pt idx="18803">
                  <c:v>3395594.516335</c:v>
                </c:pt>
                <c:pt idx="18804">
                  <c:v>3396753.54912</c:v>
                </c:pt>
                <c:pt idx="18805">
                  <c:v>3397912.845625</c:v>
                </c:pt>
                <c:pt idx="18806">
                  <c:v>3399072.4058800004</c:v>
                </c:pt>
                <c:pt idx="18807">
                  <c:v>3400232.229915</c:v>
                </c:pt>
                <c:pt idx="18808">
                  <c:v>3401392.31776</c:v>
                </c:pt>
                <c:pt idx="18809">
                  <c:v>3402552.669445</c:v>
                </c:pt>
                <c:pt idx="18810">
                  <c:v>3403713.285</c:v>
                </c:pt>
                <c:pt idx="18811">
                  <c:v>3404874.164455</c:v>
                </c:pt>
                <c:pt idx="18812">
                  <c:v>3406035.3078400004</c:v>
                </c:pt>
                <c:pt idx="18813">
                  <c:v>3407196.715185</c:v>
                </c:pt>
                <c:pt idx="18814">
                  <c:v>3408358.3865199997</c:v>
                </c:pt>
                <c:pt idx="18815">
                  <c:v>3409520.321875</c:v>
                </c:pt>
                <c:pt idx="18816">
                  <c:v>3410682.52128</c:v>
                </c:pt>
                <c:pt idx="18817">
                  <c:v>3411844.984765</c:v>
                </c:pt>
                <c:pt idx="18818">
                  <c:v>3413007.71236</c:v>
                </c:pt>
                <c:pt idx="18819">
                  <c:v>3414170.704095</c:v>
                </c:pt>
                <c:pt idx="18820">
                  <c:v>3415333.96</c:v>
                </c:pt>
                <c:pt idx="18821">
                  <c:v>3416497.480105</c:v>
                </c:pt>
                <c:pt idx="18822">
                  <c:v>3417661.2644399996</c:v>
                </c:pt>
                <c:pt idx="18823">
                  <c:v>3418825.313035</c:v>
                </c:pt>
                <c:pt idx="18824">
                  <c:v>3419989.62592</c:v>
                </c:pt>
                <c:pt idx="18825">
                  <c:v>3421154.203125</c:v>
                </c:pt>
                <c:pt idx="18826">
                  <c:v>3422319.04468</c:v>
                </c:pt>
                <c:pt idx="18827">
                  <c:v>3423484.150615</c:v>
                </c:pt>
                <c:pt idx="18828">
                  <c:v>3424649.5209600003</c:v>
                </c:pt>
                <c:pt idx="18829">
                  <c:v>3425815.155745</c:v>
                </c:pt>
                <c:pt idx="18830">
                  <c:v>3426981.055</c:v>
                </c:pt>
                <c:pt idx="18831">
                  <c:v>3428147.218755</c:v>
                </c:pt>
                <c:pt idx="18832">
                  <c:v>3429313.6470399997</c:v>
                </c:pt>
                <c:pt idx="18833">
                  <c:v>3430480.339885</c:v>
                </c:pt>
                <c:pt idx="18834">
                  <c:v>3431647.29732</c:v>
                </c:pt>
                <c:pt idx="18835">
                  <c:v>3432814.519375</c:v>
                </c:pt>
                <c:pt idx="18836">
                  <c:v>3433982.0060799997</c:v>
                </c:pt>
                <c:pt idx="18837">
                  <c:v>3435149.757465</c:v>
                </c:pt>
                <c:pt idx="18838">
                  <c:v>3436317.77356</c:v>
                </c:pt>
                <c:pt idx="18839">
                  <c:v>3437486.054395</c:v>
                </c:pt>
                <c:pt idx="18840">
                  <c:v>3438654.6</c:v>
                </c:pt>
                <c:pt idx="18841">
                  <c:v>3439823.410405</c:v>
                </c:pt>
                <c:pt idx="18842">
                  <c:v>3440992.48564</c:v>
                </c:pt>
                <c:pt idx="18843">
                  <c:v>3442161.825735</c:v>
                </c:pt>
                <c:pt idx="18844">
                  <c:v>3443331.43072</c:v>
                </c:pt>
                <c:pt idx="18845">
                  <c:v>3444501.300625</c:v>
                </c:pt>
                <c:pt idx="18846">
                  <c:v>3445671.43548</c:v>
                </c:pt>
                <c:pt idx="18847">
                  <c:v>3446841.835315</c:v>
                </c:pt>
                <c:pt idx="18848">
                  <c:v>3448012.50016</c:v>
                </c:pt>
                <c:pt idx="18849">
                  <c:v>3449183.4300450003</c:v>
                </c:pt>
                <c:pt idx="18850">
                  <c:v>3450354.625</c:v>
                </c:pt>
                <c:pt idx="18851">
                  <c:v>3451526.085055</c:v>
                </c:pt>
                <c:pt idx="18852">
                  <c:v>3452697.81024</c:v>
                </c:pt>
                <c:pt idx="18853">
                  <c:v>3453869.800585</c:v>
                </c:pt>
                <c:pt idx="18854">
                  <c:v>3455042.05612</c:v>
                </c:pt>
                <c:pt idx="18855">
                  <c:v>3456214.576875</c:v>
                </c:pt>
                <c:pt idx="18856">
                  <c:v>3457387.36288</c:v>
                </c:pt>
                <c:pt idx="18857">
                  <c:v>3458560.414165</c:v>
                </c:pt>
                <c:pt idx="18858">
                  <c:v>3459733.7307599997</c:v>
                </c:pt>
                <c:pt idx="18859">
                  <c:v>3460907.3126950003</c:v>
                </c:pt>
                <c:pt idx="18860">
                  <c:v>3462081.1599999997</c:v>
                </c:pt>
                <c:pt idx="18861">
                  <c:v>3463255.2727050004</c:v>
                </c:pt>
                <c:pt idx="18862">
                  <c:v>3464429.65084</c:v>
                </c:pt>
                <c:pt idx="18863">
                  <c:v>3465604.294435</c:v>
                </c:pt>
                <c:pt idx="18864">
                  <c:v>3466779.20352</c:v>
                </c:pt>
                <c:pt idx="18865">
                  <c:v>3467954.3781250003</c:v>
                </c:pt>
                <c:pt idx="18866">
                  <c:v>3469129.81828</c:v>
                </c:pt>
                <c:pt idx="18867">
                  <c:v>3470305.524015</c:v>
                </c:pt>
                <c:pt idx="18868">
                  <c:v>3471481.49536</c:v>
                </c:pt>
                <c:pt idx="18869">
                  <c:v>3472657.732345</c:v>
                </c:pt>
                <c:pt idx="18870">
                  <c:v>3473834.2350000003</c:v>
                </c:pt>
                <c:pt idx="18871">
                  <c:v>3475011.0033549997</c:v>
                </c:pt>
                <c:pt idx="18872">
                  <c:v>3476188.03744</c:v>
                </c:pt>
                <c:pt idx="18873">
                  <c:v>3477365.337285</c:v>
                </c:pt>
                <c:pt idx="18874">
                  <c:v>3478542.90292</c:v>
                </c:pt>
                <c:pt idx="18875">
                  <c:v>3479720.734375</c:v>
                </c:pt>
                <c:pt idx="18876">
                  <c:v>3480898.83168</c:v>
                </c:pt>
                <c:pt idx="18877">
                  <c:v>3482077.1948650004</c:v>
                </c:pt>
                <c:pt idx="18878">
                  <c:v>3483255.82396</c:v>
                </c:pt>
                <c:pt idx="18879">
                  <c:v>3484434.7189950002</c:v>
                </c:pt>
                <c:pt idx="18880">
                  <c:v>3485613.88</c:v>
                </c:pt>
                <c:pt idx="18881">
                  <c:v>3486793.307005</c:v>
                </c:pt>
                <c:pt idx="18882">
                  <c:v>3487973.00004</c:v>
                </c:pt>
                <c:pt idx="18883">
                  <c:v>3489152.9591349997</c:v>
                </c:pt>
                <c:pt idx="18884">
                  <c:v>3490333.18432</c:v>
                </c:pt>
                <c:pt idx="18885">
                  <c:v>3491513.675625</c:v>
                </c:pt>
                <c:pt idx="18886">
                  <c:v>3492694.43308</c:v>
                </c:pt>
                <c:pt idx="18887">
                  <c:v>3493875.456715</c:v>
                </c:pt>
                <c:pt idx="18888">
                  <c:v>3495056.74656</c:v>
                </c:pt>
                <c:pt idx="18889">
                  <c:v>3496238.3026449997</c:v>
                </c:pt>
                <c:pt idx="18890">
                  <c:v>3497420.125</c:v>
                </c:pt>
                <c:pt idx="18891">
                  <c:v>3498602.213655</c:v>
                </c:pt>
                <c:pt idx="18892">
                  <c:v>3499784.5686399997</c:v>
                </c:pt>
                <c:pt idx="18893">
                  <c:v>3500967.189985</c:v>
                </c:pt>
                <c:pt idx="18894">
                  <c:v>3502150.07772</c:v>
                </c:pt>
                <c:pt idx="18895">
                  <c:v>3503333.231875</c:v>
                </c:pt>
                <c:pt idx="18896">
                  <c:v>3504516.6524799997</c:v>
                </c:pt>
                <c:pt idx="18897">
                  <c:v>3505700.339565</c:v>
                </c:pt>
                <c:pt idx="18898">
                  <c:v>3506884.29316</c:v>
                </c:pt>
                <c:pt idx="18899">
                  <c:v>3508068.513295</c:v>
                </c:pt>
                <c:pt idx="18900">
                  <c:v>3509253.0</c:v>
                </c:pt>
                <c:pt idx="18901">
                  <c:v>3510437.7533050003</c:v>
                </c:pt>
                <c:pt idx="18902">
                  <c:v>3511622.77324</c:v>
                </c:pt>
                <c:pt idx="18903">
                  <c:v>3512808.059835</c:v>
                </c:pt>
                <c:pt idx="18904">
                  <c:v>3513993.61312</c:v>
                </c:pt>
                <c:pt idx="18905">
                  <c:v>3515179.433125</c:v>
                </c:pt>
                <c:pt idx="18906">
                  <c:v>3516365.51988</c:v>
                </c:pt>
                <c:pt idx="18907">
                  <c:v>3517551.873415</c:v>
                </c:pt>
                <c:pt idx="18908">
                  <c:v>3518738.49376</c:v>
                </c:pt>
                <c:pt idx="18909">
                  <c:v>3519925.380945</c:v>
                </c:pt>
                <c:pt idx="18910">
                  <c:v>3521112.535</c:v>
                </c:pt>
                <c:pt idx="18911">
                  <c:v>3522299.955955</c:v>
                </c:pt>
                <c:pt idx="18912">
                  <c:v>3523487.64384</c:v>
                </c:pt>
                <c:pt idx="18913">
                  <c:v>3524675.598685</c:v>
                </c:pt>
                <c:pt idx="18914">
                  <c:v>3525863.82052</c:v>
                </c:pt>
                <c:pt idx="18915">
                  <c:v>3527052.3093749997</c:v>
                </c:pt>
                <c:pt idx="18916">
                  <c:v>3528241.06528</c:v>
                </c:pt>
                <c:pt idx="18917">
                  <c:v>3529430.088265</c:v>
                </c:pt>
                <c:pt idx="18918">
                  <c:v>3530619.37836</c:v>
                </c:pt>
                <c:pt idx="18919">
                  <c:v>3531808.935595</c:v>
                </c:pt>
                <c:pt idx="18920">
                  <c:v>3532998.7600000002</c:v>
                </c:pt>
                <c:pt idx="18921">
                  <c:v>3534188.8516050004</c:v>
                </c:pt>
                <c:pt idx="18922">
                  <c:v>3535379.21044</c:v>
                </c:pt>
                <c:pt idx="18923">
                  <c:v>3536569.836535</c:v>
                </c:pt>
                <c:pt idx="18924">
                  <c:v>3537760.72992</c:v>
                </c:pt>
                <c:pt idx="18925">
                  <c:v>3538951.890625</c:v>
                </c:pt>
                <c:pt idx="18926">
                  <c:v>3540143.31868</c:v>
                </c:pt>
                <c:pt idx="18927">
                  <c:v>3541335.0141149997</c:v>
                </c:pt>
                <c:pt idx="18928">
                  <c:v>3542526.9769599997</c:v>
                </c:pt>
                <c:pt idx="18929">
                  <c:v>3543719.207245</c:v>
                </c:pt>
                <c:pt idx="18930">
                  <c:v>3544911.705</c:v>
                </c:pt>
                <c:pt idx="18931">
                  <c:v>3546104.470255</c:v>
                </c:pt>
                <c:pt idx="18932">
                  <c:v>3547297.5030400003</c:v>
                </c:pt>
                <c:pt idx="18933">
                  <c:v>3548490.803385</c:v>
                </c:pt>
                <c:pt idx="18934">
                  <c:v>3549684.3713200004</c:v>
                </c:pt>
                <c:pt idx="18935">
                  <c:v>3550878.206875</c:v>
                </c:pt>
                <c:pt idx="18936">
                  <c:v>3552072.3100799997</c:v>
                </c:pt>
                <c:pt idx="18937">
                  <c:v>3553266.680965</c:v>
                </c:pt>
                <c:pt idx="18938">
                  <c:v>3554461.31956</c:v>
                </c:pt>
                <c:pt idx="18939">
                  <c:v>3555656.225895</c:v>
                </c:pt>
                <c:pt idx="18940">
                  <c:v>3556851.4</c:v>
                </c:pt>
                <c:pt idx="18941">
                  <c:v>3558046.8419049997</c:v>
                </c:pt>
                <c:pt idx="18942">
                  <c:v>3559242.55164</c:v>
                </c:pt>
                <c:pt idx="18943">
                  <c:v>3560438.529235</c:v>
                </c:pt>
                <c:pt idx="18944">
                  <c:v>3561634.77472</c:v>
                </c:pt>
                <c:pt idx="18945">
                  <c:v>3562831.288125</c:v>
                </c:pt>
                <c:pt idx="18946">
                  <c:v>3564028.06948</c:v>
                </c:pt>
                <c:pt idx="18947">
                  <c:v>3565225.1188149997</c:v>
                </c:pt>
                <c:pt idx="18948">
                  <c:v>3566422.43616</c:v>
                </c:pt>
                <c:pt idx="18949">
                  <c:v>3567620.021545</c:v>
                </c:pt>
                <c:pt idx="18950">
                  <c:v>3568817.875</c:v>
                </c:pt>
                <c:pt idx="18951">
                  <c:v>3570015.9965549996</c:v>
                </c:pt>
                <c:pt idx="18952">
                  <c:v>3571214.38624</c:v>
                </c:pt>
                <c:pt idx="18953">
                  <c:v>3572413.044085</c:v>
                </c:pt>
                <c:pt idx="18954">
                  <c:v>3573611.97012</c:v>
                </c:pt>
                <c:pt idx="18955">
                  <c:v>3574811.164375</c:v>
                </c:pt>
                <c:pt idx="18956">
                  <c:v>3576010.62688</c:v>
                </c:pt>
                <c:pt idx="18957">
                  <c:v>3577210.357665</c:v>
                </c:pt>
                <c:pt idx="18958">
                  <c:v>3578410.35676</c:v>
                </c:pt>
                <c:pt idx="18959">
                  <c:v>3579610.624195</c:v>
                </c:pt>
                <c:pt idx="18960">
                  <c:v>3580811.16</c:v>
                </c:pt>
                <c:pt idx="18961">
                  <c:v>3582011.964205</c:v>
                </c:pt>
                <c:pt idx="18962">
                  <c:v>3583213.0368399997</c:v>
                </c:pt>
                <c:pt idx="18963">
                  <c:v>3584414.3779349998</c:v>
                </c:pt>
                <c:pt idx="18964">
                  <c:v>3585615.98752</c:v>
                </c:pt>
                <c:pt idx="18965">
                  <c:v>3586817.865625</c:v>
                </c:pt>
                <c:pt idx="18966">
                  <c:v>3588020.01228</c:v>
                </c:pt>
                <c:pt idx="18967">
                  <c:v>3589222.427515</c:v>
                </c:pt>
                <c:pt idx="18968">
                  <c:v>3590425.11136</c:v>
                </c:pt>
                <c:pt idx="18969">
                  <c:v>3591628.063845</c:v>
                </c:pt>
                <c:pt idx="18970">
                  <c:v>3592831.285</c:v>
                </c:pt>
                <c:pt idx="18971">
                  <c:v>3594034.774855</c:v>
                </c:pt>
                <c:pt idx="18972">
                  <c:v>3595238.53344</c:v>
                </c:pt>
                <c:pt idx="18973">
                  <c:v>3596442.5607849997</c:v>
                </c:pt>
                <c:pt idx="18974">
                  <c:v>3597646.8569199997</c:v>
                </c:pt>
                <c:pt idx="18975">
                  <c:v>3598851.421875</c:v>
                </c:pt>
                <c:pt idx="18976">
                  <c:v>3600056.25568</c:v>
                </c:pt>
                <c:pt idx="18977">
                  <c:v>3601261.3583649998</c:v>
                </c:pt>
                <c:pt idx="18978">
                  <c:v>3602466.7299599997</c:v>
                </c:pt>
                <c:pt idx="18979">
                  <c:v>3603672.3704950004</c:v>
                </c:pt>
                <c:pt idx="18980">
                  <c:v>3604878.28</c:v>
                </c:pt>
                <c:pt idx="18981">
                  <c:v>3606084.458505</c:v>
                </c:pt>
                <c:pt idx="18982">
                  <c:v>3607290.90604</c:v>
                </c:pt>
                <c:pt idx="18983">
                  <c:v>3608497.6226350004</c:v>
                </c:pt>
                <c:pt idx="18984">
                  <c:v>3609704.6083199997</c:v>
                </c:pt>
                <c:pt idx="18985">
                  <c:v>3610911.8631249997</c:v>
                </c:pt>
                <c:pt idx="18986">
                  <c:v>3612119.3870800002</c:v>
                </c:pt>
                <c:pt idx="18987">
                  <c:v>3613327.180215</c:v>
                </c:pt>
                <c:pt idx="18988">
                  <c:v>3614535.2425599997</c:v>
                </c:pt>
                <c:pt idx="18989">
                  <c:v>3615743.574145</c:v>
                </c:pt>
                <c:pt idx="18990">
                  <c:v>3616952.1750000003</c:v>
                </c:pt>
                <c:pt idx="18991">
                  <c:v>3618161.0451550004</c:v>
                </c:pt>
                <c:pt idx="18992">
                  <c:v>3619370.18464</c:v>
                </c:pt>
                <c:pt idx="18993">
                  <c:v>3620579.593485</c:v>
                </c:pt>
                <c:pt idx="18994">
                  <c:v>3621789.27172</c:v>
                </c:pt>
                <c:pt idx="18995">
                  <c:v>3622999.2193750003</c:v>
                </c:pt>
                <c:pt idx="18996">
                  <c:v>3624209.43648</c:v>
                </c:pt>
                <c:pt idx="18997">
                  <c:v>3625419.9230649997</c:v>
                </c:pt>
                <c:pt idx="18998">
                  <c:v>3626630.67916</c:v>
                </c:pt>
                <c:pt idx="18999">
                  <c:v>3627841.704795</c:v>
                </c:pt>
                <c:pt idx="19000">
                  <c:v>3629053.0</c:v>
                </c:pt>
                <c:pt idx="19001">
                  <c:v>3630264.5648049996</c:v>
                </c:pt>
                <c:pt idx="19002">
                  <c:v>3631476.3992399997</c:v>
                </c:pt>
                <c:pt idx="19003">
                  <c:v>3632688.503335</c:v>
                </c:pt>
                <c:pt idx="19004">
                  <c:v>3633900.8771200003</c:v>
                </c:pt>
                <c:pt idx="19005">
                  <c:v>3635113.520625</c:v>
                </c:pt>
                <c:pt idx="19006">
                  <c:v>3636326.4338800004</c:v>
                </c:pt>
                <c:pt idx="19007">
                  <c:v>3637539.616915</c:v>
                </c:pt>
                <c:pt idx="19008">
                  <c:v>3638753.06976</c:v>
                </c:pt>
                <c:pt idx="19009">
                  <c:v>3639966.7924450003</c:v>
                </c:pt>
                <c:pt idx="19010">
                  <c:v>3641180.785</c:v>
                </c:pt>
                <c:pt idx="19011">
                  <c:v>3642395.0474549998</c:v>
                </c:pt>
                <c:pt idx="19012">
                  <c:v>3643609.5798400003</c:v>
                </c:pt>
                <c:pt idx="19013">
                  <c:v>3644824.382185</c:v>
                </c:pt>
                <c:pt idx="19014">
                  <c:v>3646039.45452</c:v>
                </c:pt>
                <c:pt idx="19015">
                  <c:v>3647254.796875</c:v>
                </c:pt>
                <c:pt idx="19016">
                  <c:v>3648470.40928</c:v>
                </c:pt>
                <c:pt idx="19017">
                  <c:v>3649686.2917649997</c:v>
                </c:pt>
                <c:pt idx="19018">
                  <c:v>3650902.4443599996</c:v>
                </c:pt>
                <c:pt idx="19019">
                  <c:v>3652118.867095</c:v>
                </c:pt>
                <c:pt idx="19020">
                  <c:v>3653335.56</c:v>
                </c:pt>
                <c:pt idx="19021">
                  <c:v>3654552.523105</c:v>
                </c:pt>
                <c:pt idx="19022">
                  <c:v>3655769.75644</c:v>
                </c:pt>
                <c:pt idx="19023">
                  <c:v>3656987.2600350003</c:v>
                </c:pt>
                <c:pt idx="19024">
                  <c:v>3658205.0339200003</c:v>
                </c:pt>
                <c:pt idx="19025">
                  <c:v>3659423.078125</c:v>
                </c:pt>
                <c:pt idx="19026">
                  <c:v>3660641.39268</c:v>
                </c:pt>
                <c:pt idx="19027">
                  <c:v>3661859.9776149997</c:v>
                </c:pt>
                <c:pt idx="19028">
                  <c:v>3663078.83296</c:v>
                </c:pt>
                <c:pt idx="19029">
                  <c:v>3664297.958745</c:v>
                </c:pt>
                <c:pt idx="19030">
                  <c:v>3665517.355</c:v>
                </c:pt>
                <c:pt idx="19031">
                  <c:v>3666737.0217549996</c:v>
                </c:pt>
                <c:pt idx="19032">
                  <c:v>3667956.95904</c:v>
                </c:pt>
                <c:pt idx="19033">
                  <c:v>3669177.1668849997</c:v>
                </c:pt>
                <c:pt idx="19034">
                  <c:v>3670397.64532</c:v>
                </c:pt>
                <c:pt idx="19035">
                  <c:v>3671618.394375</c:v>
                </c:pt>
                <c:pt idx="19036">
                  <c:v>3672839.4140799996</c:v>
                </c:pt>
                <c:pt idx="19037">
                  <c:v>3674060.704465</c:v>
                </c:pt>
                <c:pt idx="19038">
                  <c:v>3675282.26556</c:v>
                </c:pt>
                <c:pt idx="19039">
                  <c:v>3676504.097395</c:v>
                </c:pt>
                <c:pt idx="19040">
                  <c:v>3677726.1999999997</c:v>
                </c:pt>
                <c:pt idx="19041">
                  <c:v>3678948.573405</c:v>
                </c:pt>
                <c:pt idx="19042">
                  <c:v>3680171.21764</c:v>
                </c:pt>
                <c:pt idx="19043">
                  <c:v>3681394.132735</c:v>
                </c:pt>
                <c:pt idx="19044">
                  <c:v>3682617.31872</c:v>
                </c:pt>
                <c:pt idx="19045">
                  <c:v>3683840.7756250002</c:v>
                </c:pt>
                <c:pt idx="19046">
                  <c:v>3685064.50348</c:v>
                </c:pt>
                <c:pt idx="19047">
                  <c:v>3686288.502315</c:v>
                </c:pt>
                <c:pt idx="19048">
                  <c:v>3687512.77216</c:v>
                </c:pt>
                <c:pt idx="19049">
                  <c:v>3688737.313045</c:v>
                </c:pt>
                <c:pt idx="19050">
                  <c:v>3689962.125</c:v>
                </c:pt>
                <c:pt idx="19051">
                  <c:v>3691187.208055</c:v>
                </c:pt>
                <c:pt idx="19052">
                  <c:v>3692412.56224</c:v>
                </c:pt>
                <c:pt idx="19053">
                  <c:v>3693638.1875850004</c:v>
                </c:pt>
                <c:pt idx="19054">
                  <c:v>3694864.08412</c:v>
                </c:pt>
                <c:pt idx="19055">
                  <c:v>3696090.251875</c:v>
                </c:pt>
                <c:pt idx="19056">
                  <c:v>3697316.6908799997</c:v>
                </c:pt>
                <c:pt idx="19057">
                  <c:v>3698543.401165</c:v>
                </c:pt>
                <c:pt idx="19058">
                  <c:v>3699770.38276</c:v>
                </c:pt>
                <c:pt idx="19059">
                  <c:v>3700997.6356949997</c:v>
                </c:pt>
                <c:pt idx="19060">
                  <c:v>3702225.16</c:v>
                </c:pt>
                <c:pt idx="19061">
                  <c:v>3703452.955705</c:v>
                </c:pt>
                <c:pt idx="19062">
                  <c:v>3704681.0228399998</c:v>
                </c:pt>
                <c:pt idx="19063">
                  <c:v>3705909.361435</c:v>
                </c:pt>
                <c:pt idx="19064">
                  <c:v>3707137.97152</c:v>
                </c:pt>
                <c:pt idx="19065">
                  <c:v>3708366.853125</c:v>
                </c:pt>
                <c:pt idx="19066">
                  <c:v>3709596.0062800003</c:v>
                </c:pt>
                <c:pt idx="19067">
                  <c:v>3710825.4310149997</c:v>
                </c:pt>
                <c:pt idx="19068">
                  <c:v>3712055.1273600003</c:v>
                </c:pt>
                <c:pt idx="19069">
                  <c:v>3713285.095345</c:v>
                </c:pt>
                <c:pt idx="19070">
                  <c:v>3714515.335</c:v>
                </c:pt>
                <c:pt idx="19071">
                  <c:v>3715745.846355</c:v>
                </c:pt>
                <c:pt idx="19072">
                  <c:v>3716976.62944</c:v>
                </c:pt>
                <c:pt idx="19073">
                  <c:v>3718207.684285</c:v>
                </c:pt>
                <c:pt idx="19074">
                  <c:v>3719439.0109200003</c:v>
                </c:pt>
                <c:pt idx="19075">
                  <c:v>3720670.609375</c:v>
                </c:pt>
                <c:pt idx="19076">
                  <c:v>3721902.47968</c:v>
                </c:pt>
                <c:pt idx="19077">
                  <c:v>3723134.621865</c:v>
                </c:pt>
                <c:pt idx="19078">
                  <c:v>3724367.03596</c:v>
                </c:pt>
                <c:pt idx="19079">
                  <c:v>3725599.721995</c:v>
                </c:pt>
                <c:pt idx="19080">
                  <c:v>3726832.68</c:v>
                </c:pt>
                <c:pt idx="19081">
                  <c:v>3728065.910005</c:v>
                </c:pt>
                <c:pt idx="19082">
                  <c:v>3729299.41204</c:v>
                </c:pt>
                <c:pt idx="19083">
                  <c:v>3730533.186135</c:v>
                </c:pt>
                <c:pt idx="19084">
                  <c:v>3731767.2323200004</c:v>
                </c:pt>
                <c:pt idx="19085">
                  <c:v>3733001.550625</c:v>
                </c:pt>
                <c:pt idx="19086">
                  <c:v>3734236.14108</c:v>
                </c:pt>
                <c:pt idx="19087">
                  <c:v>3735471.003715</c:v>
                </c:pt>
                <c:pt idx="19088">
                  <c:v>3736706.13856</c:v>
                </c:pt>
                <c:pt idx="19089">
                  <c:v>3737941.545645</c:v>
                </c:pt>
                <c:pt idx="19090">
                  <c:v>3739177.225</c:v>
                </c:pt>
                <c:pt idx="19091">
                  <c:v>3740413.1766549996</c:v>
                </c:pt>
                <c:pt idx="19092">
                  <c:v>3741649.40064</c:v>
                </c:pt>
                <c:pt idx="19093">
                  <c:v>3742885.896985</c:v>
                </c:pt>
                <c:pt idx="19094">
                  <c:v>3744122.66572</c:v>
                </c:pt>
                <c:pt idx="19095">
                  <c:v>3745359.706875</c:v>
                </c:pt>
                <c:pt idx="19096">
                  <c:v>3746597.02048</c:v>
                </c:pt>
                <c:pt idx="19097">
                  <c:v>3747834.606565</c:v>
                </c:pt>
                <c:pt idx="19098">
                  <c:v>3749072.46516</c:v>
                </c:pt>
                <c:pt idx="19099">
                  <c:v>3750310.596295</c:v>
                </c:pt>
                <c:pt idx="19100">
                  <c:v>3751549.0</c:v>
                </c:pt>
                <c:pt idx="19101">
                  <c:v>3752787.6763049997</c:v>
                </c:pt>
                <c:pt idx="19102">
                  <c:v>3754026.62524</c:v>
                </c:pt>
                <c:pt idx="19103">
                  <c:v>3755265.846835</c:v>
                </c:pt>
                <c:pt idx="19104">
                  <c:v>3756505.34112</c:v>
                </c:pt>
                <c:pt idx="19105">
                  <c:v>3757745.108125</c:v>
                </c:pt>
                <c:pt idx="19106">
                  <c:v>3758985.14788</c:v>
                </c:pt>
                <c:pt idx="19107">
                  <c:v>3760225.460415</c:v>
                </c:pt>
                <c:pt idx="19108">
                  <c:v>3761466.04576</c:v>
                </c:pt>
                <c:pt idx="19109">
                  <c:v>3762706.903945</c:v>
                </c:pt>
                <c:pt idx="19110">
                  <c:v>3763948.0349999997</c:v>
                </c:pt>
                <c:pt idx="19111">
                  <c:v>3765189.4389549997</c:v>
                </c:pt>
                <c:pt idx="19112">
                  <c:v>3766431.11584</c:v>
                </c:pt>
                <c:pt idx="19113">
                  <c:v>3767673.0656850003</c:v>
                </c:pt>
                <c:pt idx="19114">
                  <c:v>3768915.28852</c:v>
                </c:pt>
                <c:pt idx="19115">
                  <c:v>3770157.7843750003</c:v>
                </c:pt>
                <c:pt idx="19116">
                  <c:v>3771400.55328</c:v>
                </c:pt>
                <c:pt idx="19117">
                  <c:v>3772643.595265</c:v>
                </c:pt>
                <c:pt idx="19118">
                  <c:v>3773886.91036</c:v>
                </c:pt>
                <c:pt idx="19119">
                  <c:v>3775130.4985950002</c:v>
                </c:pt>
                <c:pt idx="19120">
                  <c:v>3776374.3600000003</c:v>
                </c:pt>
                <c:pt idx="19121">
                  <c:v>3777618.494605</c:v>
                </c:pt>
                <c:pt idx="19122">
                  <c:v>3778862.90244</c:v>
                </c:pt>
                <c:pt idx="19123">
                  <c:v>3780107.583535</c:v>
                </c:pt>
                <c:pt idx="19124">
                  <c:v>3781352.53792</c:v>
                </c:pt>
                <c:pt idx="19125">
                  <c:v>3782597.765625</c:v>
                </c:pt>
                <c:pt idx="19126">
                  <c:v>3783843.26668</c:v>
                </c:pt>
                <c:pt idx="19127">
                  <c:v>3785089.041115</c:v>
                </c:pt>
                <c:pt idx="19128">
                  <c:v>3786335.08896</c:v>
                </c:pt>
                <c:pt idx="19129">
                  <c:v>3787581.410245</c:v>
                </c:pt>
                <c:pt idx="19130">
                  <c:v>3788828.005</c:v>
                </c:pt>
                <c:pt idx="19131">
                  <c:v>3790074.873255</c:v>
                </c:pt>
                <c:pt idx="19132">
                  <c:v>3791322.01504</c:v>
                </c:pt>
                <c:pt idx="19133">
                  <c:v>3792569.430385</c:v>
                </c:pt>
                <c:pt idx="19134">
                  <c:v>3793817.11932</c:v>
                </c:pt>
                <c:pt idx="19135">
                  <c:v>3795065.081875</c:v>
                </c:pt>
                <c:pt idx="19136">
                  <c:v>3796313.31808</c:v>
                </c:pt>
                <c:pt idx="19137">
                  <c:v>3797561.8279649997</c:v>
                </c:pt>
                <c:pt idx="19138">
                  <c:v>3798810.61156</c:v>
                </c:pt>
                <c:pt idx="19139">
                  <c:v>3800059.668895</c:v>
                </c:pt>
                <c:pt idx="19140">
                  <c:v>3801309.0</c:v>
                </c:pt>
                <c:pt idx="19141">
                  <c:v>3802558.604905</c:v>
                </c:pt>
                <c:pt idx="19142">
                  <c:v>3803808.48364</c:v>
                </c:pt>
                <c:pt idx="19143">
                  <c:v>3805058.636235</c:v>
                </c:pt>
                <c:pt idx="19144">
                  <c:v>3806309.0627200003</c:v>
                </c:pt>
                <c:pt idx="19145">
                  <c:v>3807559.763125</c:v>
                </c:pt>
                <c:pt idx="19146">
                  <c:v>3808810.7374799997</c:v>
                </c:pt>
                <c:pt idx="19147">
                  <c:v>3810061.9858150003</c:v>
                </c:pt>
                <c:pt idx="19148">
                  <c:v>3811313.50816</c:v>
                </c:pt>
                <c:pt idx="19149">
                  <c:v>3812565.3045449997</c:v>
                </c:pt>
                <c:pt idx="19150">
                  <c:v>3813817.375</c:v>
                </c:pt>
                <c:pt idx="19151">
                  <c:v>3815069.719555</c:v>
                </c:pt>
                <c:pt idx="19152">
                  <c:v>3816322.33824</c:v>
                </c:pt>
                <c:pt idx="19153">
                  <c:v>3817575.2310849996</c:v>
                </c:pt>
                <c:pt idx="19154">
                  <c:v>3818828.39812</c:v>
                </c:pt>
                <c:pt idx="19155">
                  <c:v>3820081.839375</c:v>
                </c:pt>
                <c:pt idx="19156">
                  <c:v>3821335.55488</c:v>
                </c:pt>
                <c:pt idx="19157">
                  <c:v>3822589.544665</c:v>
                </c:pt>
                <c:pt idx="19158">
                  <c:v>3823843.80876</c:v>
                </c:pt>
                <c:pt idx="19159">
                  <c:v>3825098.3471950004</c:v>
                </c:pt>
                <c:pt idx="19160">
                  <c:v>3826353.16</c:v>
                </c:pt>
                <c:pt idx="19161">
                  <c:v>3827608.247205</c:v>
                </c:pt>
                <c:pt idx="19162">
                  <c:v>3828863.60884</c:v>
                </c:pt>
                <c:pt idx="19163">
                  <c:v>3830119.244935</c:v>
                </c:pt>
                <c:pt idx="19164">
                  <c:v>3831375.15552</c:v>
                </c:pt>
                <c:pt idx="19165">
                  <c:v>3832631.3406249997</c:v>
                </c:pt>
                <c:pt idx="19166">
                  <c:v>3833887.8002799996</c:v>
                </c:pt>
                <c:pt idx="19167">
                  <c:v>3835144.534515</c:v>
                </c:pt>
                <c:pt idx="19168">
                  <c:v>3836401.54336</c:v>
                </c:pt>
                <c:pt idx="19169">
                  <c:v>3837658.826845</c:v>
                </c:pt>
                <c:pt idx="19170">
                  <c:v>3838916.3850000002</c:v>
                </c:pt>
                <c:pt idx="19171">
                  <c:v>3840174.217855</c:v>
                </c:pt>
                <c:pt idx="19172">
                  <c:v>3841432.32544</c:v>
                </c:pt>
                <c:pt idx="19173">
                  <c:v>3842690.707785</c:v>
                </c:pt>
                <c:pt idx="19174">
                  <c:v>3843949.36492</c:v>
                </c:pt>
                <c:pt idx="19175">
                  <c:v>3845208.296875</c:v>
                </c:pt>
                <c:pt idx="19176">
                  <c:v>3846467.50368</c:v>
                </c:pt>
                <c:pt idx="19177">
                  <c:v>3847726.985365</c:v>
                </c:pt>
                <c:pt idx="19178">
                  <c:v>3848986.7419600002</c:v>
                </c:pt>
                <c:pt idx="19179">
                  <c:v>3850246.773495</c:v>
                </c:pt>
                <c:pt idx="19180">
                  <c:v>3851507.08</c:v>
                </c:pt>
                <c:pt idx="19181">
                  <c:v>3852767.661505</c:v>
                </c:pt>
                <c:pt idx="19182">
                  <c:v>3854028.51804</c:v>
                </c:pt>
                <c:pt idx="19183">
                  <c:v>3855289.6496349997</c:v>
                </c:pt>
                <c:pt idx="19184">
                  <c:v>3856551.05632</c:v>
                </c:pt>
                <c:pt idx="19185">
                  <c:v>3857812.738125</c:v>
                </c:pt>
                <c:pt idx="19186">
                  <c:v>3859074.69508</c:v>
                </c:pt>
                <c:pt idx="19187">
                  <c:v>3860336.927215</c:v>
                </c:pt>
                <c:pt idx="19188">
                  <c:v>3861599.43456</c:v>
                </c:pt>
                <c:pt idx="19189">
                  <c:v>3862862.217145</c:v>
                </c:pt>
                <c:pt idx="19190">
                  <c:v>3864125.275</c:v>
                </c:pt>
                <c:pt idx="19191">
                  <c:v>3865388.608155</c:v>
                </c:pt>
                <c:pt idx="19192">
                  <c:v>3866652.2166399998</c:v>
                </c:pt>
                <c:pt idx="19193">
                  <c:v>3867916.1004850003</c:v>
                </c:pt>
                <c:pt idx="19194">
                  <c:v>3869180.25972</c:v>
                </c:pt>
                <c:pt idx="19195">
                  <c:v>3870444.694375</c:v>
                </c:pt>
                <c:pt idx="19196">
                  <c:v>3871709.40448</c:v>
                </c:pt>
                <c:pt idx="19197">
                  <c:v>3872974.390065</c:v>
                </c:pt>
                <c:pt idx="19198">
                  <c:v>3874239.65116</c:v>
                </c:pt>
                <c:pt idx="19199">
                  <c:v>3875505.187795</c:v>
                </c:pt>
                <c:pt idx="19200">
                  <c:v>3876771.0</c:v>
                </c:pt>
                <c:pt idx="19201">
                  <c:v>3878037.0878049997</c:v>
                </c:pt>
                <c:pt idx="19202">
                  <c:v>3879303.45124</c:v>
                </c:pt>
                <c:pt idx="19203">
                  <c:v>3880570.090335</c:v>
                </c:pt>
                <c:pt idx="19204">
                  <c:v>3881837.00512</c:v>
                </c:pt>
                <c:pt idx="19205">
                  <c:v>3883104.195625</c:v>
                </c:pt>
                <c:pt idx="19206">
                  <c:v>3884371.66188</c:v>
                </c:pt>
                <c:pt idx="19207">
                  <c:v>3885639.403915</c:v>
                </c:pt>
                <c:pt idx="19208">
                  <c:v>3886907.42176</c:v>
                </c:pt>
                <c:pt idx="19209">
                  <c:v>3888175.7154449997</c:v>
                </c:pt>
                <c:pt idx="19210">
                  <c:v>3889444.285</c:v>
                </c:pt>
                <c:pt idx="19211">
                  <c:v>3890713.130455</c:v>
                </c:pt>
                <c:pt idx="19212">
                  <c:v>3891982.25184</c:v>
                </c:pt>
                <c:pt idx="19213">
                  <c:v>3893251.649185</c:v>
                </c:pt>
                <c:pt idx="19214">
                  <c:v>3894521.32252</c:v>
                </c:pt>
                <c:pt idx="19215">
                  <c:v>3895791.271875</c:v>
                </c:pt>
                <c:pt idx="19216">
                  <c:v>3897061.4972800002</c:v>
                </c:pt>
                <c:pt idx="19217">
                  <c:v>3898331.9987649997</c:v>
                </c:pt>
                <c:pt idx="19218">
                  <c:v>3899602.7763599996</c:v>
                </c:pt>
                <c:pt idx="19219">
                  <c:v>3900873.830095</c:v>
                </c:pt>
                <c:pt idx="19220">
                  <c:v>3902145.16</c:v>
                </c:pt>
                <c:pt idx="19221">
                  <c:v>3903416.7661050004</c:v>
                </c:pt>
                <c:pt idx="19222">
                  <c:v>3904688.6484399997</c:v>
                </c:pt>
                <c:pt idx="19223">
                  <c:v>3905960.807035</c:v>
                </c:pt>
                <c:pt idx="19224">
                  <c:v>3907233.24192</c:v>
                </c:pt>
                <c:pt idx="19225">
                  <c:v>3908505.953125</c:v>
                </c:pt>
                <c:pt idx="19226">
                  <c:v>3909778.94068</c:v>
                </c:pt>
                <c:pt idx="19227">
                  <c:v>3911052.204615</c:v>
                </c:pt>
                <c:pt idx="19228">
                  <c:v>3912325.7449600003</c:v>
                </c:pt>
                <c:pt idx="19229">
                  <c:v>3913599.561745</c:v>
                </c:pt>
                <c:pt idx="19230">
                  <c:v>3914873.655</c:v>
                </c:pt>
                <c:pt idx="19231">
                  <c:v>3916148.024755</c:v>
                </c:pt>
                <c:pt idx="19232">
                  <c:v>3917422.67104</c:v>
                </c:pt>
                <c:pt idx="19233">
                  <c:v>3918697.593885</c:v>
                </c:pt>
                <c:pt idx="19234">
                  <c:v>3919972.7933199997</c:v>
                </c:pt>
                <c:pt idx="19235">
                  <c:v>3921248.2693749997</c:v>
                </c:pt>
                <c:pt idx="19236">
                  <c:v>3922524.02208</c:v>
                </c:pt>
                <c:pt idx="19237">
                  <c:v>3923800.051465</c:v>
                </c:pt>
                <c:pt idx="19238">
                  <c:v>3925076.35756</c:v>
                </c:pt>
                <c:pt idx="19239">
                  <c:v>3926352.9403950004</c:v>
                </c:pt>
                <c:pt idx="19240">
                  <c:v>3927629.8000000003</c:v>
                </c:pt>
                <c:pt idx="19241">
                  <c:v>3928906.936405</c:v>
                </c:pt>
                <c:pt idx="19242">
                  <c:v>3930184.34964</c:v>
                </c:pt>
                <c:pt idx="19243">
                  <c:v>3931462.039735</c:v>
                </c:pt>
                <c:pt idx="19244">
                  <c:v>3932740.00672</c:v>
                </c:pt>
                <c:pt idx="19245">
                  <c:v>3934018.2506250003</c:v>
                </c:pt>
                <c:pt idx="19246">
                  <c:v>3935296.77148</c:v>
                </c:pt>
                <c:pt idx="19247">
                  <c:v>3936575.569315</c:v>
                </c:pt>
                <c:pt idx="19248">
                  <c:v>3937854.64416</c:v>
                </c:pt>
                <c:pt idx="19249">
                  <c:v>3939133.996045</c:v>
                </c:pt>
                <c:pt idx="19250">
                  <c:v>3940413.625</c:v>
                </c:pt>
                <c:pt idx="19251">
                  <c:v>3941693.5310549997</c:v>
                </c:pt>
                <c:pt idx="19252">
                  <c:v>3942973.71424</c:v>
                </c:pt>
                <c:pt idx="19253">
                  <c:v>3944254.174585</c:v>
                </c:pt>
                <c:pt idx="19254">
                  <c:v>3945534.91212</c:v>
                </c:pt>
                <c:pt idx="19255">
                  <c:v>3946815.926875</c:v>
                </c:pt>
                <c:pt idx="19256">
                  <c:v>3948097.2188799996</c:v>
                </c:pt>
                <c:pt idx="19257">
                  <c:v>3949378.788165</c:v>
                </c:pt>
                <c:pt idx="19258">
                  <c:v>3950660.6347600003</c:v>
                </c:pt>
                <c:pt idx="19259">
                  <c:v>3951942.7586950003</c:v>
                </c:pt>
                <c:pt idx="19260">
                  <c:v>3953225.16</c:v>
                </c:pt>
                <c:pt idx="19261">
                  <c:v>3954507.838705</c:v>
                </c:pt>
                <c:pt idx="19262">
                  <c:v>3955790.7948399996</c:v>
                </c:pt>
                <c:pt idx="19263">
                  <c:v>3957074.0284349998</c:v>
                </c:pt>
                <c:pt idx="19264">
                  <c:v>3958357.5395199996</c:v>
                </c:pt>
                <c:pt idx="19265">
                  <c:v>3959641.328125</c:v>
                </c:pt>
                <c:pt idx="19266">
                  <c:v>3960925.39428</c:v>
                </c:pt>
                <c:pt idx="19267">
                  <c:v>3962209.7380150002</c:v>
                </c:pt>
                <c:pt idx="19268">
                  <c:v>3963494.35936</c:v>
                </c:pt>
                <c:pt idx="19269">
                  <c:v>3964779.258345</c:v>
                </c:pt>
                <c:pt idx="19270">
                  <c:v>3966064.435</c:v>
                </c:pt>
                <c:pt idx="19271">
                  <c:v>3967349.889355</c:v>
                </c:pt>
                <c:pt idx="19272">
                  <c:v>3968635.6214400004</c:v>
                </c:pt>
                <c:pt idx="19273">
                  <c:v>3969921.631285</c:v>
                </c:pt>
                <c:pt idx="19274">
                  <c:v>3971207.91892</c:v>
                </c:pt>
                <c:pt idx="19275">
                  <c:v>3972494.484375</c:v>
                </c:pt>
                <c:pt idx="19276">
                  <c:v>3973781.32768</c:v>
                </c:pt>
                <c:pt idx="19277">
                  <c:v>3975068.448865</c:v>
                </c:pt>
                <c:pt idx="19278">
                  <c:v>3976355.8479600004</c:v>
                </c:pt>
                <c:pt idx="19279">
                  <c:v>3977643.524995</c:v>
                </c:pt>
                <c:pt idx="19280">
                  <c:v>3978931.48</c:v>
                </c:pt>
                <c:pt idx="19281">
                  <c:v>3980219.713005</c:v>
                </c:pt>
                <c:pt idx="19282">
                  <c:v>3981508.2240400002</c:v>
                </c:pt>
                <c:pt idx="19283">
                  <c:v>3982797.013135</c:v>
                </c:pt>
                <c:pt idx="19284">
                  <c:v>3984086.08032</c:v>
                </c:pt>
                <c:pt idx="19285">
                  <c:v>3985375.425625</c:v>
                </c:pt>
                <c:pt idx="19286">
                  <c:v>3986665.04908</c:v>
                </c:pt>
                <c:pt idx="19287">
                  <c:v>3987954.950715</c:v>
                </c:pt>
                <c:pt idx="19288">
                  <c:v>3989245.13056</c:v>
                </c:pt>
                <c:pt idx="19289">
                  <c:v>3990535.588645</c:v>
                </c:pt>
                <c:pt idx="19290">
                  <c:v>3991826.3249999997</c:v>
                </c:pt>
                <c:pt idx="19291">
                  <c:v>3993117.3396550003</c:v>
                </c:pt>
                <c:pt idx="19292">
                  <c:v>3994408.63264</c:v>
                </c:pt>
                <c:pt idx="19293">
                  <c:v>3995700.203985</c:v>
                </c:pt>
                <c:pt idx="19294">
                  <c:v>3996992.0537199997</c:v>
                </c:pt>
                <c:pt idx="19295">
                  <c:v>3998284.1818750002</c:v>
                </c:pt>
                <c:pt idx="19296">
                  <c:v>3999576.58848</c:v>
                </c:pt>
                <c:pt idx="19297">
                  <c:v>4000869.273565</c:v>
                </c:pt>
                <c:pt idx="19298">
                  <c:v>4002162.23716</c:v>
                </c:pt>
                <c:pt idx="19299">
                  <c:v>4003455.479295</c:v>
                </c:pt>
                <c:pt idx="19300">
                  <c:v>4004749.0</c:v>
                </c:pt>
                <c:pt idx="19301">
                  <c:v>4006042.799305</c:v>
                </c:pt>
                <c:pt idx="19302">
                  <c:v>4007336.87724</c:v>
                </c:pt>
                <c:pt idx="19303">
                  <c:v>4008631.233835</c:v>
                </c:pt>
                <c:pt idx="19304">
                  <c:v>4009925.8691200004</c:v>
                </c:pt>
                <c:pt idx="19305">
                  <c:v>4011220.783125</c:v>
                </c:pt>
                <c:pt idx="19306">
                  <c:v>4012515.97588</c:v>
                </c:pt>
                <c:pt idx="19307">
                  <c:v>4013811.447415</c:v>
                </c:pt>
                <c:pt idx="19308">
                  <c:v>4015107.1977600004</c:v>
                </c:pt>
                <c:pt idx="19309">
                  <c:v>4016403.226945</c:v>
                </c:pt>
                <c:pt idx="19310">
                  <c:v>4017699.535</c:v>
                </c:pt>
                <c:pt idx="19311">
                  <c:v>4018996.1219550003</c:v>
                </c:pt>
                <c:pt idx="19312">
                  <c:v>4020292.98784</c:v>
                </c:pt>
                <c:pt idx="19313">
                  <c:v>4021590.132685</c:v>
                </c:pt>
                <c:pt idx="19314">
                  <c:v>4022887.55652</c:v>
                </c:pt>
                <c:pt idx="19315">
                  <c:v>4024185.259375</c:v>
                </c:pt>
                <c:pt idx="19316">
                  <c:v>4025483.2412799997</c:v>
                </c:pt>
                <c:pt idx="19317">
                  <c:v>4026781.502265</c:v>
                </c:pt>
                <c:pt idx="19318">
                  <c:v>4028080.04236</c:v>
                </c:pt>
                <c:pt idx="19319">
                  <c:v>4029378.861595</c:v>
                </c:pt>
                <c:pt idx="19320">
                  <c:v>4030677.96</c:v>
                </c:pt>
                <c:pt idx="19321">
                  <c:v>4031977.337605</c:v>
                </c:pt>
                <c:pt idx="19322">
                  <c:v>4033276.99444</c:v>
                </c:pt>
                <c:pt idx="19323">
                  <c:v>4034576.930535</c:v>
                </c:pt>
                <c:pt idx="19324">
                  <c:v>4035877.14592</c:v>
                </c:pt>
                <c:pt idx="19325">
                  <c:v>4037177.640625</c:v>
                </c:pt>
                <c:pt idx="19326">
                  <c:v>4038478.41468</c:v>
                </c:pt>
                <c:pt idx="19327">
                  <c:v>4039779.468115</c:v>
                </c:pt>
                <c:pt idx="19328">
                  <c:v>4041080.8009599997</c:v>
                </c:pt>
                <c:pt idx="19329">
                  <c:v>4042382.4132450004</c:v>
                </c:pt>
                <c:pt idx="19330">
                  <c:v>4043684.305</c:v>
                </c:pt>
                <c:pt idx="19331">
                  <c:v>4044986.476255</c:v>
                </c:pt>
                <c:pt idx="19332">
                  <c:v>4046288.92704</c:v>
                </c:pt>
                <c:pt idx="19333">
                  <c:v>4047591.657385</c:v>
                </c:pt>
                <c:pt idx="19334">
                  <c:v>4048894.66732</c:v>
                </c:pt>
                <c:pt idx="19335">
                  <c:v>4050197.956875</c:v>
                </c:pt>
                <c:pt idx="19336">
                  <c:v>4051501.52608</c:v>
                </c:pt>
                <c:pt idx="19337">
                  <c:v>4052805.374965</c:v>
                </c:pt>
                <c:pt idx="19338">
                  <c:v>4054109.50356</c:v>
                </c:pt>
                <c:pt idx="19339">
                  <c:v>4055413.911895</c:v>
                </c:pt>
                <c:pt idx="19340">
                  <c:v>4056718.6</c:v>
                </c:pt>
                <c:pt idx="19341">
                  <c:v>4058023.567905</c:v>
                </c:pt>
                <c:pt idx="19342">
                  <c:v>4059328.8156399997</c:v>
                </c:pt>
                <c:pt idx="19343">
                  <c:v>4060634.343235</c:v>
                </c:pt>
                <c:pt idx="19344">
                  <c:v>4061940.1507200003</c:v>
                </c:pt>
                <c:pt idx="19345">
                  <c:v>4063246.238125</c:v>
                </c:pt>
                <c:pt idx="19346">
                  <c:v>4064552.60548</c:v>
                </c:pt>
                <c:pt idx="19347">
                  <c:v>4065859.252815</c:v>
                </c:pt>
                <c:pt idx="19348">
                  <c:v>4067166.18016</c:v>
                </c:pt>
                <c:pt idx="19349">
                  <c:v>4068473.387545</c:v>
                </c:pt>
                <c:pt idx="19350">
                  <c:v>4069780.875</c:v>
                </c:pt>
                <c:pt idx="19351">
                  <c:v>4071088.642555</c:v>
                </c:pt>
                <c:pt idx="19352">
                  <c:v>4072396.69024</c:v>
                </c:pt>
                <c:pt idx="19353">
                  <c:v>4073705.018085</c:v>
                </c:pt>
                <c:pt idx="19354">
                  <c:v>4075013.6261199997</c:v>
                </c:pt>
                <c:pt idx="19355">
                  <c:v>4076322.514375</c:v>
                </c:pt>
                <c:pt idx="19356">
                  <c:v>4077631.68288</c:v>
                </c:pt>
                <c:pt idx="19357">
                  <c:v>4078941.131665</c:v>
                </c:pt>
                <c:pt idx="19358">
                  <c:v>4080250.86076</c:v>
                </c:pt>
                <c:pt idx="19359">
                  <c:v>4081560.870195</c:v>
                </c:pt>
                <c:pt idx="19360">
                  <c:v>4082871.1599999997</c:v>
                </c:pt>
                <c:pt idx="19361">
                  <c:v>4084181.730205</c:v>
                </c:pt>
                <c:pt idx="19362">
                  <c:v>4085492.58084</c:v>
                </c:pt>
                <c:pt idx="19363">
                  <c:v>4086803.711935</c:v>
                </c:pt>
                <c:pt idx="19364">
                  <c:v>4088115.12352</c:v>
                </c:pt>
                <c:pt idx="19365">
                  <c:v>4089426.8156250003</c:v>
                </c:pt>
                <c:pt idx="19366">
                  <c:v>4090738.78828</c:v>
                </c:pt>
                <c:pt idx="19367">
                  <c:v>4092051.0415149997</c:v>
                </c:pt>
                <c:pt idx="19368">
                  <c:v>4093363.5753599997</c:v>
                </c:pt>
                <c:pt idx="19369">
                  <c:v>4094676.389845</c:v>
                </c:pt>
                <c:pt idx="19370">
                  <c:v>4095989.4850000003</c:v>
                </c:pt>
                <c:pt idx="19371">
                  <c:v>4097302.860855</c:v>
                </c:pt>
                <c:pt idx="19372">
                  <c:v>4098616.51744</c:v>
                </c:pt>
                <c:pt idx="19373">
                  <c:v>4099930.454785</c:v>
                </c:pt>
                <c:pt idx="19374">
                  <c:v>4101244.6729200003</c:v>
                </c:pt>
                <c:pt idx="19375">
                  <c:v>4102559.171875</c:v>
                </c:pt>
                <c:pt idx="19376">
                  <c:v>4103873.95168</c:v>
                </c:pt>
                <c:pt idx="19377">
                  <c:v>4105189.0123650003</c:v>
                </c:pt>
                <c:pt idx="19378">
                  <c:v>4106504.35396</c:v>
                </c:pt>
                <c:pt idx="19379">
                  <c:v>4107819.976495</c:v>
                </c:pt>
                <c:pt idx="19380">
                  <c:v>4109135.88</c:v>
                </c:pt>
                <c:pt idx="19381">
                  <c:v>4110452.064505</c:v>
                </c:pt>
                <c:pt idx="19382">
                  <c:v>4111768.53004</c:v>
                </c:pt>
                <c:pt idx="19383">
                  <c:v>4113085.276635</c:v>
                </c:pt>
                <c:pt idx="19384">
                  <c:v>4114402.3043199996</c:v>
                </c:pt>
                <c:pt idx="19385">
                  <c:v>4115719.613125</c:v>
                </c:pt>
                <c:pt idx="19386">
                  <c:v>4117037.20308</c:v>
                </c:pt>
                <c:pt idx="19387">
                  <c:v>4118355.074215</c:v>
                </c:pt>
                <c:pt idx="19388">
                  <c:v>4119673.22656</c:v>
                </c:pt>
                <c:pt idx="19389">
                  <c:v>4120991.660145</c:v>
                </c:pt>
                <c:pt idx="19390">
                  <c:v>4122310.375</c:v>
                </c:pt>
                <c:pt idx="19391">
                  <c:v>4123629.3711550003</c:v>
                </c:pt>
                <c:pt idx="19392">
                  <c:v>4124948.64864</c:v>
                </c:pt>
                <c:pt idx="19393">
                  <c:v>4126268.207485</c:v>
                </c:pt>
                <c:pt idx="19394">
                  <c:v>4127588.04772</c:v>
                </c:pt>
                <c:pt idx="19395">
                  <c:v>4128908.169375</c:v>
                </c:pt>
                <c:pt idx="19396">
                  <c:v>4130228.57248</c:v>
                </c:pt>
                <c:pt idx="19397">
                  <c:v>4131549.257065</c:v>
                </c:pt>
                <c:pt idx="19398">
                  <c:v>4132870.22316</c:v>
                </c:pt>
                <c:pt idx="19399">
                  <c:v>4134191.470795</c:v>
                </c:pt>
                <c:pt idx="19400">
                  <c:v>4135513.0</c:v>
                </c:pt>
                <c:pt idx="19401">
                  <c:v>4136834.810805</c:v>
                </c:pt>
                <c:pt idx="19402">
                  <c:v>4138156.9032400004</c:v>
                </c:pt>
                <c:pt idx="19403">
                  <c:v>4139479.277335</c:v>
                </c:pt>
                <c:pt idx="19404">
                  <c:v>4140801.9331199997</c:v>
                </c:pt>
                <c:pt idx="19405">
                  <c:v>4142124.870625</c:v>
                </c:pt>
                <c:pt idx="19406">
                  <c:v>4143448.0898800003</c:v>
                </c:pt>
                <c:pt idx="19407">
                  <c:v>4144771.590915</c:v>
                </c:pt>
                <c:pt idx="19408">
                  <c:v>4146095.37376</c:v>
                </c:pt>
                <c:pt idx="19409">
                  <c:v>4147419.438445</c:v>
                </c:pt>
                <c:pt idx="19410">
                  <c:v>4148743.785</c:v>
                </c:pt>
                <c:pt idx="19411">
                  <c:v>4150068.413455</c:v>
                </c:pt>
                <c:pt idx="19412">
                  <c:v>4151393.32384</c:v>
                </c:pt>
                <c:pt idx="19413">
                  <c:v>4152718.5161849996</c:v>
                </c:pt>
                <c:pt idx="19414">
                  <c:v>4154043.99052</c:v>
                </c:pt>
                <c:pt idx="19415">
                  <c:v>4155369.7468749997</c:v>
                </c:pt>
                <c:pt idx="19416">
                  <c:v>4156695.78528</c:v>
                </c:pt>
                <c:pt idx="19417">
                  <c:v>4158022.105765</c:v>
                </c:pt>
                <c:pt idx="19418">
                  <c:v>4159348.70836</c:v>
                </c:pt>
                <c:pt idx="19419">
                  <c:v>4160675.593095</c:v>
                </c:pt>
                <c:pt idx="19420">
                  <c:v>4162002.7600000002</c:v>
                </c:pt>
                <c:pt idx="19421">
                  <c:v>4163330.209105</c:v>
                </c:pt>
                <c:pt idx="19422">
                  <c:v>4164657.94044</c:v>
                </c:pt>
                <c:pt idx="19423">
                  <c:v>4165985.954035</c:v>
                </c:pt>
                <c:pt idx="19424">
                  <c:v>4167314.24992</c:v>
                </c:pt>
                <c:pt idx="19425">
                  <c:v>4168642.828125</c:v>
                </c:pt>
                <c:pt idx="19426">
                  <c:v>4169971.68868</c:v>
                </c:pt>
                <c:pt idx="19427">
                  <c:v>4171300.831615</c:v>
                </c:pt>
                <c:pt idx="19428">
                  <c:v>4172630.25696</c:v>
                </c:pt>
                <c:pt idx="19429">
                  <c:v>4173959.964745</c:v>
                </c:pt>
                <c:pt idx="19430">
                  <c:v>4175289.955</c:v>
                </c:pt>
                <c:pt idx="19431">
                  <c:v>4176620.2277550003</c:v>
                </c:pt>
                <c:pt idx="19432">
                  <c:v>4177950.78304</c:v>
                </c:pt>
                <c:pt idx="19433">
                  <c:v>4179281.620885</c:v>
                </c:pt>
                <c:pt idx="19434">
                  <c:v>4180612.74132</c:v>
                </c:pt>
                <c:pt idx="19435">
                  <c:v>4181944.144375</c:v>
                </c:pt>
                <c:pt idx="19436">
                  <c:v>4183275.83008</c:v>
                </c:pt>
                <c:pt idx="19437">
                  <c:v>4184607.798465</c:v>
                </c:pt>
                <c:pt idx="19438">
                  <c:v>4185940.04956</c:v>
                </c:pt>
                <c:pt idx="19439">
                  <c:v>4187272.583395</c:v>
                </c:pt>
                <c:pt idx="19440">
                  <c:v>4188605.4</c:v>
                </c:pt>
                <c:pt idx="19441">
                  <c:v>4189938.499405</c:v>
                </c:pt>
                <c:pt idx="19442">
                  <c:v>4191271.8816400003</c:v>
                </c:pt>
                <c:pt idx="19443">
                  <c:v>4192605.546735</c:v>
                </c:pt>
                <c:pt idx="19444">
                  <c:v>4193939.49472</c:v>
                </c:pt>
                <c:pt idx="19445">
                  <c:v>4195273.725625</c:v>
                </c:pt>
                <c:pt idx="19446">
                  <c:v>4196608.23948</c:v>
                </c:pt>
                <c:pt idx="19447">
                  <c:v>4197943.036315</c:v>
                </c:pt>
                <c:pt idx="19448">
                  <c:v>4199278.11616</c:v>
                </c:pt>
                <c:pt idx="19449">
                  <c:v>4200613.479045</c:v>
                </c:pt>
                <c:pt idx="19450">
                  <c:v>4201949.125</c:v>
                </c:pt>
                <c:pt idx="19451">
                  <c:v>4203285.054055001</c:v>
                </c:pt>
                <c:pt idx="19452">
                  <c:v>4204621.26624</c:v>
                </c:pt>
                <c:pt idx="19453">
                  <c:v>4205957.761585</c:v>
                </c:pt>
                <c:pt idx="19454">
                  <c:v>4207294.54012</c:v>
                </c:pt>
                <c:pt idx="19455">
                  <c:v>4208631.601875001</c:v>
                </c:pt>
                <c:pt idx="19456">
                  <c:v>4209968.94688</c:v>
                </c:pt>
                <c:pt idx="19457">
                  <c:v>4211306.575165</c:v>
                </c:pt>
                <c:pt idx="19458">
                  <c:v>4212644.48676</c:v>
                </c:pt>
                <c:pt idx="19459">
                  <c:v>4213982.681695</c:v>
                </c:pt>
                <c:pt idx="19460">
                  <c:v>4215321.16</c:v>
                </c:pt>
                <c:pt idx="19461">
                  <c:v>4216659.921705</c:v>
                </c:pt>
                <c:pt idx="19462">
                  <c:v>4217998.96684</c:v>
                </c:pt>
                <c:pt idx="19463">
                  <c:v>4219338.295434999</c:v>
                </c:pt>
                <c:pt idx="19464">
                  <c:v>4220677.90752</c:v>
                </c:pt>
                <c:pt idx="19465">
                  <c:v>4222017.803125</c:v>
                </c:pt>
                <c:pt idx="19466">
                  <c:v>4223357.98228</c:v>
                </c:pt>
                <c:pt idx="19467">
                  <c:v>4224698.445015</c:v>
                </c:pt>
                <c:pt idx="19468">
                  <c:v>4226039.19136</c:v>
                </c:pt>
                <c:pt idx="19469">
                  <c:v>4227380.221345</c:v>
                </c:pt>
                <c:pt idx="19470">
                  <c:v>4228721.535</c:v>
                </c:pt>
                <c:pt idx="19471">
                  <c:v>4230063.132355</c:v>
                </c:pt>
                <c:pt idx="19472">
                  <c:v>4231405.013440001</c:v>
                </c:pt>
                <c:pt idx="19473">
                  <c:v>4232747.178285</c:v>
                </c:pt>
                <c:pt idx="19474">
                  <c:v>4234089.62692</c:v>
                </c:pt>
                <c:pt idx="19475">
                  <c:v>4235432.359375</c:v>
                </c:pt>
                <c:pt idx="19476">
                  <c:v>4236775.37568</c:v>
                </c:pt>
                <c:pt idx="19477">
                  <c:v>4238118.675865</c:v>
                </c:pt>
                <c:pt idx="19478">
                  <c:v>4239462.25996</c:v>
                </c:pt>
                <c:pt idx="19479">
                  <c:v>4240806.127995</c:v>
                </c:pt>
                <c:pt idx="19480">
                  <c:v>4242150.28</c:v>
                </c:pt>
                <c:pt idx="19481">
                  <c:v>4243494.716005</c:v>
                </c:pt>
                <c:pt idx="19482">
                  <c:v>4244839.43604</c:v>
                </c:pt>
                <c:pt idx="19483">
                  <c:v>4246184.440135</c:v>
                </c:pt>
                <c:pt idx="19484">
                  <c:v>4247529.72832</c:v>
                </c:pt>
                <c:pt idx="19485">
                  <c:v>4248875.300625</c:v>
                </c:pt>
                <c:pt idx="19486">
                  <c:v>4250221.157079999</c:v>
                </c:pt>
                <c:pt idx="19487">
                  <c:v>4251567.297715001</c:v>
                </c:pt>
                <c:pt idx="19488">
                  <c:v>4252913.722560001</c:v>
                </c:pt>
                <c:pt idx="19489">
                  <c:v>4254260.431644999</c:v>
                </c:pt>
                <c:pt idx="19490">
                  <c:v>4255607.425</c:v>
                </c:pt>
                <c:pt idx="19491">
                  <c:v>4256954.702655</c:v>
                </c:pt>
                <c:pt idx="19492">
                  <c:v>4258302.26464</c:v>
                </c:pt>
                <c:pt idx="19493">
                  <c:v>4259650.110985001</c:v>
                </c:pt>
                <c:pt idx="19494">
                  <c:v>4260998.24172</c:v>
                </c:pt>
                <c:pt idx="19495">
                  <c:v>4262346.656874999</c:v>
                </c:pt>
                <c:pt idx="19496">
                  <c:v>4263695.35648</c:v>
                </c:pt>
                <c:pt idx="19497">
                  <c:v>4265044.340565</c:v>
                </c:pt>
                <c:pt idx="19498">
                  <c:v>4266393.6091599995</c:v>
                </c:pt>
                <c:pt idx="19499">
                  <c:v>4267743.162295</c:v>
                </c:pt>
                <c:pt idx="19500">
                  <c:v>4269093.0</c:v>
                </c:pt>
                <c:pt idx="19501">
                  <c:v>4270443.122305</c:v>
                </c:pt>
                <c:pt idx="19502">
                  <c:v>4271793.52924</c:v>
                </c:pt>
                <c:pt idx="19503">
                  <c:v>4273144.220835</c:v>
                </c:pt>
                <c:pt idx="19504">
                  <c:v>4274495.19712</c:v>
                </c:pt>
                <c:pt idx="19505">
                  <c:v>4275846.458125</c:v>
                </c:pt>
                <c:pt idx="19506">
                  <c:v>4277198.00388</c:v>
                </c:pt>
                <c:pt idx="19507">
                  <c:v>4278549.834415</c:v>
                </c:pt>
                <c:pt idx="19508">
                  <c:v>4279901.94976</c:v>
                </c:pt>
                <c:pt idx="19509">
                  <c:v>4281254.349945</c:v>
                </c:pt>
                <c:pt idx="19510">
                  <c:v>4282607.035</c:v>
                </c:pt>
                <c:pt idx="19511">
                  <c:v>4283960.004955</c:v>
                </c:pt>
                <c:pt idx="19512">
                  <c:v>4285313.2598399995</c:v>
                </c:pt>
                <c:pt idx="19513">
                  <c:v>4286666.799685</c:v>
                </c:pt>
                <c:pt idx="19514">
                  <c:v>4288020.62452</c:v>
                </c:pt>
                <c:pt idx="19515">
                  <c:v>4289374.734375</c:v>
                </c:pt>
                <c:pt idx="19516">
                  <c:v>4290729.12928</c:v>
                </c:pt>
                <c:pt idx="19517">
                  <c:v>4292083.809265</c:v>
                </c:pt>
                <c:pt idx="19518">
                  <c:v>4293438.77436</c:v>
                </c:pt>
                <c:pt idx="19519">
                  <c:v>4294794.024595</c:v>
                </c:pt>
                <c:pt idx="19520">
                  <c:v>4296149.56</c:v>
                </c:pt>
                <c:pt idx="19521">
                  <c:v>4297505.380605</c:v>
                </c:pt>
                <c:pt idx="19522">
                  <c:v>4298861.48644</c:v>
                </c:pt>
                <c:pt idx="19523">
                  <c:v>4300217.877535</c:v>
                </c:pt>
                <c:pt idx="19524">
                  <c:v>4301574.55392</c:v>
                </c:pt>
                <c:pt idx="19525">
                  <c:v>4302931.515625</c:v>
                </c:pt>
                <c:pt idx="19526">
                  <c:v>4304288.762680001</c:v>
                </c:pt>
                <c:pt idx="19527">
                  <c:v>4305646.295115</c:v>
                </c:pt>
                <c:pt idx="19528">
                  <c:v>4307004.11296</c:v>
                </c:pt>
                <c:pt idx="19529">
                  <c:v>4308362.216244999</c:v>
                </c:pt>
                <c:pt idx="19530">
                  <c:v>4309720.6049999995</c:v>
                </c:pt>
                <c:pt idx="19531">
                  <c:v>4311079.279255001</c:v>
                </c:pt>
                <c:pt idx="19532">
                  <c:v>4312438.23904</c:v>
                </c:pt>
                <c:pt idx="19533">
                  <c:v>4313797.484385001</c:v>
                </c:pt>
                <c:pt idx="19534">
                  <c:v>4315157.01532</c:v>
                </c:pt>
                <c:pt idx="19535">
                  <c:v>4316516.831874999</c:v>
                </c:pt>
                <c:pt idx="19536">
                  <c:v>4317876.93408</c:v>
                </c:pt>
                <c:pt idx="19537">
                  <c:v>4319237.321965</c:v>
                </c:pt>
                <c:pt idx="19538">
                  <c:v>4320597.99556</c:v>
                </c:pt>
                <c:pt idx="19539">
                  <c:v>4321958.954895</c:v>
                </c:pt>
                <c:pt idx="19540">
                  <c:v>4323320.2</c:v>
                </c:pt>
                <c:pt idx="19541">
                  <c:v>4324681.730905</c:v>
                </c:pt>
                <c:pt idx="19542">
                  <c:v>4326043.54764</c:v>
                </c:pt>
                <c:pt idx="19543">
                  <c:v>4327405.650235</c:v>
                </c:pt>
                <c:pt idx="19544">
                  <c:v>4328768.03872</c:v>
                </c:pt>
                <c:pt idx="19545">
                  <c:v>4330130.713125</c:v>
                </c:pt>
                <c:pt idx="19546">
                  <c:v>4331493.673479999</c:v>
                </c:pt>
                <c:pt idx="19547">
                  <c:v>4332856.919814999</c:v>
                </c:pt>
                <c:pt idx="19548">
                  <c:v>4334220.45216</c:v>
                </c:pt>
                <c:pt idx="19549">
                  <c:v>4335584.270545</c:v>
                </c:pt>
                <c:pt idx="19550">
                  <c:v>4336948.375</c:v>
                </c:pt>
                <c:pt idx="19551">
                  <c:v>4338312.765555</c:v>
                </c:pt>
                <c:pt idx="19552">
                  <c:v>4339677.442240001</c:v>
                </c:pt>
                <c:pt idx="19553">
                  <c:v>4341042.405085</c:v>
                </c:pt>
                <c:pt idx="19554">
                  <c:v>4342407.65412</c:v>
                </c:pt>
                <c:pt idx="19555">
                  <c:v>4343773.189375</c:v>
                </c:pt>
                <c:pt idx="19556">
                  <c:v>4345139.01088</c:v>
                </c:pt>
                <c:pt idx="19557">
                  <c:v>4346505.1186649995</c:v>
                </c:pt>
                <c:pt idx="19558">
                  <c:v>4347871.512759999</c:v>
                </c:pt>
                <c:pt idx="19559">
                  <c:v>4349238.193194999</c:v>
                </c:pt>
                <c:pt idx="19560">
                  <c:v>4350605.16</c:v>
                </c:pt>
                <c:pt idx="19561">
                  <c:v>4351972.413205</c:v>
                </c:pt>
                <c:pt idx="19562">
                  <c:v>4353339.952839999</c:v>
                </c:pt>
                <c:pt idx="19563">
                  <c:v>4354707.778935</c:v>
                </c:pt>
                <c:pt idx="19564">
                  <c:v>4356075.891519999</c:v>
                </c:pt>
                <c:pt idx="19565">
                  <c:v>4357444.290625</c:v>
                </c:pt>
                <c:pt idx="19566">
                  <c:v>4358812.97628</c:v>
                </c:pt>
                <c:pt idx="19567">
                  <c:v>4360181.948515</c:v>
                </c:pt>
                <c:pt idx="19568">
                  <c:v>4361551.20736</c:v>
                </c:pt>
                <c:pt idx="19569">
                  <c:v>4362920.7528450005</c:v>
                </c:pt>
                <c:pt idx="19570">
                  <c:v>4364290.585</c:v>
                </c:pt>
                <c:pt idx="19571">
                  <c:v>4365660.7038549995</c:v>
                </c:pt>
                <c:pt idx="19572">
                  <c:v>4367031.109440001</c:v>
                </c:pt>
                <c:pt idx="19573">
                  <c:v>4368401.801785001</c:v>
                </c:pt>
                <c:pt idx="19574">
                  <c:v>4369772.78092</c:v>
                </c:pt>
                <c:pt idx="19575">
                  <c:v>4371144.046875</c:v>
                </c:pt>
                <c:pt idx="19576">
                  <c:v>4372515.59968</c:v>
                </c:pt>
                <c:pt idx="19577">
                  <c:v>4373887.4393649995</c:v>
                </c:pt>
                <c:pt idx="19578">
                  <c:v>4375259.56596</c:v>
                </c:pt>
                <c:pt idx="19579">
                  <c:v>4376631.979495</c:v>
                </c:pt>
                <c:pt idx="19580">
                  <c:v>4378004.680000001</c:v>
                </c:pt>
                <c:pt idx="19581">
                  <c:v>4379377.667505</c:v>
                </c:pt>
                <c:pt idx="19582">
                  <c:v>4380750.94204</c:v>
                </c:pt>
                <c:pt idx="19583">
                  <c:v>4382124.5036349995</c:v>
                </c:pt>
                <c:pt idx="19584">
                  <c:v>4383498.35232</c:v>
                </c:pt>
                <c:pt idx="19585">
                  <c:v>4384872.488125</c:v>
                </c:pt>
                <c:pt idx="19586">
                  <c:v>4386246.91108</c:v>
                </c:pt>
                <c:pt idx="19587">
                  <c:v>4387621.621215</c:v>
                </c:pt>
                <c:pt idx="19588">
                  <c:v>4388996.61856</c:v>
                </c:pt>
                <c:pt idx="19589">
                  <c:v>4390371.903145</c:v>
                </c:pt>
                <c:pt idx="19590">
                  <c:v>4391747.475</c:v>
                </c:pt>
                <c:pt idx="19591">
                  <c:v>4393123.334155</c:v>
                </c:pt>
                <c:pt idx="19592">
                  <c:v>4394499.48064</c:v>
                </c:pt>
                <c:pt idx="19593">
                  <c:v>4395875.914485</c:v>
                </c:pt>
                <c:pt idx="19594">
                  <c:v>4397252.63572</c:v>
                </c:pt>
                <c:pt idx="19595">
                  <c:v>4398629.644375</c:v>
                </c:pt>
                <c:pt idx="19596">
                  <c:v>4400006.940479999</c:v>
                </c:pt>
                <c:pt idx="19597">
                  <c:v>4401384.524065</c:v>
                </c:pt>
                <c:pt idx="19598">
                  <c:v>4402762.39516</c:v>
                </c:pt>
                <c:pt idx="19599">
                  <c:v>4404140.553795</c:v>
                </c:pt>
                <c:pt idx="19600">
                  <c:v>4405519.0</c:v>
                </c:pt>
                <c:pt idx="19601">
                  <c:v>4406897.733805</c:v>
                </c:pt>
                <c:pt idx="19602">
                  <c:v>4408276.75524</c:v>
                </c:pt>
                <c:pt idx="19603">
                  <c:v>4409656.064335001</c:v>
                </c:pt>
                <c:pt idx="19604">
                  <c:v>4411035.661119999</c:v>
                </c:pt>
                <c:pt idx="19605">
                  <c:v>4412415.545625</c:v>
                </c:pt>
                <c:pt idx="19606">
                  <c:v>4413795.71788</c:v>
                </c:pt>
                <c:pt idx="19607">
                  <c:v>4415176.177915</c:v>
                </c:pt>
                <c:pt idx="19608">
                  <c:v>4416556.92576</c:v>
                </c:pt>
                <c:pt idx="19609">
                  <c:v>4417937.961445</c:v>
                </c:pt>
                <c:pt idx="19610">
                  <c:v>4419319.285</c:v>
                </c:pt>
                <c:pt idx="19611">
                  <c:v>4420700.896454999</c:v>
                </c:pt>
                <c:pt idx="19612">
                  <c:v>4422082.79584</c:v>
                </c:pt>
                <c:pt idx="19613">
                  <c:v>4423464.983185</c:v>
                </c:pt>
                <c:pt idx="19614">
                  <c:v>4424847.45852</c:v>
                </c:pt>
                <c:pt idx="19615">
                  <c:v>4426230.221875</c:v>
                </c:pt>
                <c:pt idx="19616">
                  <c:v>4427613.273279999</c:v>
                </c:pt>
                <c:pt idx="19617">
                  <c:v>4428996.612764999</c:v>
                </c:pt>
                <c:pt idx="19618">
                  <c:v>4430380.240359999</c:v>
                </c:pt>
                <c:pt idx="19619">
                  <c:v>4431764.156095</c:v>
                </c:pt>
                <c:pt idx="19620">
                  <c:v>4433148.359999999</c:v>
                </c:pt>
                <c:pt idx="19621">
                  <c:v>4434532.852105</c:v>
                </c:pt>
                <c:pt idx="19622">
                  <c:v>4435917.63244</c:v>
                </c:pt>
                <c:pt idx="19623">
                  <c:v>4437302.701035</c:v>
                </c:pt>
                <c:pt idx="19624">
                  <c:v>4438688.05792</c:v>
                </c:pt>
                <c:pt idx="19625">
                  <c:v>4440073.703125</c:v>
                </c:pt>
                <c:pt idx="19626">
                  <c:v>4441459.63668</c:v>
                </c:pt>
                <c:pt idx="19627">
                  <c:v>4442845.858615</c:v>
                </c:pt>
                <c:pt idx="19628">
                  <c:v>4444232.36896</c:v>
                </c:pt>
                <c:pt idx="19629">
                  <c:v>4445619.167745</c:v>
                </c:pt>
                <c:pt idx="19630">
                  <c:v>4447006.255</c:v>
                </c:pt>
                <c:pt idx="19631">
                  <c:v>4448393.630755</c:v>
                </c:pt>
                <c:pt idx="19632">
                  <c:v>4449781.295039999</c:v>
                </c:pt>
                <c:pt idx="19633">
                  <c:v>4451169.247885</c:v>
                </c:pt>
                <c:pt idx="19634">
                  <c:v>4452557.489320001</c:v>
                </c:pt>
                <c:pt idx="19635">
                  <c:v>4453946.019375</c:v>
                </c:pt>
                <c:pt idx="19636">
                  <c:v>4455334.83808</c:v>
                </c:pt>
                <c:pt idx="19637">
                  <c:v>4456723.945465</c:v>
                </c:pt>
                <c:pt idx="19638">
                  <c:v>4458113.34156</c:v>
                </c:pt>
                <c:pt idx="19639">
                  <c:v>4459503.0263950005</c:v>
                </c:pt>
                <c:pt idx="19640">
                  <c:v>4460893.0</c:v>
                </c:pt>
                <c:pt idx="19641">
                  <c:v>4462283.262405</c:v>
                </c:pt>
                <c:pt idx="19642">
                  <c:v>4463673.81364</c:v>
                </c:pt>
                <c:pt idx="19643">
                  <c:v>4465064.653735001</c:v>
                </c:pt>
                <c:pt idx="19644">
                  <c:v>4466455.7827200005</c:v>
                </c:pt>
                <c:pt idx="19645">
                  <c:v>4467847.200625</c:v>
                </c:pt>
                <c:pt idx="19646">
                  <c:v>4469238.90748</c:v>
                </c:pt>
                <c:pt idx="19647">
                  <c:v>4470630.903314999</c:v>
                </c:pt>
                <c:pt idx="19648">
                  <c:v>4472023.188159999</c:v>
                </c:pt>
                <c:pt idx="19649">
                  <c:v>4473415.762045001</c:v>
                </c:pt>
                <c:pt idx="19650">
                  <c:v>4474808.625</c:v>
                </c:pt>
                <c:pt idx="19651">
                  <c:v>4476201.777055</c:v>
                </c:pt>
                <c:pt idx="19652">
                  <c:v>4477595.21824</c:v>
                </c:pt>
                <c:pt idx="19653">
                  <c:v>4478988.948585</c:v>
                </c:pt>
                <c:pt idx="19654">
                  <c:v>4480382.968119999</c:v>
                </c:pt>
                <c:pt idx="19655">
                  <c:v>4481777.2768749995</c:v>
                </c:pt>
                <c:pt idx="19656">
                  <c:v>4483171.87488</c:v>
                </c:pt>
                <c:pt idx="19657">
                  <c:v>4484566.762165</c:v>
                </c:pt>
                <c:pt idx="19658">
                  <c:v>4485961.93876</c:v>
                </c:pt>
                <c:pt idx="19659">
                  <c:v>4487357.4046950005</c:v>
                </c:pt>
                <c:pt idx="19660">
                  <c:v>4488753.159999999</c:v>
                </c:pt>
                <c:pt idx="19661">
                  <c:v>4490149.204705</c:v>
                </c:pt>
                <c:pt idx="19662">
                  <c:v>4491545.5388400005</c:v>
                </c:pt>
                <c:pt idx="19663">
                  <c:v>4492942.162435</c:v>
                </c:pt>
                <c:pt idx="19664">
                  <c:v>4494339.07552</c:v>
                </c:pt>
                <c:pt idx="19665">
                  <c:v>4495736.278125</c:v>
                </c:pt>
                <c:pt idx="19666">
                  <c:v>4497133.77028</c:v>
                </c:pt>
                <c:pt idx="19667">
                  <c:v>4498531.552015</c:v>
                </c:pt>
                <c:pt idx="19668">
                  <c:v>4499929.62336</c:v>
                </c:pt>
                <c:pt idx="19669">
                  <c:v>4501327.984345</c:v>
                </c:pt>
                <c:pt idx="19670">
                  <c:v>4502726.635</c:v>
                </c:pt>
                <c:pt idx="19671">
                  <c:v>4504125.575355</c:v>
                </c:pt>
                <c:pt idx="19672">
                  <c:v>4505524.80544</c:v>
                </c:pt>
                <c:pt idx="19673">
                  <c:v>4506924.325285</c:v>
                </c:pt>
                <c:pt idx="19674">
                  <c:v>4508324.13492</c:v>
                </c:pt>
                <c:pt idx="19675">
                  <c:v>4509724.234375</c:v>
                </c:pt>
                <c:pt idx="19676">
                  <c:v>4511124.62368</c:v>
                </c:pt>
                <c:pt idx="19677">
                  <c:v>4512525.3028649995</c:v>
                </c:pt>
                <c:pt idx="19678">
                  <c:v>4513926.2719600005</c:v>
                </c:pt>
                <c:pt idx="19679">
                  <c:v>4515327.530995</c:v>
                </c:pt>
                <c:pt idx="19680">
                  <c:v>4516729.08</c:v>
                </c:pt>
                <c:pt idx="19681">
                  <c:v>4518130.919005</c:v>
                </c:pt>
                <c:pt idx="19682">
                  <c:v>4519533.04804</c:v>
                </c:pt>
                <c:pt idx="19683">
                  <c:v>4520935.467135</c:v>
                </c:pt>
                <c:pt idx="19684">
                  <c:v>4522338.17632</c:v>
                </c:pt>
                <c:pt idx="19685">
                  <c:v>4523741.175625</c:v>
                </c:pt>
                <c:pt idx="19686">
                  <c:v>4525144.4650799995</c:v>
                </c:pt>
                <c:pt idx="19687">
                  <c:v>4526548.044715</c:v>
                </c:pt>
                <c:pt idx="19688">
                  <c:v>4527951.91456</c:v>
                </c:pt>
                <c:pt idx="19689">
                  <c:v>4529356.074645</c:v>
                </c:pt>
                <c:pt idx="19690">
                  <c:v>4530760.525</c:v>
                </c:pt>
                <c:pt idx="19691">
                  <c:v>4532165.265655</c:v>
                </c:pt>
                <c:pt idx="19692">
                  <c:v>4533570.29664</c:v>
                </c:pt>
                <c:pt idx="19693">
                  <c:v>4534975.617985</c:v>
                </c:pt>
                <c:pt idx="19694">
                  <c:v>4536381.22972</c:v>
                </c:pt>
                <c:pt idx="19695">
                  <c:v>4537787.131875</c:v>
                </c:pt>
                <c:pt idx="19696">
                  <c:v>4539193.324480001</c:v>
                </c:pt>
                <c:pt idx="19697">
                  <c:v>4540599.807565</c:v>
                </c:pt>
                <c:pt idx="19698">
                  <c:v>4542006.58116</c:v>
                </c:pt>
                <c:pt idx="19699">
                  <c:v>4543413.645295</c:v>
                </c:pt>
                <c:pt idx="19700">
                  <c:v>4544821.0</c:v>
                </c:pt>
                <c:pt idx="19701">
                  <c:v>4546228.645304999</c:v>
                </c:pt>
                <c:pt idx="19702">
                  <c:v>4547636.58124</c:v>
                </c:pt>
                <c:pt idx="19703">
                  <c:v>4549044.807835001</c:v>
                </c:pt>
                <c:pt idx="19704">
                  <c:v>4550453.32512</c:v>
                </c:pt>
                <c:pt idx="19705">
                  <c:v>4551862.133125001</c:v>
                </c:pt>
                <c:pt idx="19706">
                  <c:v>4553271.231880001</c:v>
                </c:pt>
                <c:pt idx="19707">
                  <c:v>4554680.6214149995</c:v>
                </c:pt>
                <c:pt idx="19708">
                  <c:v>4556090.30176</c:v>
                </c:pt>
                <c:pt idx="19709">
                  <c:v>4557500.272945</c:v>
                </c:pt>
                <c:pt idx="19710">
                  <c:v>4558910.535</c:v>
                </c:pt>
                <c:pt idx="19711">
                  <c:v>4560321.087955</c:v>
                </c:pt>
                <c:pt idx="19712">
                  <c:v>4561731.93184</c:v>
                </c:pt>
                <c:pt idx="19713">
                  <c:v>4563143.066685</c:v>
                </c:pt>
                <c:pt idx="19714">
                  <c:v>4564554.492520001</c:v>
                </c:pt>
                <c:pt idx="19715">
                  <c:v>4565966.209375</c:v>
                </c:pt>
                <c:pt idx="19716">
                  <c:v>4567378.21728</c:v>
                </c:pt>
                <c:pt idx="19717">
                  <c:v>4568790.516265</c:v>
                </c:pt>
                <c:pt idx="19718">
                  <c:v>4570203.106360001</c:v>
                </c:pt>
                <c:pt idx="19719">
                  <c:v>4571615.987594999</c:v>
                </c:pt>
                <c:pt idx="19720">
                  <c:v>4573029.16</c:v>
                </c:pt>
                <c:pt idx="19721">
                  <c:v>4574442.623605001</c:v>
                </c:pt>
                <c:pt idx="19722">
                  <c:v>4575856.37844</c:v>
                </c:pt>
                <c:pt idx="19723">
                  <c:v>4577270.424535</c:v>
                </c:pt>
                <c:pt idx="19724">
                  <c:v>4578684.7619199995</c:v>
                </c:pt>
                <c:pt idx="19725">
                  <c:v>4580099.390625</c:v>
                </c:pt>
                <c:pt idx="19726">
                  <c:v>4581514.31068</c:v>
                </c:pt>
                <c:pt idx="19727">
                  <c:v>4582929.522115</c:v>
                </c:pt>
                <c:pt idx="19728">
                  <c:v>4584345.02496</c:v>
                </c:pt>
                <c:pt idx="19729">
                  <c:v>4585760.819244999</c:v>
                </c:pt>
                <c:pt idx="19730">
                  <c:v>4587176.905</c:v>
                </c:pt>
                <c:pt idx="19731">
                  <c:v>4588593.2822549995</c:v>
                </c:pt>
                <c:pt idx="19732">
                  <c:v>4590009.95104</c:v>
                </c:pt>
                <c:pt idx="19733">
                  <c:v>4591426.911385</c:v>
                </c:pt>
                <c:pt idx="19734">
                  <c:v>4592844.163319999</c:v>
                </c:pt>
                <c:pt idx="19735">
                  <c:v>4594261.706875</c:v>
                </c:pt>
                <c:pt idx="19736">
                  <c:v>4595679.54208</c:v>
                </c:pt>
                <c:pt idx="19737">
                  <c:v>4597097.668965</c:v>
                </c:pt>
                <c:pt idx="19738">
                  <c:v>4598516.08756</c:v>
                </c:pt>
                <c:pt idx="19739">
                  <c:v>4599934.797895</c:v>
                </c:pt>
                <c:pt idx="19740">
                  <c:v>4601353.8</c:v>
                </c:pt>
                <c:pt idx="19741">
                  <c:v>4602773.093905</c:v>
                </c:pt>
                <c:pt idx="19742">
                  <c:v>4604192.67964</c:v>
                </c:pt>
                <c:pt idx="19743">
                  <c:v>4605612.557235</c:v>
                </c:pt>
                <c:pt idx="19744">
                  <c:v>4607032.726720001</c:v>
                </c:pt>
                <c:pt idx="19745">
                  <c:v>4608453.188124999</c:v>
                </c:pt>
                <c:pt idx="19746">
                  <c:v>4609873.9414800005</c:v>
                </c:pt>
                <c:pt idx="19747">
                  <c:v>4611294.986815</c:v>
                </c:pt>
                <c:pt idx="19748">
                  <c:v>4612716.324159999</c:v>
                </c:pt>
                <c:pt idx="19749">
                  <c:v>4614137.953545</c:v>
                </c:pt>
                <c:pt idx="19750">
                  <c:v>4615559.875</c:v>
                </c:pt>
                <c:pt idx="19751">
                  <c:v>4616982.088555</c:v>
                </c:pt>
                <c:pt idx="19752">
                  <c:v>4618404.59424</c:v>
                </c:pt>
                <c:pt idx="19753">
                  <c:v>4619827.392085</c:v>
                </c:pt>
                <c:pt idx="19754">
                  <c:v>4621250.48212</c:v>
                </c:pt>
                <c:pt idx="19755">
                  <c:v>4622673.864375</c:v>
                </c:pt>
                <c:pt idx="19756">
                  <c:v>4624097.53888</c:v>
                </c:pt>
                <c:pt idx="19757">
                  <c:v>4625521.5056650005</c:v>
                </c:pt>
                <c:pt idx="19758">
                  <c:v>4626945.76476</c:v>
                </c:pt>
                <c:pt idx="19759">
                  <c:v>4628370.316194999</c:v>
                </c:pt>
                <c:pt idx="19760">
                  <c:v>4629795.16</c:v>
                </c:pt>
                <c:pt idx="19761">
                  <c:v>4631220.296205</c:v>
                </c:pt>
                <c:pt idx="19762">
                  <c:v>4632645.724839999</c:v>
                </c:pt>
                <c:pt idx="19763">
                  <c:v>4634071.445935</c:v>
                </c:pt>
                <c:pt idx="19764">
                  <c:v>4635497.45952</c:v>
                </c:pt>
                <c:pt idx="19765">
                  <c:v>4636923.765625</c:v>
                </c:pt>
                <c:pt idx="19766">
                  <c:v>4638350.364279999</c:v>
                </c:pt>
                <c:pt idx="19767">
                  <c:v>4639777.255515</c:v>
                </c:pt>
                <c:pt idx="19768">
                  <c:v>4641204.43936</c:v>
                </c:pt>
                <c:pt idx="19769">
                  <c:v>4642631.915844999</c:v>
                </c:pt>
                <c:pt idx="19770">
                  <c:v>4644059.685</c:v>
                </c:pt>
                <c:pt idx="19771">
                  <c:v>4645487.746855</c:v>
                </c:pt>
                <c:pt idx="19772">
                  <c:v>4646916.10144</c:v>
                </c:pt>
                <c:pt idx="19773">
                  <c:v>4648344.748785</c:v>
                </c:pt>
                <c:pt idx="19774">
                  <c:v>4649773.688920001</c:v>
                </c:pt>
                <c:pt idx="19775">
                  <c:v>4651202.921875</c:v>
                </c:pt>
                <c:pt idx="19776">
                  <c:v>4652632.44768</c:v>
                </c:pt>
                <c:pt idx="19777">
                  <c:v>4654062.266365</c:v>
                </c:pt>
                <c:pt idx="19778">
                  <c:v>4655492.37796</c:v>
                </c:pt>
                <c:pt idx="19779">
                  <c:v>4656922.782495</c:v>
                </c:pt>
                <c:pt idx="19780">
                  <c:v>4658353.4799999995</c:v>
                </c:pt>
                <c:pt idx="19781">
                  <c:v>4659784.470505</c:v>
                </c:pt>
                <c:pt idx="19782">
                  <c:v>4661215.754039999</c:v>
                </c:pt>
                <c:pt idx="19783">
                  <c:v>4662647.330635</c:v>
                </c:pt>
                <c:pt idx="19784">
                  <c:v>4664079.20032</c:v>
                </c:pt>
                <c:pt idx="19785">
                  <c:v>4665511.363124999</c:v>
                </c:pt>
                <c:pt idx="19786">
                  <c:v>4666943.81908</c:v>
                </c:pt>
                <c:pt idx="19787">
                  <c:v>4668376.5682149995</c:v>
                </c:pt>
                <c:pt idx="19788">
                  <c:v>4669809.61056</c:v>
                </c:pt>
                <c:pt idx="19789">
                  <c:v>4671242.946145</c:v>
                </c:pt>
                <c:pt idx="19790">
                  <c:v>4672676.575</c:v>
                </c:pt>
                <c:pt idx="19791">
                  <c:v>4674110.4971549995</c:v>
                </c:pt>
                <c:pt idx="19792">
                  <c:v>4675544.71264</c:v>
                </c:pt>
                <c:pt idx="19793">
                  <c:v>4676979.221485</c:v>
                </c:pt>
                <c:pt idx="19794">
                  <c:v>4678414.02372</c:v>
                </c:pt>
                <c:pt idx="19795">
                  <c:v>4679849.119375</c:v>
                </c:pt>
                <c:pt idx="19796">
                  <c:v>4681284.50848</c:v>
                </c:pt>
                <c:pt idx="19797">
                  <c:v>4682720.191064999</c:v>
                </c:pt>
                <c:pt idx="19798">
                  <c:v>4684156.16716</c:v>
                </c:pt>
                <c:pt idx="19799">
                  <c:v>4685592.436795</c:v>
                </c:pt>
                <c:pt idx="19800">
                  <c:v>4687029.0</c:v>
                </c:pt>
                <c:pt idx="19801">
                  <c:v>4688465.8568049995</c:v>
                </c:pt>
                <c:pt idx="19802">
                  <c:v>4689903.00724</c:v>
                </c:pt>
                <c:pt idx="19803">
                  <c:v>4691340.451335</c:v>
                </c:pt>
                <c:pt idx="19804">
                  <c:v>4692778.18912</c:v>
                </c:pt>
                <c:pt idx="19805">
                  <c:v>4694216.220625</c:v>
                </c:pt>
                <c:pt idx="19806">
                  <c:v>4695654.54588</c:v>
                </c:pt>
                <c:pt idx="19807">
                  <c:v>4697093.164915</c:v>
                </c:pt>
                <c:pt idx="19808">
                  <c:v>4698532.077760001</c:v>
                </c:pt>
                <c:pt idx="19809">
                  <c:v>4699971.284445</c:v>
                </c:pt>
                <c:pt idx="19810">
                  <c:v>4701410.785</c:v>
                </c:pt>
                <c:pt idx="19811">
                  <c:v>4702850.579455</c:v>
                </c:pt>
                <c:pt idx="19812">
                  <c:v>4704290.66784</c:v>
                </c:pt>
                <c:pt idx="19813">
                  <c:v>4705731.050185</c:v>
                </c:pt>
                <c:pt idx="19814">
                  <c:v>4707171.72652</c:v>
                </c:pt>
                <c:pt idx="19815">
                  <c:v>4708612.696875</c:v>
                </c:pt>
                <c:pt idx="19816">
                  <c:v>4710053.96128</c:v>
                </c:pt>
                <c:pt idx="19817">
                  <c:v>4711495.519765</c:v>
                </c:pt>
                <c:pt idx="19818">
                  <c:v>4712937.37236</c:v>
                </c:pt>
                <c:pt idx="19819">
                  <c:v>4714379.519095</c:v>
                </c:pt>
                <c:pt idx="19820">
                  <c:v>4715821.96</c:v>
                </c:pt>
                <c:pt idx="19821">
                  <c:v>4717264.695105</c:v>
                </c:pt>
                <c:pt idx="19822">
                  <c:v>4718707.72444</c:v>
                </c:pt>
                <c:pt idx="19823">
                  <c:v>4720151.048035</c:v>
                </c:pt>
                <c:pt idx="19824">
                  <c:v>4721594.66592</c:v>
                </c:pt>
                <c:pt idx="19825">
                  <c:v>4723038.578125</c:v>
                </c:pt>
                <c:pt idx="19826">
                  <c:v>4724482.7846800005</c:v>
                </c:pt>
                <c:pt idx="19827">
                  <c:v>4725927.285615</c:v>
                </c:pt>
                <c:pt idx="19828">
                  <c:v>4727372.08096</c:v>
                </c:pt>
                <c:pt idx="19829">
                  <c:v>4728817.170745</c:v>
                </c:pt>
                <c:pt idx="19830">
                  <c:v>4730262.555000001</c:v>
                </c:pt>
                <c:pt idx="19831">
                  <c:v>4731708.233755</c:v>
                </c:pt>
                <c:pt idx="19832">
                  <c:v>4733154.20704</c:v>
                </c:pt>
                <c:pt idx="19833">
                  <c:v>4734600.474885001</c:v>
                </c:pt>
                <c:pt idx="19834">
                  <c:v>4736047.03732</c:v>
                </c:pt>
                <c:pt idx="19835">
                  <c:v>4737493.894375</c:v>
                </c:pt>
                <c:pt idx="19836">
                  <c:v>4738941.04608</c:v>
                </c:pt>
                <c:pt idx="19837">
                  <c:v>4740388.492465</c:v>
                </c:pt>
                <c:pt idx="19838">
                  <c:v>4741836.23356</c:v>
                </c:pt>
                <c:pt idx="19839">
                  <c:v>4743284.269394999</c:v>
                </c:pt>
                <c:pt idx="19840">
                  <c:v>4744732.6</c:v>
                </c:pt>
                <c:pt idx="19841">
                  <c:v>4746181.225405</c:v>
                </c:pt>
                <c:pt idx="19842">
                  <c:v>4747630.14564</c:v>
                </c:pt>
                <c:pt idx="19843">
                  <c:v>4749079.360735</c:v>
                </c:pt>
                <c:pt idx="19844">
                  <c:v>4750528.87072</c:v>
                </c:pt>
                <c:pt idx="19845">
                  <c:v>4751978.675625</c:v>
                </c:pt>
                <c:pt idx="19846">
                  <c:v>4753428.77548</c:v>
                </c:pt>
                <c:pt idx="19847">
                  <c:v>4754879.170315</c:v>
                </c:pt>
                <c:pt idx="19848">
                  <c:v>4756329.86016</c:v>
                </c:pt>
                <c:pt idx="19849">
                  <c:v>4757780.845045</c:v>
                </c:pt>
                <c:pt idx="19850">
                  <c:v>4759232.125</c:v>
                </c:pt>
                <c:pt idx="19851">
                  <c:v>4760683.700055</c:v>
                </c:pt>
                <c:pt idx="19852">
                  <c:v>4762135.57024</c:v>
                </c:pt>
                <c:pt idx="19853">
                  <c:v>4763587.735585</c:v>
                </c:pt>
                <c:pt idx="19854">
                  <c:v>4765040.19612</c:v>
                </c:pt>
                <c:pt idx="19855">
                  <c:v>4766492.951875</c:v>
                </c:pt>
                <c:pt idx="19856">
                  <c:v>4767946.00288</c:v>
                </c:pt>
                <c:pt idx="19857">
                  <c:v>4769399.349165</c:v>
                </c:pt>
                <c:pt idx="19858">
                  <c:v>4770852.99076</c:v>
                </c:pt>
                <c:pt idx="19859">
                  <c:v>4772306.927695</c:v>
                </c:pt>
                <c:pt idx="19860">
                  <c:v>4773761.16</c:v>
                </c:pt>
                <c:pt idx="19861">
                  <c:v>4775215.687705</c:v>
                </c:pt>
                <c:pt idx="19862">
                  <c:v>4776670.510840001</c:v>
                </c:pt>
                <c:pt idx="19863">
                  <c:v>4778125.629435</c:v>
                </c:pt>
                <c:pt idx="19864">
                  <c:v>4779581.04352</c:v>
                </c:pt>
                <c:pt idx="19865">
                  <c:v>4781036.753125</c:v>
                </c:pt>
                <c:pt idx="19866">
                  <c:v>4782492.758280001</c:v>
                </c:pt>
                <c:pt idx="19867">
                  <c:v>4783949.059014999</c:v>
                </c:pt>
                <c:pt idx="19868">
                  <c:v>4785405.65536</c:v>
                </c:pt>
                <c:pt idx="19869">
                  <c:v>4786862.547345</c:v>
                </c:pt>
                <c:pt idx="19870">
                  <c:v>4788319.734999999</c:v>
                </c:pt>
                <c:pt idx="19871">
                  <c:v>4789777.218355</c:v>
                </c:pt>
                <c:pt idx="19872">
                  <c:v>4791234.99744</c:v>
                </c:pt>
                <c:pt idx="19873">
                  <c:v>4792693.072285</c:v>
                </c:pt>
                <c:pt idx="19874">
                  <c:v>4794151.44292</c:v>
                </c:pt>
                <c:pt idx="19875">
                  <c:v>4795610.109375</c:v>
                </c:pt>
                <c:pt idx="19876">
                  <c:v>4797069.07168</c:v>
                </c:pt>
                <c:pt idx="19877">
                  <c:v>4798528.329865</c:v>
                </c:pt>
                <c:pt idx="19878">
                  <c:v>4799987.88396</c:v>
                </c:pt>
                <c:pt idx="19879">
                  <c:v>4801447.733995</c:v>
                </c:pt>
                <c:pt idx="19880">
                  <c:v>4802907.88</c:v>
                </c:pt>
                <c:pt idx="19881">
                  <c:v>4804368.322005</c:v>
                </c:pt>
                <c:pt idx="19882">
                  <c:v>4805829.06004</c:v>
                </c:pt>
                <c:pt idx="19883">
                  <c:v>4807290.094134999</c:v>
                </c:pt>
                <c:pt idx="19884">
                  <c:v>4808751.424319999</c:v>
                </c:pt>
                <c:pt idx="19885">
                  <c:v>4810213.050625</c:v>
                </c:pt>
                <c:pt idx="19886">
                  <c:v>4811674.97308</c:v>
                </c:pt>
                <c:pt idx="19887">
                  <c:v>4813137.191715</c:v>
                </c:pt>
                <c:pt idx="19888">
                  <c:v>4814599.706560001</c:v>
                </c:pt>
                <c:pt idx="19889">
                  <c:v>4816062.517645</c:v>
                </c:pt>
                <c:pt idx="19890">
                  <c:v>4817525.625</c:v>
                </c:pt>
                <c:pt idx="19891">
                  <c:v>4818989.028655</c:v>
                </c:pt>
                <c:pt idx="19892">
                  <c:v>4820452.728639999</c:v>
                </c:pt>
                <c:pt idx="19893">
                  <c:v>4821916.724985</c:v>
                </c:pt>
                <c:pt idx="19894">
                  <c:v>4823381.01772</c:v>
                </c:pt>
                <c:pt idx="19895">
                  <c:v>4824845.606875</c:v>
                </c:pt>
                <c:pt idx="19896">
                  <c:v>4826310.4924800005</c:v>
                </c:pt>
                <c:pt idx="19897">
                  <c:v>4827775.6745649995</c:v>
                </c:pt>
                <c:pt idx="19898">
                  <c:v>4829241.153159999</c:v>
                </c:pt>
                <c:pt idx="19899">
                  <c:v>4830706.9282949995</c:v>
                </c:pt>
                <c:pt idx="19900">
                  <c:v>4832173.0</c:v>
                </c:pt>
                <c:pt idx="19901">
                  <c:v>4833639.368305</c:v>
                </c:pt>
                <c:pt idx="19902">
                  <c:v>4835106.03324</c:v>
                </c:pt>
                <c:pt idx="19903">
                  <c:v>4836572.994835</c:v>
                </c:pt>
                <c:pt idx="19904">
                  <c:v>4838040.2531200005</c:v>
                </c:pt>
                <c:pt idx="19905">
                  <c:v>4839507.8081249995</c:v>
                </c:pt>
                <c:pt idx="19906">
                  <c:v>4840975.65988</c:v>
                </c:pt>
                <c:pt idx="19907">
                  <c:v>4842443.808415</c:v>
                </c:pt>
                <c:pt idx="19908">
                  <c:v>4843912.25376</c:v>
                </c:pt>
                <c:pt idx="19909">
                  <c:v>4845380.995945</c:v>
                </c:pt>
                <c:pt idx="19910">
                  <c:v>4846850.034999999</c:v>
                </c:pt>
                <c:pt idx="19911">
                  <c:v>4848319.370955</c:v>
                </c:pt>
                <c:pt idx="19912">
                  <c:v>4849789.00384</c:v>
                </c:pt>
                <c:pt idx="19913">
                  <c:v>4851258.933685</c:v>
                </c:pt>
                <c:pt idx="19914">
                  <c:v>4852729.16052</c:v>
                </c:pt>
                <c:pt idx="19915">
                  <c:v>4854199.684375</c:v>
                </c:pt>
                <c:pt idx="19916">
                  <c:v>4855670.505279999</c:v>
                </c:pt>
                <c:pt idx="19917">
                  <c:v>4857141.623265</c:v>
                </c:pt>
                <c:pt idx="19918">
                  <c:v>4858613.03836</c:v>
                </c:pt>
                <c:pt idx="19919">
                  <c:v>4860084.750595001</c:v>
                </c:pt>
                <c:pt idx="19920">
                  <c:v>4861556.76</c:v>
                </c:pt>
                <c:pt idx="19921">
                  <c:v>4863029.066605</c:v>
                </c:pt>
                <c:pt idx="19922">
                  <c:v>4864501.6704400005</c:v>
                </c:pt>
                <c:pt idx="19923">
                  <c:v>4865974.571535</c:v>
                </c:pt>
                <c:pt idx="19924">
                  <c:v>4867447.76992</c:v>
                </c:pt>
                <c:pt idx="19925">
                  <c:v>4868921.265625</c:v>
                </c:pt>
                <c:pt idx="19926">
                  <c:v>4870395.058680001</c:v>
                </c:pt>
                <c:pt idx="19927">
                  <c:v>4871869.149115</c:v>
                </c:pt>
                <c:pt idx="19928">
                  <c:v>4873343.53696</c:v>
                </c:pt>
                <c:pt idx="19929">
                  <c:v>4874818.222245</c:v>
                </c:pt>
                <c:pt idx="19930">
                  <c:v>4876293.205</c:v>
                </c:pt>
                <c:pt idx="19931">
                  <c:v>4877768.485255</c:v>
                </c:pt>
                <c:pt idx="19932">
                  <c:v>4879244.06304</c:v>
                </c:pt>
                <c:pt idx="19933">
                  <c:v>4880719.9383849995</c:v>
                </c:pt>
                <c:pt idx="19934">
                  <c:v>4882196.11132</c:v>
                </c:pt>
                <c:pt idx="19935">
                  <c:v>4883672.581875</c:v>
                </c:pt>
                <c:pt idx="19936">
                  <c:v>4885149.35008</c:v>
                </c:pt>
                <c:pt idx="19937">
                  <c:v>4886626.415964999</c:v>
                </c:pt>
                <c:pt idx="19938">
                  <c:v>4888103.779560001</c:v>
                </c:pt>
                <c:pt idx="19939">
                  <c:v>4889581.4408950005</c:v>
                </c:pt>
                <c:pt idx="19940">
                  <c:v>4891059.4</c:v>
                </c:pt>
                <c:pt idx="19941">
                  <c:v>4892537.656905</c:v>
                </c:pt>
                <c:pt idx="19942">
                  <c:v>4894016.21164</c:v>
                </c:pt>
                <c:pt idx="19943">
                  <c:v>4895495.064235001</c:v>
                </c:pt>
                <c:pt idx="19944">
                  <c:v>4896974.21472</c:v>
                </c:pt>
                <c:pt idx="19945">
                  <c:v>4898453.663125</c:v>
                </c:pt>
                <c:pt idx="19946">
                  <c:v>4899933.40948</c:v>
                </c:pt>
                <c:pt idx="19947">
                  <c:v>4901413.453815</c:v>
                </c:pt>
                <c:pt idx="19948">
                  <c:v>4902893.796159999</c:v>
                </c:pt>
                <c:pt idx="19949">
                  <c:v>4904374.436545</c:v>
                </c:pt>
                <c:pt idx="19950">
                  <c:v>4905855.375</c:v>
                </c:pt>
                <c:pt idx="19951">
                  <c:v>4907336.611555</c:v>
                </c:pt>
                <c:pt idx="19952">
                  <c:v>4908818.14624</c:v>
                </c:pt>
                <c:pt idx="19953">
                  <c:v>4910299.979085</c:v>
                </c:pt>
                <c:pt idx="19954">
                  <c:v>4911782.11012</c:v>
                </c:pt>
                <c:pt idx="19955">
                  <c:v>4913264.539375001</c:v>
                </c:pt>
                <c:pt idx="19956">
                  <c:v>4914747.26688</c:v>
                </c:pt>
                <c:pt idx="19957">
                  <c:v>4916230.292665</c:v>
                </c:pt>
                <c:pt idx="19958">
                  <c:v>4917713.61676</c:v>
                </c:pt>
                <c:pt idx="19959">
                  <c:v>4919197.239195</c:v>
                </c:pt>
                <c:pt idx="19960">
                  <c:v>4920681.16</c:v>
                </c:pt>
                <c:pt idx="19961">
                  <c:v>4922165.379205</c:v>
                </c:pt>
                <c:pt idx="19962">
                  <c:v>4923649.89684</c:v>
                </c:pt>
                <c:pt idx="19963">
                  <c:v>4925134.712935</c:v>
                </c:pt>
                <c:pt idx="19964">
                  <c:v>4926619.82752</c:v>
                </c:pt>
                <c:pt idx="19965">
                  <c:v>4928105.240625</c:v>
                </c:pt>
                <c:pt idx="19966">
                  <c:v>4929590.95228</c:v>
                </c:pt>
                <c:pt idx="19967">
                  <c:v>4931076.962515</c:v>
                </c:pt>
                <c:pt idx="19968">
                  <c:v>4932563.271360001</c:v>
                </c:pt>
                <c:pt idx="19969">
                  <c:v>4934049.878845001</c:v>
                </c:pt>
                <c:pt idx="19970">
                  <c:v>4935536.785</c:v>
                </c:pt>
                <c:pt idx="19971">
                  <c:v>4937023.989855</c:v>
                </c:pt>
                <c:pt idx="19972">
                  <c:v>4938511.49344</c:v>
                </c:pt>
                <c:pt idx="19973">
                  <c:v>4939999.295785</c:v>
                </c:pt>
                <c:pt idx="19974">
                  <c:v>4941487.39692</c:v>
                </c:pt>
                <c:pt idx="19975">
                  <c:v>4942975.796875</c:v>
                </c:pt>
                <c:pt idx="19976">
                  <c:v>4944464.49568</c:v>
                </c:pt>
                <c:pt idx="19977">
                  <c:v>4945953.493365</c:v>
                </c:pt>
                <c:pt idx="19978">
                  <c:v>4947442.78996</c:v>
                </c:pt>
                <c:pt idx="19979">
                  <c:v>4948932.3854950005</c:v>
                </c:pt>
                <c:pt idx="19980">
                  <c:v>4950422.28</c:v>
                </c:pt>
                <c:pt idx="19981">
                  <c:v>4951912.473505</c:v>
                </c:pt>
                <c:pt idx="19982">
                  <c:v>4953402.96604</c:v>
                </c:pt>
                <c:pt idx="19983">
                  <c:v>4954893.757635</c:v>
                </c:pt>
                <c:pt idx="19984">
                  <c:v>4956384.84832</c:v>
                </c:pt>
                <c:pt idx="19985">
                  <c:v>4957876.238125</c:v>
                </c:pt>
                <c:pt idx="19986">
                  <c:v>4959367.92708</c:v>
                </c:pt>
                <c:pt idx="19987">
                  <c:v>4960859.915215</c:v>
                </c:pt>
                <c:pt idx="19988">
                  <c:v>4962352.20256</c:v>
                </c:pt>
                <c:pt idx="19989">
                  <c:v>4963844.789145</c:v>
                </c:pt>
                <c:pt idx="19990">
                  <c:v>4965337.675</c:v>
                </c:pt>
                <c:pt idx="19991">
                  <c:v>4966830.860155</c:v>
                </c:pt>
                <c:pt idx="19992">
                  <c:v>4968324.344640001</c:v>
                </c:pt>
                <c:pt idx="19993">
                  <c:v>4969818.128485</c:v>
                </c:pt>
                <c:pt idx="19994">
                  <c:v>4971312.21172</c:v>
                </c:pt>
                <c:pt idx="19995">
                  <c:v>4972806.594374999</c:v>
                </c:pt>
                <c:pt idx="19996">
                  <c:v>4974301.2764800005</c:v>
                </c:pt>
                <c:pt idx="19997">
                  <c:v>4975796.258064999</c:v>
                </c:pt>
                <c:pt idx="19998">
                  <c:v>4977291.53916</c:v>
                </c:pt>
                <c:pt idx="19999">
                  <c:v>4978787.119794999</c:v>
                </c:pt>
              </c:numCache>
            </c:numRef>
          </c:val>
          <c:smooth val="true"/>
        </c:ser>
        <c:ser>
          <c:idx val="1"/>
          <c:order val="1"/>
          <c:marker>
            <c:symbol val="dot"/>
          </c:marker>
          <c:cat>
            <c:numRef>
              <c:f>'GP plots'!$A$1:$A$20000</c:f>
              <c:numCache>
                <c:ptCount val="20000"/>
                <c:pt idx="0">
                  <c:v>-100.0</c:v>
                </c:pt>
                <c:pt idx="1">
                  <c:v>-99.99</c:v>
                </c:pt>
                <c:pt idx="2">
                  <c:v>-99.98</c:v>
                </c:pt>
                <c:pt idx="3">
                  <c:v>-99.97</c:v>
                </c:pt>
                <c:pt idx="4">
                  <c:v>-99.96</c:v>
                </c:pt>
                <c:pt idx="5">
                  <c:v>-99.95</c:v>
                </c:pt>
                <c:pt idx="6">
                  <c:v>-99.94</c:v>
                </c:pt>
                <c:pt idx="7">
                  <c:v>-99.93</c:v>
                </c:pt>
                <c:pt idx="8">
                  <c:v>-99.92</c:v>
                </c:pt>
                <c:pt idx="9">
                  <c:v>-99.91</c:v>
                </c:pt>
                <c:pt idx="10">
                  <c:v>-99.9</c:v>
                </c:pt>
                <c:pt idx="11">
                  <c:v>-99.89</c:v>
                </c:pt>
                <c:pt idx="12">
                  <c:v>-99.88</c:v>
                </c:pt>
                <c:pt idx="13">
                  <c:v>-99.87</c:v>
                </c:pt>
                <c:pt idx="14">
                  <c:v>-99.86</c:v>
                </c:pt>
                <c:pt idx="15">
                  <c:v>-99.85</c:v>
                </c:pt>
                <c:pt idx="16">
                  <c:v>-99.84</c:v>
                </c:pt>
                <c:pt idx="17">
                  <c:v>-99.83</c:v>
                </c:pt>
                <c:pt idx="18">
                  <c:v>-99.82</c:v>
                </c:pt>
                <c:pt idx="19">
                  <c:v>-99.81</c:v>
                </c:pt>
                <c:pt idx="20">
                  <c:v>-99.8</c:v>
                </c:pt>
                <c:pt idx="21">
                  <c:v>-99.79</c:v>
                </c:pt>
                <c:pt idx="22">
                  <c:v>-99.78</c:v>
                </c:pt>
                <c:pt idx="23">
                  <c:v>-99.77</c:v>
                </c:pt>
                <c:pt idx="24">
                  <c:v>-99.76</c:v>
                </c:pt>
                <c:pt idx="25">
                  <c:v>-99.75</c:v>
                </c:pt>
                <c:pt idx="26">
                  <c:v>-99.74</c:v>
                </c:pt>
                <c:pt idx="27">
                  <c:v>-99.73</c:v>
                </c:pt>
                <c:pt idx="28">
                  <c:v>-99.72</c:v>
                </c:pt>
                <c:pt idx="29">
                  <c:v>-99.71</c:v>
                </c:pt>
                <c:pt idx="30">
                  <c:v>-99.7</c:v>
                </c:pt>
                <c:pt idx="31">
                  <c:v>-99.69</c:v>
                </c:pt>
                <c:pt idx="32">
                  <c:v>-99.68</c:v>
                </c:pt>
                <c:pt idx="33">
                  <c:v>-99.67</c:v>
                </c:pt>
                <c:pt idx="34">
                  <c:v>-99.66</c:v>
                </c:pt>
                <c:pt idx="35">
                  <c:v>-99.65</c:v>
                </c:pt>
                <c:pt idx="36">
                  <c:v>-99.64</c:v>
                </c:pt>
                <c:pt idx="37">
                  <c:v>-99.63</c:v>
                </c:pt>
                <c:pt idx="38">
                  <c:v>-99.62</c:v>
                </c:pt>
                <c:pt idx="39">
                  <c:v>-99.61</c:v>
                </c:pt>
                <c:pt idx="40">
                  <c:v>-99.6</c:v>
                </c:pt>
                <c:pt idx="41">
                  <c:v>-99.59</c:v>
                </c:pt>
                <c:pt idx="42">
                  <c:v>-99.58</c:v>
                </c:pt>
                <c:pt idx="43">
                  <c:v>-99.57</c:v>
                </c:pt>
                <c:pt idx="44">
                  <c:v>-99.56</c:v>
                </c:pt>
                <c:pt idx="45">
                  <c:v>-99.55</c:v>
                </c:pt>
                <c:pt idx="46">
                  <c:v>-99.54</c:v>
                </c:pt>
                <c:pt idx="47">
                  <c:v>-99.53</c:v>
                </c:pt>
                <c:pt idx="48">
                  <c:v>-99.52</c:v>
                </c:pt>
                <c:pt idx="49">
                  <c:v>-99.51</c:v>
                </c:pt>
                <c:pt idx="50">
                  <c:v>-99.5</c:v>
                </c:pt>
                <c:pt idx="51">
                  <c:v>-99.49</c:v>
                </c:pt>
                <c:pt idx="52">
                  <c:v>-99.48</c:v>
                </c:pt>
                <c:pt idx="53">
                  <c:v>-99.47</c:v>
                </c:pt>
                <c:pt idx="54">
                  <c:v>-99.46</c:v>
                </c:pt>
                <c:pt idx="55">
                  <c:v>-99.45</c:v>
                </c:pt>
                <c:pt idx="56">
                  <c:v>-99.44</c:v>
                </c:pt>
                <c:pt idx="57">
                  <c:v>-99.43</c:v>
                </c:pt>
                <c:pt idx="58">
                  <c:v>-99.42</c:v>
                </c:pt>
                <c:pt idx="59">
                  <c:v>-99.41</c:v>
                </c:pt>
                <c:pt idx="60">
                  <c:v>-99.4</c:v>
                </c:pt>
                <c:pt idx="61">
                  <c:v>-99.39</c:v>
                </c:pt>
                <c:pt idx="62">
                  <c:v>-99.38</c:v>
                </c:pt>
                <c:pt idx="63">
                  <c:v>-99.37</c:v>
                </c:pt>
                <c:pt idx="64">
                  <c:v>-99.36</c:v>
                </c:pt>
                <c:pt idx="65">
                  <c:v>-99.35</c:v>
                </c:pt>
                <c:pt idx="66">
                  <c:v>-99.34</c:v>
                </c:pt>
                <c:pt idx="67">
                  <c:v>-99.33</c:v>
                </c:pt>
                <c:pt idx="68">
                  <c:v>-99.32</c:v>
                </c:pt>
                <c:pt idx="69">
                  <c:v>-99.31</c:v>
                </c:pt>
                <c:pt idx="70">
                  <c:v>-99.3</c:v>
                </c:pt>
                <c:pt idx="71">
                  <c:v>-99.29</c:v>
                </c:pt>
                <c:pt idx="72">
                  <c:v>-99.28</c:v>
                </c:pt>
                <c:pt idx="73">
                  <c:v>-99.27</c:v>
                </c:pt>
                <c:pt idx="74">
                  <c:v>-99.26</c:v>
                </c:pt>
                <c:pt idx="75">
                  <c:v>-99.25</c:v>
                </c:pt>
                <c:pt idx="76">
                  <c:v>-99.24</c:v>
                </c:pt>
                <c:pt idx="77">
                  <c:v>-99.23</c:v>
                </c:pt>
                <c:pt idx="78">
                  <c:v>-99.22</c:v>
                </c:pt>
                <c:pt idx="79">
                  <c:v>-99.21</c:v>
                </c:pt>
                <c:pt idx="80">
                  <c:v>-99.2</c:v>
                </c:pt>
                <c:pt idx="81">
                  <c:v>-99.19</c:v>
                </c:pt>
                <c:pt idx="82">
                  <c:v>-99.18</c:v>
                </c:pt>
                <c:pt idx="83">
                  <c:v>-99.17</c:v>
                </c:pt>
                <c:pt idx="84">
                  <c:v>-99.16</c:v>
                </c:pt>
                <c:pt idx="85">
                  <c:v>-99.15</c:v>
                </c:pt>
                <c:pt idx="86">
                  <c:v>-99.14</c:v>
                </c:pt>
                <c:pt idx="87">
                  <c:v>-99.13</c:v>
                </c:pt>
                <c:pt idx="88">
                  <c:v>-99.12</c:v>
                </c:pt>
                <c:pt idx="89">
                  <c:v>-99.11</c:v>
                </c:pt>
                <c:pt idx="90">
                  <c:v>-99.1</c:v>
                </c:pt>
                <c:pt idx="91">
                  <c:v>-99.09</c:v>
                </c:pt>
                <c:pt idx="92">
                  <c:v>-99.08</c:v>
                </c:pt>
                <c:pt idx="93">
                  <c:v>-99.07</c:v>
                </c:pt>
                <c:pt idx="94">
                  <c:v>-99.06</c:v>
                </c:pt>
                <c:pt idx="95">
                  <c:v>-99.05</c:v>
                </c:pt>
                <c:pt idx="96">
                  <c:v>-99.04</c:v>
                </c:pt>
                <c:pt idx="97">
                  <c:v>-99.03</c:v>
                </c:pt>
                <c:pt idx="98">
                  <c:v>-99.02</c:v>
                </c:pt>
                <c:pt idx="99">
                  <c:v>-99.01</c:v>
                </c:pt>
                <c:pt idx="100">
                  <c:v>-99.0</c:v>
                </c:pt>
                <c:pt idx="101">
                  <c:v>-98.99</c:v>
                </c:pt>
                <c:pt idx="102">
                  <c:v>-98.98</c:v>
                </c:pt>
                <c:pt idx="103">
                  <c:v>-98.97</c:v>
                </c:pt>
                <c:pt idx="104">
                  <c:v>-98.96</c:v>
                </c:pt>
                <c:pt idx="105">
                  <c:v>-98.95</c:v>
                </c:pt>
                <c:pt idx="106">
                  <c:v>-98.94</c:v>
                </c:pt>
                <c:pt idx="107">
                  <c:v>-98.93</c:v>
                </c:pt>
                <c:pt idx="108">
                  <c:v>-98.92</c:v>
                </c:pt>
                <c:pt idx="109">
                  <c:v>-98.91</c:v>
                </c:pt>
                <c:pt idx="110">
                  <c:v>-98.9</c:v>
                </c:pt>
                <c:pt idx="111">
                  <c:v>-98.89</c:v>
                </c:pt>
                <c:pt idx="112">
                  <c:v>-98.88</c:v>
                </c:pt>
                <c:pt idx="113">
                  <c:v>-98.87</c:v>
                </c:pt>
                <c:pt idx="114">
                  <c:v>-98.86</c:v>
                </c:pt>
                <c:pt idx="115">
                  <c:v>-98.85</c:v>
                </c:pt>
                <c:pt idx="116">
                  <c:v>-98.84</c:v>
                </c:pt>
                <c:pt idx="117">
                  <c:v>-98.83</c:v>
                </c:pt>
                <c:pt idx="118">
                  <c:v>-98.82</c:v>
                </c:pt>
                <c:pt idx="119">
                  <c:v>-98.81</c:v>
                </c:pt>
                <c:pt idx="120">
                  <c:v>-98.8</c:v>
                </c:pt>
                <c:pt idx="121">
                  <c:v>-98.79</c:v>
                </c:pt>
                <c:pt idx="122">
                  <c:v>-98.78</c:v>
                </c:pt>
                <c:pt idx="123">
                  <c:v>-98.77</c:v>
                </c:pt>
                <c:pt idx="124">
                  <c:v>-98.76</c:v>
                </c:pt>
                <c:pt idx="125">
                  <c:v>-98.75</c:v>
                </c:pt>
                <c:pt idx="126">
                  <c:v>-98.74</c:v>
                </c:pt>
                <c:pt idx="127">
                  <c:v>-98.73</c:v>
                </c:pt>
                <c:pt idx="128">
                  <c:v>-98.72</c:v>
                </c:pt>
                <c:pt idx="129">
                  <c:v>-98.71</c:v>
                </c:pt>
                <c:pt idx="130">
                  <c:v>-98.7</c:v>
                </c:pt>
                <c:pt idx="131">
                  <c:v>-98.69</c:v>
                </c:pt>
                <c:pt idx="132">
                  <c:v>-98.68</c:v>
                </c:pt>
                <c:pt idx="133">
                  <c:v>-98.67</c:v>
                </c:pt>
                <c:pt idx="134">
                  <c:v>-98.66</c:v>
                </c:pt>
                <c:pt idx="135">
                  <c:v>-98.65</c:v>
                </c:pt>
                <c:pt idx="136">
                  <c:v>-98.64</c:v>
                </c:pt>
                <c:pt idx="137">
                  <c:v>-98.63</c:v>
                </c:pt>
                <c:pt idx="138">
                  <c:v>-98.62</c:v>
                </c:pt>
                <c:pt idx="139">
                  <c:v>-98.61</c:v>
                </c:pt>
                <c:pt idx="140">
                  <c:v>-98.6</c:v>
                </c:pt>
                <c:pt idx="141">
                  <c:v>-98.59</c:v>
                </c:pt>
                <c:pt idx="142">
                  <c:v>-98.58</c:v>
                </c:pt>
                <c:pt idx="143">
                  <c:v>-98.57</c:v>
                </c:pt>
                <c:pt idx="144">
                  <c:v>-98.56</c:v>
                </c:pt>
                <c:pt idx="145">
                  <c:v>-98.55</c:v>
                </c:pt>
                <c:pt idx="146">
                  <c:v>-98.54</c:v>
                </c:pt>
                <c:pt idx="147">
                  <c:v>-98.53</c:v>
                </c:pt>
                <c:pt idx="148">
                  <c:v>-98.52</c:v>
                </c:pt>
                <c:pt idx="149">
                  <c:v>-98.51</c:v>
                </c:pt>
                <c:pt idx="150">
                  <c:v>-98.5</c:v>
                </c:pt>
                <c:pt idx="151">
                  <c:v>-98.49</c:v>
                </c:pt>
                <c:pt idx="152">
                  <c:v>-98.48</c:v>
                </c:pt>
                <c:pt idx="153">
                  <c:v>-98.47</c:v>
                </c:pt>
                <c:pt idx="154">
                  <c:v>-98.46</c:v>
                </c:pt>
                <c:pt idx="155">
                  <c:v>-98.45</c:v>
                </c:pt>
                <c:pt idx="156">
                  <c:v>-98.44</c:v>
                </c:pt>
                <c:pt idx="157">
                  <c:v>-98.43</c:v>
                </c:pt>
                <c:pt idx="158">
                  <c:v>-98.42</c:v>
                </c:pt>
                <c:pt idx="159">
                  <c:v>-98.41</c:v>
                </c:pt>
                <c:pt idx="160">
                  <c:v>-98.4</c:v>
                </c:pt>
                <c:pt idx="161">
                  <c:v>-98.39</c:v>
                </c:pt>
                <c:pt idx="162">
                  <c:v>-98.38</c:v>
                </c:pt>
                <c:pt idx="163">
                  <c:v>-98.37</c:v>
                </c:pt>
                <c:pt idx="164">
                  <c:v>-98.36</c:v>
                </c:pt>
                <c:pt idx="165">
                  <c:v>-98.35</c:v>
                </c:pt>
                <c:pt idx="166">
                  <c:v>-98.34</c:v>
                </c:pt>
                <c:pt idx="167">
                  <c:v>-98.33</c:v>
                </c:pt>
                <c:pt idx="168">
                  <c:v>-98.32</c:v>
                </c:pt>
                <c:pt idx="169">
                  <c:v>-98.31</c:v>
                </c:pt>
                <c:pt idx="170">
                  <c:v>-98.3</c:v>
                </c:pt>
                <c:pt idx="171">
                  <c:v>-98.29</c:v>
                </c:pt>
                <c:pt idx="172">
                  <c:v>-98.28</c:v>
                </c:pt>
                <c:pt idx="173">
                  <c:v>-98.27</c:v>
                </c:pt>
                <c:pt idx="174">
                  <c:v>-98.26</c:v>
                </c:pt>
                <c:pt idx="175">
                  <c:v>-98.25</c:v>
                </c:pt>
                <c:pt idx="176">
                  <c:v>-98.24</c:v>
                </c:pt>
                <c:pt idx="177">
                  <c:v>-98.23</c:v>
                </c:pt>
                <c:pt idx="178">
                  <c:v>-98.22</c:v>
                </c:pt>
                <c:pt idx="179">
                  <c:v>-98.21</c:v>
                </c:pt>
                <c:pt idx="180">
                  <c:v>-98.2</c:v>
                </c:pt>
                <c:pt idx="181">
                  <c:v>-98.19</c:v>
                </c:pt>
                <c:pt idx="182">
                  <c:v>-98.18</c:v>
                </c:pt>
                <c:pt idx="183">
                  <c:v>-98.17</c:v>
                </c:pt>
                <c:pt idx="184">
                  <c:v>-98.16</c:v>
                </c:pt>
                <c:pt idx="185">
                  <c:v>-98.15</c:v>
                </c:pt>
                <c:pt idx="186">
                  <c:v>-98.14</c:v>
                </c:pt>
                <c:pt idx="187">
                  <c:v>-98.13</c:v>
                </c:pt>
                <c:pt idx="188">
                  <c:v>-98.12</c:v>
                </c:pt>
                <c:pt idx="189">
                  <c:v>-98.11</c:v>
                </c:pt>
                <c:pt idx="190">
                  <c:v>-98.1</c:v>
                </c:pt>
                <c:pt idx="191">
                  <c:v>-98.09</c:v>
                </c:pt>
                <c:pt idx="192">
                  <c:v>-98.08</c:v>
                </c:pt>
                <c:pt idx="193">
                  <c:v>-98.07</c:v>
                </c:pt>
                <c:pt idx="194">
                  <c:v>-98.06</c:v>
                </c:pt>
                <c:pt idx="195">
                  <c:v>-98.05</c:v>
                </c:pt>
                <c:pt idx="196">
                  <c:v>-98.04</c:v>
                </c:pt>
                <c:pt idx="197">
                  <c:v>-98.03</c:v>
                </c:pt>
                <c:pt idx="198">
                  <c:v>-98.02</c:v>
                </c:pt>
                <c:pt idx="199">
                  <c:v>-98.01</c:v>
                </c:pt>
                <c:pt idx="200">
                  <c:v>-98.0</c:v>
                </c:pt>
                <c:pt idx="201">
                  <c:v>-97.99</c:v>
                </c:pt>
                <c:pt idx="202">
                  <c:v>-97.98</c:v>
                </c:pt>
                <c:pt idx="203">
                  <c:v>-97.97</c:v>
                </c:pt>
                <c:pt idx="204">
                  <c:v>-97.96</c:v>
                </c:pt>
                <c:pt idx="205">
                  <c:v>-97.95</c:v>
                </c:pt>
                <c:pt idx="206">
                  <c:v>-97.94</c:v>
                </c:pt>
                <c:pt idx="207">
                  <c:v>-97.93</c:v>
                </c:pt>
                <c:pt idx="208">
                  <c:v>-97.92</c:v>
                </c:pt>
                <c:pt idx="209">
                  <c:v>-97.91</c:v>
                </c:pt>
                <c:pt idx="210">
                  <c:v>-97.9</c:v>
                </c:pt>
                <c:pt idx="211">
                  <c:v>-97.89</c:v>
                </c:pt>
                <c:pt idx="212">
                  <c:v>-97.88</c:v>
                </c:pt>
                <c:pt idx="213">
                  <c:v>-97.87</c:v>
                </c:pt>
                <c:pt idx="214">
                  <c:v>-97.86</c:v>
                </c:pt>
                <c:pt idx="215">
                  <c:v>-97.85</c:v>
                </c:pt>
                <c:pt idx="216">
                  <c:v>-97.84</c:v>
                </c:pt>
                <c:pt idx="217">
                  <c:v>-97.83</c:v>
                </c:pt>
                <c:pt idx="218">
                  <c:v>-97.82</c:v>
                </c:pt>
                <c:pt idx="219">
                  <c:v>-97.81</c:v>
                </c:pt>
                <c:pt idx="220">
                  <c:v>-97.8</c:v>
                </c:pt>
                <c:pt idx="221">
                  <c:v>-97.79</c:v>
                </c:pt>
                <c:pt idx="222">
                  <c:v>-97.78</c:v>
                </c:pt>
                <c:pt idx="223">
                  <c:v>-97.77</c:v>
                </c:pt>
                <c:pt idx="224">
                  <c:v>-97.76</c:v>
                </c:pt>
                <c:pt idx="225">
                  <c:v>-97.75</c:v>
                </c:pt>
                <c:pt idx="226">
                  <c:v>-97.74</c:v>
                </c:pt>
                <c:pt idx="227">
                  <c:v>-97.73</c:v>
                </c:pt>
                <c:pt idx="228">
                  <c:v>-97.72</c:v>
                </c:pt>
                <c:pt idx="229">
                  <c:v>-97.71</c:v>
                </c:pt>
                <c:pt idx="230">
                  <c:v>-97.7</c:v>
                </c:pt>
                <c:pt idx="231">
                  <c:v>-97.69</c:v>
                </c:pt>
                <c:pt idx="232">
                  <c:v>-97.68</c:v>
                </c:pt>
                <c:pt idx="233">
                  <c:v>-97.67</c:v>
                </c:pt>
                <c:pt idx="234">
                  <c:v>-97.66</c:v>
                </c:pt>
                <c:pt idx="235">
                  <c:v>-97.65</c:v>
                </c:pt>
                <c:pt idx="236">
                  <c:v>-97.64</c:v>
                </c:pt>
                <c:pt idx="237">
                  <c:v>-97.63</c:v>
                </c:pt>
                <c:pt idx="238">
                  <c:v>-97.62</c:v>
                </c:pt>
                <c:pt idx="239">
                  <c:v>-97.61</c:v>
                </c:pt>
                <c:pt idx="240">
                  <c:v>-97.6</c:v>
                </c:pt>
                <c:pt idx="241">
                  <c:v>-97.59</c:v>
                </c:pt>
                <c:pt idx="242">
                  <c:v>-97.58</c:v>
                </c:pt>
                <c:pt idx="243">
                  <c:v>-97.57</c:v>
                </c:pt>
                <c:pt idx="244">
                  <c:v>-97.56</c:v>
                </c:pt>
                <c:pt idx="245">
                  <c:v>-97.55</c:v>
                </c:pt>
                <c:pt idx="246">
                  <c:v>-97.54</c:v>
                </c:pt>
                <c:pt idx="247">
                  <c:v>-97.53</c:v>
                </c:pt>
                <c:pt idx="248">
                  <c:v>-97.52</c:v>
                </c:pt>
                <c:pt idx="249">
                  <c:v>-97.51</c:v>
                </c:pt>
                <c:pt idx="250">
                  <c:v>-97.5</c:v>
                </c:pt>
                <c:pt idx="251">
                  <c:v>-97.49</c:v>
                </c:pt>
                <c:pt idx="252">
                  <c:v>-97.48</c:v>
                </c:pt>
                <c:pt idx="253">
                  <c:v>-97.47</c:v>
                </c:pt>
                <c:pt idx="254">
                  <c:v>-97.46</c:v>
                </c:pt>
                <c:pt idx="255">
                  <c:v>-97.45</c:v>
                </c:pt>
                <c:pt idx="256">
                  <c:v>-97.44</c:v>
                </c:pt>
                <c:pt idx="257">
                  <c:v>-97.43</c:v>
                </c:pt>
                <c:pt idx="258">
                  <c:v>-97.42</c:v>
                </c:pt>
                <c:pt idx="259">
                  <c:v>-97.41</c:v>
                </c:pt>
                <c:pt idx="260">
                  <c:v>-97.4</c:v>
                </c:pt>
                <c:pt idx="261">
                  <c:v>-97.39</c:v>
                </c:pt>
                <c:pt idx="262">
                  <c:v>-97.38</c:v>
                </c:pt>
                <c:pt idx="263">
                  <c:v>-97.37</c:v>
                </c:pt>
                <c:pt idx="264">
                  <c:v>-97.36</c:v>
                </c:pt>
                <c:pt idx="265">
                  <c:v>-97.35</c:v>
                </c:pt>
                <c:pt idx="266">
                  <c:v>-97.34</c:v>
                </c:pt>
                <c:pt idx="267">
                  <c:v>-97.33</c:v>
                </c:pt>
                <c:pt idx="268">
                  <c:v>-97.32</c:v>
                </c:pt>
                <c:pt idx="269">
                  <c:v>-97.31</c:v>
                </c:pt>
                <c:pt idx="270">
                  <c:v>-97.3</c:v>
                </c:pt>
                <c:pt idx="271">
                  <c:v>-97.29</c:v>
                </c:pt>
                <c:pt idx="272">
                  <c:v>-97.28</c:v>
                </c:pt>
                <c:pt idx="273">
                  <c:v>-97.27</c:v>
                </c:pt>
                <c:pt idx="274">
                  <c:v>-97.26</c:v>
                </c:pt>
                <c:pt idx="275">
                  <c:v>-97.25</c:v>
                </c:pt>
                <c:pt idx="276">
                  <c:v>-97.24</c:v>
                </c:pt>
                <c:pt idx="277">
                  <c:v>-97.23</c:v>
                </c:pt>
                <c:pt idx="278">
                  <c:v>-97.22</c:v>
                </c:pt>
                <c:pt idx="279">
                  <c:v>-97.21</c:v>
                </c:pt>
                <c:pt idx="280">
                  <c:v>-97.2</c:v>
                </c:pt>
                <c:pt idx="281">
                  <c:v>-97.19</c:v>
                </c:pt>
                <c:pt idx="282">
                  <c:v>-97.18</c:v>
                </c:pt>
                <c:pt idx="283">
                  <c:v>-97.17</c:v>
                </c:pt>
                <c:pt idx="284">
                  <c:v>-97.16</c:v>
                </c:pt>
                <c:pt idx="285">
                  <c:v>-97.15</c:v>
                </c:pt>
                <c:pt idx="286">
                  <c:v>-97.14</c:v>
                </c:pt>
                <c:pt idx="287">
                  <c:v>-97.13</c:v>
                </c:pt>
                <c:pt idx="288">
                  <c:v>-97.12</c:v>
                </c:pt>
                <c:pt idx="289">
                  <c:v>-97.11</c:v>
                </c:pt>
                <c:pt idx="290">
                  <c:v>-97.1</c:v>
                </c:pt>
                <c:pt idx="291">
                  <c:v>-97.09</c:v>
                </c:pt>
                <c:pt idx="292">
                  <c:v>-97.08</c:v>
                </c:pt>
                <c:pt idx="293">
                  <c:v>-97.07</c:v>
                </c:pt>
                <c:pt idx="294">
                  <c:v>-97.06</c:v>
                </c:pt>
                <c:pt idx="295">
                  <c:v>-97.05</c:v>
                </c:pt>
                <c:pt idx="296">
                  <c:v>-97.04</c:v>
                </c:pt>
                <c:pt idx="297">
                  <c:v>-97.03</c:v>
                </c:pt>
                <c:pt idx="298">
                  <c:v>-97.02</c:v>
                </c:pt>
                <c:pt idx="299">
                  <c:v>-97.01</c:v>
                </c:pt>
                <c:pt idx="300">
                  <c:v>-97.0</c:v>
                </c:pt>
                <c:pt idx="301">
                  <c:v>-96.99</c:v>
                </c:pt>
                <c:pt idx="302">
                  <c:v>-96.98</c:v>
                </c:pt>
                <c:pt idx="303">
                  <c:v>-96.97</c:v>
                </c:pt>
                <c:pt idx="304">
                  <c:v>-96.96</c:v>
                </c:pt>
                <c:pt idx="305">
                  <c:v>-96.95</c:v>
                </c:pt>
                <c:pt idx="306">
                  <c:v>-96.94</c:v>
                </c:pt>
                <c:pt idx="307">
                  <c:v>-96.93</c:v>
                </c:pt>
                <c:pt idx="308">
                  <c:v>-96.92</c:v>
                </c:pt>
                <c:pt idx="309">
                  <c:v>-96.91</c:v>
                </c:pt>
                <c:pt idx="310">
                  <c:v>-96.9</c:v>
                </c:pt>
                <c:pt idx="311">
                  <c:v>-96.89</c:v>
                </c:pt>
                <c:pt idx="312">
                  <c:v>-96.88</c:v>
                </c:pt>
                <c:pt idx="313">
                  <c:v>-96.87</c:v>
                </c:pt>
                <c:pt idx="314">
                  <c:v>-96.86</c:v>
                </c:pt>
                <c:pt idx="315">
                  <c:v>-96.85</c:v>
                </c:pt>
                <c:pt idx="316">
                  <c:v>-96.84</c:v>
                </c:pt>
                <c:pt idx="317">
                  <c:v>-96.83</c:v>
                </c:pt>
                <c:pt idx="318">
                  <c:v>-96.82</c:v>
                </c:pt>
                <c:pt idx="319">
                  <c:v>-96.81</c:v>
                </c:pt>
                <c:pt idx="320">
                  <c:v>-96.8</c:v>
                </c:pt>
                <c:pt idx="321">
                  <c:v>-96.79</c:v>
                </c:pt>
                <c:pt idx="322">
                  <c:v>-96.78</c:v>
                </c:pt>
                <c:pt idx="323">
                  <c:v>-96.77</c:v>
                </c:pt>
                <c:pt idx="324">
                  <c:v>-96.76</c:v>
                </c:pt>
                <c:pt idx="325">
                  <c:v>-96.75</c:v>
                </c:pt>
                <c:pt idx="326">
                  <c:v>-96.74</c:v>
                </c:pt>
                <c:pt idx="327">
                  <c:v>-96.73</c:v>
                </c:pt>
                <c:pt idx="328">
                  <c:v>-96.72</c:v>
                </c:pt>
                <c:pt idx="329">
                  <c:v>-96.71</c:v>
                </c:pt>
                <c:pt idx="330">
                  <c:v>-96.7</c:v>
                </c:pt>
                <c:pt idx="331">
                  <c:v>-96.69</c:v>
                </c:pt>
                <c:pt idx="332">
                  <c:v>-96.68</c:v>
                </c:pt>
                <c:pt idx="333">
                  <c:v>-96.67</c:v>
                </c:pt>
                <c:pt idx="334">
                  <c:v>-96.66</c:v>
                </c:pt>
                <c:pt idx="335">
                  <c:v>-96.65</c:v>
                </c:pt>
                <c:pt idx="336">
                  <c:v>-96.64</c:v>
                </c:pt>
                <c:pt idx="337">
                  <c:v>-96.63</c:v>
                </c:pt>
                <c:pt idx="338">
                  <c:v>-96.62</c:v>
                </c:pt>
                <c:pt idx="339">
                  <c:v>-96.61</c:v>
                </c:pt>
                <c:pt idx="340">
                  <c:v>-96.6</c:v>
                </c:pt>
                <c:pt idx="341">
                  <c:v>-96.59</c:v>
                </c:pt>
                <c:pt idx="342">
                  <c:v>-96.58</c:v>
                </c:pt>
                <c:pt idx="343">
                  <c:v>-96.57</c:v>
                </c:pt>
                <c:pt idx="344">
                  <c:v>-96.56</c:v>
                </c:pt>
                <c:pt idx="345">
                  <c:v>-96.55</c:v>
                </c:pt>
                <c:pt idx="346">
                  <c:v>-96.54</c:v>
                </c:pt>
                <c:pt idx="347">
                  <c:v>-96.53</c:v>
                </c:pt>
                <c:pt idx="348">
                  <c:v>-96.52</c:v>
                </c:pt>
                <c:pt idx="349">
                  <c:v>-96.51</c:v>
                </c:pt>
                <c:pt idx="350">
                  <c:v>-96.5</c:v>
                </c:pt>
                <c:pt idx="351">
                  <c:v>-96.49</c:v>
                </c:pt>
                <c:pt idx="352">
                  <c:v>-96.48</c:v>
                </c:pt>
                <c:pt idx="353">
                  <c:v>-96.47</c:v>
                </c:pt>
                <c:pt idx="354">
                  <c:v>-96.46</c:v>
                </c:pt>
                <c:pt idx="355">
                  <c:v>-96.45</c:v>
                </c:pt>
                <c:pt idx="356">
                  <c:v>-96.44</c:v>
                </c:pt>
                <c:pt idx="357">
                  <c:v>-96.43</c:v>
                </c:pt>
                <c:pt idx="358">
                  <c:v>-96.42</c:v>
                </c:pt>
                <c:pt idx="359">
                  <c:v>-96.41</c:v>
                </c:pt>
                <c:pt idx="360">
                  <c:v>-96.4</c:v>
                </c:pt>
                <c:pt idx="361">
                  <c:v>-96.39</c:v>
                </c:pt>
                <c:pt idx="362">
                  <c:v>-96.38</c:v>
                </c:pt>
                <c:pt idx="363">
                  <c:v>-96.37</c:v>
                </c:pt>
                <c:pt idx="364">
                  <c:v>-96.36</c:v>
                </c:pt>
                <c:pt idx="365">
                  <c:v>-96.35</c:v>
                </c:pt>
                <c:pt idx="366">
                  <c:v>-96.34</c:v>
                </c:pt>
                <c:pt idx="367">
                  <c:v>-96.33</c:v>
                </c:pt>
                <c:pt idx="368">
                  <c:v>-96.32</c:v>
                </c:pt>
                <c:pt idx="369">
                  <c:v>-96.31</c:v>
                </c:pt>
                <c:pt idx="370">
                  <c:v>-96.3</c:v>
                </c:pt>
                <c:pt idx="371">
                  <c:v>-96.29</c:v>
                </c:pt>
                <c:pt idx="372">
                  <c:v>-96.28</c:v>
                </c:pt>
                <c:pt idx="373">
                  <c:v>-96.27</c:v>
                </c:pt>
                <c:pt idx="374">
                  <c:v>-96.26</c:v>
                </c:pt>
                <c:pt idx="375">
                  <c:v>-96.25</c:v>
                </c:pt>
                <c:pt idx="376">
                  <c:v>-96.24</c:v>
                </c:pt>
                <c:pt idx="377">
                  <c:v>-96.23</c:v>
                </c:pt>
                <c:pt idx="378">
                  <c:v>-96.22</c:v>
                </c:pt>
                <c:pt idx="379">
                  <c:v>-96.21</c:v>
                </c:pt>
                <c:pt idx="380">
                  <c:v>-96.2</c:v>
                </c:pt>
                <c:pt idx="381">
                  <c:v>-96.19</c:v>
                </c:pt>
                <c:pt idx="382">
                  <c:v>-96.18</c:v>
                </c:pt>
                <c:pt idx="383">
                  <c:v>-96.17</c:v>
                </c:pt>
                <c:pt idx="384">
                  <c:v>-96.16</c:v>
                </c:pt>
                <c:pt idx="385">
                  <c:v>-96.15</c:v>
                </c:pt>
                <c:pt idx="386">
                  <c:v>-96.14</c:v>
                </c:pt>
                <c:pt idx="387">
                  <c:v>-96.13</c:v>
                </c:pt>
                <c:pt idx="388">
                  <c:v>-96.12</c:v>
                </c:pt>
                <c:pt idx="389">
                  <c:v>-96.11</c:v>
                </c:pt>
                <c:pt idx="390">
                  <c:v>-96.1</c:v>
                </c:pt>
                <c:pt idx="391">
                  <c:v>-96.09</c:v>
                </c:pt>
                <c:pt idx="392">
                  <c:v>-96.08</c:v>
                </c:pt>
                <c:pt idx="393">
                  <c:v>-96.07</c:v>
                </c:pt>
                <c:pt idx="394">
                  <c:v>-96.06</c:v>
                </c:pt>
                <c:pt idx="395">
                  <c:v>-96.05</c:v>
                </c:pt>
                <c:pt idx="396">
                  <c:v>-96.04</c:v>
                </c:pt>
                <c:pt idx="397">
                  <c:v>-96.03</c:v>
                </c:pt>
                <c:pt idx="398">
                  <c:v>-96.02</c:v>
                </c:pt>
                <c:pt idx="399">
                  <c:v>-96.01</c:v>
                </c:pt>
                <c:pt idx="400">
                  <c:v>-96.0</c:v>
                </c:pt>
                <c:pt idx="401">
                  <c:v>-95.99</c:v>
                </c:pt>
                <c:pt idx="402">
                  <c:v>-95.98</c:v>
                </c:pt>
                <c:pt idx="403">
                  <c:v>-95.97</c:v>
                </c:pt>
                <c:pt idx="404">
                  <c:v>-95.96</c:v>
                </c:pt>
                <c:pt idx="405">
                  <c:v>-95.95</c:v>
                </c:pt>
                <c:pt idx="406">
                  <c:v>-95.94</c:v>
                </c:pt>
                <c:pt idx="407">
                  <c:v>-95.93</c:v>
                </c:pt>
                <c:pt idx="408">
                  <c:v>-95.92</c:v>
                </c:pt>
                <c:pt idx="409">
                  <c:v>-95.91</c:v>
                </c:pt>
                <c:pt idx="410">
                  <c:v>-95.9</c:v>
                </c:pt>
                <c:pt idx="411">
                  <c:v>-95.89</c:v>
                </c:pt>
                <c:pt idx="412">
                  <c:v>-95.88</c:v>
                </c:pt>
                <c:pt idx="413">
                  <c:v>-95.87</c:v>
                </c:pt>
                <c:pt idx="414">
                  <c:v>-95.86</c:v>
                </c:pt>
                <c:pt idx="415">
                  <c:v>-95.85</c:v>
                </c:pt>
                <c:pt idx="416">
                  <c:v>-95.84</c:v>
                </c:pt>
                <c:pt idx="417">
                  <c:v>-95.83</c:v>
                </c:pt>
                <c:pt idx="418">
                  <c:v>-95.82</c:v>
                </c:pt>
                <c:pt idx="419">
                  <c:v>-95.81</c:v>
                </c:pt>
                <c:pt idx="420">
                  <c:v>-95.8</c:v>
                </c:pt>
                <c:pt idx="421">
                  <c:v>-95.79</c:v>
                </c:pt>
                <c:pt idx="422">
                  <c:v>-95.78</c:v>
                </c:pt>
                <c:pt idx="423">
                  <c:v>-95.77</c:v>
                </c:pt>
                <c:pt idx="424">
                  <c:v>-95.76</c:v>
                </c:pt>
                <c:pt idx="425">
                  <c:v>-95.75</c:v>
                </c:pt>
                <c:pt idx="426">
                  <c:v>-95.74</c:v>
                </c:pt>
                <c:pt idx="427">
                  <c:v>-95.73</c:v>
                </c:pt>
                <c:pt idx="428">
                  <c:v>-95.72</c:v>
                </c:pt>
                <c:pt idx="429">
                  <c:v>-95.71</c:v>
                </c:pt>
                <c:pt idx="430">
                  <c:v>-95.7</c:v>
                </c:pt>
                <c:pt idx="431">
                  <c:v>-95.69</c:v>
                </c:pt>
                <c:pt idx="432">
                  <c:v>-95.68</c:v>
                </c:pt>
                <c:pt idx="433">
                  <c:v>-95.67</c:v>
                </c:pt>
                <c:pt idx="434">
                  <c:v>-95.66</c:v>
                </c:pt>
                <c:pt idx="435">
                  <c:v>-95.65</c:v>
                </c:pt>
                <c:pt idx="436">
                  <c:v>-95.64</c:v>
                </c:pt>
                <c:pt idx="437">
                  <c:v>-95.63</c:v>
                </c:pt>
                <c:pt idx="438">
                  <c:v>-95.62</c:v>
                </c:pt>
                <c:pt idx="439">
                  <c:v>-95.61</c:v>
                </c:pt>
                <c:pt idx="440">
                  <c:v>-95.6</c:v>
                </c:pt>
                <c:pt idx="441">
                  <c:v>-95.59</c:v>
                </c:pt>
                <c:pt idx="442">
                  <c:v>-95.58</c:v>
                </c:pt>
                <c:pt idx="443">
                  <c:v>-95.57</c:v>
                </c:pt>
                <c:pt idx="444">
                  <c:v>-95.56</c:v>
                </c:pt>
                <c:pt idx="445">
                  <c:v>-95.55</c:v>
                </c:pt>
                <c:pt idx="446">
                  <c:v>-95.54</c:v>
                </c:pt>
                <c:pt idx="447">
                  <c:v>-95.53</c:v>
                </c:pt>
                <c:pt idx="448">
                  <c:v>-95.52</c:v>
                </c:pt>
                <c:pt idx="449">
                  <c:v>-95.51</c:v>
                </c:pt>
                <c:pt idx="450">
                  <c:v>-95.5</c:v>
                </c:pt>
                <c:pt idx="451">
                  <c:v>-95.49</c:v>
                </c:pt>
                <c:pt idx="452">
                  <c:v>-95.48</c:v>
                </c:pt>
                <c:pt idx="453">
                  <c:v>-95.47</c:v>
                </c:pt>
                <c:pt idx="454">
                  <c:v>-95.46</c:v>
                </c:pt>
                <c:pt idx="455">
                  <c:v>-95.45</c:v>
                </c:pt>
                <c:pt idx="456">
                  <c:v>-95.44</c:v>
                </c:pt>
                <c:pt idx="457">
                  <c:v>-95.43</c:v>
                </c:pt>
                <c:pt idx="458">
                  <c:v>-95.42</c:v>
                </c:pt>
                <c:pt idx="459">
                  <c:v>-95.41</c:v>
                </c:pt>
                <c:pt idx="460">
                  <c:v>-95.4</c:v>
                </c:pt>
                <c:pt idx="461">
                  <c:v>-95.39</c:v>
                </c:pt>
                <c:pt idx="462">
                  <c:v>-95.38</c:v>
                </c:pt>
                <c:pt idx="463">
                  <c:v>-95.37</c:v>
                </c:pt>
                <c:pt idx="464">
                  <c:v>-95.36</c:v>
                </c:pt>
                <c:pt idx="465">
                  <c:v>-95.35</c:v>
                </c:pt>
                <c:pt idx="466">
                  <c:v>-95.34</c:v>
                </c:pt>
                <c:pt idx="467">
                  <c:v>-95.33</c:v>
                </c:pt>
                <c:pt idx="468">
                  <c:v>-95.32</c:v>
                </c:pt>
                <c:pt idx="469">
                  <c:v>-95.31</c:v>
                </c:pt>
                <c:pt idx="470">
                  <c:v>-95.3</c:v>
                </c:pt>
                <c:pt idx="471">
                  <c:v>-95.29</c:v>
                </c:pt>
                <c:pt idx="472">
                  <c:v>-95.28</c:v>
                </c:pt>
                <c:pt idx="473">
                  <c:v>-95.27</c:v>
                </c:pt>
                <c:pt idx="474">
                  <c:v>-95.26</c:v>
                </c:pt>
                <c:pt idx="475">
                  <c:v>-95.25</c:v>
                </c:pt>
                <c:pt idx="476">
                  <c:v>-95.24</c:v>
                </c:pt>
                <c:pt idx="477">
                  <c:v>-95.23</c:v>
                </c:pt>
                <c:pt idx="478">
                  <c:v>-95.22</c:v>
                </c:pt>
                <c:pt idx="479">
                  <c:v>-95.21</c:v>
                </c:pt>
                <c:pt idx="480">
                  <c:v>-95.2</c:v>
                </c:pt>
                <c:pt idx="481">
                  <c:v>-95.19</c:v>
                </c:pt>
                <c:pt idx="482">
                  <c:v>-95.18</c:v>
                </c:pt>
                <c:pt idx="483">
                  <c:v>-95.17</c:v>
                </c:pt>
                <c:pt idx="484">
                  <c:v>-95.16</c:v>
                </c:pt>
                <c:pt idx="485">
                  <c:v>-95.15</c:v>
                </c:pt>
                <c:pt idx="486">
                  <c:v>-95.14</c:v>
                </c:pt>
                <c:pt idx="487">
                  <c:v>-95.13</c:v>
                </c:pt>
                <c:pt idx="488">
                  <c:v>-95.12</c:v>
                </c:pt>
                <c:pt idx="489">
                  <c:v>-95.11</c:v>
                </c:pt>
                <c:pt idx="490">
                  <c:v>-95.1</c:v>
                </c:pt>
                <c:pt idx="491">
                  <c:v>-95.09</c:v>
                </c:pt>
                <c:pt idx="492">
                  <c:v>-95.08</c:v>
                </c:pt>
                <c:pt idx="493">
                  <c:v>-95.07</c:v>
                </c:pt>
                <c:pt idx="494">
                  <c:v>-95.06</c:v>
                </c:pt>
                <c:pt idx="495">
                  <c:v>-95.05</c:v>
                </c:pt>
                <c:pt idx="496">
                  <c:v>-95.04</c:v>
                </c:pt>
                <c:pt idx="497">
                  <c:v>-95.03</c:v>
                </c:pt>
                <c:pt idx="498">
                  <c:v>-95.02</c:v>
                </c:pt>
                <c:pt idx="499">
                  <c:v>-95.01</c:v>
                </c:pt>
                <c:pt idx="500">
                  <c:v>-95.0</c:v>
                </c:pt>
                <c:pt idx="501">
                  <c:v>-94.99</c:v>
                </c:pt>
                <c:pt idx="502">
                  <c:v>-94.98</c:v>
                </c:pt>
                <c:pt idx="503">
                  <c:v>-94.97</c:v>
                </c:pt>
                <c:pt idx="504">
                  <c:v>-94.96</c:v>
                </c:pt>
                <c:pt idx="505">
                  <c:v>-94.95</c:v>
                </c:pt>
                <c:pt idx="506">
                  <c:v>-94.94</c:v>
                </c:pt>
                <c:pt idx="507">
                  <c:v>-94.93</c:v>
                </c:pt>
                <c:pt idx="508">
                  <c:v>-94.92</c:v>
                </c:pt>
                <c:pt idx="509">
                  <c:v>-94.91</c:v>
                </c:pt>
                <c:pt idx="510">
                  <c:v>-94.9</c:v>
                </c:pt>
                <c:pt idx="511">
                  <c:v>-94.89</c:v>
                </c:pt>
                <c:pt idx="512">
                  <c:v>-94.88</c:v>
                </c:pt>
                <c:pt idx="513">
                  <c:v>-94.87</c:v>
                </c:pt>
                <c:pt idx="514">
                  <c:v>-94.86</c:v>
                </c:pt>
                <c:pt idx="515">
                  <c:v>-94.85</c:v>
                </c:pt>
                <c:pt idx="516">
                  <c:v>-94.84</c:v>
                </c:pt>
                <c:pt idx="517">
                  <c:v>-94.83</c:v>
                </c:pt>
                <c:pt idx="518">
                  <c:v>-94.82</c:v>
                </c:pt>
                <c:pt idx="519">
                  <c:v>-94.81</c:v>
                </c:pt>
                <c:pt idx="520">
                  <c:v>-94.8</c:v>
                </c:pt>
                <c:pt idx="521">
                  <c:v>-94.79</c:v>
                </c:pt>
                <c:pt idx="522">
                  <c:v>-94.78</c:v>
                </c:pt>
                <c:pt idx="523">
                  <c:v>-94.77</c:v>
                </c:pt>
                <c:pt idx="524">
                  <c:v>-94.76</c:v>
                </c:pt>
                <c:pt idx="525">
                  <c:v>-94.75</c:v>
                </c:pt>
                <c:pt idx="526">
                  <c:v>-94.74</c:v>
                </c:pt>
                <c:pt idx="527">
                  <c:v>-94.73</c:v>
                </c:pt>
                <c:pt idx="528">
                  <c:v>-94.72</c:v>
                </c:pt>
                <c:pt idx="529">
                  <c:v>-94.71</c:v>
                </c:pt>
                <c:pt idx="530">
                  <c:v>-94.7</c:v>
                </c:pt>
                <c:pt idx="531">
                  <c:v>-94.69</c:v>
                </c:pt>
                <c:pt idx="532">
                  <c:v>-94.68</c:v>
                </c:pt>
                <c:pt idx="533">
                  <c:v>-94.67</c:v>
                </c:pt>
                <c:pt idx="534">
                  <c:v>-94.66</c:v>
                </c:pt>
                <c:pt idx="535">
                  <c:v>-94.65</c:v>
                </c:pt>
                <c:pt idx="536">
                  <c:v>-94.64</c:v>
                </c:pt>
                <c:pt idx="537">
                  <c:v>-94.63</c:v>
                </c:pt>
                <c:pt idx="538">
                  <c:v>-94.62</c:v>
                </c:pt>
                <c:pt idx="539">
                  <c:v>-94.61</c:v>
                </c:pt>
                <c:pt idx="540">
                  <c:v>-94.6</c:v>
                </c:pt>
                <c:pt idx="541">
                  <c:v>-94.59</c:v>
                </c:pt>
                <c:pt idx="542">
                  <c:v>-94.58</c:v>
                </c:pt>
                <c:pt idx="543">
                  <c:v>-94.57</c:v>
                </c:pt>
                <c:pt idx="544">
                  <c:v>-94.56</c:v>
                </c:pt>
                <c:pt idx="545">
                  <c:v>-94.55</c:v>
                </c:pt>
                <c:pt idx="546">
                  <c:v>-94.54</c:v>
                </c:pt>
                <c:pt idx="547">
                  <c:v>-94.53</c:v>
                </c:pt>
                <c:pt idx="548">
                  <c:v>-94.52</c:v>
                </c:pt>
                <c:pt idx="549">
                  <c:v>-94.51</c:v>
                </c:pt>
                <c:pt idx="550">
                  <c:v>-94.5</c:v>
                </c:pt>
                <c:pt idx="551">
                  <c:v>-94.49</c:v>
                </c:pt>
                <c:pt idx="552">
                  <c:v>-94.48</c:v>
                </c:pt>
                <c:pt idx="553">
                  <c:v>-94.47</c:v>
                </c:pt>
                <c:pt idx="554">
                  <c:v>-94.46</c:v>
                </c:pt>
                <c:pt idx="555">
                  <c:v>-94.45</c:v>
                </c:pt>
                <c:pt idx="556">
                  <c:v>-94.44</c:v>
                </c:pt>
                <c:pt idx="557">
                  <c:v>-94.43</c:v>
                </c:pt>
                <c:pt idx="558">
                  <c:v>-94.42</c:v>
                </c:pt>
                <c:pt idx="559">
                  <c:v>-94.41</c:v>
                </c:pt>
                <c:pt idx="560">
                  <c:v>-94.4</c:v>
                </c:pt>
                <c:pt idx="561">
                  <c:v>-94.39</c:v>
                </c:pt>
                <c:pt idx="562">
                  <c:v>-94.38</c:v>
                </c:pt>
                <c:pt idx="563">
                  <c:v>-94.37</c:v>
                </c:pt>
                <c:pt idx="564">
                  <c:v>-94.36</c:v>
                </c:pt>
                <c:pt idx="565">
                  <c:v>-94.35</c:v>
                </c:pt>
                <c:pt idx="566">
                  <c:v>-94.34</c:v>
                </c:pt>
                <c:pt idx="567">
                  <c:v>-94.33</c:v>
                </c:pt>
                <c:pt idx="568">
                  <c:v>-94.32</c:v>
                </c:pt>
                <c:pt idx="569">
                  <c:v>-94.31</c:v>
                </c:pt>
                <c:pt idx="570">
                  <c:v>-94.3</c:v>
                </c:pt>
                <c:pt idx="571">
                  <c:v>-94.29</c:v>
                </c:pt>
                <c:pt idx="572">
                  <c:v>-94.28</c:v>
                </c:pt>
                <c:pt idx="573">
                  <c:v>-94.27</c:v>
                </c:pt>
                <c:pt idx="574">
                  <c:v>-94.26</c:v>
                </c:pt>
                <c:pt idx="575">
                  <c:v>-94.25</c:v>
                </c:pt>
                <c:pt idx="576">
                  <c:v>-94.24</c:v>
                </c:pt>
                <c:pt idx="577">
                  <c:v>-94.23</c:v>
                </c:pt>
                <c:pt idx="578">
                  <c:v>-94.22</c:v>
                </c:pt>
                <c:pt idx="579">
                  <c:v>-94.21</c:v>
                </c:pt>
                <c:pt idx="580">
                  <c:v>-94.2</c:v>
                </c:pt>
                <c:pt idx="581">
                  <c:v>-94.19</c:v>
                </c:pt>
                <c:pt idx="582">
                  <c:v>-94.18</c:v>
                </c:pt>
                <c:pt idx="583">
                  <c:v>-94.17</c:v>
                </c:pt>
                <c:pt idx="584">
                  <c:v>-94.16</c:v>
                </c:pt>
                <c:pt idx="585">
                  <c:v>-94.15</c:v>
                </c:pt>
                <c:pt idx="586">
                  <c:v>-94.14</c:v>
                </c:pt>
                <c:pt idx="587">
                  <c:v>-94.13</c:v>
                </c:pt>
                <c:pt idx="588">
                  <c:v>-94.12</c:v>
                </c:pt>
                <c:pt idx="589">
                  <c:v>-94.11</c:v>
                </c:pt>
                <c:pt idx="590">
                  <c:v>-94.1</c:v>
                </c:pt>
                <c:pt idx="591">
                  <c:v>-94.09</c:v>
                </c:pt>
                <c:pt idx="592">
                  <c:v>-94.08</c:v>
                </c:pt>
                <c:pt idx="593">
                  <c:v>-94.07</c:v>
                </c:pt>
                <c:pt idx="594">
                  <c:v>-94.06</c:v>
                </c:pt>
                <c:pt idx="595">
                  <c:v>-94.05</c:v>
                </c:pt>
                <c:pt idx="596">
                  <c:v>-94.04</c:v>
                </c:pt>
                <c:pt idx="597">
                  <c:v>-94.03</c:v>
                </c:pt>
                <c:pt idx="598">
                  <c:v>-94.02</c:v>
                </c:pt>
                <c:pt idx="599">
                  <c:v>-94.01</c:v>
                </c:pt>
                <c:pt idx="600">
                  <c:v>-94.0</c:v>
                </c:pt>
                <c:pt idx="601">
                  <c:v>-93.99</c:v>
                </c:pt>
                <c:pt idx="602">
                  <c:v>-93.98</c:v>
                </c:pt>
                <c:pt idx="603">
                  <c:v>-93.97</c:v>
                </c:pt>
                <c:pt idx="604">
                  <c:v>-93.96</c:v>
                </c:pt>
                <c:pt idx="605">
                  <c:v>-93.95</c:v>
                </c:pt>
                <c:pt idx="606">
                  <c:v>-93.94</c:v>
                </c:pt>
                <c:pt idx="607">
                  <c:v>-93.93</c:v>
                </c:pt>
                <c:pt idx="608">
                  <c:v>-93.92</c:v>
                </c:pt>
                <c:pt idx="609">
                  <c:v>-93.91</c:v>
                </c:pt>
                <c:pt idx="610">
                  <c:v>-93.9</c:v>
                </c:pt>
                <c:pt idx="611">
                  <c:v>-93.89</c:v>
                </c:pt>
                <c:pt idx="612">
                  <c:v>-93.88</c:v>
                </c:pt>
                <c:pt idx="613">
                  <c:v>-93.87</c:v>
                </c:pt>
                <c:pt idx="614">
                  <c:v>-93.86</c:v>
                </c:pt>
                <c:pt idx="615">
                  <c:v>-93.85</c:v>
                </c:pt>
                <c:pt idx="616">
                  <c:v>-93.84</c:v>
                </c:pt>
                <c:pt idx="617">
                  <c:v>-93.83</c:v>
                </c:pt>
                <c:pt idx="618">
                  <c:v>-93.82</c:v>
                </c:pt>
                <c:pt idx="619">
                  <c:v>-93.81</c:v>
                </c:pt>
                <c:pt idx="620">
                  <c:v>-93.8</c:v>
                </c:pt>
                <c:pt idx="621">
                  <c:v>-93.79</c:v>
                </c:pt>
                <c:pt idx="622">
                  <c:v>-93.78</c:v>
                </c:pt>
                <c:pt idx="623">
                  <c:v>-93.77</c:v>
                </c:pt>
                <c:pt idx="624">
                  <c:v>-93.76</c:v>
                </c:pt>
                <c:pt idx="625">
                  <c:v>-93.75</c:v>
                </c:pt>
                <c:pt idx="626">
                  <c:v>-93.74</c:v>
                </c:pt>
                <c:pt idx="627">
                  <c:v>-93.73</c:v>
                </c:pt>
                <c:pt idx="628">
                  <c:v>-93.72</c:v>
                </c:pt>
                <c:pt idx="629">
                  <c:v>-93.71</c:v>
                </c:pt>
                <c:pt idx="630">
                  <c:v>-93.7</c:v>
                </c:pt>
                <c:pt idx="631">
                  <c:v>-93.69</c:v>
                </c:pt>
                <c:pt idx="632">
                  <c:v>-93.68</c:v>
                </c:pt>
                <c:pt idx="633">
                  <c:v>-93.67</c:v>
                </c:pt>
                <c:pt idx="634">
                  <c:v>-93.66</c:v>
                </c:pt>
                <c:pt idx="635">
                  <c:v>-93.65</c:v>
                </c:pt>
                <c:pt idx="636">
                  <c:v>-93.64</c:v>
                </c:pt>
                <c:pt idx="637">
                  <c:v>-93.63</c:v>
                </c:pt>
                <c:pt idx="638">
                  <c:v>-93.62</c:v>
                </c:pt>
                <c:pt idx="639">
                  <c:v>-93.61</c:v>
                </c:pt>
                <c:pt idx="640">
                  <c:v>-93.6</c:v>
                </c:pt>
                <c:pt idx="641">
                  <c:v>-93.59</c:v>
                </c:pt>
                <c:pt idx="642">
                  <c:v>-93.58</c:v>
                </c:pt>
                <c:pt idx="643">
                  <c:v>-93.57</c:v>
                </c:pt>
                <c:pt idx="644">
                  <c:v>-93.56</c:v>
                </c:pt>
                <c:pt idx="645">
                  <c:v>-93.55</c:v>
                </c:pt>
                <c:pt idx="646">
                  <c:v>-93.54</c:v>
                </c:pt>
                <c:pt idx="647">
                  <c:v>-93.53</c:v>
                </c:pt>
                <c:pt idx="648">
                  <c:v>-93.52</c:v>
                </c:pt>
                <c:pt idx="649">
                  <c:v>-93.51</c:v>
                </c:pt>
                <c:pt idx="650">
                  <c:v>-93.5</c:v>
                </c:pt>
                <c:pt idx="651">
                  <c:v>-93.49</c:v>
                </c:pt>
                <c:pt idx="652">
                  <c:v>-93.48</c:v>
                </c:pt>
                <c:pt idx="653">
                  <c:v>-93.47</c:v>
                </c:pt>
                <c:pt idx="654">
                  <c:v>-93.46</c:v>
                </c:pt>
                <c:pt idx="655">
                  <c:v>-93.45</c:v>
                </c:pt>
                <c:pt idx="656">
                  <c:v>-93.44</c:v>
                </c:pt>
                <c:pt idx="657">
                  <c:v>-93.43</c:v>
                </c:pt>
                <c:pt idx="658">
                  <c:v>-93.42</c:v>
                </c:pt>
                <c:pt idx="659">
                  <c:v>-93.41</c:v>
                </c:pt>
                <c:pt idx="660">
                  <c:v>-93.4</c:v>
                </c:pt>
                <c:pt idx="661">
                  <c:v>-93.39</c:v>
                </c:pt>
                <c:pt idx="662">
                  <c:v>-93.38</c:v>
                </c:pt>
                <c:pt idx="663">
                  <c:v>-93.37</c:v>
                </c:pt>
                <c:pt idx="664">
                  <c:v>-93.36</c:v>
                </c:pt>
                <c:pt idx="665">
                  <c:v>-93.35</c:v>
                </c:pt>
                <c:pt idx="666">
                  <c:v>-93.34</c:v>
                </c:pt>
                <c:pt idx="667">
                  <c:v>-93.33</c:v>
                </c:pt>
                <c:pt idx="668">
                  <c:v>-93.32</c:v>
                </c:pt>
                <c:pt idx="669">
                  <c:v>-93.31</c:v>
                </c:pt>
                <c:pt idx="670">
                  <c:v>-93.3</c:v>
                </c:pt>
                <c:pt idx="671">
                  <c:v>-93.29</c:v>
                </c:pt>
                <c:pt idx="672">
                  <c:v>-93.28</c:v>
                </c:pt>
                <c:pt idx="673">
                  <c:v>-93.27</c:v>
                </c:pt>
                <c:pt idx="674">
                  <c:v>-93.26</c:v>
                </c:pt>
                <c:pt idx="675">
                  <c:v>-93.25</c:v>
                </c:pt>
                <c:pt idx="676">
                  <c:v>-93.24</c:v>
                </c:pt>
                <c:pt idx="677">
                  <c:v>-93.23</c:v>
                </c:pt>
                <c:pt idx="678">
                  <c:v>-93.22</c:v>
                </c:pt>
                <c:pt idx="679">
                  <c:v>-93.21</c:v>
                </c:pt>
                <c:pt idx="680">
                  <c:v>-93.2</c:v>
                </c:pt>
                <c:pt idx="681">
                  <c:v>-93.19</c:v>
                </c:pt>
                <c:pt idx="682">
                  <c:v>-93.18</c:v>
                </c:pt>
                <c:pt idx="683">
                  <c:v>-93.17</c:v>
                </c:pt>
                <c:pt idx="684">
                  <c:v>-93.16</c:v>
                </c:pt>
                <c:pt idx="685">
                  <c:v>-93.15</c:v>
                </c:pt>
                <c:pt idx="686">
                  <c:v>-93.14</c:v>
                </c:pt>
                <c:pt idx="687">
                  <c:v>-93.13</c:v>
                </c:pt>
                <c:pt idx="688">
                  <c:v>-93.12</c:v>
                </c:pt>
                <c:pt idx="689">
                  <c:v>-93.11</c:v>
                </c:pt>
                <c:pt idx="690">
                  <c:v>-93.1</c:v>
                </c:pt>
                <c:pt idx="691">
                  <c:v>-93.09</c:v>
                </c:pt>
                <c:pt idx="692">
                  <c:v>-93.08</c:v>
                </c:pt>
                <c:pt idx="693">
                  <c:v>-93.07</c:v>
                </c:pt>
                <c:pt idx="694">
                  <c:v>-93.06</c:v>
                </c:pt>
                <c:pt idx="695">
                  <c:v>-93.05</c:v>
                </c:pt>
                <c:pt idx="696">
                  <c:v>-93.04</c:v>
                </c:pt>
                <c:pt idx="697">
                  <c:v>-93.03</c:v>
                </c:pt>
                <c:pt idx="698">
                  <c:v>-93.02</c:v>
                </c:pt>
                <c:pt idx="699">
                  <c:v>-93.01</c:v>
                </c:pt>
                <c:pt idx="700">
                  <c:v>-93.0</c:v>
                </c:pt>
                <c:pt idx="701">
                  <c:v>-92.99</c:v>
                </c:pt>
                <c:pt idx="702">
                  <c:v>-92.98</c:v>
                </c:pt>
                <c:pt idx="703">
                  <c:v>-92.97</c:v>
                </c:pt>
                <c:pt idx="704">
                  <c:v>-92.96</c:v>
                </c:pt>
                <c:pt idx="705">
                  <c:v>-92.95</c:v>
                </c:pt>
                <c:pt idx="706">
                  <c:v>-92.94</c:v>
                </c:pt>
                <c:pt idx="707">
                  <c:v>-92.93</c:v>
                </c:pt>
                <c:pt idx="708">
                  <c:v>-92.92</c:v>
                </c:pt>
                <c:pt idx="709">
                  <c:v>-92.91</c:v>
                </c:pt>
                <c:pt idx="710">
                  <c:v>-92.9</c:v>
                </c:pt>
                <c:pt idx="711">
                  <c:v>-92.89</c:v>
                </c:pt>
                <c:pt idx="712">
                  <c:v>-92.88</c:v>
                </c:pt>
                <c:pt idx="713">
                  <c:v>-92.87</c:v>
                </c:pt>
                <c:pt idx="714">
                  <c:v>-92.86</c:v>
                </c:pt>
                <c:pt idx="715">
                  <c:v>-92.85</c:v>
                </c:pt>
                <c:pt idx="716">
                  <c:v>-92.84</c:v>
                </c:pt>
                <c:pt idx="717">
                  <c:v>-92.83</c:v>
                </c:pt>
                <c:pt idx="718">
                  <c:v>-92.82</c:v>
                </c:pt>
                <c:pt idx="719">
                  <c:v>-92.81</c:v>
                </c:pt>
                <c:pt idx="720">
                  <c:v>-92.8</c:v>
                </c:pt>
                <c:pt idx="721">
                  <c:v>-92.79</c:v>
                </c:pt>
                <c:pt idx="722">
                  <c:v>-92.78</c:v>
                </c:pt>
                <c:pt idx="723">
                  <c:v>-92.77</c:v>
                </c:pt>
                <c:pt idx="724">
                  <c:v>-92.76</c:v>
                </c:pt>
                <c:pt idx="725">
                  <c:v>-92.75</c:v>
                </c:pt>
                <c:pt idx="726">
                  <c:v>-92.74</c:v>
                </c:pt>
                <c:pt idx="727">
                  <c:v>-92.73</c:v>
                </c:pt>
                <c:pt idx="728">
                  <c:v>-92.72</c:v>
                </c:pt>
                <c:pt idx="729">
                  <c:v>-92.71</c:v>
                </c:pt>
                <c:pt idx="730">
                  <c:v>-92.7</c:v>
                </c:pt>
                <c:pt idx="731">
                  <c:v>-92.69</c:v>
                </c:pt>
                <c:pt idx="732">
                  <c:v>-92.68</c:v>
                </c:pt>
                <c:pt idx="733">
                  <c:v>-92.67</c:v>
                </c:pt>
                <c:pt idx="734">
                  <c:v>-92.66</c:v>
                </c:pt>
                <c:pt idx="735">
                  <c:v>-92.65</c:v>
                </c:pt>
                <c:pt idx="736">
                  <c:v>-92.64</c:v>
                </c:pt>
                <c:pt idx="737">
                  <c:v>-92.63</c:v>
                </c:pt>
                <c:pt idx="738">
                  <c:v>-92.62</c:v>
                </c:pt>
                <c:pt idx="739">
                  <c:v>-92.61</c:v>
                </c:pt>
                <c:pt idx="740">
                  <c:v>-92.6</c:v>
                </c:pt>
                <c:pt idx="741">
                  <c:v>-92.59</c:v>
                </c:pt>
                <c:pt idx="742">
                  <c:v>-92.58</c:v>
                </c:pt>
                <c:pt idx="743">
                  <c:v>-92.57</c:v>
                </c:pt>
                <c:pt idx="744">
                  <c:v>-92.56</c:v>
                </c:pt>
                <c:pt idx="745">
                  <c:v>-92.55</c:v>
                </c:pt>
                <c:pt idx="746">
                  <c:v>-92.54</c:v>
                </c:pt>
                <c:pt idx="747">
                  <c:v>-92.53</c:v>
                </c:pt>
                <c:pt idx="748">
                  <c:v>-92.52</c:v>
                </c:pt>
                <c:pt idx="749">
                  <c:v>-92.51</c:v>
                </c:pt>
                <c:pt idx="750">
                  <c:v>-92.5</c:v>
                </c:pt>
                <c:pt idx="751">
                  <c:v>-92.49</c:v>
                </c:pt>
                <c:pt idx="752">
                  <c:v>-92.48</c:v>
                </c:pt>
                <c:pt idx="753">
                  <c:v>-92.47</c:v>
                </c:pt>
                <c:pt idx="754">
                  <c:v>-92.46</c:v>
                </c:pt>
                <c:pt idx="755">
                  <c:v>-92.45</c:v>
                </c:pt>
                <c:pt idx="756">
                  <c:v>-92.44</c:v>
                </c:pt>
                <c:pt idx="757">
                  <c:v>-92.43</c:v>
                </c:pt>
                <c:pt idx="758">
                  <c:v>-92.42</c:v>
                </c:pt>
                <c:pt idx="759">
                  <c:v>-92.41</c:v>
                </c:pt>
                <c:pt idx="760">
                  <c:v>-92.4</c:v>
                </c:pt>
                <c:pt idx="761">
                  <c:v>-92.39</c:v>
                </c:pt>
                <c:pt idx="762">
                  <c:v>-92.38</c:v>
                </c:pt>
                <c:pt idx="763">
                  <c:v>-92.37</c:v>
                </c:pt>
                <c:pt idx="764">
                  <c:v>-92.36</c:v>
                </c:pt>
                <c:pt idx="765">
                  <c:v>-92.35</c:v>
                </c:pt>
                <c:pt idx="766">
                  <c:v>-92.34</c:v>
                </c:pt>
                <c:pt idx="767">
                  <c:v>-92.33</c:v>
                </c:pt>
                <c:pt idx="768">
                  <c:v>-92.32</c:v>
                </c:pt>
                <c:pt idx="769">
                  <c:v>-92.31</c:v>
                </c:pt>
                <c:pt idx="770">
                  <c:v>-92.3</c:v>
                </c:pt>
                <c:pt idx="771">
                  <c:v>-92.29</c:v>
                </c:pt>
                <c:pt idx="772">
                  <c:v>-92.28</c:v>
                </c:pt>
                <c:pt idx="773">
                  <c:v>-92.27</c:v>
                </c:pt>
                <c:pt idx="774">
                  <c:v>-92.26</c:v>
                </c:pt>
                <c:pt idx="775">
                  <c:v>-92.25</c:v>
                </c:pt>
                <c:pt idx="776">
                  <c:v>-92.24</c:v>
                </c:pt>
                <c:pt idx="777">
                  <c:v>-92.23</c:v>
                </c:pt>
                <c:pt idx="778">
                  <c:v>-92.22</c:v>
                </c:pt>
                <c:pt idx="779">
                  <c:v>-92.21</c:v>
                </c:pt>
                <c:pt idx="780">
                  <c:v>-92.2</c:v>
                </c:pt>
                <c:pt idx="781">
                  <c:v>-92.19</c:v>
                </c:pt>
                <c:pt idx="782">
                  <c:v>-92.18</c:v>
                </c:pt>
                <c:pt idx="783">
                  <c:v>-92.17</c:v>
                </c:pt>
                <c:pt idx="784">
                  <c:v>-92.16</c:v>
                </c:pt>
                <c:pt idx="785">
                  <c:v>-92.15</c:v>
                </c:pt>
                <c:pt idx="786">
                  <c:v>-92.14</c:v>
                </c:pt>
                <c:pt idx="787">
                  <c:v>-92.13</c:v>
                </c:pt>
                <c:pt idx="788">
                  <c:v>-92.12</c:v>
                </c:pt>
                <c:pt idx="789">
                  <c:v>-92.11</c:v>
                </c:pt>
                <c:pt idx="790">
                  <c:v>-92.1</c:v>
                </c:pt>
                <c:pt idx="791">
                  <c:v>-92.09</c:v>
                </c:pt>
                <c:pt idx="792">
                  <c:v>-92.08</c:v>
                </c:pt>
                <c:pt idx="793">
                  <c:v>-92.07</c:v>
                </c:pt>
                <c:pt idx="794">
                  <c:v>-92.06</c:v>
                </c:pt>
                <c:pt idx="795">
                  <c:v>-92.05</c:v>
                </c:pt>
                <c:pt idx="796">
                  <c:v>-92.04</c:v>
                </c:pt>
                <c:pt idx="797">
                  <c:v>-92.03</c:v>
                </c:pt>
                <c:pt idx="798">
                  <c:v>-92.02</c:v>
                </c:pt>
                <c:pt idx="799">
                  <c:v>-92.01</c:v>
                </c:pt>
                <c:pt idx="800">
                  <c:v>-92.0</c:v>
                </c:pt>
                <c:pt idx="801">
                  <c:v>-91.99</c:v>
                </c:pt>
                <c:pt idx="802">
                  <c:v>-91.98</c:v>
                </c:pt>
                <c:pt idx="803">
                  <c:v>-91.97</c:v>
                </c:pt>
                <c:pt idx="804">
                  <c:v>-91.96</c:v>
                </c:pt>
                <c:pt idx="805">
                  <c:v>-91.95</c:v>
                </c:pt>
                <c:pt idx="806">
                  <c:v>-91.94</c:v>
                </c:pt>
                <c:pt idx="807">
                  <c:v>-91.93</c:v>
                </c:pt>
                <c:pt idx="808">
                  <c:v>-91.92</c:v>
                </c:pt>
                <c:pt idx="809">
                  <c:v>-91.91</c:v>
                </c:pt>
                <c:pt idx="810">
                  <c:v>-91.9</c:v>
                </c:pt>
                <c:pt idx="811">
                  <c:v>-91.89</c:v>
                </c:pt>
                <c:pt idx="812">
                  <c:v>-91.88</c:v>
                </c:pt>
                <c:pt idx="813">
                  <c:v>-91.87</c:v>
                </c:pt>
                <c:pt idx="814">
                  <c:v>-91.86</c:v>
                </c:pt>
                <c:pt idx="815">
                  <c:v>-91.85</c:v>
                </c:pt>
                <c:pt idx="816">
                  <c:v>-91.84</c:v>
                </c:pt>
                <c:pt idx="817">
                  <c:v>-91.83</c:v>
                </c:pt>
                <c:pt idx="818">
                  <c:v>-91.82</c:v>
                </c:pt>
                <c:pt idx="819">
                  <c:v>-91.81</c:v>
                </c:pt>
                <c:pt idx="820">
                  <c:v>-91.8</c:v>
                </c:pt>
                <c:pt idx="821">
                  <c:v>-91.79</c:v>
                </c:pt>
                <c:pt idx="822">
                  <c:v>-91.78</c:v>
                </c:pt>
                <c:pt idx="823">
                  <c:v>-91.77</c:v>
                </c:pt>
                <c:pt idx="824">
                  <c:v>-91.76</c:v>
                </c:pt>
                <c:pt idx="825">
                  <c:v>-91.75</c:v>
                </c:pt>
                <c:pt idx="826">
                  <c:v>-91.74</c:v>
                </c:pt>
                <c:pt idx="827">
                  <c:v>-91.73</c:v>
                </c:pt>
                <c:pt idx="828">
                  <c:v>-91.72</c:v>
                </c:pt>
                <c:pt idx="829">
                  <c:v>-91.71</c:v>
                </c:pt>
                <c:pt idx="830">
                  <c:v>-91.7</c:v>
                </c:pt>
                <c:pt idx="831">
                  <c:v>-91.69</c:v>
                </c:pt>
                <c:pt idx="832">
                  <c:v>-91.68</c:v>
                </c:pt>
                <c:pt idx="833">
                  <c:v>-91.67</c:v>
                </c:pt>
                <c:pt idx="834">
                  <c:v>-91.66</c:v>
                </c:pt>
                <c:pt idx="835">
                  <c:v>-91.65</c:v>
                </c:pt>
                <c:pt idx="836">
                  <c:v>-91.64</c:v>
                </c:pt>
                <c:pt idx="837">
                  <c:v>-91.63</c:v>
                </c:pt>
                <c:pt idx="838">
                  <c:v>-91.62</c:v>
                </c:pt>
                <c:pt idx="839">
                  <c:v>-91.61</c:v>
                </c:pt>
                <c:pt idx="840">
                  <c:v>-91.6</c:v>
                </c:pt>
                <c:pt idx="841">
                  <c:v>-91.59</c:v>
                </c:pt>
                <c:pt idx="842">
                  <c:v>-91.58</c:v>
                </c:pt>
                <c:pt idx="843">
                  <c:v>-91.57</c:v>
                </c:pt>
                <c:pt idx="844">
                  <c:v>-91.56</c:v>
                </c:pt>
                <c:pt idx="845">
                  <c:v>-91.55</c:v>
                </c:pt>
                <c:pt idx="846">
                  <c:v>-91.54</c:v>
                </c:pt>
                <c:pt idx="847">
                  <c:v>-91.53</c:v>
                </c:pt>
                <c:pt idx="848">
                  <c:v>-91.52</c:v>
                </c:pt>
                <c:pt idx="849">
                  <c:v>-91.51</c:v>
                </c:pt>
                <c:pt idx="850">
                  <c:v>-91.5</c:v>
                </c:pt>
                <c:pt idx="851">
                  <c:v>-91.49</c:v>
                </c:pt>
                <c:pt idx="852">
                  <c:v>-91.48</c:v>
                </c:pt>
                <c:pt idx="853">
                  <c:v>-91.47</c:v>
                </c:pt>
                <c:pt idx="854">
                  <c:v>-91.46</c:v>
                </c:pt>
                <c:pt idx="855">
                  <c:v>-91.45</c:v>
                </c:pt>
                <c:pt idx="856">
                  <c:v>-91.44</c:v>
                </c:pt>
                <c:pt idx="857">
                  <c:v>-91.43</c:v>
                </c:pt>
                <c:pt idx="858">
                  <c:v>-91.42</c:v>
                </c:pt>
                <c:pt idx="859">
                  <c:v>-91.41</c:v>
                </c:pt>
                <c:pt idx="860">
                  <c:v>-91.4</c:v>
                </c:pt>
                <c:pt idx="861">
                  <c:v>-91.39</c:v>
                </c:pt>
                <c:pt idx="862">
                  <c:v>-91.38</c:v>
                </c:pt>
                <c:pt idx="863">
                  <c:v>-91.37</c:v>
                </c:pt>
                <c:pt idx="864">
                  <c:v>-91.36</c:v>
                </c:pt>
                <c:pt idx="865">
                  <c:v>-91.35</c:v>
                </c:pt>
                <c:pt idx="866">
                  <c:v>-91.34</c:v>
                </c:pt>
                <c:pt idx="867">
                  <c:v>-91.33</c:v>
                </c:pt>
                <c:pt idx="868">
                  <c:v>-91.32</c:v>
                </c:pt>
                <c:pt idx="869">
                  <c:v>-91.31</c:v>
                </c:pt>
                <c:pt idx="870">
                  <c:v>-91.3</c:v>
                </c:pt>
                <c:pt idx="871">
                  <c:v>-91.29</c:v>
                </c:pt>
                <c:pt idx="872">
                  <c:v>-91.28</c:v>
                </c:pt>
                <c:pt idx="873">
                  <c:v>-91.27</c:v>
                </c:pt>
                <c:pt idx="874">
                  <c:v>-91.26</c:v>
                </c:pt>
                <c:pt idx="875">
                  <c:v>-91.25</c:v>
                </c:pt>
                <c:pt idx="876">
                  <c:v>-91.24</c:v>
                </c:pt>
                <c:pt idx="877">
                  <c:v>-91.23</c:v>
                </c:pt>
                <c:pt idx="878">
                  <c:v>-91.22</c:v>
                </c:pt>
                <c:pt idx="879">
                  <c:v>-91.21</c:v>
                </c:pt>
                <c:pt idx="880">
                  <c:v>-91.2</c:v>
                </c:pt>
                <c:pt idx="881">
                  <c:v>-91.19</c:v>
                </c:pt>
                <c:pt idx="882">
                  <c:v>-91.18</c:v>
                </c:pt>
                <c:pt idx="883">
                  <c:v>-91.17</c:v>
                </c:pt>
                <c:pt idx="884">
                  <c:v>-91.16</c:v>
                </c:pt>
                <c:pt idx="885">
                  <c:v>-91.15</c:v>
                </c:pt>
                <c:pt idx="886">
                  <c:v>-91.14</c:v>
                </c:pt>
                <c:pt idx="887">
                  <c:v>-91.13</c:v>
                </c:pt>
                <c:pt idx="888">
                  <c:v>-91.12</c:v>
                </c:pt>
                <c:pt idx="889">
                  <c:v>-91.11</c:v>
                </c:pt>
                <c:pt idx="890">
                  <c:v>-91.1</c:v>
                </c:pt>
                <c:pt idx="891">
                  <c:v>-91.09</c:v>
                </c:pt>
                <c:pt idx="892">
                  <c:v>-91.08</c:v>
                </c:pt>
                <c:pt idx="893">
                  <c:v>-91.07</c:v>
                </c:pt>
                <c:pt idx="894">
                  <c:v>-91.06</c:v>
                </c:pt>
                <c:pt idx="895">
                  <c:v>-91.05</c:v>
                </c:pt>
                <c:pt idx="896">
                  <c:v>-91.04</c:v>
                </c:pt>
                <c:pt idx="897">
                  <c:v>-91.03</c:v>
                </c:pt>
                <c:pt idx="898">
                  <c:v>-91.02</c:v>
                </c:pt>
                <c:pt idx="899">
                  <c:v>-91.01</c:v>
                </c:pt>
                <c:pt idx="900">
                  <c:v>-91.0</c:v>
                </c:pt>
                <c:pt idx="901">
                  <c:v>-90.99</c:v>
                </c:pt>
                <c:pt idx="902">
                  <c:v>-90.98</c:v>
                </c:pt>
                <c:pt idx="903">
                  <c:v>-90.97</c:v>
                </c:pt>
                <c:pt idx="904">
                  <c:v>-90.96</c:v>
                </c:pt>
                <c:pt idx="905">
                  <c:v>-90.95</c:v>
                </c:pt>
                <c:pt idx="906">
                  <c:v>-90.94</c:v>
                </c:pt>
                <c:pt idx="907">
                  <c:v>-90.93</c:v>
                </c:pt>
                <c:pt idx="908">
                  <c:v>-90.92</c:v>
                </c:pt>
                <c:pt idx="909">
                  <c:v>-90.91</c:v>
                </c:pt>
                <c:pt idx="910">
                  <c:v>-90.9</c:v>
                </c:pt>
                <c:pt idx="911">
                  <c:v>-90.89</c:v>
                </c:pt>
                <c:pt idx="912">
                  <c:v>-90.88</c:v>
                </c:pt>
                <c:pt idx="913">
                  <c:v>-90.87</c:v>
                </c:pt>
                <c:pt idx="914">
                  <c:v>-90.86</c:v>
                </c:pt>
                <c:pt idx="915">
                  <c:v>-90.85</c:v>
                </c:pt>
                <c:pt idx="916">
                  <c:v>-90.84</c:v>
                </c:pt>
                <c:pt idx="917">
                  <c:v>-90.83</c:v>
                </c:pt>
                <c:pt idx="918">
                  <c:v>-90.82</c:v>
                </c:pt>
                <c:pt idx="919">
                  <c:v>-90.81</c:v>
                </c:pt>
                <c:pt idx="920">
                  <c:v>-90.8</c:v>
                </c:pt>
                <c:pt idx="921">
                  <c:v>-90.79</c:v>
                </c:pt>
                <c:pt idx="922">
                  <c:v>-90.78</c:v>
                </c:pt>
                <c:pt idx="923">
                  <c:v>-90.77</c:v>
                </c:pt>
                <c:pt idx="924">
                  <c:v>-90.76</c:v>
                </c:pt>
                <c:pt idx="925">
                  <c:v>-90.75</c:v>
                </c:pt>
                <c:pt idx="926">
                  <c:v>-90.74</c:v>
                </c:pt>
                <c:pt idx="927">
                  <c:v>-90.73</c:v>
                </c:pt>
                <c:pt idx="928">
                  <c:v>-90.72</c:v>
                </c:pt>
                <c:pt idx="929">
                  <c:v>-90.71</c:v>
                </c:pt>
                <c:pt idx="930">
                  <c:v>-90.7</c:v>
                </c:pt>
                <c:pt idx="931">
                  <c:v>-90.69</c:v>
                </c:pt>
                <c:pt idx="932">
                  <c:v>-90.68</c:v>
                </c:pt>
                <c:pt idx="933">
                  <c:v>-90.67</c:v>
                </c:pt>
                <c:pt idx="934">
                  <c:v>-90.66</c:v>
                </c:pt>
                <c:pt idx="935">
                  <c:v>-90.65</c:v>
                </c:pt>
                <c:pt idx="936">
                  <c:v>-90.64</c:v>
                </c:pt>
                <c:pt idx="937">
                  <c:v>-90.63</c:v>
                </c:pt>
                <c:pt idx="938">
                  <c:v>-90.62</c:v>
                </c:pt>
                <c:pt idx="939">
                  <c:v>-90.61</c:v>
                </c:pt>
                <c:pt idx="940">
                  <c:v>-90.6</c:v>
                </c:pt>
                <c:pt idx="941">
                  <c:v>-90.59</c:v>
                </c:pt>
                <c:pt idx="942">
                  <c:v>-90.58</c:v>
                </c:pt>
                <c:pt idx="943">
                  <c:v>-90.57</c:v>
                </c:pt>
                <c:pt idx="944">
                  <c:v>-90.56</c:v>
                </c:pt>
                <c:pt idx="945">
                  <c:v>-90.55</c:v>
                </c:pt>
                <c:pt idx="946">
                  <c:v>-90.54</c:v>
                </c:pt>
                <c:pt idx="947">
                  <c:v>-90.53</c:v>
                </c:pt>
                <c:pt idx="948">
                  <c:v>-90.52</c:v>
                </c:pt>
                <c:pt idx="949">
                  <c:v>-90.51</c:v>
                </c:pt>
                <c:pt idx="950">
                  <c:v>-90.5</c:v>
                </c:pt>
                <c:pt idx="951">
                  <c:v>-90.49</c:v>
                </c:pt>
                <c:pt idx="952">
                  <c:v>-90.48</c:v>
                </c:pt>
                <c:pt idx="953">
                  <c:v>-90.47</c:v>
                </c:pt>
                <c:pt idx="954">
                  <c:v>-90.46</c:v>
                </c:pt>
                <c:pt idx="955">
                  <c:v>-90.45</c:v>
                </c:pt>
                <c:pt idx="956">
                  <c:v>-90.44</c:v>
                </c:pt>
                <c:pt idx="957">
                  <c:v>-90.43</c:v>
                </c:pt>
                <c:pt idx="958">
                  <c:v>-90.42</c:v>
                </c:pt>
                <c:pt idx="959">
                  <c:v>-90.41</c:v>
                </c:pt>
                <c:pt idx="960">
                  <c:v>-90.4</c:v>
                </c:pt>
                <c:pt idx="961">
                  <c:v>-90.39</c:v>
                </c:pt>
                <c:pt idx="962">
                  <c:v>-90.38</c:v>
                </c:pt>
                <c:pt idx="963">
                  <c:v>-90.37</c:v>
                </c:pt>
                <c:pt idx="964">
                  <c:v>-90.36</c:v>
                </c:pt>
                <c:pt idx="965">
                  <c:v>-90.35</c:v>
                </c:pt>
                <c:pt idx="966">
                  <c:v>-90.34</c:v>
                </c:pt>
                <c:pt idx="967">
                  <c:v>-90.33</c:v>
                </c:pt>
                <c:pt idx="968">
                  <c:v>-90.32</c:v>
                </c:pt>
                <c:pt idx="969">
                  <c:v>-90.31</c:v>
                </c:pt>
                <c:pt idx="970">
                  <c:v>-90.3</c:v>
                </c:pt>
                <c:pt idx="971">
                  <c:v>-90.29</c:v>
                </c:pt>
                <c:pt idx="972">
                  <c:v>-90.28</c:v>
                </c:pt>
                <c:pt idx="973">
                  <c:v>-90.27</c:v>
                </c:pt>
                <c:pt idx="974">
                  <c:v>-90.26</c:v>
                </c:pt>
                <c:pt idx="975">
                  <c:v>-90.25</c:v>
                </c:pt>
                <c:pt idx="976">
                  <c:v>-90.24</c:v>
                </c:pt>
                <c:pt idx="977">
                  <c:v>-90.23</c:v>
                </c:pt>
                <c:pt idx="978">
                  <c:v>-90.22</c:v>
                </c:pt>
                <c:pt idx="979">
                  <c:v>-90.21</c:v>
                </c:pt>
                <c:pt idx="980">
                  <c:v>-90.2</c:v>
                </c:pt>
                <c:pt idx="981">
                  <c:v>-90.19</c:v>
                </c:pt>
                <c:pt idx="982">
                  <c:v>-90.18</c:v>
                </c:pt>
                <c:pt idx="983">
                  <c:v>-90.17</c:v>
                </c:pt>
                <c:pt idx="984">
                  <c:v>-90.16</c:v>
                </c:pt>
                <c:pt idx="985">
                  <c:v>-90.15</c:v>
                </c:pt>
                <c:pt idx="986">
                  <c:v>-90.14</c:v>
                </c:pt>
                <c:pt idx="987">
                  <c:v>-90.13</c:v>
                </c:pt>
                <c:pt idx="988">
                  <c:v>-90.12</c:v>
                </c:pt>
                <c:pt idx="989">
                  <c:v>-90.11</c:v>
                </c:pt>
                <c:pt idx="990">
                  <c:v>-90.1</c:v>
                </c:pt>
                <c:pt idx="991">
                  <c:v>-90.09</c:v>
                </c:pt>
                <c:pt idx="992">
                  <c:v>-90.08</c:v>
                </c:pt>
                <c:pt idx="993">
                  <c:v>-90.07</c:v>
                </c:pt>
                <c:pt idx="994">
                  <c:v>-90.06</c:v>
                </c:pt>
                <c:pt idx="995">
                  <c:v>-90.05</c:v>
                </c:pt>
                <c:pt idx="996">
                  <c:v>-90.04</c:v>
                </c:pt>
                <c:pt idx="997">
                  <c:v>-90.03</c:v>
                </c:pt>
                <c:pt idx="998">
                  <c:v>-90.02</c:v>
                </c:pt>
                <c:pt idx="999">
                  <c:v>-90.01</c:v>
                </c:pt>
                <c:pt idx="1000">
                  <c:v>-90.0</c:v>
                </c:pt>
                <c:pt idx="1001">
                  <c:v>-89.99</c:v>
                </c:pt>
                <c:pt idx="1002">
                  <c:v>-89.98</c:v>
                </c:pt>
                <c:pt idx="1003">
                  <c:v>-89.97</c:v>
                </c:pt>
                <c:pt idx="1004">
                  <c:v>-89.96</c:v>
                </c:pt>
                <c:pt idx="1005">
                  <c:v>-89.95</c:v>
                </c:pt>
                <c:pt idx="1006">
                  <c:v>-89.94</c:v>
                </c:pt>
                <c:pt idx="1007">
                  <c:v>-89.93</c:v>
                </c:pt>
                <c:pt idx="1008">
                  <c:v>-89.92</c:v>
                </c:pt>
                <c:pt idx="1009">
                  <c:v>-89.91</c:v>
                </c:pt>
                <c:pt idx="1010">
                  <c:v>-89.9</c:v>
                </c:pt>
                <c:pt idx="1011">
                  <c:v>-89.89</c:v>
                </c:pt>
                <c:pt idx="1012">
                  <c:v>-89.88</c:v>
                </c:pt>
                <c:pt idx="1013">
                  <c:v>-89.87</c:v>
                </c:pt>
                <c:pt idx="1014">
                  <c:v>-89.86</c:v>
                </c:pt>
                <c:pt idx="1015">
                  <c:v>-89.85</c:v>
                </c:pt>
                <c:pt idx="1016">
                  <c:v>-89.84</c:v>
                </c:pt>
                <c:pt idx="1017">
                  <c:v>-89.83</c:v>
                </c:pt>
                <c:pt idx="1018">
                  <c:v>-89.82</c:v>
                </c:pt>
                <c:pt idx="1019">
                  <c:v>-89.81</c:v>
                </c:pt>
                <c:pt idx="1020">
                  <c:v>-89.8</c:v>
                </c:pt>
                <c:pt idx="1021">
                  <c:v>-89.79</c:v>
                </c:pt>
                <c:pt idx="1022">
                  <c:v>-89.78</c:v>
                </c:pt>
                <c:pt idx="1023">
                  <c:v>-89.77</c:v>
                </c:pt>
                <c:pt idx="1024">
                  <c:v>-89.76</c:v>
                </c:pt>
                <c:pt idx="1025">
                  <c:v>-89.75</c:v>
                </c:pt>
                <c:pt idx="1026">
                  <c:v>-89.74</c:v>
                </c:pt>
                <c:pt idx="1027">
                  <c:v>-89.73</c:v>
                </c:pt>
                <c:pt idx="1028">
                  <c:v>-89.72</c:v>
                </c:pt>
                <c:pt idx="1029">
                  <c:v>-89.71</c:v>
                </c:pt>
                <c:pt idx="1030">
                  <c:v>-89.7</c:v>
                </c:pt>
                <c:pt idx="1031">
                  <c:v>-89.69</c:v>
                </c:pt>
                <c:pt idx="1032">
                  <c:v>-89.68</c:v>
                </c:pt>
                <c:pt idx="1033">
                  <c:v>-89.67</c:v>
                </c:pt>
                <c:pt idx="1034">
                  <c:v>-89.66</c:v>
                </c:pt>
                <c:pt idx="1035">
                  <c:v>-89.65</c:v>
                </c:pt>
                <c:pt idx="1036">
                  <c:v>-89.64</c:v>
                </c:pt>
                <c:pt idx="1037">
                  <c:v>-89.63</c:v>
                </c:pt>
                <c:pt idx="1038">
                  <c:v>-89.62</c:v>
                </c:pt>
                <c:pt idx="1039">
                  <c:v>-89.61</c:v>
                </c:pt>
                <c:pt idx="1040">
                  <c:v>-89.6</c:v>
                </c:pt>
                <c:pt idx="1041">
                  <c:v>-89.59</c:v>
                </c:pt>
                <c:pt idx="1042">
                  <c:v>-89.58</c:v>
                </c:pt>
                <c:pt idx="1043">
                  <c:v>-89.57</c:v>
                </c:pt>
                <c:pt idx="1044">
                  <c:v>-89.56</c:v>
                </c:pt>
                <c:pt idx="1045">
                  <c:v>-89.55</c:v>
                </c:pt>
                <c:pt idx="1046">
                  <c:v>-89.54</c:v>
                </c:pt>
                <c:pt idx="1047">
                  <c:v>-89.53</c:v>
                </c:pt>
                <c:pt idx="1048">
                  <c:v>-89.52</c:v>
                </c:pt>
                <c:pt idx="1049">
                  <c:v>-89.51</c:v>
                </c:pt>
                <c:pt idx="1050">
                  <c:v>-89.5</c:v>
                </c:pt>
                <c:pt idx="1051">
                  <c:v>-89.49</c:v>
                </c:pt>
                <c:pt idx="1052">
                  <c:v>-89.48</c:v>
                </c:pt>
                <c:pt idx="1053">
                  <c:v>-89.47</c:v>
                </c:pt>
                <c:pt idx="1054">
                  <c:v>-89.46</c:v>
                </c:pt>
                <c:pt idx="1055">
                  <c:v>-89.45</c:v>
                </c:pt>
                <c:pt idx="1056">
                  <c:v>-89.44</c:v>
                </c:pt>
                <c:pt idx="1057">
                  <c:v>-89.43</c:v>
                </c:pt>
                <c:pt idx="1058">
                  <c:v>-89.42</c:v>
                </c:pt>
                <c:pt idx="1059">
                  <c:v>-89.41</c:v>
                </c:pt>
                <c:pt idx="1060">
                  <c:v>-89.4</c:v>
                </c:pt>
                <c:pt idx="1061">
                  <c:v>-89.39</c:v>
                </c:pt>
                <c:pt idx="1062">
                  <c:v>-89.38</c:v>
                </c:pt>
                <c:pt idx="1063">
                  <c:v>-89.37</c:v>
                </c:pt>
                <c:pt idx="1064">
                  <c:v>-89.36</c:v>
                </c:pt>
                <c:pt idx="1065">
                  <c:v>-89.35</c:v>
                </c:pt>
                <c:pt idx="1066">
                  <c:v>-89.34</c:v>
                </c:pt>
                <c:pt idx="1067">
                  <c:v>-89.33</c:v>
                </c:pt>
                <c:pt idx="1068">
                  <c:v>-89.32</c:v>
                </c:pt>
                <c:pt idx="1069">
                  <c:v>-89.31</c:v>
                </c:pt>
                <c:pt idx="1070">
                  <c:v>-89.3</c:v>
                </c:pt>
                <c:pt idx="1071">
                  <c:v>-89.29</c:v>
                </c:pt>
                <c:pt idx="1072">
                  <c:v>-89.28</c:v>
                </c:pt>
                <c:pt idx="1073">
                  <c:v>-89.27</c:v>
                </c:pt>
                <c:pt idx="1074">
                  <c:v>-89.26</c:v>
                </c:pt>
                <c:pt idx="1075">
                  <c:v>-89.25</c:v>
                </c:pt>
                <c:pt idx="1076">
                  <c:v>-89.24</c:v>
                </c:pt>
                <c:pt idx="1077">
                  <c:v>-89.23</c:v>
                </c:pt>
                <c:pt idx="1078">
                  <c:v>-89.22</c:v>
                </c:pt>
                <c:pt idx="1079">
                  <c:v>-89.21</c:v>
                </c:pt>
                <c:pt idx="1080">
                  <c:v>-89.2</c:v>
                </c:pt>
                <c:pt idx="1081">
                  <c:v>-89.19</c:v>
                </c:pt>
                <c:pt idx="1082">
                  <c:v>-89.18</c:v>
                </c:pt>
                <c:pt idx="1083">
                  <c:v>-89.17</c:v>
                </c:pt>
                <c:pt idx="1084">
                  <c:v>-89.16</c:v>
                </c:pt>
                <c:pt idx="1085">
                  <c:v>-89.15</c:v>
                </c:pt>
                <c:pt idx="1086">
                  <c:v>-89.14</c:v>
                </c:pt>
                <c:pt idx="1087">
                  <c:v>-89.13</c:v>
                </c:pt>
                <c:pt idx="1088">
                  <c:v>-89.12</c:v>
                </c:pt>
                <c:pt idx="1089">
                  <c:v>-89.11</c:v>
                </c:pt>
                <c:pt idx="1090">
                  <c:v>-89.1</c:v>
                </c:pt>
                <c:pt idx="1091">
                  <c:v>-89.09</c:v>
                </c:pt>
                <c:pt idx="1092">
                  <c:v>-89.08</c:v>
                </c:pt>
                <c:pt idx="1093">
                  <c:v>-89.07</c:v>
                </c:pt>
                <c:pt idx="1094">
                  <c:v>-89.06</c:v>
                </c:pt>
                <c:pt idx="1095">
                  <c:v>-89.05</c:v>
                </c:pt>
                <c:pt idx="1096">
                  <c:v>-89.04</c:v>
                </c:pt>
                <c:pt idx="1097">
                  <c:v>-89.03</c:v>
                </c:pt>
                <c:pt idx="1098">
                  <c:v>-89.02</c:v>
                </c:pt>
                <c:pt idx="1099">
                  <c:v>-89.01</c:v>
                </c:pt>
                <c:pt idx="1100">
                  <c:v>-89.0</c:v>
                </c:pt>
                <c:pt idx="1101">
                  <c:v>-88.99</c:v>
                </c:pt>
                <c:pt idx="1102">
                  <c:v>-88.98</c:v>
                </c:pt>
                <c:pt idx="1103">
                  <c:v>-88.97</c:v>
                </c:pt>
                <c:pt idx="1104">
                  <c:v>-88.96</c:v>
                </c:pt>
                <c:pt idx="1105">
                  <c:v>-88.95</c:v>
                </c:pt>
                <c:pt idx="1106">
                  <c:v>-88.94</c:v>
                </c:pt>
                <c:pt idx="1107">
                  <c:v>-88.93</c:v>
                </c:pt>
                <c:pt idx="1108">
                  <c:v>-88.92</c:v>
                </c:pt>
                <c:pt idx="1109">
                  <c:v>-88.91</c:v>
                </c:pt>
                <c:pt idx="1110">
                  <c:v>-88.9</c:v>
                </c:pt>
                <c:pt idx="1111">
                  <c:v>-88.89</c:v>
                </c:pt>
                <c:pt idx="1112">
                  <c:v>-88.88</c:v>
                </c:pt>
                <c:pt idx="1113">
                  <c:v>-88.87</c:v>
                </c:pt>
                <c:pt idx="1114">
                  <c:v>-88.86</c:v>
                </c:pt>
                <c:pt idx="1115">
                  <c:v>-88.85</c:v>
                </c:pt>
                <c:pt idx="1116">
                  <c:v>-88.84</c:v>
                </c:pt>
                <c:pt idx="1117">
                  <c:v>-88.83</c:v>
                </c:pt>
                <c:pt idx="1118">
                  <c:v>-88.82</c:v>
                </c:pt>
                <c:pt idx="1119">
                  <c:v>-88.81</c:v>
                </c:pt>
                <c:pt idx="1120">
                  <c:v>-88.8</c:v>
                </c:pt>
                <c:pt idx="1121">
                  <c:v>-88.79</c:v>
                </c:pt>
                <c:pt idx="1122">
                  <c:v>-88.78</c:v>
                </c:pt>
                <c:pt idx="1123">
                  <c:v>-88.77</c:v>
                </c:pt>
                <c:pt idx="1124">
                  <c:v>-88.76</c:v>
                </c:pt>
                <c:pt idx="1125">
                  <c:v>-88.75</c:v>
                </c:pt>
                <c:pt idx="1126">
                  <c:v>-88.74</c:v>
                </c:pt>
                <c:pt idx="1127">
                  <c:v>-88.73</c:v>
                </c:pt>
                <c:pt idx="1128">
                  <c:v>-88.72</c:v>
                </c:pt>
                <c:pt idx="1129">
                  <c:v>-88.71</c:v>
                </c:pt>
                <c:pt idx="1130">
                  <c:v>-88.7</c:v>
                </c:pt>
                <c:pt idx="1131">
                  <c:v>-88.69</c:v>
                </c:pt>
                <c:pt idx="1132">
                  <c:v>-88.68</c:v>
                </c:pt>
                <c:pt idx="1133">
                  <c:v>-88.67</c:v>
                </c:pt>
                <c:pt idx="1134">
                  <c:v>-88.66</c:v>
                </c:pt>
                <c:pt idx="1135">
                  <c:v>-88.65</c:v>
                </c:pt>
                <c:pt idx="1136">
                  <c:v>-88.64</c:v>
                </c:pt>
                <c:pt idx="1137">
                  <c:v>-88.63</c:v>
                </c:pt>
                <c:pt idx="1138">
                  <c:v>-88.62</c:v>
                </c:pt>
                <c:pt idx="1139">
                  <c:v>-88.61</c:v>
                </c:pt>
                <c:pt idx="1140">
                  <c:v>-88.6</c:v>
                </c:pt>
                <c:pt idx="1141">
                  <c:v>-88.59</c:v>
                </c:pt>
                <c:pt idx="1142">
                  <c:v>-88.58</c:v>
                </c:pt>
                <c:pt idx="1143">
                  <c:v>-88.57</c:v>
                </c:pt>
                <c:pt idx="1144">
                  <c:v>-88.56</c:v>
                </c:pt>
                <c:pt idx="1145">
                  <c:v>-88.55</c:v>
                </c:pt>
                <c:pt idx="1146">
                  <c:v>-88.54</c:v>
                </c:pt>
                <c:pt idx="1147">
                  <c:v>-88.53</c:v>
                </c:pt>
                <c:pt idx="1148">
                  <c:v>-88.52</c:v>
                </c:pt>
                <c:pt idx="1149">
                  <c:v>-88.51</c:v>
                </c:pt>
                <c:pt idx="1150">
                  <c:v>-88.5</c:v>
                </c:pt>
                <c:pt idx="1151">
                  <c:v>-88.49</c:v>
                </c:pt>
                <c:pt idx="1152">
                  <c:v>-88.48</c:v>
                </c:pt>
                <c:pt idx="1153">
                  <c:v>-88.47</c:v>
                </c:pt>
                <c:pt idx="1154">
                  <c:v>-88.46</c:v>
                </c:pt>
                <c:pt idx="1155">
                  <c:v>-88.45</c:v>
                </c:pt>
                <c:pt idx="1156">
                  <c:v>-88.44</c:v>
                </c:pt>
                <c:pt idx="1157">
                  <c:v>-88.43</c:v>
                </c:pt>
                <c:pt idx="1158">
                  <c:v>-88.42</c:v>
                </c:pt>
                <c:pt idx="1159">
                  <c:v>-88.41</c:v>
                </c:pt>
                <c:pt idx="1160">
                  <c:v>-88.4</c:v>
                </c:pt>
                <c:pt idx="1161">
                  <c:v>-88.39</c:v>
                </c:pt>
                <c:pt idx="1162">
                  <c:v>-88.38</c:v>
                </c:pt>
                <c:pt idx="1163">
                  <c:v>-88.37</c:v>
                </c:pt>
                <c:pt idx="1164">
                  <c:v>-88.36</c:v>
                </c:pt>
                <c:pt idx="1165">
                  <c:v>-88.35</c:v>
                </c:pt>
                <c:pt idx="1166">
                  <c:v>-88.34</c:v>
                </c:pt>
                <c:pt idx="1167">
                  <c:v>-88.33</c:v>
                </c:pt>
                <c:pt idx="1168">
                  <c:v>-88.32</c:v>
                </c:pt>
                <c:pt idx="1169">
                  <c:v>-88.31</c:v>
                </c:pt>
                <c:pt idx="1170">
                  <c:v>-88.3</c:v>
                </c:pt>
                <c:pt idx="1171">
                  <c:v>-88.29</c:v>
                </c:pt>
                <c:pt idx="1172">
                  <c:v>-88.28</c:v>
                </c:pt>
                <c:pt idx="1173">
                  <c:v>-88.27</c:v>
                </c:pt>
                <c:pt idx="1174">
                  <c:v>-88.26</c:v>
                </c:pt>
                <c:pt idx="1175">
                  <c:v>-88.25</c:v>
                </c:pt>
                <c:pt idx="1176">
                  <c:v>-88.24</c:v>
                </c:pt>
                <c:pt idx="1177">
                  <c:v>-88.23</c:v>
                </c:pt>
                <c:pt idx="1178">
                  <c:v>-88.22</c:v>
                </c:pt>
                <c:pt idx="1179">
                  <c:v>-88.21</c:v>
                </c:pt>
                <c:pt idx="1180">
                  <c:v>-88.2</c:v>
                </c:pt>
                <c:pt idx="1181">
                  <c:v>-88.19</c:v>
                </c:pt>
                <c:pt idx="1182">
                  <c:v>-88.18</c:v>
                </c:pt>
                <c:pt idx="1183">
                  <c:v>-88.17</c:v>
                </c:pt>
                <c:pt idx="1184">
                  <c:v>-88.16</c:v>
                </c:pt>
                <c:pt idx="1185">
                  <c:v>-88.15</c:v>
                </c:pt>
                <c:pt idx="1186">
                  <c:v>-88.14</c:v>
                </c:pt>
                <c:pt idx="1187">
                  <c:v>-88.13</c:v>
                </c:pt>
                <c:pt idx="1188">
                  <c:v>-88.12</c:v>
                </c:pt>
                <c:pt idx="1189">
                  <c:v>-88.11</c:v>
                </c:pt>
                <c:pt idx="1190">
                  <c:v>-88.1</c:v>
                </c:pt>
                <c:pt idx="1191">
                  <c:v>-88.09</c:v>
                </c:pt>
                <c:pt idx="1192">
                  <c:v>-88.08</c:v>
                </c:pt>
                <c:pt idx="1193">
                  <c:v>-88.07</c:v>
                </c:pt>
                <c:pt idx="1194">
                  <c:v>-88.06</c:v>
                </c:pt>
                <c:pt idx="1195">
                  <c:v>-88.05</c:v>
                </c:pt>
                <c:pt idx="1196">
                  <c:v>-88.04</c:v>
                </c:pt>
                <c:pt idx="1197">
                  <c:v>-88.03</c:v>
                </c:pt>
                <c:pt idx="1198">
                  <c:v>-88.02</c:v>
                </c:pt>
                <c:pt idx="1199">
                  <c:v>-88.01</c:v>
                </c:pt>
                <c:pt idx="1200">
                  <c:v>-88.0</c:v>
                </c:pt>
                <c:pt idx="1201">
                  <c:v>-87.99</c:v>
                </c:pt>
                <c:pt idx="1202">
                  <c:v>-87.98</c:v>
                </c:pt>
                <c:pt idx="1203">
                  <c:v>-87.97</c:v>
                </c:pt>
                <c:pt idx="1204">
                  <c:v>-87.96</c:v>
                </c:pt>
                <c:pt idx="1205">
                  <c:v>-87.95</c:v>
                </c:pt>
                <c:pt idx="1206">
                  <c:v>-87.94</c:v>
                </c:pt>
                <c:pt idx="1207">
                  <c:v>-87.93</c:v>
                </c:pt>
                <c:pt idx="1208">
                  <c:v>-87.92</c:v>
                </c:pt>
                <c:pt idx="1209">
                  <c:v>-87.91</c:v>
                </c:pt>
                <c:pt idx="1210">
                  <c:v>-87.9</c:v>
                </c:pt>
                <c:pt idx="1211">
                  <c:v>-87.89</c:v>
                </c:pt>
                <c:pt idx="1212">
                  <c:v>-87.88</c:v>
                </c:pt>
                <c:pt idx="1213">
                  <c:v>-87.87</c:v>
                </c:pt>
                <c:pt idx="1214">
                  <c:v>-87.86</c:v>
                </c:pt>
                <c:pt idx="1215">
                  <c:v>-87.85</c:v>
                </c:pt>
                <c:pt idx="1216">
                  <c:v>-87.84</c:v>
                </c:pt>
                <c:pt idx="1217">
                  <c:v>-87.83</c:v>
                </c:pt>
                <c:pt idx="1218">
                  <c:v>-87.82</c:v>
                </c:pt>
                <c:pt idx="1219">
                  <c:v>-87.81</c:v>
                </c:pt>
                <c:pt idx="1220">
                  <c:v>-87.8</c:v>
                </c:pt>
                <c:pt idx="1221">
                  <c:v>-87.79</c:v>
                </c:pt>
                <c:pt idx="1222">
                  <c:v>-87.78</c:v>
                </c:pt>
                <c:pt idx="1223">
                  <c:v>-87.77</c:v>
                </c:pt>
                <c:pt idx="1224">
                  <c:v>-87.76</c:v>
                </c:pt>
                <c:pt idx="1225">
                  <c:v>-87.75</c:v>
                </c:pt>
                <c:pt idx="1226">
                  <c:v>-87.74</c:v>
                </c:pt>
                <c:pt idx="1227">
                  <c:v>-87.73</c:v>
                </c:pt>
                <c:pt idx="1228">
                  <c:v>-87.72</c:v>
                </c:pt>
                <c:pt idx="1229">
                  <c:v>-87.71</c:v>
                </c:pt>
                <c:pt idx="1230">
                  <c:v>-87.7</c:v>
                </c:pt>
                <c:pt idx="1231">
                  <c:v>-87.69</c:v>
                </c:pt>
                <c:pt idx="1232">
                  <c:v>-87.68</c:v>
                </c:pt>
                <c:pt idx="1233">
                  <c:v>-87.67</c:v>
                </c:pt>
                <c:pt idx="1234">
                  <c:v>-87.66</c:v>
                </c:pt>
                <c:pt idx="1235">
                  <c:v>-87.65</c:v>
                </c:pt>
                <c:pt idx="1236">
                  <c:v>-87.64</c:v>
                </c:pt>
                <c:pt idx="1237">
                  <c:v>-87.63</c:v>
                </c:pt>
                <c:pt idx="1238">
                  <c:v>-87.62</c:v>
                </c:pt>
                <c:pt idx="1239">
                  <c:v>-87.61</c:v>
                </c:pt>
                <c:pt idx="1240">
                  <c:v>-87.6</c:v>
                </c:pt>
                <c:pt idx="1241">
                  <c:v>-87.59</c:v>
                </c:pt>
                <c:pt idx="1242">
                  <c:v>-87.58</c:v>
                </c:pt>
                <c:pt idx="1243">
                  <c:v>-87.57</c:v>
                </c:pt>
                <c:pt idx="1244">
                  <c:v>-87.56</c:v>
                </c:pt>
                <c:pt idx="1245">
                  <c:v>-87.55</c:v>
                </c:pt>
                <c:pt idx="1246">
                  <c:v>-87.54</c:v>
                </c:pt>
                <c:pt idx="1247">
                  <c:v>-87.53</c:v>
                </c:pt>
                <c:pt idx="1248">
                  <c:v>-87.52</c:v>
                </c:pt>
                <c:pt idx="1249">
                  <c:v>-87.51</c:v>
                </c:pt>
                <c:pt idx="1250">
                  <c:v>-87.5</c:v>
                </c:pt>
                <c:pt idx="1251">
                  <c:v>-87.49</c:v>
                </c:pt>
                <c:pt idx="1252">
                  <c:v>-87.48</c:v>
                </c:pt>
                <c:pt idx="1253">
                  <c:v>-87.47</c:v>
                </c:pt>
                <c:pt idx="1254">
                  <c:v>-87.46</c:v>
                </c:pt>
                <c:pt idx="1255">
                  <c:v>-87.45</c:v>
                </c:pt>
                <c:pt idx="1256">
                  <c:v>-87.44</c:v>
                </c:pt>
                <c:pt idx="1257">
                  <c:v>-87.43</c:v>
                </c:pt>
                <c:pt idx="1258">
                  <c:v>-87.42</c:v>
                </c:pt>
                <c:pt idx="1259">
                  <c:v>-87.41</c:v>
                </c:pt>
                <c:pt idx="1260">
                  <c:v>-87.4</c:v>
                </c:pt>
                <c:pt idx="1261">
                  <c:v>-87.39</c:v>
                </c:pt>
                <c:pt idx="1262">
                  <c:v>-87.38</c:v>
                </c:pt>
                <c:pt idx="1263">
                  <c:v>-87.37</c:v>
                </c:pt>
                <c:pt idx="1264">
                  <c:v>-87.36</c:v>
                </c:pt>
                <c:pt idx="1265">
                  <c:v>-87.35</c:v>
                </c:pt>
                <c:pt idx="1266">
                  <c:v>-87.34</c:v>
                </c:pt>
                <c:pt idx="1267">
                  <c:v>-87.33</c:v>
                </c:pt>
                <c:pt idx="1268">
                  <c:v>-87.32</c:v>
                </c:pt>
                <c:pt idx="1269">
                  <c:v>-87.31</c:v>
                </c:pt>
                <c:pt idx="1270">
                  <c:v>-87.3</c:v>
                </c:pt>
                <c:pt idx="1271">
                  <c:v>-87.29</c:v>
                </c:pt>
                <c:pt idx="1272">
                  <c:v>-87.28</c:v>
                </c:pt>
                <c:pt idx="1273">
                  <c:v>-87.27</c:v>
                </c:pt>
                <c:pt idx="1274">
                  <c:v>-87.26</c:v>
                </c:pt>
                <c:pt idx="1275">
                  <c:v>-87.25</c:v>
                </c:pt>
                <c:pt idx="1276">
                  <c:v>-87.24</c:v>
                </c:pt>
                <c:pt idx="1277">
                  <c:v>-87.23</c:v>
                </c:pt>
                <c:pt idx="1278">
                  <c:v>-87.22</c:v>
                </c:pt>
                <c:pt idx="1279">
                  <c:v>-87.21</c:v>
                </c:pt>
                <c:pt idx="1280">
                  <c:v>-87.2</c:v>
                </c:pt>
                <c:pt idx="1281">
                  <c:v>-87.19</c:v>
                </c:pt>
                <c:pt idx="1282">
                  <c:v>-87.18</c:v>
                </c:pt>
                <c:pt idx="1283">
                  <c:v>-87.17</c:v>
                </c:pt>
                <c:pt idx="1284">
                  <c:v>-87.16</c:v>
                </c:pt>
                <c:pt idx="1285">
                  <c:v>-87.15</c:v>
                </c:pt>
                <c:pt idx="1286">
                  <c:v>-87.14</c:v>
                </c:pt>
                <c:pt idx="1287">
                  <c:v>-87.13</c:v>
                </c:pt>
                <c:pt idx="1288">
                  <c:v>-87.12</c:v>
                </c:pt>
                <c:pt idx="1289">
                  <c:v>-87.11</c:v>
                </c:pt>
                <c:pt idx="1290">
                  <c:v>-87.1</c:v>
                </c:pt>
                <c:pt idx="1291">
                  <c:v>-87.09</c:v>
                </c:pt>
                <c:pt idx="1292">
                  <c:v>-87.08</c:v>
                </c:pt>
                <c:pt idx="1293">
                  <c:v>-87.07</c:v>
                </c:pt>
                <c:pt idx="1294">
                  <c:v>-87.06</c:v>
                </c:pt>
                <c:pt idx="1295">
                  <c:v>-87.05</c:v>
                </c:pt>
                <c:pt idx="1296">
                  <c:v>-87.04</c:v>
                </c:pt>
                <c:pt idx="1297">
                  <c:v>-87.03</c:v>
                </c:pt>
                <c:pt idx="1298">
                  <c:v>-87.02</c:v>
                </c:pt>
                <c:pt idx="1299">
                  <c:v>-87.01</c:v>
                </c:pt>
                <c:pt idx="1300">
                  <c:v>-87.0</c:v>
                </c:pt>
                <c:pt idx="1301">
                  <c:v>-86.99</c:v>
                </c:pt>
                <c:pt idx="1302">
                  <c:v>-86.98</c:v>
                </c:pt>
                <c:pt idx="1303">
                  <c:v>-86.97</c:v>
                </c:pt>
                <c:pt idx="1304">
                  <c:v>-86.96</c:v>
                </c:pt>
                <c:pt idx="1305">
                  <c:v>-86.95</c:v>
                </c:pt>
                <c:pt idx="1306">
                  <c:v>-86.94</c:v>
                </c:pt>
                <c:pt idx="1307">
                  <c:v>-86.93</c:v>
                </c:pt>
                <c:pt idx="1308">
                  <c:v>-86.92</c:v>
                </c:pt>
                <c:pt idx="1309">
                  <c:v>-86.91</c:v>
                </c:pt>
                <c:pt idx="1310">
                  <c:v>-86.9</c:v>
                </c:pt>
                <c:pt idx="1311">
                  <c:v>-86.89</c:v>
                </c:pt>
                <c:pt idx="1312">
                  <c:v>-86.88</c:v>
                </c:pt>
                <c:pt idx="1313">
                  <c:v>-86.87</c:v>
                </c:pt>
                <c:pt idx="1314">
                  <c:v>-86.86</c:v>
                </c:pt>
                <c:pt idx="1315">
                  <c:v>-86.85</c:v>
                </c:pt>
                <c:pt idx="1316">
                  <c:v>-86.84</c:v>
                </c:pt>
                <c:pt idx="1317">
                  <c:v>-86.83</c:v>
                </c:pt>
                <c:pt idx="1318">
                  <c:v>-86.82</c:v>
                </c:pt>
                <c:pt idx="1319">
                  <c:v>-86.81</c:v>
                </c:pt>
                <c:pt idx="1320">
                  <c:v>-86.8</c:v>
                </c:pt>
                <c:pt idx="1321">
                  <c:v>-86.79</c:v>
                </c:pt>
                <c:pt idx="1322">
                  <c:v>-86.78</c:v>
                </c:pt>
                <c:pt idx="1323">
                  <c:v>-86.77</c:v>
                </c:pt>
                <c:pt idx="1324">
                  <c:v>-86.76</c:v>
                </c:pt>
                <c:pt idx="1325">
                  <c:v>-86.75</c:v>
                </c:pt>
                <c:pt idx="1326">
                  <c:v>-86.74</c:v>
                </c:pt>
                <c:pt idx="1327">
                  <c:v>-86.73</c:v>
                </c:pt>
                <c:pt idx="1328">
                  <c:v>-86.72</c:v>
                </c:pt>
                <c:pt idx="1329">
                  <c:v>-86.71</c:v>
                </c:pt>
                <c:pt idx="1330">
                  <c:v>-86.7</c:v>
                </c:pt>
                <c:pt idx="1331">
                  <c:v>-86.69</c:v>
                </c:pt>
                <c:pt idx="1332">
                  <c:v>-86.68</c:v>
                </c:pt>
                <c:pt idx="1333">
                  <c:v>-86.67</c:v>
                </c:pt>
                <c:pt idx="1334">
                  <c:v>-86.66</c:v>
                </c:pt>
                <c:pt idx="1335">
                  <c:v>-86.65</c:v>
                </c:pt>
                <c:pt idx="1336">
                  <c:v>-86.64</c:v>
                </c:pt>
                <c:pt idx="1337">
                  <c:v>-86.63</c:v>
                </c:pt>
                <c:pt idx="1338">
                  <c:v>-86.62</c:v>
                </c:pt>
                <c:pt idx="1339">
                  <c:v>-86.61</c:v>
                </c:pt>
                <c:pt idx="1340">
                  <c:v>-86.6</c:v>
                </c:pt>
                <c:pt idx="1341">
                  <c:v>-86.59</c:v>
                </c:pt>
                <c:pt idx="1342">
                  <c:v>-86.58</c:v>
                </c:pt>
                <c:pt idx="1343">
                  <c:v>-86.57</c:v>
                </c:pt>
                <c:pt idx="1344">
                  <c:v>-86.56</c:v>
                </c:pt>
                <c:pt idx="1345">
                  <c:v>-86.55</c:v>
                </c:pt>
                <c:pt idx="1346">
                  <c:v>-86.54</c:v>
                </c:pt>
                <c:pt idx="1347">
                  <c:v>-86.53</c:v>
                </c:pt>
                <c:pt idx="1348">
                  <c:v>-86.52</c:v>
                </c:pt>
                <c:pt idx="1349">
                  <c:v>-86.51</c:v>
                </c:pt>
                <c:pt idx="1350">
                  <c:v>-86.5</c:v>
                </c:pt>
                <c:pt idx="1351">
                  <c:v>-86.49</c:v>
                </c:pt>
                <c:pt idx="1352">
                  <c:v>-86.48</c:v>
                </c:pt>
                <c:pt idx="1353">
                  <c:v>-86.47</c:v>
                </c:pt>
                <c:pt idx="1354">
                  <c:v>-86.46</c:v>
                </c:pt>
                <c:pt idx="1355">
                  <c:v>-86.45</c:v>
                </c:pt>
                <c:pt idx="1356">
                  <c:v>-86.44</c:v>
                </c:pt>
                <c:pt idx="1357">
                  <c:v>-86.43</c:v>
                </c:pt>
                <c:pt idx="1358">
                  <c:v>-86.42</c:v>
                </c:pt>
                <c:pt idx="1359">
                  <c:v>-86.41</c:v>
                </c:pt>
                <c:pt idx="1360">
                  <c:v>-86.4</c:v>
                </c:pt>
                <c:pt idx="1361">
                  <c:v>-86.39</c:v>
                </c:pt>
                <c:pt idx="1362">
                  <c:v>-86.38</c:v>
                </c:pt>
                <c:pt idx="1363">
                  <c:v>-86.37</c:v>
                </c:pt>
                <c:pt idx="1364">
                  <c:v>-86.36</c:v>
                </c:pt>
                <c:pt idx="1365">
                  <c:v>-86.35</c:v>
                </c:pt>
                <c:pt idx="1366">
                  <c:v>-86.34</c:v>
                </c:pt>
                <c:pt idx="1367">
                  <c:v>-86.33</c:v>
                </c:pt>
                <c:pt idx="1368">
                  <c:v>-86.32</c:v>
                </c:pt>
                <c:pt idx="1369">
                  <c:v>-86.31</c:v>
                </c:pt>
                <c:pt idx="1370">
                  <c:v>-86.3</c:v>
                </c:pt>
                <c:pt idx="1371">
                  <c:v>-86.29</c:v>
                </c:pt>
                <c:pt idx="1372">
                  <c:v>-86.28</c:v>
                </c:pt>
                <c:pt idx="1373">
                  <c:v>-86.27</c:v>
                </c:pt>
                <c:pt idx="1374">
                  <c:v>-86.26</c:v>
                </c:pt>
                <c:pt idx="1375">
                  <c:v>-86.25</c:v>
                </c:pt>
                <c:pt idx="1376">
                  <c:v>-86.24</c:v>
                </c:pt>
                <c:pt idx="1377">
                  <c:v>-86.23</c:v>
                </c:pt>
                <c:pt idx="1378">
                  <c:v>-86.22</c:v>
                </c:pt>
                <c:pt idx="1379">
                  <c:v>-86.21</c:v>
                </c:pt>
                <c:pt idx="1380">
                  <c:v>-86.2</c:v>
                </c:pt>
                <c:pt idx="1381">
                  <c:v>-86.19</c:v>
                </c:pt>
                <c:pt idx="1382">
                  <c:v>-86.18</c:v>
                </c:pt>
                <c:pt idx="1383">
                  <c:v>-86.17</c:v>
                </c:pt>
                <c:pt idx="1384">
                  <c:v>-86.16</c:v>
                </c:pt>
                <c:pt idx="1385">
                  <c:v>-86.15</c:v>
                </c:pt>
                <c:pt idx="1386">
                  <c:v>-86.14</c:v>
                </c:pt>
                <c:pt idx="1387">
                  <c:v>-86.13</c:v>
                </c:pt>
                <c:pt idx="1388">
                  <c:v>-86.12</c:v>
                </c:pt>
                <c:pt idx="1389">
                  <c:v>-86.11</c:v>
                </c:pt>
                <c:pt idx="1390">
                  <c:v>-86.1</c:v>
                </c:pt>
                <c:pt idx="1391">
                  <c:v>-86.09</c:v>
                </c:pt>
                <c:pt idx="1392">
                  <c:v>-86.08</c:v>
                </c:pt>
                <c:pt idx="1393">
                  <c:v>-86.07</c:v>
                </c:pt>
                <c:pt idx="1394">
                  <c:v>-86.06</c:v>
                </c:pt>
                <c:pt idx="1395">
                  <c:v>-86.05</c:v>
                </c:pt>
                <c:pt idx="1396">
                  <c:v>-86.04</c:v>
                </c:pt>
                <c:pt idx="1397">
                  <c:v>-86.03</c:v>
                </c:pt>
                <c:pt idx="1398">
                  <c:v>-86.02</c:v>
                </c:pt>
                <c:pt idx="1399">
                  <c:v>-86.01</c:v>
                </c:pt>
                <c:pt idx="1400">
                  <c:v>-86.0</c:v>
                </c:pt>
                <c:pt idx="1401">
                  <c:v>-85.99</c:v>
                </c:pt>
                <c:pt idx="1402">
                  <c:v>-85.98</c:v>
                </c:pt>
                <c:pt idx="1403">
                  <c:v>-85.97</c:v>
                </c:pt>
                <c:pt idx="1404">
                  <c:v>-85.96</c:v>
                </c:pt>
                <c:pt idx="1405">
                  <c:v>-85.95</c:v>
                </c:pt>
                <c:pt idx="1406">
                  <c:v>-85.94</c:v>
                </c:pt>
                <c:pt idx="1407">
                  <c:v>-85.93</c:v>
                </c:pt>
                <c:pt idx="1408">
                  <c:v>-85.92</c:v>
                </c:pt>
                <c:pt idx="1409">
                  <c:v>-85.91</c:v>
                </c:pt>
                <c:pt idx="1410">
                  <c:v>-85.9</c:v>
                </c:pt>
                <c:pt idx="1411">
                  <c:v>-85.89</c:v>
                </c:pt>
                <c:pt idx="1412">
                  <c:v>-85.88</c:v>
                </c:pt>
                <c:pt idx="1413">
                  <c:v>-85.87</c:v>
                </c:pt>
                <c:pt idx="1414">
                  <c:v>-85.86</c:v>
                </c:pt>
                <c:pt idx="1415">
                  <c:v>-85.85</c:v>
                </c:pt>
                <c:pt idx="1416">
                  <c:v>-85.84</c:v>
                </c:pt>
                <c:pt idx="1417">
                  <c:v>-85.83</c:v>
                </c:pt>
                <c:pt idx="1418">
                  <c:v>-85.82</c:v>
                </c:pt>
                <c:pt idx="1419">
                  <c:v>-85.81</c:v>
                </c:pt>
                <c:pt idx="1420">
                  <c:v>-85.8</c:v>
                </c:pt>
                <c:pt idx="1421">
                  <c:v>-85.79</c:v>
                </c:pt>
                <c:pt idx="1422">
                  <c:v>-85.78</c:v>
                </c:pt>
                <c:pt idx="1423">
                  <c:v>-85.77</c:v>
                </c:pt>
                <c:pt idx="1424">
                  <c:v>-85.76</c:v>
                </c:pt>
                <c:pt idx="1425">
                  <c:v>-85.75</c:v>
                </c:pt>
                <c:pt idx="1426">
                  <c:v>-85.74</c:v>
                </c:pt>
                <c:pt idx="1427">
                  <c:v>-85.73</c:v>
                </c:pt>
                <c:pt idx="1428">
                  <c:v>-85.72</c:v>
                </c:pt>
                <c:pt idx="1429">
                  <c:v>-85.71</c:v>
                </c:pt>
                <c:pt idx="1430">
                  <c:v>-85.7</c:v>
                </c:pt>
                <c:pt idx="1431">
                  <c:v>-85.69</c:v>
                </c:pt>
                <c:pt idx="1432">
                  <c:v>-85.68</c:v>
                </c:pt>
                <c:pt idx="1433">
                  <c:v>-85.67</c:v>
                </c:pt>
                <c:pt idx="1434">
                  <c:v>-85.66</c:v>
                </c:pt>
                <c:pt idx="1435">
                  <c:v>-85.65</c:v>
                </c:pt>
                <c:pt idx="1436">
                  <c:v>-85.64</c:v>
                </c:pt>
                <c:pt idx="1437">
                  <c:v>-85.63</c:v>
                </c:pt>
                <c:pt idx="1438">
                  <c:v>-85.62</c:v>
                </c:pt>
                <c:pt idx="1439">
                  <c:v>-85.61</c:v>
                </c:pt>
                <c:pt idx="1440">
                  <c:v>-85.6</c:v>
                </c:pt>
                <c:pt idx="1441">
                  <c:v>-85.59</c:v>
                </c:pt>
                <c:pt idx="1442">
                  <c:v>-85.58</c:v>
                </c:pt>
                <c:pt idx="1443">
                  <c:v>-85.57</c:v>
                </c:pt>
                <c:pt idx="1444">
                  <c:v>-85.56</c:v>
                </c:pt>
                <c:pt idx="1445">
                  <c:v>-85.55</c:v>
                </c:pt>
                <c:pt idx="1446">
                  <c:v>-85.54</c:v>
                </c:pt>
                <c:pt idx="1447">
                  <c:v>-85.53</c:v>
                </c:pt>
                <c:pt idx="1448">
                  <c:v>-85.52</c:v>
                </c:pt>
                <c:pt idx="1449">
                  <c:v>-85.51</c:v>
                </c:pt>
                <c:pt idx="1450">
                  <c:v>-85.5</c:v>
                </c:pt>
                <c:pt idx="1451">
                  <c:v>-85.49</c:v>
                </c:pt>
                <c:pt idx="1452">
                  <c:v>-85.48</c:v>
                </c:pt>
                <c:pt idx="1453">
                  <c:v>-85.47</c:v>
                </c:pt>
                <c:pt idx="1454">
                  <c:v>-85.46</c:v>
                </c:pt>
                <c:pt idx="1455">
                  <c:v>-85.45</c:v>
                </c:pt>
                <c:pt idx="1456">
                  <c:v>-85.44</c:v>
                </c:pt>
                <c:pt idx="1457">
                  <c:v>-85.43</c:v>
                </c:pt>
                <c:pt idx="1458">
                  <c:v>-85.42</c:v>
                </c:pt>
                <c:pt idx="1459">
                  <c:v>-85.41</c:v>
                </c:pt>
                <c:pt idx="1460">
                  <c:v>-85.4</c:v>
                </c:pt>
                <c:pt idx="1461">
                  <c:v>-85.39</c:v>
                </c:pt>
                <c:pt idx="1462">
                  <c:v>-85.38</c:v>
                </c:pt>
                <c:pt idx="1463">
                  <c:v>-85.37</c:v>
                </c:pt>
                <c:pt idx="1464">
                  <c:v>-85.36</c:v>
                </c:pt>
                <c:pt idx="1465">
                  <c:v>-85.35</c:v>
                </c:pt>
                <c:pt idx="1466">
                  <c:v>-85.34</c:v>
                </c:pt>
                <c:pt idx="1467">
                  <c:v>-85.33</c:v>
                </c:pt>
                <c:pt idx="1468">
                  <c:v>-85.32</c:v>
                </c:pt>
                <c:pt idx="1469">
                  <c:v>-85.31</c:v>
                </c:pt>
                <c:pt idx="1470">
                  <c:v>-85.3</c:v>
                </c:pt>
                <c:pt idx="1471">
                  <c:v>-85.29</c:v>
                </c:pt>
                <c:pt idx="1472">
                  <c:v>-85.28</c:v>
                </c:pt>
                <c:pt idx="1473">
                  <c:v>-85.27</c:v>
                </c:pt>
                <c:pt idx="1474">
                  <c:v>-85.26</c:v>
                </c:pt>
                <c:pt idx="1475">
                  <c:v>-85.25</c:v>
                </c:pt>
                <c:pt idx="1476">
                  <c:v>-85.24</c:v>
                </c:pt>
                <c:pt idx="1477">
                  <c:v>-85.23</c:v>
                </c:pt>
                <c:pt idx="1478">
                  <c:v>-85.22</c:v>
                </c:pt>
                <c:pt idx="1479">
                  <c:v>-85.21</c:v>
                </c:pt>
                <c:pt idx="1480">
                  <c:v>-85.2</c:v>
                </c:pt>
                <c:pt idx="1481">
                  <c:v>-85.19</c:v>
                </c:pt>
                <c:pt idx="1482">
                  <c:v>-85.18</c:v>
                </c:pt>
                <c:pt idx="1483">
                  <c:v>-85.17</c:v>
                </c:pt>
                <c:pt idx="1484">
                  <c:v>-85.16</c:v>
                </c:pt>
                <c:pt idx="1485">
                  <c:v>-85.15</c:v>
                </c:pt>
                <c:pt idx="1486">
                  <c:v>-85.14</c:v>
                </c:pt>
                <c:pt idx="1487">
                  <c:v>-85.13</c:v>
                </c:pt>
                <c:pt idx="1488">
                  <c:v>-85.12</c:v>
                </c:pt>
                <c:pt idx="1489">
                  <c:v>-85.11</c:v>
                </c:pt>
                <c:pt idx="1490">
                  <c:v>-85.1</c:v>
                </c:pt>
                <c:pt idx="1491">
                  <c:v>-85.09</c:v>
                </c:pt>
                <c:pt idx="1492">
                  <c:v>-85.08</c:v>
                </c:pt>
                <c:pt idx="1493">
                  <c:v>-85.07</c:v>
                </c:pt>
                <c:pt idx="1494">
                  <c:v>-85.06</c:v>
                </c:pt>
                <c:pt idx="1495">
                  <c:v>-85.05</c:v>
                </c:pt>
                <c:pt idx="1496">
                  <c:v>-85.04</c:v>
                </c:pt>
                <c:pt idx="1497">
                  <c:v>-85.03</c:v>
                </c:pt>
                <c:pt idx="1498">
                  <c:v>-85.02</c:v>
                </c:pt>
                <c:pt idx="1499">
                  <c:v>-85.01</c:v>
                </c:pt>
                <c:pt idx="1500">
                  <c:v>-85.0</c:v>
                </c:pt>
                <c:pt idx="1501">
                  <c:v>-84.99</c:v>
                </c:pt>
                <c:pt idx="1502">
                  <c:v>-84.98</c:v>
                </c:pt>
                <c:pt idx="1503">
                  <c:v>-84.97</c:v>
                </c:pt>
                <c:pt idx="1504">
                  <c:v>-84.96</c:v>
                </c:pt>
                <c:pt idx="1505">
                  <c:v>-84.95</c:v>
                </c:pt>
                <c:pt idx="1506">
                  <c:v>-84.94</c:v>
                </c:pt>
                <c:pt idx="1507">
                  <c:v>-84.93</c:v>
                </c:pt>
                <c:pt idx="1508">
                  <c:v>-84.92</c:v>
                </c:pt>
                <c:pt idx="1509">
                  <c:v>-84.91</c:v>
                </c:pt>
                <c:pt idx="1510">
                  <c:v>-84.9</c:v>
                </c:pt>
                <c:pt idx="1511">
                  <c:v>-84.89</c:v>
                </c:pt>
                <c:pt idx="1512">
                  <c:v>-84.88</c:v>
                </c:pt>
                <c:pt idx="1513">
                  <c:v>-84.87</c:v>
                </c:pt>
                <c:pt idx="1514">
                  <c:v>-84.86</c:v>
                </c:pt>
                <c:pt idx="1515">
                  <c:v>-84.85</c:v>
                </c:pt>
                <c:pt idx="1516">
                  <c:v>-84.84</c:v>
                </c:pt>
                <c:pt idx="1517">
                  <c:v>-84.83</c:v>
                </c:pt>
                <c:pt idx="1518">
                  <c:v>-84.82</c:v>
                </c:pt>
                <c:pt idx="1519">
                  <c:v>-84.81</c:v>
                </c:pt>
                <c:pt idx="1520">
                  <c:v>-84.8</c:v>
                </c:pt>
                <c:pt idx="1521">
                  <c:v>-84.79</c:v>
                </c:pt>
                <c:pt idx="1522">
                  <c:v>-84.78</c:v>
                </c:pt>
                <c:pt idx="1523">
                  <c:v>-84.77</c:v>
                </c:pt>
                <c:pt idx="1524">
                  <c:v>-84.76</c:v>
                </c:pt>
                <c:pt idx="1525">
                  <c:v>-84.75</c:v>
                </c:pt>
                <c:pt idx="1526">
                  <c:v>-84.74</c:v>
                </c:pt>
                <c:pt idx="1527">
                  <c:v>-84.73</c:v>
                </c:pt>
                <c:pt idx="1528">
                  <c:v>-84.72</c:v>
                </c:pt>
                <c:pt idx="1529">
                  <c:v>-84.71</c:v>
                </c:pt>
                <c:pt idx="1530">
                  <c:v>-84.7</c:v>
                </c:pt>
                <c:pt idx="1531">
                  <c:v>-84.69</c:v>
                </c:pt>
                <c:pt idx="1532">
                  <c:v>-84.68</c:v>
                </c:pt>
                <c:pt idx="1533">
                  <c:v>-84.67</c:v>
                </c:pt>
                <c:pt idx="1534">
                  <c:v>-84.66</c:v>
                </c:pt>
                <c:pt idx="1535">
                  <c:v>-84.65</c:v>
                </c:pt>
                <c:pt idx="1536">
                  <c:v>-84.64</c:v>
                </c:pt>
                <c:pt idx="1537">
                  <c:v>-84.63</c:v>
                </c:pt>
                <c:pt idx="1538">
                  <c:v>-84.62</c:v>
                </c:pt>
                <c:pt idx="1539">
                  <c:v>-84.61</c:v>
                </c:pt>
                <c:pt idx="1540">
                  <c:v>-84.6</c:v>
                </c:pt>
                <c:pt idx="1541">
                  <c:v>-84.59</c:v>
                </c:pt>
                <c:pt idx="1542">
                  <c:v>-84.58</c:v>
                </c:pt>
                <c:pt idx="1543">
                  <c:v>-84.57</c:v>
                </c:pt>
                <c:pt idx="1544">
                  <c:v>-84.56</c:v>
                </c:pt>
                <c:pt idx="1545">
                  <c:v>-84.55</c:v>
                </c:pt>
                <c:pt idx="1546">
                  <c:v>-84.54</c:v>
                </c:pt>
                <c:pt idx="1547">
                  <c:v>-84.53</c:v>
                </c:pt>
                <c:pt idx="1548">
                  <c:v>-84.52</c:v>
                </c:pt>
                <c:pt idx="1549">
                  <c:v>-84.51</c:v>
                </c:pt>
                <c:pt idx="1550">
                  <c:v>-84.5</c:v>
                </c:pt>
                <c:pt idx="1551">
                  <c:v>-84.49</c:v>
                </c:pt>
                <c:pt idx="1552">
                  <c:v>-84.48</c:v>
                </c:pt>
                <c:pt idx="1553">
                  <c:v>-84.47</c:v>
                </c:pt>
                <c:pt idx="1554">
                  <c:v>-84.46</c:v>
                </c:pt>
                <c:pt idx="1555">
                  <c:v>-84.45</c:v>
                </c:pt>
                <c:pt idx="1556">
                  <c:v>-84.44</c:v>
                </c:pt>
                <c:pt idx="1557">
                  <c:v>-84.43</c:v>
                </c:pt>
                <c:pt idx="1558">
                  <c:v>-84.42</c:v>
                </c:pt>
                <c:pt idx="1559">
                  <c:v>-84.41</c:v>
                </c:pt>
                <c:pt idx="1560">
                  <c:v>-84.4</c:v>
                </c:pt>
                <c:pt idx="1561">
                  <c:v>-84.39</c:v>
                </c:pt>
                <c:pt idx="1562">
                  <c:v>-84.38</c:v>
                </c:pt>
                <c:pt idx="1563">
                  <c:v>-84.37</c:v>
                </c:pt>
                <c:pt idx="1564">
                  <c:v>-84.36</c:v>
                </c:pt>
                <c:pt idx="1565">
                  <c:v>-84.35</c:v>
                </c:pt>
                <c:pt idx="1566">
                  <c:v>-84.34</c:v>
                </c:pt>
                <c:pt idx="1567">
                  <c:v>-84.33</c:v>
                </c:pt>
                <c:pt idx="1568">
                  <c:v>-84.32</c:v>
                </c:pt>
                <c:pt idx="1569">
                  <c:v>-84.31</c:v>
                </c:pt>
                <c:pt idx="1570">
                  <c:v>-84.3</c:v>
                </c:pt>
                <c:pt idx="1571">
                  <c:v>-84.29</c:v>
                </c:pt>
                <c:pt idx="1572">
                  <c:v>-84.28</c:v>
                </c:pt>
                <c:pt idx="1573">
                  <c:v>-84.27</c:v>
                </c:pt>
                <c:pt idx="1574">
                  <c:v>-84.26</c:v>
                </c:pt>
                <c:pt idx="1575">
                  <c:v>-84.25</c:v>
                </c:pt>
                <c:pt idx="1576">
                  <c:v>-84.24</c:v>
                </c:pt>
                <c:pt idx="1577">
                  <c:v>-84.23</c:v>
                </c:pt>
                <c:pt idx="1578">
                  <c:v>-84.22</c:v>
                </c:pt>
                <c:pt idx="1579">
                  <c:v>-84.21</c:v>
                </c:pt>
                <c:pt idx="1580">
                  <c:v>-84.2</c:v>
                </c:pt>
                <c:pt idx="1581">
                  <c:v>-84.19</c:v>
                </c:pt>
                <c:pt idx="1582">
                  <c:v>-84.18</c:v>
                </c:pt>
                <c:pt idx="1583">
                  <c:v>-84.17</c:v>
                </c:pt>
                <c:pt idx="1584">
                  <c:v>-84.16</c:v>
                </c:pt>
                <c:pt idx="1585">
                  <c:v>-84.15</c:v>
                </c:pt>
                <c:pt idx="1586">
                  <c:v>-84.14</c:v>
                </c:pt>
                <c:pt idx="1587">
                  <c:v>-84.13</c:v>
                </c:pt>
                <c:pt idx="1588">
                  <c:v>-84.12</c:v>
                </c:pt>
                <c:pt idx="1589">
                  <c:v>-84.11</c:v>
                </c:pt>
                <c:pt idx="1590">
                  <c:v>-84.1</c:v>
                </c:pt>
                <c:pt idx="1591">
                  <c:v>-84.09</c:v>
                </c:pt>
                <c:pt idx="1592">
                  <c:v>-84.08</c:v>
                </c:pt>
                <c:pt idx="1593">
                  <c:v>-84.07</c:v>
                </c:pt>
                <c:pt idx="1594">
                  <c:v>-84.06</c:v>
                </c:pt>
                <c:pt idx="1595">
                  <c:v>-84.05</c:v>
                </c:pt>
                <c:pt idx="1596">
                  <c:v>-84.04</c:v>
                </c:pt>
                <c:pt idx="1597">
                  <c:v>-84.03</c:v>
                </c:pt>
                <c:pt idx="1598">
                  <c:v>-84.02</c:v>
                </c:pt>
                <c:pt idx="1599">
                  <c:v>-84.01</c:v>
                </c:pt>
                <c:pt idx="1600">
                  <c:v>-84.0</c:v>
                </c:pt>
                <c:pt idx="1601">
                  <c:v>-83.99</c:v>
                </c:pt>
                <c:pt idx="1602">
                  <c:v>-83.98</c:v>
                </c:pt>
                <c:pt idx="1603">
                  <c:v>-83.97</c:v>
                </c:pt>
                <c:pt idx="1604">
                  <c:v>-83.96</c:v>
                </c:pt>
                <c:pt idx="1605">
                  <c:v>-83.95</c:v>
                </c:pt>
                <c:pt idx="1606">
                  <c:v>-83.94</c:v>
                </c:pt>
                <c:pt idx="1607">
                  <c:v>-83.93</c:v>
                </c:pt>
                <c:pt idx="1608">
                  <c:v>-83.92</c:v>
                </c:pt>
                <c:pt idx="1609">
                  <c:v>-83.91</c:v>
                </c:pt>
                <c:pt idx="1610">
                  <c:v>-83.9</c:v>
                </c:pt>
                <c:pt idx="1611">
                  <c:v>-83.89</c:v>
                </c:pt>
                <c:pt idx="1612">
                  <c:v>-83.88</c:v>
                </c:pt>
                <c:pt idx="1613">
                  <c:v>-83.87</c:v>
                </c:pt>
                <c:pt idx="1614">
                  <c:v>-83.86</c:v>
                </c:pt>
                <c:pt idx="1615">
                  <c:v>-83.85</c:v>
                </c:pt>
                <c:pt idx="1616">
                  <c:v>-83.84</c:v>
                </c:pt>
                <c:pt idx="1617">
                  <c:v>-83.83</c:v>
                </c:pt>
                <c:pt idx="1618">
                  <c:v>-83.82</c:v>
                </c:pt>
                <c:pt idx="1619">
                  <c:v>-83.81</c:v>
                </c:pt>
                <c:pt idx="1620">
                  <c:v>-83.8</c:v>
                </c:pt>
                <c:pt idx="1621">
                  <c:v>-83.79</c:v>
                </c:pt>
                <c:pt idx="1622">
                  <c:v>-83.78</c:v>
                </c:pt>
                <c:pt idx="1623">
                  <c:v>-83.77</c:v>
                </c:pt>
                <c:pt idx="1624">
                  <c:v>-83.76</c:v>
                </c:pt>
                <c:pt idx="1625">
                  <c:v>-83.75</c:v>
                </c:pt>
                <c:pt idx="1626">
                  <c:v>-83.74</c:v>
                </c:pt>
                <c:pt idx="1627">
                  <c:v>-83.73</c:v>
                </c:pt>
                <c:pt idx="1628">
                  <c:v>-83.72</c:v>
                </c:pt>
                <c:pt idx="1629">
                  <c:v>-83.71</c:v>
                </c:pt>
                <c:pt idx="1630">
                  <c:v>-83.7</c:v>
                </c:pt>
                <c:pt idx="1631">
                  <c:v>-83.69</c:v>
                </c:pt>
                <c:pt idx="1632">
                  <c:v>-83.68</c:v>
                </c:pt>
                <c:pt idx="1633">
                  <c:v>-83.67</c:v>
                </c:pt>
                <c:pt idx="1634">
                  <c:v>-83.66</c:v>
                </c:pt>
                <c:pt idx="1635">
                  <c:v>-83.65</c:v>
                </c:pt>
                <c:pt idx="1636">
                  <c:v>-83.64</c:v>
                </c:pt>
                <c:pt idx="1637">
                  <c:v>-83.63</c:v>
                </c:pt>
                <c:pt idx="1638">
                  <c:v>-83.62</c:v>
                </c:pt>
                <c:pt idx="1639">
                  <c:v>-83.61</c:v>
                </c:pt>
                <c:pt idx="1640">
                  <c:v>-83.6</c:v>
                </c:pt>
                <c:pt idx="1641">
                  <c:v>-83.59</c:v>
                </c:pt>
                <c:pt idx="1642">
                  <c:v>-83.58</c:v>
                </c:pt>
                <c:pt idx="1643">
                  <c:v>-83.57</c:v>
                </c:pt>
                <c:pt idx="1644">
                  <c:v>-83.56</c:v>
                </c:pt>
                <c:pt idx="1645">
                  <c:v>-83.55</c:v>
                </c:pt>
                <c:pt idx="1646">
                  <c:v>-83.54</c:v>
                </c:pt>
                <c:pt idx="1647">
                  <c:v>-83.53</c:v>
                </c:pt>
                <c:pt idx="1648">
                  <c:v>-83.52</c:v>
                </c:pt>
                <c:pt idx="1649">
                  <c:v>-83.51</c:v>
                </c:pt>
                <c:pt idx="1650">
                  <c:v>-83.5</c:v>
                </c:pt>
                <c:pt idx="1651">
                  <c:v>-83.49</c:v>
                </c:pt>
                <c:pt idx="1652">
                  <c:v>-83.48</c:v>
                </c:pt>
                <c:pt idx="1653">
                  <c:v>-83.47</c:v>
                </c:pt>
                <c:pt idx="1654">
                  <c:v>-83.46</c:v>
                </c:pt>
                <c:pt idx="1655">
                  <c:v>-83.45</c:v>
                </c:pt>
                <c:pt idx="1656">
                  <c:v>-83.44</c:v>
                </c:pt>
                <c:pt idx="1657">
                  <c:v>-83.43</c:v>
                </c:pt>
                <c:pt idx="1658">
                  <c:v>-83.42</c:v>
                </c:pt>
                <c:pt idx="1659">
                  <c:v>-83.41</c:v>
                </c:pt>
                <c:pt idx="1660">
                  <c:v>-83.4</c:v>
                </c:pt>
                <c:pt idx="1661">
                  <c:v>-83.39</c:v>
                </c:pt>
                <c:pt idx="1662">
                  <c:v>-83.38</c:v>
                </c:pt>
                <c:pt idx="1663">
                  <c:v>-83.37</c:v>
                </c:pt>
                <c:pt idx="1664">
                  <c:v>-83.36</c:v>
                </c:pt>
                <c:pt idx="1665">
                  <c:v>-83.35</c:v>
                </c:pt>
                <c:pt idx="1666">
                  <c:v>-83.34</c:v>
                </c:pt>
                <c:pt idx="1667">
                  <c:v>-83.33</c:v>
                </c:pt>
                <c:pt idx="1668">
                  <c:v>-83.32</c:v>
                </c:pt>
                <c:pt idx="1669">
                  <c:v>-83.31</c:v>
                </c:pt>
                <c:pt idx="1670">
                  <c:v>-83.3</c:v>
                </c:pt>
                <c:pt idx="1671">
                  <c:v>-83.29</c:v>
                </c:pt>
                <c:pt idx="1672">
                  <c:v>-83.28</c:v>
                </c:pt>
                <c:pt idx="1673">
                  <c:v>-83.27</c:v>
                </c:pt>
                <c:pt idx="1674">
                  <c:v>-83.26</c:v>
                </c:pt>
                <c:pt idx="1675">
                  <c:v>-83.25</c:v>
                </c:pt>
                <c:pt idx="1676">
                  <c:v>-83.24</c:v>
                </c:pt>
                <c:pt idx="1677">
                  <c:v>-83.23</c:v>
                </c:pt>
                <c:pt idx="1678">
                  <c:v>-83.22</c:v>
                </c:pt>
                <c:pt idx="1679">
                  <c:v>-83.21</c:v>
                </c:pt>
                <c:pt idx="1680">
                  <c:v>-83.2</c:v>
                </c:pt>
                <c:pt idx="1681">
                  <c:v>-83.19</c:v>
                </c:pt>
                <c:pt idx="1682">
                  <c:v>-83.18</c:v>
                </c:pt>
                <c:pt idx="1683">
                  <c:v>-83.17</c:v>
                </c:pt>
                <c:pt idx="1684">
                  <c:v>-83.16</c:v>
                </c:pt>
                <c:pt idx="1685">
                  <c:v>-83.15</c:v>
                </c:pt>
                <c:pt idx="1686">
                  <c:v>-83.14</c:v>
                </c:pt>
                <c:pt idx="1687">
                  <c:v>-83.13</c:v>
                </c:pt>
                <c:pt idx="1688">
                  <c:v>-83.12</c:v>
                </c:pt>
                <c:pt idx="1689">
                  <c:v>-83.11</c:v>
                </c:pt>
                <c:pt idx="1690">
                  <c:v>-83.1</c:v>
                </c:pt>
                <c:pt idx="1691">
                  <c:v>-83.09</c:v>
                </c:pt>
                <c:pt idx="1692">
                  <c:v>-83.08</c:v>
                </c:pt>
                <c:pt idx="1693">
                  <c:v>-83.07</c:v>
                </c:pt>
                <c:pt idx="1694">
                  <c:v>-83.06</c:v>
                </c:pt>
                <c:pt idx="1695">
                  <c:v>-83.05</c:v>
                </c:pt>
                <c:pt idx="1696">
                  <c:v>-83.04</c:v>
                </c:pt>
                <c:pt idx="1697">
                  <c:v>-83.03</c:v>
                </c:pt>
                <c:pt idx="1698">
                  <c:v>-83.02</c:v>
                </c:pt>
                <c:pt idx="1699">
                  <c:v>-83.01</c:v>
                </c:pt>
                <c:pt idx="1700">
                  <c:v>-83.0</c:v>
                </c:pt>
                <c:pt idx="1701">
                  <c:v>-82.99</c:v>
                </c:pt>
                <c:pt idx="1702">
                  <c:v>-82.98</c:v>
                </c:pt>
                <c:pt idx="1703">
                  <c:v>-82.97</c:v>
                </c:pt>
                <c:pt idx="1704">
                  <c:v>-82.96</c:v>
                </c:pt>
                <c:pt idx="1705">
                  <c:v>-82.95</c:v>
                </c:pt>
                <c:pt idx="1706">
                  <c:v>-82.94</c:v>
                </c:pt>
                <c:pt idx="1707">
                  <c:v>-82.93</c:v>
                </c:pt>
                <c:pt idx="1708">
                  <c:v>-82.92</c:v>
                </c:pt>
                <c:pt idx="1709">
                  <c:v>-82.91</c:v>
                </c:pt>
                <c:pt idx="1710">
                  <c:v>-82.9</c:v>
                </c:pt>
                <c:pt idx="1711">
                  <c:v>-82.89</c:v>
                </c:pt>
                <c:pt idx="1712">
                  <c:v>-82.88</c:v>
                </c:pt>
                <c:pt idx="1713">
                  <c:v>-82.87</c:v>
                </c:pt>
                <c:pt idx="1714">
                  <c:v>-82.86</c:v>
                </c:pt>
                <c:pt idx="1715">
                  <c:v>-82.85</c:v>
                </c:pt>
                <c:pt idx="1716">
                  <c:v>-82.84</c:v>
                </c:pt>
                <c:pt idx="1717">
                  <c:v>-82.83</c:v>
                </c:pt>
                <c:pt idx="1718">
                  <c:v>-82.82</c:v>
                </c:pt>
                <c:pt idx="1719">
                  <c:v>-82.81</c:v>
                </c:pt>
                <c:pt idx="1720">
                  <c:v>-82.8</c:v>
                </c:pt>
                <c:pt idx="1721">
                  <c:v>-82.79</c:v>
                </c:pt>
                <c:pt idx="1722">
                  <c:v>-82.78</c:v>
                </c:pt>
                <c:pt idx="1723">
                  <c:v>-82.77</c:v>
                </c:pt>
                <c:pt idx="1724">
                  <c:v>-82.76</c:v>
                </c:pt>
                <c:pt idx="1725">
                  <c:v>-82.75</c:v>
                </c:pt>
                <c:pt idx="1726">
                  <c:v>-82.74</c:v>
                </c:pt>
                <c:pt idx="1727">
                  <c:v>-82.73</c:v>
                </c:pt>
                <c:pt idx="1728">
                  <c:v>-82.72</c:v>
                </c:pt>
                <c:pt idx="1729">
                  <c:v>-82.71</c:v>
                </c:pt>
                <c:pt idx="1730">
                  <c:v>-82.7</c:v>
                </c:pt>
                <c:pt idx="1731">
                  <c:v>-82.69</c:v>
                </c:pt>
                <c:pt idx="1732">
                  <c:v>-82.68</c:v>
                </c:pt>
                <c:pt idx="1733">
                  <c:v>-82.67</c:v>
                </c:pt>
                <c:pt idx="1734">
                  <c:v>-82.66</c:v>
                </c:pt>
                <c:pt idx="1735">
                  <c:v>-82.65</c:v>
                </c:pt>
                <c:pt idx="1736">
                  <c:v>-82.64</c:v>
                </c:pt>
                <c:pt idx="1737">
                  <c:v>-82.63</c:v>
                </c:pt>
                <c:pt idx="1738">
                  <c:v>-82.62</c:v>
                </c:pt>
                <c:pt idx="1739">
                  <c:v>-82.61</c:v>
                </c:pt>
                <c:pt idx="1740">
                  <c:v>-82.6</c:v>
                </c:pt>
                <c:pt idx="1741">
                  <c:v>-82.59</c:v>
                </c:pt>
                <c:pt idx="1742">
                  <c:v>-82.58</c:v>
                </c:pt>
                <c:pt idx="1743">
                  <c:v>-82.57</c:v>
                </c:pt>
                <c:pt idx="1744">
                  <c:v>-82.56</c:v>
                </c:pt>
                <c:pt idx="1745">
                  <c:v>-82.55</c:v>
                </c:pt>
                <c:pt idx="1746">
                  <c:v>-82.54</c:v>
                </c:pt>
                <c:pt idx="1747">
                  <c:v>-82.53</c:v>
                </c:pt>
                <c:pt idx="1748">
                  <c:v>-82.52</c:v>
                </c:pt>
                <c:pt idx="1749">
                  <c:v>-82.51</c:v>
                </c:pt>
                <c:pt idx="1750">
                  <c:v>-82.5</c:v>
                </c:pt>
                <c:pt idx="1751">
                  <c:v>-82.49</c:v>
                </c:pt>
                <c:pt idx="1752">
                  <c:v>-82.48</c:v>
                </c:pt>
                <c:pt idx="1753">
                  <c:v>-82.47</c:v>
                </c:pt>
                <c:pt idx="1754">
                  <c:v>-82.46</c:v>
                </c:pt>
                <c:pt idx="1755">
                  <c:v>-82.45</c:v>
                </c:pt>
                <c:pt idx="1756">
                  <c:v>-82.44</c:v>
                </c:pt>
                <c:pt idx="1757">
                  <c:v>-82.43</c:v>
                </c:pt>
                <c:pt idx="1758">
                  <c:v>-82.42</c:v>
                </c:pt>
                <c:pt idx="1759">
                  <c:v>-82.41</c:v>
                </c:pt>
                <c:pt idx="1760">
                  <c:v>-82.4</c:v>
                </c:pt>
                <c:pt idx="1761">
                  <c:v>-82.39</c:v>
                </c:pt>
                <c:pt idx="1762">
                  <c:v>-82.38</c:v>
                </c:pt>
                <c:pt idx="1763">
                  <c:v>-82.37</c:v>
                </c:pt>
                <c:pt idx="1764">
                  <c:v>-82.36</c:v>
                </c:pt>
                <c:pt idx="1765">
                  <c:v>-82.35</c:v>
                </c:pt>
                <c:pt idx="1766">
                  <c:v>-82.34</c:v>
                </c:pt>
                <c:pt idx="1767">
                  <c:v>-82.33</c:v>
                </c:pt>
                <c:pt idx="1768">
                  <c:v>-82.32</c:v>
                </c:pt>
                <c:pt idx="1769">
                  <c:v>-82.31</c:v>
                </c:pt>
                <c:pt idx="1770">
                  <c:v>-82.3</c:v>
                </c:pt>
                <c:pt idx="1771">
                  <c:v>-82.29</c:v>
                </c:pt>
                <c:pt idx="1772">
                  <c:v>-82.28</c:v>
                </c:pt>
                <c:pt idx="1773">
                  <c:v>-82.27</c:v>
                </c:pt>
                <c:pt idx="1774">
                  <c:v>-82.26</c:v>
                </c:pt>
                <c:pt idx="1775">
                  <c:v>-82.25</c:v>
                </c:pt>
                <c:pt idx="1776">
                  <c:v>-82.24</c:v>
                </c:pt>
                <c:pt idx="1777">
                  <c:v>-82.23</c:v>
                </c:pt>
                <c:pt idx="1778">
                  <c:v>-82.22</c:v>
                </c:pt>
                <c:pt idx="1779">
                  <c:v>-82.21</c:v>
                </c:pt>
                <c:pt idx="1780">
                  <c:v>-82.2</c:v>
                </c:pt>
                <c:pt idx="1781">
                  <c:v>-82.19</c:v>
                </c:pt>
                <c:pt idx="1782">
                  <c:v>-82.18</c:v>
                </c:pt>
                <c:pt idx="1783">
                  <c:v>-82.17</c:v>
                </c:pt>
                <c:pt idx="1784">
                  <c:v>-82.16</c:v>
                </c:pt>
                <c:pt idx="1785">
                  <c:v>-82.15</c:v>
                </c:pt>
                <c:pt idx="1786">
                  <c:v>-82.14</c:v>
                </c:pt>
                <c:pt idx="1787">
                  <c:v>-82.13</c:v>
                </c:pt>
                <c:pt idx="1788">
                  <c:v>-82.12</c:v>
                </c:pt>
                <c:pt idx="1789">
                  <c:v>-82.11</c:v>
                </c:pt>
                <c:pt idx="1790">
                  <c:v>-82.1</c:v>
                </c:pt>
                <c:pt idx="1791">
                  <c:v>-82.09</c:v>
                </c:pt>
                <c:pt idx="1792">
                  <c:v>-82.08</c:v>
                </c:pt>
                <c:pt idx="1793">
                  <c:v>-82.07</c:v>
                </c:pt>
                <c:pt idx="1794">
                  <c:v>-82.06</c:v>
                </c:pt>
                <c:pt idx="1795">
                  <c:v>-82.05</c:v>
                </c:pt>
                <c:pt idx="1796">
                  <c:v>-82.04</c:v>
                </c:pt>
                <c:pt idx="1797">
                  <c:v>-82.03</c:v>
                </c:pt>
                <c:pt idx="1798">
                  <c:v>-82.02</c:v>
                </c:pt>
                <c:pt idx="1799">
                  <c:v>-82.01</c:v>
                </c:pt>
                <c:pt idx="1800">
                  <c:v>-82.0</c:v>
                </c:pt>
                <c:pt idx="1801">
                  <c:v>-81.99</c:v>
                </c:pt>
                <c:pt idx="1802">
                  <c:v>-81.98</c:v>
                </c:pt>
                <c:pt idx="1803">
                  <c:v>-81.97</c:v>
                </c:pt>
                <c:pt idx="1804">
                  <c:v>-81.96</c:v>
                </c:pt>
                <c:pt idx="1805">
                  <c:v>-81.95</c:v>
                </c:pt>
                <c:pt idx="1806">
                  <c:v>-81.94</c:v>
                </c:pt>
                <c:pt idx="1807">
                  <c:v>-81.93</c:v>
                </c:pt>
                <c:pt idx="1808">
                  <c:v>-81.92</c:v>
                </c:pt>
                <c:pt idx="1809">
                  <c:v>-81.91</c:v>
                </c:pt>
                <c:pt idx="1810">
                  <c:v>-81.9</c:v>
                </c:pt>
                <c:pt idx="1811">
                  <c:v>-81.89</c:v>
                </c:pt>
                <c:pt idx="1812">
                  <c:v>-81.88</c:v>
                </c:pt>
                <c:pt idx="1813">
                  <c:v>-81.87</c:v>
                </c:pt>
                <c:pt idx="1814">
                  <c:v>-81.86</c:v>
                </c:pt>
                <c:pt idx="1815">
                  <c:v>-81.85</c:v>
                </c:pt>
                <c:pt idx="1816">
                  <c:v>-81.84</c:v>
                </c:pt>
                <c:pt idx="1817">
                  <c:v>-81.83</c:v>
                </c:pt>
                <c:pt idx="1818">
                  <c:v>-81.82</c:v>
                </c:pt>
                <c:pt idx="1819">
                  <c:v>-81.81</c:v>
                </c:pt>
                <c:pt idx="1820">
                  <c:v>-81.8</c:v>
                </c:pt>
                <c:pt idx="1821">
                  <c:v>-81.79</c:v>
                </c:pt>
                <c:pt idx="1822">
                  <c:v>-81.78</c:v>
                </c:pt>
                <c:pt idx="1823">
                  <c:v>-81.77</c:v>
                </c:pt>
                <c:pt idx="1824">
                  <c:v>-81.76</c:v>
                </c:pt>
                <c:pt idx="1825">
                  <c:v>-81.75</c:v>
                </c:pt>
                <c:pt idx="1826">
                  <c:v>-81.74</c:v>
                </c:pt>
                <c:pt idx="1827">
                  <c:v>-81.73</c:v>
                </c:pt>
                <c:pt idx="1828">
                  <c:v>-81.72</c:v>
                </c:pt>
                <c:pt idx="1829">
                  <c:v>-81.71</c:v>
                </c:pt>
                <c:pt idx="1830">
                  <c:v>-81.7</c:v>
                </c:pt>
                <c:pt idx="1831">
                  <c:v>-81.69</c:v>
                </c:pt>
                <c:pt idx="1832">
                  <c:v>-81.68</c:v>
                </c:pt>
                <c:pt idx="1833">
                  <c:v>-81.67</c:v>
                </c:pt>
                <c:pt idx="1834">
                  <c:v>-81.66</c:v>
                </c:pt>
                <c:pt idx="1835">
                  <c:v>-81.65</c:v>
                </c:pt>
                <c:pt idx="1836">
                  <c:v>-81.64</c:v>
                </c:pt>
                <c:pt idx="1837">
                  <c:v>-81.63</c:v>
                </c:pt>
                <c:pt idx="1838">
                  <c:v>-81.62</c:v>
                </c:pt>
                <c:pt idx="1839">
                  <c:v>-81.61</c:v>
                </c:pt>
                <c:pt idx="1840">
                  <c:v>-81.6</c:v>
                </c:pt>
                <c:pt idx="1841">
                  <c:v>-81.59</c:v>
                </c:pt>
                <c:pt idx="1842">
                  <c:v>-81.58</c:v>
                </c:pt>
                <c:pt idx="1843">
                  <c:v>-81.57</c:v>
                </c:pt>
                <c:pt idx="1844">
                  <c:v>-81.56</c:v>
                </c:pt>
                <c:pt idx="1845">
                  <c:v>-81.55</c:v>
                </c:pt>
                <c:pt idx="1846">
                  <c:v>-81.54</c:v>
                </c:pt>
                <c:pt idx="1847">
                  <c:v>-81.53</c:v>
                </c:pt>
                <c:pt idx="1848">
                  <c:v>-81.52</c:v>
                </c:pt>
                <c:pt idx="1849">
                  <c:v>-81.51</c:v>
                </c:pt>
                <c:pt idx="1850">
                  <c:v>-81.5</c:v>
                </c:pt>
                <c:pt idx="1851">
                  <c:v>-81.49</c:v>
                </c:pt>
                <c:pt idx="1852">
                  <c:v>-81.48</c:v>
                </c:pt>
                <c:pt idx="1853">
                  <c:v>-81.47</c:v>
                </c:pt>
                <c:pt idx="1854">
                  <c:v>-81.46</c:v>
                </c:pt>
                <c:pt idx="1855">
                  <c:v>-81.45</c:v>
                </c:pt>
                <c:pt idx="1856">
                  <c:v>-81.44</c:v>
                </c:pt>
                <c:pt idx="1857">
                  <c:v>-81.43</c:v>
                </c:pt>
                <c:pt idx="1858">
                  <c:v>-81.42</c:v>
                </c:pt>
                <c:pt idx="1859">
                  <c:v>-81.41</c:v>
                </c:pt>
                <c:pt idx="1860">
                  <c:v>-81.4</c:v>
                </c:pt>
                <c:pt idx="1861">
                  <c:v>-81.39</c:v>
                </c:pt>
                <c:pt idx="1862">
                  <c:v>-81.38</c:v>
                </c:pt>
                <c:pt idx="1863">
                  <c:v>-81.37</c:v>
                </c:pt>
                <c:pt idx="1864">
                  <c:v>-81.36</c:v>
                </c:pt>
                <c:pt idx="1865">
                  <c:v>-81.35</c:v>
                </c:pt>
                <c:pt idx="1866">
                  <c:v>-81.34</c:v>
                </c:pt>
                <c:pt idx="1867">
                  <c:v>-81.33</c:v>
                </c:pt>
                <c:pt idx="1868">
                  <c:v>-81.32</c:v>
                </c:pt>
                <c:pt idx="1869">
                  <c:v>-81.31</c:v>
                </c:pt>
                <c:pt idx="1870">
                  <c:v>-81.3</c:v>
                </c:pt>
                <c:pt idx="1871">
                  <c:v>-81.29</c:v>
                </c:pt>
                <c:pt idx="1872">
                  <c:v>-81.28</c:v>
                </c:pt>
                <c:pt idx="1873">
                  <c:v>-81.27</c:v>
                </c:pt>
                <c:pt idx="1874">
                  <c:v>-81.26</c:v>
                </c:pt>
                <c:pt idx="1875">
                  <c:v>-81.25</c:v>
                </c:pt>
                <c:pt idx="1876">
                  <c:v>-81.24</c:v>
                </c:pt>
                <c:pt idx="1877">
                  <c:v>-81.23</c:v>
                </c:pt>
                <c:pt idx="1878">
                  <c:v>-81.22</c:v>
                </c:pt>
                <c:pt idx="1879">
                  <c:v>-81.21</c:v>
                </c:pt>
                <c:pt idx="1880">
                  <c:v>-81.2</c:v>
                </c:pt>
                <c:pt idx="1881">
                  <c:v>-81.19</c:v>
                </c:pt>
                <c:pt idx="1882">
                  <c:v>-81.18</c:v>
                </c:pt>
                <c:pt idx="1883">
                  <c:v>-81.17</c:v>
                </c:pt>
                <c:pt idx="1884">
                  <c:v>-81.16</c:v>
                </c:pt>
                <c:pt idx="1885">
                  <c:v>-81.15</c:v>
                </c:pt>
                <c:pt idx="1886">
                  <c:v>-81.14</c:v>
                </c:pt>
                <c:pt idx="1887">
                  <c:v>-81.13</c:v>
                </c:pt>
                <c:pt idx="1888">
                  <c:v>-81.12</c:v>
                </c:pt>
                <c:pt idx="1889">
                  <c:v>-81.11</c:v>
                </c:pt>
                <c:pt idx="1890">
                  <c:v>-81.1</c:v>
                </c:pt>
                <c:pt idx="1891">
                  <c:v>-81.09</c:v>
                </c:pt>
                <c:pt idx="1892">
                  <c:v>-81.08</c:v>
                </c:pt>
                <c:pt idx="1893">
                  <c:v>-81.07</c:v>
                </c:pt>
                <c:pt idx="1894">
                  <c:v>-81.06</c:v>
                </c:pt>
                <c:pt idx="1895">
                  <c:v>-81.05</c:v>
                </c:pt>
                <c:pt idx="1896">
                  <c:v>-81.04</c:v>
                </c:pt>
                <c:pt idx="1897">
                  <c:v>-81.03</c:v>
                </c:pt>
                <c:pt idx="1898">
                  <c:v>-81.02</c:v>
                </c:pt>
                <c:pt idx="1899">
                  <c:v>-81.01</c:v>
                </c:pt>
                <c:pt idx="1900">
                  <c:v>-81.0</c:v>
                </c:pt>
                <c:pt idx="1901">
                  <c:v>-80.99</c:v>
                </c:pt>
                <c:pt idx="1902">
                  <c:v>-80.98</c:v>
                </c:pt>
                <c:pt idx="1903">
                  <c:v>-80.97</c:v>
                </c:pt>
                <c:pt idx="1904">
                  <c:v>-80.96</c:v>
                </c:pt>
                <c:pt idx="1905">
                  <c:v>-80.95</c:v>
                </c:pt>
                <c:pt idx="1906">
                  <c:v>-80.94</c:v>
                </c:pt>
                <c:pt idx="1907">
                  <c:v>-80.93</c:v>
                </c:pt>
                <c:pt idx="1908">
                  <c:v>-80.92</c:v>
                </c:pt>
                <c:pt idx="1909">
                  <c:v>-80.91</c:v>
                </c:pt>
                <c:pt idx="1910">
                  <c:v>-80.9</c:v>
                </c:pt>
                <c:pt idx="1911">
                  <c:v>-80.89</c:v>
                </c:pt>
                <c:pt idx="1912">
                  <c:v>-80.88</c:v>
                </c:pt>
                <c:pt idx="1913">
                  <c:v>-80.87</c:v>
                </c:pt>
                <c:pt idx="1914">
                  <c:v>-80.86</c:v>
                </c:pt>
                <c:pt idx="1915">
                  <c:v>-80.85</c:v>
                </c:pt>
                <c:pt idx="1916">
                  <c:v>-80.84</c:v>
                </c:pt>
                <c:pt idx="1917">
                  <c:v>-80.83</c:v>
                </c:pt>
                <c:pt idx="1918">
                  <c:v>-80.82</c:v>
                </c:pt>
                <c:pt idx="1919">
                  <c:v>-80.81</c:v>
                </c:pt>
                <c:pt idx="1920">
                  <c:v>-80.8</c:v>
                </c:pt>
                <c:pt idx="1921">
                  <c:v>-80.79</c:v>
                </c:pt>
                <c:pt idx="1922">
                  <c:v>-80.78</c:v>
                </c:pt>
                <c:pt idx="1923">
                  <c:v>-80.77</c:v>
                </c:pt>
                <c:pt idx="1924">
                  <c:v>-80.76</c:v>
                </c:pt>
                <c:pt idx="1925">
                  <c:v>-80.75</c:v>
                </c:pt>
                <c:pt idx="1926">
                  <c:v>-80.74</c:v>
                </c:pt>
                <c:pt idx="1927">
                  <c:v>-80.73</c:v>
                </c:pt>
                <c:pt idx="1928">
                  <c:v>-80.72</c:v>
                </c:pt>
                <c:pt idx="1929">
                  <c:v>-80.71</c:v>
                </c:pt>
                <c:pt idx="1930">
                  <c:v>-80.7</c:v>
                </c:pt>
                <c:pt idx="1931">
                  <c:v>-80.69</c:v>
                </c:pt>
                <c:pt idx="1932">
                  <c:v>-80.68</c:v>
                </c:pt>
                <c:pt idx="1933">
                  <c:v>-80.67</c:v>
                </c:pt>
                <c:pt idx="1934">
                  <c:v>-80.66</c:v>
                </c:pt>
                <c:pt idx="1935">
                  <c:v>-80.65</c:v>
                </c:pt>
                <c:pt idx="1936">
                  <c:v>-80.64</c:v>
                </c:pt>
                <c:pt idx="1937">
                  <c:v>-80.63</c:v>
                </c:pt>
                <c:pt idx="1938">
                  <c:v>-80.62</c:v>
                </c:pt>
                <c:pt idx="1939">
                  <c:v>-80.61</c:v>
                </c:pt>
                <c:pt idx="1940">
                  <c:v>-80.6</c:v>
                </c:pt>
                <c:pt idx="1941">
                  <c:v>-80.59</c:v>
                </c:pt>
                <c:pt idx="1942">
                  <c:v>-80.58</c:v>
                </c:pt>
                <c:pt idx="1943">
                  <c:v>-80.57</c:v>
                </c:pt>
                <c:pt idx="1944">
                  <c:v>-80.56</c:v>
                </c:pt>
                <c:pt idx="1945">
                  <c:v>-80.55</c:v>
                </c:pt>
                <c:pt idx="1946">
                  <c:v>-80.54</c:v>
                </c:pt>
                <c:pt idx="1947">
                  <c:v>-80.53</c:v>
                </c:pt>
                <c:pt idx="1948">
                  <c:v>-80.52</c:v>
                </c:pt>
                <c:pt idx="1949">
                  <c:v>-80.51</c:v>
                </c:pt>
                <c:pt idx="1950">
                  <c:v>-80.5</c:v>
                </c:pt>
                <c:pt idx="1951">
                  <c:v>-80.49</c:v>
                </c:pt>
                <c:pt idx="1952">
                  <c:v>-80.48</c:v>
                </c:pt>
                <c:pt idx="1953">
                  <c:v>-80.47</c:v>
                </c:pt>
                <c:pt idx="1954">
                  <c:v>-80.46</c:v>
                </c:pt>
                <c:pt idx="1955">
                  <c:v>-80.45</c:v>
                </c:pt>
                <c:pt idx="1956">
                  <c:v>-80.44</c:v>
                </c:pt>
                <c:pt idx="1957">
                  <c:v>-80.43</c:v>
                </c:pt>
                <c:pt idx="1958">
                  <c:v>-80.42</c:v>
                </c:pt>
                <c:pt idx="1959">
                  <c:v>-80.41</c:v>
                </c:pt>
                <c:pt idx="1960">
                  <c:v>-80.4</c:v>
                </c:pt>
                <c:pt idx="1961">
                  <c:v>-80.39</c:v>
                </c:pt>
                <c:pt idx="1962">
                  <c:v>-80.38</c:v>
                </c:pt>
                <c:pt idx="1963">
                  <c:v>-80.37</c:v>
                </c:pt>
                <c:pt idx="1964">
                  <c:v>-80.36</c:v>
                </c:pt>
                <c:pt idx="1965">
                  <c:v>-80.35</c:v>
                </c:pt>
                <c:pt idx="1966">
                  <c:v>-80.34</c:v>
                </c:pt>
                <c:pt idx="1967">
                  <c:v>-80.33</c:v>
                </c:pt>
                <c:pt idx="1968">
                  <c:v>-80.32</c:v>
                </c:pt>
                <c:pt idx="1969">
                  <c:v>-80.31</c:v>
                </c:pt>
                <c:pt idx="1970">
                  <c:v>-80.3</c:v>
                </c:pt>
                <c:pt idx="1971">
                  <c:v>-80.29</c:v>
                </c:pt>
                <c:pt idx="1972">
                  <c:v>-80.28</c:v>
                </c:pt>
                <c:pt idx="1973">
                  <c:v>-80.27</c:v>
                </c:pt>
                <c:pt idx="1974">
                  <c:v>-80.26</c:v>
                </c:pt>
                <c:pt idx="1975">
                  <c:v>-80.25</c:v>
                </c:pt>
                <c:pt idx="1976">
                  <c:v>-80.24</c:v>
                </c:pt>
                <c:pt idx="1977">
                  <c:v>-80.23</c:v>
                </c:pt>
                <c:pt idx="1978">
                  <c:v>-80.22</c:v>
                </c:pt>
                <c:pt idx="1979">
                  <c:v>-80.21</c:v>
                </c:pt>
                <c:pt idx="1980">
                  <c:v>-80.2</c:v>
                </c:pt>
                <c:pt idx="1981">
                  <c:v>-80.19</c:v>
                </c:pt>
                <c:pt idx="1982">
                  <c:v>-80.18</c:v>
                </c:pt>
                <c:pt idx="1983">
                  <c:v>-80.17</c:v>
                </c:pt>
                <c:pt idx="1984">
                  <c:v>-80.16</c:v>
                </c:pt>
                <c:pt idx="1985">
                  <c:v>-80.15</c:v>
                </c:pt>
                <c:pt idx="1986">
                  <c:v>-80.14</c:v>
                </c:pt>
                <c:pt idx="1987">
                  <c:v>-80.13</c:v>
                </c:pt>
                <c:pt idx="1988">
                  <c:v>-80.12</c:v>
                </c:pt>
                <c:pt idx="1989">
                  <c:v>-80.11</c:v>
                </c:pt>
                <c:pt idx="1990">
                  <c:v>-80.1</c:v>
                </c:pt>
                <c:pt idx="1991">
                  <c:v>-80.09</c:v>
                </c:pt>
                <c:pt idx="1992">
                  <c:v>-80.08</c:v>
                </c:pt>
                <c:pt idx="1993">
                  <c:v>-80.07</c:v>
                </c:pt>
                <c:pt idx="1994">
                  <c:v>-80.06</c:v>
                </c:pt>
                <c:pt idx="1995">
                  <c:v>-80.05</c:v>
                </c:pt>
                <c:pt idx="1996">
                  <c:v>-80.04</c:v>
                </c:pt>
                <c:pt idx="1997">
                  <c:v>-80.03</c:v>
                </c:pt>
                <c:pt idx="1998">
                  <c:v>-80.02</c:v>
                </c:pt>
                <c:pt idx="1999">
                  <c:v>-80.01</c:v>
                </c:pt>
                <c:pt idx="2000">
                  <c:v>-80.0</c:v>
                </c:pt>
                <c:pt idx="2001">
                  <c:v>-79.99</c:v>
                </c:pt>
                <c:pt idx="2002">
                  <c:v>-79.98</c:v>
                </c:pt>
                <c:pt idx="2003">
                  <c:v>-79.97</c:v>
                </c:pt>
                <c:pt idx="2004">
                  <c:v>-79.96</c:v>
                </c:pt>
                <c:pt idx="2005">
                  <c:v>-79.95</c:v>
                </c:pt>
                <c:pt idx="2006">
                  <c:v>-79.94</c:v>
                </c:pt>
                <c:pt idx="2007">
                  <c:v>-79.93</c:v>
                </c:pt>
                <c:pt idx="2008">
                  <c:v>-79.92</c:v>
                </c:pt>
                <c:pt idx="2009">
                  <c:v>-79.91</c:v>
                </c:pt>
                <c:pt idx="2010">
                  <c:v>-79.9</c:v>
                </c:pt>
                <c:pt idx="2011">
                  <c:v>-79.89</c:v>
                </c:pt>
                <c:pt idx="2012">
                  <c:v>-79.88</c:v>
                </c:pt>
                <c:pt idx="2013">
                  <c:v>-79.87</c:v>
                </c:pt>
                <c:pt idx="2014">
                  <c:v>-79.86</c:v>
                </c:pt>
                <c:pt idx="2015">
                  <c:v>-79.85</c:v>
                </c:pt>
                <c:pt idx="2016">
                  <c:v>-79.84</c:v>
                </c:pt>
                <c:pt idx="2017">
                  <c:v>-79.83</c:v>
                </c:pt>
                <c:pt idx="2018">
                  <c:v>-79.82</c:v>
                </c:pt>
                <c:pt idx="2019">
                  <c:v>-79.81</c:v>
                </c:pt>
                <c:pt idx="2020">
                  <c:v>-79.8</c:v>
                </c:pt>
                <c:pt idx="2021">
                  <c:v>-79.79</c:v>
                </c:pt>
                <c:pt idx="2022">
                  <c:v>-79.78</c:v>
                </c:pt>
                <c:pt idx="2023">
                  <c:v>-79.77</c:v>
                </c:pt>
                <c:pt idx="2024">
                  <c:v>-79.76</c:v>
                </c:pt>
                <c:pt idx="2025">
                  <c:v>-79.75</c:v>
                </c:pt>
                <c:pt idx="2026">
                  <c:v>-79.74</c:v>
                </c:pt>
                <c:pt idx="2027">
                  <c:v>-79.73</c:v>
                </c:pt>
                <c:pt idx="2028">
                  <c:v>-79.72</c:v>
                </c:pt>
                <c:pt idx="2029">
                  <c:v>-79.71</c:v>
                </c:pt>
                <c:pt idx="2030">
                  <c:v>-79.7</c:v>
                </c:pt>
                <c:pt idx="2031">
                  <c:v>-79.69</c:v>
                </c:pt>
                <c:pt idx="2032">
                  <c:v>-79.68</c:v>
                </c:pt>
                <c:pt idx="2033">
                  <c:v>-79.67</c:v>
                </c:pt>
                <c:pt idx="2034">
                  <c:v>-79.66</c:v>
                </c:pt>
                <c:pt idx="2035">
                  <c:v>-79.65</c:v>
                </c:pt>
                <c:pt idx="2036">
                  <c:v>-79.64</c:v>
                </c:pt>
                <c:pt idx="2037">
                  <c:v>-79.63</c:v>
                </c:pt>
                <c:pt idx="2038">
                  <c:v>-79.62</c:v>
                </c:pt>
                <c:pt idx="2039">
                  <c:v>-79.61</c:v>
                </c:pt>
                <c:pt idx="2040">
                  <c:v>-79.6</c:v>
                </c:pt>
                <c:pt idx="2041">
                  <c:v>-79.59</c:v>
                </c:pt>
                <c:pt idx="2042">
                  <c:v>-79.58</c:v>
                </c:pt>
                <c:pt idx="2043">
                  <c:v>-79.57</c:v>
                </c:pt>
                <c:pt idx="2044">
                  <c:v>-79.56</c:v>
                </c:pt>
                <c:pt idx="2045">
                  <c:v>-79.55</c:v>
                </c:pt>
                <c:pt idx="2046">
                  <c:v>-79.54</c:v>
                </c:pt>
                <c:pt idx="2047">
                  <c:v>-79.53</c:v>
                </c:pt>
                <c:pt idx="2048">
                  <c:v>-79.52</c:v>
                </c:pt>
                <c:pt idx="2049">
                  <c:v>-79.51</c:v>
                </c:pt>
                <c:pt idx="2050">
                  <c:v>-79.5</c:v>
                </c:pt>
                <c:pt idx="2051">
                  <c:v>-79.49</c:v>
                </c:pt>
                <c:pt idx="2052">
                  <c:v>-79.48</c:v>
                </c:pt>
                <c:pt idx="2053">
                  <c:v>-79.47</c:v>
                </c:pt>
                <c:pt idx="2054">
                  <c:v>-79.46</c:v>
                </c:pt>
                <c:pt idx="2055">
                  <c:v>-79.45</c:v>
                </c:pt>
                <c:pt idx="2056">
                  <c:v>-79.44</c:v>
                </c:pt>
                <c:pt idx="2057">
                  <c:v>-79.43</c:v>
                </c:pt>
                <c:pt idx="2058">
                  <c:v>-79.42</c:v>
                </c:pt>
                <c:pt idx="2059">
                  <c:v>-79.41</c:v>
                </c:pt>
                <c:pt idx="2060">
                  <c:v>-79.4</c:v>
                </c:pt>
                <c:pt idx="2061">
                  <c:v>-79.39</c:v>
                </c:pt>
                <c:pt idx="2062">
                  <c:v>-79.38</c:v>
                </c:pt>
                <c:pt idx="2063">
                  <c:v>-79.37</c:v>
                </c:pt>
                <c:pt idx="2064">
                  <c:v>-79.36</c:v>
                </c:pt>
                <c:pt idx="2065">
                  <c:v>-79.35</c:v>
                </c:pt>
                <c:pt idx="2066">
                  <c:v>-79.34</c:v>
                </c:pt>
                <c:pt idx="2067">
                  <c:v>-79.33</c:v>
                </c:pt>
                <c:pt idx="2068">
                  <c:v>-79.32</c:v>
                </c:pt>
                <c:pt idx="2069">
                  <c:v>-79.31</c:v>
                </c:pt>
                <c:pt idx="2070">
                  <c:v>-79.3</c:v>
                </c:pt>
                <c:pt idx="2071">
                  <c:v>-79.29</c:v>
                </c:pt>
                <c:pt idx="2072">
                  <c:v>-79.28</c:v>
                </c:pt>
                <c:pt idx="2073">
                  <c:v>-79.27</c:v>
                </c:pt>
                <c:pt idx="2074">
                  <c:v>-79.26</c:v>
                </c:pt>
                <c:pt idx="2075">
                  <c:v>-79.25</c:v>
                </c:pt>
                <c:pt idx="2076">
                  <c:v>-79.24</c:v>
                </c:pt>
                <c:pt idx="2077">
                  <c:v>-79.23</c:v>
                </c:pt>
                <c:pt idx="2078">
                  <c:v>-79.22</c:v>
                </c:pt>
                <c:pt idx="2079">
                  <c:v>-79.21</c:v>
                </c:pt>
                <c:pt idx="2080">
                  <c:v>-79.2</c:v>
                </c:pt>
                <c:pt idx="2081">
                  <c:v>-79.19</c:v>
                </c:pt>
                <c:pt idx="2082">
                  <c:v>-79.18</c:v>
                </c:pt>
                <c:pt idx="2083">
                  <c:v>-79.17</c:v>
                </c:pt>
                <c:pt idx="2084">
                  <c:v>-79.16</c:v>
                </c:pt>
                <c:pt idx="2085">
                  <c:v>-79.15</c:v>
                </c:pt>
                <c:pt idx="2086">
                  <c:v>-79.14</c:v>
                </c:pt>
                <c:pt idx="2087">
                  <c:v>-79.13</c:v>
                </c:pt>
                <c:pt idx="2088">
                  <c:v>-79.12</c:v>
                </c:pt>
                <c:pt idx="2089">
                  <c:v>-79.11</c:v>
                </c:pt>
                <c:pt idx="2090">
                  <c:v>-79.1</c:v>
                </c:pt>
                <c:pt idx="2091">
                  <c:v>-79.09</c:v>
                </c:pt>
                <c:pt idx="2092">
                  <c:v>-79.08</c:v>
                </c:pt>
                <c:pt idx="2093">
                  <c:v>-79.07</c:v>
                </c:pt>
                <c:pt idx="2094">
                  <c:v>-79.06</c:v>
                </c:pt>
                <c:pt idx="2095">
                  <c:v>-79.05</c:v>
                </c:pt>
                <c:pt idx="2096">
                  <c:v>-79.04</c:v>
                </c:pt>
                <c:pt idx="2097">
                  <c:v>-79.03</c:v>
                </c:pt>
                <c:pt idx="2098">
                  <c:v>-79.02</c:v>
                </c:pt>
                <c:pt idx="2099">
                  <c:v>-79.01</c:v>
                </c:pt>
                <c:pt idx="2100">
                  <c:v>-79.0</c:v>
                </c:pt>
                <c:pt idx="2101">
                  <c:v>-78.99</c:v>
                </c:pt>
                <c:pt idx="2102">
                  <c:v>-78.98</c:v>
                </c:pt>
                <c:pt idx="2103">
                  <c:v>-78.97</c:v>
                </c:pt>
                <c:pt idx="2104">
                  <c:v>-78.96</c:v>
                </c:pt>
                <c:pt idx="2105">
                  <c:v>-78.95</c:v>
                </c:pt>
                <c:pt idx="2106">
                  <c:v>-78.94</c:v>
                </c:pt>
                <c:pt idx="2107">
                  <c:v>-78.93</c:v>
                </c:pt>
                <c:pt idx="2108">
                  <c:v>-78.92</c:v>
                </c:pt>
                <c:pt idx="2109">
                  <c:v>-78.91</c:v>
                </c:pt>
                <c:pt idx="2110">
                  <c:v>-78.9</c:v>
                </c:pt>
                <c:pt idx="2111">
                  <c:v>-78.89</c:v>
                </c:pt>
                <c:pt idx="2112">
                  <c:v>-78.88</c:v>
                </c:pt>
                <c:pt idx="2113">
                  <c:v>-78.87</c:v>
                </c:pt>
                <c:pt idx="2114">
                  <c:v>-78.86</c:v>
                </c:pt>
                <c:pt idx="2115">
                  <c:v>-78.85</c:v>
                </c:pt>
                <c:pt idx="2116">
                  <c:v>-78.84</c:v>
                </c:pt>
                <c:pt idx="2117">
                  <c:v>-78.83</c:v>
                </c:pt>
                <c:pt idx="2118">
                  <c:v>-78.82</c:v>
                </c:pt>
                <c:pt idx="2119">
                  <c:v>-78.81</c:v>
                </c:pt>
                <c:pt idx="2120">
                  <c:v>-78.8</c:v>
                </c:pt>
                <c:pt idx="2121">
                  <c:v>-78.79</c:v>
                </c:pt>
                <c:pt idx="2122">
                  <c:v>-78.78</c:v>
                </c:pt>
                <c:pt idx="2123">
                  <c:v>-78.77</c:v>
                </c:pt>
                <c:pt idx="2124">
                  <c:v>-78.76</c:v>
                </c:pt>
                <c:pt idx="2125">
                  <c:v>-78.75</c:v>
                </c:pt>
                <c:pt idx="2126">
                  <c:v>-78.74</c:v>
                </c:pt>
                <c:pt idx="2127">
                  <c:v>-78.73</c:v>
                </c:pt>
                <c:pt idx="2128">
                  <c:v>-78.72</c:v>
                </c:pt>
                <c:pt idx="2129">
                  <c:v>-78.71</c:v>
                </c:pt>
                <c:pt idx="2130">
                  <c:v>-78.7</c:v>
                </c:pt>
                <c:pt idx="2131">
                  <c:v>-78.69</c:v>
                </c:pt>
                <c:pt idx="2132">
                  <c:v>-78.68</c:v>
                </c:pt>
                <c:pt idx="2133">
                  <c:v>-78.67</c:v>
                </c:pt>
                <c:pt idx="2134">
                  <c:v>-78.66</c:v>
                </c:pt>
                <c:pt idx="2135">
                  <c:v>-78.65</c:v>
                </c:pt>
                <c:pt idx="2136">
                  <c:v>-78.64</c:v>
                </c:pt>
                <c:pt idx="2137">
                  <c:v>-78.63</c:v>
                </c:pt>
                <c:pt idx="2138">
                  <c:v>-78.62</c:v>
                </c:pt>
                <c:pt idx="2139">
                  <c:v>-78.61</c:v>
                </c:pt>
                <c:pt idx="2140">
                  <c:v>-78.6</c:v>
                </c:pt>
                <c:pt idx="2141">
                  <c:v>-78.59</c:v>
                </c:pt>
                <c:pt idx="2142">
                  <c:v>-78.58</c:v>
                </c:pt>
                <c:pt idx="2143">
                  <c:v>-78.57</c:v>
                </c:pt>
                <c:pt idx="2144">
                  <c:v>-78.56</c:v>
                </c:pt>
                <c:pt idx="2145">
                  <c:v>-78.55</c:v>
                </c:pt>
                <c:pt idx="2146">
                  <c:v>-78.54</c:v>
                </c:pt>
                <c:pt idx="2147">
                  <c:v>-78.53</c:v>
                </c:pt>
                <c:pt idx="2148">
                  <c:v>-78.52</c:v>
                </c:pt>
                <c:pt idx="2149">
                  <c:v>-78.51</c:v>
                </c:pt>
                <c:pt idx="2150">
                  <c:v>-78.5</c:v>
                </c:pt>
                <c:pt idx="2151">
                  <c:v>-78.49</c:v>
                </c:pt>
                <c:pt idx="2152">
                  <c:v>-78.48</c:v>
                </c:pt>
                <c:pt idx="2153">
                  <c:v>-78.47</c:v>
                </c:pt>
                <c:pt idx="2154">
                  <c:v>-78.46</c:v>
                </c:pt>
                <c:pt idx="2155">
                  <c:v>-78.45</c:v>
                </c:pt>
                <c:pt idx="2156">
                  <c:v>-78.44</c:v>
                </c:pt>
                <c:pt idx="2157">
                  <c:v>-78.43</c:v>
                </c:pt>
                <c:pt idx="2158">
                  <c:v>-78.42</c:v>
                </c:pt>
                <c:pt idx="2159">
                  <c:v>-78.41</c:v>
                </c:pt>
                <c:pt idx="2160">
                  <c:v>-78.4</c:v>
                </c:pt>
                <c:pt idx="2161">
                  <c:v>-78.39</c:v>
                </c:pt>
                <c:pt idx="2162">
                  <c:v>-78.38</c:v>
                </c:pt>
                <c:pt idx="2163">
                  <c:v>-78.37</c:v>
                </c:pt>
                <c:pt idx="2164">
                  <c:v>-78.36</c:v>
                </c:pt>
                <c:pt idx="2165">
                  <c:v>-78.35</c:v>
                </c:pt>
                <c:pt idx="2166">
                  <c:v>-78.34</c:v>
                </c:pt>
                <c:pt idx="2167">
                  <c:v>-78.33</c:v>
                </c:pt>
                <c:pt idx="2168">
                  <c:v>-78.32</c:v>
                </c:pt>
                <c:pt idx="2169">
                  <c:v>-78.31</c:v>
                </c:pt>
                <c:pt idx="2170">
                  <c:v>-78.3</c:v>
                </c:pt>
                <c:pt idx="2171">
                  <c:v>-78.29</c:v>
                </c:pt>
                <c:pt idx="2172">
                  <c:v>-78.28</c:v>
                </c:pt>
                <c:pt idx="2173">
                  <c:v>-78.27</c:v>
                </c:pt>
                <c:pt idx="2174">
                  <c:v>-78.26</c:v>
                </c:pt>
                <c:pt idx="2175">
                  <c:v>-78.25</c:v>
                </c:pt>
                <c:pt idx="2176">
                  <c:v>-78.24</c:v>
                </c:pt>
                <c:pt idx="2177">
                  <c:v>-78.23</c:v>
                </c:pt>
                <c:pt idx="2178">
                  <c:v>-78.22</c:v>
                </c:pt>
                <c:pt idx="2179">
                  <c:v>-78.21</c:v>
                </c:pt>
                <c:pt idx="2180">
                  <c:v>-78.2</c:v>
                </c:pt>
                <c:pt idx="2181">
                  <c:v>-78.19</c:v>
                </c:pt>
                <c:pt idx="2182">
                  <c:v>-78.18</c:v>
                </c:pt>
                <c:pt idx="2183">
                  <c:v>-78.17</c:v>
                </c:pt>
                <c:pt idx="2184">
                  <c:v>-78.16</c:v>
                </c:pt>
                <c:pt idx="2185">
                  <c:v>-78.15</c:v>
                </c:pt>
                <c:pt idx="2186">
                  <c:v>-78.14</c:v>
                </c:pt>
                <c:pt idx="2187">
                  <c:v>-78.13</c:v>
                </c:pt>
                <c:pt idx="2188">
                  <c:v>-78.12</c:v>
                </c:pt>
                <c:pt idx="2189">
                  <c:v>-78.11</c:v>
                </c:pt>
                <c:pt idx="2190">
                  <c:v>-78.1</c:v>
                </c:pt>
                <c:pt idx="2191">
                  <c:v>-78.09</c:v>
                </c:pt>
                <c:pt idx="2192">
                  <c:v>-78.08</c:v>
                </c:pt>
                <c:pt idx="2193">
                  <c:v>-78.07</c:v>
                </c:pt>
                <c:pt idx="2194">
                  <c:v>-78.06</c:v>
                </c:pt>
                <c:pt idx="2195">
                  <c:v>-78.05</c:v>
                </c:pt>
                <c:pt idx="2196">
                  <c:v>-78.04</c:v>
                </c:pt>
                <c:pt idx="2197">
                  <c:v>-78.03</c:v>
                </c:pt>
                <c:pt idx="2198">
                  <c:v>-78.02</c:v>
                </c:pt>
                <c:pt idx="2199">
                  <c:v>-78.01</c:v>
                </c:pt>
                <c:pt idx="2200">
                  <c:v>-78.0</c:v>
                </c:pt>
                <c:pt idx="2201">
                  <c:v>-77.99</c:v>
                </c:pt>
                <c:pt idx="2202">
                  <c:v>-77.98</c:v>
                </c:pt>
                <c:pt idx="2203">
                  <c:v>-77.97</c:v>
                </c:pt>
                <c:pt idx="2204">
                  <c:v>-77.96</c:v>
                </c:pt>
                <c:pt idx="2205">
                  <c:v>-77.95</c:v>
                </c:pt>
                <c:pt idx="2206">
                  <c:v>-77.94</c:v>
                </c:pt>
                <c:pt idx="2207">
                  <c:v>-77.93</c:v>
                </c:pt>
                <c:pt idx="2208">
                  <c:v>-77.92</c:v>
                </c:pt>
                <c:pt idx="2209">
                  <c:v>-77.91</c:v>
                </c:pt>
                <c:pt idx="2210">
                  <c:v>-77.9</c:v>
                </c:pt>
                <c:pt idx="2211">
                  <c:v>-77.89</c:v>
                </c:pt>
                <c:pt idx="2212">
                  <c:v>-77.88</c:v>
                </c:pt>
                <c:pt idx="2213">
                  <c:v>-77.87</c:v>
                </c:pt>
                <c:pt idx="2214">
                  <c:v>-77.86</c:v>
                </c:pt>
                <c:pt idx="2215">
                  <c:v>-77.85</c:v>
                </c:pt>
                <c:pt idx="2216">
                  <c:v>-77.84</c:v>
                </c:pt>
                <c:pt idx="2217">
                  <c:v>-77.83</c:v>
                </c:pt>
                <c:pt idx="2218">
                  <c:v>-77.82</c:v>
                </c:pt>
                <c:pt idx="2219">
                  <c:v>-77.81</c:v>
                </c:pt>
                <c:pt idx="2220">
                  <c:v>-77.8</c:v>
                </c:pt>
                <c:pt idx="2221">
                  <c:v>-77.79</c:v>
                </c:pt>
                <c:pt idx="2222">
                  <c:v>-77.78</c:v>
                </c:pt>
                <c:pt idx="2223">
                  <c:v>-77.77</c:v>
                </c:pt>
                <c:pt idx="2224">
                  <c:v>-77.76</c:v>
                </c:pt>
                <c:pt idx="2225">
                  <c:v>-77.75</c:v>
                </c:pt>
                <c:pt idx="2226">
                  <c:v>-77.74</c:v>
                </c:pt>
                <c:pt idx="2227">
                  <c:v>-77.73</c:v>
                </c:pt>
                <c:pt idx="2228">
                  <c:v>-77.72</c:v>
                </c:pt>
                <c:pt idx="2229">
                  <c:v>-77.71</c:v>
                </c:pt>
                <c:pt idx="2230">
                  <c:v>-77.7</c:v>
                </c:pt>
                <c:pt idx="2231">
                  <c:v>-77.69</c:v>
                </c:pt>
                <c:pt idx="2232">
                  <c:v>-77.68</c:v>
                </c:pt>
                <c:pt idx="2233">
                  <c:v>-77.67</c:v>
                </c:pt>
                <c:pt idx="2234">
                  <c:v>-77.66</c:v>
                </c:pt>
                <c:pt idx="2235">
                  <c:v>-77.65</c:v>
                </c:pt>
                <c:pt idx="2236">
                  <c:v>-77.64</c:v>
                </c:pt>
                <c:pt idx="2237">
                  <c:v>-77.63</c:v>
                </c:pt>
                <c:pt idx="2238">
                  <c:v>-77.62</c:v>
                </c:pt>
                <c:pt idx="2239">
                  <c:v>-77.61</c:v>
                </c:pt>
                <c:pt idx="2240">
                  <c:v>-77.6</c:v>
                </c:pt>
                <c:pt idx="2241">
                  <c:v>-77.59</c:v>
                </c:pt>
                <c:pt idx="2242">
                  <c:v>-77.58</c:v>
                </c:pt>
                <c:pt idx="2243">
                  <c:v>-77.57</c:v>
                </c:pt>
                <c:pt idx="2244">
                  <c:v>-77.56</c:v>
                </c:pt>
                <c:pt idx="2245">
                  <c:v>-77.55</c:v>
                </c:pt>
                <c:pt idx="2246">
                  <c:v>-77.54</c:v>
                </c:pt>
                <c:pt idx="2247">
                  <c:v>-77.53</c:v>
                </c:pt>
                <c:pt idx="2248">
                  <c:v>-77.52</c:v>
                </c:pt>
                <c:pt idx="2249">
                  <c:v>-77.51</c:v>
                </c:pt>
                <c:pt idx="2250">
                  <c:v>-77.5</c:v>
                </c:pt>
                <c:pt idx="2251">
                  <c:v>-77.49</c:v>
                </c:pt>
                <c:pt idx="2252">
                  <c:v>-77.48</c:v>
                </c:pt>
                <c:pt idx="2253">
                  <c:v>-77.47</c:v>
                </c:pt>
                <c:pt idx="2254">
                  <c:v>-77.46</c:v>
                </c:pt>
                <c:pt idx="2255">
                  <c:v>-77.45</c:v>
                </c:pt>
                <c:pt idx="2256">
                  <c:v>-77.44</c:v>
                </c:pt>
                <c:pt idx="2257">
                  <c:v>-77.43</c:v>
                </c:pt>
                <c:pt idx="2258">
                  <c:v>-77.42</c:v>
                </c:pt>
                <c:pt idx="2259">
                  <c:v>-77.41</c:v>
                </c:pt>
                <c:pt idx="2260">
                  <c:v>-77.4</c:v>
                </c:pt>
                <c:pt idx="2261">
                  <c:v>-77.39</c:v>
                </c:pt>
                <c:pt idx="2262">
                  <c:v>-77.38</c:v>
                </c:pt>
                <c:pt idx="2263">
                  <c:v>-77.37</c:v>
                </c:pt>
                <c:pt idx="2264">
                  <c:v>-77.36</c:v>
                </c:pt>
                <c:pt idx="2265">
                  <c:v>-77.35</c:v>
                </c:pt>
                <c:pt idx="2266">
                  <c:v>-77.34</c:v>
                </c:pt>
                <c:pt idx="2267">
                  <c:v>-77.33</c:v>
                </c:pt>
                <c:pt idx="2268">
                  <c:v>-77.32</c:v>
                </c:pt>
                <c:pt idx="2269">
                  <c:v>-77.31</c:v>
                </c:pt>
                <c:pt idx="2270">
                  <c:v>-77.3</c:v>
                </c:pt>
                <c:pt idx="2271">
                  <c:v>-77.29</c:v>
                </c:pt>
                <c:pt idx="2272">
                  <c:v>-77.28</c:v>
                </c:pt>
                <c:pt idx="2273">
                  <c:v>-77.27</c:v>
                </c:pt>
                <c:pt idx="2274">
                  <c:v>-77.26</c:v>
                </c:pt>
                <c:pt idx="2275">
                  <c:v>-77.25</c:v>
                </c:pt>
                <c:pt idx="2276">
                  <c:v>-77.24</c:v>
                </c:pt>
                <c:pt idx="2277">
                  <c:v>-77.23</c:v>
                </c:pt>
                <c:pt idx="2278">
                  <c:v>-77.22</c:v>
                </c:pt>
                <c:pt idx="2279">
                  <c:v>-77.21</c:v>
                </c:pt>
                <c:pt idx="2280">
                  <c:v>-77.2</c:v>
                </c:pt>
                <c:pt idx="2281">
                  <c:v>-77.19</c:v>
                </c:pt>
                <c:pt idx="2282">
                  <c:v>-77.18</c:v>
                </c:pt>
                <c:pt idx="2283">
                  <c:v>-77.17</c:v>
                </c:pt>
                <c:pt idx="2284">
                  <c:v>-77.16</c:v>
                </c:pt>
                <c:pt idx="2285">
                  <c:v>-77.15</c:v>
                </c:pt>
                <c:pt idx="2286">
                  <c:v>-77.14</c:v>
                </c:pt>
                <c:pt idx="2287">
                  <c:v>-77.13</c:v>
                </c:pt>
                <c:pt idx="2288">
                  <c:v>-77.12</c:v>
                </c:pt>
                <c:pt idx="2289">
                  <c:v>-77.11</c:v>
                </c:pt>
                <c:pt idx="2290">
                  <c:v>-77.1</c:v>
                </c:pt>
                <c:pt idx="2291">
                  <c:v>-77.09</c:v>
                </c:pt>
                <c:pt idx="2292">
                  <c:v>-77.08</c:v>
                </c:pt>
                <c:pt idx="2293">
                  <c:v>-77.07</c:v>
                </c:pt>
                <c:pt idx="2294">
                  <c:v>-77.06</c:v>
                </c:pt>
                <c:pt idx="2295">
                  <c:v>-77.05</c:v>
                </c:pt>
                <c:pt idx="2296">
                  <c:v>-77.04</c:v>
                </c:pt>
                <c:pt idx="2297">
                  <c:v>-77.03</c:v>
                </c:pt>
                <c:pt idx="2298">
                  <c:v>-77.02</c:v>
                </c:pt>
                <c:pt idx="2299">
                  <c:v>-77.01</c:v>
                </c:pt>
                <c:pt idx="2300">
                  <c:v>-77.0</c:v>
                </c:pt>
                <c:pt idx="2301">
                  <c:v>-76.99</c:v>
                </c:pt>
                <c:pt idx="2302">
                  <c:v>-76.98</c:v>
                </c:pt>
                <c:pt idx="2303">
                  <c:v>-76.97</c:v>
                </c:pt>
                <c:pt idx="2304">
                  <c:v>-76.96</c:v>
                </c:pt>
                <c:pt idx="2305">
                  <c:v>-76.95</c:v>
                </c:pt>
                <c:pt idx="2306">
                  <c:v>-76.94</c:v>
                </c:pt>
                <c:pt idx="2307">
                  <c:v>-76.93</c:v>
                </c:pt>
                <c:pt idx="2308">
                  <c:v>-76.92</c:v>
                </c:pt>
                <c:pt idx="2309">
                  <c:v>-76.91</c:v>
                </c:pt>
                <c:pt idx="2310">
                  <c:v>-76.9</c:v>
                </c:pt>
                <c:pt idx="2311">
                  <c:v>-76.89</c:v>
                </c:pt>
                <c:pt idx="2312">
                  <c:v>-76.88</c:v>
                </c:pt>
                <c:pt idx="2313">
                  <c:v>-76.87</c:v>
                </c:pt>
                <c:pt idx="2314">
                  <c:v>-76.86</c:v>
                </c:pt>
                <c:pt idx="2315">
                  <c:v>-76.85</c:v>
                </c:pt>
                <c:pt idx="2316">
                  <c:v>-76.84</c:v>
                </c:pt>
                <c:pt idx="2317">
                  <c:v>-76.83</c:v>
                </c:pt>
                <c:pt idx="2318">
                  <c:v>-76.82</c:v>
                </c:pt>
                <c:pt idx="2319">
                  <c:v>-76.81</c:v>
                </c:pt>
                <c:pt idx="2320">
                  <c:v>-76.8</c:v>
                </c:pt>
                <c:pt idx="2321">
                  <c:v>-76.79</c:v>
                </c:pt>
                <c:pt idx="2322">
                  <c:v>-76.78</c:v>
                </c:pt>
                <c:pt idx="2323">
                  <c:v>-76.77</c:v>
                </c:pt>
                <c:pt idx="2324">
                  <c:v>-76.76</c:v>
                </c:pt>
                <c:pt idx="2325">
                  <c:v>-76.75</c:v>
                </c:pt>
                <c:pt idx="2326">
                  <c:v>-76.74</c:v>
                </c:pt>
                <c:pt idx="2327">
                  <c:v>-76.73</c:v>
                </c:pt>
                <c:pt idx="2328">
                  <c:v>-76.72</c:v>
                </c:pt>
                <c:pt idx="2329">
                  <c:v>-76.71</c:v>
                </c:pt>
                <c:pt idx="2330">
                  <c:v>-76.7</c:v>
                </c:pt>
                <c:pt idx="2331">
                  <c:v>-76.69</c:v>
                </c:pt>
                <c:pt idx="2332">
                  <c:v>-76.68</c:v>
                </c:pt>
                <c:pt idx="2333">
                  <c:v>-76.67</c:v>
                </c:pt>
                <c:pt idx="2334">
                  <c:v>-76.66</c:v>
                </c:pt>
                <c:pt idx="2335">
                  <c:v>-76.65</c:v>
                </c:pt>
                <c:pt idx="2336">
                  <c:v>-76.64</c:v>
                </c:pt>
                <c:pt idx="2337">
                  <c:v>-76.63</c:v>
                </c:pt>
                <c:pt idx="2338">
                  <c:v>-76.62</c:v>
                </c:pt>
                <c:pt idx="2339">
                  <c:v>-76.61</c:v>
                </c:pt>
                <c:pt idx="2340">
                  <c:v>-76.6</c:v>
                </c:pt>
                <c:pt idx="2341">
                  <c:v>-76.59</c:v>
                </c:pt>
                <c:pt idx="2342">
                  <c:v>-76.58</c:v>
                </c:pt>
                <c:pt idx="2343">
                  <c:v>-76.57</c:v>
                </c:pt>
                <c:pt idx="2344">
                  <c:v>-76.56</c:v>
                </c:pt>
                <c:pt idx="2345">
                  <c:v>-76.55</c:v>
                </c:pt>
                <c:pt idx="2346">
                  <c:v>-76.54</c:v>
                </c:pt>
                <c:pt idx="2347">
                  <c:v>-76.53</c:v>
                </c:pt>
                <c:pt idx="2348">
                  <c:v>-76.52</c:v>
                </c:pt>
                <c:pt idx="2349">
                  <c:v>-76.51</c:v>
                </c:pt>
                <c:pt idx="2350">
                  <c:v>-76.5</c:v>
                </c:pt>
                <c:pt idx="2351">
                  <c:v>-76.49</c:v>
                </c:pt>
                <c:pt idx="2352">
                  <c:v>-76.48</c:v>
                </c:pt>
                <c:pt idx="2353">
                  <c:v>-76.47</c:v>
                </c:pt>
                <c:pt idx="2354">
                  <c:v>-76.46</c:v>
                </c:pt>
                <c:pt idx="2355">
                  <c:v>-76.45</c:v>
                </c:pt>
                <c:pt idx="2356">
                  <c:v>-76.44</c:v>
                </c:pt>
                <c:pt idx="2357">
                  <c:v>-76.43</c:v>
                </c:pt>
                <c:pt idx="2358">
                  <c:v>-76.42</c:v>
                </c:pt>
                <c:pt idx="2359">
                  <c:v>-76.41</c:v>
                </c:pt>
                <c:pt idx="2360">
                  <c:v>-76.4</c:v>
                </c:pt>
                <c:pt idx="2361">
                  <c:v>-76.39</c:v>
                </c:pt>
                <c:pt idx="2362">
                  <c:v>-76.38</c:v>
                </c:pt>
                <c:pt idx="2363">
                  <c:v>-76.37</c:v>
                </c:pt>
                <c:pt idx="2364">
                  <c:v>-76.36</c:v>
                </c:pt>
                <c:pt idx="2365">
                  <c:v>-76.35</c:v>
                </c:pt>
                <c:pt idx="2366">
                  <c:v>-76.34</c:v>
                </c:pt>
                <c:pt idx="2367">
                  <c:v>-76.33</c:v>
                </c:pt>
                <c:pt idx="2368">
                  <c:v>-76.32</c:v>
                </c:pt>
                <c:pt idx="2369">
                  <c:v>-76.31</c:v>
                </c:pt>
                <c:pt idx="2370">
                  <c:v>-76.3</c:v>
                </c:pt>
                <c:pt idx="2371">
                  <c:v>-76.29</c:v>
                </c:pt>
                <c:pt idx="2372">
                  <c:v>-76.28</c:v>
                </c:pt>
                <c:pt idx="2373">
                  <c:v>-76.27</c:v>
                </c:pt>
                <c:pt idx="2374">
                  <c:v>-76.26</c:v>
                </c:pt>
                <c:pt idx="2375">
                  <c:v>-76.25</c:v>
                </c:pt>
                <c:pt idx="2376">
                  <c:v>-76.24</c:v>
                </c:pt>
                <c:pt idx="2377">
                  <c:v>-76.23</c:v>
                </c:pt>
                <c:pt idx="2378">
                  <c:v>-76.22</c:v>
                </c:pt>
                <c:pt idx="2379">
                  <c:v>-76.21</c:v>
                </c:pt>
                <c:pt idx="2380">
                  <c:v>-76.2</c:v>
                </c:pt>
                <c:pt idx="2381">
                  <c:v>-76.19</c:v>
                </c:pt>
                <c:pt idx="2382">
                  <c:v>-76.18</c:v>
                </c:pt>
                <c:pt idx="2383">
                  <c:v>-76.17</c:v>
                </c:pt>
                <c:pt idx="2384">
                  <c:v>-76.16</c:v>
                </c:pt>
                <c:pt idx="2385">
                  <c:v>-76.15</c:v>
                </c:pt>
                <c:pt idx="2386">
                  <c:v>-76.14</c:v>
                </c:pt>
                <c:pt idx="2387">
                  <c:v>-76.13</c:v>
                </c:pt>
                <c:pt idx="2388">
                  <c:v>-76.12</c:v>
                </c:pt>
                <c:pt idx="2389">
                  <c:v>-76.11</c:v>
                </c:pt>
                <c:pt idx="2390">
                  <c:v>-76.1</c:v>
                </c:pt>
                <c:pt idx="2391">
                  <c:v>-76.09</c:v>
                </c:pt>
                <c:pt idx="2392">
                  <c:v>-76.08</c:v>
                </c:pt>
                <c:pt idx="2393">
                  <c:v>-76.07</c:v>
                </c:pt>
                <c:pt idx="2394">
                  <c:v>-76.06</c:v>
                </c:pt>
                <c:pt idx="2395">
                  <c:v>-76.05</c:v>
                </c:pt>
                <c:pt idx="2396">
                  <c:v>-76.04</c:v>
                </c:pt>
                <c:pt idx="2397">
                  <c:v>-76.03</c:v>
                </c:pt>
                <c:pt idx="2398">
                  <c:v>-76.02</c:v>
                </c:pt>
                <c:pt idx="2399">
                  <c:v>-76.01</c:v>
                </c:pt>
                <c:pt idx="2400">
                  <c:v>-76.0</c:v>
                </c:pt>
                <c:pt idx="2401">
                  <c:v>-75.99</c:v>
                </c:pt>
                <c:pt idx="2402">
                  <c:v>-75.98</c:v>
                </c:pt>
                <c:pt idx="2403">
                  <c:v>-75.97</c:v>
                </c:pt>
                <c:pt idx="2404">
                  <c:v>-75.96</c:v>
                </c:pt>
                <c:pt idx="2405">
                  <c:v>-75.95</c:v>
                </c:pt>
                <c:pt idx="2406">
                  <c:v>-75.94</c:v>
                </c:pt>
                <c:pt idx="2407">
                  <c:v>-75.93</c:v>
                </c:pt>
                <c:pt idx="2408">
                  <c:v>-75.92</c:v>
                </c:pt>
                <c:pt idx="2409">
                  <c:v>-75.91</c:v>
                </c:pt>
                <c:pt idx="2410">
                  <c:v>-75.9</c:v>
                </c:pt>
                <c:pt idx="2411">
                  <c:v>-75.89</c:v>
                </c:pt>
                <c:pt idx="2412">
                  <c:v>-75.88</c:v>
                </c:pt>
                <c:pt idx="2413">
                  <c:v>-75.87</c:v>
                </c:pt>
                <c:pt idx="2414">
                  <c:v>-75.86</c:v>
                </c:pt>
                <c:pt idx="2415">
                  <c:v>-75.85</c:v>
                </c:pt>
                <c:pt idx="2416">
                  <c:v>-75.84</c:v>
                </c:pt>
                <c:pt idx="2417">
                  <c:v>-75.83</c:v>
                </c:pt>
                <c:pt idx="2418">
                  <c:v>-75.82</c:v>
                </c:pt>
                <c:pt idx="2419">
                  <c:v>-75.81</c:v>
                </c:pt>
                <c:pt idx="2420">
                  <c:v>-75.8</c:v>
                </c:pt>
                <c:pt idx="2421">
                  <c:v>-75.79</c:v>
                </c:pt>
                <c:pt idx="2422">
                  <c:v>-75.78</c:v>
                </c:pt>
                <c:pt idx="2423">
                  <c:v>-75.77</c:v>
                </c:pt>
                <c:pt idx="2424">
                  <c:v>-75.76</c:v>
                </c:pt>
                <c:pt idx="2425">
                  <c:v>-75.75</c:v>
                </c:pt>
                <c:pt idx="2426">
                  <c:v>-75.74</c:v>
                </c:pt>
                <c:pt idx="2427">
                  <c:v>-75.73</c:v>
                </c:pt>
                <c:pt idx="2428">
                  <c:v>-75.72</c:v>
                </c:pt>
                <c:pt idx="2429">
                  <c:v>-75.71</c:v>
                </c:pt>
                <c:pt idx="2430">
                  <c:v>-75.7</c:v>
                </c:pt>
                <c:pt idx="2431">
                  <c:v>-75.69</c:v>
                </c:pt>
                <c:pt idx="2432">
                  <c:v>-75.68</c:v>
                </c:pt>
                <c:pt idx="2433">
                  <c:v>-75.67</c:v>
                </c:pt>
                <c:pt idx="2434">
                  <c:v>-75.66</c:v>
                </c:pt>
                <c:pt idx="2435">
                  <c:v>-75.65</c:v>
                </c:pt>
                <c:pt idx="2436">
                  <c:v>-75.64</c:v>
                </c:pt>
                <c:pt idx="2437">
                  <c:v>-75.63</c:v>
                </c:pt>
                <c:pt idx="2438">
                  <c:v>-75.62</c:v>
                </c:pt>
                <c:pt idx="2439">
                  <c:v>-75.61</c:v>
                </c:pt>
                <c:pt idx="2440">
                  <c:v>-75.6</c:v>
                </c:pt>
                <c:pt idx="2441">
                  <c:v>-75.59</c:v>
                </c:pt>
                <c:pt idx="2442">
                  <c:v>-75.58</c:v>
                </c:pt>
                <c:pt idx="2443">
                  <c:v>-75.57</c:v>
                </c:pt>
                <c:pt idx="2444">
                  <c:v>-75.56</c:v>
                </c:pt>
                <c:pt idx="2445">
                  <c:v>-75.55</c:v>
                </c:pt>
                <c:pt idx="2446">
                  <c:v>-75.54</c:v>
                </c:pt>
                <c:pt idx="2447">
                  <c:v>-75.53</c:v>
                </c:pt>
                <c:pt idx="2448">
                  <c:v>-75.52</c:v>
                </c:pt>
                <c:pt idx="2449">
                  <c:v>-75.51</c:v>
                </c:pt>
                <c:pt idx="2450">
                  <c:v>-75.5</c:v>
                </c:pt>
                <c:pt idx="2451">
                  <c:v>-75.49</c:v>
                </c:pt>
                <c:pt idx="2452">
                  <c:v>-75.48</c:v>
                </c:pt>
                <c:pt idx="2453">
                  <c:v>-75.47</c:v>
                </c:pt>
                <c:pt idx="2454">
                  <c:v>-75.46</c:v>
                </c:pt>
                <c:pt idx="2455">
                  <c:v>-75.45</c:v>
                </c:pt>
                <c:pt idx="2456">
                  <c:v>-75.44</c:v>
                </c:pt>
                <c:pt idx="2457">
                  <c:v>-75.43</c:v>
                </c:pt>
                <c:pt idx="2458">
                  <c:v>-75.42</c:v>
                </c:pt>
                <c:pt idx="2459">
                  <c:v>-75.41</c:v>
                </c:pt>
                <c:pt idx="2460">
                  <c:v>-75.4</c:v>
                </c:pt>
                <c:pt idx="2461">
                  <c:v>-75.39</c:v>
                </c:pt>
                <c:pt idx="2462">
                  <c:v>-75.38</c:v>
                </c:pt>
                <c:pt idx="2463">
                  <c:v>-75.37</c:v>
                </c:pt>
                <c:pt idx="2464">
                  <c:v>-75.36</c:v>
                </c:pt>
                <c:pt idx="2465">
                  <c:v>-75.35</c:v>
                </c:pt>
                <c:pt idx="2466">
                  <c:v>-75.34</c:v>
                </c:pt>
                <c:pt idx="2467">
                  <c:v>-75.33</c:v>
                </c:pt>
                <c:pt idx="2468">
                  <c:v>-75.32</c:v>
                </c:pt>
                <c:pt idx="2469">
                  <c:v>-75.31</c:v>
                </c:pt>
                <c:pt idx="2470">
                  <c:v>-75.3</c:v>
                </c:pt>
                <c:pt idx="2471">
                  <c:v>-75.29</c:v>
                </c:pt>
                <c:pt idx="2472">
                  <c:v>-75.28</c:v>
                </c:pt>
                <c:pt idx="2473">
                  <c:v>-75.27</c:v>
                </c:pt>
                <c:pt idx="2474">
                  <c:v>-75.26</c:v>
                </c:pt>
                <c:pt idx="2475">
                  <c:v>-75.25</c:v>
                </c:pt>
                <c:pt idx="2476">
                  <c:v>-75.24</c:v>
                </c:pt>
                <c:pt idx="2477">
                  <c:v>-75.23</c:v>
                </c:pt>
                <c:pt idx="2478">
                  <c:v>-75.22</c:v>
                </c:pt>
                <c:pt idx="2479">
                  <c:v>-75.21</c:v>
                </c:pt>
                <c:pt idx="2480">
                  <c:v>-75.2</c:v>
                </c:pt>
                <c:pt idx="2481">
                  <c:v>-75.19</c:v>
                </c:pt>
                <c:pt idx="2482">
                  <c:v>-75.18</c:v>
                </c:pt>
                <c:pt idx="2483">
                  <c:v>-75.17</c:v>
                </c:pt>
                <c:pt idx="2484">
                  <c:v>-75.16</c:v>
                </c:pt>
                <c:pt idx="2485">
                  <c:v>-75.15</c:v>
                </c:pt>
                <c:pt idx="2486">
                  <c:v>-75.14</c:v>
                </c:pt>
                <c:pt idx="2487">
                  <c:v>-75.13</c:v>
                </c:pt>
                <c:pt idx="2488">
                  <c:v>-75.12</c:v>
                </c:pt>
                <c:pt idx="2489">
                  <c:v>-75.11</c:v>
                </c:pt>
                <c:pt idx="2490">
                  <c:v>-75.1</c:v>
                </c:pt>
                <c:pt idx="2491">
                  <c:v>-75.09</c:v>
                </c:pt>
                <c:pt idx="2492">
                  <c:v>-75.08</c:v>
                </c:pt>
                <c:pt idx="2493">
                  <c:v>-75.07</c:v>
                </c:pt>
                <c:pt idx="2494">
                  <c:v>-75.06</c:v>
                </c:pt>
                <c:pt idx="2495">
                  <c:v>-75.05</c:v>
                </c:pt>
                <c:pt idx="2496">
                  <c:v>-75.04</c:v>
                </c:pt>
                <c:pt idx="2497">
                  <c:v>-75.03</c:v>
                </c:pt>
                <c:pt idx="2498">
                  <c:v>-75.02</c:v>
                </c:pt>
                <c:pt idx="2499">
                  <c:v>-75.01</c:v>
                </c:pt>
                <c:pt idx="2500">
                  <c:v>-75.0</c:v>
                </c:pt>
                <c:pt idx="2501">
                  <c:v>-74.99</c:v>
                </c:pt>
                <c:pt idx="2502">
                  <c:v>-74.98</c:v>
                </c:pt>
                <c:pt idx="2503">
                  <c:v>-74.97</c:v>
                </c:pt>
                <c:pt idx="2504">
                  <c:v>-74.96</c:v>
                </c:pt>
                <c:pt idx="2505">
                  <c:v>-74.95</c:v>
                </c:pt>
                <c:pt idx="2506">
                  <c:v>-74.94</c:v>
                </c:pt>
                <c:pt idx="2507">
                  <c:v>-74.93</c:v>
                </c:pt>
                <c:pt idx="2508">
                  <c:v>-74.92</c:v>
                </c:pt>
                <c:pt idx="2509">
                  <c:v>-74.91</c:v>
                </c:pt>
                <c:pt idx="2510">
                  <c:v>-74.9</c:v>
                </c:pt>
                <c:pt idx="2511">
                  <c:v>-74.89</c:v>
                </c:pt>
                <c:pt idx="2512">
                  <c:v>-74.88</c:v>
                </c:pt>
                <c:pt idx="2513">
                  <c:v>-74.87</c:v>
                </c:pt>
                <c:pt idx="2514">
                  <c:v>-74.86</c:v>
                </c:pt>
                <c:pt idx="2515">
                  <c:v>-74.85</c:v>
                </c:pt>
                <c:pt idx="2516">
                  <c:v>-74.84</c:v>
                </c:pt>
                <c:pt idx="2517">
                  <c:v>-74.83</c:v>
                </c:pt>
                <c:pt idx="2518">
                  <c:v>-74.82</c:v>
                </c:pt>
                <c:pt idx="2519">
                  <c:v>-74.81</c:v>
                </c:pt>
                <c:pt idx="2520">
                  <c:v>-74.8</c:v>
                </c:pt>
                <c:pt idx="2521">
                  <c:v>-74.79</c:v>
                </c:pt>
                <c:pt idx="2522">
                  <c:v>-74.78</c:v>
                </c:pt>
                <c:pt idx="2523">
                  <c:v>-74.77</c:v>
                </c:pt>
                <c:pt idx="2524">
                  <c:v>-74.76</c:v>
                </c:pt>
                <c:pt idx="2525">
                  <c:v>-74.75</c:v>
                </c:pt>
                <c:pt idx="2526">
                  <c:v>-74.74</c:v>
                </c:pt>
                <c:pt idx="2527">
                  <c:v>-74.73</c:v>
                </c:pt>
                <c:pt idx="2528">
                  <c:v>-74.72</c:v>
                </c:pt>
                <c:pt idx="2529">
                  <c:v>-74.71</c:v>
                </c:pt>
                <c:pt idx="2530">
                  <c:v>-74.7</c:v>
                </c:pt>
                <c:pt idx="2531">
                  <c:v>-74.69</c:v>
                </c:pt>
                <c:pt idx="2532">
                  <c:v>-74.68</c:v>
                </c:pt>
                <c:pt idx="2533">
                  <c:v>-74.67</c:v>
                </c:pt>
                <c:pt idx="2534">
                  <c:v>-74.66</c:v>
                </c:pt>
                <c:pt idx="2535">
                  <c:v>-74.65</c:v>
                </c:pt>
                <c:pt idx="2536">
                  <c:v>-74.64</c:v>
                </c:pt>
                <c:pt idx="2537">
                  <c:v>-74.63</c:v>
                </c:pt>
                <c:pt idx="2538">
                  <c:v>-74.62</c:v>
                </c:pt>
                <c:pt idx="2539">
                  <c:v>-74.61</c:v>
                </c:pt>
                <c:pt idx="2540">
                  <c:v>-74.6</c:v>
                </c:pt>
                <c:pt idx="2541">
                  <c:v>-74.59</c:v>
                </c:pt>
                <c:pt idx="2542">
                  <c:v>-74.58</c:v>
                </c:pt>
                <c:pt idx="2543">
                  <c:v>-74.57</c:v>
                </c:pt>
                <c:pt idx="2544">
                  <c:v>-74.56</c:v>
                </c:pt>
                <c:pt idx="2545">
                  <c:v>-74.55</c:v>
                </c:pt>
                <c:pt idx="2546">
                  <c:v>-74.54</c:v>
                </c:pt>
                <c:pt idx="2547">
                  <c:v>-74.53</c:v>
                </c:pt>
                <c:pt idx="2548">
                  <c:v>-74.52</c:v>
                </c:pt>
                <c:pt idx="2549">
                  <c:v>-74.51</c:v>
                </c:pt>
                <c:pt idx="2550">
                  <c:v>-74.5</c:v>
                </c:pt>
                <c:pt idx="2551">
                  <c:v>-74.49</c:v>
                </c:pt>
                <c:pt idx="2552">
                  <c:v>-74.48</c:v>
                </c:pt>
                <c:pt idx="2553">
                  <c:v>-74.47</c:v>
                </c:pt>
                <c:pt idx="2554">
                  <c:v>-74.46</c:v>
                </c:pt>
                <c:pt idx="2555">
                  <c:v>-74.45</c:v>
                </c:pt>
                <c:pt idx="2556">
                  <c:v>-74.44</c:v>
                </c:pt>
                <c:pt idx="2557">
                  <c:v>-74.43</c:v>
                </c:pt>
                <c:pt idx="2558">
                  <c:v>-74.42</c:v>
                </c:pt>
                <c:pt idx="2559">
                  <c:v>-74.41</c:v>
                </c:pt>
                <c:pt idx="2560">
                  <c:v>-74.4</c:v>
                </c:pt>
                <c:pt idx="2561">
                  <c:v>-74.39</c:v>
                </c:pt>
                <c:pt idx="2562">
                  <c:v>-74.38</c:v>
                </c:pt>
                <c:pt idx="2563">
                  <c:v>-74.37</c:v>
                </c:pt>
                <c:pt idx="2564">
                  <c:v>-74.36</c:v>
                </c:pt>
                <c:pt idx="2565">
                  <c:v>-74.35</c:v>
                </c:pt>
                <c:pt idx="2566">
                  <c:v>-74.34</c:v>
                </c:pt>
                <c:pt idx="2567">
                  <c:v>-74.33</c:v>
                </c:pt>
                <c:pt idx="2568">
                  <c:v>-74.32</c:v>
                </c:pt>
                <c:pt idx="2569">
                  <c:v>-74.31</c:v>
                </c:pt>
                <c:pt idx="2570">
                  <c:v>-74.3</c:v>
                </c:pt>
                <c:pt idx="2571">
                  <c:v>-74.29</c:v>
                </c:pt>
                <c:pt idx="2572">
                  <c:v>-74.28</c:v>
                </c:pt>
                <c:pt idx="2573">
                  <c:v>-74.27</c:v>
                </c:pt>
                <c:pt idx="2574">
                  <c:v>-74.26</c:v>
                </c:pt>
                <c:pt idx="2575">
                  <c:v>-74.25</c:v>
                </c:pt>
                <c:pt idx="2576">
                  <c:v>-74.24</c:v>
                </c:pt>
                <c:pt idx="2577">
                  <c:v>-74.23</c:v>
                </c:pt>
                <c:pt idx="2578">
                  <c:v>-74.22</c:v>
                </c:pt>
                <c:pt idx="2579">
                  <c:v>-74.21</c:v>
                </c:pt>
                <c:pt idx="2580">
                  <c:v>-74.2</c:v>
                </c:pt>
                <c:pt idx="2581">
                  <c:v>-74.19</c:v>
                </c:pt>
                <c:pt idx="2582">
                  <c:v>-74.18</c:v>
                </c:pt>
                <c:pt idx="2583">
                  <c:v>-74.17</c:v>
                </c:pt>
                <c:pt idx="2584">
                  <c:v>-74.16</c:v>
                </c:pt>
                <c:pt idx="2585">
                  <c:v>-74.15</c:v>
                </c:pt>
                <c:pt idx="2586">
                  <c:v>-74.14</c:v>
                </c:pt>
                <c:pt idx="2587">
                  <c:v>-74.13</c:v>
                </c:pt>
                <c:pt idx="2588">
                  <c:v>-74.12</c:v>
                </c:pt>
                <c:pt idx="2589">
                  <c:v>-74.11</c:v>
                </c:pt>
                <c:pt idx="2590">
                  <c:v>-74.1</c:v>
                </c:pt>
                <c:pt idx="2591">
                  <c:v>-74.09</c:v>
                </c:pt>
                <c:pt idx="2592">
                  <c:v>-74.08</c:v>
                </c:pt>
                <c:pt idx="2593">
                  <c:v>-74.07</c:v>
                </c:pt>
                <c:pt idx="2594">
                  <c:v>-74.06</c:v>
                </c:pt>
                <c:pt idx="2595">
                  <c:v>-74.05</c:v>
                </c:pt>
                <c:pt idx="2596">
                  <c:v>-74.04</c:v>
                </c:pt>
                <c:pt idx="2597">
                  <c:v>-74.03</c:v>
                </c:pt>
                <c:pt idx="2598">
                  <c:v>-74.02</c:v>
                </c:pt>
                <c:pt idx="2599">
                  <c:v>-74.01</c:v>
                </c:pt>
                <c:pt idx="2600">
                  <c:v>-74.0</c:v>
                </c:pt>
                <c:pt idx="2601">
                  <c:v>-73.99</c:v>
                </c:pt>
                <c:pt idx="2602">
                  <c:v>-73.98</c:v>
                </c:pt>
                <c:pt idx="2603">
                  <c:v>-73.97</c:v>
                </c:pt>
                <c:pt idx="2604">
                  <c:v>-73.96</c:v>
                </c:pt>
                <c:pt idx="2605">
                  <c:v>-73.95</c:v>
                </c:pt>
                <c:pt idx="2606">
                  <c:v>-73.94</c:v>
                </c:pt>
                <c:pt idx="2607">
                  <c:v>-73.93</c:v>
                </c:pt>
                <c:pt idx="2608">
                  <c:v>-73.92</c:v>
                </c:pt>
                <c:pt idx="2609">
                  <c:v>-73.91</c:v>
                </c:pt>
                <c:pt idx="2610">
                  <c:v>-73.9</c:v>
                </c:pt>
                <c:pt idx="2611">
                  <c:v>-73.89</c:v>
                </c:pt>
                <c:pt idx="2612">
                  <c:v>-73.88</c:v>
                </c:pt>
                <c:pt idx="2613">
                  <c:v>-73.87</c:v>
                </c:pt>
                <c:pt idx="2614">
                  <c:v>-73.86</c:v>
                </c:pt>
                <c:pt idx="2615">
                  <c:v>-73.85</c:v>
                </c:pt>
                <c:pt idx="2616">
                  <c:v>-73.84</c:v>
                </c:pt>
                <c:pt idx="2617">
                  <c:v>-73.83</c:v>
                </c:pt>
                <c:pt idx="2618">
                  <c:v>-73.82</c:v>
                </c:pt>
                <c:pt idx="2619">
                  <c:v>-73.81</c:v>
                </c:pt>
                <c:pt idx="2620">
                  <c:v>-73.8</c:v>
                </c:pt>
                <c:pt idx="2621">
                  <c:v>-73.79</c:v>
                </c:pt>
                <c:pt idx="2622">
                  <c:v>-73.78</c:v>
                </c:pt>
                <c:pt idx="2623">
                  <c:v>-73.77</c:v>
                </c:pt>
                <c:pt idx="2624">
                  <c:v>-73.76</c:v>
                </c:pt>
                <c:pt idx="2625">
                  <c:v>-73.75</c:v>
                </c:pt>
                <c:pt idx="2626">
                  <c:v>-73.74</c:v>
                </c:pt>
                <c:pt idx="2627">
                  <c:v>-73.73</c:v>
                </c:pt>
                <c:pt idx="2628">
                  <c:v>-73.72</c:v>
                </c:pt>
                <c:pt idx="2629">
                  <c:v>-73.71</c:v>
                </c:pt>
                <c:pt idx="2630">
                  <c:v>-73.7</c:v>
                </c:pt>
                <c:pt idx="2631">
                  <c:v>-73.69</c:v>
                </c:pt>
                <c:pt idx="2632">
                  <c:v>-73.68</c:v>
                </c:pt>
                <c:pt idx="2633">
                  <c:v>-73.67</c:v>
                </c:pt>
                <c:pt idx="2634">
                  <c:v>-73.66</c:v>
                </c:pt>
                <c:pt idx="2635">
                  <c:v>-73.65</c:v>
                </c:pt>
                <c:pt idx="2636">
                  <c:v>-73.64</c:v>
                </c:pt>
                <c:pt idx="2637">
                  <c:v>-73.63</c:v>
                </c:pt>
                <c:pt idx="2638">
                  <c:v>-73.62</c:v>
                </c:pt>
                <c:pt idx="2639">
                  <c:v>-73.61</c:v>
                </c:pt>
                <c:pt idx="2640">
                  <c:v>-73.6</c:v>
                </c:pt>
                <c:pt idx="2641">
                  <c:v>-73.59</c:v>
                </c:pt>
                <c:pt idx="2642">
                  <c:v>-73.58</c:v>
                </c:pt>
                <c:pt idx="2643">
                  <c:v>-73.57</c:v>
                </c:pt>
                <c:pt idx="2644">
                  <c:v>-73.56</c:v>
                </c:pt>
                <c:pt idx="2645">
                  <c:v>-73.55</c:v>
                </c:pt>
                <c:pt idx="2646">
                  <c:v>-73.54</c:v>
                </c:pt>
                <c:pt idx="2647">
                  <c:v>-73.53</c:v>
                </c:pt>
                <c:pt idx="2648">
                  <c:v>-73.52</c:v>
                </c:pt>
                <c:pt idx="2649">
                  <c:v>-73.51</c:v>
                </c:pt>
                <c:pt idx="2650">
                  <c:v>-73.5</c:v>
                </c:pt>
                <c:pt idx="2651">
                  <c:v>-73.49</c:v>
                </c:pt>
                <c:pt idx="2652">
                  <c:v>-73.48</c:v>
                </c:pt>
                <c:pt idx="2653">
                  <c:v>-73.47</c:v>
                </c:pt>
                <c:pt idx="2654">
                  <c:v>-73.46</c:v>
                </c:pt>
                <c:pt idx="2655">
                  <c:v>-73.45</c:v>
                </c:pt>
                <c:pt idx="2656">
                  <c:v>-73.44</c:v>
                </c:pt>
                <c:pt idx="2657">
                  <c:v>-73.43</c:v>
                </c:pt>
                <c:pt idx="2658">
                  <c:v>-73.42</c:v>
                </c:pt>
                <c:pt idx="2659">
                  <c:v>-73.41</c:v>
                </c:pt>
                <c:pt idx="2660">
                  <c:v>-73.4</c:v>
                </c:pt>
                <c:pt idx="2661">
                  <c:v>-73.39</c:v>
                </c:pt>
                <c:pt idx="2662">
                  <c:v>-73.38</c:v>
                </c:pt>
                <c:pt idx="2663">
                  <c:v>-73.37</c:v>
                </c:pt>
                <c:pt idx="2664">
                  <c:v>-73.36</c:v>
                </c:pt>
                <c:pt idx="2665">
                  <c:v>-73.35</c:v>
                </c:pt>
                <c:pt idx="2666">
                  <c:v>-73.34</c:v>
                </c:pt>
                <c:pt idx="2667">
                  <c:v>-73.33</c:v>
                </c:pt>
                <c:pt idx="2668">
                  <c:v>-73.32</c:v>
                </c:pt>
                <c:pt idx="2669">
                  <c:v>-73.31</c:v>
                </c:pt>
                <c:pt idx="2670">
                  <c:v>-73.3</c:v>
                </c:pt>
                <c:pt idx="2671">
                  <c:v>-73.29</c:v>
                </c:pt>
                <c:pt idx="2672">
                  <c:v>-73.28</c:v>
                </c:pt>
                <c:pt idx="2673">
                  <c:v>-73.27</c:v>
                </c:pt>
                <c:pt idx="2674">
                  <c:v>-73.26</c:v>
                </c:pt>
                <c:pt idx="2675">
                  <c:v>-73.25</c:v>
                </c:pt>
                <c:pt idx="2676">
                  <c:v>-73.24</c:v>
                </c:pt>
                <c:pt idx="2677">
                  <c:v>-73.23</c:v>
                </c:pt>
                <c:pt idx="2678">
                  <c:v>-73.22</c:v>
                </c:pt>
                <c:pt idx="2679">
                  <c:v>-73.21</c:v>
                </c:pt>
                <c:pt idx="2680">
                  <c:v>-73.2</c:v>
                </c:pt>
                <c:pt idx="2681">
                  <c:v>-73.19</c:v>
                </c:pt>
                <c:pt idx="2682">
                  <c:v>-73.18</c:v>
                </c:pt>
                <c:pt idx="2683">
                  <c:v>-73.17</c:v>
                </c:pt>
                <c:pt idx="2684">
                  <c:v>-73.16</c:v>
                </c:pt>
                <c:pt idx="2685">
                  <c:v>-73.15</c:v>
                </c:pt>
                <c:pt idx="2686">
                  <c:v>-73.14</c:v>
                </c:pt>
                <c:pt idx="2687">
                  <c:v>-73.13</c:v>
                </c:pt>
                <c:pt idx="2688">
                  <c:v>-73.12</c:v>
                </c:pt>
                <c:pt idx="2689">
                  <c:v>-73.11</c:v>
                </c:pt>
                <c:pt idx="2690">
                  <c:v>-73.1</c:v>
                </c:pt>
                <c:pt idx="2691">
                  <c:v>-73.09</c:v>
                </c:pt>
                <c:pt idx="2692">
                  <c:v>-73.08</c:v>
                </c:pt>
                <c:pt idx="2693">
                  <c:v>-73.07</c:v>
                </c:pt>
                <c:pt idx="2694">
                  <c:v>-73.06</c:v>
                </c:pt>
                <c:pt idx="2695">
                  <c:v>-73.05</c:v>
                </c:pt>
                <c:pt idx="2696">
                  <c:v>-73.04</c:v>
                </c:pt>
                <c:pt idx="2697">
                  <c:v>-73.03</c:v>
                </c:pt>
                <c:pt idx="2698">
                  <c:v>-73.02</c:v>
                </c:pt>
                <c:pt idx="2699">
                  <c:v>-73.01</c:v>
                </c:pt>
                <c:pt idx="2700">
                  <c:v>-73.0</c:v>
                </c:pt>
                <c:pt idx="2701">
                  <c:v>-72.99</c:v>
                </c:pt>
                <c:pt idx="2702">
                  <c:v>-72.98</c:v>
                </c:pt>
                <c:pt idx="2703">
                  <c:v>-72.97</c:v>
                </c:pt>
                <c:pt idx="2704">
                  <c:v>-72.96</c:v>
                </c:pt>
                <c:pt idx="2705">
                  <c:v>-72.95</c:v>
                </c:pt>
                <c:pt idx="2706">
                  <c:v>-72.94</c:v>
                </c:pt>
                <c:pt idx="2707">
                  <c:v>-72.93</c:v>
                </c:pt>
                <c:pt idx="2708">
                  <c:v>-72.92</c:v>
                </c:pt>
                <c:pt idx="2709">
                  <c:v>-72.91</c:v>
                </c:pt>
                <c:pt idx="2710">
                  <c:v>-72.9</c:v>
                </c:pt>
                <c:pt idx="2711">
                  <c:v>-72.89</c:v>
                </c:pt>
                <c:pt idx="2712">
                  <c:v>-72.88</c:v>
                </c:pt>
                <c:pt idx="2713">
                  <c:v>-72.87</c:v>
                </c:pt>
                <c:pt idx="2714">
                  <c:v>-72.86</c:v>
                </c:pt>
                <c:pt idx="2715">
                  <c:v>-72.85</c:v>
                </c:pt>
                <c:pt idx="2716">
                  <c:v>-72.84</c:v>
                </c:pt>
                <c:pt idx="2717">
                  <c:v>-72.83</c:v>
                </c:pt>
                <c:pt idx="2718">
                  <c:v>-72.82</c:v>
                </c:pt>
                <c:pt idx="2719">
                  <c:v>-72.81</c:v>
                </c:pt>
                <c:pt idx="2720">
                  <c:v>-72.8</c:v>
                </c:pt>
                <c:pt idx="2721">
                  <c:v>-72.79</c:v>
                </c:pt>
                <c:pt idx="2722">
                  <c:v>-72.78</c:v>
                </c:pt>
                <c:pt idx="2723">
                  <c:v>-72.77</c:v>
                </c:pt>
                <c:pt idx="2724">
                  <c:v>-72.76</c:v>
                </c:pt>
                <c:pt idx="2725">
                  <c:v>-72.75</c:v>
                </c:pt>
                <c:pt idx="2726">
                  <c:v>-72.74</c:v>
                </c:pt>
                <c:pt idx="2727">
                  <c:v>-72.73</c:v>
                </c:pt>
                <c:pt idx="2728">
                  <c:v>-72.72</c:v>
                </c:pt>
                <c:pt idx="2729">
                  <c:v>-72.71</c:v>
                </c:pt>
                <c:pt idx="2730">
                  <c:v>-72.7</c:v>
                </c:pt>
                <c:pt idx="2731">
                  <c:v>-72.69</c:v>
                </c:pt>
                <c:pt idx="2732">
                  <c:v>-72.68</c:v>
                </c:pt>
                <c:pt idx="2733">
                  <c:v>-72.67</c:v>
                </c:pt>
                <c:pt idx="2734">
                  <c:v>-72.66</c:v>
                </c:pt>
                <c:pt idx="2735">
                  <c:v>-72.65</c:v>
                </c:pt>
                <c:pt idx="2736">
                  <c:v>-72.64</c:v>
                </c:pt>
                <c:pt idx="2737">
                  <c:v>-72.63</c:v>
                </c:pt>
                <c:pt idx="2738">
                  <c:v>-72.62</c:v>
                </c:pt>
                <c:pt idx="2739">
                  <c:v>-72.61</c:v>
                </c:pt>
                <c:pt idx="2740">
                  <c:v>-72.6</c:v>
                </c:pt>
                <c:pt idx="2741">
                  <c:v>-72.59</c:v>
                </c:pt>
                <c:pt idx="2742">
                  <c:v>-72.58</c:v>
                </c:pt>
                <c:pt idx="2743">
                  <c:v>-72.57</c:v>
                </c:pt>
                <c:pt idx="2744">
                  <c:v>-72.56</c:v>
                </c:pt>
                <c:pt idx="2745">
                  <c:v>-72.55</c:v>
                </c:pt>
                <c:pt idx="2746">
                  <c:v>-72.54</c:v>
                </c:pt>
                <c:pt idx="2747">
                  <c:v>-72.53</c:v>
                </c:pt>
                <c:pt idx="2748">
                  <c:v>-72.52</c:v>
                </c:pt>
                <c:pt idx="2749">
                  <c:v>-72.51</c:v>
                </c:pt>
                <c:pt idx="2750">
                  <c:v>-72.5</c:v>
                </c:pt>
                <c:pt idx="2751">
                  <c:v>-72.49</c:v>
                </c:pt>
                <c:pt idx="2752">
                  <c:v>-72.48</c:v>
                </c:pt>
                <c:pt idx="2753">
                  <c:v>-72.47</c:v>
                </c:pt>
                <c:pt idx="2754">
                  <c:v>-72.46</c:v>
                </c:pt>
                <c:pt idx="2755">
                  <c:v>-72.45</c:v>
                </c:pt>
                <c:pt idx="2756">
                  <c:v>-72.44</c:v>
                </c:pt>
                <c:pt idx="2757">
                  <c:v>-72.43</c:v>
                </c:pt>
                <c:pt idx="2758">
                  <c:v>-72.42</c:v>
                </c:pt>
                <c:pt idx="2759">
                  <c:v>-72.41</c:v>
                </c:pt>
                <c:pt idx="2760">
                  <c:v>-72.4</c:v>
                </c:pt>
                <c:pt idx="2761">
                  <c:v>-72.39</c:v>
                </c:pt>
                <c:pt idx="2762">
                  <c:v>-72.38</c:v>
                </c:pt>
                <c:pt idx="2763">
                  <c:v>-72.37</c:v>
                </c:pt>
                <c:pt idx="2764">
                  <c:v>-72.36</c:v>
                </c:pt>
                <c:pt idx="2765">
                  <c:v>-72.35</c:v>
                </c:pt>
                <c:pt idx="2766">
                  <c:v>-72.34</c:v>
                </c:pt>
                <c:pt idx="2767">
                  <c:v>-72.33</c:v>
                </c:pt>
                <c:pt idx="2768">
                  <c:v>-72.32</c:v>
                </c:pt>
                <c:pt idx="2769">
                  <c:v>-72.31</c:v>
                </c:pt>
                <c:pt idx="2770">
                  <c:v>-72.3</c:v>
                </c:pt>
                <c:pt idx="2771">
                  <c:v>-72.29</c:v>
                </c:pt>
                <c:pt idx="2772">
                  <c:v>-72.28</c:v>
                </c:pt>
                <c:pt idx="2773">
                  <c:v>-72.27</c:v>
                </c:pt>
                <c:pt idx="2774">
                  <c:v>-72.26</c:v>
                </c:pt>
                <c:pt idx="2775">
                  <c:v>-72.25</c:v>
                </c:pt>
                <c:pt idx="2776">
                  <c:v>-72.24</c:v>
                </c:pt>
                <c:pt idx="2777">
                  <c:v>-72.23</c:v>
                </c:pt>
                <c:pt idx="2778">
                  <c:v>-72.22</c:v>
                </c:pt>
                <c:pt idx="2779">
                  <c:v>-72.21</c:v>
                </c:pt>
                <c:pt idx="2780">
                  <c:v>-72.2</c:v>
                </c:pt>
                <c:pt idx="2781">
                  <c:v>-72.19</c:v>
                </c:pt>
                <c:pt idx="2782">
                  <c:v>-72.18</c:v>
                </c:pt>
                <c:pt idx="2783">
                  <c:v>-72.17</c:v>
                </c:pt>
                <c:pt idx="2784">
                  <c:v>-72.16</c:v>
                </c:pt>
                <c:pt idx="2785">
                  <c:v>-72.15</c:v>
                </c:pt>
                <c:pt idx="2786">
                  <c:v>-72.14</c:v>
                </c:pt>
                <c:pt idx="2787">
                  <c:v>-72.13</c:v>
                </c:pt>
                <c:pt idx="2788">
                  <c:v>-72.12</c:v>
                </c:pt>
                <c:pt idx="2789">
                  <c:v>-72.11</c:v>
                </c:pt>
                <c:pt idx="2790">
                  <c:v>-72.1</c:v>
                </c:pt>
                <c:pt idx="2791">
                  <c:v>-72.09</c:v>
                </c:pt>
                <c:pt idx="2792">
                  <c:v>-72.08</c:v>
                </c:pt>
                <c:pt idx="2793">
                  <c:v>-72.07</c:v>
                </c:pt>
                <c:pt idx="2794">
                  <c:v>-72.06</c:v>
                </c:pt>
                <c:pt idx="2795">
                  <c:v>-72.05</c:v>
                </c:pt>
                <c:pt idx="2796">
                  <c:v>-72.04</c:v>
                </c:pt>
                <c:pt idx="2797">
                  <c:v>-72.03</c:v>
                </c:pt>
                <c:pt idx="2798">
                  <c:v>-72.02</c:v>
                </c:pt>
                <c:pt idx="2799">
                  <c:v>-72.01</c:v>
                </c:pt>
                <c:pt idx="2800">
                  <c:v>-72.0</c:v>
                </c:pt>
                <c:pt idx="2801">
                  <c:v>-71.99</c:v>
                </c:pt>
                <c:pt idx="2802">
                  <c:v>-71.98</c:v>
                </c:pt>
                <c:pt idx="2803">
                  <c:v>-71.97</c:v>
                </c:pt>
                <c:pt idx="2804">
                  <c:v>-71.96</c:v>
                </c:pt>
                <c:pt idx="2805">
                  <c:v>-71.95</c:v>
                </c:pt>
                <c:pt idx="2806">
                  <c:v>-71.94</c:v>
                </c:pt>
                <c:pt idx="2807">
                  <c:v>-71.93</c:v>
                </c:pt>
                <c:pt idx="2808">
                  <c:v>-71.92</c:v>
                </c:pt>
                <c:pt idx="2809">
                  <c:v>-71.91</c:v>
                </c:pt>
                <c:pt idx="2810">
                  <c:v>-71.9</c:v>
                </c:pt>
                <c:pt idx="2811">
                  <c:v>-71.89</c:v>
                </c:pt>
                <c:pt idx="2812">
                  <c:v>-71.88</c:v>
                </c:pt>
                <c:pt idx="2813">
                  <c:v>-71.87</c:v>
                </c:pt>
                <c:pt idx="2814">
                  <c:v>-71.86</c:v>
                </c:pt>
                <c:pt idx="2815">
                  <c:v>-71.85</c:v>
                </c:pt>
                <c:pt idx="2816">
                  <c:v>-71.84</c:v>
                </c:pt>
                <c:pt idx="2817">
                  <c:v>-71.83</c:v>
                </c:pt>
                <c:pt idx="2818">
                  <c:v>-71.82</c:v>
                </c:pt>
                <c:pt idx="2819">
                  <c:v>-71.81</c:v>
                </c:pt>
                <c:pt idx="2820">
                  <c:v>-71.8</c:v>
                </c:pt>
                <c:pt idx="2821">
                  <c:v>-71.79</c:v>
                </c:pt>
                <c:pt idx="2822">
                  <c:v>-71.78</c:v>
                </c:pt>
                <c:pt idx="2823">
                  <c:v>-71.77</c:v>
                </c:pt>
                <c:pt idx="2824">
                  <c:v>-71.76</c:v>
                </c:pt>
                <c:pt idx="2825">
                  <c:v>-71.75</c:v>
                </c:pt>
                <c:pt idx="2826">
                  <c:v>-71.74</c:v>
                </c:pt>
                <c:pt idx="2827">
                  <c:v>-71.73</c:v>
                </c:pt>
                <c:pt idx="2828">
                  <c:v>-71.72</c:v>
                </c:pt>
                <c:pt idx="2829">
                  <c:v>-71.71</c:v>
                </c:pt>
                <c:pt idx="2830">
                  <c:v>-71.7</c:v>
                </c:pt>
                <c:pt idx="2831">
                  <c:v>-71.69</c:v>
                </c:pt>
                <c:pt idx="2832">
                  <c:v>-71.68</c:v>
                </c:pt>
                <c:pt idx="2833">
                  <c:v>-71.67</c:v>
                </c:pt>
                <c:pt idx="2834">
                  <c:v>-71.66</c:v>
                </c:pt>
                <c:pt idx="2835">
                  <c:v>-71.65</c:v>
                </c:pt>
                <c:pt idx="2836">
                  <c:v>-71.64</c:v>
                </c:pt>
                <c:pt idx="2837">
                  <c:v>-71.63</c:v>
                </c:pt>
                <c:pt idx="2838">
                  <c:v>-71.62</c:v>
                </c:pt>
                <c:pt idx="2839">
                  <c:v>-71.61</c:v>
                </c:pt>
                <c:pt idx="2840">
                  <c:v>-71.6</c:v>
                </c:pt>
                <c:pt idx="2841">
                  <c:v>-71.59</c:v>
                </c:pt>
                <c:pt idx="2842">
                  <c:v>-71.58</c:v>
                </c:pt>
                <c:pt idx="2843">
                  <c:v>-71.57</c:v>
                </c:pt>
                <c:pt idx="2844">
                  <c:v>-71.56</c:v>
                </c:pt>
                <c:pt idx="2845">
                  <c:v>-71.55</c:v>
                </c:pt>
                <c:pt idx="2846">
                  <c:v>-71.54</c:v>
                </c:pt>
                <c:pt idx="2847">
                  <c:v>-71.53</c:v>
                </c:pt>
                <c:pt idx="2848">
                  <c:v>-71.52</c:v>
                </c:pt>
                <c:pt idx="2849">
                  <c:v>-71.51</c:v>
                </c:pt>
                <c:pt idx="2850">
                  <c:v>-71.5</c:v>
                </c:pt>
                <c:pt idx="2851">
                  <c:v>-71.49</c:v>
                </c:pt>
                <c:pt idx="2852">
                  <c:v>-71.48</c:v>
                </c:pt>
                <c:pt idx="2853">
                  <c:v>-71.47</c:v>
                </c:pt>
                <c:pt idx="2854">
                  <c:v>-71.46</c:v>
                </c:pt>
                <c:pt idx="2855">
                  <c:v>-71.45</c:v>
                </c:pt>
                <c:pt idx="2856">
                  <c:v>-71.44</c:v>
                </c:pt>
                <c:pt idx="2857">
                  <c:v>-71.43</c:v>
                </c:pt>
                <c:pt idx="2858">
                  <c:v>-71.42</c:v>
                </c:pt>
                <c:pt idx="2859">
                  <c:v>-71.41</c:v>
                </c:pt>
                <c:pt idx="2860">
                  <c:v>-71.4</c:v>
                </c:pt>
                <c:pt idx="2861">
                  <c:v>-71.39</c:v>
                </c:pt>
                <c:pt idx="2862">
                  <c:v>-71.38</c:v>
                </c:pt>
                <c:pt idx="2863">
                  <c:v>-71.37</c:v>
                </c:pt>
                <c:pt idx="2864">
                  <c:v>-71.36</c:v>
                </c:pt>
                <c:pt idx="2865">
                  <c:v>-71.35</c:v>
                </c:pt>
                <c:pt idx="2866">
                  <c:v>-71.34</c:v>
                </c:pt>
                <c:pt idx="2867">
                  <c:v>-71.33</c:v>
                </c:pt>
                <c:pt idx="2868">
                  <c:v>-71.32</c:v>
                </c:pt>
                <c:pt idx="2869">
                  <c:v>-71.31</c:v>
                </c:pt>
                <c:pt idx="2870">
                  <c:v>-71.3</c:v>
                </c:pt>
                <c:pt idx="2871">
                  <c:v>-71.29</c:v>
                </c:pt>
                <c:pt idx="2872">
                  <c:v>-71.28</c:v>
                </c:pt>
                <c:pt idx="2873">
                  <c:v>-71.27</c:v>
                </c:pt>
                <c:pt idx="2874">
                  <c:v>-71.26</c:v>
                </c:pt>
                <c:pt idx="2875">
                  <c:v>-71.25</c:v>
                </c:pt>
                <c:pt idx="2876">
                  <c:v>-71.24</c:v>
                </c:pt>
                <c:pt idx="2877">
                  <c:v>-71.23</c:v>
                </c:pt>
                <c:pt idx="2878">
                  <c:v>-71.22</c:v>
                </c:pt>
                <c:pt idx="2879">
                  <c:v>-71.21</c:v>
                </c:pt>
                <c:pt idx="2880">
                  <c:v>-71.2</c:v>
                </c:pt>
                <c:pt idx="2881">
                  <c:v>-71.19</c:v>
                </c:pt>
                <c:pt idx="2882">
                  <c:v>-71.18</c:v>
                </c:pt>
                <c:pt idx="2883">
                  <c:v>-71.17</c:v>
                </c:pt>
                <c:pt idx="2884">
                  <c:v>-71.16</c:v>
                </c:pt>
                <c:pt idx="2885">
                  <c:v>-71.15</c:v>
                </c:pt>
                <c:pt idx="2886">
                  <c:v>-71.14</c:v>
                </c:pt>
                <c:pt idx="2887">
                  <c:v>-71.13</c:v>
                </c:pt>
                <c:pt idx="2888">
                  <c:v>-71.12</c:v>
                </c:pt>
                <c:pt idx="2889">
                  <c:v>-71.11</c:v>
                </c:pt>
                <c:pt idx="2890">
                  <c:v>-71.1</c:v>
                </c:pt>
                <c:pt idx="2891">
                  <c:v>-71.09</c:v>
                </c:pt>
                <c:pt idx="2892">
                  <c:v>-71.08</c:v>
                </c:pt>
                <c:pt idx="2893">
                  <c:v>-71.07</c:v>
                </c:pt>
                <c:pt idx="2894">
                  <c:v>-71.06</c:v>
                </c:pt>
                <c:pt idx="2895">
                  <c:v>-71.05</c:v>
                </c:pt>
                <c:pt idx="2896">
                  <c:v>-71.04</c:v>
                </c:pt>
                <c:pt idx="2897">
                  <c:v>-71.03</c:v>
                </c:pt>
                <c:pt idx="2898">
                  <c:v>-71.02</c:v>
                </c:pt>
                <c:pt idx="2899">
                  <c:v>-71.01</c:v>
                </c:pt>
                <c:pt idx="2900">
                  <c:v>-71.0</c:v>
                </c:pt>
                <c:pt idx="2901">
                  <c:v>-70.99</c:v>
                </c:pt>
                <c:pt idx="2902">
                  <c:v>-70.98</c:v>
                </c:pt>
                <c:pt idx="2903">
                  <c:v>-70.97</c:v>
                </c:pt>
                <c:pt idx="2904">
                  <c:v>-70.96</c:v>
                </c:pt>
                <c:pt idx="2905">
                  <c:v>-70.95</c:v>
                </c:pt>
                <c:pt idx="2906">
                  <c:v>-70.94</c:v>
                </c:pt>
                <c:pt idx="2907">
                  <c:v>-70.93</c:v>
                </c:pt>
                <c:pt idx="2908">
                  <c:v>-70.92</c:v>
                </c:pt>
                <c:pt idx="2909">
                  <c:v>-70.91</c:v>
                </c:pt>
                <c:pt idx="2910">
                  <c:v>-70.9</c:v>
                </c:pt>
                <c:pt idx="2911">
                  <c:v>-70.89</c:v>
                </c:pt>
                <c:pt idx="2912">
                  <c:v>-70.88</c:v>
                </c:pt>
                <c:pt idx="2913">
                  <c:v>-70.87</c:v>
                </c:pt>
                <c:pt idx="2914">
                  <c:v>-70.86</c:v>
                </c:pt>
                <c:pt idx="2915">
                  <c:v>-70.85</c:v>
                </c:pt>
                <c:pt idx="2916">
                  <c:v>-70.84</c:v>
                </c:pt>
                <c:pt idx="2917">
                  <c:v>-70.83</c:v>
                </c:pt>
                <c:pt idx="2918">
                  <c:v>-70.82</c:v>
                </c:pt>
                <c:pt idx="2919">
                  <c:v>-70.81</c:v>
                </c:pt>
                <c:pt idx="2920">
                  <c:v>-70.8</c:v>
                </c:pt>
                <c:pt idx="2921">
                  <c:v>-70.79</c:v>
                </c:pt>
                <c:pt idx="2922">
                  <c:v>-70.78</c:v>
                </c:pt>
                <c:pt idx="2923">
                  <c:v>-70.77</c:v>
                </c:pt>
                <c:pt idx="2924">
                  <c:v>-70.76</c:v>
                </c:pt>
                <c:pt idx="2925">
                  <c:v>-70.75</c:v>
                </c:pt>
                <c:pt idx="2926">
                  <c:v>-70.74</c:v>
                </c:pt>
                <c:pt idx="2927">
                  <c:v>-70.73</c:v>
                </c:pt>
                <c:pt idx="2928">
                  <c:v>-70.72</c:v>
                </c:pt>
                <c:pt idx="2929">
                  <c:v>-70.71</c:v>
                </c:pt>
                <c:pt idx="2930">
                  <c:v>-70.7</c:v>
                </c:pt>
                <c:pt idx="2931">
                  <c:v>-70.69</c:v>
                </c:pt>
                <c:pt idx="2932">
                  <c:v>-70.68</c:v>
                </c:pt>
                <c:pt idx="2933">
                  <c:v>-70.67</c:v>
                </c:pt>
                <c:pt idx="2934">
                  <c:v>-70.66</c:v>
                </c:pt>
                <c:pt idx="2935">
                  <c:v>-70.65</c:v>
                </c:pt>
                <c:pt idx="2936">
                  <c:v>-70.64</c:v>
                </c:pt>
                <c:pt idx="2937">
                  <c:v>-70.63</c:v>
                </c:pt>
                <c:pt idx="2938">
                  <c:v>-70.62</c:v>
                </c:pt>
                <c:pt idx="2939">
                  <c:v>-70.61</c:v>
                </c:pt>
                <c:pt idx="2940">
                  <c:v>-70.6</c:v>
                </c:pt>
                <c:pt idx="2941">
                  <c:v>-70.59</c:v>
                </c:pt>
                <c:pt idx="2942">
                  <c:v>-70.58</c:v>
                </c:pt>
                <c:pt idx="2943">
                  <c:v>-70.57</c:v>
                </c:pt>
                <c:pt idx="2944">
                  <c:v>-70.56</c:v>
                </c:pt>
                <c:pt idx="2945">
                  <c:v>-70.55</c:v>
                </c:pt>
                <c:pt idx="2946">
                  <c:v>-70.54</c:v>
                </c:pt>
                <c:pt idx="2947">
                  <c:v>-70.53</c:v>
                </c:pt>
                <c:pt idx="2948">
                  <c:v>-70.52</c:v>
                </c:pt>
                <c:pt idx="2949">
                  <c:v>-70.51</c:v>
                </c:pt>
                <c:pt idx="2950">
                  <c:v>-70.5</c:v>
                </c:pt>
                <c:pt idx="2951">
                  <c:v>-70.49</c:v>
                </c:pt>
                <c:pt idx="2952">
                  <c:v>-70.48</c:v>
                </c:pt>
                <c:pt idx="2953">
                  <c:v>-70.47</c:v>
                </c:pt>
                <c:pt idx="2954">
                  <c:v>-70.46</c:v>
                </c:pt>
                <c:pt idx="2955">
                  <c:v>-70.45</c:v>
                </c:pt>
                <c:pt idx="2956">
                  <c:v>-70.44</c:v>
                </c:pt>
                <c:pt idx="2957">
                  <c:v>-70.43</c:v>
                </c:pt>
                <c:pt idx="2958">
                  <c:v>-70.42</c:v>
                </c:pt>
                <c:pt idx="2959">
                  <c:v>-70.41</c:v>
                </c:pt>
                <c:pt idx="2960">
                  <c:v>-70.4</c:v>
                </c:pt>
                <c:pt idx="2961">
                  <c:v>-70.39</c:v>
                </c:pt>
                <c:pt idx="2962">
                  <c:v>-70.38</c:v>
                </c:pt>
                <c:pt idx="2963">
                  <c:v>-70.37</c:v>
                </c:pt>
                <c:pt idx="2964">
                  <c:v>-70.36</c:v>
                </c:pt>
                <c:pt idx="2965">
                  <c:v>-70.35</c:v>
                </c:pt>
                <c:pt idx="2966">
                  <c:v>-70.34</c:v>
                </c:pt>
                <c:pt idx="2967">
                  <c:v>-70.33</c:v>
                </c:pt>
                <c:pt idx="2968">
                  <c:v>-70.32</c:v>
                </c:pt>
                <c:pt idx="2969">
                  <c:v>-70.31</c:v>
                </c:pt>
                <c:pt idx="2970">
                  <c:v>-70.3</c:v>
                </c:pt>
                <c:pt idx="2971">
                  <c:v>-70.29</c:v>
                </c:pt>
                <c:pt idx="2972">
                  <c:v>-70.28</c:v>
                </c:pt>
                <c:pt idx="2973">
                  <c:v>-70.27</c:v>
                </c:pt>
                <c:pt idx="2974">
                  <c:v>-70.26</c:v>
                </c:pt>
                <c:pt idx="2975">
                  <c:v>-70.25</c:v>
                </c:pt>
                <c:pt idx="2976">
                  <c:v>-70.24</c:v>
                </c:pt>
                <c:pt idx="2977">
                  <c:v>-70.23</c:v>
                </c:pt>
                <c:pt idx="2978">
                  <c:v>-70.22</c:v>
                </c:pt>
                <c:pt idx="2979">
                  <c:v>-70.21</c:v>
                </c:pt>
                <c:pt idx="2980">
                  <c:v>-70.2</c:v>
                </c:pt>
                <c:pt idx="2981">
                  <c:v>-70.19</c:v>
                </c:pt>
                <c:pt idx="2982">
                  <c:v>-70.18</c:v>
                </c:pt>
                <c:pt idx="2983">
                  <c:v>-70.17</c:v>
                </c:pt>
                <c:pt idx="2984">
                  <c:v>-70.16</c:v>
                </c:pt>
                <c:pt idx="2985">
                  <c:v>-70.15</c:v>
                </c:pt>
                <c:pt idx="2986">
                  <c:v>-70.14</c:v>
                </c:pt>
                <c:pt idx="2987">
                  <c:v>-70.13</c:v>
                </c:pt>
                <c:pt idx="2988">
                  <c:v>-70.12</c:v>
                </c:pt>
                <c:pt idx="2989">
                  <c:v>-70.11</c:v>
                </c:pt>
                <c:pt idx="2990">
                  <c:v>-70.1</c:v>
                </c:pt>
                <c:pt idx="2991">
                  <c:v>-70.09</c:v>
                </c:pt>
                <c:pt idx="2992">
                  <c:v>-70.08</c:v>
                </c:pt>
                <c:pt idx="2993">
                  <c:v>-70.07</c:v>
                </c:pt>
                <c:pt idx="2994">
                  <c:v>-70.06</c:v>
                </c:pt>
                <c:pt idx="2995">
                  <c:v>-70.05</c:v>
                </c:pt>
                <c:pt idx="2996">
                  <c:v>-70.04</c:v>
                </c:pt>
                <c:pt idx="2997">
                  <c:v>-70.03</c:v>
                </c:pt>
                <c:pt idx="2998">
                  <c:v>-70.02</c:v>
                </c:pt>
                <c:pt idx="2999">
                  <c:v>-70.01</c:v>
                </c:pt>
                <c:pt idx="3000">
                  <c:v>-70.0</c:v>
                </c:pt>
                <c:pt idx="3001">
                  <c:v>-69.99</c:v>
                </c:pt>
                <c:pt idx="3002">
                  <c:v>-69.98</c:v>
                </c:pt>
                <c:pt idx="3003">
                  <c:v>-69.97</c:v>
                </c:pt>
                <c:pt idx="3004">
                  <c:v>-69.96</c:v>
                </c:pt>
                <c:pt idx="3005">
                  <c:v>-69.95</c:v>
                </c:pt>
                <c:pt idx="3006">
                  <c:v>-69.94</c:v>
                </c:pt>
                <c:pt idx="3007">
                  <c:v>-69.93</c:v>
                </c:pt>
                <c:pt idx="3008">
                  <c:v>-69.92</c:v>
                </c:pt>
                <c:pt idx="3009">
                  <c:v>-69.91</c:v>
                </c:pt>
                <c:pt idx="3010">
                  <c:v>-69.9</c:v>
                </c:pt>
                <c:pt idx="3011">
                  <c:v>-69.89</c:v>
                </c:pt>
                <c:pt idx="3012">
                  <c:v>-69.88</c:v>
                </c:pt>
                <c:pt idx="3013">
                  <c:v>-69.87</c:v>
                </c:pt>
                <c:pt idx="3014">
                  <c:v>-69.86</c:v>
                </c:pt>
                <c:pt idx="3015">
                  <c:v>-69.85</c:v>
                </c:pt>
                <c:pt idx="3016">
                  <c:v>-69.84</c:v>
                </c:pt>
                <c:pt idx="3017">
                  <c:v>-69.83</c:v>
                </c:pt>
                <c:pt idx="3018">
                  <c:v>-69.82</c:v>
                </c:pt>
                <c:pt idx="3019">
                  <c:v>-69.81</c:v>
                </c:pt>
                <c:pt idx="3020">
                  <c:v>-69.8</c:v>
                </c:pt>
                <c:pt idx="3021">
                  <c:v>-69.79</c:v>
                </c:pt>
                <c:pt idx="3022">
                  <c:v>-69.78</c:v>
                </c:pt>
                <c:pt idx="3023">
                  <c:v>-69.77</c:v>
                </c:pt>
                <c:pt idx="3024">
                  <c:v>-69.76</c:v>
                </c:pt>
                <c:pt idx="3025">
                  <c:v>-69.75</c:v>
                </c:pt>
                <c:pt idx="3026">
                  <c:v>-69.74</c:v>
                </c:pt>
                <c:pt idx="3027">
                  <c:v>-69.73</c:v>
                </c:pt>
                <c:pt idx="3028">
                  <c:v>-69.72</c:v>
                </c:pt>
                <c:pt idx="3029">
                  <c:v>-69.71</c:v>
                </c:pt>
                <c:pt idx="3030">
                  <c:v>-69.7</c:v>
                </c:pt>
                <c:pt idx="3031">
                  <c:v>-69.69</c:v>
                </c:pt>
                <c:pt idx="3032">
                  <c:v>-69.68</c:v>
                </c:pt>
                <c:pt idx="3033">
                  <c:v>-69.67</c:v>
                </c:pt>
                <c:pt idx="3034">
                  <c:v>-69.66</c:v>
                </c:pt>
                <c:pt idx="3035">
                  <c:v>-69.65</c:v>
                </c:pt>
                <c:pt idx="3036">
                  <c:v>-69.64</c:v>
                </c:pt>
                <c:pt idx="3037">
                  <c:v>-69.63</c:v>
                </c:pt>
                <c:pt idx="3038">
                  <c:v>-69.62</c:v>
                </c:pt>
                <c:pt idx="3039">
                  <c:v>-69.61</c:v>
                </c:pt>
                <c:pt idx="3040">
                  <c:v>-69.6</c:v>
                </c:pt>
                <c:pt idx="3041">
                  <c:v>-69.59</c:v>
                </c:pt>
                <c:pt idx="3042">
                  <c:v>-69.58</c:v>
                </c:pt>
                <c:pt idx="3043">
                  <c:v>-69.57</c:v>
                </c:pt>
                <c:pt idx="3044">
                  <c:v>-69.56</c:v>
                </c:pt>
                <c:pt idx="3045">
                  <c:v>-69.55</c:v>
                </c:pt>
                <c:pt idx="3046">
                  <c:v>-69.54</c:v>
                </c:pt>
                <c:pt idx="3047">
                  <c:v>-69.53</c:v>
                </c:pt>
                <c:pt idx="3048">
                  <c:v>-69.52</c:v>
                </c:pt>
                <c:pt idx="3049">
                  <c:v>-69.51</c:v>
                </c:pt>
                <c:pt idx="3050">
                  <c:v>-69.5</c:v>
                </c:pt>
                <c:pt idx="3051">
                  <c:v>-69.49</c:v>
                </c:pt>
                <c:pt idx="3052">
                  <c:v>-69.48</c:v>
                </c:pt>
                <c:pt idx="3053">
                  <c:v>-69.47</c:v>
                </c:pt>
                <c:pt idx="3054">
                  <c:v>-69.46</c:v>
                </c:pt>
                <c:pt idx="3055">
                  <c:v>-69.45</c:v>
                </c:pt>
                <c:pt idx="3056">
                  <c:v>-69.44</c:v>
                </c:pt>
                <c:pt idx="3057">
                  <c:v>-69.43</c:v>
                </c:pt>
                <c:pt idx="3058">
                  <c:v>-69.42</c:v>
                </c:pt>
                <c:pt idx="3059">
                  <c:v>-69.41</c:v>
                </c:pt>
                <c:pt idx="3060">
                  <c:v>-69.4</c:v>
                </c:pt>
                <c:pt idx="3061">
                  <c:v>-69.39</c:v>
                </c:pt>
                <c:pt idx="3062">
                  <c:v>-69.38</c:v>
                </c:pt>
                <c:pt idx="3063">
                  <c:v>-69.37</c:v>
                </c:pt>
                <c:pt idx="3064">
                  <c:v>-69.36</c:v>
                </c:pt>
                <c:pt idx="3065">
                  <c:v>-69.35</c:v>
                </c:pt>
                <c:pt idx="3066">
                  <c:v>-69.34</c:v>
                </c:pt>
                <c:pt idx="3067">
                  <c:v>-69.33</c:v>
                </c:pt>
                <c:pt idx="3068">
                  <c:v>-69.32</c:v>
                </c:pt>
                <c:pt idx="3069">
                  <c:v>-69.31</c:v>
                </c:pt>
                <c:pt idx="3070">
                  <c:v>-69.3</c:v>
                </c:pt>
                <c:pt idx="3071">
                  <c:v>-69.29</c:v>
                </c:pt>
                <c:pt idx="3072">
                  <c:v>-69.28</c:v>
                </c:pt>
                <c:pt idx="3073">
                  <c:v>-69.27</c:v>
                </c:pt>
                <c:pt idx="3074">
                  <c:v>-69.26</c:v>
                </c:pt>
                <c:pt idx="3075">
                  <c:v>-69.25</c:v>
                </c:pt>
                <c:pt idx="3076">
                  <c:v>-69.24</c:v>
                </c:pt>
                <c:pt idx="3077">
                  <c:v>-69.23</c:v>
                </c:pt>
                <c:pt idx="3078">
                  <c:v>-69.22</c:v>
                </c:pt>
                <c:pt idx="3079">
                  <c:v>-69.21</c:v>
                </c:pt>
                <c:pt idx="3080">
                  <c:v>-69.2</c:v>
                </c:pt>
                <c:pt idx="3081">
                  <c:v>-69.19</c:v>
                </c:pt>
                <c:pt idx="3082">
                  <c:v>-69.18</c:v>
                </c:pt>
                <c:pt idx="3083">
                  <c:v>-69.17</c:v>
                </c:pt>
                <c:pt idx="3084">
                  <c:v>-69.16</c:v>
                </c:pt>
                <c:pt idx="3085">
                  <c:v>-69.15</c:v>
                </c:pt>
                <c:pt idx="3086">
                  <c:v>-69.14</c:v>
                </c:pt>
                <c:pt idx="3087">
                  <c:v>-69.13</c:v>
                </c:pt>
                <c:pt idx="3088">
                  <c:v>-69.12</c:v>
                </c:pt>
                <c:pt idx="3089">
                  <c:v>-69.11</c:v>
                </c:pt>
                <c:pt idx="3090">
                  <c:v>-69.1</c:v>
                </c:pt>
                <c:pt idx="3091">
                  <c:v>-69.09</c:v>
                </c:pt>
                <c:pt idx="3092">
                  <c:v>-69.08</c:v>
                </c:pt>
                <c:pt idx="3093">
                  <c:v>-69.07</c:v>
                </c:pt>
                <c:pt idx="3094">
                  <c:v>-69.06</c:v>
                </c:pt>
                <c:pt idx="3095">
                  <c:v>-69.05</c:v>
                </c:pt>
                <c:pt idx="3096">
                  <c:v>-69.04</c:v>
                </c:pt>
                <c:pt idx="3097">
                  <c:v>-69.03</c:v>
                </c:pt>
                <c:pt idx="3098">
                  <c:v>-69.02</c:v>
                </c:pt>
                <c:pt idx="3099">
                  <c:v>-69.01</c:v>
                </c:pt>
                <c:pt idx="3100">
                  <c:v>-69.0</c:v>
                </c:pt>
                <c:pt idx="3101">
                  <c:v>-68.99</c:v>
                </c:pt>
                <c:pt idx="3102">
                  <c:v>-68.98</c:v>
                </c:pt>
                <c:pt idx="3103">
                  <c:v>-68.97</c:v>
                </c:pt>
                <c:pt idx="3104">
                  <c:v>-68.96</c:v>
                </c:pt>
                <c:pt idx="3105">
                  <c:v>-68.95</c:v>
                </c:pt>
                <c:pt idx="3106">
                  <c:v>-68.94</c:v>
                </c:pt>
                <c:pt idx="3107">
                  <c:v>-68.93</c:v>
                </c:pt>
                <c:pt idx="3108">
                  <c:v>-68.92</c:v>
                </c:pt>
                <c:pt idx="3109">
                  <c:v>-68.91</c:v>
                </c:pt>
                <c:pt idx="3110">
                  <c:v>-68.9</c:v>
                </c:pt>
                <c:pt idx="3111">
                  <c:v>-68.89</c:v>
                </c:pt>
                <c:pt idx="3112">
                  <c:v>-68.88</c:v>
                </c:pt>
                <c:pt idx="3113">
                  <c:v>-68.87</c:v>
                </c:pt>
                <c:pt idx="3114">
                  <c:v>-68.86</c:v>
                </c:pt>
                <c:pt idx="3115">
                  <c:v>-68.85</c:v>
                </c:pt>
                <c:pt idx="3116">
                  <c:v>-68.84</c:v>
                </c:pt>
                <c:pt idx="3117">
                  <c:v>-68.83</c:v>
                </c:pt>
                <c:pt idx="3118">
                  <c:v>-68.82</c:v>
                </c:pt>
                <c:pt idx="3119">
                  <c:v>-68.81</c:v>
                </c:pt>
                <c:pt idx="3120">
                  <c:v>-68.8</c:v>
                </c:pt>
                <c:pt idx="3121">
                  <c:v>-68.79</c:v>
                </c:pt>
                <c:pt idx="3122">
                  <c:v>-68.78</c:v>
                </c:pt>
                <c:pt idx="3123">
                  <c:v>-68.77</c:v>
                </c:pt>
                <c:pt idx="3124">
                  <c:v>-68.76</c:v>
                </c:pt>
                <c:pt idx="3125">
                  <c:v>-68.75</c:v>
                </c:pt>
                <c:pt idx="3126">
                  <c:v>-68.74</c:v>
                </c:pt>
                <c:pt idx="3127">
                  <c:v>-68.73</c:v>
                </c:pt>
                <c:pt idx="3128">
                  <c:v>-68.72</c:v>
                </c:pt>
                <c:pt idx="3129">
                  <c:v>-68.71</c:v>
                </c:pt>
                <c:pt idx="3130">
                  <c:v>-68.7</c:v>
                </c:pt>
                <c:pt idx="3131">
                  <c:v>-68.69</c:v>
                </c:pt>
                <c:pt idx="3132">
                  <c:v>-68.68</c:v>
                </c:pt>
                <c:pt idx="3133">
                  <c:v>-68.67</c:v>
                </c:pt>
                <c:pt idx="3134">
                  <c:v>-68.66</c:v>
                </c:pt>
                <c:pt idx="3135">
                  <c:v>-68.65</c:v>
                </c:pt>
                <c:pt idx="3136">
                  <c:v>-68.64</c:v>
                </c:pt>
                <c:pt idx="3137">
                  <c:v>-68.63</c:v>
                </c:pt>
                <c:pt idx="3138">
                  <c:v>-68.62</c:v>
                </c:pt>
                <c:pt idx="3139">
                  <c:v>-68.61</c:v>
                </c:pt>
                <c:pt idx="3140">
                  <c:v>-68.6</c:v>
                </c:pt>
                <c:pt idx="3141">
                  <c:v>-68.59</c:v>
                </c:pt>
                <c:pt idx="3142">
                  <c:v>-68.58</c:v>
                </c:pt>
                <c:pt idx="3143">
                  <c:v>-68.57</c:v>
                </c:pt>
                <c:pt idx="3144">
                  <c:v>-68.56</c:v>
                </c:pt>
                <c:pt idx="3145">
                  <c:v>-68.55</c:v>
                </c:pt>
                <c:pt idx="3146">
                  <c:v>-68.54</c:v>
                </c:pt>
                <c:pt idx="3147">
                  <c:v>-68.53</c:v>
                </c:pt>
                <c:pt idx="3148">
                  <c:v>-68.52</c:v>
                </c:pt>
                <c:pt idx="3149">
                  <c:v>-68.51</c:v>
                </c:pt>
                <c:pt idx="3150">
                  <c:v>-68.5</c:v>
                </c:pt>
                <c:pt idx="3151">
                  <c:v>-68.49</c:v>
                </c:pt>
                <c:pt idx="3152">
                  <c:v>-68.48</c:v>
                </c:pt>
                <c:pt idx="3153">
                  <c:v>-68.47</c:v>
                </c:pt>
                <c:pt idx="3154">
                  <c:v>-68.46</c:v>
                </c:pt>
                <c:pt idx="3155">
                  <c:v>-68.45</c:v>
                </c:pt>
                <c:pt idx="3156">
                  <c:v>-68.44</c:v>
                </c:pt>
                <c:pt idx="3157">
                  <c:v>-68.43</c:v>
                </c:pt>
                <c:pt idx="3158">
                  <c:v>-68.42</c:v>
                </c:pt>
                <c:pt idx="3159">
                  <c:v>-68.41</c:v>
                </c:pt>
                <c:pt idx="3160">
                  <c:v>-68.4</c:v>
                </c:pt>
                <c:pt idx="3161">
                  <c:v>-68.39</c:v>
                </c:pt>
                <c:pt idx="3162">
                  <c:v>-68.38</c:v>
                </c:pt>
                <c:pt idx="3163">
                  <c:v>-68.37</c:v>
                </c:pt>
                <c:pt idx="3164">
                  <c:v>-68.36</c:v>
                </c:pt>
                <c:pt idx="3165">
                  <c:v>-68.35</c:v>
                </c:pt>
                <c:pt idx="3166">
                  <c:v>-68.34</c:v>
                </c:pt>
                <c:pt idx="3167">
                  <c:v>-68.33</c:v>
                </c:pt>
                <c:pt idx="3168">
                  <c:v>-68.32</c:v>
                </c:pt>
                <c:pt idx="3169">
                  <c:v>-68.31</c:v>
                </c:pt>
                <c:pt idx="3170">
                  <c:v>-68.3</c:v>
                </c:pt>
                <c:pt idx="3171">
                  <c:v>-68.29</c:v>
                </c:pt>
                <c:pt idx="3172">
                  <c:v>-68.28</c:v>
                </c:pt>
                <c:pt idx="3173">
                  <c:v>-68.27</c:v>
                </c:pt>
                <c:pt idx="3174">
                  <c:v>-68.26</c:v>
                </c:pt>
                <c:pt idx="3175">
                  <c:v>-68.25</c:v>
                </c:pt>
                <c:pt idx="3176">
                  <c:v>-68.24</c:v>
                </c:pt>
                <c:pt idx="3177">
                  <c:v>-68.23</c:v>
                </c:pt>
                <c:pt idx="3178">
                  <c:v>-68.22</c:v>
                </c:pt>
                <c:pt idx="3179">
                  <c:v>-68.21</c:v>
                </c:pt>
                <c:pt idx="3180">
                  <c:v>-68.2</c:v>
                </c:pt>
                <c:pt idx="3181">
                  <c:v>-68.19</c:v>
                </c:pt>
                <c:pt idx="3182">
                  <c:v>-68.18</c:v>
                </c:pt>
                <c:pt idx="3183">
                  <c:v>-68.17</c:v>
                </c:pt>
                <c:pt idx="3184">
                  <c:v>-68.16</c:v>
                </c:pt>
                <c:pt idx="3185">
                  <c:v>-68.15</c:v>
                </c:pt>
                <c:pt idx="3186">
                  <c:v>-68.14</c:v>
                </c:pt>
                <c:pt idx="3187">
                  <c:v>-68.13</c:v>
                </c:pt>
                <c:pt idx="3188">
                  <c:v>-68.12</c:v>
                </c:pt>
                <c:pt idx="3189">
                  <c:v>-68.11</c:v>
                </c:pt>
                <c:pt idx="3190">
                  <c:v>-68.1</c:v>
                </c:pt>
                <c:pt idx="3191">
                  <c:v>-68.09</c:v>
                </c:pt>
                <c:pt idx="3192">
                  <c:v>-68.08</c:v>
                </c:pt>
                <c:pt idx="3193">
                  <c:v>-68.07</c:v>
                </c:pt>
                <c:pt idx="3194">
                  <c:v>-68.06</c:v>
                </c:pt>
                <c:pt idx="3195">
                  <c:v>-68.05</c:v>
                </c:pt>
                <c:pt idx="3196">
                  <c:v>-68.04</c:v>
                </c:pt>
                <c:pt idx="3197">
                  <c:v>-68.03</c:v>
                </c:pt>
                <c:pt idx="3198">
                  <c:v>-68.02</c:v>
                </c:pt>
                <c:pt idx="3199">
                  <c:v>-68.01</c:v>
                </c:pt>
                <c:pt idx="3200">
                  <c:v>-68.0</c:v>
                </c:pt>
                <c:pt idx="3201">
                  <c:v>-67.99</c:v>
                </c:pt>
                <c:pt idx="3202">
                  <c:v>-67.98</c:v>
                </c:pt>
                <c:pt idx="3203">
                  <c:v>-67.97</c:v>
                </c:pt>
                <c:pt idx="3204">
                  <c:v>-67.96</c:v>
                </c:pt>
                <c:pt idx="3205">
                  <c:v>-67.95</c:v>
                </c:pt>
                <c:pt idx="3206">
                  <c:v>-67.94</c:v>
                </c:pt>
                <c:pt idx="3207">
                  <c:v>-67.93</c:v>
                </c:pt>
                <c:pt idx="3208">
                  <c:v>-67.92</c:v>
                </c:pt>
                <c:pt idx="3209">
                  <c:v>-67.91</c:v>
                </c:pt>
                <c:pt idx="3210">
                  <c:v>-67.9</c:v>
                </c:pt>
                <c:pt idx="3211">
                  <c:v>-67.89</c:v>
                </c:pt>
                <c:pt idx="3212">
                  <c:v>-67.88</c:v>
                </c:pt>
                <c:pt idx="3213">
                  <c:v>-67.87</c:v>
                </c:pt>
                <c:pt idx="3214">
                  <c:v>-67.86</c:v>
                </c:pt>
                <c:pt idx="3215">
                  <c:v>-67.85</c:v>
                </c:pt>
                <c:pt idx="3216">
                  <c:v>-67.84</c:v>
                </c:pt>
                <c:pt idx="3217">
                  <c:v>-67.83</c:v>
                </c:pt>
                <c:pt idx="3218">
                  <c:v>-67.82</c:v>
                </c:pt>
                <c:pt idx="3219">
                  <c:v>-67.81</c:v>
                </c:pt>
                <c:pt idx="3220">
                  <c:v>-67.8</c:v>
                </c:pt>
                <c:pt idx="3221">
                  <c:v>-67.79</c:v>
                </c:pt>
                <c:pt idx="3222">
                  <c:v>-67.78</c:v>
                </c:pt>
                <c:pt idx="3223">
                  <c:v>-67.77</c:v>
                </c:pt>
                <c:pt idx="3224">
                  <c:v>-67.76</c:v>
                </c:pt>
                <c:pt idx="3225">
                  <c:v>-67.75</c:v>
                </c:pt>
                <c:pt idx="3226">
                  <c:v>-67.74</c:v>
                </c:pt>
                <c:pt idx="3227">
                  <c:v>-67.73</c:v>
                </c:pt>
                <c:pt idx="3228">
                  <c:v>-67.72</c:v>
                </c:pt>
                <c:pt idx="3229">
                  <c:v>-67.71</c:v>
                </c:pt>
                <c:pt idx="3230">
                  <c:v>-67.7</c:v>
                </c:pt>
                <c:pt idx="3231">
                  <c:v>-67.69</c:v>
                </c:pt>
                <c:pt idx="3232">
                  <c:v>-67.68</c:v>
                </c:pt>
                <c:pt idx="3233">
                  <c:v>-67.67</c:v>
                </c:pt>
                <c:pt idx="3234">
                  <c:v>-67.66</c:v>
                </c:pt>
                <c:pt idx="3235">
                  <c:v>-67.65</c:v>
                </c:pt>
                <c:pt idx="3236">
                  <c:v>-67.64</c:v>
                </c:pt>
                <c:pt idx="3237">
                  <c:v>-67.63</c:v>
                </c:pt>
                <c:pt idx="3238">
                  <c:v>-67.62</c:v>
                </c:pt>
                <c:pt idx="3239">
                  <c:v>-67.61</c:v>
                </c:pt>
                <c:pt idx="3240">
                  <c:v>-67.6</c:v>
                </c:pt>
                <c:pt idx="3241">
                  <c:v>-67.59</c:v>
                </c:pt>
                <c:pt idx="3242">
                  <c:v>-67.58</c:v>
                </c:pt>
                <c:pt idx="3243">
                  <c:v>-67.57</c:v>
                </c:pt>
                <c:pt idx="3244">
                  <c:v>-67.56</c:v>
                </c:pt>
                <c:pt idx="3245">
                  <c:v>-67.55</c:v>
                </c:pt>
                <c:pt idx="3246">
                  <c:v>-67.54</c:v>
                </c:pt>
                <c:pt idx="3247">
                  <c:v>-67.53</c:v>
                </c:pt>
                <c:pt idx="3248">
                  <c:v>-67.52</c:v>
                </c:pt>
                <c:pt idx="3249">
                  <c:v>-67.51</c:v>
                </c:pt>
                <c:pt idx="3250">
                  <c:v>-67.5</c:v>
                </c:pt>
                <c:pt idx="3251">
                  <c:v>-67.49</c:v>
                </c:pt>
                <c:pt idx="3252">
                  <c:v>-67.48</c:v>
                </c:pt>
                <c:pt idx="3253">
                  <c:v>-67.47</c:v>
                </c:pt>
                <c:pt idx="3254">
                  <c:v>-67.46</c:v>
                </c:pt>
                <c:pt idx="3255">
                  <c:v>-67.45</c:v>
                </c:pt>
                <c:pt idx="3256">
                  <c:v>-67.44</c:v>
                </c:pt>
                <c:pt idx="3257">
                  <c:v>-67.43</c:v>
                </c:pt>
                <c:pt idx="3258">
                  <c:v>-67.42</c:v>
                </c:pt>
                <c:pt idx="3259">
                  <c:v>-67.41</c:v>
                </c:pt>
                <c:pt idx="3260">
                  <c:v>-67.4</c:v>
                </c:pt>
                <c:pt idx="3261">
                  <c:v>-67.39</c:v>
                </c:pt>
                <c:pt idx="3262">
                  <c:v>-67.38</c:v>
                </c:pt>
                <c:pt idx="3263">
                  <c:v>-67.37</c:v>
                </c:pt>
                <c:pt idx="3264">
                  <c:v>-67.36</c:v>
                </c:pt>
                <c:pt idx="3265">
                  <c:v>-67.35</c:v>
                </c:pt>
                <c:pt idx="3266">
                  <c:v>-67.34</c:v>
                </c:pt>
                <c:pt idx="3267">
                  <c:v>-67.33</c:v>
                </c:pt>
                <c:pt idx="3268">
                  <c:v>-67.32</c:v>
                </c:pt>
                <c:pt idx="3269">
                  <c:v>-67.31</c:v>
                </c:pt>
                <c:pt idx="3270">
                  <c:v>-67.3</c:v>
                </c:pt>
                <c:pt idx="3271">
                  <c:v>-67.29</c:v>
                </c:pt>
                <c:pt idx="3272">
                  <c:v>-67.28</c:v>
                </c:pt>
                <c:pt idx="3273">
                  <c:v>-67.27</c:v>
                </c:pt>
                <c:pt idx="3274">
                  <c:v>-67.26</c:v>
                </c:pt>
                <c:pt idx="3275">
                  <c:v>-67.25</c:v>
                </c:pt>
                <c:pt idx="3276">
                  <c:v>-67.24</c:v>
                </c:pt>
                <c:pt idx="3277">
                  <c:v>-67.23</c:v>
                </c:pt>
                <c:pt idx="3278">
                  <c:v>-67.22</c:v>
                </c:pt>
                <c:pt idx="3279">
                  <c:v>-67.21</c:v>
                </c:pt>
                <c:pt idx="3280">
                  <c:v>-67.2</c:v>
                </c:pt>
                <c:pt idx="3281">
                  <c:v>-67.19</c:v>
                </c:pt>
                <c:pt idx="3282">
                  <c:v>-67.18</c:v>
                </c:pt>
                <c:pt idx="3283">
                  <c:v>-67.17</c:v>
                </c:pt>
                <c:pt idx="3284">
                  <c:v>-67.16</c:v>
                </c:pt>
                <c:pt idx="3285">
                  <c:v>-67.15</c:v>
                </c:pt>
                <c:pt idx="3286">
                  <c:v>-67.14</c:v>
                </c:pt>
                <c:pt idx="3287">
                  <c:v>-67.13</c:v>
                </c:pt>
                <c:pt idx="3288">
                  <c:v>-67.12</c:v>
                </c:pt>
                <c:pt idx="3289">
                  <c:v>-67.11</c:v>
                </c:pt>
                <c:pt idx="3290">
                  <c:v>-67.1</c:v>
                </c:pt>
                <c:pt idx="3291">
                  <c:v>-67.09</c:v>
                </c:pt>
                <c:pt idx="3292">
                  <c:v>-67.08</c:v>
                </c:pt>
                <c:pt idx="3293">
                  <c:v>-67.07</c:v>
                </c:pt>
                <c:pt idx="3294">
                  <c:v>-67.06</c:v>
                </c:pt>
                <c:pt idx="3295">
                  <c:v>-67.05</c:v>
                </c:pt>
                <c:pt idx="3296">
                  <c:v>-67.04</c:v>
                </c:pt>
                <c:pt idx="3297">
                  <c:v>-67.03</c:v>
                </c:pt>
                <c:pt idx="3298">
                  <c:v>-67.02</c:v>
                </c:pt>
                <c:pt idx="3299">
                  <c:v>-67.01</c:v>
                </c:pt>
                <c:pt idx="3300">
                  <c:v>-67.0</c:v>
                </c:pt>
                <c:pt idx="3301">
                  <c:v>-66.99</c:v>
                </c:pt>
                <c:pt idx="3302">
                  <c:v>-66.98</c:v>
                </c:pt>
                <c:pt idx="3303">
                  <c:v>-66.97</c:v>
                </c:pt>
                <c:pt idx="3304">
                  <c:v>-66.96</c:v>
                </c:pt>
                <c:pt idx="3305">
                  <c:v>-66.95</c:v>
                </c:pt>
                <c:pt idx="3306">
                  <c:v>-66.94</c:v>
                </c:pt>
                <c:pt idx="3307">
                  <c:v>-66.93</c:v>
                </c:pt>
                <c:pt idx="3308">
                  <c:v>-66.92</c:v>
                </c:pt>
                <c:pt idx="3309">
                  <c:v>-66.91</c:v>
                </c:pt>
                <c:pt idx="3310">
                  <c:v>-66.9</c:v>
                </c:pt>
                <c:pt idx="3311">
                  <c:v>-66.89</c:v>
                </c:pt>
                <c:pt idx="3312">
                  <c:v>-66.88</c:v>
                </c:pt>
                <c:pt idx="3313">
                  <c:v>-66.87</c:v>
                </c:pt>
                <c:pt idx="3314">
                  <c:v>-66.86</c:v>
                </c:pt>
                <c:pt idx="3315">
                  <c:v>-66.85</c:v>
                </c:pt>
                <c:pt idx="3316">
                  <c:v>-66.84</c:v>
                </c:pt>
                <c:pt idx="3317">
                  <c:v>-66.83</c:v>
                </c:pt>
                <c:pt idx="3318">
                  <c:v>-66.82</c:v>
                </c:pt>
                <c:pt idx="3319">
                  <c:v>-66.81</c:v>
                </c:pt>
                <c:pt idx="3320">
                  <c:v>-66.8</c:v>
                </c:pt>
                <c:pt idx="3321">
                  <c:v>-66.79</c:v>
                </c:pt>
                <c:pt idx="3322">
                  <c:v>-66.78</c:v>
                </c:pt>
                <c:pt idx="3323">
                  <c:v>-66.77</c:v>
                </c:pt>
                <c:pt idx="3324">
                  <c:v>-66.76</c:v>
                </c:pt>
                <c:pt idx="3325">
                  <c:v>-66.75</c:v>
                </c:pt>
                <c:pt idx="3326">
                  <c:v>-66.74</c:v>
                </c:pt>
                <c:pt idx="3327">
                  <c:v>-66.73</c:v>
                </c:pt>
                <c:pt idx="3328">
                  <c:v>-66.72</c:v>
                </c:pt>
                <c:pt idx="3329">
                  <c:v>-66.71</c:v>
                </c:pt>
                <c:pt idx="3330">
                  <c:v>-66.7</c:v>
                </c:pt>
                <c:pt idx="3331">
                  <c:v>-66.69</c:v>
                </c:pt>
                <c:pt idx="3332">
                  <c:v>-66.68</c:v>
                </c:pt>
                <c:pt idx="3333">
                  <c:v>-66.67</c:v>
                </c:pt>
                <c:pt idx="3334">
                  <c:v>-66.66</c:v>
                </c:pt>
                <c:pt idx="3335">
                  <c:v>-66.65</c:v>
                </c:pt>
                <c:pt idx="3336">
                  <c:v>-66.64</c:v>
                </c:pt>
                <c:pt idx="3337">
                  <c:v>-66.63</c:v>
                </c:pt>
                <c:pt idx="3338">
                  <c:v>-66.62</c:v>
                </c:pt>
                <c:pt idx="3339">
                  <c:v>-66.61</c:v>
                </c:pt>
                <c:pt idx="3340">
                  <c:v>-66.6</c:v>
                </c:pt>
                <c:pt idx="3341">
                  <c:v>-66.59</c:v>
                </c:pt>
                <c:pt idx="3342">
                  <c:v>-66.58</c:v>
                </c:pt>
                <c:pt idx="3343">
                  <c:v>-66.57</c:v>
                </c:pt>
                <c:pt idx="3344">
                  <c:v>-66.56</c:v>
                </c:pt>
                <c:pt idx="3345">
                  <c:v>-66.55</c:v>
                </c:pt>
                <c:pt idx="3346">
                  <c:v>-66.54</c:v>
                </c:pt>
                <c:pt idx="3347">
                  <c:v>-66.53</c:v>
                </c:pt>
                <c:pt idx="3348">
                  <c:v>-66.52</c:v>
                </c:pt>
                <c:pt idx="3349">
                  <c:v>-66.51</c:v>
                </c:pt>
                <c:pt idx="3350">
                  <c:v>-66.5</c:v>
                </c:pt>
                <c:pt idx="3351">
                  <c:v>-66.49</c:v>
                </c:pt>
                <c:pt idx="3352">
                  <c:v>-66.48</c:v>
                </c:pt>
                <c:pt idx="3353">
                  <c:v>-66.47</c:v>
                </c:pt>
                <c:pt idx="3354">
                  <c:v>-66.46</c:v>
                </c:pt>
                <c:pt idx="3355">
                  <c:v>-66.45</c:v>
                </c:pt>
                <c:pt idx="3356">
                  <c:v>-66.44</c:v>
                </c:pt>
                <c:pt idx="3357">
                  <c:v>-66.43</c:v>
                </c:pt>
                <c:pt idx="3358">
                  <c:v>-66.42</c:v>
                </c:pt>
                <c:pt idx="3359">
                  <c:v>-66.41</c:v>
                </c:pt>
                <c:pt idx="3360">
                  <c:v>-66.4</c:v>
                </c:pt>
                <c:pt idx="3361">
                  <c:v>-66.39</c:v>
                </c:pt>
                <c:pt idx="3362">
                  <c:v>-66.38</c:v>
                </c:pt>
                <c:pt idx="3363">
                  <c:v>-66.37</c:v>
                </c:pt>
                <c:pt idx="3364">
                  <c:v>-66.36</c:v>
                </c:pt>
                <c:pt idx="3365">
                  <c:v>-66.35</c:v>
                </c:pt>
                <c:pt idx="3366">
                  <c:v>-66.34</c:v>
                </c:pt>
                <c:pt idx="3367">
                  <c:v>-66.33</c:v>
                </c:pt>
                <c:pt idx="3368">
                  <c:v>-66.32</c:v>
                </c:pt>
                <c:pt idx="3369">
                  <c:v>-66.31</c:v>
                </c:pt>
                <c:pt idx="3370">
                  <c:v>-66.3</c:v>
                </c:pt>
                <c:pt idx="3371">
                  <c:v>-66.29</c:v>
                </c:pt>
                <c:pt idx="3372">
                  <c:v>-66.28</c:v>
                </c:pt>
                <c:pt idx="3373">
                  <c:v>-66.27</c:v>
                </c:pt>
                <c:pt idx="3374">
                  <c:v>-66.26</c:v>
                </c:pt>
                <c:pt idx="3375">
                  <c:v>-66.25</c:v>
                </c:pt>
                <c:pt idx="3376">
                  <c:v>-66.24</c:v>
                </c:pt>
                <c:pt idx="3377">
                  <c:v>-66.23</c:v>
                </c:pt>
                <c:pt idx="3378">
                  <c:v>-66.22</c:v>
                </c:pt>
                <c:pt idx="3379">
                  <c:v>-66.21</c:v>
                </c:pt>
                <c:pt idx="3380">
                  <c:v>-66.2</c:v>
                </c:pt>
                <c:pt idx="3381">
                  <c:v>-66.19</c:v>
                </c:pt>
                <c:pt idx="3382">
                  <c:v>-66.18</c:v>
                </c:pt>
                <c:pt idx="3383">
                  <c:v>-66.17</c:v>
                </c:pt>
                <c:pt idx="3384">
                  <c:v>-66.16</c:v>
                </c:pt>
                <c:pt idx="3385">
                  <c:v>-66.15</c:v>
                </c:pt>
                <c:pt idx="3386">
                  <c:v>-66.14</c:v>
                </c:pt>
                <c:pt idx="3387">
                  <c:v>-66.13</c:v>
                </c:pt>
                <c:pt idx="3388">
                  <c:v>-66.12</c:v>
                </c:pt>
                <c:pt idx="3389">
                  <c:v>-66.11</c:v>
                </c:pt>
                <c:pt idx="3390">
                  <c:v>-66.1</c:v>
                </c:pt>
                <c:pt idx="3391">
                  <c:v>-66.09</c:v>
                </c:pt>
                <c:pt idx="3392">
                  <c:v>-66.08</c:v>
                </c:pt>
                <c:pt idx="3393">
                  <c:v>-66.07</c:v>
                </c:pt>
                <c:pt idx="3394">
                  <c:v>-66.06</c:v>
                </c:pt>
                <c:pt idx="3395">
                  <c:v>-66.05</c:v>
                </c:pt>
                <c:pt idx="3396">
                  <c:v>-66.04</c:v>
                </c:pt>
                <c:pt idx="3397">
                  <c:v>-66.03</c:v>
                </c:pt>
                <c:pt idx="3398">
                  <c:v>-66.02</c:v>
                </c:pt>
                <c:pt idx="3399">
                  <c:v>-66.01</c:v>
                </c:pt>
                <c:pt idx="3400">
                  <c:v>-66.0</c:v>
                </c:pt>
                <c:pt idx="3401">
                  <c:v>-65.99</c:v>
                </c:pt>
                <c:pt idx="3402">
                  <c:v>-65.98</c:v>
                </c:pt>
                <c:pt idx="3403">
                  <c:v>-65.97</c:v>
                </c:pt>
                <c:pt idx="3404">
                  <c:v>-65.96</c:v>
                </c:pt>
                <c:pt idx="3405">
                  <c:v>-65.95</c:v>
                </c:pt>
                <c:pt idx="3406">
                  <c:v>-65.94</c:v>
                </c:pt>
                <c:pt idx="3407">
                  <c:v>-65.93</c:v>
                </c:pt>
                <c:pt idx="3408">
                  <c:v>-65.92</c:v>
                </c:pt>
                <c:pt idx="3409">
                  <c:v>-65.91</c:v>
                </c:pt>
                <c:pt idx="3410">
                  <c:v>-65.9</c:v>
                </c:pt>
                <c:pt idx="3411">
                  <c:v>-65.89</c:v>
                </c:pt>
                <c:pt idx="3412">
                  <c:v>-65.88</c:v>
                </c:pt>
                <c:pt idx="3413">
                  <c:v>-65.87</c:v>
                </c:pt>
                <c:pt idx="3414">
                  <c:v>-65.86</c:v>
                </c:pt>
                <c:pt idx="3415">
                  <c:v>-65.85</c:v>
                </c:pt>
                <c:pt idx="3416">
                  <c:v>-65.84</c:v>
                </c:pt>
                <c:pt idx="3417">
                  <c:v>-65.83</c:v>
                </c:pt>
                <c:pt idx="3418">
                  <c:v>-65.82</c:v>
                </c:pt>
                <c:pt idx="3419">
                  <c:v>-65.81</c:v>
                </c:pt>
                <c:pt idx="3420">
                  <c:v>-65.8</c:v>
                </c:pt>
                <c:pt idx="3421">
                  <c:v>-65.79</c:v>
                </c:pt>
                <c:pt idx="3422">
                  <c:v>-65.78</c:v>
                </c:pt>
                <c:pt idx="3423">
                  <c:v>-65.77</c:v>
                </c:pt>
                <c:pt idx="3424">
                  <c:v>-65.76</c:v>
                </c:pt>
                <c:pt idx="3425">
                  <c:v>-65.75</c:v>
                </c:pt>
                <c:pt idx="3426">
                  <c:v>-65.74</c:v>
                </c:pt>
                <c:pt idx="3427">
                  <c:v>-65.73</c:v>
                </c:pt>
                <c:pt idx="3428">
                  <c:v>-65.72</c:v>
                </c:pt>
                <c:pt idx="3429">
                  <c:v>-65.71</c:v>
                </c:pt>
                <c:pt idx="3430">
                  <c:v>-65.7</c:v>
                </c:pt>
                <c:pt idx="3431">
                  <c:v>-65.69</c:v>
                </c:pt>
                <c:pt idx="3432">
                  <c:v>-65.68</c:v>
                </c:pt>
                <c:pt idx="3433">
                  <c:v>-65.67</c:v>
                </c:pt>
                <c:pt idx="3434">
                  <c:v>-65.66</c:v>
                </c:pt>
                <c:pt idx="3435">
                  <c:v>-65.65</c:v>
                </c:pt>
                <c:pt idx="3436">
                  <c:v>-65.64</c:v>
                </c:pt>
                <c:pt idx="3437">
                  <c:v>-65.63</c:v>
                </c:pt>
                <c:pt idx="3438">
                  <c:v>-65.62</c:v>
                </c:pt>
                <c:pt idx="3439">
                  <c:v>-65.61</c:v>
                </c:pt>
                <c:pt idx="3440">
                  <c:v>-65.6</c:v>
                </c:pt>
                <c:pt idx="3441">
                  <c:v>-65.59</c:v>
                </c:pt>
                <c:pt idx="3442">
                  <c:v>-65.58</c:v>
                </c:pt>
                <c:pt idx="3443">
                  <c:v>-65.57</c:v>
                </c:pt>
                <c:pt idx="3444">
                  <c:v>-65.56</c:v>
                </c:pt>
                <c:pt idx="3445">
                  <c:v>-65.55</c:v>
                </c:pt>
                <c:pt idx="3446">
                  <c:v>-65.54</c:v>
                </c:pt>
                <c:pt idx="3447">
                  <c:v>-65.53</c:v>
                </c:pt>
                <c:pt idx="3448">
                  <c:v>-65.52</c:v>
                </c:pt>
                <c:pt idx="3449">
                  <c:v>-65.51</c:v>
                </c:pt>
                <c:pt idx="3450">
                  <c:v>-65.5</c:v>
                </c:pt>
                <c:pt idx="3451">
                  <c:v>-65.49</c:v>
                </c:pt>
                <c:pt idx="3452">
                  <c:v>-65.48</c:v>
                </c:pt>
                <c:pt idx="3453">
                  <c:v>-65.47</c:v>
                </c:pt>
                <c:pt idx="3454">
                  <c:v>-65.46</c:v>
                </c:pt>
                <c:pt idx="3455">
                  <c:v>-65.45</c:v>
                </c:pt>
                <c:pt idx="3456">
                  <c:v>-65.44</c:v>
                </c:pt>
                <c:pt idx="3457">
                  <c:v>-65.43</c:v>
                </c:pt>
                <c:pt idx="3458">
                  <c:v>-65.42</c:v>
                </c:pt>
                <c:pt idx="3459">
                  <c:v>-65.41</c:v>
                </c:pt>
                <c:pt idx="3460">
                  <c:v>-65.4</c:v>
                </c:pt>
                <c:pt idx="3461">
                  <c:v>-65.39</c:v>
                </c:pt>
                <c:pt idx="3462">
                  <c:v>-65.38</c:v>
                </c:pt>
                <c:pt idx="3463">
                  <c:v>-65.37</c:v>
                </c:pt>
                <c:pt idx="3464">
                  <c:v>-65.36</c:v>
                </c:pt>
                <c:pt idx="3465">
                  <c:v>-65.35</c:v>
                </c:pt>
                <c:pt idx="3466">
                  <c:v>-65.34</c:v>
                </c:pt>
                <c:pt idx="3467">
                  <c:v>-65.33</c:v>
                </c:pt>
                <c:pt idx="3468">
                  <c:v>-65.32</c:v>
                </c:pt>
                <c:pt idx="3469">
                  <c:v>-65.31</c:v>
                </c:pt>
                <c:pt idx="3470">
                  <c:v>-65.3</c:v>
                </c:pt>
                <c:pt idx="3471">
                  <c:v>-65.29</c:v>
                </c:pt>
                <c:pt idx="3472">
                  <c:v>-65.28</c:v>
                </c:pt>
                <c:pt idx="3473">
                  <c:v>-65.27</c:v>
                </c:pt>
                <c:pt idx="3474">
                  <c:v>-65.26</c:v>
                </c:pt>
                <c:pt idx="3475">
                  <c:v>-65.25</c:v>
                </c:pt>
                <c:pt idx="3476">
                  <c:v>-65.24</c:v>
                </c:pt>
                <c:pt idx="3477">
                  <c:v>-65.23</c:v>
                </c:pt>
                <c:pt idx="3478">
                  <c:v>-65.22</c:v>
                </c:pt>
                <c:pt idx="3479">
                  <c:v>-65.21</c:v>
                </c:pt>
                <c:pt idx="3480">
                  <c:v>-65.2</c:v>
                </c:pt>
                <c:pt idx="3481">
                  <c:v>-65.19</c:v>
                </c:pt>
                <c:pt idx="3482">
                  <c:v>-65.18</c:v>
                </c:pt>
                <c:pt idx="3483">
                  <c:v>-65.17</c:v>
                </c:pt>
                <c:pt idx="3484">
                  <c:v>-65.16</c:v>
                </c:pt>
                <c:pt idx="3485">
                  <c:v>-65.15</c:v>
                </c:pt>
                <c:pt idx="3486">
                  <c:v>-65.14</c:v>
                </c:pt>
                <c:pt idx="3487">
                  <c:v>-65.13</c:v>
                </c:pt>
                <c:pt idx="3488">
                  <c:v>-65.12</c:v>
                </c:pt>
                <c:pt idx="3489">
                  <c:v>-65.11</c:v>
                </c:pt>
                <c:pt idx="3490">
                  <c:v>-65.1</c:v>
                </c:pt>
                <c:pt idx="3491">
                  <c:v>-65.09</c:v>
                </c:pt>
                <c:pt idx="3492">
                  <c:v>-65.08</c:v>
                </c:pt>
                <c:pt idx="3493">
                  <c:v>-65.07</c:v>
                </c:pt>
                <c:pt idx="3494">
                  <c:v>-65.06</c:v>
                </c:pt>
                <c:pt idx="3495">
                  <c:v>-65.05</c:v>
                </c:pt>
                <c:pt idx="3496">
                  <c:v>-65.04</c:v>
                </c:pt>
                <c:pt idx="3497">
                  <c:v>-65.03</c:v>
                </c:pt>
                <c:pt idx="3498">
                  <c:v>-65.02</c:v>
                </c:pt>
                <c:pt idx="3499">
                  <c:v>-65.01</c:v>
                </c:pt>
                <c:pt idx="3500">
                  <c:v>-65.0</c:v>
                </c:pt>
                <c:pt idx="3501">
                  <c:v>-64.99</c:v>
                </c:pt>
                <c:pt idx="3502">
                  <c:v>-64.98</c:v>
                </c:pt>
                <c:pt idx="3503">
                  <c:v>-64.97</c:v>
                </c:pt>
                <c:pt idx="3504">
                  <c:v>-64.96</c:v>
                </c:pt>
                <c:pt idx="3505">
                  <c:v>-64.95</c:v>
                </c:pt>
                <c:pt idx="3506">
                  <c:v>-64.94</c:v>
                </c:pt>
                <c:pt idx="3507">
                  <c:v>-64.93</c:v>
                </c:pt>
                <c:pt idx="3508">
                  <c:v>-64.92</c:v>
                </c:pt>
                <c:pt idx="3509">
                  <c:v>-64.91</c:v>
                </c:pt>
                <c:pt idx="3510">
                  <c:v>-64.9</c:v>
                </c:pt>
                <c:pt idx="3511">
                  <c:v>-64.89</c:v>
                </c:pt>
                <c:pt idx="3512">
                  <c:v>-64.88</c:v>
                </c:pt>
                <c:pt idx="3513">
                  <c:v>-64.87</c:v>
                </c:pt>
                <c:pt idx="3514">
                  <c:v>-64.86</c:v>
                </c:pt>
                <c:pt idx="3515">
                  <c:v>-64.85</c:v>
                </c:pt>
                <c:pt idx="3516">
                  <c:v>-64.84</c:v>
                </c:pt>
                <c:pt idx="3517">
                  <c:v>-64.83</c:v>
                </c:pt>
                <c:pt idx="3518">
                  <c:v>-64.82</c:v>
                </c:pt>
                <c:pt idx="3519">
                  <c:v>-64.81</c:v>
                </c:pt>
                <c:pt idx="3520">
                  <c:v>-64.8</c:v>
                </c:pt>
                <c:pt idx="3521">
                  <c:v>-64.79</c:v>
                </c:pt>
                <c:pt idx="3522">
                  <c:v>-64.78</c:v>
                </c:pt>
                <c:pt idx="3523">
                  <c:v>-64.77</c:v>
                </c:pt>
                <c:pt idx="3524">
                  <c:v>-64.76</c:v>
                </c:pt>
                <c:pt idx="3525">
                  <c:v>-64.75</c:v>
                </c:pt>
                <c:pt idx="3526">
                  <c:v>-64.74</c:v>
                </c:pt>
                <c:pt idx="3527">
                  <c:v>-64.73</c:v>
                </c:pt>
                <c:pt idx="3528">
                  <c:v>-64.72</c:v>
                </c:pt>
                <c:pt idx="3529">
                  <c:v>-64.71</c:v>
                </c:pt>
                <c:pt idx="3530">
                  <c:v>-64.7</c:v>
                </c:pt>
                <c:pt idx="3531">
                  <c:v>-64.69</c:v>
                </c:pt>
                <c:pt idx="3532">
                  <c:v>-64.68</c:v>
                </c:pt>
                <c:pt idx="3533">
                  <c:v>-64.67</c:v>
                </c:pt>
                <c:pt idx="3534">
                  <c:v>-64.66</c:v>
                </c:pt>
                <c:pt idx="3535">
                  <c:v>-64.65</c:v>
                </c:pt>
                <c:pt idx="3536">
                  <c:v>-64.64</c:v>
                </c:pt>
                <c:pt idx="3537">
                  <c:v>-64.63</c:v>
                </c:pt>
                <c:pt idx="3538">
                  <c:v>-64.62</c:v>
                </c:pt>
                <c:pt idx="3539">
                  <c:v>-64.61</c:v>
                </c:pt>
                <c:pt idx="3540">
                  <c:v>-64.6</c:v>
                </c:pt>
                <c:pt idx="3541">
                  <c:v>-64.59</c:v>
                </c:pt>
                <c:pt idx="3542">
                  <c:v>-64.58</c:v>
                </c:pt>
                <c:pt idx="3543">
                  <c:v>-64.57</c:v>
                </c:pt>
                <c:pt idx="3544">
                  <c:v>-64.56</c:v>
                </c:pt>
                <c:pt idx="3545">
                  <c:v>-64.55</c:v>
                </c:pt>
                <c:pt idx="3546">
                  <c:v>-64.54</c:v>
                </c:pt>
                <c:pt idx="3547">
                  <c:v>-64.53</c:v>
                </c:pt>
                <c:pt idx="3548">
                  <c:v>-64.52</c:v>
                </c:pt>
                <c:pt idx="3549">
                  <c:v>-64.51</c:v>
                </c:pt>
                <c:pt idx="3550">
                  <c:v>-64.5</c:v>
                </c:pt>
                <c:pt idx="3551">
                  <c:v>-64.49</c:v>
                </c:pt>
                <c:pt idx="3552">
                  <c:v>-64.48</c:v>
                </c:pt>
                <c:pt idx="3553">
                  <c:v>-64.47</c:v>
                </c:pt>
                <c:pt idx="3554">
                  <c:v>-64.46</c:v>
                </c:pt>
                <c:pt idx="3555">
                  <c:v>-64.45</c:v>
                </c:pt>
                <c:pt idx="3556">
                  <c:v>-64.44</c:v>
                </c:pt>
                <c:pt idx="3557">
                  <c:v>-64.43</c:v>
                </c:pt>
                <c:pt idx="3558">
                  <c:v>-64.42</c:v>
                </c:pt>
                <c:pt idx="3559">
                  <c:v>-64.41</c:v>
                </c:pt>
                <c:pt idx="3560">
                  <c:v>-64.4</c:v>
                </c:pt>
                <c:pt idx="3561">
                  <c:v>-64.39</c:v>
                </c:pt>
                <c:pt idx="3562">
                  <c:v>-64.38</c:v>
                </c:pt>
                <c:pt idx="3563">
                  <c:v>-64.37</c:v>
                </c:pt>
                <c:pt idx="3564">
                  <c:v>-64.36</c:v>
                </c:pt>
                <c:pt idx="3565">
                  <c:v>-64.35</c:v>
                </c:pt>
                <c:pt idx="3566">
                  <c:v>-64.34</c:v>
                </c:pt>
                <c:pt idx="3567">
                  <c:v>-64.33</c:v>
                </c:pt>
                <c:pt idx="3568">
                  <c:v>-64.32</c:v>
                </c:pt>
                <c:pt idx="3569">
                  <c:v>-64.31</c:v>
                </c:pt>
                <c:pt idx="3570">
                  <c:v>-64.3</c:v>
                </c:pt>
                <c:pt idx="3571">
                  <c:v>-64.29</c:v>
                </c:pt>
                <c:pt idx="3572">
                  <c:v>-64.28</c:v>
                </c:pt>
                <c:pt idx="3573">
                  <c:v>-64.27</c:v>
                </c:pt>
                <c:pt idx="3574">
                  <c:v>-64.26</c:v>
                </c:pt>
                <c:pt idx="3575">
                  <c:v>-64.25</c:v>
                </c:pt>
                <c:pt idx="3576">
                  <c:v>-64.24</c:v>
                </c:pt>
                <c:pt idx="3577">
                  <c:v>-64.23</c:v>
                </c:pt>
                <c:pt idx="3578">
                  <c:v>-64.22</c:v>
                </c:pt>
                <c:pt idx="3579">
                  <c:v>-64.21</c:v>
                </c:pt>
                <c:pt idx="3580">
                  <c:v>-64.2</c:v>
                </c:pt>
                <c:pt idx="3581">
                  <c:v>-64.19</c:v>
                </c:pt>
                <c:pt idx="3582">
                  <c:v>-64.18</c:v>
                </c:pt>
                <c:pt idx="3583">
                  <c:v>-64.17</c:v>
                </c:pt>
                <c:pt idx="3584">
                  <c:v>-64.16</c:v>
                </c:pt>
                <c:pt idx="3585">
                  <c:v>-64.15</c:v>
                </c:pt>
                <c:pt idx="3586">
                  <c:v>-64.14</c:v>
                </c:pt>
                <c:pt idx="3587">
                  <c:v>-64.13</c:v>
                </c:pt>
                <c:pt idx="3588">
                  <c:v>-64.12</c:v>
                </c:pt>
                <c:pt idx="3589">
                  <c:v>-64.11</c:v>
                </c:pt>
                <c:pt idx="3590">
                  <c:v>-64.1</c:v>
                </c:pt>
                <c:pt idx="3591">
                  <c:v>-64.09</c:v>
                </c:pt>
                <c:pt idx="3592">
                  <c:v>-64.08</c:v>
                </c:pt>
                <c:pt idx="3593">
                  <c:v>-64.07</c:v>
                </c:pt>
                <c:pt idx="3594">
                  <c:v>-64.06</c:v>
                </c:pt>
                <c:pt idx="3595">
                  <c:v>-64.05</c:v>
                </c:pt>
                <c:pt idx="3596">
                  <c:v>-64.04</c:v>
                </c:pt>
                <c:pt idx="3597">
                  <c:v>-64.03</c:v>
                </c:pt>
                <c:pt idx="3598">
                  <c:v>-64.02</c:v>
                </c:pt>
                <c:pt idx="3599">
                  <c:v>-64.01</c:v>
                </c:pt>
                <c:pt idx="3600">
                  <c:v>-64.0</c:v>
                </c:pt>
                <c:pt idx="3601">
                  <c:v>-63.99</c:v>
                </c:pt>
                <c:pt idx="3602">
                  <c:v>-63.98</c:v>
                </c:pt>
                <c:pt idx="3603">
                  <c:v>-63.97</c:v>
                </c:pt>
                <c:pt idx="3604">
                  <c:v>-63.96</c:v>
                </c:pt>
                <c:pt idx="3605">
                  <c:v>-63.95</c:v>
                </c:pt>
                <c:pt idx="3606">
                  <c:v>-63.94</c:v>
                </c:pt>
                <c:pt idx="3607">
                  <c:v>-63.93</c:v>
                </c:pt>
                <c:pt idx="3608">
                  <c:v>-63.92</c:v>
                </c:pt>
                <c:pt idx="3609">
                  <c:v>-63.91</c:v>
                </c:pt>
                <c:pt idx="3610">
                  <c:v>-63.9</c:v>
                </c:pt>
                <c:pt idx="3611">
                  <c:v>-63.89</c:v>
                </c:pt>
                <c:pt idx="3612">
                  <c:v>-63.88</c:v>
                </c:pt>
                <c:pt idx="3613">
                  <c:v>-63.87</c:v>
                </c:pt>
                <c:pt idx="3614">
                  <c:v>-63.86</c:v>
                </c:pt>
                <c:pt idx="3615">
                  <c:v>-63.85</c:v>
                </c:pt>
                <c:pt idx="3616">
                  <c:v>-63.84</c:v>
                </c:pt>
                <c:pt idx="3617">
                  <c:v>-63.83</c:v>
                </c:pt>
                <c:pt idx="3618">
                  <c:v>-63.82</c:v>
                </c:pt>
                <c:pt idx="3619">
                  <c:v>-63.81</c:v>
                </c:pt>
                <c:pt idx="3620">
                  <c:v>-63.8</c:v>
                </c:pt>
                <c:pt idx="3621">
                  <c:v>-63.79</c:v>
                </c:pt>
                <c:pt idx="3622">
                  <c:v>-63.78</c:v>
                </c:pt>
                <c:pt idx="3623">
                  <c:v>-63.77</c:v>
                </c:pt>
                <c:pt idx="3624">
                  <c:v>-63.76</c:v>
                </c:pt>
                <c:pt idx="3625">
                  <c:v>-63.75</c:v>
                </c:pt>
                <c:pt idx="3626">
                  <c:v>-63.74</c:v>
                </c:pt>
                <c:pt idx="3627">
                  <c:v>-63.73</c:v>
                </c:pt>
                <c:pt idx="3628">
                  <c:v>-63.72</c:v>
                </c:pt>
                <c:pt idx="3629">
                  <c:v>-63.71</c:v>
                </c:pt>
                <c:pt idx="3630">
                  <c:v>-63.7</c:v>
                </c:pt>
                <c:pt idx="3631">
                  <c:v>-63.69</c:v>
                </c:pt>
                <c:pt idx="3632">
                  <c:v>-63.68</c:v>
                </c:pt>
                <c:pt idx="3633">
                  <c:v>-63.67</c:v>
                </c:pt>
                <c:pt idx="3634">
                  <c:v>-63.66</c:v>
                </c:pt>
                <c:pt idx="3635">
                  <c:v>-63.65</c:v>
                </c:pt>
                <c:pt idx="3636">
                  <c:v>-63.64</c:v>
                </c:pt>
                <c:pt idx="3637">
                  <c:v>-63.63</c:v>
                </c:pt>
                <c:pt idx="3638">
                  <c:v>-63.62</c:v>
                </c:pt>
                <c:pt idx="3639">
                  <c:v>-63.61</c:v>
                </c:pt>
                <c:pt idx="3640">
                  <c:v>-63.6</c:v>
                </c:pt>
                <c:pt idx="3641">
                  <c:v>-63.59</c:v>
                </c:pt>
                <c:pt idx="3642">
                  <c:v>-63.58</c:v>
                </c:pt>
                <c:pt idx="3643">
                  <c:v>-63.57</c:v>
                </c:pt>
                <c:pt idx="3644">
                  <c:v>-63.56</c:v>
                </c:pt>
                <c:pt idx="3645">
                  <c:v>-63.55</c:v>
                </c:pt>
                <c:pt idx="3646">
                  <c:v>-63.54</c:v>
                </c:pt>
                <c:pt idx="3647">
                  <c:v>-63.53</c:v>
                </c:pt>
                <c:pt idx="3648">
                  <c:v>-63.52</c:v>
                </c:pt>
                <c:pt idx="3649">
                  <c:v>-63.51</c:v>
                </c:pt>
                <c:pt idx="3650">
                  <c:v>-63.5</c:v>
                </c:pt>
                <c:pt idx="3651">
                  <c:v>-63.49</c:v>
                </c:pt>
                <c:pt idx="3652">
                  <c:v>-63.48</c:v>
                </c:pt>
                <c:pt idx="3653">
                  <c:v>-63.47</c:v>
                </c:pt>
                <c:pt idx="3654">
                  <c:v>-63.46</c:v>
                </c:pt>
                <c:pt idx="3655">
                  <c:v>-63.45</c:v>
                </c:pt>
                <c:pt idx="3656">
                  <c:v>-63.44</c:v>
                </c:pt>
                <c:pt idx="3657">
                  <c:v>-63.43</c:v>
                </c:pt>
                <c:pt idx="3658">
                  <c:v>-63.42</c:v>
                </c:pt>
                <c:pt idx="3659">
                  <c:v>-63.41</c:v>
                </c:pt>
                <c:pt idx="3660">
                  <c:v>-63.4</c:v>
                </c:pt>
                <c:pt idx="3661">
                  <c:v>-63.39</c:v>
                </c:pt>
                <c:pt idx="3662">
                  <c:v>-63.38</c:v>
                </c:pt>
                <c:pt idx="3663">
                  <c:v>-63.37</c:v>
                </c:pt>
                <c:pt idx="3664">
                  <c:v>-63.36</c:v>
                </c:pt>
                <c:pt idx="3665">
                  <c:v>-63.35</c:v>
                </c:pt>
                <c:pt idx="3666">
                  <c:v>-63.34</c:v>
                </c:pt>
                <c:pt idx="3667">
                  <c:v>-63.33</c:v>
                </c:pt>
                <c:pt idx="3668">
                  <c:v>-63.32</c:v>
                </c:pt>
                <c:pt idx="3669">
                  <c:v>-63.31</c:v>
                </c:pt>
                <c:pt idx="3670">
                  <c:v>-63.3</c:v>
                </c:pt>
                <c:pt idx="3671">
                  <c:v>-63.29</c:v>
                </c:pt>
                <c:pt idx="3672">
                  <c:v>-63.28</c:v>
                </c:pt>
                <c:pt idx="3673">
                  <c:v>-63.27</c:v>
                </c:pt>
                <c:pt idx="3674">
                  <c:v>-63.26</c:v>
                </c:pt>
                <c:pt idx="3675">
                  <c:v>-63.25</c:v>
                </c:pt>
                <c:pt idx="3676">
                  <c:v>-63.24</c:v>
                </c:pt>
                <c:pt idx="3677">
                  <c:v>-63.23</c:v>
                </c:pt>
                <c:pt idx="3678">
                  <c:v>-63.22</c:v>
                </c:pt>
                <c:pt idx="3679">
                  <c:v>-63.21</c:v>
                </c:pt>
                <c:pt idx="3680">
                  <c:v>-63.2</c:v>
                </c:pt>
                <c:pt idx="3681">
                  <c:v>-63.19</c:v>
                </c:pt>
                <c:pt idx="3682">
                  <c:v>-63.18</c:v>
                </c:pt>
                <c:pt idx="3683">
                  <c:v>-63.17</c:v>
                </c:pt>
                <c:pt idx="3684">
                  <c:v>-63.16</c:v>
                </c:pt>
                <c:pt idx="3685">
                  <c:v>-63.15</c:v>
                </c:pt>
                <c:pt idx="3686">
                  <c:v>-63.14</c:v>
                </c:pt>
                <c:pt idx="3687">
                  <c:v>-63.13</c:v>
                </c:pt>
                <c:pt idx="3688">
                  <c:v>-63.12</c:v>
                </c:pt>
                <c:pt idx="3689">
                  <c:v>-63.11</c:v>
                </c:pt>
                <c:pt idx="3690">
                  <c:v>-63.1</c:v>
                </c:pt>
                <c:pt idx="3691">
                  <c:v>-63.09</c:v>
                </c:pt>
                <c:pt idx="3692">
                  <c:v>-63.08</c:v>
                </c:pt>
                <c:pt idx="3693">
                  <c:v>-63.07</c:v>
                </c:pt>
                <c:pt idx="3694">
                  <c:v>-63.06</c:v>
                </c:pt>
                <c:pt idx="3695">
                  <c:v>-63.05</c:v>
                </c:pt>
                <c:pt idx="3696">
                  <c:v>-63.04</c:v>
                </c:pt>
                <c:pt idx="3697">
                  <c:v>-63.03</c:v>
                </c:pt>
                <c:pt idx="3698">
                  <c:v>-63.02</c:v>
                </c:pt>
                <c:pt idx="3699">
                  <c:v>-63.01</c:v>
                </c:pt>
                <c:pt idx="3700">
                  <c:v>-63.0</c:v>
                </c:pt>
                <c:pt idx="3701">
                  <c:v>-62.99</c:v>
                </c:pt>
                <c:pt idx="3702">
                  <c:v>-62.98</c:v>
                </c:pt>
                <c:pt idx="3703">
                  <c:v>-62.97</c:v>
                </c:pt>
                <c:pt idx="3704">
                  <c:v>-62.96</c:v>
                </c:pt>
                <c:pt idx="3705">
                  <c:v>-62.95</c:v>
                </c:pt>
                <c:pt idx="3706">
                  <c:v>-62.94</c:v>
                </c:pt>
                <c:pt idx="3707">
                  <c:v>-62.93</c:v>
                </c:pt>
                <c:pt idx="3708">
                  <c:v>-62.92</c:v>
                </c:pt>
                <c:pt idx="3709">
                  <c:v>-62.91</c:v>
                </c:pt>
                <c:pt idx="3710">
                  <c:v>-62.9</c:v>
                </c:pt>
                <c:pt idx="3711">
                  <c:v>-62.89</c:v>
                </c:pt>
                <c:pt idx="3712">
                  <c:v>-62.88</c:v>
                </c:pt>
                <c:pt idx="3713">
                  <c:v>-62.87</c:v>
                </c:pt>
                <c:pt idx="3714">
                  <c:v>-62.86</c:v>
                </c:pt>
                <c:pt idx="3715">
                  <c:v>-62.85</c:v>
                </c:pt>
                <c:pt idx="3716">
                  <c:v>-62.84</c:v>
                </c:pt>
                <c:pt idx="3717">
                  <c:v>-62.83</c:v>
                </c:pt>
                <c:pt idx="3718">
                  <c:v>-62.82</c:v>
                </c:pt>
                <c:pt idx="3719">
                  <c:v>-62.81</c:v>
                </c:pt>
                <c:pt idx="3720">
                  <c:v>-62.8</c:v>
                </c:pt>
                <c:pt idx="3721">
                  <c:v>-62.79</c:v>
                </c:pt>
                <c:pt idx="3722">
                  <c:v>-62.78</c:v>
                </c:pt>
                <c:pt idx="3723">
                  <c:v>-62.77</c:v>
                </c:pt>
                <c:pt idx="3724">
                  <c:v>-62.76</c:v>
                </c:pt>
                <c:pt idx="3725">
                  <c:v>-62.75</c:v>
                </c:pt>
                <c:pt idx="3726">
                  <c:v>-62.74</c:v>
                </c:pt>
                <c:pt idx="3727">
                  <c:v>-62.73</c:v>
                </c:pt>
                <c:pt idx="3728">
                  <c:v>-62.72</c:v>
                </c:pt>
                <c:pt idx="3729">
                  <c:v>-62.71</c:v>
                </c:pt>
                <c:pt idx="3730">
                  <c:v>-62.7</c:v>
                </c:pt>
                <c:pt idx="3731">
                  <c:v>-62.69</c:v>
                </c:pt>
                <c:pt idx="3732">
                  <c:v>-62.68</c:v>
                </c:pt>
                <c:pt idx="3733">
                  <c:v>-62.67</c:v>
                </c:pt>
                <c:pt idx="3734">
                  <c:v>-62.66</c:v>
                </c:pt>
                <c:pt idx="3735">
                  <c:v>-62.65</c:v>
                </c:pt>
                <c:pt idx="3736">
                  <c:v>-62.64</c:v>
                </c:pt>
                <c:pt idx="3737">
                  <c:v>-62.63</c:v>
                </c:pt>
                <c:pt idx="3738">
                  <c:v>-62.62</c:v>
                </c:pt>
                <c:pt idx="3739">
                  <c:v>-62.61</c:v>
                </c:pt>
                <c:pt idx="3740">
                  <c:v>-62.6</c:v>
                </c:pt>
                <c:pt idx="3741">
                  <c:v>-62.59</c:v>
                </c:pt>
                <c:pt idx="3742">
                  <c:v>-62.58</c:v>
                </c:pt>
                <c:pt idx="3743">
                  <c:v>-62.57</c:v>
                </c:pt>
                <c:pt idx="3744">
                  <c:v>-62.56</c:v>
                </c:pt>
                <c:pt idx="3745">
                  <c:v>-62.55</c:v>
                </c:pt>
                <c:pt idx="3746">
                  <c:v>-62.54</c:v>
                </c:pt>
                <c:pt idx="3747">
                  <c:v>-62.53</c:v>
                </c:pt>
                <c:pt idx="3748">
                  <c:v>-62.52</c:v>
                </c:pt>
                <c:pt idx="3749">
                  <c:v>-62.51</c:v>
                </c:pt>
                <c:pt idx="3750">
                  <c:v>-62.5</c:v>
                </c:pt>
                <c:pt idx="3751">
                  <c:v>-62.49</c:v>
                </c:pt>
                <c:pt idx="3752">
                  <c:v>-62.48</c:v>
                </c:pt>
                <c:pt idx="3753">
                  <c:v>-62.47</c:v>
                </c:pt>
                <c:pt idx="3754">
                  <c:v>-62.46</c:v>
                </c:pt>
                <c:pt idx="3755">
                  <c:v>-62.45</c:v>
                </c:pt>
                <c:pt idx="3756">
                  <c:v>-62.44</c:v>
                </c:pt>
                <c:pt idx="3757">
                  <c:v>-62.43</c:v>
                </c:pt>
                <c:pt idx="3758">
                  <c:v>-62.42</c:v>
                </c:pt>
                <c:pt idx="3759">
                  <c:v>-62.41</c:v>
                </c:pt>
                <c:pt idx="3760">
                  <c:v>-62.4</c:v>
                </c:pt>
                <c:pt idx="3761">
                  <c:v>-62.39</c:v>
                </c:pt>
                <c:pt idx="3762">
                  <c:v>-62.38</c:v>
                </c:pt>
                <c:pt idx="3763">
                  <c:v>-62.37</c:v>
                </c:pt>
                <c:pt idx="3764">
                  <c:v>-62.36</c:v>
                </c:pt>
                <c:pt idx="3765">
                  <c:v>-62.35</c:v>
                </c:pt>
                <c:pt idx="3766">
                  <c:v>-62.34</c:v>
                </c:pt>
                <c:pt idx="3767">
                  <c:v>-62.33</c:v>
                </c:pt>
                <c:pt idx="3768">
                  <c:v>-62.32</c:v>
                </c:pt>
                <c:pt idx="3769">
                  <c:v>-62.31</c:v>
                </c:pt>
                <c:pt idx="3770">
                  <c:v>-62.3</c:v>
                </c:pt>
                <c:pt idx="3771">
                  <c:v>-62.29</c:v>
                </c:pt>
                <c:pt idx="3772">
                  <c:v>-62.28</c:v>
                </c:pt>
                <c:pt idx="3773">
                  <c:v>-62.27</c:v>
                </c:pt>
                <c:pt idx="3774">
                  <c:v>-62.26</c:v>
                </c:pt>
                <c:pt idx="3775">
                  <c:v>-62.25</c:v>
                </c:pt>
                <c:pt idx="3776">
                  <c:v>-62.24</c:v>
                </c:pt>
                <c:pt idx="3777">
                  <c:v>-62.23</c:v>
                </c:pt>
                <c:pt idx="3778">
                  <c:v>-62.22</c:v>
                </c:pt>
                <c:pt idx="3779">
                  <c:v>-62.21</c:v>
                </c:pt>
                <c:pt idx="3780">
                  <c:v>-62.2</c:v>
                </c:pt>
                <c:pt idx="3781">
                  <c:v>-62.19</c:v>
                </c:pt>
                <c:pt idx="3782">
                  <c:v>-62.18</c:v>
                </c:pt>
                <c:pt idx="3783">
                  <c:v>-62.17</c:v>
                </c:pt>
                <c:pt idx="3784">
                  <c:v>-62.16</c:v>
                </c:pt>
                <c:pt idx="3785">
                  <c:v>-62.15</c:v>
                </c:pt>
                <c:pt idx="3786">
                  <c:v>-62.14</c:v>
                </c:pt>
                <c:pt idx="3787">
                  <c:v>-62.13</c:v>
                </c:pt>
                <c:pt idx="3788">
                  <c:v>-62.12</c:v>
                </c:pt>
                <c:pt idx="3789">
                  <c:v>-62.11</c:v>
                </c:pt>
                <c:pt idx="3790">
                  <c:v>-62.1</c:v>
                </c:pt>
                <c:pt idx="3791">
                  <c:v>-62.09</c:v>
                </c:pt>
                <c:pt idx="3792">
                  <c:v>-62.08</c:v>
                </c:pt>
                <c:pt idx="3793">
                  <c:v>-62.07</c:v>
                </c:pt>
                <c:pt idx="3794">
                  <c:v>-62.06</c:v>
                </c:pt>
                <c:pt idx="3795">
                  <c:v>-62.05</c:v>
                </c:pt>
                <c:pt idx="3796">
                  <c:v>-62.04</c:v>
                </c:pt>
                <c:pt idx="3797">
                  <c:v>-62.03</c:v>
                </c:pt>
                <c:pt idx="3798">
                  <c:v>-62.02</c:v>
                </c:pt>
                <c:pt idx="3799">
                  <c:v>-62.01</c:v>
                </c:pt>
                <c:pt idx="3800">
                  <c:v>-62.0</c:v>
                </c:pt>
                <c:pt idx="3801">
                  <c:v>-61.99</c:v>
                </c:pt>
                <c:pt idx="3802">
                  <c:v>-61.98</c:v>
                </c:pt>
                <c:pt idx="3803">
                  <c:v>-61.97</c:v>
                </c:pt>
                <c:pt idx="3804">
                  <c:v>-61.96</c:v>
                </c:pt>
                <c:pt idx="3805">
                  <c:v>-61.95</c:v>
                </c:pt>
                <c:pt idx="3806">
                  <c:v>-61.94</c:v>
                </c:pt>
                <c:pt idx="3807">
                  <c:v>-61.93</c:v>
                </c:pt>
                <c:pt idx="3808">
                  <c:v>-61.92</c:v>
                </c:pt>
                <c:pt idx="3809">
                  <c:v>-61.91</c:v>
                </c:pt>
                <c:pt idx="3810">
                  <c:v>-61.9</c:v>
                </c:pt>
                <c:pt idx="3811">
                  <c:v>-61.89</c:v>
                </c:pt>
                <c:pt idx="3812">
                  <c:v>-61.88</c:v>
                </c:pt>
                <c:pt idx="3813">
                  <c:v>-61.87</c:v>
                </c:pt>
                <c:pt idx="3814">
                  <c:v>-61.86</c:v>
                </c:pt>
                <c:pt idx="3815">
                  <c:v>-61.85</c:v>
                </c:pt>
                <c:pt idx="3816">
                  <c:v>-61.84</c:v>
                </c:pt>
                <c:pt idx="3817">
                  <c:v>-61.83</c:v>
                </c:pt>
                <c:pt idx="3818">
                  <c:v>-61.82</c:v>
                </c:pt>
                <c:pt idx="3819">
                  <c:v>-61.81</c:v>
                </c:pt>
                <c:pt idx="3820">
                  <c:v>-61.8</c:v>
                </c:pt>
                <c:pt idx="3821">
                  <c:v>-61.79</c:v>
                </c:pt>
                <c:pt idx="3822">
                  <c:v>-61.78</c:v>
                </c:pt>
                <c:pt idx="3823">
                  <c:v>-61.77</c:v>
                </c:pt>
                <c:pt idx="3824">
                  <c:v>-61.76</c:v>
                </c:pt>
                <c:pt idx="3825">
                  <c:v>-61.75</c:v>
                </c:pt>
                <c:pt idx="3826">
                  <c:v>-61.74</c:v>
                </c:pt>
                <c:pt idx="3827">
                  <c:v>-61.73</c:v>
                </c:pt>
                <c:pt idx="3828">
                  <c:v>-61.72</c:v>
                </c:pt>
                <c:pt idx="3829">
                  <c:v>-61.71</c:v>
                </c:pt>
                <c:pt idx="3830">
                  <c:v>-61.7</c:v>
                </c:pt>
                <c:pt idx="3831">
                  <c:v>-61.69</c:v>
                </c:pt>
                <c:pt idx="3832">
                  <c:v>-61.68</c:v>
                </c:pt>
                <c:pt idx="3833">
                  <c:v>-61.67</c:v>
                </c:pt>
                <c:pt idx="3834">
                  <c:v>-61.66</c:v>
                </c:pt>
                <c:pt idx="3835">
                  <c:v>-61.65</c:v>
                </c:pt>
                <c:pt idx="3836">
                  <c:v>-61.64</c:v>
                </c:pt>
                <c:pt idx="3837">
                  <c:v>-61.63</c:v>
                </c:pt>
                <c:pt idx="3838">
                  <c:v>-61.62</c:v>
                </c:pt>
                <c:pt idx="3839">
                  <c:v>-61.61</c:v>
                </c:pt>
                <c:pt idx="3840">
                  <c:v>-61.6</c:v>
                </c:pt>
                <c:pt idx="3841">
                  <c:v>-61.59</c:v>
                </c:pt>
                <c:pt idx="3842">
                  <c:v>-61.58</c:v>
                </c:pt>
                <c:pt idx="3843">
                  <c:v>-61.57</c:v>
                </c:pt>
                <c:pt idx="3844">
                  <c:v>-61.56</c:v>
                </c:pt>
                <c:pt idx="3845">
                  <c:v>-61.55</c:v>
                </c:pt>
                <c:pt idx="3846">
                  <c:v>-61.54</c:v>
                </c:pt>
                <c:pt idx="3847">
                  <c:v>-61.53</c:v>
                </c:pt>
                <c:pt idx="3848">
                  <c:v>-61.52</c:v>
                </c:pt>
                <c:pt idx="3849">
                  <c:v>-61.51</c:v>
                </c:pt>
                <c:pt idx="3850">
                  <c:v>-61.5</c:v>
                </c:pt>
                <c:pt idx="3851">
                  <c:v>-61.49</c:v>
                </c:pt>
                <c:pt idx="3852">
                  <c:v>-61.48</c:v>
                </c:pt>
                <c:pt idx="3853">
                  <c:v>-61.47</c:v>
                </c:pt>
                <c:pt idx="3854">
                  <c:v>-61.46</c:v>
                </c:pt>
                <c:pt idx="3855">
                  <c:v>-61.45</c:v>
                </c:pt>
                <c:pt idx="3856">
                  <c:v>-61.44</c:v>
                </c:pt>
                <c:pt idx="3857">
                  <c:v>-61.43</c:v>
                </c:pt>
                <c:pt idx="3858">
                  <c:v>-61.42</c:v>
                </c:pt>
                <c:pt idx="3859">
                  <c:v>-61.41</c:v>
                </c:pt>
                <c:pt idx="3860">
                  <c:v>-61.4</c:v>
                </c:pt>
                <c:pt idx="3861">
                  <c:v>-61.39</c:v>
                </c:pt>
                <c:pt idx="3862">
                  <c:v>-61.38</c:v>
                </c:pt>
                <c:pt idx="3863">
                  <c:v>-61.37</c:v>
                </c:pt>
                <c:pt idx="3864">
                  <c:v>-61.36</c:v>
                </c:pt>
                <c:pt idx="3865">
                  <c:v>-61.35</c:v>
                </c:pt>
                <c:pt idx="3866">
                  <c:v>-61.34</c:v>
                </c:pt>
                <c:pt idx="3867">
                  <c:v>-61.33</c:v>
                </c:pt>
                <c:pt idx="3868">
                  <c:v>-61.32</c:v>
                </c:pt>
                <c:pt idx="3869">
                  <c:v>-61.31</c:v>
                </c:pt>
                <c:pt idx="3870">
                  <c:v>-61.3</c:v>
                </c:pt>
                <c:pt idx="3871">
                  <c:v>-61.29</c:v>
                </c:pt>
                <c:pt idx="3872">
                  <c:v>-61.28</c:v>
                </c:pt>
                <c:pt idx="3873">
                  <c:v>-61.27</c:v>
                </c:pt>
                <c:pt idx="3874">
                  <c:v>-61.26</c:v>
                </c:pt>
                <c:pt idx="3875">
                  <c:v>-61.25</c:v>
                </c:pt>
                <c:pt idx="3876">
                  <c:v>-61.24</c:v>
                </c:pt>
                <c:pt idx="3877">
                  <c:v>-61.23</c:v>
                </c:pt>
                <c:pt idx="3878">
                  <c:v>-61.22</c:v>
                </c:pt>
                <c:pt idx="3879">
                  <c:v>-61.21</c:v>
                </c:pt>
                <c:pt idx="3880">
                  <c:v>-61.2</c:v>
                </c:pt>
                <c:pt idx="3881">
                  <c:v>-61.19</c:v>
                </c:pt>
                <c:pt idx="3882">
                  <c:v>-61.18</c:v>
                </c:pt>
                <c:pt idx="3883">
                  <c:v>-61.17</c:v>
                </c:pt>
                <c:pt idx="3884">
                  <c:v>-61.16</c:v>
                </c:pt>
                <c:pt idx="3885">
                  <c:v>-61.15</c:v>
                </c:pt>
                <c:pt idx="3886">
                  <c:v>-61.14</c:v>
                </c:pt>
                <c:pt idx="3887">
                  <c:v>-61.13</c:v>
                </c:pt>
                <c:pt idx="3888">
                  <c:v>-61.12</c:v>
                </c:pt>
                <c:pt idx="3889">
                  <c:v>-61.11</c:v>
                </c:pt>
                <c:pt idx="3890">
                  <c:v>-61.1</c:v>
                </c:pt>
                <c:pt idx="3891">
                  <c:v>-61.09</c:v>
                </c:pt>
                <c:pt idx="3892">
                  <c:v>-61.08</c:v>
                </c:pt>
                <c:pt idx="3893">
                  <c:v>-61.07</c:v>
                </c:pt>
                <c:pt idx="3894">
                  <c:v>-61.06</c:v>
                </c:pt>
                <c:pt idx="3895">
                  <c:v>-61.05</c:v>
                </c:pt>
                <c:pt idx="3896">
                  <c:v>-61.04</c:v>
                </c:pt>
                <c:pt idx="3897">
                  <c:v>-61.03</c:v>
                </c:pt>
                <c:pt idx="3898">
                  <c:v>-61.02</c:v>
                </c:pt>
                <c:pt idx="3899">
                  <c:v>-61.01</c:v>
                </c:pt>
                <c:pt idx="3900">
                  <c:v>-61.0</c:v>
                </c:pt>
                <c:pt idx="3901">
                  <c:v>-60.99</c:v>
                </c:pt>
                <c:pt idx="3902">
                  <c:v>-60.98</c:v>
                </c:pt>
                <c:pt idx="3903">
                  <c:v>-60.97</c:v>
                </c:pt>
                <c:pt idx="3904">
                  <c:v>-60.96</c:v>
                </c:pt>
                <c:pt idx="3905">
                  <c:v>-60.95</c:v>
                </c:pt>
                <c:pt idx="3906">
                  <c:v>-60.94</c:v>
                </c:pt>
                <c:pt idx="3907">
                  <c:v>-60.93</c:v>
                </c:pt>
                <c:pt idx="3908">
                  <c:v>-60.92</c:v>
                </c:pt>
                <c:pt idx="3909">
                  <c:v>-60.91</c:v>
                </c:pt>
                <c:pt idx="3910">
                  <c:v>-60.9</c:v>
                </c:pt>
                <c:pt idx="3911">
                  <c:v>-60.89</c:v>
                </c:pt>
                <c:pt idx="3912">
                  <c:v>-60.88</c:v>
                </c:pt>
                <c:pt idx="3913">
                  <c:v>-60.87</c:v>
                </c:pt>
                <c:pt idx="3914">
                  <c:v>-60.86</c:v>
                </c:pt>
                <c:pt idx="3915">
                  <c:v>-60.85</c:v>
                </c:pt>
                <c:pt idx="3916">
                  <c:v>-60.84</c:v>
                </c:pt>
                <c:pt idx="3917">
                  <c:v>-60.83</c:v>
                </c:pt>
                <c:pt idx="3918">
                  <c:v>-60.82</c:v>
                </c:pt>
                <c:pt idx="3919">
                  <c:v>-60.81</c:v>
                </c:pt>
                <c:pt idx="3920">
                  <c:v>-60.8</c:v>
                </c:pt>
                <c:pt idx="3921">
                  <c:v>-60.79</c:v>
                </c:pt>
                <c:pt idx="3922">
                  <c:v>-60.78</c:v>
                </c:pt>
                <c:pt idx="3923">
                  <c:v>-60.77</c:v>
                </c:pt>
                <c:pt idx="3924">
                  <c:v>-60.76</c:v>
                </c:pt>
                <c:pt idx="3925">
                  <c:v>-60.75</c:v>
                </c:pt>
                <c:pt idx="3926">
                  <c:v>-60.74</c:v>
                </c:pt>
                <c:pt idx="3927">
                  <c:v>-60.73</c:v>
                </c:pt>
                <c:pt idx="3928">
                  <c:v>-60.72</c:v>
                </c:pt>
                <c:pt idx="3929">
                  <c:v>-60.71</c:v>
                </c:pt>
                <c:pt idx="3930">
                  <c:v>-60.7</c:v>
                </c:pt>
                <c:pt idx="3931">
                  <c:v>-60.69</c:v>
                </c:pt>
                <c:pt idx="3932">
                  <c:v>-60.68</c:v>
                </c:pt>
                <c:pt idx="3933">
                  <c:v>-60.67</c:v>
                </c:pt>
                <c:pt idx="3934">
                  <c:v>-60.66</c:v>
                </c:pt>
                <c:pt idx="3935">
                  <c:v>-60.65</c:v>
                </c:pt>
                <c:pt idx="3936">
                  <c:v>-60.64</c:v>
                </c:pt>
                <c:pt idx="3937">
                  <c:v>-60.63</c:v>
                </c:pt>
                <c:pt idx="3938">
                  <c:v>-60.62</c:v>
                </c:pt>
                <c:pt idx="3939">
                  <c:v>-60.61</c:v>
                </c:pt>
                <c:pt idx="3940">
                  <c:v>-60.6</c:v>
                </c:pt>
                <c:pt idx="3941">
                  <c:v>-60.59</c:v>
                </c:pt>
                <c:pt idx="3942">
                  <c:v>-60.58</c:v>
                </c:pt>
                <c:pt idx="3943">
                  <c:v>-60.57</c:v>
                </c:pt>
                <c:pt idx="3944">
                  <c:v>-60.56</c:v>
                </c:pt>
                <c:pt idx="3945">
                  <c:v>-60.55</c:v>
                </c:pt>
                <c:pt idx="3946">
                  <c:v>-60.54</c:v>
                </c:pt>
                <c:pt idx="3947">
                  <c:v>-60.53</c:v>
                </c:pt>
                <c:pt idx="3948">
                  <c:v>-60.52</c:v>
                </c:pt>
                <c:pt idx="3949">
                  <c:v>-60.51</c:v>
                </c:pt>
                <c:pt idx="3950">
                  <c:v>-60.5</c:v>
                </c:pt>
                <c:pt idx="3951">
                  <c:v>-60.49</c:v>
                </c:pt>
                <c:pt idx="3952">
                  <c:v>-60.48</c:v>
                </c:pt>
                <c:pt idx="3953">
                  <c:v>-60.47</c:v>
                </c:pt>
                <c:pt idx="3954">
                  <c:v>-60.46</c:v>
                </c:pt>
                <c:pt idx="3955">
                  <c:v>-60.45</c:v>
                </c:pt>
                <c:pt idx="3956">
                  <c:v>-60.44</c:v>
                </c:pt>
                <c:pt idx="3957">
                  <c:v>-60.43</c:v>
                </c:pt>
                <c:pt idx="3958">
                  <c:v>-60.42</c:v>
                </c:pt>
                <c:pt idx="3959">
                  <c:v>-60.41</c:v>
                </c:pt>
                <c:pt idx="3960">
                  <c:v>-60.4</c:v>
                </c:pt>
                <c:pt idx="3961">
                  <c:v>-60.39</c:v>
                </c:pt>
                <c:pt idx="3962">
                  <c:v>-60.38</c:v>
                </c:pt>
                <c:pt idx="3963">
                  <c:v>-60.37</c:v>
                </c:pt>
                <c:pt idx="3964">
                  <c:v>-60.36</c:v>
                </c:pt>
                <c:pt idx="3965">
                  <c:v>-60.35</c:v>
                </c:pt>
                <c:pt idx="3966">
                  <c:v>-60.34</c:v>
                </c:pt>
                <c:pt idx="3967">
                  <c:v>-60.33</c:v>
                </c:pt>
                <c:pt idx="3968">
                  <c:v>-60.32</c:v>
                </c:pt>
                <c:pt idx="3969">
                  <c:v>-60.31</c:v>
                </c:pt>
                <c:pt idx="3970">
                  <c:v>-60.3</c:v>
                </c:pt>
                <c:pt idx="3971">
                  <c:v>-60.29</c:v>
                </c:pt>
                <c:pt idx="3972">
                  <c:v>-60.28</c:v>
                </c:pt>
                <c:pt idx="3973">
                  <c:v>-60.27</c:v>
                </c:pt>
                <c:pt idx="3974">
                  <c:v>-60.26</c:v>
                </c:pt>
                <c:pt idx="3975">
                  <c:v>-60.25</c:v>
                </c:pt>
                <c:pt idx="3976">
                  <c:v>-60.24</c:v>
                </c:pt>
                <c:pt idx="3977">
                  <c:v>-60.23</c:v>
                </c:pt>
                <c:pt idx="3978">
                  <c:v>-60.22</c:v>
                </c:pt>
                <c:pt idx="3979">
                  <c:v>-60.21</c:v>
                </c:pt>
                <c:pt idx="3980">
                  <c:v>-60.2</c:v>
                </c:pt>
                <c:pt idx="3981">
                  <c:v>-60.19</c:v>
                </c:pt>
                <c:pt idx="3982">
                  <c:v>-60.18</c:v>
                </c:pt>
                <c:pt idx="3983">
                  <c:v>-60.17</c:v>
                </c:pt>
                <c:pt idx="3984">
                  <c:v>-60.16</c:v>
                </c:pt>
                <c:pt idx="3985">
                  <c:v>-60.15</c:v>
                </c:pt>
                <c:pt idx="3986">
                  <c:v>-60.14</c:v>
                </c:pt>
                <c:pt idx="3987">
                  <c:v>-60.13</c:v>
                </c:pt>
                <c:pt idx="3988">
                  <c:v>-60.12</c:v>
                </c:pt>
                <c:pt idx="3989">
                  <c:v>-60.11</c:v>
                </c:pt>
                <c:pt idx="3990">
                  <c:v>-60.1</c:v>
                </c:pt>
                <c:pt idx="3991">
                  <c:v>-60.09</c:v>
                </c:pt>
                <c:pt idx="3992">
                  <c:v>-60.08</c:v>
                </c:pt>
                <c:pt idx="3993">
                  <c:v>-60.07</c:v>
                </c:pt>
                <c:pt idx="3994">
                  <c:v>-60.06</c:v>
                </c:pt>
                <c:pt idx="3995">
                  <c:v>-60.05</c:v>
                </c:pt>
                <c:pt idx="3996">
                  <c:v>-60.04</c:v>
                </c:pt>
                <c:pt idx="3997">
                  <c:v>-60.03</c:v>
                </c:pt>
                <c:pt idx="3998">
                  <c:v>-60.02</c:v>
                </c:pt>
                <c:pt idx="3999">
                  <c:v>-60.01</c:v>
                </c:pt>
                <c:pt idx="4000">
                  <c:v>-60.0</c:v>
                </c:pt>
                <c:pt idx="4001">
                  <c:v>-59.99</c:v>
                </c:pt>
                <c:pt idx="4002">
                  <c:v>-59.98</c:v>
                </c:pt>
                <c:pt idx="4003">
                  <c:v>-59.97</c:v>
                </c:pt>
                <c:pt idx="4004">
                  <c:v>-59.96</c:v>
                </c:pt>
                <c:pt idx="4005">
                  <c:v>-59.95</c:v>
                </c:pt>
                <c:pt idx="4006">
                  <c:v>-59.94</c:v>
                </c:pt>
                <c:pt idx="4007">
                  <c:v>-59.93</c:v>
                </c:pt>
                <c:pt idx="4008">
                  <c:v>-59.92</c:v>
                </c:pt>
                <c:pt idx="4009">
                  <c:v>-59.91</c:v>
                </c:pt>
                <c:pt idx="4010">
                  <c:v>-59.9</c:v>
                </c:pt>
                <c:pt idx="4011">
                  <c:v>-59.89</c:v>
                </c:pt>
                <c:pt idx="4012">
                  <c:v>-59.88</c:v>
                </c:pt>
                <c:pt idx="4013">
                  <c:v>-59.87</c:v>
                </c:pt>
                <c:pt idx="4014">
                  <c:v>-59.86</c:v>
                </c:pt>
                <c:pt idx="4015">
                  <c:v>-59.85</c:v>
                </c:pt>
                <c:pt idx="4016">
                  <c:v>-59.84</c:v>
                </c:pt>
                <c:pt idx="4017">
                  <c:v>-59.83</c:v>
                </c:pt>
                <c:pt idx="4018">
                  <c:v>-59.82</c:v>
                </c:pt>
                <c:pt idx="4019">
                  <c:v>-59.81</c:v>
                </c:pt>
                <c:pt idx="4020">
                  <c:v>-59.8</c:v>
                </c:pt>
                <c:pt idx="4021">
                  <c:v>-59.79</c:v>
                </c:pt>
                <c:pt idx="4022">
                  <c:v>-59.78</c:v>
                </c:pt>
                <c:pt idx="4023">
                  <c:v>-59.77</c:v>
                </c:pt>
                <c:pt idx="4024">
                  <c:v>-59.76</c:v>
                </c:pt>
                <c:pt idx="4025">
                  <c:v>-59.75</c:v>
                </c:pt>
                <c:pt idx="4026">
                  <c:v>-59.74</c:v>
                </c:pt>
                <c:pt idx="4027">
                  <c:v>-59.73</c:v>
                </c:pt>
                <c:pt idx="4028">
                  <c:v>-59.72</c:v>
                </c:pt>
                <c:pt idx="4029">
                  <c:v>-59.71</c:v>
                </c:pt>
                <c:pt idx="4030">
                  <c:v>-59.7</c:v>
                </c:pt>
                <c:pt idx="4031">
                  <c:v>-59.69</c:v>
                </c:pt>
                <c:pt idx="4032">
                  <c:v>-59.68</c:v>
                </c:pt>
                <c:pt idx="4033">
                  <c:v>-59.67</c:v>
                </c:pt>
                <c:pt idx="4034">
                  <c:v>-59.66</c:v>
                </c:pt>
                <c:pt idx="4035">
                  <c:v>-59.65</c:v>
                </c:pt>
                <c:pt idx="4036">
                  <c:v>-59.64</c:v>
                </c:pt>
                <c:pt idx="4037">
                  <c:v>-59.63</c:v>
                </c:pt>
                <c:pt idx="4038">
                  <c:v>-59.62</c:v>
                </c:pt>
                <c:pt idx="4039">
                  <c:v>-59.61</c:v>
                </c:pt>
                <c:pt idx="4040">
                  <c:v>-59.6</c:v>
                </c:pt>
                <c:pt idx="4041">
                  <c:v>-59.59</c:v>
                </c:pt>
                <c:pt idx="4042">
                  <c:v>-59.58</c:v>
                </c:pt>
                <c:pt idx="4043">
                  <c:v>-59.57</c:v>
                </c:pt>
                <c:pt idx="4044">
                  <c:v>-59.56</c:v>
                </c:pt>
                <c:pt idx="4045">
                  <c:v>-59.55</c:v>
                </c:pt>
                <c:pt idx="4046">
                  <c:v>-59.54</c:v>
                </c:pt>
                <c:pt idx="4047">
                  <c:v>-59.53</c:v>
                </c:pt>
                <c:pt idx="4048">
                  <c:v>-59.52</c:v>
                </c:pt>
                <c:pt idx="4049">
                  <c:v>-59.51</c:v>
                </c:pt>
                <c:pt idx="4050">
                  <c:v>-59.5</c:v>
                </c:pt>
                <c:pt idx="4051">
                  <c:v>-59.49</c:v>
                </c:pt>
                <c:pt idx="4052">
                  <c:v>-59.48</c:v>
                </c:pt>
                <c:pt idx="4053">
                  <c:v>-59.47</c:v>
                </c:pt>
                <c:pt idx="4054">
                  <c:v>-59.46</c:v>
                </c:pt>
                <c:pt idx="4055">
                  <c:v>-59.45</c:v>
                </c:pt>
                <c:pt idx="4056">
                  <c:v>-59.44</c:v>
                </c:pt>
                <c:pt idx="4057">
                  <c:v>-59.43</c:v>
                </c:pt>
                <c:pt idx="4058">
                  <c:v>-59.42</c:v>
                </c:pt>
                <c:pt idx="4059">
                  <c:v>-59.41</c:v>
                </c:pt>
                <c:pt idx="4060">
                  <c:v>-59.4</c:v>
                </c:pt>
                <c:pt idx="4061">
                  <c:v>-59.39</c:v>
                </c:pt>
                <c:pt idx="4062">
                  <c:v>-59.38</c:v>
                </c:pt>
                <c:pt idx="4063">
                  <c:v>-59.37</c:v>
                </c:pt>
                <c:pt idx="4064">
                  <c:v>-59.36</c:v>
                </c:pt>
                <c:pt idx="4065">
                  <c:v>-59.35</c:v>
                </c:pt>
                <c:pt idx="4066">
                  <c:v>-59.34</c:v>
                </c:pt>
                <c:pt idx="4067">
                  <c:v>-59.33</c:v>
                </c:pt>
                <c:pt idx="4068">
                  <c:v>-59.32</c:v>
                </c:pt>
                <c:pt idx="4069">
                  <c:v>-59.31</c:v>
                </c:pt>
                <c:pt idx="4070">
                  <c:v>-59.3</c:v>
                </c:pt>
                <c:pt idx="4071">
                  <c:v>-59.29</c:v>
                </c:pt>
                <c:pt idx="4072">
                  <c:v>-59.28</c:v>
                </c:pt>
                <c:pt idx="4073">
                  <c:v>-59.27</c:v>
                </c:pt>
                <c:pt idx="4074">
                  <c:v>-59.26</c:v>
                </c:pt>
                <c:pt idx="4075">
                  <c:v>-59.25</c:v>
                </c:pt>
                <c:pt idx="4076">
                  <c:v>-59.24</c:v>
                </c:pt>
                <c:pt idx="4077">
                  <c:v>-59.23</c:v>
                </c:pt>
                <c:pt idx="4078">
                  <c:v>-59.22</c:v>
                </c:pt>
                <c:pt idx="4079">
                  <c:v>-59.21</c:v>
                </c:pt>
                <c:pt idx="4080">
                  <c:v>-59.2</c:v>
                </c:pt>
                <c:pt idx="4081">
                  <c:v>-59.19</c:v>
                </c:pt>
                <c:pt idx="4082">
                  <c:v>-59.18</c:v>
                </c:pt>
                <c:pt idx="4083">
                  <c:v>-59.17</c:v>
                </c:pt>
                <c:pt idx="4084">
                  <c:v>-59.16</c:v>
                </c:pt>
                <c:pt idx="4085">
                  <c:v>-59.15</c:v>
                </c:pt>
                <c:pt idx="4086">
                  <c:v>-59.14</c:v>
                </c:pt>
                <c:pt idx="4087">
                  <c:v>-59.13</c:v>
                </c:pt>
                <c:pt idx="4088">
                  <c:v>-59.12</c:v>
                </c:pt>
                <c:pt idx="4089">
                  <c:v>-59.11</c:v>
                </c:pt>
                <c:pt idx="4090">
                  <c:v>-59.1</c:v>
                </c:pt>
                <c:pt idx="4091">
                  <c:v>-59.09</c:v>
                </c:pt>
                <c:pt idx="4092">
                  <c:v>-59.08</c:v>
                </c:pt>
                <c:pt idx="4093">
                  <c:v>-59.07</c:v>
                </c:pt>
                <c:pt idx="4094">
                  <c:v>-59.06</c:v>
                </c:pt>
                <c:pt idx="4095">
                  <c:v>-59.05</c:v>
                </c:pt>
                <c:pt idx="4096">
                  <c:v>-59.04</c:v>
                </c:pt>
                <c:pt idx="4097">
                  <c:v>-59.03</c:v>
                </c:pt>
                <c:pt idx="4098">
                  <c:v>-59.02</c:v>
                </c:pt>
                <c:pt idx="4099">
                  <c:v>-59.01</c:v>
                </c:pt>
                <c:pt idx="4100">
                  <c:v>-59.0</c:v>
                </c:pt>
                <c:pt idx="4101">
                  <c:v>-58.99</c:v>
                </c:pt>
                <c:pt idx="4102">
                  <c:v>-58.98</c:v>
                </c:pt>
                <c:pt idx="4103">
                  <c:v>-58.97</c:v>
                </c:pt>
                <c:pt idx="4104">
                  <c:v>-58.96</c:v>
                </c:pt>
                <c:pt idx="4105">
                  <c:v>-58.95</c:v>
                </c:pt>
                <c:pt idx="4106">
                  <c:v>-58.94</c:v>
                </c:pt>
                <c:pt idx="4107">
                  <c:v>-58.93</c:v>
                </c:pt>
                <c:pt idx="4108">
                  <c:v>-58.92</c:v>
                </c:pt>
                <c:pt idx="4109">
                  <c:v>-58.91</c:v>
                </c:pt>
                <c:pt idx="4110">
                  <c:v>-58.9</c:v>
                </c:pt>
                <c:pt idx="4111">
                  <c:v>-58.89</c:v>
                </c:pt>
                <c:pt idx="4112">
                  <c:v>-58.88</c:v>
                </c:pt>
                <c:pt idx="4113">
                  <c:v>-58.87</c:v>
                </c:pt>
                <c:pt idx="4114">
                  <c:v>-58.86</c:v>
                </c:pt>
                <c:pt idx="4115">
                  <c:v>-58.85</c:v>
                </c:pt>
                <c:pt idx="4116">
                  <c:v>-58.84</c:v>
                </c:pt>
                <c:pt idx="4117">
                  <c:v>-58.83</c:v>
                </c:pt>
                <c:pt idx="4118">
                  <c:v>-58.82</c:v>
                </c:pt>
                <c:pt idx="4119">
                  <c:v>-58.81</c:v>
                </c:pt>
                <c:pt idx="4120">
                  <c:v>-58.8</c:v>
                </c:pt>
                <c:pt idx="4121">
                  <c:v>-58.79</c:v>
                </c:pt>
                <c:pt idx="4122">
                  <c:v>-58.78</c:v>
                </c:pt>
                <c:pt idx="4123">
                  <c:v>-58.77</c:v>
                </c:pt>
                <c:pt idx="4124">
                  <c:v>-58.76</c:v>
                </c:pt>
                <c:pt idx="4125">
                  <c:v>-58.75</c:v>
                </c:pt>
                <c:pt idx="4126">
                  <c:v>-58.74</c:v>
                </c:pt>
                <c:pt idx="4127">
                  <c:v>-58.73</c:v>
                </c:pt>
                <c:pt idx="4128">
                  <c:v>-58.72</c:v>
                </c:pt>
                <c:pt idx="4129">
                  <c:v>-58.71</c:v>
                </c:pt>
                <c:pt idx="4130">
                  <c:v>-58.7</c:v>
                </c:pt>
                <c:pt idx="4131">
                  <c:v>-58.69</c:v>
                </c:pt>
                <c:pt idx="4132">
                  <c:v>-58.68</c:v>
                </c:pt>
                <c:pt idx="4133">
                  <c:v>-58.67</c:v>
                </c:pt>
                <c:pt idx="4134">
                  <c:v>-58.66</c:v>
                </c:pt>
                <c:pt idx="4135">
                  <c:v>-58.65</c:v>
                </c:pt>
                <c:pt idx="4136">
                  <c:v>-58.64</c:v>
                </c:pt>
                <c:pt idx="4137">
                  <c:v>-58.63</c:v>
                </c:pt>
                <c:pt idx="4138">
                  <c:v>-58.62</c:v>
                </c:pt>
                <c:pt idx="4139">
                  <c:v>-58.61</c:v>
                </c:pt>
                <c:pt idx="4140">
                  <c:v>-58.6</c:v>
                </c:pt>
                <c:pt idx="4141">
                  <c:v>-58.59</c:v>
                </c:pt>
                <c:pt idx="4142">
                  <c:v>-58.58</c:v>
                </c:pt>
                <c:pt idx="4143">
                  <c:v>-58.57</c:v>
                </c:pt>
                <c:pt idx="4144">
                  <c:v>-58.56</c:v>
                </c:pt>
                <c:pt idx="4145">
                  <c:v>-58.55</c:v>
                </c:pt>
                <c:pt idx="4146">
                  <c:v>-58.54</c:v>
                </c:pt>
                <c:pt idx="4147">
                  <c:v>-58.53</c:v>
                </c:pt>
                <c:pt idx="4148">
                  <c:v>-58.52</c:v>
                </c:pt>
                <c:pt idx="4149">
                  <c:v>-58.51</c:v>
                </c:pt>
                <c:pt idx="4150">
                  <c:v>-58.5</c:v>
                </c:pt>
                <c:pt idx="4151">
                  <c:v>-58.49</c:v>
                </c:pt>
                <c:pt idx="4152">
                  <c:v>-58.48</c:v>
                </c:pt>
                <c:pt idx="4153">
                  <c:v>-58.47</c:v>
                </c:pt>
                <c:pt idx="4154">
                  <c:v>-58.46</c:v>
                </c:pt>
                <c:pt idx="4155">
                  <c:v>-58.45</c:v>
                </c:pt>
                <c:pt idx="4156">
                  <c:v>-58.44</c:v>
                </c:pt>
                <c:pt idx="4157">
                  <c:v>-58.43</c:v>
                </c:pt>
                <c:pt idx="4158">
                  <c:v>-58.42</c:v>
                </c:pt>
                <c:pt idx="4159">
                  <c:v>-58.41</c:v>
                </c:pt>
                <c:pt idx="4160">
                  <c:v>-58.4</c:v>
                </c:pt>
                <c:pt idx="4161">
                  <c:v>-58.39</c:v>
                </c:pt>
                <c:pt idx="4162">
                  <c:v>-58.38</c:v>
                </c:pt>
                <c:pt idx="4163">
                  <c:v>-58.37</c:v>
                </c:pt>
                <c:pt idx="4164">
                  <c:v>-58.36</c:v>
                </c:pt>
                <c:pt idx="4165">
                  <c:v>-58.35</c:v>
                </c:pt>
                <c:pt idx="4166">
                  <c:v>-58.34</c:v>
                </c:pt>
                <c:pt idx="4167">
                  <c:v>-58.33</c:v>
                </c:pt>
                <c:pt idx="4168">
                  <c:v>-58.32</c:v>
                </c:pt>
                <c:pt idx="4169">
                  <c:v>-58.31</c:v>
                </c:pt>
                <c:pt idx="4170">
                  <c:v>-58.3</c:v>
                </c:pt>
                <c:pt idx="4171">
                  <c:v>-58.29</c:v>
                </c:pt>
                <c:pt idx="4172">
                  <c:v>-58.28</c:v>
                </c:pt>
                <c:pt idx="4173">
                  <c:v>-58.27</c:v>
                </c:pt>
                <c:pt idx="4174">
                  <c:v>-58.26</c:v>
                </c:pt>
                <c:pt idx="4175">
                  <c:v>-58.25</c:v>
                </c:pt>
                <c:pt idx="4176">
                  <c:v>-58.24</c:v>
                </c:pt>
                <c:pt idx="4177">
                  <c:v>-58.23</c:v>
                </c:pt>
                <c:pt idx="4178">
                  <c:v>-58.22</c:v>
                </c:pt>
                <c:pt idx="4179">
                  <c:v>-58.21</c:v>
                </c:pt>
                <c:pt idx="4180">
                  <c:v>-58.2</c:v>
                </c:pt>
                <c:pt idx="4181">
                  <c:v>-58.19</c:v>
                </c:pt>
                <c:pt idx="4182">
                  <c:v>-58.18</c:v>
                </c:pt>
                <c:pt idx="4183">
                  <c:v>-58.17</c:v>
                </c:pt>
                <c:pt idx="4184">
                  <c:v>-58.16</c:v>
                </c:pt>
                <c:pt idx="4185">
                  <c:v>-58.15</c:v>
                </c:pt>
                <c:pt idx="4186">
                  <c:v>-58.14</c:v>
                </c:pt>
                <c:pt idx="4187">
                  <c:v>-58.13</c:v>
                </c:pt>
                <c:pt idx="4188">
                  <c:v>-58.12</c:v>
                </c:pt>
                <c:pt idx="4189">
                  <c:v>-58.11</c:v>
                </c:pt>
                <c:pt idx="4190">
                  <c:v>-58.1</c:v>
                </c:pt>
                <c:pt idx="4191">
                  <c:v>-58.09</c:v>
                </c:pt>
                <c:pt idx="4192">
                  <c:v>-58.08</c:v>
                </c:pt>
                <c:pt idx="4193">
                  <c:v>-58.07</c:v>
                </c:pt>
                <c:pt idx="4194">
                  <c:v>-58.06</c:v>
                </c:pt>
                <c:pt idx="4195">
                  <c:v>-58.05</c:v>
                </c:pt>
                <c:pt idx="4196">
                  <c:v>-58.04</c:v>
                </c:pt>
                <c:pt idx="4197">
                  <c:v>-58.03</c:v>
                </c:pt>
                <c:pt idx="4198">
                  <c:v>-58.02</c:v>
                </c:pt>
                <c:pt idx="4199">
                  <c:v>-58.01</c:v>
                </c:pt>
                <c:pt idx="4200">
                  <c:v>-58.0</c:v>
                </c:pt>
                <c:pt idx="4201">
                  <c:v>-57.99</c:v>
                </c:pt>
                <c:pt idx="4202">
                  <c:v>-57.98</c:v>
                </c:pt>
                <c:pt idx="4203">
                  <c:v>-57.97</c:v>
                </c:pt>
                <c:pt idx="4204">
                  <c:v>-57.96</c:v>
                </c:pt>
                <c:pt idx="4205">
                  <c:v>-57.95</c:v>
                </c:pt>
                <c:pt idx="4206">
                  <c:v>-57.94</c:v>
                </c:pt>
                <c:pt idx="4207">
                  <c:v>-57.93</c:v>
                </c:pt>
                <c:pt idx="4208">
                  <c:v>-57.92</c:v>
                </c:pt>
                <c:pt idx="4209">
                  <c:v>-57.91</c:v>
                </c:pt>
                <c:pt idx="4210">
                  <c:v>-57.9</c:v>
                </c:pt>
                <c:pt idx="4211">
                  <c:v>-57.89</c:v>
                </c:pt>
                <c:pt idx="4212">
                  <c:v>-57.88</c:v>
                </c:pt>
                <c:pt idx="4213">
                  <c:v>-57.87</c:v>
                </c:pt>
                <c:pt idx="4214">
                  <c:v>-57.86</c:v>
                </c:pt>
                <c:pt idx="4215">
                  <c:v>-57.85</c:v>
                </c:pt>
                <c:pt idx="4216">
                  <c:v>-57.84</c:v>
                </c:pt>
                <c:pt idx="4217">
                  <c:v>-57.83</c:v>
                </c:pt>
                <c:pt idx="4218">
                  <c:v>-57.82</c:v>
                </c:pt>
                <c:pt idx="4219">
                  <c:v>-57.81</c:v>
                </c:pt>
                <c:pt idx="4220">
                  <c:v>-57.8</c:v>
                </c:pt>
                <c:pt idx="4221">
                  <c:v>-57.79</c:v>
                </c:pt>
                <c:pt idx="4222">
                  <c:v>-57.78</c:v>
                </c:pt>
                <c:pt idx="4223">
                  <c:v>-57.77</c:v>
                </c:pt>
                <c:pt idx="4224">
                  <c:v>-57.76</c:v>
                </c:pt>
                <c:pt idx="4225">
                  <c:v>-57.75</c:v>
                </c:pt>
                <c:pt idx="4226">
                  <c:v>-57.74</c:v>
                </c:pt>
                <c:pt idx="4227">
                  <c:v>-57.73</c:v>
                </c:pt>
                <c:pt idx="4228">
                  <c:v>-57.72</c:v>
                </c:pt>
                <c:pt idx="4229">
                  <c:v>-57.71</c:v>
                </c:pt>
                <c:pt idx="4230">
                  <c:v>-57.7</c:v>
                </c:pt>
                <c:pt idx="4231">
                  <c:v>-57.69</c:v>
                </c:pt>
                <c:pt idx="4232">
                  <c:v>-57.68</c:v>
                </c:pt>
                <c:pt idx="4233">
                  <c:v>-57.67</c:v>
                </c:pt>
                <c:pt idx="4234">
                  <c:v>-57.66</c:v>
                </c:pt>
                <c:pt idx="4235">
                  <c:v>-57.65</c:v>
                </c:pt>
                <c:pt idx="4236">
                  <c:v>-57.64</c:v>
                </c:pt>
                <c:pt idx="4237">
                  <c:v>-57.63</c:v>
                </c:pt>
                <c:pt idx="4238">
                  <c:v>-57.62</c:v>
                </c:pt>
                <c:pt idx="4239">
                  <c:v>-57.61</c:v>
                </c:pt>
                <c:pt idx="4240">
                  <c:v>-57.6</c:v>
                </c:pt>
                <c:pt idx="4241">
                  <c:v>-57.59</c:v>
                </c:pt>
                <c:pt idx="4242">
                  <c:v>-57.58</c:v>
                </c:pt>
                <c:pt idx="4243">
                  <c:v>-57.57</c:v>
                </c:pt>
                <c:pt idx="4244">
                  <c:v>-57.56</c:v>
                </c:pt>
                <c:pt idx="4245">
                  <c:v>-57.55</c:v>
                </c:pt>
                <c:pt idx="4246">
                  <c:v>-57.54</c:v>
                </c:pt>
                <c:pt idx="4247">
                  <c:v>-57.53</c:v>
                </c:pt>
                <c:pt idx="4248">
                  <c:v>-57.52</c:v>
                </c:pt>
                <c:pt idx="4249">
                  <c:v>-57.51</c:v>
                </c:pt>
                <c:pt idx="4250">
                  <c:v>-57.5</c:v>
                </c:pt>
                <c:pt idx="4251">
                  <c:v>-57.49</c:v>
                </c:pt>
                <c:pt idx="4252">
                  <c:v>-57.48</c:v>
                </c:pt>
                <c:pt idx="4253">
                  <c:v>-57.47</c:v>
                </c:pt>
                <c:pt idx="4254">
                  <c:v>-57.46</c:v>
                </c:pt>
                <c:pt idx="4255">
                  <c:v>-57.45</c:v>
                </c:pt>
                <c:pt idx="4256">
                  <c:v>-57.44</c:v>
                </c:pt>
                <c:pt idx="4257">
                  <c:v>-57.43</c:v>
                </c:pt>
                <c:pt idx="4258">
                  <c:v>-57.42</c:v>
                </c:pt>
                <c:pt idx="4259">
                  <c:v>-57.41</c:v>
                </c:pt>
                <c:pt idx="4260">
                  <c:v>-57.4</c:v>
                </c:pt>
                <c:pt idx="4261">
                  <c:v>-57.39</c:v>
                </c:pt>
                <c:pt idx="4262">
                  <c:v>-57.38</c:v>
                </c:pt>
                <c:pt idx="4263">
                  <c:v>-57.37</c:v>
                </c:pt>
                <c:pt idx="4264">
                  <c:v>-57.36</c:v>
                </c:pt>
                <c:pt idx="4265">
                  <c:v>-57.35</c:v>
                </c:pt>
                <c:pt idx="4266">
                  <c:v>-57.34</c:v>
                </c:pt>
                <c:pt idx="4267">
                  <c:v>-57.33</c:v>
                </c:pt>
                <c:pt idx="4268">
                  <c:v>-57.32</c:v>
                </c:pt>
                <c:pt idx="4269">
                  <c:v>-57.31</c:v>
                </c:pt>
                <c:pt idx="4270">
                  <c:v>-57.3</c:v>
                </c:pt>
                <c:pt idx="4271">
                  <c:v>-57.29</c:v>
                </c:pt>
                <c:pt idx="4272">
                  <c:v>-57.28</c:v>
                </c:pt>
                <c:pt idx="4273">
                  <c:v>-57.27</c:v>
                </c:pt>
                <c:pt idx="4274">
                  <c:v>-57.26</c:v>
                </c:pt>
                <c:pt idx="4275">
                  <c:v>-57.25</c:v>
                </c:pt>
                <c:pt idx="4276">
                  <c:v>-57.24</c:v>
                </c:pt>
                <c:pt idx="4277">
                  <c:v>-57.23</c:v>
                </c:pt>
                <c:pt idx="4278">
                  <c:v>-57.22</c:v>
                </c:pt>
                <c:pt idx="4279">
                  <c:v>-57.21</c:v>
                </c:pt>
                <c:pt idx="4280">
                  <c:v>-57.2</c:v>
                </c:pt>
                <c:pt idx="4281">
                  <c:v>-57.19</c:v>
                </c:pt>
                <c:pt idx="4282">
                  <c:v>-57.18</c:v>
                </c:pt>
                <c:pt idx="4283">
                  <c:v>-57.17</c:v>
                </c:pt>
                <c:pt idx="4284">
                  <c:v>-57.16</c:v>
                </c:pt>
                <c:pt idx="4285">
                  <c:v>-57.15</c:v>
                </c:pt>
                <c:pt idx="4286">
                  <c:v>-57.14</c:v>
                </c:pt>
                <c:pt idx="4287">
                  <c:v>-57.13</c:v>
                </c:pt>
                <c:pt idx="4288">
                  <c:v>-57.12</c:v>
                </c:pt>
                <c:pt idx="4289">
                  <c:v>-57.11</c:v>
                </c:pt>
                <c:pt idx="4290">
                  <c:v>-57.1</c:v>
                </c:pt>
                <c:pt idx="4291">
                  <c:v>-57.09</c:v>
                </c:pt>
                <c:pt idx="4292">
                  <c:v>-57.08</c:v>
                </c:pt>
                <c:pt idx="4293">
                  <c:v>-57.07</c:v>
                </c:pt>
                <c:pt idx="4294">
                  <c:v>-57.06</c:v>
                </c:pt>
                <c:pt idx="4295">
                  <c:v>-57.05</c:v>
                </c:pt>
                <c:pt idx="4296">
                  <c:v>-57.04</c:v>
                </c:pt>
                <c:pt idx="4297">
                  <c:v>-57.03</c:v>
                </c:pt>
                <c:pt idx="4298">
                  <c:v>-57.02</c:v>
                </c:pt>
                <c:pt idx="4299">
                  <c:v>-57.01</c:v>
                </c:pt>
                <c:pt idx="4300">
                  <c:v>-57.0</c:v>
                </c:pt>
                <c:pt idx="4301">
                  <c:v>-56.99</c:v>
                </c:pt>
                <c:pt idx="4302">
                  <c:v>-56.98</c:v>
                </c:pt>
                <c:pt idx="4303">
                  <c:v>-56.97</c:v>
                </c:pt>
                <c:pt idx="4304">
                  <c:v>-56.96</c:v>
                </c:pt>
                <c:pt idx="4305">
                  <c:v>-56.95</c:v>
                </c:pt>
                <c:pt idx="4306">
                  <c:v>-56.94</c:v>
                </c:pt>
                <c:pt idx="4307">
                  <c:v>-56.93</c:v>
                </c:pt>
                <c:pt idx="4308">
                  <c:v>-56.92</c:v>
                </c:pt>
                <c:pt idx="4309">
                  <c:v>-56.91</c:v>
                </c:pt>
                <c:pt idx="4310">
                  <c:v>-56.9</c:v>
                </c:pt>
                <c:pt idx="4311">
                  <c:v>-56.89</c:v>
                </c:pt>
                <c:pt idx="4312">
                  <c:v>-56.88</c:v>
                </c:pt>
                <c:pt idx="4313">
                  <c:v>-56.87</c:v>
                </c:pt>
                <c:pt idx="4314">
                  <c:v>-56.86</c:v>
                </c:pt>
                <c:pt idx="4315">
                  <c:v>-56.85</c:v>
                </c:pt>
                <c:pt idx="4316">
                  <c:v>-56.84</c:v>
                </c:pt>
                <c:pt idx="4317">
                  <c:v>-56.83</c:v>
                </c:pt>
                <c:pt idx="4318">
                  <c:v>-56.82</c:v>
                </c:pt>
                <c:pt idx="4319">
                  <c:v>-56.81</c:v>
                </c:pt>
                <c:pt idx="4320">
                  <c:v>-56.8</c:v>
                </c:pt>
                <c:pt idx="4321">
                  <c:v>-56.79</c:v>
                </c:pt>
                <c:pt idx="4322">
                  <c:v>-56.78</c:v>
                </c:pt>
                <c:pt idx="4323">
                  <c:v>-56.77</c:v>
                </c:pt>
                <c:pt idx="4324">
                  <c:v>-56.76</c:v>
                </c:pt>
                <c:pt idx="4325">
                  <c:v>-56.75</c:v>
                </c:pt>
                <c:pt idx="4326">
                  <c:v>-56.74</c:v>
                </c:pt>
                <c:pt idx="4327">
                  <c:v>-56.73</c:v>
                </c:pt>
                <c:pt idx="4328">
                  <c:v>-56.72</c:v>
                </c:pt>
                <c:pt idx="4329">
                  <c:v>-56.71</c:v>
                </c:pt>
                <c:pt idx="4330">
                  <c:v>-56.7</c:v>
                </c:pt>
                <c:pt idx="4331">
                  <c:v>-56.69</c:v>
                </c:pt>
                <c:pt idx="4332">
                  <c:v>-56.68</c:v>
                </c:pt>
                <c:pt idx="4333">
                  <c:v>-56.67</c:v>
                </c:pt>
                <c:pt idx="4334">
                  <c:v>-56.66</c:v>
                </c:pt>
                <c:pt idx="4335">
                  <c:v>-56.65</c:v>
                </c:pt>
                <c:pt idx="4336">
                  <c:v>-56.64</c:v>
                </c:pt>
                <c:pt idx="4337">
                  <c:v>-56.63</c:v>
                </c:pt>
                <c:pt idx="4338">
                  <c:v>-56.62</c:v>
                </c:pt>
                <c:pt idx="4339">
                  <c:v>-56.61</c:v>
                </c:pt>
                <c:pt idx="4340">
                  <c:v>-56.6</c:v>
                </c:pt>
                <c:pt idx="4341">
                  <c:v>-56.59</c:v>
                </c:pt>
                <c:pt idx="4342">
                  <c:v>-56.58</c:v>
                </c:pt>
                <c:pt idx="4343">
                  <c:v>-56.57</c:v>
                </c:pt>
                <c:pt idx="4344">
                  <c:v>-56.56</c:v>
                </c:pt>
                <c:pt idx="4345">
                  <c:v>-56.55</c:v>
                </c:pt>
                <c:pt idx="4346">
                  <c:v>-56.54</c:v>
                </c:pt>
                <c:pt idx="4347">
                  <c:v>-56.53</c:v>
                </c:pt>
                <c:pt idx="4348">
                  <c:v>-56.52</c:v>
                </c:pt>
                <c:pt idx="4349">
                  <c:v>-56.51</c:v>
                </c:pt>
                <c:pt idx="4350">
                  <c:v>-56.5</c:v>
                </c:pt>
                <c:pt idx="4351">
                  <c:v>-56.49</c:v>
                </c:pt>
                <c:pt idx="4352">
                  <c:v>-56.48</c:v>
                </c:pt>
                <c:pt idx="4353">
                  <c:v>-56.47</c:v>
                </c:pt>
                <c:pt idx="4354">
                  <c:v>-56.46</c:v>
                </c:pt>
                <c:pt idx="4355">
                  <c:v>-56.45</c:v>
                </c:pt>
                <c:pt idx="4356">
                  <c:v>-56.44</c:v>
                </c:pt>
                <c:pt idx="4357">
                  <c:v>-56.43</c:v>
                </c:pt>
                <c:pt idx="4358">
                  <c:v>-56.42</c:v>
                </c:pt>
                <c:pt idx="4359">
                  <c:v>-56.41</c:v>
                </c:pt>
                <c:pt idx="4360">
                  <c:v>-56.4</c:v>
                </c:pt>
                <c:pt idx="4361">
                  <c:v>-56.39</c:v>
                </c:pt>
                <c:pt idx="4362">
                  <c:v>-56.38</c:v>
                </c:pt>
                <c:pt idx="4363">
                  <c:v>-56.37</c:v>
                </c:pt>
                <c:pt idx="4364">
                  <c:v>-56.36</c:v>
                </c:pt>
                <c:pt idx="4365">
                  <c:v>-56.35</c:v>
                </c:pt>
                <c:pt idx="4366">
                  <c:v>-56.34</c:v>
                </c:pt>
                <c:pt idx="4367">
                  <c:v>-56.33</c:v>
                </c:pt>
                <c:pt idx="4368">
                  <c:v>-56.32</c:v>
                </c:pt>
                <c:pt idx="4369">
                  <c:v>-56.31</c:v>
                </c:pt>
                <c:pt idx="4370">
                  <c:v>-56.3</c:v>
                </c:pt>
                <c:pt idx="4371">
                  <c:v>-56.29</c:v>
                </c:pt>
                <c:pt idx="4372">
                  <c:v>-56.28</c:v>
                </c:pt>
                <c:pt idx="4373">
                  <c:v>-56.27</c:v>
                </c:pt>
                <c:pt idx="4374">
                  <c:v>-56.26</c:v>
                </c:pt>
                <c:pt idx="4375">
                  <c:v>-56.25</c:v>
                </c:pt>
                <c:pt idx="4376">
                  <c:v>-56.24</c:v>
                </c:pt>
                <c:pt idx="4377">
                  <c:v>-56.23</c:v>
                </c:pt>
                <c:pt idx="4378">
                  <c:v>-56.22</c:v>
                </c:pt>
                <c:pt idx="4379">
                  <c:v>-56.21</c:v>
                </c:pt>
                <c:pt idx="4380">
                  <c:v>-56.2</c:v>
                </c:pt>
                <c:pt idx="4381">
                  <c:v>-56.19</c:v>
                </c:pt>
                <c:pt idx="4382">
                  <c:v>-56.18</c:v>
                </c:pt>
                <c:pt idx="4383">
                  <c:v>-56.17</c:v>
                </c:pt>
                <c:pt idx="4384">
                  <c:v>-56.16</c:v>
                </c:pt>
                <c:pt idx="4385">
                  <c:v>-56.15</c:v>
                </c:pt>
                <c:pt idx="4386">
                  <c:v>-56.14</c:v>
                </c:pt>
                <c:pt idx="4387">
                  <c:v>-56.13</c:v>
                </c:pt>
                <c:pt idx="4388">
                  <c:v>-56.12</c:v>
                </c:pt>
                <c:pt idx="4389">
                  <c:v>-56.11</c:v>
                </c:pt>
                <c:pt idx="4390">
                  <c:v>-56.1</c:v>
                </c:pt>
                <c:pt idx="4391">
                  <c:v>-56.09</c:v>
                </c:pt>
                <c:pt idx="4392">
                  <c:v>-56.08</c:v>
                </c:pt>
                <c:pt idx="4393">
                  <c:v>-56.07</c:v>
                </c:pt>
                <c:pt idx="4394">
                  <c:v>-56.06</c:v>
                </c:pt>
                <c:pt idx="4395">
                  <c:v>-56.05</c:v>
                </c:pt>
                <c:pt idx="4396">
                  <c:v>-56.04</c:v>
                </c:pt>
                <c:pt idx="4397">
                  <c:v>-56.03</c:v>
                </c:pt>
                <c:pt idx="4398">
                  <c:v>-56.02</c:v>
                </c:pt>
                <c:pt idx="4399">
                  <c:v>-56.01</c:v>
                </c:pt>
                <c:pt idx="4400">
                  <c:v>-56.0</c:v>
                </c:pt>
                <c:pt idx="4401">
                  <c:v>-55.99</c:v>
                </c:pt>
                <c:pt idx="4402">
                  <c:v>-55.98</c:v>
                </c:pt>
                <c:pt idx="4403">
                  <c:v>-55.97</c:v>
                </c:pt>
                <c:pt idx="4404">
                  <c:v>-55.96</c:v>
                </c:pt>
                <c:pt idx="4405">
                  <c:v>-55.95</c:v>
                </c:pt>
                <c:pt idx="4406">
                  <c:v>-55.94</c:v>
                </c:pt>
                <c:pt idx="4407">
                  <c:v>-55.93</c:v>
                </c:pt>
                <c:pt idx="4408">
                  <c:v>-55.92</c:v>
                </c:pt>
                <c:pt idx="4409">
                  <c:v>-55.91</c:v>
                </c:pt>
                <c:pt idx="4410">
                  <c:v>-55.9</c:v>
                </c:pt>
                <c:pt idx="4411">
                  <c:v>-55.89</c:v>
                </c:pt>
                <c:pt idx="4412">
                  <c:v>-55.88</c:v>
                </c:pt>
                <c:pt idx="4413">
                  <c:v>-55.87</c:v>
                </c:pt>
                <c:pt idx="4414">
                  <c:v>-55.86</c:v>
                </c:pt>
                <c:pt idx="4415">
                  <c:v>-55.85</c:v>
                </c:pt>
                <c:pt idx="4416">
                  <c:v>-55.84</c:v>
                </c:pt>
                <c:pt idx="4417">
                  <c:v>-55.83</c:v>
                </c:pt>
                <c:pt idx="4418">
                  <c:v>-55.82</c:v>
                </c:pt>
                <c:pt idx="4419">
                  <c:v>-55.81</c:v>
                </c:pt>
                <c:pt idx="4420">
                  <c:v>-55.8</c:v>
                </c:pt>
                <c:pt idx="4421">
                  <c:v>-55.79</c:v>
                </c:pt>
                <c:pt idx="4422">
                  <c:v>-55.78</c:v>
                </c:pt>
                <c:pt idx="4423">
                  <c:v>-55.77</c:v>
                </c:pt>
                <c:pt idx="4424">
                  <c:v>-55.76</c:v>
                </c:pt>
                <c:pt idx="4425">
                  <c:v>-55.75</c:v>
                </c:pt>
                <c:pt idx="4426">
                  <c:v>-55.74</c:v>
                </c:pt>
                <c:pt idx="4427">
                  <c:v>-55.73</c:v>
                </c:pt>
                <c:pt idx="4428">
                  <c:v>-55.72</c:v>
                </c:pt>
                <c:pt idx="4429">
                  <c:v>-55.71</c:v>
                </c:pt>
                <c:pt idx="4430">
                  <c:v>-55.7</c:v>
                </c:pt>
                <c:pt idx="4431">
                  <c:v>-55.69</c:v>
                </c:pt>
                <c:pt idx="4432">
                  <c:v>-55.68</c:v>
                </c:pt>
                <c:pt idx="4433">
                  <c:v>-55.67</c:v>
                </c:pt>
                <c:pt idx="4434">
                  <c:v>-55.66</c:v>
                </c:pt>
                <c:pt idx="4435">
                  <c:v>-55.65</c:v>
                </c:pt>
                <c:pt idx="4436">
                  <c:v>-55.64</c:v>
                </c:pt>
                <c:pt idx="4437">
                  <c:v>-55.63</c:v>
                </c:pt>
                <c:pt idx="4438">
                  <c:v>-55.62</c:v>
                </c:pt>
                <c:pt idx="4439">
                  <c:v>-55.61</c:v>
                </c:pt>
                <c:pt idx="4440">
                  <c:v>-55.6</c:v>
                </c:pt>
                <c:pt idx="4441">
                  <c:v>-55.59</c:v>
                </c:pt>
                <c:pt idx="4442">
                  <c:v>-55.58</c:v>
                </c:pt>
                <c:pt idx="4443">
                  <c:v>-55.57</c:v>
                </c:pt>
                <c:pt idx="4444">
                  <c:v>-55.56</c:v>
                </c:pt>
                <c:pt idx="4445">
                  <c:v>-55.55</c:v>
                </c:pt>
                <c:pt idx="4446">
                  <c:v>-55.54</c:v>
                </c:pt>
                <c:pt idx="4447">
                  <c:v>-55.53</c:v>
                </c:pt>
                <c:pt idx="4448">
                  <c:v>-55.52</c:v>
                </c:pt>
                <c:pt idx="4449">
                  <c:v>-55.51</c:v>
                </c:pt>
                <c:pt idx="4450">
                  <c:v>-55.5</c:v>
                </c:pt>
                <c:pt idx="4451">
                  <c:v>-55.49</c:v>
                </c:pt>
                <c:pt idx="4452">
                  <c:v>-55.48</c:v>
                </c:pt>
                <c:pt idx="4453">
                  <c:v>-55.47</c:v>
                </c:pt>
                <c:pt idx="4454">
                  <c:v>-55.46</c:v>
                </c:pt>
                <c:pt idx="4455">
                  <c:v>-55.45</c:v>
                </c:pt>
                <c:pt idx="4456">
                  <c:v>-55.44</c:v>
                </c:pt>
                <c:pt idx="4457">
                  <c:v>-55.43</c:v>
                </c:pt>
                <c:pt idx="4458">
                  <c:v>-55.42</c:v>
                </c:pt>
                <c:pt idx="4459">
                  <c:v>-55.41</c:v>
                </c:pt>
                <c:pt idx="4460">
                  <c:v>-55.4</c:v>
                </c:pt>
                <c:pt idx="4461">
                  <c:v>-55.39</c:v>
                </c:pt>
                <c:pt idx="4462">
                  <c:v>-55.38</c:v>
                </c:pt>
                <c:pt idx="4463">
                  <c:v>-55.37</c:v>
                </c:pt>
                <c:pt idx="4464">
                  <c:v>-55.36</c:v>
                </c:pt>
                <c:pt idx="4465">
                  <c:v>-55.35</c:v>
                </c:pt>
                <c:pt idx="4466">
                  <c:v>-55.34</c:v>
                </c:pt>
                <c:pt idx="4467">
                  <c:v>-55.33</c:v>
                </c:pt>
                <c:pt idx="4468">
                  <c:v>-55.32</c:v>
                </c:pt>
                <c:pt idx="4469">
                  <c:v>-55.31</c:v>
                </c:pt>
                <c:pt idx="4470">
                  <c:v>-55.3</c:v>
                </c:pt>
                <c:pt idx="4471">
                  <c:v>-55.29</c:v>
                </c:pt>
                <c:pt idx="4472">
                  <c:v>-55.28</c:v>
                </c:pt>
                <c:pt idx="4473">
                  <c:v>-55.27</c:v>
                </c:pt>
                <c:pt idx="4474">
                  <c:v>-55.26</c:v>
                </c:pt>
                <c:pt idx="4475">
                  <c:v>-55.25</c:v>
                </c:pt>
                <c:pt idx="4476">
                  <c:v>-55.24</c:v>
                </c:pt>
                <c:pt idx="4477">
                  <c:v>-55.23</c:v>
                </c:pt>
                <c:pt idx="4478">
                  <c:v>-55.22</c:v>
                </c:pt>
                <c:pt idx="4479">
                  <c:v>-55.21</c:v>
                </c:pt>
                <c:pt idx="4480">
                  <c:v>-55.2</c:v>
                </c:pt>
                <c:pt idx="4481">
                  <c:v>-55.19</c:v>
                </c:pt>
                <c:pt idx="4482">
                  <c:v>-55.18</c:v>
                </c:pt>
                <c:pt idx="4483">
                  <c:v>-55.17</c:v>
                </c:pt>
                <c:pt idx="4484">
                  <c:v>-55.16</c:v>
                </c:pt>
                <c:pt idx="4485">
                  <c:v>-55.15</c:v>
                </c:pt>
                <c:pt idx="4486">
                  <c:v>-55.14</c:v>
                </c:pt>
                <c:pt idx="4487">
                  <c:v>-55.13</c:v>
                </c:pt>
                <c:pt idx="4488">
                  <c:v>-55.12</c:v>
                </c:pt>
                <c:pt idx="4489">
                  <c:v>-55.11</c:v>
                </c:pt>
                <c:pt idx="4490">
                  <c:v>-55.1</c:v>
                </c:pt>
                <c:pt idx="4491">
                  <c:v>-55.09</c:v>
                </c:pt>
                <c:pt idx="4492">
                  <c:v>-55.08</c:v>
                </c:pt>
                <c:pt idx="4493">
                  <c:v>-55.07</c:v>
                </c:pt>
                <c:pt idx="4494">
                  <c:v>-55.06</c:v>
                </c:pt>
                <c:pt idx="4495">
                  <c:v>-55.05</c:v>
                </c:pt>
                <c:pt idx="4496">
                  <c:v>-55.04</c:v>
                </c:pt>
                <c:pt idx="4497">
                  <c:v>-55.03</c:v>
                </c:pt>
                <c:pt idx="4498">
                  <c:v>-55.02</c:v>
                </c:pt>
                <c:pt idx="4499">
                  <c:v>-55.01</c:v>
                </c:pt>
                <c:pt idx="4500">
                  <c:v>-55.0</c:v>
                </c:pt>
                <c:pt idx="4501">
                  <c:v>-54.99</c:v>
                </c:pt>
                <c:pt idx="4502">
                  <c:v>-54.98</c:v>
                </c:pt>
                <c:pt idx="4503">
                  <c:v>-54.97</c:v>
                </c:pt>
                <c:pt idx="4504">
                  <c:v>-54.96</c:v>
                </c:pt>
                <c:pt idx="4505">
                  <c:v>-54.95</c:v>
                </c:pt>
                <c:pt idx="4506">
                  <c:v>-54.94</c:v>
                </c:pt>
                <c:pt idx="4507">
                  <c:v>-54.93</c:v>
                </c:pt>
                <c:pt idx="4508">
                  <c:v>-54.92</c:v>
                </c:pt>
                <c:pt idx="4509">
                  <c:v>-54.91</c:v>
                </c:pt>
                <c:pt idx="4510">
                  <c:v>-54.9</c:v>
                </c:pt>
                <c:pt idx="4511">
                  <c:v>-54.89</c:v>
                </c:pt>
                <c:pt idx="4512">
                  <c:v>-54.88</c:v>
                </c:pt>
                <c:pt idx="4513">
                  <c:v>-54.87</c:v>
                </c:pt>
                <c:pt idx="4514">
                  <c:v>-54.86</c:v>
                </c:pt>
                <c:pt idx="4515">
                  <c:v>-54.85</c:v>
                </c:pt>
                <c:pt idx="4516">
                  <c:v>-54.84</c:v>
                </c:pt>
                <c:pt idx="4517">
                  <c:v>-54.83</c:v>
                </c:pt>
                <c:pt idx="4518">
                  <c:v>-54.82</c:v>
                </c:pt>
                <c:pt idx="4519">
                  <c:v>-54.81</c:v>
                </c:pt>
                <c:pt idx="4520">
                  <c:v>-54.8</c:v>
                </c:pt>
                <c:pt idx="4521">
                  <c:v>-54.79</c:v>
                </c:pt>
                <c:pt idx="4522">
                  <c:v>-54.78</c:v>
                </c:pt>
                <c:pt idx="4523">
                  <c:v>-54.77</c:v>
                </c:pt>
                <c:pt idx="4524">
                  <c:v>-54.76</c:v>
                </c:pt>
                <c:pt idx="4525">
                  <c:v>-54.75</c:v>
                </c:pt>
                <c:pt idx="4526">
                  <c:v>-54.74</c:v>
                </c:pt>
                <c:pt idx="4527">
                  <c:v>-54.73</c:v>
                </c:pt>
                <c:pt idx="4528">
                  <c:v>-54.72</c:v>
                </c:pt>
                <c:pt idx="4529">
                  <c:v>-54.71</c:v>
                </c:pt>
                <c:pt idx="4530">
                  <c:v>-54.7</c:v>
                </c:pt>
                <c:pt idx="4531">
                  <c:v>-54.69</c:v>
                </c:pt>
                <c:pt idx="4532">
                  <c:v>-54.68</c:v>
                </c:pt>
                <c:pt idx="4533">
                  <c:v>-54.67</c:v>
                </c:pt>
                <c:pt idx="4534">
                  <c:v>-54.66</c:v>
                </c:pt>
                <c:pt idx="4535">
                  <c:v>-54.65</c:v>
                </c:pt>
                <c:pt idx="4536">
                  <c:v>-54.64</c:v>
                </c:pt>
                <c:pt idx="4537">
                  <c:v>-54.63</c:v>
                </c:pt>
                <c:pt idx="4538">
                  <c:v>-54.62</c:v>
                </c:pt>
                <c:pt idx="4539">
                  <c:v>-54.61</c:v>
                </c:pt>
                <c:pt idx="4540">
                  <c:v>-54.6</c:v>
                </c:pt>
                <c:pt idx="4541">
                  <c:v>-54.59</c:v>
                </c:pt>
                <c:pt idx="4542">
                  <c:v>-54.58</c:v>
                </c:pt>
                <c:pt idx="4543">
                  <c:v>-54.57</c:v>
                </c:pt>
                <c:pt idx="4544">
                  <c:v>-54.56</c:v>
                </c:pt>
                <c:pt idx="4545">
                  <c:v>-54.55</c:v>
                </c:pt>
                <c:pt idx="4546">
                  <c:v>-54.54</c:v>
                </c:pt>
                <c:pt idx="4547">
                  <c:v>-54.53</c:v>
                </c:pt>
                <c:pt idx="4548">
                  <c:v>-54.52</c:v>
                </c:pt>
                <c:pt idx="4549">
                  <c:v>-54.51</c:v>
                </c:pt>
                <c:pt idx="4550">
                  <c:v>-54.5</c:v>
                </c:pt>
                <c:pt idx="4551">
                  <c:v>-54.49</c:v>
                </c:pt>
                <c:pt idx="4552">
                  <c:v>-54.48</c:v>
                </c:pt>
                <c:pt idx="4553">
                  <c:v>-54.47</c:v>
                </c:pt>
                <c:pt idx="4554">
                  <c:v>-54.46</c:v>
                </c:pt>
                <c:pt idx="4555">
                  <c:v>-54.45</c:v>
                </c:pt>
                <c:pt idx="4556">
                  <c:v>-54.44</c:v>
                </c:pt>
                <c:pt idx="4557">
                  <c:v>-54.43</c:v>
                </c:pt>
                <c:pt idx="4558">
                  <c:v>-54.42</c:v>
                </c:pt>
                <c:pt idx="4559">
                  <c:v>-54.41</c:v>
                </c:pt>
                <c:pt idx="4560">
                  <c:v>-54.4</c:v>
                </c:pt>
                <c:pt idx="4561">
                  <c:v>-54.39</c:v>
                </c:pt>
                <c:pt idx="4562">
                  <c:v>-54.38</c:v>
                </c:pt>
                <c:pt idx="4563">
                  <c:v>-54.37</c:v>
                </c:pt>
                <c:pt idx="4564">
                  <c:v>-54.36</c:v>
                </c:pt>
                <c:pt idx="4565">
                  <c:v>-54.35</c:v>
                </c:pt>
                <c:pt idx="4566">
                  <c:v>-54.34</c:v>
                </c:pt>
                <c:pt idx="4567">
                  <c:v>-54.33</c:v>
                </c:pt>
                <c:pt idx="4568">
                  <c:v>-54.32</c:v>
                </c:pt>
                <c:pt idx="4569">
                  <c:v>-54.31</c:v>
                </c:pt>
                <c:pt idx="4570">
                  <c:v>-54.3</c:v>
                </c:pt>
                <c:pt idx="4571">
                  <c:v>-54.29</c:v>
                </c:pt>
                <c:pt idx="4572">
                  <c:v>-54.28</c:v>
                </c:pt>
                <c:pt idx="4573">
                  <c:v>-54.27</c:v>
                </c:pt>
                <c:pt idx="4574">
                  <c:v>-54.26</c:v>
                </c:pt>
                <c:pt idx="4575">
                  <c:v>-54.25</c:v>
                </c:pt>
                <c:pt idx="4576">
                  <c:v>-54.24</c:v>
                </c:pt>
                <c:pt idx="4577">
                  <c:v>-54.23</c:v>
                </c:pt>
                <c:pt idx="4578">
                  <c:v>-54.22</c:v>
                </c:pt>
                <c:pt idx="4579">
                  <c:v>-54.21</c:v>
                </c:pt>
                <c:pt idx="4580">
                  <c:v>-54.2</c:v>
                </c:pt>
                <c:pt idx="4581">
                  <c:v>-54.19</c:v>
                </c:pt>
                <c:pt idx="4582">
                  <c:v>-54.18</c:v>
                </c:pt>
                <c:pt idx="4583">
                  <c:v>-54.17</c:v>
                </c:pt>
                <c:pt idx="4584">
                  <c:v>-54.16</c:v>
                </c:pt>
                <c:pt idx="4585">
                  <c:v>-54.15</c:v>
                </c:pt>
                <c:pt idx="4586">
                  <c:v>-54.14</c:v>
                </c:pt>
                <c:pt idx="4587">
                  <c:v>-54.13</c:v>
                </c:pt>
                <c:pt idx="4588">
                  <c:v>-54.12</c:v>
                </c:pt>
                <c:pt idx="4589">
                  <c:v>-54.11</c:v>
                </c:pt>
                <c:pt idx="4590">
                  <c:v>-54.1</c:v>
                </c:pt>
                <c:pt idx="4591">
                  <c:v>-54.09</c:v>
                </c:pt>
                <c:pt idx="4592">
                  <c:v>-54.08</c:v>
                </c:pt>
                <c:pt idx="4593">
                  <c:v>-54.07</c:v>
                </c:pt>
                <c:pt idx="4594">
                  <c:v>-54.06</c:v>
                </c:pt>
                <c:pt idx="4595">
                  <c:v>-54.05</c:v>
                </c:pt>
                <c:pt idx="4596">
                  <c:v>-54.04</c:v>
                </c:pt>
                <c:pt idx="4597">
                  <c:v>-54.03</c:v>
                </c:pt>
                <c:pt idx="4598">
                  <c:v>-54.02</c:v>
                </c:pt>
                <c:pt idx="4599">
                  <c:v>-54.01</c:v>
                </c:pt>
                <c:pt idx="4600">
                  <c:v>-54.0</c:v>
                </c:pt>
                <c:pt idx="4601">
                  <c:v>-53.99</c:v>
                </c:pt>
                <c:pt idx="4602">
                  <c:v>-53.98</c:v>
                </c:pt>
                <c:pt idx="4603">
                  <c:v>-53.97</c:v>
                </c:pt>
                <c:pt idx="4604">
                  <c:v>-53.96</c:v>
                </c:pt>
                <c:pt idx="4605">
                  <c:v>-53.95</c:v>
                </c:pt>
                <c:pt idx="4606">
                  <c:v>-53.94</c:v>
                </c:pt>
                <c:pt idx="4607">
                  <c:v>-53.93</c:v>
                </c:pt>
                <c:pt idx="4608">
                  <c:v>-53.92</c:v>
                </c:pt>
                <c:pt idx="4609">
                  <c:v>-53.91</c:v>
                </c:pt>
                <c:pt idx="4610">
                  <c:v>-53.9</c:v>
                </c:pt>
                <c:pt idx="4611">
                  <c:v>-53.89</c:v>
                </c:pt>
                <c:pt idx="4612">
                  <c:v>-53.88</c:v>
                </c:pt>
                <c:pt idx="4613">
                  <c:v>-53.87</c:v>
                </c:pt>
                <c:pt idx="4614">
                  <c:v>-53.86</c:v>
                </c:pt>
                <c:pt idx="4615">
                  <c:v>-53.85</c:v>
                </c:pt>
                <c:pt idx="4616">
                  <c:v>-53.84</c:v>
                </c:pt>
                <c:pt idx="4617">
                  <c:v>-53.83</c:v>
                </c:pt>
                <c:pt idx="4618">
                  <c:v>-53.82</c:v>
                </c:pt>
                <c:pt idx="4619">
                  <c:v>-53.81</c:v>
                </c:pt>
                <c:pt idx="4620">
                  <c:v>-53.8</c:v>
                </c:pt>
                <c:pt idx="4621">
                  <c:v>-53.79</c:v>
                </c:pt>
                <c:pt idx="4622">
                  <c:v>-53.78</c:v>
                </c:pt>
                <c:pt idx="4623">
                  <c:v>-53.77</c:v>
                </c:pt>
                <c:pt idx="4624">
                  <c:v>-53.76</c:v>
                </c:pt>
                <c:pt idx="4625">
                  <c:v>-53.75</c:v>
                </c:pt>
                <c:pt idx="4626">
                  <c:v>-53.74</c:v>
                </c:pt>
                <c:pt idx="4627">
                  <c:v>-53.73</c:v>
                </c:pt>
                <c:pt idx="4628">
                  <c:v>-53.72</c:v>
                </c:pt>
                <c:pt idx="4629">
                  <c:v>-53.71</c:v>
                </c:pt>
                <c:pt idx="4630">
                  <c:v>-53.7</c:v>
                </c:pt>
                <c:pt idx="4631">
                  <c:v>-53.69</c:v>
                </c:pt>
                <c:pt idx="4632">
                  <c:v>-53.68</c:v>
                </c:pt>
                <c:pt idx="4633">
                  <c:v>-53.67</c:v>
                </c:pt>
                <c:pt idx="4634">
                  <c:v>-53.66</c:v>
                </c:pt>
                <c:pt idx="4635">
                  <c:v>-53.65</c:v>
                </c:pt>
                <c:pt idx="4636">
                  <c:v>-53.64</c:v>
                </c:pt>
                <c:pt idx="4637">
                  <c:v>-53.63</c:v>
                </c:pt>
                <c:pt idx="4638">
                  <c:v>-53.62</c:v>
                </c:pt>
                <c:pt idx="4639">
                  <c:v>-53.61</c:v>
                </c:pt>
                <c:pt idx="4640">
                  <c:v>-53.6</c:v>
                </c:pt>
                <c:pt idx="4641">
                  <c:v>-53.59</c:v>
                </c:pt>
                <c:pt idx="4642">
                  <c:v>-53.58</c:v>
                </c:pt>
                <c:pt idx="4643">
                  <c:v>-53.57</c:v>
                </c:pt>
                <c:pt idx="4644">
                  <c:v>-53.56</c:v>
                </c:pt>
                <c:pt idx="4645">
                  <c:v>-53.55</c:v>
                </c:pt>
                <c:pt idx="4646">
                  <c:v>-53.54</c:v>
                </c:pt>
                <c:pt idx="4647">
                  <c:v>-53.53</c:v>
                </c:pt>
                <c:pt idx="4648">
                  <c:v>-53.52</c:v>
                </c:pt>
                <c:pt idx="4649">
                  <c:v>-53.51</c:v>
                </c:pt>
                <c:pt idx="4650">
                  <c:v>-53.5</c:v>
                </c:pt>
                <c:pt idx="4651">
                  <c:v>-53.49</c:v>
                </c:pt>
                <c:pt idx="4652">
                  <c:v>-53.48</c:v>
                </c:pt>
                <c:pt idx="4653">
                  <c:v>-53.47</c:v>
                </c:pt>
                <c:pt idx="4654">
                  <c:v>-53.46</c:v>
                </c:pt>
                <c:pt idx="4655">
                  <c:v>-53.45</c:v>
                </c:pt>
                <c:pt idx="4656">
                  <c:v>-53.44</c:v>
                </c:pt>
                <c:pt idx="4657">
                  <c:v>-53.43</c:v>
                </c:pt>
                <c:pt idx="4658">
                  <c:v>-53.42</c:v>
                </c:pt>
                <c:pt idx="4659">
                  <c:v>-53.41</c:v>
                </c:pt>
                <c:pt idx="4660">
                  <c:v>-53.4</c:v>
                </c:pt>
                <c:pt idx="4661">
                  <c:v>-53.39</c:v>
                </c:pt>
                <c:pt idx="4662">
                  <c:v>-53.38</c:v>
                </c:pt>
                <c:pt idx="4663">
                  <c:v>-53.37</c:v>
                </c:pt>
                <c:pt idx="4664">
                  <c:v>-53.36</c:v>
                </c:pt>
                <c:pt idx="4665">
                  <c:v>-53.35</c:v>
                </c:pt>
                <c:pt idx="4666">
                  <c:v>-53.34</c:v>
                </c:pt>
                <c:pt idx="4667">
                  <c:v>-53.33</c:v>
                </c:pt>
                <c:pt idx="4668">
                  <c:v>-53.32</c:v>
                </c:pt>
                <c:pt idx="4669">
                  <c:v>-53.31</c:v>
                </c:pt>
                <c:pt idx="4670">
                  <c:v>-53.3</c:v>
                </c:pt>
                <c:pt idx="4671">
                  <c:v>-53.29</c:v>
                </c:pt>
                <c:pt idx="4672">
                  <c:v>-53.28</c:v>
                </c:pt>
                <c:pt idx="4673">
                  <c:v>-53.27</c:v>
                </c:pt>
                <c:pt idx="4674">
                  <c:v>-53.26</c:v>
                </c:pt>
                <c:pt idx="4675">
                  <c:v>-53.25</c:v>
                </c:pt>
                <c:pt idx="4676">
                  <c:v>-53.24</c:v>
                </c:pt>
                <c:pt idx="4677">
                  <c:v>-53.23</c:v>
                </c:pt>
                <c:pt idx="4678">
                  <c:v>-53.22</c:v>
                </c:pt>
                <c:pt idx="4679">
                  <c:v>-53.21</c:v>
                </c:pt>
                <c:pt idx="4680">
                  <c:v>-53.2</c:v>
                </c:pt>
                <c:pt idx="4681">
                  <c:v>-53.19</c:v>
                </c:pt>
                <c:pt idx="4682">
                  <c:v>-53.18</c:v>
                </c:pt>
                <c:pt idx="4683">
                  <c:v>-53.17</c:v>
                </c:pt>
                <c:pt idx="4684">
                  <c:v>-53.16</c:v>
                </c:pt>
                <c:pt idx="4685">
                  <c:v>-53.15</c:v>
                </c:pt>
                <c:pt idx="4686">
                  <c:v>-53.14</c:v>
                </c:pt>
                <c:pt idx="4687">
                  <c:v>-53.13</c:v>
                </c:pt>
                <c:pt idx="4688">
                  <c:v>-53.12</c:v>
                </c:pt>
                <c:pt idx="4689">
                  <c:v>-53.11</c:v>
                </c:pt>
                <c:pt idx="4690">
                  <c:v>-53.1</c:v>
                </c:pt>
                <c:pt idx="4691">
                  <c:v>-53.09</c:v>
                </c:pt>
                <c:pt idx="4692">
                  <c:v>-53.08</c:v>
                </c:pt>
                <c:pt idx="4693">
                  <c:v>-53.07</c:v>
                </c:pt>
                <c:pt idx="4694">
                  <c:v>-53.06</c:v>
                </c:pt>
                <c:pt idx="4695">
                  <c:v>-53.05</c:v>
                </c:pt>
                <c:pt idx="4696">
                  <c:v>-53.04</c:v>
                </c:pt>
                <c:pt idx="4697">
                  <c:v>-53.03</c:v>
                </c:pt>
                <c:pt idx="4698">
                  <c:v>-53.02</c:v>
                </c:pt>
                <c:pt idx="4699">
                  <c:v>-53.01</c:v>
                </c:pt>
                <c:pt idx="4700">
                  <c:v>-53.0</c:v>
                </c:pt>
                <c:pt idx="4701">
                  <c:v>-52.99</c:v>
                </c:pt>
                <c:pt idx="4702">
                  <c:v>-52.98</c:v>
                </c:pt>
                <c:pt idx="4703">
                  <c:v>-52.97</c:v>
                </c:pt>
                <c:pt idx="4704">
                  <c:v>-52.96</c:v>
                </c:pt>
                <c:pt idx="4705">
                  <c:v>-52.95</c:v>
                </c:pt>
                <c:pt idx="4706">
                  <c:v>-52.94</c:v>
                </c:pt>
                <c:pt idx="4707">
                  <c:v>-52.93</c:v>
                </c:pt>
                <c:pt idx="4708">
                  <c:v>-52.92</c:v>
                </c:pt>
                <c:pt idx="4709">
                  <c:v>-52.91</c:v>
                </c:pt>
                <c:pt idx="4710">
                  <c:v>-52.9</c:v>
                </c:pt>
                <c:pt idx="4711">
                  <c:v>-52.89</c:v>
                </c:pt>
                <c:pt idx="4712">
                  <c:v>-52.88</c:v>
                </c:pt>
                <c:pt idx="4713">
                  <c:v>-52.87</c:v>
                </c:pt>
                <c:pt idx="4714">
                  <c:v>-52.86</c:v>
                </c:pt>
                <c:pt idx="4715">
                  <c:v>-52.85</c:v>
                </c:pt>
                <c:pt idx="4716">
                  <c:v>-52.84</c:v>
                </c:pt>
                <c:pt idx="4717">
                  <c:v>-52.83</c:v>
                </c:pt>
                <c:pt idx="4718">
                  <c:v>-52.82</c:v>
                </c:pt>
                <c:pt idx="4719">
                  <c:v>-52.81</c:v>
                </c:pt>
                <c:pt idx="4720">
                  <c:v>-52.8</c:v>
                </c:pt>
                <c:pt idx="4721">
                  <c:v>-52.79</c:v>
                </c:pt>
                <c:pt idx="4722">
                  <c:v>-52.78</c:v>
                </c:pt>
                <c:pt idx="4723">
                  <c:v>-52.77</c:v>
                </c:pt>
                <c:pt idx="4724">
                  <c:v>-52.76</c:v>
                </c:pt>
                <c:pt idx="4725">
                  <c:v>-52.75</c:v>
                </c:pt>
                <c:pt idx="4726">
                  <c:v>-52.74</c:v>
                </c:pt>
                <c:pt idx="4727">
                  <c:v>-52.73</c:v>
                </c:pt>
                <c:pt idx="4728">
                  <c:v>-52.72</c:v>
                </c:pt>
                <c:pt idx="4729">
                  <c:v>-52.71</c:v>
                </c:pt>
                <c:pt idx="4730">
                  <c:v>-52.7</c:v>
                </c:pt>
                <c:pt idx="4731">
                  <c:v>-52.69</c:v>
                </c:pt>
                <c:pt idx="4732">
                  <c:v>-52.68</c:v>
                </c:pt>
                <c:pt idx="4733">
                  <c:v>-52.67</c:v>
                </c:pt>
                <c:pt idx="4734">
                  <c:v>-52.66</c:v>
                </c:pt>
                <c:pt idx="4735">
                  <c:v>-52.65</c:v>
                </c:pt>
                <c:pt idx="4736">
                  <c:v>-52.64</c:v>
                </c:pt>
                <c:pt idx="4737">
                  <c:v>-52.63</c:v>
                </c:pt>
                <c:pt idx="4738">
                  <c:v>-52.62</c:v>
                </c:pt>
                <c:pt idx="4739">
                  <c:v>-52.61</c:v>
                </c:pt>
                <c:pt idx="4740">
                  <c:v>-52.6</c:v>
                </c:pt>
                <c:pt idx="4741">
                  <c:v>-52.59</c:v>
                </c:pt>
                <c:pt idx="4742">
                  <c:v>-52.58</c:v>
                </c:pt>
                <c:pt idx="4743">
                  <c:v>-52.57</c:v>
                </c:pt>
                <c:pt idx="4744">
                  <c:v>-52.56</c:v>
                </c:pt>
                <c:pt idx="4745">
                  <c:v>-52.55</c:v>
                </c:pt>
                <c:pt idx="4746">
                  <c:v>-52.54</c:v>
                </c:pt>
                <c:pt idx="4747">
                  <c:v>-52.53</c:v>
                </c:pt>
                <c:pt idx="4748">
                  <c:v>-52.52</c:v>
                </c:pt>
                <c:pt idx="4749">
                  <c:v>-52.51</c:v>
                </c:pt>
                <c:pt idx="4750">
                  <c:v>-52.5</c:v>
                </c:pt>
                <c:pt idx="4751">
                  <c:v>-52.49</c:v>
                </c:pt>
                <c:pt idx="4752">
                  <c:v>-52.48</c:v>
                </c:pt>
                <c:pt idx="4753">
                  <c:v>-52.47</c:v>
                </c:pt>
                <c:pt idx="4754">
                  <c:v>-52.46</c:v>
                </c:pt>
                <c:pt idx="4755">
                  <c:v>-52.45</c:v>
                </c:pt>
                <c:pt idx="4756">
                  <c:v>-52.44</c:v>
                </c:pt>
                <c:pt idx="4757">
                  <c:v>-52.43</c:v>
                </c:pt>
                <c:pt idx="4758">
                  <c:v>-52.42</c:v>
                </c:pt>
                <c:pt idx="4759">
                  <c:v>-52.41</c:v>
                </c:pt>
                <c:pt idx="4760">
                  <c:v>-52.4</c:v>
                </c:pt>
                <c:pt idx="4761">
                  <c:v>-52.39</c:v>
                </c:pt>
                <c:pt idx="4762">
                  <c:v>-52.38</c:v>
                </c:pt>
                <c:pt idx="4763">
                  <c:v>-52.37</c:v>
                </c:pt>
                <c:pt idx="4764">
                  <c:v>-52.36</c:v>
                </c:pt>
                <c:pt idx="4765">
                  <c:v>-52.35</c:v>
                </c:pt>
                <c:pt idx="4766">
                  <c:v>-52.34</c:v>
                </c:pt>
                <c:pt idx="4767">
                  <c:v>-52.33</c:v>
                </c:pt>
                <c:pt idx="4768">
                  <c:v>-52.32</c:v>
                </c:pt>
                <c:pt idx="4769">
                  <c:v>-52.31</c:v>
                </c:pt>
                <c:pt idx="4770">
                  <c:v>-52.3</c:v>
                </c:pt>
                <c:pt idx="4771">
                  <c:v>-52.29</c:v>
                </c:pt>
                <c:pt idx="4772">
                  <c:v>-52.28</c:v>
                </c:pt>
                <c:pt idx="4773">
                  <c:v>-52.27</c:v>
                </c:pt>
                <c:pt idx="4774">
                  <c:v>-52.26</c:v>
                </c:pt>
                <c:pt idx="4775">
                  <c:v>-52.25</c:v>
                </c:pt>
                <c:pt idx="4776">
                  <c:v>-52.24</c:v>
                </c:pt>
                <c:pt idx="4777">
                  <c:v>-52.23</c:v>
                </c:pt>
                <c:pt idx="4778">
                  <c:v>-52.22</c:v>
                </c:pt>
                <c:pt idx="4779">
                  <c:v>-52.21</c:v>
                </c:pt>
                <c:pt idx="4780">
                  <c:v>-52.2</c:v>
                </c:pt>
                <c:pt idx="4781">
                  <c:v>-52.19</c:v>
                </c:pt>
                <c:pt idx="4782">
                  <c:v>-52.18</c:v>
                </c:pt>
                <c:pt idx="4783">
                  <c:v>-52.17</c:v>
                </c:pt>
                <c:pt idx="4784">
                  <c:v>-52.16</c:v>
                </c:pt>
                <c:pt idx="4785">
                  <c:v>-52.15</c:v>
                </c:pt>
                <c:pt idx="4786">
                  <c:v>-52.14</c:v>
                </c:pt>
                <c:pt idx="4787">
                  <c:v>-52.13</c:v>
                </c:pt>
                <c:pt idx="4788">
                  <c:v>-52.12</c:v>
                </c:pt>
                <c:pt idx="4789">
                  <c:v>-52.11</c:v>
                </c:pt>
                <c:pt idx="4790">
                  <c:v>-52.1</c:v>
                </c:pt>
                <c:pt idx="4791">
                  <c:v>-52.09</c:v>
                </c:pt>
                <c:pt idx="4792">
                  <c:v>-52.08</c:v>
                </c:pt>
                <c:pt idx="4793">
                  <c:v>-52.07</c:v>
                </c:pt>
                <c:pt idx="4794">
                  <c:v>-52.06</c:v>
                </c:pt>
                <c:pt idx="4795">
                  <c:v>-52.05</c:v>
                </c:pt>
                <c:pt idx="4796">
                  <c:v>-52.04</c:v>
                </c:pt>
                <c:pt idx="4797">
                  <c:v>-52.03</c:v>
                </c:pt>
                <c:pt idx="4798">
                  <c:v>-52.02</c:v>
                </c:pt>
                <c:pt idx="4799">
                  <c:v>-52.01</c:v>
                </c:pt>
                <c:pt idx="4800">
                  <c:v>-52.0</c:v>
                </c:pt>
                <c:pt idx="4801">
                  <c:v>-51.99</c:v>
                </c:pt>
                <c:pt idx="4802">
                  <c:v>-51.98</c:v>
                </c:pt>
                <c:pt idx="4803">
                  <c:v>-51.97</c:v>
                </c:pt>
                <c:pt idx="4804">
                  <c:v>-51.96</c:v>
                </c:pt>
                <c:pt idx="4805">
                  <c:v>-51.95</c:v>
                </c:pt>
                <c:pt idx="4806">
                  <c:v>-51.94</c:v>
                </c:pt>
                <c:pt idx="4807">
                  <c:v>-51.93</c:v>
                </c:pt>
                <c:pt idx="4808">
                  <c:v>-51.92</c:v>
                </c:pt>
                <c:pt idx="4809">
                  <c:v>-51.91</c:v>
                </c:pt>
                <c:pt idx="4810">
                  <c:v>-51.9</c:v>
                </c:pt>
                <c:pt idx="4811">
                  <c:v>-51.89</c:v>
                </c:pt>
                <c:pt idx="4812">
                  <c:v>-51.88</c:v>
                </c:pt>
                <c:pt idx="4813">
                  <c:v>-51.87</c:v>
                </c:pt>
                <c:pt idx="4814">
                  <c:v>-51.86</c:v>
                </c:pt>
                <c:pt idx="4815">
                  <c:v>-51.85</c:v>
                </c:pt>
                <c:pt idx="4816">
                  <c:v>-51.84</c:v>
                </c:pt>
                <c:pt idx="4817">
                  <c:v>-51.83</c:v>
                </c:pt>
                <c:pt idx="4818">
                  <c:v>-51.82</c:v>
                </c:pt>
                <c:pt idx="4819">
                  <c:v>-51.81</c:v>
                </c:pt>
                <c:pt idx="4820">
                  <c:v>-51.8</c:v>
                </c:pt>
                <c:pt idx="4821">
                  <c:v>-51.79</c:v>
                </c:pt>
                <c:pt idx="4822">
                  <c:v>-51.78</c:v>
                </c:pt>
                <c:pt idx="4823">
                  <c:v>-51.77</c:v>
                </c:pt>
                <c:pt idx="4824">
                  <c:v>-51.76</c:v>
                </c:pt>
                <c:pt idx="4825">
                  <c:v>-51.75</c:v>
                </c:pt>
                <c:pt idx="4826">
                  <c:v>-51.74</c:v>
                </c:pt>
                <c:pt idx="4827">
                  <c:v>-51.73</c:v>
                </c:pt>
                <c:pt idx="4828">
                  <c:v>-51.72</c:v>
                </c:pt>
                <c:pt idx="4829">
                  <c:v>-51.71</c:v>
                </c:pt>
                <c:pt idx="4830">
                  <c:v>-51.7</c:v>
                </c:pt>
                <c:pt idx="4831">
                  <c:v>-51.69</c:v>
                </c:pt>
                <c:pt idx="4832">
                  <c:v>-51.68</c:v>
                </c:pt>
                <c:pt idx="4833">
                  <c:v>-51.67</c:v>
                </c:pt>
                <c:pt idx="4834">
                  <c:v>-51.66</c:v>
                </c:pt>
                <c:pt idx="4835">
                  <c:v>-51.65</c:v>
                </c:pt>
                <c:pt idx="4836">
                  <c:v>-51.64</c:v>
                </c:pt>
                <c:pt idx="4837">
                  <c:v>-51.63</c:v>
                </c:pt>
                <c:pt idx="4838">
                  <c:v>-51.62</c:v>
                </c:pt>
                <c:pt idx="4839">
                  <c:v>-51.61</c:v>
                </c:pt>
                <c:pt idx="4840">
                  <c:v>-51.6</c:v>
                </c:pt>
                <c:pt idx="4841">
                  <c:v>-51.59</c:v>
                </c:pt>
                <c:pt idx="4842">
                  <c:v>-51.58</c:v>
                </c:pt>
                <c:pt idx="4843">
                  <c:v>-51.57</c:v>
                </c:pt>
                <c:pt idx="4844">
                  <c:v>-51.56</c:v>
                </c:pt>
                <c:pt idx="4845">
                  <c:v>-51.55</c:v>
                </c:pt>
                <c:pt idx="4846">
                  <c:v>-51.54</c:v>
                </c:pt>
                <c:pt idx="4847">
                  <c:v>-51.53</c:v>
                </c:pt>
                <c:pt idx="4848">
                  <c:v>-51.52</c:v>
                </c:pt>
                <c:pt idx="4849">
                  <c:v>-51.51</c:v>
                </c:pt>
                <c:pt idx="4850">
                  <c:v>-51.5</c:v>
                </c:pt>
                <c:pt idx="4851">
                  <c:v>-51.49</c:v>
                </c:pt>
                <c:pt idx="4852">
                  <c:v>-51.48</c:v>
                </c:pt>
                <c:pt idx="4853">
                  <c:v>-51.47</c:v>
                </c:pt>
                <c:pt idx="4854">
                  <c:v>-51.46</c:v>
                </c:pt>
                <c:pt idx="4855">
                  <c:v>-51.45</c:v>
                </c:pt>
                <c:pt idx="4856">
                  <c:v>-51.44</c:v>
                </c:pt>
                <c:pt idx="4857">
                  <c:v>-51.43</c:v>
                </c:pt>
                <c:pt idx="4858">
                  <c:v>-51.42</c:v>
                </c:pt>
                <c:pt idx="4859">
                  <c:v>-51.41</c:v>
                </c:pt>
                <c:pt idx="4860">
                  <c:v>-51.4</c:v>
                </c:pt>
                <c:pt idx="4861">
                  <c:v>-51.39</c:v>
                </c:pt>
                <c:pt idx="4862">
                  <c:v>-51.38</c:v>
                </c:pt>
                <c:pt idx="4863">
                  <c:v>-51.37</c:v>
                </c:pt>
                <c:pt idx="4864">
                  <c:v>-51.36</c:v>
                </c:pt>
                <c:pt idx="4865">
                  <c:v>-51.35</c:v>
                </c:pt>
                <c:pt idx="4866">
                  <c:v>-51.34</c:v>
                </c:pt>
                <c:pt idx="4867">
                  <c:v>-51.33</c:v>
                </c:pt>
                <c:pt idx="4868">
                  <c:v>-51.32</c:v>
                </c:pt>
                <c:pt idx="4869">
                  <c:v>-51.31</c:v>
                </c:pt>
                <c:pt idx="4870">
                  <c:v>-51.3</c:v>
                </c:pt>
                <c:pt idx="4871">
                  <c:v>-51.29</c:v>
                </c:pt>
                <c:pt idx="4872">
                  <c:v>-51.28</c:v>
                </c:pt>
                <c:pt idx="4873">
                  <c:v>-51.27</c:v>
                </c:pt>
                <c:pt idx="4874">
                  <c:v>-51.26</c:v>
                </c:pt>
                <c:pt idx="4875">
                  <c:v>-51.25</c:v>
                </c:pt>
                <c:pt idx="4876">
                  <c:v>-51.24</c:v>
                </c:pt>
                <c:pt idx="4877">
                  <c:v>-51.23</c:v>
                </c:pt>
                <c:pt idx="4878">
                  <c:v>-51.22</c:v>
                </c:pt>
                <c:pt idx="4879">
                  <c:v>-51.21</c:v>
                </c:pt>
                <c:pt idx="4880">
                  <c:v>-51.2</c:v>
                </c:pt>
                <c:pt idx="4881">
                  <c:v>-51.19</c:v>
                </c:pt>
                <c:pt idx="4882">
                  <c:v>-51.18</c:v>
                </c:pt>
                <c:pt idx="4883">
                  <c:v>-51.17</c:v>
                </c:pt>
                <c:pt idx="4884">
                  <c:v>-51.16</c:v>
                </c:pt>
                <c:pt idx="4885">
                  <c:v>-51.15</c:v>
                </c:pt>
                <c:pt idx="4886">
                  <c:v>-51.14</c:v>
                </c:pt>
                <c:pt idx="4887">
                  <c:v>-51.13</c:v>
                </c:pt>
                <c:pt idx="4888">
                  <c:v>-51.12</c:v>
                </c:pt>
                <c:pt idx="4889">
                  <c:v>-51.11</c:v>
                </c:pt>
                <c:pt idx="4890">
                  <c:v>-51.1</c:v>
                </c:pt>
                <c:pt idx="4891">
                  <c:v>-51.09</c:v>
                </c:pt>
                <c:pt idx="4892">
                  <c:v>-51.08</c:v>
                </c:pt>
                <c:pt idx="4893">
                  <c:v>-51.07</c:v>
                </c:pt>
                <c:pt idx="4894">
                  <c:v>-51.06</c:v>
                </c:pt>
                <c:pt idx="4895">
                  <c:v>-51.05</c:v>
                </c:pt>
                <c:pt idx="4896">
                  <c:v>-51.04</c:v>
                </c:pt>
                <c:pt idx="4897">
                  <c:v>-51.03</c:v>
                </c:pt>
                <c:pt idx="4898">
                  <c:v>-51.02</c:v>
                </c:pt>
                <c:pt idx="4899">
                  <c:v>-51.01</c:v>
                </c:pt>
                <c:pt idx="4900">
                  <c:v>-51.0</c:v>
                </c:pt>
                <c:pt idx="4901">
                  <c:v>-50.99</c:v>
                </c:pt>
                <c:pt idx="4902">
                  <c:v>-50.98</c:v>
                </c:pt>
                <c:pt idx="4903">
                  <c:v>-50.97</c:v>
                </c:pt>
                <c:pt idx="4904">
                  <c:v>-50.96</c:v>
                </c:pt>
                <c:pt idx="4905">
                  <c:v>-50.95</c:v>
                </c:pt>
                <c:pt idx="4906">
                  <c:v>-50.94</c:v>
                </c:pt>
                <c:pt idx="4907">
                  <c:v>-50.93</c:v>
                </c:pt>
                <c:pt idx="4908">
                  <c:v>-50.92</c:v>
                </c:pt>
                <c:pt idx="4909">
                  <c:v>-50.91</c:v>
                </c:pt>
                <c:pt idx="4910">
                  <c:v>-50.9</c:v>
                </c:pt>
                <c:pt idx="4911">
                  <c:v>-50.89</c:v>
                </c:pt>
                <c:pt idx="4912">
                  <c:v>-50.88</c:v>
                </c:pt>
                <c:pt idx="4913">
                  <c:v>-50.87</c:v>
                </c:pt>
                <c:pt idx="4914">
                  <c:v>-50.86</c:v>
                </c:pt>
                <c:pt idx="4915">
                  <c:v>-50.85</c:v>
                </c:pt>
                <c:pt idx="4916">
                  <c:v>-50.84</c:v>
                </c:pt>
                <c:pt idx="4917">
                  <c:v>-50.83</c:v>
                </c:pt>
                <c:pt idx="4918">
                  <c:v>-50.82</c:v>
                </c:pt>
                <c:pt idx="4919">
                  <c:v>-50.81</c:v>
                </c:pt>
                <c:pt idx="4920">
                  <c:v>-50.8</c:v>
                </c:pt>
                <c:pt idx="4921">
                  <c:v>-50.79</c:v>
                </c:pt>
                <c:pt idx="4922">
                  <c:v>-50.78</c:v>
                </c:pt>
                <c:pt idx="4923">
                  <c:v>-50.77</c:v>
                </c:pt>
                <c:pt idx="4924">
                  <c:v>-50.76</c:v>
                </c:pt>
                <c:pt idx="4925">
                  <c:v>-50.75</c:v>
                </c:pt>
                <c:pt idx="4926">
                  <c:v>-50.74</c:v>
                </c:pt>
                <c:pt idx="4927">
                  <c:v>-50.73</c:v>
                </c:pt>
                <c:pt idx="4928">
                  <c:v>-50.72</c:v>
                </c:pt>
                <c:pt idx="4929">
                  <c:v>-50.71</c:v>
                </c:pt>
                <c:pt idx="4930">
                  <c:v>-50.7</c:v>
                </c:pt>
                <c:pt idx="4931">
                  <c:v>-50.69</c:v>
                </c:pt>
                <c:pt idx="4932">
                  <c:v>-50.68</c:v>
                </c:pt>
                <c:pt idx="4933">
                  <c:v>-50.67</c:v>
                </c:pt>
                <c:pt idx="4934">
                  <c:v>-50.66</c:v>
                </c:pt>
                <c:pt idx="4935">
                  <c:v>-50.65</c:v>
                </c:pt>
                <c:pt idx="4936">
                  <c:v>-50.64</c:v>
                </c:pt>
                <c:pt idx="4937">
                  <c:v>-50.63</c:v>
                </c:pt>
                <c:pt idx="4938">
                  <c:v>-50.62</c:v>
                </c:pt>
                <c:pt idx="4939">
                  <c:v>-50.61</c:v>
                </c:pt>
                <c:pt idx="4940">
                  <c:v>-50.6</c:v>
                </c:pt>
                <c:pt idx="4941">
                  <c:v>-50.59</c:v>
                </c:pt>
                <c:pt idx="4942">
                  <c:v>-50.58</c:v>
                </c:pt>
                <c:pt idx="4943">
                  <c:v>-50.57</c:v>
                </c:pt>
                <c:pt idx="4944">
                  <c:v>-50.56</c:v>
                </c:pt>
                <c:pt idx="4945">
                  <c:v>-50.55</c:v>
                </c:pt>
                <c:pt idx="4946">
                  <c:v>-50.54</c:v>
                </c:pt>
                <c:pt idx="4947">
                  <c:v>-50.53</c:v>
                </c:pt>
                <c:pt idx="4948">
                  <c:v>-50.52</c:v>
                </c:pt>
                <c:pt idx="4949">
                  <c:v>-50.51</c:v>
                </c:pt>
                <c:pt idx="4950">
                  <c:v>-50.5</c:v>
                </c:pt>
                <c:pt idx="4951">
                  <c:v>-50.49</c:v>
                </c:pt>
                <c:pt idx="4952">
                  <c:v>-50.48</c:v>
                </c:pt>
                <c:pt idx="4953">
                  <c:v>-50.47</c:v>
                </c:pt>
                <c:pt idx="4954">
                  <c:v>-50.46</c:v>
                </c:pt>
                <c:pt idx="4955">
                  <c:v>-50.45</c:v>
                </c:pt>
                <c:pt idx="4956">
                  <c:v>-50.44</c:v>
                </c:pt>
                <c:pt idx="4957">
                  <c:v>-50.43</c:v>
                </c:pt>
                <c:pt idx="4958">
                  <c:v>-50.42</c:v>
                </c:pt>
                <c:pt idx="4959">
                  <c:v>-50.41</c:v>
                </c:pt>
                <c:pt idx="4960">
                  <c:v>-50.4</c:v>
                </c:pt>
                <c:pt idx="4961">
                  <c:v>-50.39</c:v>
                </c:pt>
                <c:pt idx="4962">
                  <c:v>-50.38</c:v>
                </c:pt>
                <c:pt idx="4963">
                  <c:v>-50.37</c:v>
                </c:pt>
                <c:pt idx="4964">
                  <c:v>-50.36</c:v>
                </c:pt>
                <c:pt idx="4965">
                  <c:v>-50.35</c:v>
                </c:pt>
                <c:pt idx="4966">
                  <c:v>-50.34</c:v>
                </c:pt>
                <c:pt idx="4967">
                  <c:v>-50.33</c:v>
                </c:pt>
                <c:pt idx="4968">
                  <c:v>-50.32</c:v>
                </c:pt>
                <c:pt idx="4969">
                  <c:v>-50.31</c:v>
                </c:pt>
                <c:pt idx="4970">
                  <c:v>-50.3</c:v>
                </c:pt>
                <c:pt idx="4971">
                  <c:v>-50.29</c:v>
                </c:pt>
                <c:pt idx="4972">
                  <c:v>-50.28</c:v>
                </c:pt>
                <c:pt idx="4973">
                  <c:v>-50.27</c:v>
                </c:pt>
                <c:pt idx="4974">
                  <c:v>-50.26</c:v>
                </c:pt>
                <c:pt idx="4975">
                  <c:v>-50.25</c:v>
                </c:pt>
                <c:pt idx="4976">
                  <c:v>-50.24</c:v>
                </c:pt>
                <c:pt idx="4977">
                  <c:v>-50.23</c:v>
                </c:pt>
                <c:pt idx="4978">
                  <c:v>-50.22</c:v>
                </c:pt>
                <c:pt idx="4979">
                  <c:v>-50.21</c:v>
                </c:pt>
                <c:pt idx="4980">
                  <c:v>-50.2</c:v>
                </c:pt>
                <c:pt idx="4981">
                  <c:v>-50.19</c:v>
                </c:pt>
                <c:pt idx="4982">
                  <c:v>-50.18</c:v>
                </c:pt>
                <c:pt idx="4983">
                  <c:v>-50.17</c:v>
                </c:pt>
                <c:pt idx="4984">
                  <c:v>-50.16</c:v>
                </c:pt>
                <c:pt idx="4985">
                  <c:v>-50.15</c:v>
                </c:pt>
                <c:pt idx="4986">
                  <c:v>-50.14</c:v>
                </c:pt>
                <c:pt idx="4987">
                  <c:v>-50.13</c:v>
                </c:pt>
                <c:pt idx="4988">
                  <c:v>-50.12</c:v>
                </c:pt>
                <c:pt idx="4989">
                  <c:v>-50.11</c:v>
                </c:pt>
                <c:pt idx="4990">
                  <c:v>-50.1</c:v>
                </c:pt>
                <c:pt idx="4991">
                  <c:v>-50.09</c:v>
                </c:pt>
                <c:pt idx="4992">
                  <c:v>-50.08</c:v>
                </c:pt>
                <c:pt idx="4993">
                  <c:v>-50.07</c:v>
                </c:pt>
                <c:pt idx="4994">
                  <c:v>-50.06</c:v>
                </c:pt>
                <c:pt idx="4995">
                  <c:v>-50.05</c:v>
                </c:pt>
                <c:pt idx="4996">
                  <c:v>-50.04</c:v>
                </c:pt>
                <c:pt idx="4997">
                  <c:v>-50.03</c:v>
                </c:pt>
                <c:pt idx="4998">
                  <c:v>-50.02</c:v>
                </c:pt>
                <c:pt idx="4999">
                  <c:v>-50.01</c:v>
                </c:pt>
                <c:pt idx="5000">
                  <c:v>-50.0</c:v>
                </c:pt>
                <c:pt idx="5001">
                  <c:v>-49.99</c:v>
                </c:pt>
                <c:pt idx="5002">
                  <c:v>-49.98</c:v>
                </c:pt>
                <c:pt idx="5003">
                  <c:v>-49.97</c:v>
                </c:pt>
                <c:pt idx="5004">
                  <c:v>-49.96</c:v>
                </c:pt>
                <c:pt idx="5005">
                  <c:v>-49.95</c:v>
                </c:pt>
                <c:pt idx="5006">
                  <c:v>-49.94</c:v>
                </c:pt>
                <c:pt idx="5007">
                  <c:v>-49.93</c:v>
                </c:pt>
                <c:pt idx="5008">
                  <c:v>-49.92</c:v>
                </c:pt>
                <c:pt idx="5009">
                  <c:v>-49.91</c:v>
                </c:pt>
                <c:pt idx="5010">
                  <c:v>-49.9</c:v>
                </c:pt>
                <c:pt idx="5011">
                  <c:v>-49.89</c:v>
                </c:pt>
                <c:pt idx="5012">
                  <c:v>-49.88</c:v>
                </c:pt>
                <c:pt idx="5013">
                  <c:v>-49.87</c:v>
                </c:pt>
                <c:pt idx="5014">
                  <c:v>-49.86</c:v>
                </c:pt>
                <c:pt idx="5015">
                  <c:v>-49.85</c:v>
                </c:pt>
                <c:pt idx="5016">
                  <c:v>-49.84</c:v>
                </c:pt>
                <c:pt idx="5017">
                  <c:v>-49.83</c:v>
                </c:pt>
                <c:pt idx="5018">
                  <c:v>-49.82</c:v>
                </c:pt>
                <c:pt idx="5019">
                  <c:v>-49.81</c:v>
                </c:pt>
                <c:pt idx="5020">
                  <c:v>-49.8</c:v>
                </c:pt>
                <c:pt idx="5021">
                  <c:v>-49.79</c:v>
                </c:pt>
                <c:pt idx="5022">
                  <c:v>-49.78</c:v>
                </c:pt>
                <c:pt idx="5023">
                  <c:v>-49.77</c:v>
                </c:pt>
                <c:pt idx="5024">
                  <c:v>-49.76</c:v>
                </c:pt>
                <c:pt idx="5025">
                  <c:v>-49.75</c:v>
                </c:pt>
                <c:pt idx="5026">
                  <c:v>-49.74</c:v>
                </c:pt>
                <c:pt idx="5027">
                  <c:v>-49.73</c:v>
                </c:pt>
                <c:pt idx="5028">
                  <c:v>-49.72</c:v>
                </c:pt>
                <c:pt idx="5029">
                  <c:v>-49.71</c:v>
                </c:pt>
                <c:pt idx="5030">
                  <c:v>-49.7</c:v>
                </c:pt>
                <c:pt idx="5031">
                  <c:v>-49.69</c:v>
                </c:pt>
                <c:pt idx="5032">
                  <c:v>-49.68</c:v>
                </c:pt>
                <c:pt idx="5033">
                  <c:v>-49.67</c:v>
                </c:pt>
                <c:pt idx="5034">
                  <c:v>-49.66</c:v>
                </c:pt>
                <c:pt idx="5035">
                  <c:v>-49.65</c:v>
                </c:pt>
                <c:pt idx="5036">
                  <c:v>-49.64</c:v>
                </c:pt>
                <c:pt idx="5037">
                  <c:v>-49.63</c:v>
                </c:pt>
                <c:pt idx="5038">
                  <c:v>-49.62</c:v>
                </c:pt>
                <c:pt idx="5039">
                  <c:v>-49.61</c:v>
                </c:pt>
                <c:pt idx="5040">
                  <c:v>-49.6</c:v>
                </c:pt>
                <c:pt idx="5041">
                  <c:v>-49.59</c:v>
                </c:pt>
                <c:pt idx="5042">
                  <c:v>-49.58</c:v>
                </c:pt>
                <c:pt idx="5043">
                  <c:v>-49.57</c:v>
                </c:pt>
                <c:pt idx="5044">
                  <c:v>-49.56</c:v>
                </c:pt>
                <c:pt idx="5045">
                  <c:v>-49.55</c:v>
                </c:pt>
                <c:pt idx="5046">
                  <c:v>-49.54</c:v>
                </c:pt>
                <c:pt idx="5047">
                  <c:v>-49.53</c:v>
                </c:pt>
                <c:pt idx="5048">
                  <c:v>-49.52</c:v>
                </c:pt>
                <c:pt idx="5049">
                  <c:v>-49.51</c:v>
                </c:pt>
                <c:pt idx="5050">
                  <c:v>-49.5</c:v>
                </c:pt>
                <c:pt idx="5051">
                  <c:v>-49.49</c:v>
                </c:pt>
                <c:pt idx="5052">
                  <c:v>-49.48</c:v>
                </c:pt>
                <c:pt idx="5053">
                  <c:v>-49.47</c:v>
                </c:pt>
                <c:pt idx="5054">
                  <c:v>-49.46</c:v>
                </c:pt>
                <c:pt idx="5055">
                  <c:v>-49.45</c:v>
                </c:pt>
                <c:pt idx="5056">
                  <c:v>-49.44</c:v>
                </c:pt>
                <c:pt idx="5057">
                  <c:v>-49.43</c:v>
                </c:pt>
                <c:pt idx="5058">
                  <c:v>-49.42</c:v>
                </c:pt>
                <c:pt idx="5059">
                  <c:v>-49.41</c:v>
                </c:pt>
                <c:pt idx="5060">
                  <c:v>-49.4</c:v>
                </c:pt>
                <c:pt idx="5061">
                  <c:v>-49.39</c:v>
                </c:pt>
                <c:pt idx="5062">
                  <c:v>-49.38</c:v>
                </c:pt>
                <c:pt idx="5063">
                  <c:v>-49.37</c:v>
                </c:pt>
                <c:pt idx="5064">
                  <c:v>-49.36</c:v>
                </c:pt>
                <c:pt idx="5065">
                  <c:v>-49.35</c:v>
                </c:pt>
                <c:pt idx="5066">
                  <c:v>-49.34</c:v>
                </c:pt>
                <c:pt idx="5067">
                  <c:v>-49.33</c:v>
                </c:pt>
                <c:pt idx="5068">
                  <c:v>-49.32</c:v>
                </c:pt>
                <c:pt idx="5069">
                  <c:v>-49.31</c:v>
                </c:pt>
                <c:pt idx="5070">
                  <c:v>-49.3</c:v>
                </c:pt>
                <c:pt idx="5071">
                  <c:v>-49.29</c:v>
                </c:pt>
                <c:pt idx="5072">
                  <c:v>-49.28</c:v>
                </c:pt>
                <c:pt idx="5073">
                  <c:v>-49.27</c:v>
                </c:pt>
                <c:pt idx="5074">
                  <c:v>-49.26</c:v>
                </c:pt>
                <c:pt idx="5075">
                  <c:v>-49.25</c:v>
                </c:pt>
                <c:pt idx="5076">
                  <c:v>-49.24</c:v>
                </c:pt>
                <c:pt idx="5077">
                  <c:v>-49.23</c:v>
                </c:pt>
                <c:pt idx="5078">
                  <c:v>-49.22</c:v>
                </c:pt>
                <c:pt idx="5079">
                  <c:v>-49.21</c:v>
                </c:pt>
                <c:pt idx="5080">
                  <c:v>-49.2</c:v>
                </c:pt>
                <c:pt idx="5081">
                  <c:v>-49.19</c:v>
                </c:pt>
                <c:pt idx="5082">
                  <c:v>-49.18</c:v>
                </c:pt>
                <c:pt idx="5083">
                  <c:v>-49.17</c:v>
                </c:pt>
                <c:pt idx="5084">
                  <c:v>-49.16</c:v>
                </c:pt>
                <c:pt idx="5085">
                  <c:v>-49.15</c:v>
                </c:pt>
                <c:pt idx="5086">
                  <c:v>-49.14</c:v>
                </c:pt>
                <c:pt idx="5087">
                  <c:v>-49.13</c:v>
                </c:pt>
                <c:pt idx="5088">
                  <c:v>-49.12</c:v>
                </c:pt>
                <c:pt idx="5089">
                  <c:v>-49.11</c:v>
                </c:pt>
                <c:pt idx="5090">
                  <c:v>-49.1</c:v>
                </c:pt>
                <c:pt idx="5091">
                  <c:v>-49.09</c:v>
                </c:pt>
                <c:pt idx="5092">
                  <c:v>-49.08</c:v>
                </c:pt>
                <c:pt idx="5093">
                  <c:v>-49.07</c:v>
                </c:pt>
                <c:pt idx="5094">
                  <c:v>-49.06</c:v>
                </c:pt>
                <c:pt idx="5095">
                  <c:v>-49.05</c:v>
                </c:pt>
                <c:pt idx="5096">
                  <c:v>-49.04</c:v>
                </c:pt>
                <c:pt idx="5097">
                  <c:v>-49.03</c:v>
                </c:pt>
                <c:pt idx="5098">
                  <c:v>-49.02</c:v>
                </c:pt>
                <c:pt idx="5099">
                  <c:v>-49.01</c:v>
                </c:pt>
                <c:pt idx="5100">
                  <c:v>-49.0</c:v>
                </c:pt>
                <c:pt idx="5101">
                  <c:v>-48.99</c:v>
                </c:pt>
                <c:pt idx="5102">
                  <c:v>-48.98</c:v>
                </c:pt>
                <c:pt idx="5103">
                  <c:v>-48.97</c:v>
                </c:pt>
                <c:pt idx="5104">
                  <c:v>-48.96</c:v>
                </c:pt>
                <c:pt idx="5105">
                  <c:v>-48.95</c:v>
                </c:pt>
                <c:pt idx="5106">
                  <c:v>-48.94</c:v>
                </c:pt>
                <c:pt idx="5107">
                  <c:v>-48.93</c:v>
                </c:pt>
                <c:pt idx="5108">
                  <c:v>-48.92</c:v>
                </c:pt>
                <c:pt idx="5109">
                  <c:v>-48.91</c:v>
                </c:pt>
                <c:pt idx="5110">
                  <c:v>-48.9</c:v>
                </c:pt>
                <c:pt idx="5111">
                  <c:v>-48.89</c:v>
                </c:pt>
                <c:pt idx="5112">
                  <c:v>-48.88</c:v>
                </c:pt>
                <c:pt idx="5113">
                  <c:v>-48.87</c:v>
                </c:pt>
                <c:pt idx="5114">
                  <c:v>-48.86</c:v>
                </c:pt>
                <c:pt idx="5115">
                  <c:v>-48.85</c:v>
                </c:pt>
                <c:pt idx="5116">
                  <c:v>-48.84</c:v>
                </c:pt>
                <c:pt idx="5117">
                  <c:v>-48.83</c:v>
                </c:pt>
                <c:pt idx="5118">
                  <c:v>-48.82</c:v>
                </c:pt>
                <c:pt idx="5119">
                  <c:v>-48.81</c:v>
                </c:pt>
                <c:pt idx="5120">
                  <c:v>-48.8</c:v>
                </c:pt>
                <c:pt idx="5121">
                  <c:v>-48.79</c:v>
                </c:pt>
                <c:pt idx="5122">
                  <c:v>-48.78</c:v>
                </c:pt>
                <c:pt idx="5123">
                  <c:v>-48.77</c:v>
                </c:pt>
                <c:pt idx="5124">
                  <c:v>-48.76</c:v>
                </c:pt>
                <c:pt idx="5125">
                  <c:v>-48.75</c:v>
                </c:pt>
                <c:pt idx="5126">
                  <c:v>-48.74</c:v>
                </c:pt>
                <c:pt idx="5127">
                  <c:v>-48.73</c:v>
                </c:pt>
                <c:pt idx="5128">
                  <c:v>-48.72</c:v>
                </c:pt>
                <c:pt idx="5129">
                  <c:v>-48.71</c:v>
                </c:pt>
                <c:pt idx="5130">
                  <c:v>-48.7</c:v>
                </c:pt>
                <c:pt idx="5131">
                  <c:v>-48.69</c:v>
                </c:pt>
                <c:pt idx="5132">
                  <c:v>-48.68</c:v>
                </c:pt>
                <c:pt idx="5133">
                  <c:v>-48.67</c:v>
                </c:pt>
                <c:pt idx="5134">
                  <c:v>-48.66</c:v>
                </c:pt>
                <c:pt idx="5135">
                  <c:v>-48.65</c:v>
                </c:pt>
                <c:pt idx="5136">
                  <c:v>-48.64</c:v>
                </c:pt>
                <c:pt idx="5137">
                  <c:v>-48.63</c:v>
                </c:pt>
                <c:pt idx="5138">
                  <c:v>-48.62</c:v>
                </c:pt>
                <c:pt idx="5139">
                  <c:v>-48.61</c:v>
                </c:pt>
                <c:pt idx="5140">
                  <c:v>-48.6</c:v>
                </c:pt>
                <c:pt idx="5141">
                  <c:v>-48.59</c:v>
                </c:pt>
                <c:pt idx="5142">
                  <c:v>-48.58</c:v>
                </c:pt>
                <c:pt idx="5143">
                  <c:v>-48.57</c:v>
                </c:pt>
                <c:pt idx="5144">
                  <c:v>-48.56</c:v>
                </c:pt>
                <c:pt idx="5145">
                  <c:v>-48.55</c:v>
                </c:pt>
                <c:pt idx="5146">
                  <c:v>-48.54</c:v>
                </c:pt>
                <c:pt idx="5147">
                  <c:v>-48.53</c:v>
                </c:pt>
                <c:pt idx="5148">
                  <c:v>-48.52</c:v>
                </c:pt>
                <c:pt idx="5149">
                  <c:v>-48.51</c:v>
                </c:pt>
                <c:pt idx="5150">
                  <c:v>-48.5</c:v>
                </c:pt>
                <c:pt idx="5151">
                  <c:v>-48.49</c:v>
                </c:pt>
                <c:pt idx="5152">
                  <c:v>-48.48</c:v>
                </c:pt>
                <c:pt idx="5153">
                  <c:v>-48.47</c:v>
                </c:pt>
                <c:pt idx="5154">
                  <c:v>-48.46</c:v>
                </c:pt>
                <c:pt idx="5155">
                  <c:v>-48.45</c:v>
                </c:pt>
                <c:pt idx="5156">
                  <c:v>-48.44</c:v>
                </c:pt>
                <c:pt idx="5157">
                  <c:v>-48.43</c:v>
                </c:pt>
                <c:pt idx="5158">
                  <c:v>-48.42</c:v>
                </c:pt>
                <c:pt idx="5159">
                  <c:v>-48.41</c:v>
                </c:pt>
                <c:pt idx="5160">
                  <c:v>-48.4</c:v>
                </c:pt>
                <c:pt idx="5161">
                  <c:v>-48.39</c:v>
                </c:pt>
                <c:pt idx="5162">
                  <c:v>-48.38</c:v>
                </c:pt>
                <c:pt idx="5163">
                  <c:v>-48.37</c:v>
                </c:pt>
                <c:pt idx="5164">
                  <c:v>-48.36</c:v>
                </c:pt>
                <c:pt idx="5165">
                  <c:v>-48.35</c:v>
                </c:pt>
                <c:pt idx="5166">
                  <c:v>-48.34</c:v>
                </c:pt>
                <c:pt idx="5167">
                  <c:v>-48.33</c:v>
                </c:pt>
                <c:pt idx="5168">
                  <c:v>-48.32</c:v>
                </c:pt>
                <c:pt idx="5169">
                  <c:v>-48.31</c:v>
                </c:pt>
                <c:pt idx="5170">
                  <c:v>-48.3</c:v>
                </c:pt>
                <c:pt idx="5171">
                  <c:v>-48.29</c:v>
                </c:pt>
                <c:pt idx="5172">
                  <c:v>-48.28</c:v>
                </c:pt>
                <c:pt idx="5173">
                  <c:v>-48.27</c:v>
                </c:pt>
                <c:pt idx="5174">
                  <c:v>-48.26</c:v>
                </c:pt>
                <c:pt idx="5175">
                  <c:v>-48.25</c:v>
                </c:pt>
                <c:pt idx="5176">
                  <c:v>-48.24</c:v>
                </c:pt>
                <c:pt idx="5177">
                  <c:v>-48.23</c:v>
                </c:pt>
                <c:pt idx="5178">
                  <c:v>-48.22</c:v>
                </c:pt>
                <c:pt idx="5179">
                  <c:v>-48.21</c:v>
                </c:pt>
                <c:pt idx="5180">
                  <c:v>-48.2</c:v>
                </c:pt>
                <c:pt idx="5181">
                  <c:v>-48.19</c:v>
                </c:pt>
                <c:pt idx="5182">
                  <c:v>-48.18</c:v>
                </c:pt>
                <c:pt idx="5183">
                  <c:v>-48.17</c:v>
                </c:pt>
                <c:pt idx="5184">
                  <c:v>-48.16</c:v>
                </c:pt>
                <c:pt idx="5185">
                  <c:v>-48.15</c:v>
                </c:pt>
                <c:pt idx="5186">
                  <c:v>-48.14</c:v>
                </c:pt>
                <c:pt idx="5187">
                  <c:v>-48.13</c:v>
                </c:pt>
                <c:pt idx="5188">
                  <c:v>-48.12</c:v>
                </c:pt>
                <c:pt idx="5189">
                  <c:v>-48.11</c:v>
                </c:pt>
                <c:pt idx="5190">
                  <c:v>-48.1</c:v>
                </c:pt>
                <c:pt idx="5191">
                  <c:v>-48.09</c:v>
                </c:pt>
                <c:pt idx="5192">
                  <c:v>-48.08</c:v>
                </c:pt>
                <c:pt idx="5193">
                  <c:v>-48.07</c:v>
                </c:pt>
                <c:pt idx="5194">
                  <c:v>-48.06</c:v>
                </c:pt>
                <c:pt idx="5195">
                  <c:v>-48.05</c:v>
                </c:pt>
                <c:pt idx="5196">
                  <c:v>-48.04</c:v>
                </c:pt>
                <c:pt idx="5197">
                  <c:v>-48.03</c:v>
                </c:pt>
                <c:pt idx="5198">
                  <c:v>-48.02</c:v>
                </c:pt>
                <c:pt idx="5199">
                  <c:v>-48.01</c:v>
                </c:pt>
                <c:pt idx="5200">
                  <c:v>-48.0</c:v>
                </c:pt>
                <c:pt idx="5201">
                  <c:v>-47.99</c:v>
                </c:pt>
                <c:pt idx="5202">
                  <c:v>-47.98</c:v>
                </c:pt>
                <c:pt idx="5203">
                  <c:v>-47.97</c:v>
                </c:pt>
                <c:pt idx="5204">
                  <c:v>-47.96</c:v>
                </c:pt>
                <c:pt idx="5205">
                  <c:v>-47.95</c:v>
                </c:pt>
                <c:pt idx="5206">
                  <c:v>-47.94</c:v>
                </c:pt>
                <c:pt idx="5207">
                  <c:v>-47.93</c:v>
                </c:pt>
                <c:pt idx="5208">
                  <c:v>-47.92</c:v>
                </c:pt>
                <c:pt idx="5209">
                  <c:v>-47.91</c:v>
                </c:pt>
                <c:pt idx="5210">
                  <c:v>-47.9</c:v>
                </c:pt>
                <c:pt idx="5211">
                  <c:v>-47.89</c:v>
                </c:pt>
                <c:pt idx="5212">
                  <c:v>-47.88</c:v>
                </c:pt>
                <c:pt idx="5213">
                  <c:v>-47.87</c:v>
                </c:pt>
                <c:pt idx="5214">
                  <c:v>-47.86</c:v>
                </c:pt>
                <c:pt idx="5215">
                  <c:v>-47.85</c:v>
                </c:pt>
                <c:pt idx="5216">
                  <c:v>-47.84</c:v>
                </c:pt>
                <c:pt idx="5217">
                  <c:v>-47.83</c:v>
                </c:pt>
                <c:pt idx="5218">
                  <c:v>-47.82</c:v>
                </c:pt>
                <c:pt idx="5219">
                  <c:v>-47.81</c:v>
                </c:pt>
                <c:pt idx="5220">
                  <c:v>-47.8</c:v>
                </c:pt>
                <c:pt idx="5221">
                  <c:v>-47.79</c:v>
                </c:pt>
                <c:pt idx="5222">
                  <c:v>-47.78</c:v>
                </c:pt>
                <c:pt idx="5223">
                  <c:v>-47.77</c:v>
                </c:pt>
                <c:pt idx="5224">
                  <c:v>-47.76</c:v>
                </c:pt>
                <c:pt idx="5225">
                  <c:v>-47.75</c:v>
                </c:pt>
                <c:pt idx="5226">
                  <c:v>-47.74</c:v>
                </c:pt>
                <c:pt idx="5227">
                  <c:v>-47.73</c:v>
                </c:pt>
                <c:pt idx="5228">
                  <c:v>-47.72</c:v>
                </c:pt>
                <c:pt idx="5229">
                  <c:v>-47.71</c:v>
                </c:pt>
                <c:pt idx="5230">
                  <c:v>-47.7</c:v>
                </c:pt>
                <c:pt idx="5231">
                  <c:v>-47.69</c:v>
                </c:pt>
                <c:pt idx="5232">
                  <c:v>-47.68</c:v>
                </c:pt>
                <c:pt idx="5233">
                  <c:v>-47.67</c:v>
                </c:pt>
                <c:pt idx="5234">
                  <c:v>-47.66</c:v>
                </c:pt>
                <c:pt idx="5235">
                  <c:v>-47.65</c:v>
                </c:pt>
                <c:pt idx="5236">
                  <c:v>-47.64</c:v>
                </c:pt>
                <c:pt idx="5237">
                  <c:v>-47.63</c:v>
                </c:pt>
                <c:pt idx="5238">
                  <c:v>-47.62</c:v>
                </c:pt>
                <c:pt idx="5239">
                  <c:v>-47.61</c:v>
                </c:pt>
                <c:pt idx="5240">
                  <c:v>-47.6</c:v>
                </c:pt>
                <c:pt idx="5241">
                  <c:v>-47.59</c:v>
                </c:pt>
                <c:pt idx="5242">
                  <c:v>-47.58</c:v>
                </c:pt>
                <c:pt idx="5243">
                  <c:v>-47.57</c:v>
                </c:pt>
                <c:pt idx="5244">
                  <c:v>-47.56</c:v>
                </c:pt>
                <c:pt idx="5245">
                  <c:v>-47.55</c:v>
                </c:pt>
                <c:pt idx="5246">
                  <c:v>-47.54</c:v>
                </c:pt>
                <c:pt idx="5247">
                  <c:v>-47.53</c:v>
                </c:pt>
                <c:pt idx="5248">
                  <c:v>-47.52</c:v>
                </c:pt>
                <c:pt idx="5249">
                  <c:v>-47.51</c:v>
                </c:pt>
                <c:pt idx="5250">
                  <c:v>-47.5</c:v>
                </c:pt>
                <c:pt idx="5251">
                  <c:v>-47.49</c:v>
                </c:pt>
                <c:pt idx="5252">
                  <c:v>-47.48</c:v>
                </c:pt>
                <c:pt idx="5253">
                  <c:v>-47.47</c:v>
                </c:pt>
                <c:pt idx="5254">
                  <c:v>-47.46</c:v>
                </c:pt>
                <c:pt idx="5255">
                  <c:v>-47.45</c:v>
                </c:pt>
                <c:pt idx="5256">
                  <c:v>-47.44</c:v>
                </c:pt>
                <c:pt idx="5257">
                  <c:v>-47.43</c:v>
                </c:pt>
                <c:pt idx="5258">
                  <c:v>-47.42</c:v>
                </c:pt>
                <c:pt idx="5259">
                  <c:v>-47.41</c:v>
                </c:pt>
                <c:pt idx="5260">
                  <c:v>-47.4</c:v>
                </c:pt>
                <c:pt idx="5261">
                  <c:v>-47.39</c:v>
                </c:pt>
                <c:pt idx="5262">
                  <c:v>-47.38</c:v>
                </c:pt>
                <c:pt idx="5263">
                  <c:v>-47.37</c:v>
                </c:pt>
                <c:pt idx="5264">
                  <c:v>-47.36</c:v>
                </c:pt>
                <c:pt idx="5265">
                  <c:v>-47.35</c:v>
                </c:pt>
                <c:pt idx="5266">
                  <c:v>-47.34</c:v>
                </c:pt>
                <c:pt idx="5267">
                  <c:v>-47.33</c:v>
                </c:pt>
                <c:pt idx="5268">
                  <c:v>-47.32</c:v>
                </c:pt>
                <c:pt idx="5269">
                  <c:v>-47.31</c:v>
                </c:pt>
                <c:pt idx="5270">
                  <c:v>-47.3</c:v>
                </c:pt>
                <c:pt idx="5271">
                  <c:v>-47.29</c:v>
                </c:pt>
                <c:pt idx="5272">
                  <c:v>-47.28</c:v>
                </c:pt>
                <c:pt idx="5273">
                  <c:v>-47.27</c:v>
                </c:pt>
                <c:pt idx="5274">
                  <c:v>-47.26</c:v>
                </c:pt>
                <c:pt idx="5275">
                  <c:v>-47.25</c:v>
                </c:pt>
                <c:pt idx="5276">
                  <c:v>-47.24</c:v>
                </c:pt>
                <c:pt idx="5277">
                  <c:v>-47.23</c:v>
                </c:pt>
                <c:pt idx="5278">
                  <c:v>-47.22</c:v>
                </c:pt>
                <c:pt idx="5279">
                  <c:v>-47.21</c:v>
                </c:pt>
                <c:pt idx="5280">
                  <c:v>-47.2</c:v>
                </c:pt>
                <c:pt idx="5281">
                  <c:v>-47.19</c:v>
                </c:pt>
                <c:pt idx="5282">
                  <c:v>-47.18</c:v>
                </c:pt>
                <c:pt idx="5283">
                  <c:v>-47.17</c:v>
                </c:pt>
                <c:pt idx="5284">
                  <c:v>-47.16</c:v>
                </c:pt>
                <c:pt idx="5285">
                  <c:v>-47.15</c:v>
                </c:pt>
                <c:pt idx="5286">
                  <c:v>-47.14</c:v>
                </c:pt>
                <c:pt idx="5287">
                  <c:v>-47.13</c:v>
                </c:pt>
                <c:pt idx="5288">
                  <c:v>-47.12</c:v>
                </c:pt>
                <c:pt idx="5289">
                  <c:v>-47.11</c:v>
                </c:pt>
                <c:pt idx="5290">
                  <c:v>-47.1</c:v>
                </c:pt>
                <c:pt idx="5291">
                  <c:v>-47.09</c:v>
                </c:pt>
                <c:pt idx="5292">
                  <c:v>-47.08</c:v>
                </c:pt>
                <c:pt idx="5293">
                  <c:v>-47.07</c:v>
                </c:pt>
                <c:pt idx="5294">
                  <c:v>-47.06</c:v>
                </c:pt>
                <c:pt idx="5295">
                  <c:v>-47.05</c:v>
                </c:pt>
                <c:pt idx="5296">
                  <c:v>-47.04</c:v>
                </c:pt>
                <c:pt idx="5297">
                  <c:v>-47.03</c:v>
                </c:pt>
                <c:pt idx="5298">
                  <c:v>-47.02</c:v>
                </c:pt>
                <c:pt idx="5299">
                  <c:v>-47.01</c:v>
                </c:pt>
                <c:pt idx="5300">
                  <c:v>-47.0</c:v>
                </c:pt>
                <c:pt idx="5301">
                  <c:v>-46.99</c:v>
                </c:pt>
                <c:pt idx="5302">
                  <c:v>-46.98</c:v>
                </c:pt>
                <c:pt idx="5303">
                  <c:v>-46.97</c:v>
                </c:pt>
                <c:pt idx="5304">
                  <c:v>-46.96</c:v>
                </c:pt>
                <c:pt idx="5305">
                  <c:v>-46.95</c:v>
                </c:pt>
                <c:pt idx="5306">
                  <c:v>-46.94</c:v>
                </c:pt>
                <c:pt idx="5307">
                  <c:v>-46.93</c:v>
                </c:pt>
                <c:pt idx="5308">
                  <c:v>-46.92</c:v>
                </c:pt>
                <c:pt idx="5309">
                  <c:v>-46.91</c:v>
                </c:pt>
                <c:pt idx="5310">
                  <c:v>-46.9</c:v>
                </c:pt>
                <c:pt idx="5311">
                  <c:v>-46.89</c:v>
                </c:pt>
                <c:pt idx="5312">
                  <c:v>-46.88</c:v>
                </c:pt>
                <c:pt idx="5313">
                  <c:v>-46.87</c:v>
                </c:pt>
                <c:pt idx="5314">
                  <c:v>-46.86</c:v>
                </c:pt>
                <c:pt idx="5315">
                  <c:v>-46.85</c:v>
                </c:pt>
                <c:pt idx="5316">
                  <c:v>-46.84</c:v>
                </c:pt>
                <c:pt idx="5317">
                  <c:v>-46.83</c:v>
                </c:pt>
                <c:pt idx="5318">
                  <c:v>-46.82</c:v>
                </c:pt>
                <c:pt idx="5319">
                  <c:v>-46.81</c:v>
                </c:pt>
                <c:pt idx="5320">
                  <c:v>-46.8</c:v>
                </c:pt>
                <c:pt idx="5321">
                  <c:v>-46.79</c:v>
                </c:pt>
                <c:pt idx="5322">
                  <c:v>-46.78</c:v>
                </c:pt>
                <c:pt idx="5323">
                  <c:v>-46.77</c:v>
                </c:pt>
                <c:pt idx="5324">
                  <c:v>-46.76</c:v>
                </c:pt>
                <c:pt idx="5325">
                  <c:v>-46.75</c:v>
                </c:pt>
                <c:pt idx="5326">
                  <c:v>-46.74</c:v>
                </c:pt>
                <c:pt idx="5327">
                  <c:v>-46.73</c:v>
                </c:pt>
                <c:pt idx="5328">
                  <c:v>-46.72</c:v>
                </c:pt>
                <c:pt idx="5329">
                  <c:v>-46.71</c:v>
                </c:pt>
                <c:pt idx="5330">
                  <c:v>-46.7</c:v>
                </c:pt>
                <c:pt idx="5331">
                  <c:v>-46.69</c:v>
                </c:pt>
                <c:pt idx="5332">
                  <c:v>-46.68</c:v>
                </c:pt>
                <c:pt idx="5333">
                  <c:v>-46.67</c:v>
                </c:pt>
                <c:pt idx="5334">
                  <c:v>-46.66</c:v>
                </c:pt>
                <c:pt idx="5335">
                  <c:v>-46.65</c:v>
                </c:pt>
                <c:pt idx="5336">
                  <c:v>-46.64</c:v>
                </c:pt>
                <c:pt idx="5337">
                  <c:v>-46.63</c:v>
                </c:pt>
                <c:pt idx="5338">
                  <c:v>-46.62</c:v>
                </c:pt>
                <c:pt idx="5339">
                  <c:v>-46.61</c:v>
                </c:pt>
                <c:pt idx="5340">
                  <c:v>-46.6</c:v>
                </c:pt>
                <c:pt idx="5341">
                  <c:v>-46.59</c:v>
                </c:pt>
                <c:pt idx="5342">
                  <c:v>-46.58</c:v>
                </c:pt>
                <c:pt idx="5343">
                  <c:v>-46.57</c:v>
                </c:pt>
                <c:pt idx="5344">
                  <c:v>-46.56</c:v>
                </c:pt>
                <c:pt idx="5345">
                  <c:v>-46.55</c:v>
                </c:pt>
                <c:pt idx="5346">
                  <c:v>-46.54</c:v>
                </c:pt>
                <c:pt idx="5347">
                  <c:v>-46.53</c:v>
                </c:pt>
                <c:pt idx="5348">
                  <c:v>-46.52</c:v>
                </c:pt>
                <c:pt idx="5349">
                  <c:v>-46.51</c:v>
                </c:pt>
                <c:pt idx="5350">
                  <c:v>-46.5</c:v>
                </c:pt>
                <c:pt idx="5351">
                  <c:v>-46.49</c:v>
                </c:pt>
                <c:pt idx="5352">
                  <c:v>-46.48</c:v>
                </c:pt>
                <c:pt idx="5353">
                  <c:v>-46.47</c:v>
                </c:pt>
                <c:pt idx="5354">
                  <c:v>-46.46</c:v>
                </c:pt>
                <c:pt idx="5355">
                  <c:v>-46.45</c:v>
                </c:pt>
                <c:pt idx="5356">
                  <c:v>-46.44</c:v>
                </c:pt>
                <c:pt idx="5357">
                  <c:v>-46.43</c:v>
                </c:pt>
                <c:pt idx="5358">
                  <c:v>-46.42</c:v>
                </c:pt>
                <c:pt idx="5359">
                  <c:v>-46.41</c:v>
                </c:pt>
                <c:pt idx="5360">
                  <c:v>-46.4</c:v>
                </c:pt>
                <c:pt idx="5361">
                  <c:v>-46.39</c:v>
                </c:pt>
                <c:pt idx="5362">
                  <c:v>-46.38</c:v>
                </c:pt>
                <c:pt idx="5363">
                  <c:v>-46.37</c:v>
                </c:pt>
                <c:pt idx="5364">
                  <c:v>-46.36</c:v>
                </c:pt>
                <c:pt idx="5365">
                  <c:v>-46.35</c:v>
                </c:pt>
                <c:pt idx="5366">
                  <c:v>-46.34</c:v>
                </c:pt>
                <c:pt idx="5367">
                  <c:v>-46.33</c:v>
                </c:pt>
                <c:pt idx="5368">
                  <c:v>-46.32</c:v>
                </c:pt>
                <c:pt idx="5369">
                  <c:v>-46.31</c:v>
                </c:pt>
                <c:pt idx="5370">
                  <c:v>-46.3</c:v>
                </c:pt>
                <c:pt idx="5371">
                  <c:v>-46.29</c:v>
                </c:pt>
                <c:pt idx="5372">
                  <c:v>-46.28</c:v>
                </c:pt>
                <c:pt idx="5373">
                  <c:v>-46.27</c:v>
                </c:pt>
                <c:pt idx="5374">
                  <c:v>-46.26</c:v>
                </c:pt>
                <c:pt idx="5375">
                  <c:v>-46.25</c:v>
                </c:pt>
                <c:pt idx="5376">
                  <c:v>-46.24</c:v>
                </c:pt>
                <c:pt idx="5377">
                  <c:v>-46.23</c:v>
                </c:pt>
                <c:pt idx="5378">
                  <c:v>-46.22</c:v>
                </c:pt>
                <c:pt idx="5379">
                  <c:v>-46.21</c:v>
                </c:pt>
                <c:pt idx="5380">
                  <c:v>-46.2</c:v>
                </c:pt>
                <c:pt idx="5381">
                  <c:v>-46.19</c:v>
                </c:pt>
                <c:pt idx="5382">
                  <c:v>-46.18</c:v>
                </c:pt>
                <c:pt idx="5383">
                  <c:v>-46.17</c:v>
                </c:pt>
                <c:pt idx="5384">
                  <c:v>-46.16</c:v>
                </c:pt>
                <c:pt idx="5385">
                  <c:v>-46.15</c:v>
                </c:pt>
                <c:pt idx="5386">
                  <c:v>-46.14</c:v>
                </c:pt>
                <c:pt idx="5387">
                  <c:v>-46.13</c:v>
                </c:pt>
                <c:pt idx="5388">
                  <c:v>-46.12</c:v>
                </c:pt>
                <c:pt idx="5389">
                  <c:v>-46.11</c:v>
                </c:pt>
                <c:pt idx="5390">
                  <c:v>-46.1</c:v>
                </c:pt>
                <c:pt idx="5391">
                  <c:v>-46.09</c:v>
                </c:pt>
                <c:pt idx="5392">
                  <c:v>-46.08</c:v>
                </c:pt>
                <c:pt idx="5393">
                  <c:v>-46.07</c:v>
                </c:pt>
                <c:pt idx="5394">
                  <c:v>-46.06</c:v>
                </c:pt>
                <c:pt idx="5395">
                  <c:v>-46.05</c:v>
                </c:pt>
                <c:pt idx="5396">
                  <c:v>-46.04</c:v>
                </c:pt>
                <c:pt idx="5397">
                  <c:v>-46.03</c:v>
                </c:pt>
                <c:pt idx="5398">
                  <c:v>-46.02</c:v>
                </c:pt>
                <c:pt idx="5399">
                  <c:v>-46.01</c:v>
                </c:pt>
                <c:pt idx="5400">
                  <c:v>-46.0</c:v>
                </c:pt>
                <c:pt idx="5401">
                  <c:v>-45.99</c:v>
                </c:pt>
                <c:pt idx="5402">
                  <c:v>-45.98</c:v>
                </c:pt>
                <c:pt idx="5403">
                  <c:v>-45.97</c:v>
                </c:pt>
                <c:pt idx="5404">
                  <c:v>-45.96</c:v>
                </c:pt>
                <c:pt idx="5405">
                  <c:v>-45.95</c:v>
                </c:pt>
                <c:pt idx="5406">
                  <c:v>-45.94</c:v>
                </c:pt>
                <c:pt idx="5407">
                  <c:v>-45.93</c:v>
                </c:pt>
                <c:pt idx="5408">
                  <c:v>-45.92</c:v>
                </c:pt>
                <c:pt idx="5409">
                  <c:v>-45.91</c:v>
                </c:pt>
                <c:pt idx="5410">
                  <c:v>-45.9</c:v>
                </c:pt>
                <c:pt idx="5411">
                  <c:v>-45.89</c:v>
                </c:pt>
                <c:pt idx="5412">
                  <c:v>-45.88</c:v>
                </c:pt>
                <c:pt idx="5413">
                  <c:v>-45.87</c:v>
                </c:pt>
                <c:pt idx="5414">
                  <c:v>-45.86</c:v>
                </c:pt>
                <c:pt idx="5415">
                  <c:v>-45.85</c:v>
                </c:pt>
                <c:pt idx="5416">
                  <c:v>-45.84</c:v>
                </c:pt>
                <c:pt idx="5417">
                  <c:v>-45.83</c:v>
                </c:pt>
                <c:pt idx="5418">
                  <c:v>-45.82</c:v>
                </c:pt>
                <c:pt idx="5419">
                  <c:v>-45.81</c:v>
                </c:pt>
                <c:pt idx="5420">
                  <c:v>-45.8</c:v>
                </c:pt>
                <c:pt idx="5421">
                  <c:v>-45.79</c:v>
                </c:pt>
                <c:pt idx="5422">
                  <c:v>-45.78</c:v>
                </c:pt>
                <c:pt idx="5423">
                  <c:v>-45.77</c:v>
                </c:pt>
                <c:pt idx="5424">
                  <c:v>-45.76</c:v>
                </c:pt>
                <c:pt idx="5425">
                  <c:v>-45.75</c:v>
                </c:pt>
                <c:pt idx="5426">
                  <c:v>-45.74</c:v>
                </c:pt>
                <c:pt idx="5427">
                  <c:v>-45.73</c:v>
                </c:pt>
                <c:pt idx="5428">
                  <c:v>-45.72</c:v>
                </c:pt>
                <c:pt idx="5429">
                  <c:v>-45.71</c:v>
                </c:pt>
                <c:pt idx="5430">
                  <c:v>-45.7</c:v>
                </c:pt>
                <c:pt idx="5431">
                  <c:v>-45.69</c:v>
                </c:pt>
                <c:pt idx="5432">
                  <c:v>-45.68</c:v>
                </c:pt>
                <c:pt idx="5433">
                  <c:v>-45.67</c:v>
                </c:pt>
                <c:pt idx="5434">
                  <c:v>-45.66</c:v>
                </c:pt>
                <c:pt idx="5435">
                  <c:v>-45.65</c:v>
                </c:pt>
                <c:pt idx="5436">
                  <c:v>-45.64</c:v>
                </c:pt>
                <c:pt idx="5437">
                  <c:v>-45.63</c:v>
                </c:pt>
                <c:pt idx="5438">
                  <c:v>-45.62</c:v>
                </c:pt>
                <c:pt idx="5439">
                  <c:v>-45.61</c:v>
                </c:pt>
                <c:pt idx="5440">
                  <c:v>-45.6</c:v>
                </c:pt>
                <c:pt idx="5441">
                  <c:v>-45.59</c:v>
                </c:pt>
                <c:pt idx="5442">
                  <c:v>-45.58</c:v>
                </c:pt>
                <c:pt idx="5443">
                  <c:v>-45.57</c:v>
                </c:pt>
                <c:pt idx="5444">
                  <c:v>-45.56</c:v>
                </c:pt>
                <c:pt idx="5445">
                  <c:v>-45.55</c:v>
                </c:pt>
                <c:pt idx="5446">
                  <c:v>-45.54</c:v>
                </c:pt>
                <c:pt idx="5447">
                  <c:v>-45.53</c:v>
                </c:pt>
                <c:pt idx="5448">
                  <c:v>-45.52</c:v>
                </c:pt>
                <c:pt idx="5449">
                  <c:v>-45.51</c:v>
                </c:pt>
                <c:pt idx="5450">
                  <c:v>-45.5</c:v>
                </c:pt>
                <c:pt idx="5451">
                  <c:v>-45.49</c:v>
                </c:pt>
                <c:pt idx="5452">
                  <c:v>-45.48</c:v>
                </c:pt>
                <c:pt idx="5453">
                  <c:v>-45.47</c:v>
                </c:pt>
                <c:pt idx="5454">
                  <c:v>-45.46</c:v>
                </c:pt>
                <c:pt idx="5455">
                  <c:v>-45.45</c:v>
                </c:pt>
                <c:pt idx="5456">
                  <c:v>-45.44</c:v>
                </c:pt>
                <c:pt idx="5457">
                  <c:v>-45.43</c:v>
                </c:pt>
                <c:pt idx="5458">
                  <c:v>-45.42</c:v>
                </c:pt>
                <c:pt idx="5459">
                  <c:v>-45.41</c:v>
                </c:pt>
                <c:pt idx="5460">
                  <c:v>-45.4</c:v>
                </c:pt>
                <c:pt idx="5461">
                  <c:v>-45.39</c:v>
                </c:pt>
                <c:pt idx="5462">
                  <c:v>-45.38</c:v>
                </c:pt>
                <c:pt idx="5463">
                  <c:v>-45.37</c:v>
                </c:pt>
                <c:pt idx="5464">
                  <c:v>-45.36</c:v>
                </c:pt>
                <c:pt idx="5465">
                  <c:v>-45.35</c:v>
                </c:pt>
                <c:pt idx="5466">
                  <c:v>-45.34</c:v>
                </c:pt>
                <c:pt idx="5467">
                  <c:v>-45.33</c:v>
                </c:pt>
                <c:pt idx="5468">
                  <c:v>-45.32</c:v>
                </c:pt>
                <c:pt idx="5469">
                  <c:v>-45.31</c:v>
                </c:pt>
                <c:pt idx="5470">
                  <c:v>-45.3</c:v>
                </c:pt>
                <c:pt idx="5471">
                  <c:v>-45.29</c:v>
                </c:pt>
                <c:pt idx="5472">
                  <c:v>-45.28</c:v>
                </c:pt>
                <c:pt idx="5473">
                  <c:v>-45.27</c:v>
                </c:pt>
                <c:pt idx="5474">
                  <c:v>-45.26</c:v>
                </c:pt>
                <c:pt idx="5475">
                  <c:v>-45.25</c:v>
                </c:pt>
                <c:pt idx="5476">
                  <c:v>-45.24</c:v>
                </c:pt>
                <c:pt idx="5477">
                  <c:v>-45.23</c:v>
                </c:pt>
                <c:pt idx="5478">
                  <c:v>-45.22</c:v>
                </c:pt>
                <c:pt idx="5479">
                  <c:v>-45.21</c:v>
                </c:pt>
                <c:pt idx="5480">
                  <c:v>-45.2</c:v>
                </c:pt>
                <c:pt idx="5481">
                  <c:v>-45.19</c:v>
                </c:pt>
                <c:pt idx="5482">
                  <c:v>-45.18</c:v>
                </c:pt>
                <c:pt idx="5483">
                  <c:v>-45.17</c:v>
                </c:pt>
                <c:pt idx="5484">
                  <c:v>-45.16</c:v>
                </c:pt>
                <c:pt idx="5485">
                  <c:v>-45.15</c:v>
                </c:pt>
                <c:pt idx="5486">
                  <c:v>-45.14</c:v>
                </c:pt>
                <c:pt idx="5487">
                  <c:v>-45.13</c:v>
                </c:pt>
                <c:pt idx="5488">
                  <c:v>-45.12</c:v>
                </c:pt>
                <c:pt idx="5489">
                  <c:v>-45.11</c:v>
                </c:pt>
                <c:pt idx="5490">
                  <c:v>-45.1</c:v>
                </c:pt>
                <c:pt idx="5491">
                  <c:v>-45.09</c:v>
                </c:pt>
                <c:pt idx="5492">
                  <c:v>-45.08</c:v>
                </c:pt>
                <c:pt idx="5493">
                  <c:v>-45.07</c:v>
                </c:pt>
                <c:pt idx="5494">
                  <c:v>-45.06</c:v>
                </c:pt>
                <c:pt idx="5495">
                  <c:v>-45.05</c:v>
                </c:pt>
                <c:pt idx="5496">
                  <c:v>-45.04</c:v>
                </c:pt>
                <c:pt idx="5497">
                  <c:v>-45.03</c:v>
                </c:pt>
                <c:pt idx="5498">
                  <c:v>-45.02</c:v>
                </c:pt>
                <c:pt idx="5499">
                  <c:v>-45.01</c:v>
                </c:pt>
                <c:pt idx="5500">
                  <c:v>-45.0</c:v>
                </c:pt>
                <c:pt idx="5501">
                  <c:v>-44.99</c:v>
                </c:pt>
                <c:pt idx="5502">
                  <c:v>-44.98</c:v>
                </c:pt>
                <c:pt idx="5503">
                  <c:v>-44.97</c:v>
                </c:pt>
                <c:pt idx="5504">
                  <c:v>-44.96</c:v>
                </c:pt>
                <c:pt idx="5505">
                  <c:v>-44.95</c:v>
                </c:pt>
                <c:pt idx="5506">
                  <c:v>-44.94</c:v>
                </c:pt>
                <c:pt idx="5507">
                  <c:v>-44.93</c:v>
                </c:pt>
                <c:pt idx="5508">
                  <c:v>-44.92</c:v>
                </c:pt>
                <c:pt idx="5509">
                  <c:v>-44.91</c:v>
                </c:pt>
                <c:pt idx="5510">
                  <c:v>-44.9</c:v>
                </c:pt>
                <c:pt idx="5511">
                  <c:v>-44.89</c:v>
                </c:pt>
                <c:pt idx="5512">
                  <c:v>-44.88</c:v>
                </c:pt>
                <c:pt idx="5513">
                  <c:v>-44.87</c:v>
                </c:pt>
                <c:pt idx="5514">
                  <c:v>-44.86</c:v>
                </c:pt>
                <c:pt idx="5515">
                  <c:v>-44.85</c:v>
                </c:pt>
                <c:pt idx="5516">
                  <c:v>-44.84</c:v>
                </c:pt>
                <c:pt idx="5517">
                  <c:v>-44.83</c:v>
                </c:pt>
                <c:pt idx="5518">
                  <c:v>-44.82</c:v>
                </c:pt>
                <c:pt idx="5519">
                  <c:v>-44.81</c:v>
                </c:pt>
                <c:pt idx="5520">
                  <c:v>-44.8</c:v>
                </c:pt>
                <c:pt idx="5521">
                  <c:v>-44.79</c:v>
                </c:pt>
                <c:pt idx="5522">
                  <c:v>-44.78</c:v>
                </c:pt>
                <c:pt idx="5523">
                  <c:v>-44.77</c:v>
                </c:pt>
                <c:pt idx="5524">
                  <c:v>-44.76</c:v>
                </c:pt>
                <c:pt idx="5525">
                  <c:v>-44.75</c:v>
                </c:pt>
                <c:pt idx="5526">
                  <c:v>-44.74</c:v>
                </c:pt>
                <c:pt idx="5527">
                  <c:v>-44.73</c:v>
                </c:pt>
                <c:pt idx="5528">
                  <c:v>-44.72</c:v>
                </c:pt>
                <c:pt idx="5529">
                  <c:v>-44.71</c:v>
                </c:pt>
                <c:pt idx="5530">
                  <c:v>-44.7</c:v>
                </c:pt>
                <c:pt idx="5531">
                  <c:v>-44.69</c:v>
                </c:pt>
                <c:pt idx="5532">
                  <c:v>-44.68</c:v>
                </c:pt>
                <c:pt idx="5533">
                  <c:v>-44.67</c:v>
                </c:pt>
                <c:pt idx="5534">
                  <c:v>-44.66</c:v>
                </c:pt>
                <c:pt idx="5535">
                  <c:v>-44.65</c:v>
                </c:pt>
                <c:pt idx="5536">
                  <c:v>-44.64</c:v>
                </c:pt>
                <c:pt idx="5537">
                  <c:v>-44.63</c:v>
                </c:pt>
                <c:pt idx="5538">
                  <c:v>-44.62</c:v>
                </c:pt>
                <c:pt idx="5539">
                  <c:v>-44.61</c:v>
                </c:pt>
                <c:pt idx="5540">
                  <c:v>-44.6</c:v>
                </c:pt>
                <c:pt idx="5541">
                  <c:v>-44.59</c:v>
                </c:pt>
                <c:pt idx="5542">
                  <c:v>-44.58</c:v>
                </c:pt>
                <c:pt idx="5543">
                  <c:v>-44.57</c:v>
                </c:pt>
                <c:pt idx="5544">
                  <c:v>-44.56</c:v>
                </c:pt>
                <c:pt idx="5545">
                  <c:v>-44.55</c:v>
                </c:pt>
                <c:pt idx="5546">
                  <c:v>-44.54</c:v>
                </c:pt>
                <c:pt idx="5547">
                  <c:v>-44.53</c:v>
                </c:pt>
                <c:pt idx="5548">
                  <c:v>-44.52</c:v>
                </c:pt>
                <c:pt idx="5549">
                  <c:v>-44.51</c:v>
                </c:pt>
                <c:pt idx="5550">
                  <c:v>-44.5</c:v>
                </c:pt>
                <c:pt idx="5551">
                  <c:v>-44.49</c:v>
                </c:pt>
                <c:pt idx="5552">
                  <c:v>-44.48</c:v>
                </c:pt>
                <c:pt idx="5553">
                  <c:v>-44.47</c:v>
                </c:pt>
                <c:pt idx="5554">
                  <c:v>-44.46</c:v>
                </c:pt>
                <c:pt idx="5555">
                  <c:v>-44.45</c:v>
                </c:pt>
                <c:pt idx="5556">
                  <c:v>-44.44</c:v>
                </c:pt>
                <c:pt idx="5557">
                  <c:v>-44.43</c:v>
                </c:pt>
                <c:pt idx="5558">
                  <c:v>-44.42</c:v>
                </c:pt>
                <c:pt idx="5559">
                  <c:v>-44.41</c:v>
                </c:pt>
                <c:pt idx="5560">
                  <c:v>-44.4</c:v>
                </c:pt>
                <c:pt idx="5561">
                  <c:v>-44.39</c:v>
                </c:pt>
                <c:pt idx="5562">
                  <c:v>-44.38</c:v>
                </c:pt>
                <c:pt idx="5563">
                  <c:v>-44.37</c:v>
                </c:pt>
                <c:pt idx="5564">
                  <c:v>-44.36</c:v>
                </c:pt>
                <c:pt idx="5565">
                  <c:v>-44.35</c:v>
                </c:pt>
                <c:pt idx="5566">
                  <c:v>-44.34</c:v>
                </c:pt>
                <c:pt idx="5567">
                  <c:v>-44.33</c:v>
                </c:pt>
                <c:pt idx="5568">
                  <c:v>-44.32</c:v>
                </c:pt>
                <c:pt idx="5569">
                  <c:v>-44.31</c:v>
                </c:pt>
                <c:pt idx="5570">
                  <c:v>-44.3</c:v>
                </c:pt>
                <c:pt idx="5571">
                  <c:v>-44.29</c:v>
                </c:pt>
                <c:pt idx="5572">
                  <c:v>-44.28</c:v>
                </c:pt>
                <c:pt idx="5573">
                  <c:v>-44.27</c:v>
                </c:pt>
                <c:pt idx="5574">
                  <c:v>-44.26</c:v>
                </c:pt>
                <c:pt idx="5575">
                  <c:v>-44.25</c:v>
                </c:pt>
                <c:pt idx="5576">
                  <c:v>-44.24</c:v>
                </c:pt>
                <c:pt idx="5577">
                  <c:v>-44.23</c:v>
                </c:pt>
                <c:pt idx="5578">
                  <c:v>-44.22</c:v>
                </c:pt>
                <c:pt idx="5579">
                  <c:v>-44.21</c:v>
                </c:pt>
                <c:pt idx="5580">
                  <c:v>-44.2</c:v>
                </c:pt>
                <c:pt idx="5581">
                  <c:v>-44.19</c:v>
                </c:pt>
                <c:pt idx="5582">
                  <c:v>-44.18</c:v>
                </c:pt>
                <c:pt idx="5583">
                  <c:v>-44.17</c:v>
                </c:pt>
                <c:pt idx="5584">
                  <c:v>-44.16</c:v>
                </c:pt>
                <c:pt idx="5585">
                  <c:v>-44.15</c:v>
                </c:pt>
                <c:pt idx="5586">
                  <c:v>-44.14</c:v>
                </c:pt>
                <c:pt idx="5587">
                  <c:v>-44.13</c:v>
                </c:pt>
                <c:pt idx="5588">
                  <c:v>-44.12</c:v>
                </c:pt>
                <c:pt idx="5589">
                  <c:v>-44.11</c:v>
                </c:pt>
                <c:pt idx="5590">
                  <c:v>-44.1</c:v>
                </c:pt>
                <c:pt idx="5591">
                  <c:v>-44.09</c:v>
                </c:pt>
                <c:pt idx="5592">
                  <c:v>-44.08</c:v>
                </c:pt>
                <c:pt idx="5593">
                  <c:v>-44.07</c:v>
                </c:pt>
                <c:pt idx="5594">
                  <c:v>-44.06</c:v>
                </c:pt>
                <c:pt idx="5595">
                  <c:v>-44.05</c:v>
                </c:pt>
                <c:pt idx="5596">
                  <c:v>-44.04</c:v>
                </c:pt>
                <c:pt idx="5597">
                  <c:v>-44.03</c:v>
                </c:pt>
                <c:pt idx="5598">
                  <c:v>-44.02</c:v>
                </c:pt>
                <c:pt idx="5599">
                  <c:v>-44.01</c:v>
                </c:pt>
                <c:pt idx="5600">
                  <c:v>-44.0</c:v>
                </c:pt>
                <c:pt idx="5601">
                  <c:v>-43.99</c:v>
                </c:pt>
                <c:pt idx="5602">
                  <c:v>-43.98</c:v>
                </c:pt>
                <c:pt idx="5603">
                  <c:v>-43.97</c:v>
                </c:pt>
                <c:pt idx="5604">
                  <c:v>-43.96</c:v>
                </c:pt>
                <c:pt idx="5605">
                  <c:v>-43.95</c:v>
                </c:pt>
                <c:pt idx="5606">
                  <c:v>-43.94</c:v>
                </c:pt>
                <c:pt idx="5607">
                  <c:v>-43.93</c:v>
                </c:pt>
                <c:pt idx="5608">
                  <c:v>-43.92</c:v>
                </c:pt>
                <c:pt idx="5609">
                  <c:v>-43.91</c:v>
                </c:pt>
                <c:pt idx="5610">
                  <c:v>-43.9</c:v>
                </c:pt>
                <c:pt idx="5611">
                  <c:v>-43.89</c:v>
                </c:pt>
                <c:pt idx="5612">
                  <c:v>-43.88</c:v>
                </c:pt>
                <c:pt idx="5613">
                  <c:v>-43.87</c:v>
                </c:pt>
                <c:pt idx="5614">
                  <c:v>-43.86</c:v>
                </c:pt>
                <c:pt idx="5615">
                  <c:v>-43.85</c:v>
                </c:pt>
                <c:pt idx="5616">
                  <c:v>-43.84</c:v>
                </c:pt>
                <c:pt idx="5617">
                  <c:v>-43.83</c:v>
                </c:pt>
                <c:pt idx="5618">
                  <c:v>-43.82</c:v>
                </c:pt>
                <c:pt idx="5619">
                  <c:v>-43.81</c:v>
                </c:pt>
                <c:pt idx="5620">
                  <c:v>-43.8</c:v>
                </c:pt>
                <c:pt idx="5621">
                  <c:v>-43.79</c:v>
                </c:pt>
                <c:pt idx="5622">
                  <c:v>-43.78</c:v>
                </c:pt>
                <c:pt idx="5623">
                  <c:v>-43.77</c:v>
                </c:pt>
                <c:pt idx="5624">
                  <c:v>-43.76</c:v>
                </c:pt>
                <c:pt idx="5625">
                  <c:v>-43.75</c:v>
                </c:pt>
                <c:pt idx="5626">
                  <c:v>-43.74</c:v>
                </c:pt>
                <c:pt idx="5627">
                  <c:v>-43.73</c:v>
                </c:pt>
                <c:pt idx="5628">
                  <c:v>-43.72</c:v>
                </c:pt>
                <c:pt idx="5629">
                  <c:v>-43.71</c:v>
                </c:pt>
                <c:pt idx="5630">
                  <c:v>-43.7</c:v>
                </c:pt>
                <c:pt idx="5631">
                  <c:v>-43.69</c:v>
                </c:pt>
                <c:pt idx="5632">
                  <c:v>-43.68</c:v>
                </c:pt>
                <c:pt idx="5633">
                  <c:v>-43.67</c:v>
                </c:pt>
                <c:pt idx="5634">
                  <c:v>-43.66</c:v>
                </c:pt>
                <c:pt idx="5635">
                  <c:v>-43.65</c:v>
                </c:pt>
                <c:pt idx="5636">
                  <c:v>-43.64</c:v>
                </c:pt>
                <c:pt idx="5637">
                  <c:v>-43.63</c:v>
                </c:pt>
                <c:pt idx="5638">
                  <c:v>-43.62</c:v>
                </c:pt>
                <c:pt idx="5639">
                  <c:v>-43.61</c:v>
                </c:pt>
                <c:pt idx="5640">
                  <c:v>-43.6</c:v>
                </c:pt>
                <c:pt idx="5641">
                  <c:v>-43.59</c:v>
                </c:pt>
                <c:pt idx="5642">
                  <c:v>-43.58</c:v>
                </c:pt>
                <c:pt idx="5643">
                  <c:v>-43.57</c:v>
                </c:pt>
                <c:pt idx="5644">
                  <c:v>-43.56</c:v>
                </c:pt>
                <c:pt idx="5645">
                  <c:v>-43.55</c:v>
                </c:pt>
                <c:pt idx="5646">
                  <c:v>-43.54</c:v>
                </c:pt>
                <c:pt idx="5647">
                  <c:v>-43.53</c:v>
                </c:pt>
                <c:pt idx="5648">
                  <c:v>-43.52</c:v>
                </c:pt>
                <c:pt idx="5649">
                  <c:v>-43.51</c:v>
                </c:pt>
                <c:pt idx="5650">
                  <c:v>-43.5</c:v>
                </c:pt>
                <c:pt idx="5651">
                  <c:v>-43.49</c:v>
                </c:pt>
                <c:pt idx="5652">
                  <c:v>-43.48</c:v>
                </c:pt>
                <c:pt idx="5653">
                  <c:v>-43.47</c:v>
                </c:pt>
                <c:pt idx="5654">
                  <c:v>-43.46</c:v>
                </c:pt>
                <c:pt idx="5655">
                  <c:v>-43.45</c:v>
                </c:pt>
                <c:pt idx="5656">
                  <c:v>-43.44</c:v>
                </c:pt>
                <c:pt idx="5657">
                  <c:v>-43.43</c:v>
                </c:pt>
                <c:pt idx="5658">
                  <c:v>-43.42</c:v>
                </c:pt>
                <c:pt idx="5659">
                  <c:v>-43.41</c:v>
                </c:pt>
                <c:pt idx="5660">
                  <c:v>-43.4</c:v>
                </c:pt>
                <c:pt idx="5661">
                  <c:v>-43.39</c:v>
                </c:pt>
                <c:pt idx="5662">
                  <c:v>-43.38</c:v>
                </c:pt>
                <c:pt idx="5663">
                  <c:v>-43.37</c:v>
                </c:pt>
                <c:pt idx="5664">
                  <c:v>-43.36</c:v>
                </c:pt>
                <c:pt idx="5665">
                  <c:v>-43.35</c:v>
                </c:pt>
                <c:pt idx="5666">
                  <c:v>-43.34</c:v>
                </c:pt>
                <c:pt idx="5667">
                  <c:v>-43.33</c:v>
                </c:pt>
                <c:pt idx="5668">
                  <c:v>-43.32</c:v>
                </c:pt>
                <c:pt idx="5669">
                  <c:v>-43.31</c:v>
                </c:pt>
                <c:pt idx="5670">
                  <c:v>-43.3</c:v>
                </c:pt>
                <c:pt idx="5671">
                  <c:v>-43.29</c:v>
                </c:pt>
                <c:pt idx="5672">
                  <c:v>-43.28</c:v>
                </c:pt>
                <c:pt idx="5673">
                  <c:v>-43.27</c:v>
                </c:pt>
                <c:pt idx="5674">
                  <c:v>-43.26</c:v>
                </c:pt>
                <c:pt idx="5675">
                  <c:v>-43.25</c:v>
                </c:pt>
                <c:pt idx="5676">
                  <c:v>-43.24</c:v>
                </c:pt>
                <c:pt idx="5677">
                  <c:v>-43.23</c:v>
                </c:pt>
                <c:pt idx="5678">
                  <c:v>-43.22</c:v>
                </c:pt>
                <c:pt idx="5679">
                  <c:v>-43.21</c:v>
                </c:pt>
                <c:pt idx="5680">
                  <c:v>-43.2</c:v>
                </c:pt>
                <c:pt idx="5681">
                  <c:v>-43.19</c:v>
                </c:pt>
                <c:pt idx="5682">
                  <c:v>-43.18</c:v>
                </c:pt>
                <c:pt idx="5683">
                  <c:v>-43.17</c:v>
                </c:pt>
                <c:pt idx="5684">
                  <c:v>-43.16</c:v>
                </c:pt>
                <c:pt idx="5685">
                  <c:v>-43.15</c:v>
                </c:pt>
                <c:pt idx="5686">
                  <c:v>-43.14</c:v>
                </c:pt>
                <c:pt idx="5687">
                  <c:v>-43.13</c:v>
                </c:pt>
                <c:pt idx="5688">
                  <c:v>-43.12</c:v>
                </c:pt>
                <c:pt idx="5689">
                  <c:v>-43.11</c:v>
                </c:pt>
                <c:pt idx="5690">
                  <c:v>-43.1</c:v>
                </c:pt>
                <c:pt idx="5691">
                  <c:v>-43.09</c:v>
                </c:pt>
                <c:pt idx="5692">
                  <c:v>-43.08</c:v>
                </c:pt>
                <c:pt idx="5693">
                  <c:v>-43.07</c:v>
                </c:pt>
                <c:pt idx="5694">
                  <c:v>-43.06</c:v>
                </c:pt>
                <c:pt idx="5695">
                  <c:v>-43.05</c:v>
                </c:pt>
                <c:pt idx="5696">
                  <c:v>-43.04</c:v>
                </c:pt>
                <c:pt idx="5697">
                  <c:v>-43.03</c:v>
                </c:pt>
                <c:pt idx="5698">
                  <c:v>-43.02</c:v>
                </c:pt>
                <c:pt idx="5699">
                  <c:v>-43.01</c:v>
                </c:pt>
                <c:pt idx="5700">
                  <c:v>-43.0</c:v>
                </c:pt>
                <c:pt idx="5701">
                  <c:v>-42.99</c:v>
                </c:pt>
                <c:pt idx="5702">
                  <c:v>-42.98</c:v>
                </c:pt>
                <c:pt idx="5703">
                  <c:v>-42.97</c:v>
                </c:pt>
                <c:pt idx="5704">
                  <c:v>-42.96</c:v>
                </c:pt>
                <c:pt idx="5705">
                  <c:v>-42.95</c:v>
                </c:pt>
                <c:pt idx="5706">
                  <c:v>-42.94</c:v>
                </c:pt>
                <c:pt idx="5707">
                  <c:v>-42.93</c:v>
                </c:pt>
                <c:pt idx="5708">
                  <c:v>-42.92</c:v>
                </c:pt>
                <c:pt idx="5709">
                  <c:v>-42.91</c:v>
                </c:pt>
                <c:pt idx="5710">
                  <c:v>-42.9</c:v>
                </c:pt>
                <c:pt idx="5711">
                  <c:v>-42.89</c:v>
                </c:pt>
                <c:pt idx="5712">
                  <c:v>-42.88</c:v>
                </c:pt>
                <c:pt idx="5713">
                  <c:v>-42.87</c:v>
                </c:pt>
                <c:pt idx="5714">
                  <c:v>-42.86</c:v>
                </c:pt>
                <c:pt idx="5715">
                  <c:v>-42.85</c:v>
                </c:pt>
                <c:pt idx="5716">
                  <c:v>-42.84</c:v>
                </c:pt>
                <c:pt idx="5717">
                  <c:v>-42.83</c:v>
                </c:pt>
                <c:pt idx="5718">
                  <c:v>-42.82</c:v>
                </c:pt>
                <c:pt idx="5719">
                  <c:v>-42.81</c:v>
                </c:pt>
                <c:pt idx="5720">
                  <c:v>-42.8</c:v>
                </c:pt>
                <c:pt idx="5721">
                  <c:v>-42.79</c:v>
                </c:pt>
                <c:pt idx="5722">
                  <c:v>-42.78</c:v>
                </c:pt>
                <c:pt idx="5723">
                  <c:v>-42.77</c:v>
                </c:pt>
                <c:pt idx="5724">
                  <c:v>-42.76</c:v>
                </c:pt>
                <c:pt idx="5725">
                  <c:v>-42.75</c:v>
                </c:pt>
                <c:pt idx="5726">
                  <c:v>-42.74</c:v>
                </c:pt>
                <c:pt idx="5727">
                  <c:v>-42.73</c:v>
                </c:pt>
                <c:pt idx="5728">
                  <c:v>-42.72</c:v>
                </c:pt>
                <c:pt idx="5729">
                  <c:v>-42.71</c:v>
                </c:pt>
                <c:pt idx="5730">
                  <c:v>-42.7</c:v>
                </c:pt>
                <c:pt idx="5731">
                  <c:v>-42.69</c:v>
                </c:pt>
                <c:pt idx="5732">
                  <c:v>-42.68</c:v>
                </c:pt>
                <c:pt idx="5733">
                  <c:v>-42.67</c:v>
                </c:pt>
                <c:pt idx="5734">
                  <c:v>-42.66</c:v>
                </c:pt>
                <c:pt idx="5735">
                  <c:v>-42.65</c:v>
                </c:pt>
                <c:pt idx="5736">
                  <c:v>-42.64</c:v>
                </c:pt>
                <c:pt idx="5737">
                  <c:v>-42.63</c:v>
                </c:pt>
                <c:pt idx="5738">
                  <c:v>-42.62</c:v>
                </c:pt>
                <c:pt idx="5739">
                  <c:v>-42.61</c:v>
                </c:pt>
                <c:pt idx="5740">
                  <c:v>-42.6</c:v>
                </c:pt>
                <c:pt idx="5741">
                  <c:v>-42.59</c:v>
                </c:pt>
                <c:pt idx="5742">
                  <c:v>-42.58</c:v>
                </c:pt>
                <c:pt idx="5743">
                  <c:v>-42.57</c:v>
                </c:pt>
                <c:pt idx="5744">
                  <c:v>-42.56</c:v>
                </c:pt>
                <c:pt idx="5745">
                  <c:v>-42.55</c:v>
                </c:pt>
                <c:pt idx="5746">
                  <c:v>-42.54</c:v>
                </c:pt>
                <c:pt idx="5747">
                  <c:v>-42.53</c:v>
                </c:pt>
                <c:pt idx="5748">
                  <c:v>-42.52</c:v>
                </c:pt>
                <c:pt idx="5749">
                  <c:v>-42.51</c:v>
                </c:pt>
                <c:pt idx="5750">
                  <c:v>-42.5</c:v>
                </c:pt>
                <c:pt idx="5751">
                  <c:v>-42.49</c:v>
                </c:pt>
                <c:pt idx="5752">
                  <c:v>-42.48</c:v>
                </c:pt>
                <c:pt idx="5753">
                  <c:v>-42.47</c:v>
                </c:pt>
                <c:pt idx="5754">
                  <c:v>-42.46</c:v>
                </c:pt>
                <c:pt idx="5755">
                  <c:v>-42.45</c:v>
                </c:pt>
                <c:pt idx="5756">
                  <c:v>-42.44</c:v>
                </c:pt>
                <c:pt idx="5757">
                  <c:v>-42.43</c:v>
                </c:pt>
                <c:pt idx="5758">
                  <c:v>-42.42</c:v>
                </c:pt>
                <c:pt idx="5759">
                  <c:v>-42.41</c:v>
                </c:pt>
                <c:pt idx="5760">
                  <c:v>-42.4</c:v>
                </c:pt>
                <c:pt idx="5761">
                  <c:v>-42.39</c:v>
                </c:pt>
                <c:pt idx="5762">
                  <c:v>-42.38</c:v>
                </c:pt>
                <c:pt idx="5763">
                  <c:v>-42.37</c:v>
                </c:pt>
                <c:pt idx="5764">
                  <c:v>-42.36</c:v>
                </c:pt>
                <c:pt idx="5765">
                  <c:v>-42.35</c:v>
                </c:pt>
                <c:pt idx="5766">
                  <c:v>-42.34</c:v>
                </c:pt>
                <c:pt idx="5767">
                  <c:v>-42.33</c:v>
                </c:pt>
                <c:pt idx="5768">
                  <c:v>-42.32</c:v>
                </c:pt>
                <c:pt idx="5769">
                  <c:v>-42.31</c:v>
                </c:pt>
                <c:pt idx="5770">
                  <c:v>-42.3</c:v>
                </c:pt>
                <c:pt idx="5771">
                  <c:v>-42.29</c:v>
                </c:pt>
                <c:pt idx="5772">
                  <c:v>-42.28</c:v>
                </c:pt>
                <c:pt idx="5773">
                  <c:v>-42.27</c:v>
                </c:pt>
                <c:pt idx="5774">
                  <c:v>-42.26</c:v>
                </c:pt>
                <c:pt idx="5775">
                  <c:v>-42.25</c:v>
                </c:pt>
                <c:pt idx="5776">
                  <c:v>-42.24</c:v>
                </c:pt>
                <c:pt idx="5777">
                  <c:v>-42.23</c:v>
                </c:pt>
                <c:pt idx="5778">
                  <c:v>-42.22</c:v>
                </c:pt>
                <c:pt idx="5779">
                  <c:v>-42.21</c:v>
                </c:pt>
                <c:pt idx="5780">
                  <c:v>-42.2</c:v>
                </c:pt>
                <c:pt idx="5781">
                  <c:v>-42.19</c:v>
                </c:pt>
                <c:pt idx="5782">
                  <c:v>-42.18</c:v>
                </c:pt>
                <c:pt idx="5783">
                  <c:v>-42.17</c:v>
                </c:pt>
                <c:pt idx="5784">
                  <c:v>-42.16</c:v>
                </c:pt>
                <c:pt idx="5785">
                  <c:v>-42.15</c:v>
                </c:pt>
                <c:pt idx="5786">
                  <c:v>-42.14</c:v>
                </c:pt>
                <c:pt idx="5787">
                  <c:v>-42.13</c:v>
                </c:pt>
                <c:pt idx="5788">
                  <c:v>-42.12</c:v>
                </c:pt>
                <c:pt idx="5789">
                  <c:v>-42.11</c:v>
                </c:pt>
                <c:pt idx="5790">
                  <c:v>-42.1</c:v>
                </c:pt>
                <c:pt idx="5791">
                  <c:v>-42.09</c:v>
                </c:pt>
                <c:pt idx="5792">
                  <c:v>-42.08</c:v>
                </c:pt>
                <c:pt idx="5793">
                  <c:v>-42.07</c:v>
                </c:pt>
                <c:pt idx="5794">
                  <c:v>-42.06</c:v>
                </c:pt>
                <c:pt idx="5795">
                  <c:v>-42.05</c:v>
                </c:pt>
                <c:pt idx="5796">
                  <c:v>-42.04</c:v>
                </c:pt>
                <c:pt idx="5797">
                  <c:v>-42.03</c:v>
                </c:pt>
                <c:pt idx="5798">
                  <c:v>-42.02</c:v>
                </c:pt>
                <c:pt idx="5799">
                  <c:v>-42.01</c:v>
                </c:pt>
                <c:pt idx="5800">
                  <c:v>-42.0</c:v>
                </c:pt>
                <c:pt idx="5801">
                  <c:v>-41.99</c:v>
                </c:pt>
                <c:pt idx="5802">
                  <c:v>-41.98</c:v>
                </c:pt>
                <c:pt idx="5803">
                  <c:v>-41.97</c:v>
                </c:pt>
                <c:pt idx="5804">
                  <c:v>-41.96</c:v>
                </c:pt>
                <c:pt idx="5805">
                  <c:v>-41.95</c:v>
                </c:pt>
                <c:pt idx="5806">
                  <c:v>-41.94</c:v>
                </c:pt>
                <c:pt idx="5807">
                  <c:v>-41.93</c:v>
                </c:pt>
                <c:pt idx="5808">
                  <c:v>-41.92</c:v>
                </c:pt>
                <c:pt idx="5809">
                  <c:v>-41.91</c:v>
                </c:pt>
                <c:pt idx="5810">
                  <c:v>-41.9</c:v>
                </c:pt>
                <c:pt idx="5811">
                  <c:v>-41.89</c:v>
                </c:pt>
                <c:pt idx="5812">
                  <c:v>-41.88</c:v>
                </c:pt>
                <c:pt idx="5813">
                  <c:v>-41.87</c:v>
                </c:pt>
                <c:pt idx="5814">
                  <c:v>-41.86</c:v>
                </c:pt>
                <c:pt idx="5815">
                  <c:v>-41.85</c:v>
                </c:pt>
                <c:pt idx="5816">
                  <c:v>-41.84</c:v>
                </c:pt>
                <c:pt idx="5817">
                  <c:v>-41.83</c:v>
                </c:pt>
                <c:pt idx="5818">
                  <c:v>-41.82</c:v>
                </c:pt>
                <c:pt idx="5819">
                  <c:v>-41.81</c:v>
                </c:pt>
                <c:pt idx="5820">
                  <c:v>-41.8</c:v>
                </c:pt>
                <c:pt idx="5821">
                  <c:v>-41.79</c:v>
                </c:pt>
                <c:pt idx="5822">
                  <c:v>-41.78</c:v>
                </c:pt>
                <c:pt idx="5823">
                  <c:v>-41.77</c:v>
                </c:pt>
                <c:pt idx="5824">
                  <c:v>-41.76</c:v>
                </c:pt>
                <c:pt idx="5825">
                  <c:v>-41.75</c:v>
                </c:pt>
                <c:pt idx="5826">
                  <c:v>-41.74</c:v>
                </c:pt>
                <c:pt idx="5827">
                  <c:v>-41.73</c:v>
                </c:pt>
                <c:pt idx="5828">
                  <c:v>-41.72</c:v>
                </c:pt>
                <c:pt idx="5829">
                  <c:v>-41.71</c:v>
                </c:pt>
                <c:pt idx="5830">
                  <c:v>-41.7</c:v>
                </c:pt>
                <c:pt idx="5831">
                  <c:v>-41.69</c:v>
                </c:pt>
                <c:pt idx="5832">
                  <c:v>-41.68</c:v>
                </c:pt>
                <c:pt idx="5833">
                  <c:v>-41.67</c:v>
                </c:pt>
                <c:pt idx="5834">
                  <c:v>-41.66</c:v>
                </c:pt>
                <c:pt idx="5835">
                  <c:v>-41.65</c:v>
                </c:pt>
                <c:pt idx="5836">
                  <c:v>-41.64</c:v>
                </c:pt>
                <c:pt idx="5837">
                  <c:v>-41.63</c:v>
                </c:pt>
                <c:pt idx="5838">
                  <c:v>-41.62</c:v>
                </c:pt>
                <c:pt idx="5839">
                  <c:v>-41.61</c:v>
                </c:pt>
                <c:pt idx="5840">
                  <c:v>-41.6</c:v>
                </c:pt>
                <c:pt idx="5841">
                  <c:v>-41.59</c:v>
                </c:pt>
                <c:pt idx="5842">
                  <c:v>-41.58</c:v>
                </c:pt>
                <c:pt idx="5843">
                  <c:v>-41.57</c:v>
                </c:pt>
                <c:pt idx="5844">
                  <c:v>-41.56</c:v>
                </c:pt>
                <c:pt idx="5845">
                  <c:v>-41.55</c:v>
                </c:pt>
                <c:pt idx="5846">
                  <c:v>-41.54</c:v>
                </c:pt>
                <c:pt idx="5847">
                  <c:v>-41.53</c:v>
                </c:pt>
                <c:pt idx="5848">
                  <c:v>-41.52</c:v>
                </c:pt>
                <c:pt idx="5849">
                  <c:v>-41.51</c:v>
                </c:pt>
                <c:pt idx="5850">
                  <c:v>-41.5</c:v>
                </c:pt>
                <c:pt idx="5851">
                  <c:v>-41.49</c:v>
                </c:pt>
                <c:pt idx="5852">
                  <c:v>-41.48</c:v>
                </c:pt>
                <c:pt idx="5853">
                  <c:v>-41.47</c:v>
                </c:pt>
                <c:pt idx="5854">
                  <c:v>-41.46</c:v>
                </c:pt>
                <c:pt idx="5855">
                  <c:v>-41.45</c:v>
                </c:pt>
                <c:pt idx="5856">
                  <c:v>-41.44</c:v>
                </c:pt>
                <c:pt idx="5857">
                  <c:v>-41.43</c:v>
                </c:pt>
                <c:pt idx="5858">
                  <c:v>-41.42</c:v>
                </c:pt>
                <c:pt idx="5859">
                  <c:v>-41.41</c:v>
                </c:pt>
                <c:pt idx="5860">
                  <c:v>-41.4</c:v>
                </c:pt>
                <c:pt idx="5861">
                  <c:v>-41.39</c:v>
                </c:pt>
                <c:pt idx="5862">
                  <c:v>-41.38</c:v>
                </c:pt>
                <c:pt idx="5863">
                  <c:v>-41.37</c:v>
                </c:pt>
                <c:pt idx="5864">
                  <c:v>-41.36</c:v>
                </c:pt>
                <c:pt idx="5865">
                  <c:v>-41.35</c:v>
                </c:pt>
                <c:pt idx="5866">
                  <c:v>-41.34</c:v>
                </c:pt>
                <c:pt idx="5867">
                  <c:v>-41.33</c:v>
                </c:pt>
                <c:pt idx="5868">
                  <c:v>-41.32</c:v>
                </c:pt>
                <c:pt idx="5869">
                  <c:v>-41.31</c:v>
                </c:pt>
                <c:pt idx="5870">
                  <c:v>-41.3</c:v>
                </c:pt>
                <c:pt idx="5871">
                  <c:v>-41.29</c:v>
                </c:pt>
                <c:pt idx="5872">
                  <c:v>-41.28</c:v>
                </c:pt>
                <c:pt idx="5873">
                  <c:v>-41.27</c:v>
                </c:pt>
                <c:pt idx="5874">
                  <c:v>-41.26</c:v>
                </c:pt>
                <c:pt idx="5875">
                  <c:v>-41.25</c:v>
                </c:pt>
                <c:pt idx="5876">
                  <c:v>-41.24</c:v>
                </c:pt>
                <c:pt idx="5877">
                  <c:v>-41.23</c:v>
                </c:pt>
                <c:pt idx="5878">
                  <c:v>-41.22</c:v>
                </c:pt>
                <c:pt idx="5879">
                  <c:v>-41.21</c:v>
                </c:pt>
                <c:pt idx="5880">
                  <c:v>-41.2</c:v>
                </c:pt>
                <c:pt idx="5881">
                  <c:v>-41.19</c:v>
                </c:pt>
                <c:pt idx="5882">
                  <c:v>-41.18</c:v>
                </c:pt>
                <c:pt idx="5883">
                  <c:v>-41.17</c:v>
                </c:pt>
                <c:pt idx="5884">
                  <c:v>-41.16</c:v>
                </c:pt>
                <c:pt idx="5885">
                  <c:v>-41.15</c:v>
                </c:pt>
                <c:pt idx="5886">
                  <c:v>-41.14</c:v>
                </c:pt>
                <c:pt idx="5887">
                  <c:v>-41.13</c:v>
                </c:pt>
                <c:pt idx="5888">
                  <c:v>-41.12</c:v>
                </c:pt>
                <c:pt idx="5889">
                  <c:v>-41.11</c:v>
                </c:pt>
                <c:pt idx="5890">
                  <c:v>-41.1</c:v>
                </c:pt>
                <c:pt idx="5891">
                  <c:v>-41.09</c:v>
                </c:pt>
                <c:pt idx="5892">
                  <c:v>-41.08</c:v>
                </c:pt>
                <c:pt idx="5893">
                  <c:v>-41.07</c:v>
                </c:pt>
                <c:pt idx="5894">
                  <c:v>-41.06</c:v>
                </c:pt>
                <c:pt idx="5895">
                  <c:v>-41.05</c:v>
                </c:pt>
                <c:pt idx="5896">
                  <c:v>-41.04</c:v>
                </c:pt>
                <c:pt idx="5897">
                  <c:v>-41.03</c:v>
                </c:pt>
                <c:pt idx="5898">
                  <c:v>-41.02</c:v>
                </c:pt>
                <c:pt idx="5899">
                  <c:v>-41.01</c:v>
                </c:pt>
                <c:pt idx="5900">
                  <c:v>-41.0</c:v>
                </c:pt>
                <c:pt idx="5901">
                  <c:v>-40.99</c:v>
                </c:pt>
                <c:pt idx="5902">
                  <c:v>-40.98</c:v>
                </c:pt>
                <c:pt idx="5903">
                  <c:v>-40.97</c:v>
                </c:pt>
                <c:pt idx="5904">
                  <c:v>-40.96</c:v>
                </c:pt>
                <c:pt idx="5905">
                  <c:v>-40.95</c:v>
                </c:pt>
                <c:pt idx="5906">
                  <c:v>-40.94</c:v>
                </c:pt>
                <c:pt idx="5907">
                  <c:v>-40.93</c:v>
                </c:pt>
                <c:pt idx="5908">
                  <c:v>-40.92</c:v>
                </c:pt>
                <c:pt idx="5909">
                  <c:v>-40.91</c:v>
                </c:pt>
                <c:pt idx="5910">
                  <c:v>-40.9</c:v>
                </c:pt>
                <c:pt idx="5911">
                  <c:v>-40.89</c:v>
                </c:pt>
                <c:pt idx="5912">
                  <c:v>-40.88</c:v>
                </c:pt>
                <c:pt idx="5913">
                  <c:v>-40.87</c:v>
                </c:pt>
                <c:pt idx="5914">
                  <c:v>-40.86</c:v>
                </c:pt>
                <c:pt idx="5915">
                  <c:v>-40.85</c:v>
                </c:pt>
                <c:pt idx="5916">
                  <c:v>-40.84</c:v>
                </c:pt>
                <c:pt idx="5917">
                  <c:v>-40.83</c:v>
                </c:pt>
                <c:pt idx="5918">
                  <c:v>-40.82</c:v>
                </c:pt>
                <c:pt idx="5919">
                  <c:v>-40.81</c:v>
                </c:pt>
                <c:pt idx="5920">
                  <c:v>-40.8</c:v>
                </c:pt>
                <c:pt idx="5921">
                  <c:v>-40.79</c:v>
                </c:pt>
                <c:pt idx="5922">
                  <c:v>-40.78</c:v>
                </c:pt>
                <c:pt idx="5923">
                  <c:v>-40.77</c:v>
                </c:pt>
                <c:pt idx="5924">
                  <c:v>-40.76</c:v>
                </c:pt>
                <c:pt idx="5925">
                  <c:v>-40.75</c:v>
                </c:pt>
                <c:pt idx="5926">
                  <c:v>-40.74</c:v>
                </c:pt>
                <c:pt idx="5927">
                  <c:v>-40.73</c:v>
                </c:pt>
                <c:pt idx="5928">
                  <c:v>-40.72</c:v>
                </c:pt>
                <c:pt idx="5929">
                  <c:v>-40.71</c:v>
                </c:pt>
                <c:pt idx="5930">
                  <c:v>-40.7</c:v>
                </c:pt>
                <c:pt idx="5931">
                  <c:v>-40.69</c:v>
                </c:pt>
                <c:pt idx="5932">
                  <c:v>-40.68</c:v>
                </c:pt>
                <c:pt idx="5933">
                  <c:v>-40.67</c:v>
                </c:pt>
                <c:pt idx="5934">
                  <c:v>-40.66</c:v>
                </c:pt>
                <c:pt idx="5935">
                  <c:v>-40.65</c:v>
                </c:pt>
                <c:pt idx="5936">
                  <c:v>-40.64</c:v>
                </c:pt>
                <c:pt idx="5937">
                  <c:v>-40.63</c:v>
                </c:pt>
                <c:pt idx="5938">
                  <c:v>-40.62</c:v>
                </c:pt>
                <c:pt idx="5939">
                  <c:v>-40.61</c:v>
                </c:pt>
                <c:pt idx="5940">
                  <c:v>-40.6</c:v>
                </c:pt>
                <c:pt idx="5941">
                  <c:v>-40.59</c:v>
                </c:pt>
                <c:pt idx="5942">
                  <c:v>-40.58</c:v>
                </c:pt>
                <c:pt idx="5943">
                  <c:v>-40.57</c:v>
                </c:pt>
                <c:pt idx="5944">
                  <c:v>-40.56</c:v>
                </c:pt>
                <c:pt idx="5945">
                  <c:v>-40.55</c:v>
                </c:pt>
                <c:pt idx="5946">
                  <c:v>-40.54</c:v>
                </c:pt>
                <c:pt idx="5947">
                  <c:v>-40.53</c:v>
                </c:pt>
                <c:pt idx="5948">
                  <c:v>-40.52</c:v>
                </c:pt>
                <c:pt idx="5949">
                  <c:v>-40.51</c:v>
                </c:pt>
                <c:pt idx="5950">
                  <c:v>-40.5</c:v>
                </c:pt>
                <c:pt idx="5951">
                  <c:v>-40.49</c:v>
                </c:pt>
                <c:pt idx="5952">
                  <c:v>-40.48</c:v>
                </c:pt>
                <c:pt idx="5953">
                  <c:v>-40.47</c:v>
                </c:pt>
                <c:pt idx="5954">
                  <c:v>-40.46</c:v>
                </c:pt>
                <c:pt idx="5955">
                  <c:v>-40.45</c:v>
                </c:pt>
                <c:pt idx="5956">
                  <c:v>-40.44</c:v>
                </c:pt>
                <c:pt idx="5957">
                  <c:v>-40.43</c:v>
                </c:pt>
                <c:pt idx="5958">
                  <c:v>-40.42</c:v>
                </c:pt>
                <c:pt idx="5959">
                  <c:v>-40.41</c:v>
                </c:pt>
                <c:pt idx="5960">
                  <c:v>-40.4</c:v>
                </c:pt>
                <c:pt idx="5961">
                  <c:v>-40.39</c:v>
                </c:pt>
                <c:pt idx="5962">
                  <c:v>-40.38</c:v>
                </c:pt>
                <c:pt idx="5963">
                  <c:v>-40.37</c:v>
                </c:pt>
                <c:pt idx="5964">
                  <c:v>-40.36</c:v>
                </c:pt>
                <c:pt idx="5965">
                  <c:v>-40.35</c:v>
                </c:pt>
                <c:pt idx="5966">
                  <c:v>-40.34</c:v>
                </c:pt>
                <c:pt idx="5967">
                  <c:v>-40.33</c:v>
                </c:pt>
                <c:pt idx="5968">
                  <c:v>-40.32</c:v>
                </c:pt>
                <c:pt idx="5969">
                  <c:v>-40.31</c:v>
                </c:pt>
                <c:pt idx="5970">
                  <c:v>-40.3</c:v>
                </c:pt>
                <c:pt idx="5971">
                  <c:v>-40.29</c:v>
                </c:pt>
                <c:pt idx="5972">
                  <c:v>-40.28</c:v>
                </c:pt>
                <c:pt idx="5973">
                  <c:v>-40.27</c:v>
                </c:pt>
                <c:pt idx="5974">
                  <c:v>-40.26</c:v>
                </c:pt>
                <c:pt idx="5975">
                  <c:v>-40.25</c:v>
                </c:pt>
                <c:pt idx="5976">
                  <c:v>-40.24</c:v>
                </c:pt>
                <c:pt idx="5977">
                  <c:v>-40.23</c:v>
                </c:pt>
                <c:pt idx="5978">
                  <c:v>-40.22</c:v>
                </c:pt>
                <c:pt idx="5979">
                  <c:v>-40.21</c:v>
                </c:pt>
                <c:pt idx="5980">
                  <c:v>-40.2</c:v>
                </c:pt>
                <c:pt idx="5981">
                  <c:v>-40.19</c:v>
                </c:pt>
                <c:pt idx="5982">
                  <c:v>-40.18</c:v>
                </c:pt>
                <c:pt idx="5983">
                  <c:v>-40.17</c:v>
                </c:pt>
                <c:pt idx="5984">
                  <c:v>-40.16</c:v>
                </c:pt>
                <c:pt idx="5985">
                  <c:v>-40.15</c:v>
                </c:pt>
                <c:pt idx="5986">
                  <c:v>-40.14</c:v>
                </c:pt>
                <c:pt idx="5987">
                  <c:v>-40.13</c:v>
                </c:pt>
                <c:pt idx="5988">
                  <c:v>-40.12</c:v>
                </c:pt>
                <c:pt idx="5989">
                  <c:v>-40.11</c:v>
                </c:pt>
                <c:pt idx="5990">
                  <c:v>-40.1</c:v>
                </c:pt>
                <c:pt idx="5991">
                  <c:v>-40.09</c:v>
                </c:pt>
                <c:pt idx="5992">
                  <c:v>-40.08</c:v>
                </c:pt>
                <c:pt idx="5993">
                  <c:v>-40.07</c:v>
                </c:pt>
                <c:pt idx="5994">
                  <c:v>-40.06</c:v>
                </c:pt>
                <c:pt idx="5995">
                  <c:v>-40.05</c:v>
                </c:pt>
                <c:pt idx="5996">
                  <c:v>-40.04</c:v>
                </c:pt>
                <c:pt idx="5997">
                  <c:v>-40.03</c:v>
                </c:pt>
                <c:pt idx="5998">
                  <c:v>-40.02</c:v>
                </c:pt>
                <c:pt idx="5999">
                  <c:v>-40.01</c:v>
                </c:pt>
                <c:pt idx="6000">
                  <c:v>-40.0</c:v>
                </c:pt>
                <c:pt idx="6001">
                  <c:v>-39.99</c:v>
                </c:pt>
                <c:pt idx="6002">
                  <c:v>-39.98</c:v>
                </c:pt>
                <c:pt idx="6003">
                  <c:v>-39.97</c:v>
                </c:pt>
                <c:pt idx="6004">
                  <c:v>-39.96</c:v>
                </c:pt>
                <c:pt idx="6005">
                  <c:v>-39.95</c:v>
                </c:pt>
                <c:pt idx="6006">
                  <c:v>-39.94</c:v>
                </c:pt>
                <c:pt idx="6007">
                  <c:v>-39.93</c:v>
                </c:pt>
                <c:pt idx="6008">
                  <c:v>-39.92</c:v>
                </c:pt>
                <c:pt idx="6009">
                  <c:v>-39.91</c:v>
                </c:pt>
                <c:pt idx="6010">
                  <c:v>-39.9</c:v>
                </c:pt>
                <c:pt idx="6011">
                  <c:v>-39.89</c:v>
                </c:pt>
                <c:pt idx="6012">
                  <c:v>-39.88</c:v>
                </c:pt>
                <c:pt idx="6013">
                  <c:v>-39.87</c:v>
                </c:pt>
                <c:pt idx="6014">
                  <c:v>-39.86</c:v>
                </c:pt>
                <c:pt idx="6015">
                  <c:v>-39.85</c:v>
                </c:pt>
                <c:pt idx="6016">
                  <c:v>-39.84</c:v>
                </c:pt>
                <c:pt idx="6017">
                  <c:v>-39.83</c:v>
                </c:pt>
                <c:pt idx="6018">
                  <c:v>-39.82</c:v>
                </c:pt>
                <c:pt idx="6019">
                  <c:v>-39.81</c:v>
                </c:pt>
                <c:pt idx="6020">
                  <c:v>-39.8</c:v>
                </c:pt>
                <c:pt idx="6021">
                  <c:v>-39.79</c:v>
                </c:pt>
                <c:pt idx="6022">
                  <c:v>-39.78</c:v>
                </c:pt>
                <c:pt idx="6023">
                  <c:v>-39.77</c:v>
                </c:pt>
                <c:pt idx="6024">
                  <c:v>-39.76</c:v>
                </c:pt>
                <c:pt idx="6025">
                  <c:v>-39.75</c:v>
                </c:pt>
                <c:pt idx="6026">
                  <c:v>-39.74</c:v>
                </c:pt>
                <c:pt idx="6027">
                  <c:v>-39.73</c:v>
                </c:pt>
                <c:pt idx="6028">
                  <c:v>-39.72</c:v>
                </c:pt>
                <c:pt idx="6029">
                  <c:v>-39.71</c:v>
                </c:pt>
                <c:pt idx="6030">
                  <c:v>-39.7</c:v>
                </c:pt>
                <c:pt idx="6031">
                  <c:v>-39.69</c:v>
                </c:pt>
                <c:pt idx="6032">
                  <c:v>-39.68</c:v>
                </c:pt>
                <c:pt idx="6033">
                  <c:v>-39.67</c:v>
                </c:pt>
                <c:pt idx="6034">
                  <c:v>-39.66</c:v>
                </c:pt>
                <c:pt idx="6035">
                  <c:v>-39.65</c:v>
                </c:pt>
                <c:pt idx="6036">
                  <c:v>-39.64</c:v>
                </c:pt>
                <c:pt idx="6037">
                  <c:v>-39.63</c:v>
                </c:pt>
                <c:pt idx="6038">
                  <c:v>-39.62</c:v>
                </c:pt>
                <c:pt idx="6039">
                  <c:v>-39.61</c:v>
                </c:pt>
                <c:pt idx="6040">
                  <c:v>-39.6</c:v>
                </c:pt>
                <c:pt idx="6041">
                  <c:v>-39.59</c:v>
                </c:pt>
                <c:pt idx="6042">
                  <c:v>-39.58</c:v>
                </c:pt>
                <c:pt idx="6043">
                  <c:v>-39.57</c:v>
                </c:pt>
                <c:pt idx="6044">
                  <c:v>-39.56</c:v>
                </c:pt>
                <c:pt idx="6045">
                  <c:v>-39.55</c:v>
                </c:pt>
                <c:pt idx="6046">
                  <c:v>-39.54</c:v>
                </c:pt>
                <c:pt idx="6047">
                  <c:v>-39.53</c:v>
                </c:pt>
                <c:pt idx="6048">
                  <c:v>-39.52</c:v>
                </c:pt>
                <c:pt idx="6049">
                  <c:v>-39.51</c:v>
                </c:pt>
                <c:pt idx="6050">
                  <c:v>-39.5</c:v>
                </c:pt>
                <c:pt idx="6051">
                  <c:v>-39.49</c:v>
                </c:pt>
                <c:pt idx="6052">
                  <c:v>-39.48</c:v>
                </c:pt>
                <c:pt idx="6053">
                  <c:v>-39.47</c:v>
                </c:pt>
                <c:pt idx="6054">
                  <c:v>-39.46</c:v>
                </c:pt>
                <c:pt idx="6055">
                  <c:v>-39.45</c:v>
                </c:pt>
                <c:pt idx="6056">
                  <c:v>-39.44</c:v>
                </c:pt>
                <c:pt idx="6057">
                  <c:v>-39.43</c:v>
                </c:pt>
                <c:pt idx="6058">
                  <c:v>-39.42</c:v>
                </c:pt>
                <c:pt idx="6059">
                  <c:v>-39.41</c:v>
                </c:pt>
                <c:pt idx="6060">
                  <c:v>-39.4</c:v>
                </c:pt>
                <c:pt idx="6061">
                  <c:v>-39.39</c:v>
                </c:pt>
                <c:pt idx="6062">
                  <c:v>-39.38</c:v>
                </c:pt>
                <c:pt idx="6063">
                  <c:v>-39.37</c:v>
                </c:pt>
                <c:pt idx="6064">
                  <c:v>-39.36</c:v>
                </c:pt>
                <c:pt idx="6065">
                  <c:v>-39.35</c:v>
                </c:pt>
                <c:pt idx="6066">
                  <c:v>-39.34</c:v>
                </c:pt>
                <c:pt idx="6067">
                  <c:v>-39.33</c:v>
                </c:pt>
                <c:pt idx="6068">
                  <c:v>-39.32</c:v>
                </c:pt>
                <c:pt idx="6069">
                  <c:v>-39.31</c:v>
                </c:pt>
                <c:pt idx="6070">
                  <c:v>-39.3</c:v>
                </c:pt>
                <c:pt idx="6071">
                  <c:v>-39.29</c:v>
                </c:pt>
                <c:pt idx="6072">
                  <c:v>-39.28</c:v>
                </c:pt>
                <c:pt idx="6073">
                  <c:v>-39.27</c:v>
                </c:pt>
                <c:pt idx="6074">
                  <c:v>-39.26</c:v>
                </c:pt>
                <c:pt idx="6075">
                  <c:v>-39.25</c:v>
                </c:pt>
                <c:pt idx="6076">
                  <c:v>-39.24</c:v>
                </c:pt>
                <c:pt idx="6077">
                  <c:v>-39.23</c:v>
                </c:pt>
                <c:pt idx="6078">
                  <c:v>-39.22</c:v>
                </c:pt>
                <c:pt idx="6079">
                  <c:v>-39.21</c:v>
                </c:pt>
                <c:pt idx="6080">
                  <c:v>-39.2</c:v>
                </c:pt>
                <c:pt idx="6081">
                  <c:v>-39.19</c:v>
                </c:pt>
                <c:pt idx="6082">
                  <c:v>-39.18</c:v>
                </c:pt>
                <c:pt idx="6083">
                  <c:v>-39.17</c:v>
                </c:pt>
                <c:pt idx="6084">
                  <c:v>-39.16</c:v>
                </c:pt>
                <c:pt idx="6085">
                  <c:v>-39.15</c:v>
                </c:pt>
                <c:pt idx="6086">
                  <c:v>-39.14</c:v>
                </c:pt>
                <c:pt idx="6087">
                  <c:v>-39.13</c:v>
                </c:pt>
                <c:pt idx="6088">
                  <c:v>-39.12</c:v>
                </c:pt>
                <c:pt idx="6089">
                  <c:v>-39.11</c:v>
                </c:pt>
                <c:pt idx="6090">
                  <c:v>-39.1</c:v>
                </c:pt>
                <c:pt idx="6091">
                  <c:v>-39.09</c:v>
                </c:pt>
                <c:pt idx="6092">
                  <c:v>-39.08</c:v>
                </c:pt>
                <c:pt idx="6093">
                  <c:v>-39.07</c:v>
                </c:pt>
                <c:pt idx="6094">
                  <c:v>-39.06</c:v>
                </c:pt>
                <c:pt idx="6095">
                  <c:v>-39.05</c:v>
                </c:pt>
                <c:pt idx="6096">
                  <c:v>-39.04</c:v>
                </c:pt>
                <c:pt idx="6097">
                  <c:v>-39.03</c:v>
                </c:pt>
                <c:pt idx="6098">
                  <c:v>-39.02</c:v>
                </c:pt>
                <c:pt idx="6099">
                  <c:v>-39.01</c:v>
                </c:pt>
                <c:pt idx="6100">
                  <c:v>-39.0</c:v>
                </c:pt>
                <c:pt idx="6101">
                  <c:v>-38.99</c:v>
                </c:pt>
                <c:pt idx="6102">
                  <c:v>-38.98</c:v>
                </c:pt>
                <c:pt idx="6103">
                  <c:v>-38.97</c:v>
                </c:pt>
                <c:pt idx="6104">
                  <c:v>-38.96</c:v>
                </c:pt>
                <c:pt idx="6105">
                  <c:v>-38.95</c:v>
                </c:pt>
                <c:pt idx="6106">
                  <c:v>-38.94</c:v>
                </c:pt>
                <c:pt idx="6107">
                  <c:v>-38.93</c:v>
                </c:pt>
                <c:pt idx="6108">
                  <c:v>-38.92</c:v>
                </c:pt>
                <c:pt idx="6109">
                  <c:v>-38.91</c:v>
                </c:pt>
                <c:pt idx="6110">
                  <c:v>-38.9</c:v>
                </c:pt>
                <c:pt idx="6111">
                  <c:v>-38.89</c:v>
                </c:pt>
                <c:pt idx="6112">
                  <c:v>-38.88</c:v>
                </c:pt>
                <c:pt idx="6113">
                  <c:v>-38.87</c:v>
                </c:pt>
                <c:pt idx="6114">
                  <c:v>-38.86</c:v>
                </c:pt>
                <c:pt idx="6115">
                  <c:v>-38.85</c:v>
                </c:pt>
                <c:pt idx="6116">
                  <c:v>-38.84</c:v>
                </c:pt>
                <c:pt idx="6117">
                  <c:v>-38.83</c:v>
                </c:pt>
                <c:pt idx="6118">
                  <c:v>-38.82</c:v>
                </c:pt>
                <c:pt idx="6119">
                  <c:v>-38.81</c:v>
                </c:pt>
                <c:pt idx="6120">
                  <c:v>-38.8</c:v>
                </c:pt>
                <c:pt idx="6121">
                  <c:v>-38.79</c:v>
                </c:pt>
                <c:pt idx="6122">
                  <c:v>-38.78</c:v>
                </c:pt>
                <c:pt idx="6123">
                  <c:v>-38.77</c:v>
                </c:pt>
                <c:pt idx="6124">
                  <c:v>-38.76</c:v>
                </c:pt>
                <c:pt idx="6125">
                  <c:v>-38.75</c:v>
                </c:pt>
                <c:pt idx="6126">
                  <c:v>-38.74</c:v>
                </c:pt>
                <c:pt idx="6127">
                  <c:v>-38.73</c:v>
                </c:pt>
                <c:pt idx="6128">
                  <c:v>-38.72</c:v>
                </c:pt>
                <c:pt idx="6129">
                  <c:v>-38.71</c:v>
                </c:pt>
                <c:pt idx="6130">
                  <c:v>-38.7</c:v>
                </c:pt>
                <c:pt idx="6131">
                  <c:v>-38.69</c:v>
                </c:pt>
                <c:pt idx="6132">
                  <c:v>-38.68</c:v>
                </c:pt>
                <c:pt idx="6133">
                  <c:v>-38.67</c:v>
                </c:pt>
                <c:pt idx="6134">
                  <c:v>-38.66</c:v>
                </c:pt>
                <c:pt idx="6135">
                  <c:v>-38.65</c:v>
                </c:pt>
                <c:pt idx="6136">
                  <c:v>-38.64</c:v>
                </c:pt>
                <c:pt idx="6137">
                  <c:v>-38.63</c:v>
                </c:pt>
                <c:pt idx="6138">
                  <c:v>-38.62</c:v>
                </c:pt>
                <c:pt idx="6139">
                  <c:v>-38.61</c:v>
                </c:pt>
                <c:pt idx="6140">
                  <c:v>-38.6</c:v>
                </c:pt>
                <c:pt idx="6141">
                  <c:v>-38.59</c:v>
                </c:pt>
                <c:pt idx="6142">
                  <c:v>-38.58</c:v>
                </c:pt>
                <c:pt idx="6143">
                  <c:v>-38.57</c:v>
                </c:pt>
                <c:pt idx="6144">
                  <c:v>-38.56</c:v>
                </c:pt>
                <c:pt idx="6145">
                  <c:v>-38.55</c:v>
                </c:pt>
                <c:pt idx="6146">
                  <c:v>-38.54</c:v>
                </c:pt>
                <c:pt idx="6147">
                  <c:v>-38.53</c:v>
                </c:pt>
                <c:pt idx="6148">
                  <c:v>-38.52</c:v>
                </c:pt>
                <c:pt idx="6149">
                  <c:v>-38.51</c:v>
                </c:pt>
                <c:pt idx="6150">
                  <c:v>-38.5</c:v>
                </c:pt>
                <c:pt idx="6151">
                  <c:v>-38.49</c:v>
                </c:pt>
                <c:pt idx="6152">
                  <c:v>-38.48</c:v>
                </c:pt>
                <c:pt idx="6153">
                  <c:v>-38.47</c:v>
                </c:pt>
                <c:pt idx="6154">
                  <c:v>-38.46</c:v>
                </c:pt>
                <c:pt idx="6155">
                  <c:v>-38.45</c:v>
                </c:pt>
                <c:pt idx="6156">
                  <c:v>-38.44</c:v>
                </c:pt>
                <c:pt idx="6157">
                  <c:v>-38.43</c:v>
                </c:pt>
                <c:pt idx="6158">
                  <c:v>-38.42</c:v>
                </c:pt>
                <c:pt idx="6159">
                  <c:v>-38.41</c:v>
                </c:pt>
                <c:pt idx="6160">
                  <c:v>-38.4</c:v>
                </c:pt>
                <c:pt idx="6161">
                  <c:v>-38.39</c:v>
                </c:pt>
                <c:pt idx="6162">
                  <c:v>-38.38</c:v>
                </c:pt>
                <c:pt idx="6163">
                  <c:v>-38.37</c:v>
                </c:pt>
                <c:pt idx="6164">
                  <c:v>-38.36</c:v>
                </c:pt>
                <c:pt idx="6165">
                  <c:v>-38.35</c:v>
                </c:pt>
                <c:pt idx="6166">
                  <c:v>-38.34</c:v>
                </c:pt>
                <c:pt idx="6167">
                  <c:v>-38.33</c:v>
                </c:pt>
                <c:pt idx="6168">
                  <c:v>-38.32</c:v>
                </c:pt>
                <c:pt idx="6169">
                  <c:v>-38.31</c:v>
                </c:pt>
                <c:pt idx="6170">
                  <c:v>-38.3</c:v>
                </c:pt>
                <c:pt idx="6171">
                  <c:v>-38.29</c:v>
                </c:pt>
                <c:pt idx="6172">
                  <c:v>-38.28</c:v>
                </c:pt>
                <c:pt idx="6173">
                  <c:v>-38.27</c:v>
                </c:pt>
                <c:pt idx="6174">
                  <c:v>-38.26</c:v>
                </c:pt>
                <c:pt idx="6175">
                  <c:v>-38.25</c:v>
                </c:pt>
                <c:pt idx="6176">
                  <c:v>-38.24</c:v>
                </c:pt>
                <c:pt idx="6177">
                  <c:v>-38.23</c:v>
                </c:pt>
                <c:pt idx="6178">
                  <c:v>-38.22</c:v>
                </c:pt>
                <c:pt idx="6179">
                  <c:v>-38.21</c:v>
                </c:pt>
                <c:pt idx="6180">
                  <c:v>-38.2</c:v>
                </c:pt>
                <c:pt idx="6181">
                  <c:v>-38.19</c:v>
                </c:pt>
                <c:pt idx="6182">
                  <c:v>-38.18</c:v>
                </c:pt>
                <c:pt idx="6183">
                  <c:v>-38.17</c:v>
                </c:pt>
                <c:pt idx="6184">
                  <c:v>-38.16</c:v>
                </c:pt>
                <c:pt idx="6185">
                  <c:v>-38.15</c:v>
                </c:pt>
                <c:pt idx="6186">
                  <c:v>-38.14</c:v>
                </c:pt>
                <c:pt idx="6187">
                  <c:v>-38.13</c:v>
                </c:pt>
                <c:pt idx="6188">
                  <c:v>-38.12</c:v>
                </c:pt>
                <c:pt idx="6189">
                  <c:v>-38.11</c:v>
                </c:pt>
                <c:pt idx="6190">
                  <c:v>-38.1</c:v>
                </c:pt>
                <c:pt idx="6191">
                  <c:v>-38.09</c:v>
                </c:pt>
                <c:pt idx="6192">
                  <c:v>-38.08</c:v>
                </c:pt>
                <c:pt idx="6193">
                  <c:v>-38.07</c:v>
                </c:pt>
                <c:pt idx="6194">
                  <c:v>-38.06</c:v>
                </c:pt>
                <c:pt idx="6195">
                  <c:v>-38.05</c:v>
                </c:pt>
                <c:pt idx="6196">
                  <c:v>-38.04</c:v>
                </c:pt>
                <c:pt idx="6197">
                  <c:v>-38.03</c:v>
                </c:pt>
                <c:pt idx="6198">
                  <c:v>-38.02</c:v>
                </c:pt>
                <c:pt idx="6199">
                  <c:v>-38.01</c:v>
                </c:pt>
                <c:pt idx="6200">
                  <c:v>-38.0</c:v>
                </c:pt>
                <c:pt idx="6201">
                  <c:v>-37.99</c:v>
                </c:pt>
                <c:pt idx="6202">
                  <c:v>-37.98</c:v>
                </c:pt>
                <c:pt idx="6203">
                  <c:v>-37.97</c:v>
                </c:pt>
                <c:pt idx="6204">
                  <c:v>-37.96</c:v>
                </c:pt>
                <c:pt idx="6205">
                  <c:v>-37.95</c:v>
                </c:pt>
                <c:pt idx="6206">
                  <c:v>-37.94</c:v>
                </c:pt>
                <c:pt idx="6207">
                  <c:v>-37.93</c:v>
                </c:pt>
                <c:pt idx="6208">
                  <c:v>-37.92</c:v>
                </c:pt>
                <c:pt idx="6209">
                  <c:v>-37.91</c:v>
                </c:pt>
                <c:pt idx="6210">
                  <c:v>-37.9</c:v>
                </c:pt>
                <c:pt idx="6211">
                  <c:v>-37.89</c:v>
                </c:pt>
                <c:pt idx="6212">
                  <c:v>-37.88</c:v>
                </c:pt>
                <c:pt idx="6213">
                  <c:v>-37.87</c:v>
                </c:pt>
                <c:pt idx="6214">
                  <c:v>-37.86</c:v>
                </c:pt>
                <c:pt idx="6215">
                  <c:v>-37.85</c:v>
                </c:pt>
                <c:pt idx="6216">
                  <c:v>-37.84</c:v>
                </c:pt>
                <c:pt idx="6217">
                  <c:v>-37.83</c:v>
                </c:pt>
                <c:pt idx="6218">
                  <c:v>-37.82</c:v>
                </c:pt>
                <c:pt idx="6219">
                  <c:v>-37.81</c:v>
                </c:pt>
                <c:pt idx="6220">
                  <c:v>-37.8</c:v>
                </c:pt>
                <c:pt idx="6221">
                  <c:v>-37.79</c:v>
                </c:pt>
                <c:pt idx="6222">
                  <c:v>-37.78</c:v>
                </c:pt>
                <c:pt idx="6223">
                  <c:v>-37.77</c:v>
                </c:pt>
                <c:pt idx="6224">
                  <c:v>-37.76</c:v>
                </c:pt>
                <c:pt idx="6225">
                  <c:v>-37.75</c:v>
                </c:pt>
                <c:pt idx="6226">
                  <c:v>-37.74</c:v>
                </c:pt>
                <c:pt idx="6227">
                  <c:v>-37.73</c:v>
                </c:pt>
                <c:pt idx="6228">
                  <c:v>-37.72</c:v>
                </c:pt>
                <c:pt idx="6229">
                  <c:v>-37.71</c:v>
                </c:pt>
                <c:pt idx="6230">
                  <c:v>-37.7</c:v>
                </c:pt>
                <c:pt idx="6231">
                  <c:v>-37.69</c:v>
                </c:pt>
                <c:pt idx="6232">
                  <c:v>-37.68</c:v>
                </c:pt>
                <c:pt idx="6233">
                  <c:v>-37.67</c:v>
                </c:pt>
                <c:pt idx="6234">
                  <c:v>-37.66</c:v>
                </c:pt>
                <c:pt idx="6235">
                  <c:v>-37.65</c:v>
                </c:pt>
                <c:pt idx="6236">
                  <c:v>-37.64</c:v>
                </c:pt>
                <c:pt idx="6237">
                  <c:v>-37.63</c:v>
                </c:pt>
                <c:pt idx="6238">
                  <c:v>-37.62</c:v>
                </c:pt>
                <c:pt idx="6239">
                  <c:v>-37.61</c:v>
                </c:pt>
                <c:pt idx="6240">
                  <c:v>-37.6</c:v>
                </c:pt>
                <c:pt idx="6241">
                  <c:v>-37.59</c:v>
                </c:pt>
                <c:pt idx="6242">
                  <c:v>-37.58</c:v>
                </c:pt>
                <c:pt idx="6243">
                  <c:v>-37.57</c:v>
                </c:pt>
                <c:pt idx="6244">
                  <c:v>-37.56</c:v>
                </c:pt>
                <c:pt idx="6245">
                  <c:v>-37.55</c:v>
                </c:pt>
                <c:pt idx="6246">
                  <c:v>-37.54</c:v>
                </c:pt>
                <c:pt idx="6247">
                  <c:v>-37.53</c:v>
                </c:pt>
                <c:pt idx="6248">
                  <c:v>-37.52</c:v>
                </c:pt>
                <c:pt idx="6249">
                  <c:v>-37.51</c:v>
                </c:pt>
                <c:pt idx="6250">
                  <c:v>-37.5</c:v>
                </c:pt>
                <c:pt idx="6251">
                  <c:v>-37.49</c:v>
                </c:pt>
                <c:pt idx="6252">
                  <c:v>-37.48</c:v>
                </c:pt>
                <c:pt idx="6253">
                  <c:v>-37.47</c:v>
                </c:pt>
                <c:pt idx="6254">
                  <c:v>-37.46</c:v>
                </c:pt>
                <c:pt idx="6255">
                  <c:v>-37.45</c:v>
                </c:pt>
                <c:pt idx="6256">
                  <c:v>-37.44</c:v>
                </c:pt>
                <c:pt idx="6257">
                  <c:v>-37.43</c:v>
                </c:pt>
                <c:pt idx="6258">
                  <c:v>-37.42</c:v>
                </c:pt>
                <c:pt idx="6259">
                  <c:v>-37.41</c:v>
                </c:pt>
                <c:pt idx="6260">
                  <c:v>-37.4</c:v>
                </c:pt>
                <c:pt idx="6261">
                  <c:v>-37.39</c:v>
                </c:pt>
                <c:pt idx="6262">
                  <c:v>-37.38</c:v>
                </c:pt>
                <c:pt idx="6263">
                  <c:v>-37.37</c:v>
                </c:pt>
                <c:pt idx="6264">
                  <c:v>-37.36</c:v>
                </c:pt>
                <c:pt idx="6265">
                  <c:v>-37.35</c:v>
                </c:pt>
                <c:pt idx="6266">
                  <c:v>-37.34</c:v>
                </c:pt>
                <c:pt idx="6267">
                  <c:v>-37.33</c:v>
                </c:pt>
                <c:pt idx="6268">
                  <c:v>-37.32</c:v>
                </c:pt>
                <c:pt idx="6269">
                  <c:v>-37.31</c:v>
                </c:pt>
                <c:pt idx="6270">
                  <c:v>-37.3</c:v>
                </c:pt>
                <c:pt idx="6271">
                  <c:v>-37.29</c:v>
                </c:pt>
                <c:pt idx="6272">
                  <c:v>-37.28</c:v>
                </c:pt>
                <c:pt idx="6273">
                  <c:v>-37.27</c:v>
                </c:pt>
                <c:pt idx="6274">
                  <c:v>-37.26</c:v>
                </c:pt>
                <c:pt idx="6275">
                  <c:v>-37.25</c:v>
                </c:pt>
                <c:pt idx="6276">
                  <c:v>-37.24</c:v>
                </c:pt>
                <c:pt idx="6277">
                  <c:v>-37.23</c:v>
                </c:pt>
                <c:pt idx="6278">
                  <c:v>-37.22</c:v>
                </c:pt>
                <c:pt idx="6279">
                  <c:v>-37.21</c:v>
                </c:pt>
                <c:pt idx="6280">
                  <c:v>-37.2</c:v>
                </c:pt>
                <c:pt idx="6281">
                  <c:v>-37.19</c:v>
                </c:pt>
                <c:pt idx="6282">
                  <c:v>-37.18</c:v>
                </c:pt>
                <c:pt idx="6283">
                  <c:v>-37.17</c:v>
                </c:pt>
                <c:pt idx="6284">
                  <c:v>-37.16</c:v>
                </c:pt>
                <c:pt idx="6285">
                  <c:v>-37.15</c:v>
                </c:pt>
                <c:pt idx="6286">
                  <c:v>-37.14</c:v>
                </c:pt>
                <c:pt idx="6287">
                  <c:v>-37.13</c:v>
                </c:pt>
                <c:pt idx="6288">
                  <c:v>-37.12</c:v>
                </c:pt>
                <c:pt idx="6289">
                  <c:v>-37.11</c:v>
                </c:pt>
                <c:pt idx="6290">
                  <c:v>-37.1</c:v>
                </c:pt>
                <c:pt idx="6291">
                  <c:v>-37.09</c:v>
                </c:pt>
                <c:pt idx="6292">
                  <c:v>-37.08</c:v>
                </c:pt>
                <c:pt idx="6293">
                  <c:v>-37.07</c:v>
                </c:pt>
                <c:pt idx="6294">
                  <c:v>-37.06</c:v>
                </c:pt>
                <c:pt idx="6295">
                  <c:v>-37.05</c:v>
                </c:pt>
                <c:pt idx="6296">
                  <c:v>-37.04</c:v>
                </c:pt>
                <c:pt idx="6297">
                  <c:v>-37.03</c:v>
                </c:pt>
                <c:pt idx="6298">
                  <c:v>-37.02</c:v>
                </c:pt>
                <c:pt idx="6299">
                  <c:v>-37.01</c:v>
                </c:pt>
                <c:pt idx="6300">
                  <c:v>-37.0</c:v>
                </c:pt>
                <c:pt idx="6301">
                  <c:v>-36.99</c:v>
                </c:pt>
                <c:pt idx="6302">
                  <c:v>-36.98</c:v>
                </c:pt>
                <c:pt idx="6303">
                  <c:v>-36.97</c:v>
                </c:pt>
                <c:pt idx="6304">
                  <c:v>-36.96</c:v>
                </c:pt>
                <c:pt idx="6305">
                  <c:v>-36.95</c:v>
                </c:pt>
                <c:pt idx="6306">
                  <c:v>-36.94</c:v>
                </c:pt>
                <c:pt idx="6307">
                  <c:v>-36.93</c:v>
                </c:pt>
                <c:pt idx="6308">
                  <c:v>-36.92</c:v>
                </c:pt>
                <c:pt idx="6309">
                  <c:v>-36.91</c:v>
                </c:pt>
                <c:pt idx="6310">
                  <c:v>-36.9</c:v>
                </c:pt>
                <c:pt idx="6311">
                  <c:v>-36.89</c:v>
                </c:pt>
                <c:pt idx="6312">
                  <c:v>-36.88</c:v>
                </c:pt>
                <c:pt idx="6313">
                  <c:v>-36.87</c:v>
                </c:pt>
                <c:pt idx="6314">
                  <c:v>-36.86</c:v>
                </c:pt>
                <c:pt idx="6315">
                  <c:v>-36.85</c:v>
                </c:pt>
                <c:pt idx="6316">
                  <c:v>-36.84</c:v>
                </c:pt>
                <c:pt idx="6317">
                  <c:v>-36.83</c:v>
                </c:pt>
                <c:pt idx="6318">
                  <c:v>-36.82</c:v>
                </c:pt>
                <c:pt idx="6319">
                  <c:v>-36.81</c:v>
                </c:pt>
                <c:pt idx="6320">
                  <c:v>-36.8</c:v>
                </c:pt>
                <c:pt idx="6321">
                  <c:v>-36.79</c:v>
                </c:pt>
                <c:pt idx="6322">
                  <c:v>-36.78</c:v>
                </c:pt>
                <c:pt idx="6323">
                  <c:v>-36.77</c:v>
                </c:pt>
                <c:pt idx="6324">
                  <c:v>-36.76</c:v>
                </c:pt>
                <c:pt idx="6325">
                  <c:v>-36.75</c:v>
                </c:pt>
                <c:pt idx="6326">
                  <c:v>-36.74</c:v>
                </c:pt>
                <c:pt idx="6327">
                  <c:v>-36.73</c:v>
                </c:pt>
                <c:pt idx="6328">
                  <c:v>-36.72</c:v>
                </c:pt>
                <c:pt idx="6329">
                  <c:v>-36.71</c:v>
                </c:pt>
                <c:pt idx="6330">
                  <c:v>-36.7</c:v>
                </c:pt>
                <c:pt idx="6331">
                  <c:v>-36.69</c:v>
                </c:pt>
                <c:pt idx="6332">
                  <c:v>-36.68</c:v>
                </c:pt>
                <c:pt idx="6333">
                  <c:v>-36.67</c:v>
                </c:pt>
                <c:pt idx="6334">
                  <c:v>-36.66</c:v>
                </c:pt>
                <c:pt idx="6335">
                  <c:v>-36.65</c:v>
                </c:pt>
                <c:pt idx="6336">
                  <c:v>-36.64</c:v>
                </c:pt>
                <c:pt idx="6337">
                  <c:v>-36.63</c:v>
                </c:pt>
                <c:pt idx="6338">
                  <c:v>-36.62</c:v>
                </c:pt>
                <c:pt idx="6339">
                  <c:v>-36.61</c:v>
                </c:pt>
                <c:pt idx="6340">
                  <c:v>-36.6</c:v>
                </c:pt>
                <c:pt idx="6341">
                  <c:v>-36.59</c:v>
                </c:pt>
                <c:pt idx="6342">
                  <c:v>-36.58</c:v>
                </c:pt>
                <c:pt idx="6343">
                  <c:v>-36.57</c:v>
                </c:pt>
                <c:pt idx="6344">
                  <c:v>-36.56</c:v>
                </c:pt>
                <c:pt idx="6345">
                  <c:v>-36.55</c:v>
                </c:pt>
                <c:pt idx="6346">
                  <c:v>-36.54</c:v>
                </c:pt>
                <c:pt idx="6347">
                  <c:v>-36.53</c:v>
                </c:pt>
                <c:pt idx="6348">
                  <c:v>-36.52</c:v>
                </c:pt>
                <c:pt idx="6349">
                  <c:v>-36.51</c:v>
                </c:pt>
                <c:pt idx="6350">
                  <c:v>-36.5</c:v>
                </c:pt>
                <c:pt idx="6351">
                  <c:v>-36.49</c:v>
                </c:pt>
                <c:pt idx="6352">
                  <c:v>-36.48</c:v>
                </c:pt>
                <c:pt idx="6353">
                  <c:v>-36.47</c:v>
                </c:pt>
                <c:pt idx="6354">
                  <c:v>-36.46</c:v>
                </c:pt>
                <c:pt idx="6355">
                  <c:v>-36.45</c:v>
                </c:pt>
                <c:pt idx="6356">
                  <c:v>-36.44</c:v>
                </c:pt>
                <c:pt idx="6357">
                  <c:v>-36.43</c:v>
                </c:pt>
                <c:pt idx="6358">
                  <c:v>-36.42</c:v>
                </c:pt>
                <c:pt idx="6359">
                  <c:v>-36.41</c:v>
                </c:pt>
                <c:pt idx="6360">
                  <c:v>-36.4</c:v>
                </c:pt>
                <c:pt idx="6361">
                  <c:v>-36.39</c:v>
                </c:pt>
                <c:pt idx="6362">
                  <c:v>-36.38</c:v>
                </c:pt>
                <c:pt idx="6363">
                  <c:v>-36.37</c:v>
                </c:pt>
                <c:pt idx="6364">
                  <c:v>-36.36</c:v>
                </c:pt>
                <c:pt idx="6365">
                  <c:v>-36.35</c:v>
                </c:pt>
                <c:pt idx="6366">
                  <c:v>-36.34</c:v>
                </c:pt>
                <c:pt idx="6367">
                  <c:v>-36.33</c:v>
                </c:pt>
                <c:pt idx="6368">
                  <c:v>-36.32</c:v>
                </c:pt>
                <c:pt idx="6369">
                  <c:v>-36.31</c:v>
                </c:pt>
                <c:pt idx="6370">
                  <c:v>-36.3</c:v>
                </c:pt>
                <c:pt idx="6371">
                  <c:v>-36.29</c:v>
                </c:pt>
                <c:pt idx="6372">
                  <c:v>-36.28</c:v>
                </c:pt>
                <c:pt idx="6373">
                  <c:v>-36.27</c:v>
                </c:pt>
                <c:pt idx="6374">
                  <c:v>-36.26</c:v>
                </c:pt>
                <c:pt idx="6375">
                  <c:v>-36.25</c:v>
                </c:pt>
                <c:pt idx="6376">
                  <c:v>-36.24</c:v>
                </c:pt>
                <c:pt idx="6377">
                  <c:v>-36.23</c:v>
                </c:pt>
                <c:pt idx="6378">
                  <c:v>-36.22</c:v>
                </c:pt>
                <c:pt idx="6379">
                  <c:v>-36.21</c:v>
                </c:pt>
                <c:pt idx="6380">
                  <c:v>-36.2</c:v>
                </c:pt>
                <c:pt idx="6381">
                  <c:v>-36.19</c:v>
                </c:pt>
                <c:pt idx="6382">
                  <c:v>-36.18</c:v>
                </c:pt>
                <c:pt idx="6383">
                  <c:v>-36.17</c:v>
                </c:pt>
                <c:pt idx="6384">
                  <c:v>-36.16</c:v>
                </c:pt>
                <c:pt idx="6385">
                  <c:v>-36.15</c:v>
                </c:pt>
                <c:pt idx="6386">
                  <c:v>-36.14</c:v>
                </c:pt>
                <c:pt idx="6387">
                  <c:v>-36.13</c:v>
                </c:pt>
                <c:pt idx="6388">
                  <c:v>-36.12</c:v>
                </c:pt>
                <c:pt idx="6389">
                  <c:v>-36.11</c:v>
                </c:pt>
                <c:pt idx="6390">
                  <c:v>-36.1</c:v>
                </c:pt>
                <c:pt idx="6391">
                  <c:v>-36.09</c:v>
                </c:pt>
                <c:pt idx="6392">
                  <c:v>-36.08</c:v>
                </c:pt>
                <c:pt idx="6393">
                  <c:v>-36.07</c:v>
                </c:pt>
                <c:pt idx="6394">
                  <c:v>-36.06</c:v>
                </c:pt>
                <c:pt idx="6395">
                  <c:v>-36.05</c:v>
                </c:pt>
                <c:pt idx="6396">
                  <c:v>-36.04</c:v>
                </c:pt>
                <c:pt idx="6397">
                  <c:v>-36.03</c:v>
                </c:pt>
                <c:pt idx="6398">
                  <c:v>-36.02</c:v>
                </c:pt>
                <c:pt idx="6399">
                  <c:v>-36.01</c:v>
                </c:pt>
                <c:pt idx="6400">
                  <c:v>-36.0</c:v>
                </c:pt>
                <c:pt idx="6401">
                  <c:v>-35.99</c:v>
                </c:pt>
                <c:pt idx="6402">
                  <c:v>-35.98</c:v>
                </c:pt>
                <c:pt idx="6403">
                  <c:v>-35.97</c:v>
                </c:pt>
                <c:pt idx="6404">
                  <c:v>-35.96</c:v>
                </c:pt>
                <c:pt idx="6405">
                  <c:v>-35.95</c:v>
                </c:pt>
                <c:pt idx="6406">
                  <c:v>-35.94</c:v>
                </c:pt>
                <c:pt idx="6407">
                  <c:v>-35.93</c:v>
                </c:pt>
                <c:pt idx="6408">
                  <c:v>-35.92</c:v>
                </c:pt>
                <c:pt idx="6409">
                  <c:v>-35.91</c:v>
                </c:pt>
                <c:pt idx="6410">
                  <c:v>-35.9</c:v>
                </c:pt>
                <c:pt idx="6411">
                  <c:v>-35.89</c:v>
                </c:pt>
                <c:pt idx="6412">
                  <c:v>-35.88</c:v>
                </c:pt>
                <c:pt idx="6413">
                  <c:v>-35.87</c:v>
                </c:pt>
                <c:pt idx="6414">
                  <c:v>-35.86</c:v>
                </c:pt>
                <c:pt idx="6415">
                  <c:v>-35.85</c:v>
                </c:pt>
                <c:pt idx="6416">
                  <c:v>-35.84</c:v>
                </c:pt>
                <c:pt idx="6417">
                  <c:v>-35.83</c:v>
                </c:pt>
                <c:pt idx="6418">
                  <c:v>-35.82</c:v>
                </c:pt>
                <c:pt idx="6419">
                  <c:v>-35.81</c:v>
                </c:pt>
                <c:pt idx="6420">
                  <c:v>-35.8</c:v>
                </c:pt>
                <c:pt idx="6421">
                  <c:v>-35.79</c:v>
                </c:pt>
                <c:pt idx="6422">
                  <c:v>-35.78</c:v>
                </c:pt>
                <c:pt idx="6423">
                  <c:v>-35.77</c:v>
                </c:pt>
                <c:pt idx="6424">
                  <c:v>-35.76</c:v>
                </c:pt>
                <c:pt idx="6425">
                  <c:v>-35.75</c:v>
                </c:pt>
                <c:pt idx="6426">
                  <c:v>-35.74</c:v>
                </c:pt>
                <c:pt idx="6427">
                  <c:v>-35.73</c:v>
                </c:pt>
                <c:pt idx="6428">
                  <c:v>-35.72</c:v>
                </c:pt>
                <c:pt idx="6429">
                  <c:v>-35.71</c:v>
                </c:pt>
                <c:pt idx="6430">
                  <c:v>-35.7</c:v>
                </c:pt>
                <c:pt idx="6431">
                  <c:v>-35.69</c:v>
                </c:pt>
                <c:pt idx="6432">
                  <c:v>-35.68</c:v>
                </c:pt>
                <c:pt idx="6433">
                  <c:v>-35.67</c:v>
                </c:pt>
                <c:pt idx="6434">
                  <c:v>-35.66</c:v>
                </c:pt>
                <c:pt idx="6435">
                  <c:v>-35.65</c:v>
                </c:pt>
                <c:pt idx="6436">
                  <c:v>-35.64</c:v>
                </c:pt>
                <c:pt idx="6437">
                  <c:v>-35.63</c:v>
                </c:pt>
                <c:pt idx="6438">
                  <c:v>-35.62</c:v>
                </c:pt>
                <c:pt idx="6439">
                  <c:v>-35.61</c:v>
                </c:pt>
                <c:pt idx="6440">
                  <c:v>-35.6</c:v>
                </c:pt>
                <c:pt idx="6441">
                  <c:v>-35.59</c:v>
                </c:pt>
                <c:pt idx="6442">
                  <c:v>-35.58</c:v>
                </c:pt>
                <c:pt idx="6443">
                  <c:v>-35.57</c:v>
                </c:pt>
                <c:pt idx="6444">
                  <c:v>-35.56</c:v>
                </c:pt>
                <c:pt idx="6445">
                  <c:v>-35.55</c:v>
                </c:pt>
                <c:pt idx="6446">
                  <c:v>-35.54</c:v>
                </c:pt>
                <c:pt idx="6447">
                  <c:v>-35.53</c:v>
                </c:pt>
                <c:pt idx="6448">
                  <c:v>-35.52</c:v>
                </c:pt>
                <c:pt idx="6449">
                  <c:v>-35.51</c:v>
                </c:pt>
                <c:pt idx="6450">
                  <c:v>-35.5</c:v>
                </c:pt>
                <c:pt idx="6451">
                  <c:v>-35.49</c:v>
                </c:pt>
                <c:pt idx="6452">
                  <c:v>-35.48</c:v>
                </c:pt>
                <c:pt idx="6453">
                  <c:v>-35.47</c:v>
                </c:pt>
                <c:pt idx="6454">
                  <c:v>-35.46</c:v>
                </c:pt>
                <c:pt idx="6455">
                  <c:v>-35.45</c:v>
                </c:pt>
                <c:pt idx="6456">
                  <c:v>-35.44</c:v>
                </c:pt>
                <c:pt idx="6457">
                  <c:v>-35.43</c:v>
                </c:pt>
                <c:pt idx="6458">
                  <c:v>-35.42</c:v>
                </c:pt>
                <c:pt idx="6459">
                  <c:v>-35.41</c:v>
                </c:pt>
                <c:pt idx="6460">
                  <c:v>-35.4</c:v>
                </c:pt>
                <c:pt idx="6461">
                  <c:v>-35.39</c:v>
                </c:pt>
                <c:pt idx="6462">
                  <c:v>-35.38</c:v>
                </c:pt>
                <c:pt idx="6463">
                  <c:v>-35.37</c:v>
                </c:pt>
                <c:pt idx="6464">
                  <c:v>-35.36</c:v>
                </c:pt>
                <c:pt idx="6465">
                  <c:v>-35.35</c:v>
                </c:pt>
                <c:pt idx="6466">
                  <c:v>-35.34</c:v>
                </c:pt>
                <c:pt idx="6467">
                  <c:v>-35.33</c:v>
                </c:pt>
                <c:pt idx="6468">
                  <c:v>-35.32</c:v>
                </c:pt>
                <c:pt idx="6469">
                  <c:v>-35.31</c:v>
                </c:pt>
                <c:pt idx="6470">
                  <c:v>-35.3</c:v>
                </c:pt>
                <c:pt idx="6471">
                  <c:v>-35.29</c:v>
                </c:pt>
                <c:pt idx="6472">
                  <c:v>-35.28</c:v>
                </c:pt>
                <c:pt idx="6473">
                  <c:v>-35.27</c:v>
                </c:pt>
                <c:pt idx="6474">
                  <c:v>-35.26</c:v>
                </c:pt>
                <c:pt idx="6475">
                  <c:v>-35.25</c:v>
                </c:pt>
                <c:pt idx="6476">
                  <c:v>-35.24</c:v>
                </c:pt>
                <c:pt idx="6477">
                  <c:v>-35.23</c:v>
                </c:pt>
                <c:pt idx="6478">
                  <c:v>-35.22</c:v>
                </c:pt>
                <c:pt idx="6479">
                  <c:v>-35.21</c:v>
                </c:pt>
                <c:pt idx="6480">
                  <c:v>-35.2</c:v>
                </c:pt>
                <c:pt idx="6481">
                  <c:v>-35.19</c:v>
                </c:pt>
                <c:pt idx="6482">
                  <c:v>-35.18</c:v>
                </c:pt>
                <c:pt idx="6483">
                  <c:v>-35.17</c:v>
                </c:pt>
                <c:pt idx="6484">
                  <c:v>-35.16</c:v>
                </c:pt>
                <c:pt idx="6485">
                  <c:v>-35.15</c:v>
                </c:pt>
                <c:pt idx="6486">
                  <c:v>-35.14</c:v>
                </c:pt>
                <c:pt idx="6487">
                  <c:v>-35.13</c:v>
                </c:pt>
                <c:pt idx="6488">
                  <c:v>-35.12</c:v>
                </c:pt>
                <c:pt idx="6489">
                  <c:v>-35.11</c:v>
                </c:pt>
                <c:pt idx="6490">
                  <c:v>-35.1</c:v>
                </c:pt>
                <c:pt idx="6491">
                  <c:v>-35.09</c:v>
                </c:pt>
                <c:pt idx="6492">
                  <c:v>-35.08</c:v>
                </c:pt>
                <c:pt idx="6493">
                  <c:v>-35.07</c:v>
                </c:pt>
                <c:pt idx="6494">
                  <c:v>-35.06</c:v>
                </c:pt>
                <c:pt idx="6495">
                  <c:v>-35.05</c:v>
                </c:pt>
                <c:pt idx="6496">
                  <c:v>-35.04</c:v>
                </c:pt>
                <c:pt idx="6497">
                  <c:v>-35.03</c:v>
                </c:pt>
                <c:pt idx="6498">
                  <c:v>-35.02</c:v>
                </c:pt>
                <c:pt idx="6499">
                  <c:v>-35.01</c:v>
                </c:pt>
                <c:pt idx="6500">
                  <c:v>-35.0</c:v>
                </c:pt>
                <c:pt idx="6501">
                  <c:v>-34.99</c:v>
                </c:pt>
                <c:pt idx="6502">
                  <c:v>-34.98</c:v>
                </c:pt>
                <c:pt idx="6503">
                  <c:v>-34.97</c:v>
                </c:pt>
                <c:pt idx="6504">
                  <c:v>-34.96</c:v>
                </c:pt>
                <c:pt idx="6505">
                  <c:v>-34.95</c:v>
                </c:pt>
                <c:pt idx="6506">
                  <c:v>-34.94</c:v>
                </c:pt>
                <c:pt idx="6507">
                  <c:v>-34.93</c:v>
                </c:pt>
                <c:pt idx="6508">
                  <c:v>-34.92</c:v>
                </c:pt>
                <c:pt idx="6509">
                  <c:v>-34.91</c:v>
                </c:pt>
                <c:pt idx="6510">
                  <c:v>-34.9</c:v>
                </c:pt>
                <c:pt idx="6511">
                  <c:v>-34.89</c:v>
                </c:pt>
                <c:pt idx="6512">
                  <c:v>-34.88</c:v>
                </c:pt>
                <c:pt idx="6513">
                  <c:v>-34.87</c:v>
                </c:pt>
                <c:pt idx="6514">
                  <c:v>-34.86</c:v>
                </c:pt>
                <c:pt idx="6515">
                  <c:v>-34.85</c:v>
                </c:pt>
                <c:pt idx="6516">
                  <c:v>-34.84</c:v>
                </c:pt>
                <c:pt idx="6517">
                  <c:v>-34.83</c:v>
                </c:pt>
                <c:pt idx="6518">
                  <c:v>-34.82</c:v>
                </c:pt>
                <c:pt idx="6519">
                  <c:v>-34.81</c:v>
                </c:pt>
                <c:pt idx="6520">
                  <c:v>-34.8</c:v>
                </c:pt>
                <c:pt idx="6521">
                  <c:v>-34.79</c:v>
                </c:pt>
                <c:pt idx="6522">
                  <c:v>-34.78</c:v>
                </c:pt>
                <c:pt idx="6523">
                  <c:v>-34.77</c:v>
                </c:pt>
                <c:pt idx="6524">
                  <c:v>-34.76</c:v>
                </c:pt>
                <c:pt idx="6525">
                  <c:v>-34.75</c:v>
                </c:pt>
                <c:pt idx="6526">
                  <c:v>-34.74</c:v>
                </c:pt>
                <c:pt idx="6527">
                  <c:v>-34.73</c:v>
                </c:pt>
                <c:pt idx="6528">
                  <c:v>-34.72</c:v>
                </c:pt>
                <c:pt idx="6529">
                  <c:v>-34.71</c:v>
                </c:pt>
                <c:pt idx="6530">
                  <c:v>-34.7</c:v>
                </c:pt>
                <c:pt idx="6531">
                  <c:v>-34.69</c:v>
                </c:pt>
                <c:pt idx="6532">
                  <c:v>-34.68</c:v>
                </c:pt>
                <c:pt idx="6533">
                  <c:v>-34.67</c:v>
                </c:pt>
                <c:pt idx="6534">
                  <c:v>-34.66</c:v>
                </c:pt>
                <c:pt idx="6535">
                  <c:v>-34.65</c:v>
                </c:pt>
                <c:pt idx="6536">
                  <c:v>-34.64</c:v>
                </c:pt>
                <c:pt idx="6537">
                  <c:v>-34.63</c:v>
                </c:pt>
                <c:pt idx="6538">
                  <c:v>-34.62</c:v>
                </c:pt>
                <c:pt idx="6539">
                  <c:v>-34.61</c:v>
                </c:pt>
                <c:pt idx="6540">
                  <c:v>-34.6</c:v>
                </c:pt>
                <c:pt idx="6541">
                  <c:v>-34.59</c:v>
                </c:pt>
                <c:pt idx="6542">
                  <c:v>-34.58</c:v>
                </c:pt>
                <c:pt idx="6543">
                  <c:v>-34.57</c:v>
                </c:pt>
                <c:pt idx="6544">
                  <c:v>-34.56</c:v>
                </c:pt>
                <c:pt idx="6545">
                  <c:v>-34.55</c:v>
                </c:pt>
                <c:pt idx="6546">
                  <c:v>-34.54</c:v>
                </c:pt>
                <c:pt idx="6547">
                  <c:v>-34.53</c:v>
                </c:pt>
                <c:pt idx="6548">
                  <c:v>-34.52</c:v>
                </c:pt>
                <c:pt idx="6549">
                  <c:v>-34.51</c:v>
                </c:pt>
                <c:pt idx="6550">
                  <c:v>-34.5</c:v>
                </c:pt>
                <c:pt idx="6551">
                  <c:v>-34.49</c:v>
                </c:pt>
                <c:pt idx="6552">
                  <c:v>-34.48</c:v>
                </c:pt>
                <c:pt idx="6553">
                  <c:v>-34.47</c:v>
                </c:pt>
                <c:pt idx="6554">
                  <c:v>-34.46</c:v>
                </c:pt>
                <c:pt idx="6555">
                  <c:v>-34.45</c:v>
                </c:pt>
                <c:pt idx="6556">
                  <c:v>-34.44</c:v>
                </c:pt>
                <c:pt idx="6557">
                  <c:v>-34.43</c:v>
                </c:pt>
                <c:pt idx="6558">
                  <c:v>-34.42</c:v>
                </c:pt>
                <c:pt idx="6559">
                  <c:v>-34.41</c:v>
                </c:pt>
                <c:pt idx="6560">
                  <c:v>-34.4</c:v>
                </c:pt>
                <c:pt idx="6561">
                  <c:v>-34.39</c:v>
                </c:pt>
                <c:pt idx="6562">
                  <c:v>-34.38</c:v>
                </c:pt>
                <c:pt idx="6563">
                  <c:v>-34.37</c:v>
                </c:pt>
                <c:pt idx="6564">
                  <c:v>-34.36</c:v>
                </c:pt>
                <c:pt idx="6565">
                  <c:v>-34.35</c:v>
                </c:pt>
                <c:pt idx="6566">
                  <c:v>-34.34</c:v>
                </c:pt>
                <c:pt idx="6567">
                  <c:v>-34.33</c:v>
                </c:pt>
                <c:pt idx="6568">
                  <c:v>-34.32</c:v>
                </c:pt>
                <c:pt idx="6569">
                  <c:v>-34.31</c:v>
                </c:pt>
                <c:pt idx="6570">
                  <c:v>-34.3</c:v>
                </c:pt>
                <c:pt idx="6571">
                  <c:v>-34.29</c:v>
                </c:pt>
                <c:pt idx="6572">
                  <c:v>-34.28</c:v>
                </c:pt>
                <c:pt idx="6573">
                  <c:v>-34.27</c:v>
                </c:pt>
                <c:pt idx="6574">
                  <c:v>-34.26</c:v>
                </c:pt>
                <c:pt idx="6575">
                  <c:v>-34.25</c:v>
                </c:pt>
                <c:pt idx="6576">
                  <c:v>-34.24</c:v>
                </c:pt>
                <c:pt idx="6577">
                  <c:v>-34.23</c:v>
                </c:pt>
                <c:pt idx="6578">
                  <c:v>-34.22</c:v>
                </c:pt>
                <c:pt idx="6579">
                  <c:v>-34.21</c:v>
                </c:pt>
                <c:pt idx="6580">
                  <c:v>-34.2</c:v>
                </c:pt>
                <c:pt idx="6581">
                  <c:v>-34.19</c:v>
                </c:pt>
                <c:pt idx="6582">
                  <c:v>-34.18</c:v>
                </c:pt>
                <c:pt idx="6583">
                  <c:v>-34.17</c:v>
                </c:pt>
                <c:pt idx="6584">
                  <c:v>-34.16</c:v>
                </c:pt>
                <c:pt idx="6585">
                  <c:v>-34.15</c:v>
                </c:pt>
                <c:pt idx="6586">
                  <c:v>-34.14</c:v>
                </c:pt>
                <c:pt idx="6587">
                  <c:v>-34.13</c:v>
                </c:pt>
                <c:pt idx="6588">
                  <c:v>-34.12</c:v>
                </c:pt>
                <c:pt idx="6589">
                  <c:v>-34.11</c:v>
                </c:pt>
                <c:pt idx="6590">
                  <c:v>-34.1</c:v>
                </c:pt>
                <c:pt idx="6591">
                  <c:v>-34.09</c:v>
                </c:pt>
                <c:pt idx="6592">
                  <c:v>-34.08</c:v>
                </c:pt>
                <c:pt idx="6593">
                  <c:v>-34.07</c:v>
                </c:pt>
                <c:pt idx="6594">
                  <c:v>-34.06</c:v>
                </c:pt>
                <c:pt idx="6595">
                  <c:v>-34.05</c:v>
                </c:pt>
                <c:pt idx="6596">
                  <c:v>-34.04</c:v>
                </c:pt>
                <c:pt idx="6597">
                  <c:v>-34.03</c:v>
                </c:pt>
                <c:pt idx="6598">
                  <c:v>-34.02</c:v>
                </c:pt>
                <c:pt idx="6599">
                  <c:v>-34.01</c:v>
                </c:pt>
                <c:pt idx="6600">
                  <c:v>-34.0</c:v>
                </c:pt>
                <c:pt idx="6601">
                  <c:v>-33.99</c:v>
                </c:pt>
                <c:pt idx="6602">
                  <c:v>-33.98</c:v>
                </c:pt>
                <c:pt idx="6603">
                  <c:v>-33.97</c:v>
                </c:pt>
                <c:pt idx="6604">
                  <c:v>-33.96</c:v>
                </c:pt>
                <c:pt idx="6605">
                  <c:v>-33.95</c:v>
                </c:pt>
                <c:pt idx="6606">
                  <c:v>-33.94</c:v>
                </c:pt>
                <c:pt idx="6607">
                  <c:v>-33.93</c:v>
                </c:pt>
                <c:pt idx="6608">
                  <c:v>-33.92</c:v>
                </c:pt>
                <c:pt idx="6609">
                  <c:v>-33.91</c:v>
                </c:pt>
                <c:pt idx="6610">
                  <c:v>-33.9</c:v>
                </c:pt>
                <c:pt idx="6611">
                  <c:v>-33.89</c:v>
                </c:pt>
                <c:pt idx="6612">
                  <c:v>-33.88</c:v>
                </c:pt>
                <c:pt idx="6613">
                  <c:v>-33.87</c:v>
                </c:pt>
                <c:pt idx="6614">
                  <c:v>-33.86</c:v>
                </c:pt>
                <c:pt idx="6615">
                  <c:v>-33.85</c:v>
                </c:pt>
                <c:pt idx="6616">
                  <c:v>-33.84</c:v>
                </c:pt>
                <c:pt idx="6617">
                  <c:v>-33.83</c:v>
                </c:pt>
                <c:pt idx="6618">
                  <c:v>-33.82</c:v>
                </c:pt>
                <c:pt idx="6619">
                  <c:v>-33.81</c:v>
                </c:pt>
                <c:pt idx="6620">
                  <c:v>-33.8</c:v>
                </c:pt>
                <c:pt idx="6621">
                  <c:v>-33.79</c:v>
                </c:pt>
                <c:pt idx="6622">
                  <c:v>-33.78</c:v>
                </c:pt>
                <c:pt idx="6623">
                  <c:v>-33.77</c:v>
                </c:pt>
                <c:pt idx="6624">
                  <c:v>-33.76</c:v>
                </c:pt>
                <c:pt idx="6625">
                  <c:v>-33.75</c:v>
                </c:pt>
                <c:pt idx="6626">
                  <c:v>-33.74</c:v>
                </c:pt>
                <c:pt idx="6627">
                  <c:v>-33.73</c:v>
                </c:pt>
                <c:pt idx="6628">
                  <c:v>-33.72</c:v>
                </c:pt>
                <c:pt idx="6629">
                  <c:v>-33.71</c:v>
                </c:pt>
                <c:pt idx="6630">
                  <c:v>-33.7</c:v>
                </c:pt>
                <c:pt idx="6631">
                  <c:v>-33.69</c:v>
                </c:pt>
                <c:pt idx="6632">
                  <c:v>-33.68</c:v>
                </c:pt>
                <c:pt idx="6633">
                  <c:v>-33.67</c:v>
                </c:pt>
                <c:pt idx="6634">
                  <c:v>-33.66</c:v>
                </c:pt>
                <c:pt idx="6635">
                  <c:v>-33.65</c:v>
                </c:pt>
                <c:pt idx="6636">
                  <c:v>-33.64</c:v>
                </c:pt>
                <c:pt idx="6637">
                  <c:v>-33.63</c:v>
                </c:pt>
                <c:pt idx="6638">
                  <c:v>-33.62</c:v>
                </c:pt>
                <c:pt idx="6639">
                  <c:v>-33.61</c:v>
                </c:pt>
                <c:pt idx="6640">
                  <c:v>-33.6</c:v>
                </c:pt>
                <c:pt idx="6641">
                  <c:v>-33.59</c:v>
                </c:pt>
                <c:pt idx="6642">
                  <c:v>-33.58</c:v>
                </c:pt>
                <c:pt idx="6643">
                  <c:v>-33.57</c:v>
                </c:pt>
                <c:pt idx="6644">
                  <c:v>-33.56</c:v>
                </c:pt>
                <c:pt idx="6645">
                  <c:v>-33.55</c:v>
                </c:pt>
                <c:pt idx="6646">
                  <c:v>-33.54</c:v>
                </c:pt>
                <c:pt idx="6647">
                  <c:v>-33.53</c:v>
                </c:pt>
                <c:pt idx="6648">
                  <c:v>-33.52</c:v>
                </c:pt>
                <c:pt idx="6649">
                  <c:v>-33.51</c:v>
                </c:pt>
                <c:pt idx="6650">
                  <c:v>-33.5</c:v>
                </c:pt>
                <c:pt idx="6651">
                  <c:v>-33.49</c:v>
                </c:pt>
                <c:pt idx="6652">
                  <c:v>-33.48</c:v>
                </c:pt>
                <c:pt idx="6653">
                  <c:v>-33.47</c:v>
                </c:pt>
                <c:pt idx="6654">
                  <c:v>-33.46</c:v>
                </c:pt>
                <c:pt idx="6655">
                  <c:v>-33.45</c:v>
                </c:pt>
                <c:pt idx="6656">
                  <c:v>-33.44</c:v>
                </c:pt>
                <c:pt idx="6657">
                  <c:v>-33.43</c:v>
                </c:pt>
                <c:pt idx="6658">
                  <c:v>-33.42</c:v>
                </c:pt>
                <c:pt idx="6659">
                  <c:v>-33.41</c:v>
                </c:pt>
                <c:pt idx="6660">
                  <c:v>-33.4</c:v>
                </c:pt>
                <c:pt idx="6661">
                  <c:v>-33.39</c:v>
                </c:pt>
                <c:pt idx="6662">
                  <c:v>-33.38</c:v>
                </c:pt>
                <c:pt idx="6663">
                  <c:v>-33.37</c:v>
                </c:pt>
                <c:pt idx="6664">
                  <c:v>-33.36</c:v>
                </c:pt>
                <c:pt idx="6665">
                  <c:v>-33.35</c:v>
                </c:pt>
                <c:pt idx="6666">
                  <c:v>-33.34</c:v>
                </c:pt>
                <c:pt idx="6667">
                  <c:v>-33.33</c:v>
                </c:pt>
                <c:pt idx="6668">
                  <c:v>-33.32</c:v>
                </c:pt>
                <c:pt idx="6669">
                  <c:v>-33.31</c:v>
                </c:pt>
                <c:pt idx="6670">
                  <c:v>-33.3</c:v>
                </c:pt>
                <c:pt idx="6671">
                  <c:v>-33.29</c:v>
                </c:pt>
                <c:pt idx="6672">
                  <c:v>-33.28</c:v>
                </c:pt>
                <c:pt idx="6673">
                  <c:v>-33.27</c:v>
                </c:pt>
                <c:pt idx="6674">
                  <c:v>-33.26</c:v>
                </c:pt>
                <c:pt idx="6675">
                  <c:v>-33.25</c:v>
                </c:pt>
                <c:pt idx="6676">
                  <c:v>-33.24</c:v>
                </c:pt>
                <c:pt idx="6677">
                  <c:v>-33.23</c:v>
                </c:pt>
                <c:pt idx="6678">
                  <c:v>-33.22</c:v>
                </c:pt>
                <c:pt idx="6679">
                  <c:v>-33.21</c:v>
                </c:pt>
                <c:pt idx="6680">
                  <c:v>-33.2</c:v>
                </c:pt>
                <c:pt idx="6681">
                  <c:v>-33.19</c:v>
                </c:pt>
                <c:pt idx="6682">
                  <c:v>-33.18</c:v>
                </c:pt>
                <c:pt idx="6683">
                  <c:v>-33.17</c:v>
                </c:pt>
                <c:pt idx="6684">
                  <c:v>-33.16</c:v>
                </c:pt>
                <c:pt idx="6685">
                  <c:v>-33.15</c:v>
                </c:pt>
                <c:pt idx="6686">
                  <c:v>-33.14</c:v>
                </c:pt>
                <c:pt idx="6687">
                  <c:v>-33.13</c:v>
                </c:pt>
                <c:pt idx="6688">
                  <c:v>-33.12</c:v>
                </c:pt>
                <c:pt idx="6689">
                  <c:v>-33.11</c:v>
                </c:pt>
                <c:pt idx="6690">
                  <c:v>-33.1</c:v>
                </c:pt>
                <c:pt idx="6691">
                  <c:v>-33.09</c:v>
                </c:pt>
                <c:pt idx="6692">
                  <c:v>-33.08</c:v>
                </c:pt>
                <c:pt idx="6693">
                  <c:v>-33.07</c:v>
                </c:pt>
                <c:pt idx="6694">
                  <c:v>-33.06</c:v>
                </c:pt>
                <c:pt idx="6695">
                  <c:v>-33.05</c:v>
                </c:pt>
                <c:pt idx="6696">
                  <c:v>-33.04</c:v>
                </c:pt>
                <c:pt idx="6697">
                  <c:v>-33.03</c:v>
                </c:pt>
                <c:pt idx="6698">
                  <c:v>-33.02</c:v>
                </c:pt>
                <c:pt idx="6699">
                  <c:v>-33.01</c:v>
                </c:pt>
                <c:pt idx="6700">
                  <c:v>-33.0</c:v>
                </c:pt>
                <c:pt idx="6701">
                  <c:v>-32.99</c:v>
                </c:pt>
                <c:pt idx="6702">
                  <c:v>-32.98</c:v>
                </c:pt>
                <c:pt idx="6703">
                  <c:v>-32.97</c:v>
                </c:pt>
                <c:pt idx="6704">
                  <c:v>-32.96</c:v>
                </c:pt>
                <c:pt idx="6705">
                  <c:v>-32.95</c:v>
                </c:pt>
                <c:pt idx="6706">
                  <c:v>-32.94</c:v>
                </c:pt>
                <c:pt idx="6707">
                  <c:v>-32.93</c:v>
                </c:pt>
                <c:pt idx="6708">
                  <c:v>-32.92</c:v>
                </c:pt>
                <c:pt idx="6709">
                  <c:v>-32.91</c:v>
                </c:pt>
                <c:pt idx="6710">
                  <c:v>-32.9</c:v>
                </c:pt>
                <c:pt idx="6711">
                  <c:v>-32.89</c:v>
                </c:pt>
                <c:pt idx="6712">
                  <c:v>-32.88</c:v>
                </c:pt>
                <c:pt idx="6713">
                  <c:v>-32.87</c:v>
                </c:pt>
                <c:pt idx="6714">
                  <c:v>-32.86</c:v>
                </c:pt>
                <c:pt idx="6715">
                  <c:v>-32.85</c:v>
                </c:pt>
                <c:pt idx="6716">
                  <c:v>-32.84</c:v>
                </c:pt>
                <c:pt idx="6717">
                  <c:v>-32.83</c:v>
                </c:pt>
                <c:pt idx="6718">
                  <c:v>-32.82</c:v>
                </c:pt>
                <c:pt idx="6719">
                  <c:v>-32.81</c:v>
                </c:pt>
                <c:pt idx="6720">
                  <c:v>-32.8</c:v>
                </c:pt>
                <c:pt idx="6721">
                  <c:v>-32.79</c:v>
                </c:pt>
                <c:pt idx="6722">
                  <c:v>-32.78</c:v>
                </c:pt>
                <c:pt idx="6723">
                  <c:v>-32.77</c:v>
                </c:pt>
                <c:pt idx="6724">
                  <c:v>-32.76</c:v>
                </c:pt>
                <c:pt idx="6725">
                  <c:v>-32.75</c:v>
                </c:pt>
                <c:pt idx="6726">
                  <c:v>-32.74</c:v>
                </c:pt>
                <c:pt idx="6727">
                  <c:v>-32.73</c:v>
                </c:pt>
                <c:pt idx="6728">
                  <c:v>-32.72</c:v>
                </c:pt>
                <c:pt idx="6729">
                  <c:v>-32.71</c:v>
                </c:pt>
                <c:pt idx="6730">
                  <c:v>-32.7</c:v>
                </c:pt>
                <c:pt idx="6731">
                  <c:v>-32.69</c:v>
                </c:pt>
                <c:pt idx="6732">
                  <c:v>-32.68</c:v>
                </c:pt>
                <c:pt idx="6733">
                  <c:v>-32.67</c:v>
                </c:pt>
                <c:pt idx="6734">
                  <c:v>-32.66</c:v>
                </c:pt>
                <c:pt idx="6735">
                  <c:v>-32.65</c:v>
                </c:pt>
                <c:pt idx="6736">
                  <c:v>-32.64</c:v>
                </c:pt>
                <c:pt idx="6737">
                  <c:v>-32.63</c:v>
                </c:pt>
                <c:pt idx="6738">
                  <c:v>-32.62</c:v>
                </c:pt>
                <c:pt idx="6739">
                  <c:v>-32.61</c:v>
                </c:pt>
                <c:pt idx="6740">
                  <c:v>-32.6</c:v>
                </c:pt>
                <c:pt idx="6741">
                  <c:v>-32.59</c:v>
                </c:pt>
                <c:pt idx="6742">
                  <c:v>-32.58</c:v>
                </c:pt>
                <c:pt idx="6743">
                  <c:v>-32.57</c:v>
                </c:pt>
                <c:pt idx="6744">
                  <c:v>-32.56</c:v>
                </c:pt>
                <c:pt idx="6745">
                  <c:v>-32.55</c:v>
                </c:pt>
                <c:pt idx="6746">
                  <c:v>-32.54</c:v>
                </c:pt>
                <c:pt idx="6747">
                  <c:v>-32.53</c:v>
                </c:pt>
                <c:pt idx="6748">
                  <c:v>-32.52</c:v>
                </c:pt>
                <c:pt idx="6749">
                  <c:v>-32.51</c:v>
                </c:pt>
                <c:pt idx="6750">
                  <c:v>-32.5</c:v>
                </c:pt>
                <c:pt idx="6751">
                  <c:v>-32.49</c:v>
                </c:pt>
                <c:pt idx="6752">
                  <c:v>-32.48</c:v>
                </c:pt>
                <c:pt idx="6753">
                  <c:v>-32.47</c:v>
                </c:pt>
                <c:pt idx="6754">
                  <c:v>-32.46</c:v>
                </c:pt>
                <c:pt idx="6755">
                  <c:v>-32.45</c:v>
                </c:pt>
                <c:pt idx="6756">
                  <c:v>-32.44</c:v>
                </c:pt>
                <c:pt idx="6757">
                  <c:v>-32.43</c:v>
                </c:pt>
                <c:pt idx="6758">
                  <c:v>-32.42</c:v>
                </c:pt>
                <c:pt idx="6759">
                  <c:v>-32.41</c:v>
                </c:pt>
                <c:pt idx="6760">
                  <c:v>-32.4</c:v>
                </c:pt>
                <c:pt idx="6761">
                  <c:v>-32.39</c:v>
                </c:pt>
                <c:pt idx="6762">
                  <c:v>-32.38</c:v>
                </c:pt>
                <c:pt idx="6763">
                  <c:v>-32.37</c:v>
                </c:pt>
                <c:pt idx="6764">
                  <c:v>-32.36</c:v>
                </c:pt>
                <c:pt idx="6765">
                  <c:v>-32.35</c:v>
                </c:pt>
                <c:pt idx="6766">
                  <c:v>-32.34</c:v>
                </c:pt>
                <c:pt idx="6767">
                  <c:v>-32.33</c:v>
                </c:pt>
                <c:pt idx="6768">
                  <c:v>-32.32</c:v>
                </c:pt>
                <c:pt idx="6769">
                  <c:v>-32.31</c:v>
                </c:pt>
                <c:pt idx="6770">
                  <c:v>-32.3</c:v>
                </c:pt>
                <c:pt idx="6771">
                  <c:v>-32.29</c:v>
                </c:pt>
                <c:pt idx="6772">
                  <c:v>-32.28</c:v>
                </c:pt>
                <c:pt idx="6773">
                  <c:v>-32.27</c:v>
                </c:pt>
                <c:pt idx="6774">
                  <c:v>-32.26</c:v>
                </c:pt>
                <c:pt idx="6775">
                  <c:v>-32.25</c:v>
                </c:pt>
                <c:pt idx="6776">
                  <c:v>-32.24</c:v>
                </c:pt>
                <c:pt idx="6777">
                  <c:v>-32.23</c:v>
                </c:pt>
                <c:pt idx="6778">
                  <c:v>-32.22</c:v>
                </c:pt>
                <c:pt idx="6779">
                  <c:v>-32.21</c:v>
                </c:pt>
                <c:pt idx="6780">
                  <c:v>-32.2</c:v>
                </c:pt>
                <c:pt idx="6781">
                  <c:v>-32.19</c:v>
                </c:pt>
                <c:pt idx="6782">
                  <c:v>-32.18</c:v>
                </c:pt>
                <c:pt idx="6783">
                  <c:v>-32.17</c:v>
                </c:pt>
                <c:pt idx="6784">
                  <c:v>-32.16</c:v>
                </c:pt>
                <c:pt idx="6785">
                  <c:v>-32.15</c:v>
                </c:pt>
                <c:pt idx="6786">
                  <c:v>-32.14</c:v>
                </c:pt>
                <c:pt idx="6787">
                  <c:v>-32.13</c:v>
                </c:pt>
                <c:pt idx="6788">
                  <c:v>-32.12</c:v>
                </c:pt>
                <c:pt idx="6789">
                  <c:v>-32.11</c:v>
                </c:pt>
                <c:pt idx="6790">
                  <c:v>-32.1</c:v>
                </c:pt>
                <c:pt idx="6791">
                  <c:v>-32.09</c:v>
                </c:pt>
                <c:pt idx="6792">
                  <c:v>-32.08</c:v>
                </c:pt>
                <c:pt idx="6793">
                  <c:v>-32.07</c:v>
                </c:pt>
                <c:pt idx="6794">
                  <c:v>-32.06</c:v>
                </c:pt>
                <c:pt idx="6795">
                  <c:v>-32.05</c:v>
                </c:pt>
                <c:pt idx="6796">
                  <c:v>-32.04</c:v>
                </c:pt>
                <c:pt idx="6797">
                  <c:v>-32.03</c:v>
                </c:pt>
                <c:pt idx="6798">
                  <c:v>-32.02</c:v>
                </c:pt>
                <c:pt idx="6799">
                  <c:v>-32.01</c:v>
                </c:pt>
                <c:pt idx="6800">
                  <c:v>-32.0</c:v>
                </c:pt>
                <c:pt idx="6801">
                  <c:v>-31.99</c:v>
                </c:pt>
                <c:pt idx="6802">
                  <c:v>-31.98</c:v>
                </c:pt>
                <c:pt idx="6803">
                  <c:v>-31.97</c:v>
                </c:pt>
                <c:pt idx="6804">
                  <c:v>-31.96</c:v>
                </c:pt>
                <c:pt idx="6805">
                  <c:v>-31.95</c:v>
                </c:pt>
                <c:pt idx="6806">
                  <c:v>-31.94</c:v>
                </c:pt>
                <c:pt idx="6807">
                  <c:v>-31.93</c:v>
                </c:pt>
                <c:pt idx="6808">
                  <c:v>-31.92</c:v>
                </c:pt>
                <c:pt idx="6809">
                  <c:v>-31.91</c:v>
                </c:pt>
                <c:pt idx="6810">
                  <c:v>-31.9</c:v>
                </c:pt>
                <c:pt idx="6811">
                  <c:v>-31.89</c:v>
                </c:pt>
                <c:pt idx="6812">
                  <c:v>-31.88</c:v>
                </c:pt>
                <c:pt idx="6813">
                  <c:v>-31.87</c:v>
                </c:pt>
                <c:pt idx="6814">
                  <c:v>-31.86</c:v>
                </c:pt>
                <c:pt idx="6815">
                  <c:v>-31.85</c:v>
                </c:pt>
                <c:pt idx="6816">
                  <c:v>-31.84</c:v>
                </c:pt>
                <c:pt idx="6817">
                  <c:v>-31.83</c:v>
                </c:pt>
                <c:pt idx="6818">
                  <c:v>-31.82</c:v>
                </c:pt>
                <c:pt idx="6819">
                  <c:v>-31.81</c:v>
                </c:pt>
                <c:pt idx="6820">
                  <c:v>-31.8</c:v>
                </c:pt>
                <c:pt idx="6821">
                  <c:v>-31.79</c:v>
                </c:pt>
                <c:pt idx="6822">
                  <c:v>-31.78</c:v>
                </c:pt>
                <c:pt idx="6823">
                  <c:v>-31.77</c:v>
                </c:pt>
                <c:pt idx="6824">
                  <c:v>-31.76</c:v>
                </c:pt>
                <c:pt idx="6825">
                  <c:v>-31.75</c:v>
                </c:pt>
                <c:pt idx="6826">
                  <c:v>-31.74</c:v>
                </c:pt>
                <c:pt idx="6827">
                  <c:v>-31.73</c:v>
                </c:pt>
                <c:pt idx="6828">
                  <c:v>-31.72</c:v>
                </c:pt>
                <c:pt idx="6829">
                  <c:v>-31.71</c:v>
                </c:pt>
                <c:pt idx="6830">
                  <c:v>-31.7</c:v>
                </c:pt>
                <c:pt idx="6831">
                  <c:v>-31.69</c:v>
                </c:pt>
                <c:pt idx="6832">
                  <c:v>-31.68</c:v>
                </c:pt>
                <c:pt idx="6833">
                  <c:v>-31.67</c:v>
                </c:pt>
                <c:pt idx="6834">
                  <c:v>-31.66</c:v>
                </c:pt>
                <c:pt idx="6835">
                  <c:v>-31.65</c:v>
                </c:pt>
                <c:pt idx="6836">
                  <c:v>-31.64</c:v>
                </c:pt>
                <c:pt idx="6837">
                  <c:v>-31.63</c:v>
                </c:pt>
                <c:pt idx="6838">
                  <c:v>-31.62</c:v>
                </c:pt>
                <c:pt idx="6839">
                  <c:v>-31.61</c:v>
                </c:pt>
                <c:pt idx="6840">
                  <c:v>-31.6</c:v>
                </c:pt>
                <c:pt idx="6841">
                  <c:v>-31.59</c:v>
                </c:pt>
                <c:pt idx="6842">
                  <c:v>-31.58</c:v>
                </c:pt>
                <c:pt idx="6843">
                  <c:v>-31.57</c:v>
                </c:pt>
                <c:pt idx="6844">
                  <c:v>-31.56</c:v>
                </c:pt>
                <c:pt idx="6845">
                  <c:v>-31.55</c:v>
                </c:pt>
                <c:pt idx="6846">
                  <c:v>-31.54</c:v>
                </c:pt>
                <c:pt idx="6847">
                  <c:v>-31.53</c:v>
                </c:pt>
                <c:pt idx="6848">
                  <c:v>-31.52</c:v>
                </c:pt>
                <c:pt idx="6849">
                  <c:v>-31.51</c:v>
                </c:pt>
                <c:pt idx="6850">
                  <c:v>-31.5</c:v>
                </c:pt>
                <c:pt idx="6851">
                  <c:v>-31.49</c:v>
                </c:pt>
                <c:pt idx="6852">
                  <c:v>-31.48</c:v>
                </c:pt>
                <c:pt idx="6853">
                  <c:v>-31.47</c:v>
                </c:pt>
                <c:pt idx="6854">
                  <c:v>-31.46</c:v>
                </c:pt>
                <c:pt idx="6855">
                  <c:v>-31.45</c:v>
                </c:pt>
                <c:pt idx="6856">
                  <c:v>-31.44</c:v>
                </c:pt>
                <c:pt idx="6857">
                  <c:v>-31.43</c:v>
                </c:pt>
                <c:pt idx="6858">
                  <c:v>-31.42</c:v>
                </c:pt>
                <c:pt idx="6859">
                  <c:v>-31.41</c:v>
                </c:pt>
                <c:pt idx="6860">
                  <c:v>-31.4</c:v>
                </c:pt>
                <c:pt idx="6861">
                  <c:v>-31.39</c:v>
                </c:pt>
                <c:pt idx="6862">
                  <c:v>-31.38</c:v>
                </c:pt>
                <c:pt idx="6863">
                  <c:v>-31.37</c:v>
                </c:pt>
                <c:pt idx="6864">
                  <c:v>-31.36</c:v>
                </c:pt>
                <c:pt idx="6865">
                  <c:v>-31.35</c:v>
                </c:pt>
                <c:pt idx="6866">
                  <c:v>-31.34</c:v>
                </c:pt>
                <c:pt idx="6867">
                  <c:v>-31.33</c:v>
                </c:pt>
                <c:pt idx="6868">
                  <c:v>-31.32</c:v>
                </c:pt>
                <c:pt idx="6869">
                  <c:v>-31.31</c:v>
                </c:pt>
                <c:pt idx="6870">
                  <c:v>-31.3</c:v>
                </c:pt>
                <c:pt idx="6871">
                  <c:v>-31.29</c:v>
                </c:pt>
                <c:pt idx="6872">
                  <c:v>-31.28</c:v>
                </c:pt>
                <c:pt idx="6873">
                  <c:v>-31.27</c:v>
                </c:pt>
                <c:pt idx="6874">
                  <c:v>-31.26</c:v>
                </c:pt>
                <c:pt idx="6875">
                  <c:v>-31.25</c:v>
                </c:pt>
                <c:pt idx="6876">
                  <c:v>-31.24</c:v>
                </c:pt>
                <c:pt idx="6877">
                  <c:v>-31.23</c:v>
                </c:pt>
                <c:pt idx="6878">
                  <c:v>-31.22</c:v>
                </c:pt>
                <c:pt idx="6879">
                  <c:v>-31.21</c:v>
                </c:pt>
                <c:pt idx="6880">
                  <c:v>-31.2</c:v>
                </c:pt>
                <c:pt idx="6881">
                  <c:v>-31.19</c:v>
                </c:pt>
                <c:pt idx="6882">
                  <c:v>-31.18</c:v>
                </c:pt>
                <c:pt idx="6883">
                  <c:v>-31.17</c:v>
                </c:pt>
                <c:pt idx="6884">
                  <c:v>-31.16</c:v>
                </c:pt>
                <c:pt idx="6885">
                  <c:v>-31.15</c:v>
                </c:pt>
                <c:pt idx="6886">
                  <c:v>-31.14</c:v>
                </c:pt>
                <c:pt idx="6887">
                  <c:v>-31.13</c:v>
                </c:pt>
                <c:pt idx="6888">
                  <c:v>-31.12</c:v>
                </c:pt>
                <c:pt idx="6889">
                  <c:v>-31.11</c:v>
                </c:pt>
                <c:pt idx="6890">
                  <c:v>-31.1</c:v>
                </c:pt>
                <c:pt idx="6891">
                  <c:v>-31.09</c:v>
                </c:pt>
                <c:pt idx="6892">
                  <c:v>-31.08</c:v>
                </c:pt>
                <c:pt idx="6893">
                  <c:v>-31.07</c:v>
                </c:pt>
                <c:pt idx="6894">
                  <c:v>-31.06</c:v>
                </c:pt>
                <c:pt idx="6895">
                  <c:v>-31.05</c:v>
                </c:pt>
                <c:pt idx="6896">
                  <c:v>-31.04</c:v>
                </c:pt>
                <c:pt idx="6897">
                  <c:v>-31.03</c:v>
                </c:pt>
                <c:pt idx="6898">
                  <c:v>-31.02</c:v>
                </c:pt>
                <c:pt idx="6899">
                  <c:v>-31.01</c:v>
                </c:pt>
                <c:pt idx="6900">
                  <c:v>-31.0</c:v>
                </c:pt>
                <c:pt idx="6901">
                  <c:v>-30.99</c:v>
                </c:pt>
                <c:pt idx="6902">
                  <c:v>-30.98</c:v>
                </c:pt>
                <c:pt idx="6903">
                  <c:v>-30.97</c:v>
                </c:pt>
                <c:pt idx="6904">
                  <c:v>-30.96</c:v>
                </c:pt>
                <c:pt idx="6905">
                  <c:v>-30.95</c:v>
                </c:pt>
                <c:pt idx="6906">
                  <c:v>-30.94</c:v>
                </c:pt>
                <c:pt idx="6907">
                  <c:v>-30.93</c:v>
                </c:pt>
                <c:pt idx="6908">
                  <c:v>-30.92</c:v>
                </c:pt>
                <c:pt idx="6909">
                  <c:v>-30.91</c:v>
                </c:pt>
                <c:pt idx="6910">
                  <c:v>-30.9</c:v>
                </c:pt>
                <c:pt idx="6911">
                  <c:v>-30.89</c:v>
                </c:pt>
                <c:pt idx="6912">
                  <c:v>-30.88</c:v>
                </c:pt>
                <c:pt idx="6913">
                  <c:v>-30.87</c:v>
                </c:pt>
                <c:pt idx="6914">
                  <c:v>-30.86</c:v>
                </c:pt>
                <c:pt idx="6915">
                  <c:v>-30.85</c:v>
                </c:pt>
                <c:pt idx="6916">
                  <c:v>-30.84</c:v>
                </c:pt>
                <c:pt idx="6917">
                  <c:v>-30.83</c:v>
                </c:pt>
                <c:pt idx="6918">
                  <c:v>-30.82</c:v>
                </c:pt>
                <c:pt idx="6919">
                  <c:v>-30.81</c:v>
                </c:pt>
                <c:pt idx="6920">
                  <c:v>-30.8</c:v>
                </c:pt>
                <c:pt idx="6921">
                  <c:v>-30.79</c:v>
                </c:pt>
                <c:pt idx="6922">
                  <c:v>-30.78</c:v>
                </c:pt>
                <c:pt idx="6923">
                  <c:v>-30.77</c:v>
                </c:pt>
                <c:pt idx="6924">
                  <c:v>-30.76</c:v>
                </c:pt>
                <c:pt idx="6925">
                  <c:v>-30.75</c:v>
                </c:pt>
                <c:pt idx="6926">
                  <c:v>-30.74</c:v>
                </c:pt>
                <c:pt idx="6927">
                  <c:v>-30.73</c:v>
                </c:pt>
                <c:pt idx="6928">
                  <c:v>-30.72</c:v>
                </c:pt>
                <c:pt idx="6929">
                  <c:v>-30.71</c:v>
                </c:pt>
                <c:pt idx="6930">
                  <c:v>-30.7</c:v>
                </c:pt>
                <c:pt idx="6931">
                  <c:v>-30.69</c:v>
                </c:pt>
                <c:pt idx="6932">
                  <c:v>-30.68</c:v>
                </c:pt>
                <c:pt idx="6933">
                  <c:v>-30.67</c:v>
                </c:pt>
                <c:pt idx="6934">
                  <c:v>-30.66</c:v>
                </c:pt>
                <c:pt idx="6935">
                  <c:v>-30.65</c:v>
                </c:pt>
                <c:pt idx="6936">
                  <c:v>-30.64</c:v>
                </c:pt>
                <c:pt idx="6937">
                  <c:v>-30.63</c:v>
                </c:pt>
                <c:pt idx="6938">
                  <c:v>-30.62</c:v>
                </c:pt>
                <c:pt idx="6939">
                  <c:v>-30.61</c:v>
                </c:pt>
                <c:pt idx="6940">
                  <c:v>-30.6</c:v>
                </c:pt>
                <c:pt idx="6941">
                  <c:v>-30.59</c:v>
                </c:pt>
                <c:pt idx="6942">
                  <c:v>-30.58</c:v>
                </c:pt>
                <c:pt idx="6943">
                  <c:v>-30.57</c:v>
                </c:pt>
                <c:pt idx="6944">
                  <c:v>-30.56</c:v>
                </c:pt>
                <c:pt idx="6945">
                  <c:v>-30.55</c:v>
                </c:pt>
                <c:pt idx="6946">
                  <c:v>-30.54</c:v>
                </c:pt>
                <c:pt idx="6947">
                  <c:v>-30.53</c:v>
                </c:pt>
                <c:pt idx="6948">
                  <c:v>-30.52</c:v>
                </c:pt>
                <c:pt idx="6949">
                  <c:v>-30.51</c:v>
                </c:pt>
                <c:pt idx="6950">
                  <c:v>-30.5</c:v>
                </c:pt>
                <c:pt idx="6951">
                  <c:v>-30.49</c:v>
                </c:pt>
                <c:pt idx="6952">
                  <c:v>-30.48</c:v>
                </c:pt>
                <c:pt idx="6953">
                  <c:v>-30.47</c:v>
                </c:pt>
                <c:pt idx="6954">
                  <c:v>-30.46</c:v>
                </c:pt>
                <c:pt idx="6955">
                  <c:v>-30.45</c:v>
                </c:pt>
                <c:pt idx="6956">
                  <c:v>-30.44</c:v>
                </c:pt>
                <c:pt idx="6957">
                  <c:v>-30.43</c:v>
                </c:pt>
                <c:pt idx="6958">
                  <c:v>-30.42</c:v>
                </c:pt>
                <c:pt idx="6959">
                  <c:v>-30.41</c:v>
                </c:pt>
                <c:pt idx="6960">
                  <c:v>-30.4</c:v>
                </c:pt>
                <c:pt idx="6961">
                  <c:v>-30.39</c:v>
                </c:pt>
                <c:pt idx="6962">
                  <c:v>-30.38</c:v>
                </c:pt>
                <c:pt idx="6963">
                  <c:v>-30.37</c:v>
                </c:pt>
                <c:pt idx="6964">
                  <c:v>-30.36</c:v>
                </c:pt>
                <c:pt idx="6965">
                  <c:v>-30.35</c:v>
                </c:pt>
                <c:pt idx="6966">
                  <c:v>-30.34</c:v>
                </c:pt>
                <c:pt idx="6967">
                  <c:v>-30.33</c:v>
                </c:pt>
                <c:pt idx="6968">
                  <c:v>-30.32</c:v>
                </c:pt>
                <c:pt idx="6969">
                  <c:v>-30.31</c:v>
                </c:pt>
                <c:pt idx="6970">
                  <c:v>-30.3</c:v>
                </c:pt>
                <c:pt idx="6971">
                  <c:v>-30.29</c:v>
                </c:pt>
                <c:pt idx="6972">
                  <c:v>-30.28</c:v>
                </c:pt>
                <c:pt idx="6973">
                  <c:v>-30.27</c:v>
                </c:pt>
                <c:pt idx="6974">
                  <c:v>-30.26</c:v>
                </c:pt>
                <c:pt idx="6975">
                  <c:v>-30.25</c:v>
                </c:pt>
                <c:pt idx="6976">
                  <c:v>-30.24</c:v>
                </c:pt>
                <c:pt idx="6977">
                  <c:v>-30.23</c:v>
                </c:pt>
                <c:pt idx="6978">
                  <c:v>-30.22</c:v>
                </c:pt>
                <c:pt idx="6979">
                  <c:v>-30.21</c:v>
                </c:pt>
                <c:pt idx="6980">
                  <c:v>-30.2</c:v>
                </c:pt>
                <c:pt idx="6981">
                  <c:v>-30.19</c:v>
                </c:pt>
                <c:pt idx="6982">
                  <c:v>-30.18</c:v>
                </c:pt>
                <c:pt idx="6983">
                  <c:v>-30.17</c:v>
                </c:pt>
                <c:pt idx="6984">
                  <c:v>-30.16</c:v>
                </c:pt>
                <c:pt idx="6985">
                  <c:v>-30.15</c:v>
                </c:pt>
                <c:pt idx="6986">
                  <c:v>-30.14</c:v>
                </c:pt>
                <c:pt idx="6987">
                  <c:v>-30.13</c:v>
                </c:pt>
                <c:pt idx="6988">
                  <c:v>-30.12</c:v>
                </c:pt>
                <c:pt idx="6989">
                  <c:v>-30.11</c:v>
                </c:pt>
                <c:pt idx="6990">
                  <c:v>-30.1</c:v>
                </c:pt>
                <c:pt idx="6991">
                  <c:v>-30.09</c:v>
                </c:pt>
                <c:pt idx="6992">
                  <c:v>-30.08</c:v>
                </c:pt>
                <c:pt idx="6993">
                  <c:v>-30.07</c:v>
                </c:pt>
                <c:pt idx="6994">
                  <c:v>-30.06</c:v>
                </c:pt>
                <c:pt idx="6995">
                  <c:v>-30.05</c:v>
                </c:pt>
                <c:pt idx="6996">
                  <c:v>-30.04</c:v>
                </c:pt>
                <c:pt idx="6997">
                  <c:v>-30.03</c:v>
                </c:pt>
                <c:pt idx="6998">
                  <c:v>-30.02</c:v>
                </c:pt>
                <c:pt idx="6999">
                  <c:v>-30.01</c:v>
                </c:pt>
                <c:pt idx="7000">
                  <c:v>-30.0</c:v>
                </c:pt>
                <c:pt idx="7001">
                  <c:v>-29.99</c:v>
                </c:pt>
                <c:pt idx="7002">
                  <c:v>-29.98</c:v>
                </c:pt>
                <c:pt idx="7003">
                  <c:v>-29.97</c:v>
                </c:pt>
                <c:pt idx="7004">
                  <c:v>-29.96</c:v>
                </c:pt>
                <c:pt idx="7005">
                  <c:v>-29.95</c:v>
                </c:pt>
                <c:pt idx="7006">
                  <c:v>-29.94</c:v>
                </c:pt>
                <c:pt idx="7007">
                  <c:v>-29.93</c:v>
                </c:pt>
                <c:pt idx="7008">
                  <c:v>-29.92</c:v>
                </c:pt>
                <c:pt idx="7009">
                  <c:v>-29.91</c:v>
                </c:pt>
                <c:pt idx="7010">
                  <c:v>-29.9</c:v>
                </c:pt>
                <c:pt idx="7011">
                  <c:v>-29.89</c:v>
                </c:pt>
                <c:pt idx="7012">
                  <c:v>-29.88</c:v>
                </c:pt>
                <c:pt idx="7013">
                  <c:v>-29.87</c:v>
                </c:pt>
                <c:pt idx="7014">
                  <c:v>-29.86</c:v>
                </c:pt>
                <c:pt idx="7015">
                  <c:v>-29.85</c:v>
                </c:pt>
                <c:pt idx="7016">
                  <c:v>-29.84</c:v>
                </c:pt>
                <c:pt idx="7017">
                  <c:v>-29.83</c:v>
                </c:pt>
                <c:pt idx="7018">
                  <c:v>-29.82</c:v>
                </c:pt>
                <c:pt idx="7019">
                  <c:v>-29.81</c:v>
                </c:pt>
                <c:pt idx="7020">
                  <c:v>-29.8</c:v>
                </c:pt>
                <c:pt idx="7021">
                  <c:v>-29.79</c:v>
                </c:pt>
                <c:pt idx="7022">
                  <c:v>-29.78</c:v>
                </c:pt>
                <c:pt idx="7023">
                  <c:v>-29.77</c:v>
                </c:pt>
                <c:pt idx="7024">
                  <c:v>-29.76</c:v>
                </c:pt>
                <c:pt idx="7025">
                  <c:v>-29.75</c:v>
                </c:pt>
                <c:pt idx="7026">
                  <c:v>-29.74</c:v>
                </c:pt>
                <c:pt idx="7027">
                  <c:v>-29.73</c:v>
                </c:pt>
                <c:pt idx="7028">
                  <c:v>-29.72</c:v>
                </c:pt>
                <c:pt idx="7029">
                  <c:v>-29.71</c:v>
                </c:pt>
                <c:pt idx="7030">
                  <c:v>-29.7</c:v>
                </c:pt>
                <c:pt idx="7031">
                  <c:v>-29.69</c:v>
                </c:pt>
                <c:pt idx="7032">
                  <c:v>-29.68</c:v>
                </c:pt>
                <c:pt idx="7033">
                  <c:v>-29.67</c:v>
                </c:pt>
                <c:pt idx="7034">
                  <c:v>-29.66</c:v>
                </c:pt>
                <c:pt idx="7035">
                  <c:v>-29.65</c:v>
                </c:pt>
                <c:pt idx="7036">
                  <c:v>-29.64</c:v>
                </c:pt>
                <c:pt idx="7037">
                  <c:v>-29.63</c:v>
                </c:pt>
                <c:pt idx="7038">
                  <c:v>-29.62</c:v>
                </c:pt>
                <c:pt idx="7039">
                  <c:v>-29.61</c:v>
                </c:pt>
                <c:pt idx="7040">
                  <c:v>-29.6</c:v>
                </c:pt>
                <c:pt idx="7041">
                  <c:v>-29.59</c:v>
                </c:pt>
                <c:pt idx="7042">
                  <c:v>-29.58</c:v>
                </c:pt>
                <c:pt idx="7043">
                  <c:v>-29.57</c:v>
                </c:pt>
                <c:pt idx="7044">
                  <c:v>-29.56</c:v>
                </c:pt>
                <c:pt idx="7045">
                  <c:v>-29.55</c:v>
                </c:pt>
                <c:pt idx="7046">
                  <c:v>-29.54</c:v>
                </c:pt>
                <c:pt idx="7047">
                  <c:v>-29.53</c:v>
                </c:pt>
                <c:pt idx="7048">
                  <c:v>-29.52</c:v>
                </c:pt>
                <c:pt idx="7049">
                  <c:v>-29.51</c:v>
                </c:pt>
                <c:pt idx="7050">
                  <c:v>-29.5</c:v>
                </c:pt>
                <c:pt idx="7051">
                  <c:v>-29.49</c:v>
                </c:pt>
                <c:pt idx="7052">
                  <c:v>-29.48</c:v>
                </c:pt>
                <c:pt idx="7053">
                  <c:v>-29.47</c:v>
                </c:pt>
                <c:pt idx="7054">
                  <c:v>-29.46</c:v>
                </c:pt>
                <c:pt idx="7055">
                  <c:v>-29.45</c:v>
                </c:pt>
                <c:pt idx="7056">
                  <c:v>-29.44</c:v>
                </c:pt>
                <c:pt idx="7057">
                  <c:v>-29.43</c:v>
                </c:pt>
                <c:pt idx="7058">
                  <c:v>-29.42</c:v>
                </c:pt>
                <c:pt idx="7059">
                  <c:v>-29.41</c:v>
                </c:pt>
                <c:pt idx="7060">
                  <c:v>-29.4</c:v>
                </c:pt>
                <c:pt idx="7061">
                  <c:v>-29.39</c:v>
                </c:pt>
                <c:pt idx="7062">
                  <c:v>-29.38</c:v>
                </c:pt>
                <c:pt idx="7063">
                  <c:v>-29.37</c:v>
                </c:pt>
                <c:pt idx="7064">
                  <c:v>-29.36</c:v>
                </c:pt>
                <c:pt idx="7065">
                  <c:v>-29.35</c:v>
                </c:pt>
                <c:pt idx="7066">
                  <c:v>-29.34</c:v>
                </c:pt>
                <c:pt idx="7067">
                  <c:v>-29.33</c:v>
                </c:pt>
                <c:pt idx="7068">
                  <c:v>-29.32</c:v>
                </c:pt>
                <c:pt idx="7069">
                  <c:v>-29.31</c:v>
                </c:pt>
                <c:pt idx="7070">
                  <c:v>-29.3</c:v>
                </c:pt>
                <c:pt idx="7071">
                  <c:v>-29.29</c:v>
                </c:pt>
                <c:pt idx="7072">
                  <c:v>-29.28</c:v>
                </c:pt>
                <c:pt idx="7073">
                  <c:v>-29.27</c:v>
                </c:pt>
                <c:pt idx="7074">
                  <c:v>-29.26</c:v>
                </c:pt>
                <c:pt idx="7075">
                  <c:v>-29.25</c:v>
                </c:pt>
                <c:pt idx="7076">
                  <c:v>-29.24</c:v>
                </c:pt>
                <c:pt idx="7077">
                  <c:v>-29.23</c:v>
                </c:pt>
                <c:pt idx="7078">
                  <c:v>-29.22</c:v>
                </c:pt>
                <c:pt idx="7079">
                  <c:v>-29.21</c:v>
                </c:pt>
                <c:pt idx="7080">
                  <c:v>-29.2</c:v>
                </c:pt>
                <c:pt idx="7081">
                  <c:v>-29.19</c:v>
                </c:pt>
                <c:pt idx="7082">
                  <c:v>-29.18</c:v>
                </c:pt>
                <c:pt idx="7083">
                  <c:v>-29.17</c:v>
                </c:pt>
                <c:pt idx="7084">
                  <c:v>-29.16</c:v>
                </c:pt>
                <c:pt idx="7085">
                  <c:v>-29.15</c:v>
                </c:pt>
                <c:pt idx="7086">
                  <c:v>-29.14</c:v>
                </c:pt>
                <c:pt idx="7087">
                  <c:v>-29.13</c:v>
                </c:pt>
                <c:pt idx="7088">
                  <c:v>-29.12</c:v>
                </c:pt>
                <c:pt idx="7089">
                  <c:v>-29.11</c:v>
                </c:pt>
                <c:pt idx="7090">
                  <c:v>-29.1</c:v>
                </c:pt>
                <c:pt idx="7091">
                  <c:v>-29.09</c:v>
                </c:pt>
                <c:pt idx="7092">
                  <c:v>-29.08</c:v>
                </c:pt>
                <c:pt idx="7093">
                  <c:v>-29.07</c:v>
                </c:pt>
                <c:pt idx="7094">
                  <c:v>-29.06</c:v>
                </c:pt>
                <c:pt idx="7095">
                  <c:v>-29.05</c:v>
                </c:pt>
                <c:pt idx="7096">
                  <c:v>-29.04</c:v>
                </c:pt>
                <c:pt idx="7097">
                  <c:v>-29.03</c:v>
                </c:pt>
                <c:pt idx="7098">
                  <c:v>-29.02</c:v>
                </c:pt>
                <c:pt idx="7099">
                  <c:v>-29.01</c:v>
                </c:pt>
                <c:pt idx="7100">
                  <c:v>-29.0</c:v>
                </c:pt>
                <c:pt idx="7101">
                  <c:v>-28.99</c:v>
                </c:pt>
                <c:pt idx="7102">
                  <c:v>-28.98</c:v>
                </c:pt>
                <c:pt idx="7103">
                  <c:v>-28.97</c:v>
                </c:pt>
                <c:pt idx="7104">
                  <c:v>-28.96</c:v>
                </c:pt>
                <c:pt idx="7105">
                  <c:v>-28.95</c:v>
                </c:pt>
                <c:pt idx="7106">
                  <c:v>-28.94</c:v>
                </c:pt>
                <c:pt idx="7107">
                  <c:v>-28.93</c:v>
                </c:pt>
                <c:pt idx="7108">
                  <c:v>-28.92</c:v>
                </c:pt>
                <c:pt idx="7109">
                  <c:v>-28.91</c:v>
                </c:pt>
                <c:pt idx="7110">
                  <c:v>-28.9</c:v>
                </c:pt>
                <c:pt idx="7111">
                  <c:v>-28.89</c:v>
                </c:pt>
                <c:pt idx="7112">
                  <c:v>-28.88</c:v>
                </c:pt>
                <c:pt idx="7113">
                  <c:v>-28.87</c:v>
                </c:pt>
                <c:pt idx="7114">
                  <c:v>-28.86</c:v>
                </c:pt>
                <c:pt idx="7115">
                  <c:v>-28.85</c:v>
                </c:pt>
                <c:pt idx="7116">
                  <c:v>-28.84</c:v>
                </c:pt>
                <c:pt idx="7117">
                  <c:v>-28.83</c:v>
                </c:pt>
                <c:pt idx="7118">
                  <c:v>-28.82</c:v>
                </c:pt>
                <c:pt idx="7119">
                  <c:v>-28.81</c:v>
                </c:pt>
                <c:pt idx="7120">
                  <c:v>-28.8</c:v>
                </c:pt>
                <c:pt idx="7121">
                  <c:v>-28.79</c:v>
                </c:pt>
                <c:pt idx="7122">
                  <c:v>-28.78</c:v>
                </c:pt>
                <c:pt idx="7123">
                  <c:v>-28.77</c:v>
                </c:pt>
                <c:pt idx="7124">
                  <c:v>-28.76</c:v>
                </c:pt>
                <c:pt idx="7125">
                  <c:v>-28.75</c:v>
                </c:pt>
                <c:pt idx="7126">
                  <c:v>-28.74</c:v>
                </c:pt>
                <c:pt idx="7127">
                  <c:v>-28.73</c:v>
                </c:pt>
                <c:pt idx="7128">
                  <c:v>-28.72</c:v>
                </c:pt>
                <c:pt idx="7129">
                  <c:v>-28.71</c:v>
                </c:pt>
                <c:pt idx="7130">
                  <c:v>-28.7</c:v>
                </c:pt>
                <c:pt idx="7131">
                  <c:v>-28.69</c:v>
                </c:pt>
                <c:pt idx="7132">
                  <c:v>-28.68</c:v>
                </c:pt>
                <c:pt idx="7133">
                  <c:v>-28.67</c:v>
                </c:pt>
                <c:pt idx="7134">
                  <c:v>-28.66</c:v>
                </c:pt>
                <c:pt idx="7135">
                  <c:v>-28.65</c:v>
                </c:pt>
                <c:pt idx="7136">
                  <c:v>-28.64</c:v>
                </c:pt>
                <c:pt idx="7137">
                  <c:v>-28.63</c:v>
                </c:pt>
                <c:pt idx="7138">
                  <c:v>-28.62</c:v>
                </c:pt>
                <c:pt idx="7139">
                  <c:v>-28.61</c:v>
                </c:pt>
                <c:pt idx="7140">
                  <c:v>-28.6</c:v>
                </c:pt>
                <c:pt idx="7141">
                  <c:v>-28.59</c:v>
                </c:pt>
                <c:pt idx="7142">
                  <c:v>-28.58</c:v>
                </c:pt>
                <c:pt idx="7143">
                  <c:v>-28.57</c:v>
                </c:pt>
                <c:pt idx="7144">
                  <c:v>-28.56</c:v>
                </c:pt>
                <c:pt idx="7145">
                  <c:v>-28.55</c:v>
                </c:pt>
                <c:pt idx="7146">
                  <c:v>-28.54</c:v>
                </c:pt>
                <c:pt idx="7147">
                  <c:v>-28.53</c:v>
                </c:pt>
                <c:pt idx="7148">
                  <c:v>-28.52</c:v>
                </c:pt>
                <c:pt idx="7149">
                  <c:v>-28.51</c:v>
                </c:pt>
                <c:pt idx="7150">
                  <c:v>-28.5</c:v>
                </c:pt>
                <c:pt idx="7151">
                  <c:v>-28.49</c:v>
                </c:pt>
                <c:pt idx="7152">
                  <c:v>-28.48</c:v>
                </c:pt>
                <c:pt idx="7153">
                  <c:v>-28.47</c:v>
                </c:pt>
                <c:pt idx="7154">
                  <c:v>-28.46</c:v>
                </c:pt>
                <c:pt idx="7155">
                  <c:v>-28.45</c:v>
                </c:pt>
                <c:pt idx="7156">
                  <c:v>-28.44</c:v>
                </c:pt>
                <c:pt idx="7157">
                  <c:v>-28.43</c:v>
                </c:pt>
                <c:pt idx="7158">
                  <c:v>-28.42</c:v>
                </c:pt>
                <c:pt idx="7159">
                  <c:v>-28.41</c:v>
                </c:pt>
                <c:pt idx="7160">
                  <c:v>-28.4</c:v>
                </c:pt>
                <c:pt idx="7161">
                  <c:v>-28.39</c:v>
                </c:pt>
                <c:pt idx="7162">
                  <c:v>-28.38</c:v>
                </c:pt>
                <c:pt idx="7163">
                  <c:v>-28.37</c:v>
                </c:pt>
                <c:pt idx="7164">
                  <c:v>-28.36</c:v>
                </c:pt>
                <c:pt idx="7165">
                  <c:v>-28.35</c:v>
                </c:pt>
                <c:pt idx="7166">
                  <c:v>-28.34</c:v>
                </c:pt>
                <c:pt idx="7167">
                  <c:v>-28.33</c:v>
                </c:pt>
                <c:pt idx="7168">
                  <c:v>-28.32</c:v>
                </c:pt>
                <c:pt idx="7169">
                  <c:v>-28.31</c:v>
                </c:pt>
                <c:pt idx="7170">
                  <c:v>-28.3</c:v>
                </c:pt>
                <c:pt idx="7171">
                  <c:v>-28.29</c:v>
                </c:pt>
                <c:pt idx="7172">
                  <c:v>-28.28</c:v>
                </c:pt>
                <c:pt idx="7173">
                  <c:v>-28.27</c:v>
                </c:pt>
                <c:pt idx="7174">
                  <c:v>-28.26</c:v>
                </c:pt>
                <c:pt idx="7175">
                  <c:v>-28.25</c:v>
                </c:pt>
                <c:pt idx="7176">
                  <c:v>-28.24</c:v>
                </c:pt>
                <c:pt idx="7177">
                  <c:v>-28.23</c:v>
                </c:pt>
                <c:pt idx="7178">
                  <c:v>-28.22</c:v>
                </c:pt>
                <c:pt idx="7179">
                  <c:v>-28.21</c:v>
                </c:pt>
                <c:pt idx="7180">
                  <c:v>-28.2</c:v>
                </c:pt>
                <c:pt idx="7181">
                  <c:v>-28.19</c:v>
                </c:pt>
                <c:pt idx="7182">
                  <c:v>-28.18</c:v>
                </c:pt>
                <c:pt idx="7183">
                  <c:v>-28.17</c:v>
                </c:pt>
                <c:pt idx="7184">
                  <c:v>-28.16</c:v>
                </c:pt>
                <c:pt idx="7185">
                  <c:v>-28.15</c:v>
                </c:pt>
                <c:pt idx="7186">
                  <c:v>-28.14</c:v>
                </c:pt>
                <c:pt idx="7187">
                  <c:v>-28.13</c:v>
                </c:pt>
                <c:pt idx="7188">
                  <c:v>-28.12</c:v>
                </c:pt>
                <c:pt idx="7189">
                  <c:v>-28.11</c:v>
                </c:pt>
                <c:pt idx="7190">
                  <c:v>-28.1</c:v>
                </c:pt>
                <c:pt idx="7191">
                  <c:v>-28.09</c:v>
                </c:pt>
                <c:pt idx="7192">
                  <c:v>-28.08</c:v>
                </c:pt>
                <c:pt idx="7193">
                  <c:v>-28.07</c:v>
                </c:pt>
                <c:pt idx="7194">
                  <c:v>-28.06</c:v>
                </c:pt>
                <c:pt idx="7195">
                  <c:v>-28.05</c:v>
                </c:pt>
                <c:pt idx="7196">
                  <c:v>-28.04</c:v>
                </c:pt>
                <c:pt idx="7197">
                  <c:v>-28.03</c:v>
                </c:pt>
                <c:pt idx="7198">
                  <c:v>-28.02</c:v>
                </c:pt>
                <c:pt idx="7199">
                  <c:v>-28.01</c:v>
                </c:pt>
                <c:pt idx="7200">
                  <c:v>-28.0</c:v>
                </c:pt>
                <c:pt idx="7201">
                  <c:v>-27.99</c:v>
                </c:pt>
                <c:pt idx="7202">
                  <c:v>-27.98</c:v>
                </c:pt>
                <c:pt idx="7203">
                  <c:v>-27.97</c:v>
                </c:pt>
                <c:pt idx="7204">
                  <c:v>-27.96</c:v>
                </c:pt>
                <c:pt idx="7205">
                  <c:v>-27.95</c:v>
                </c:pt>
                <c:pt idx="7206">
                  <c:v>-27.94</c:v>
                </c:pt>
                <c:pt idx="7207">
                  <c:v>-27.93</c:v>
                </c:pt>
                <c:pt idx="7208">
                  <c:v>-27.92</c:v>
                </c:pt>
                <c:pt idx="7209">
                  <c:v>-27.91</c:v>
                </c:pt>
                <c:pt idx="7210">
                  <c:v>-27.9</c:v>
                </c:pt>
                <c:pt idx="7211">
                  <c:v>-27.89</c:v>
                </c:pt>
                <c:pt idx="7212">
                  <c:v>-27.88</c:v>
                </c:pt>
                <c:pt idx="7213">
                  <c:v>-27.87</c:v>
                </c:pt>
                <c:pt idx="7214">
                  <c:v>-27.86</c:v>
                </c:pt>
                <c:pt idx="7215">
                  <c:v>-27.85</c:v>
                </c:pt>
                <c:pt idx="7216">
                  <c:v>-27.84</c:v>
                </c:pt>
                <c:pt idx="7217">
                  <c:v>-27.83</c:v>
                </c:pt>
                <c:pt idx="7218">
                  <c:v>-27.82</c:v>
                </c:pt>
                <c:pt idx="7219">
                  <c:v>-27.81</c:v>
                </c:pt>
                <c:pt idx="7220">
                  <c:v>-27.8</c:v>
                </c:pt>
                <c:pt idx="7221">
                  <c:v>-27.79</c:v>
                </c:pt>
                <c:pt idx="7222">
                  <c:v>-27.78</c:v>
                </c:pt>
                <c:pt idx="7223">
                  <c:v>-27.77</c:v>
                </c:pt>
                <c:pt idx="7224">
                  <c:v>-27.76</c:v>
                </c:pt>
                <c:pt idx="7225">
                  <c:v>-27.75</c:v>
                </c:pt>
                <c:pt idx="7226">
                  <c:v>-27.74</c:v>
                </c:pt>
                <c:pt idx="7227">
                  <c:v>-27.73</c:v>
                </c:pt>
                <c:pt idx="7228">
                  <c:v>-27.72</c:v>
                </c:pt>
                <c:pt idx="7229">
                  <c:v>-27.71</c:v>
                </c:pt>
                <c:pt idx="7230">
                  <c:v>-27.7</c:v>
                </c:pt>
                <c:pt idx="7231">
                  <c:v>-27.69</c:v>
                </c:pt>
                <c:pt idx="7232">
                  <c:v>-27.68</c:v>
                </c:pt>
                <c:pt idx="7233">
                  <c:v>-27.67</c:v>
                </c:pt>
                <c:pt idx="7234">
                  <c:v>-27.66</c:v>
                </c:pt>
                <c:pt idx="7235">
                  <c:v>-27.65</c:v>
                </c:pt>
                <c:pt idx="7236">
                  <c:v>-27.64</c:v>
                </c:pt>
                <c:pt idx="7237">
                  <c:v>-27.63</c:v>
                </c:pt>
                <c:pt idx="7238">
                  <c:v>-27.62</c:v>
                </c:pt>
                <c:pt idx="7239">
                  <c:v>-27.61</c:v>
                </c:pt>
                <c:pt idx="7240">
                  <c:v>-27.6</c:v>
                </c:pt>
                <c:pt idx="7241">
                  <c:v>-27.59</c:v>
                </c:pt>
                <c:pt idx="7242">
                  <c:v>-27.58</c:v>
                </c:pt>
                <c:pt idx="7243">
                  <c:v>-27.57</c:v>
                </c:pt>
                <c:pt idx="7244">
                  <c:v>-27.56</c:v>
                </c:pt>
                <c:pt idx="7245">
                  <c:v>-27.55</c:v>
                </c:pt>
                <c:pt idx="7246">
                  <c:v>-27.54</c:v>
                </c:pt>
                <c:pt idx="7247">
                  <c:v>-27.53</c:v>
                </c:pt>
                <c:pt idx="7248">
                  <c:v>-27.52</c:v>
                </c:pt>
                <c:pt idx="7249">
                  <c:v>-27.51</c:v>
                </c:pt>
                <c:pt idx="7250">
                  <c:v>-27.5</c:v>
                </c:pt>
                <c:pt idx="7251">
                  <c:v>-27.49</c:v>
                </c:pt>
                <c:pt idx="7252">
                  <c:v>-27.48</c:v>
                </c:pt>
                <c:pt idx="7253">
                  <c:v>-27.47</c:v>
                </c:pt>
                <c:pt idx="7254">
                  <c:v>-27.46</c:v>
                </c:pt>
                <c:pt idx="7255">
                  <c:v>-27.45</c:v>
                </c:pt>
                <c:pt idx="7256">
                  <c:v>-27.44</c:v>
                </c:pt>
                <c:pt idx="7257">
                  <c:v>-27.43</c:v>
                </c:pt>
                <c:pt idx="7258">
                  <c:v>-27.42</c:v>
                </c:pt>
                <c:pt idx="7259">
                  <c:v>-27.41</c:v>
                </c:pt>
                <c:pt idx="7260">
                  <c:v>-27.4</c:v>
                </c:pt>
                <c:pt idx="7261">
                  <c:v>-27.39</c:v>
                </c:pt>
                <c:pt idx="7262">
                  <c:v>-27.38</c:v>
                </c:pt>
                <c:pt idx="7263">
                  <c:v>-27.37</c:v>
                </c:pt>
                <c:pt idx="7264">
                  <c:v>-27.36</c:v>
                </c:pt>
                <c:pt idx="7265">
                  <c:v>-27.35</c:v>
                </c:pt>
                <c:pt idx="7266">
                  <c:v>-27.34</c:v>
                </c:pt>
                <c:pt idx="7267">
                  <c:v>-27.33</c:v>
                </c:pt>
                <c:pt idx="7268">
                  <c:v>-27.32</c:v>
                </c:pt>
                <c:pt idx="7269">
                  <c:v>-27.31</c:v>
                </c:pt>
                <c:pt idx="7270">
                  <c:v>-27.3</c:v>
                </c:pt>
                <c:pt idx="7271">
                  <c:v>-27.29</c:v>
                </c:pt>
                <c:pt idx="7272">
                  <c:v>-27.28</c:v>
                </c:pt>
                <c:pt idx="7273">
                  <c:v>-27.27</c:v>
                </c:pt>
                <c:pt idx="7274">
                  <c:v>-27.26</c:v>
                </c:pt>
                <c:pt idx="7275">
                  <c:v>-27.25</c:v>
                </c:pt>
                <c:pt idx="7276">
                  <c:v>-27.24</c:v>
                </c:pt>
                <c:pt idx="7277">
                  <c:v>-27.23</c:v>
                </c:pt>
                <c:pt idx="7278">
                  <c:v>-27.22</c:v>
                </c:pt>
                <c:pt idx="7279">
                  <c:v>-27.21</c:v>
                </c:pt>
                <c:pt idx="7280">
                  <c:v>-27.2</c:v>
                </c:pt>
                <c:pt idx="7281">
                  <c:v>-27.19</c:v>
                </c:pt>
                <c:pt idx="7282">
                  <c:v>-27.18</c:v>
                </c:pt>
                <c:pt idx="7283">
                  <c:v>-27.17</c:v>
                </c:pt>
                <c:pt idx="7284">
                  <c:v>-27.16</c:v>
                </c:pt>
                <c:pt idx="7285">
                  <c:v>-27.15</c:v>
                </c:pt>
                <c:pt idx="7286">
                  <c:v>-27.14</c:v>
                </c:pt>
                <c:pt idx="7287">
                  <c:v>-27.13</c:v>
                </c:pt>
                <c:pt idx="7288">
                  <c:v>-27.12</c:v>
                </c:pt>
                <c:pt idx="7289">
                  <c:v>-27.11</c:v>
                </c:pt>
                <c:pt idx="7290">
                  <c:v>-27.1</c:v>
                </c:pt>
                <c:pt idx="7291">
                  <c:v>-27.09</c:v>
                </c:pt>
                <c:pt idx="7292">
                  <c:v>-27.08</c:v>
                </c:pt>
                <c:pt idx="7293">
                  <c:v>-27.07</c:v>
                </c:pt>
                <c:pt idx="7294">
                  <c:v>-27.06</c:v>
                </c:pt>
                <c:pt idx="7295">
                  <c:v>-27.05</c:v>
                </c:pt>
                <c:pt idx="7296">
                  <c:v>-27.04</c:v>
                </c:pt>
                <c:pt idx="7297">
                  <c:v>-27.03</c:v>
                </c:pt>
                <c:pt idx="7298">
                  <c:v>-27.02</c:v>
                </c:pt>
                <c:pt idx="7299">
                  <c:v>-27.01</c:v>
                </c:pt>
                <c:pt idx="7300">
                  <c:v>-27.0</c:v>
                </c:pt>
                <c:pt idx="7301">
                  <c:v>-26.99</c:v>
                </c:pt>
                <c:pt idx="7302">
                  <c:v>-26.98</c:v>
                </c:pt>
                <c:pt idx="7303">
                  <c:v>-26.97</c:v>
                </c:pt>
                <c:pt idx="7304">
                  <c:v>-26.96</c:v>
                </c:pt>
                <c:pt idx="7305">
                  <c:v>-26.95</c:v>
                </c:pt>
                <c:pt idx="7306">
                  <c:v>-26.94</c:v>
                </c:pt>
                <c:pt idx="7307">
                  <c:v>-26.93</c:v>
                </c:pt>
                <c:pt idx="7308">
                  <c:v>-26.92</c:v>
                </c:pt>
                <c:pt idx="7309">
                  <c:v>-26.91</c:v>
                </c:pt>
                <c:pt idx="7310">
                  <c:v>-26.9</c:v>
                </c:pt>
                <c:pt idx="7311">
                  <c:v>-26.89</c:v>
                </c:pt>
                <c:pt idx="7312">
                  <c:v>-26.88</c:v>
                </c:pt>
                <c:pt idx="7313">
                  <c:v>-26.87</c:v>
                </c:pt>
                <c:pt idx="7314">
                  <c:v>-26.86</c:v>
                </c:pt>
                <c:pt idx="7315">
                  <c:v>-26.85</c:v>
                </c:pt>
                <c:pt idx="7316">
                  <c:v>-26.84</c:v>
                </c:pt>
                <c:pt idx="7317">
                  <c:v>-26.83</c:v>
                </c:pt>
                <c:pt idx="7318">
                  <c:v>-26.82</c:v>
                </c:pt>
                <c:pt idx="7319">
                  <c:v>-26.81</c:v>
                </c:pt>
                <c:pt idx="7320">
                  <c:v>-26.8</c:v>
                </c:pt>
                <c:pt idx="7321">
                  <c:v>-26.79</c:v>
                </c:pt>
                <c:pt idx="7322">
                  <c:v>-26.78</c:v>
                </c:pt>
                <c:pt idx="7323">
                  <c:v>-26.77</c:v>
                </c:pt>
                <c:pt idx="7324">
                  <c:v>-26.76</c:v>
                </c:pt>
                <c:pt idx="7325">
                  <c:v>-26.75</c:v>
                </c:pt>
                <c:pt idx="7326">
                  <c:v>-26.74</c:v>
                </c:pt>
                <c:pt idx="7327">
                  <c:v>-26.73</c:v>
                </c:pt>
                <c:pt idx="7328">
                  <c:v>-26.72</c:v>
                </c:pt>
                <c:pt idx="7329">
                  <c:v>-26.71</c:v>
                </c:pt>
                <c:pt idx="7330">
                  <c:v>-26.7</c:v>
                </c:pt>
                <c:pt idx="7331">
                  <c:v>-26.69</c:v>
                </c:pt>
                <c:pt idx="7332">
                  <c:v>-26.68</c:v>
                </c:pt>
                <c:pt idx="7333">
                  <c:v>-26.67</c:v>
                </c:pt>
                <c:pt idx="7334">
                  <c:v>-26.66</c:v>
                </c:pt>
                <c:pt idx="7335">
                  <c:v>-26.65</c:v>
                </c:pt>
                <c:pt idx="7336">
                  <c:v>-26.64</c:v>
                </c:pt>
                <c:pt idx="7337">
                  <c:v>-26.63</c:v>
                </c:pt>
                <c:pt idx="7338">
                  <c:v>-26.62</c:v>
                </c:pt>
                <c:pt idx="7339">
                  <c:v>-26.61</c:v>
                </c:pt>
                <c:pt idx="7340">
                  <c:v>-26.6</c:v>
                </c:pt>
                <c:pt idx="7341">
                  <c:v>-26.59</c:v>
                </c:pt>
                <c:pt idx="7342">
                  <c:v>-26.58</c:v>
                </c:pt>
                <c:pt idx="7343">
                  <c:v>-26.57</c:v>
                </c:pt>
                <c:pt idx="7344">
                  <c:v>-26.56</c:v>
                </c:pt>
                <c:pt idx="7345">
                  <c:v>-26.55</c:v>
                </c:pt>
                <c:pt idx="7346">
                  <c:v>-26.54</c:v>
                </c:pt>
                <c:pt idx="7347">
                  <c:v>-26.53</c:v>
                </c:pt>
                <c:pt idx="7348">
                  <c:v>-26.52</c:v>
                </c:pt>
                <c:pt idx="7349">
                  <c:v>-26.51</c:v>
                </c:pt>
                <c:pt idx="7350">
                  <c:v>-26.5</c:v>
                </c:pt>
                <c:pt idx="7351">
                  <c:v>-26.49</c:v>
                </c:pt>
                <c:pt idx="7352">
                  <c:v>-26.48</c:v>
                </c:pt>
                <c:pt idx="7353">
                  <c:v>-26.47</c:v>
                </c:pt>
                <c:pt idx="7354">
                  <c:v>-26.46</c:v>
                </c:pt>
                <c:pt idx="7355">
                  <c:v>-26.45</c:v>
                </c:pt>
                <c:pt idx="7356">
                  <c:v>-26.44</c:v>
                </c:pt>
                <c:pt idx="7357">
                  <c:v>-26.43</c:v>
                </c:pt>
                <c:pt idx="7358">
                  <c:v>-26.42</c:v>
                </c:pt>
                <c:pt idx="7359">
                  <c:v>-26.41</c:v>
                </c:pt>
                <c:pt idx="7360">
                  <c:v>-26.4</c:v>
                </c:pt>
                <c:pt idx="7361">
                  <c:v>-26.39</c:v>
                </c:pt>
                <c:pt idx="7362">
                  <c:v>-26.38</c:v>
                </c:pt>
                <c:pt idx="7363">
                  <c:v>-26.37</c:v>
                </c:pt>
                <c:pt idx="7364">
                  <c:v>-26.36</c:v>
                </c:pt>
                <c:pt idx="7365">
                  <c:v>-26.35</c:v>
                </c:pt>
                <c:pt idx="7366">
                  <c:v>-26.34</c:v>
                </c:pt>
                <c:pt idx="7367">
                  <c:v>-26.33</c:v>
                </c:pt>
                <c:pt idx="7368">
                  <c:v>-26.32</c:v>
                </c:pt>
                <c:pt idx="7369">
                  <c:v>-26.31</c:v>
                </c:pt>
                <c:pt idx="7370">
                  <c:v>-26.3</c:v>
                </c:pt>
                <c:pt idx="7371">
                  <c:v>-26.29</c:v>
                </c:pt>
                <c:pt idx="7372">
                  <c:v>-26.28</c:v>
                </c:pt>
                <c:pt idx="7373">
                  <c:v>-26.27</c:v>
                </c:pt>
                <c:pt idx="7374">
                  <c:v>-26.26</c:v>
                </c:pt>
                <c:pt idx="7375">
                  <c:v>-26.25</c:v>
                </c:pt>
                <c:pt idx="7376">
                  <c:v>-26.24</c:v>
                </c:pt>
                <c:pt idx="7377">
                  <c:v>-26.23</c:v>
                </c:pt>
                <c:pt idx="7378">
                  <c:v>-26.22</c:v>
                </c:pt>
                <c:pt idx="7379">
                  <c:v>-26.21</c:v>
                </c:pt>
                <c:pt idx="7380">
                  <c:v>-26.2</c:v>
                </c:pt>
                <c:pt idx="7381">
                  <c:v>-26.19</c:v>
                </c:pt>
                <c:pt idx="7382">
                  <c:v>-26.18</c:v>
                </c:pt>
                <c:pt idx="7383">
                  <c:v>-26.17</c:v>
                </c:pt>
                <c:pt idx="7384">
                  <c:v>-26.16</c:v>
                </c:pt>
                <c:pt idx="7385">
                  <c:v>-26.15</c:v>
                </c:pt>
                <c:pt idx="7386">
                  <c:v>-26.14</c:v>
                </c:pt>
                <c:pt idx="7387">
                  <c:v>-26.13</c:v>
                </c:pt>
                <c:pt idx="7388">
                  <c:v>-26.12</c:v>
                </c:pt>
                <c:pt idx="7389">
                  <c:v>-26.11</c:v>
                </c:pt>
                <c:pt idx="7390">
                  <c:v>-26.1</c:v>
                </c:pt>
                <c:pt idx="7391">
                  <c:v>-26.09</c:v>
                </c:pt>
                <c:pt idx="7392">
                  <c:v>-26.08</c:v>
                </c:pt>
                <c:pt idx="7393">
                  <c:v>-26.07</c:v>
                </c:pt>
                <c:pt idx="7394">
                  <c:v>-26.06</c:v>
                </c:pt>
                <c:pt idx="7395">
                  <c:v>-26.05</c:v>
                </c:pt>
                <c:pt idx="7396">
                  <c:v>-26.04</c:v>
                </c:pt>
                <c:pt idx="7397">
                  <c:v>-26.03</c:v>
                </c:pt>
                <c:pt idx="7398">
                  <c:v>-26.02</c:v>
                </c:pt>
                <c:pt idx="7399">
                  <c:v>-26.01</c:v>
                </c:pt>
                <c:pt idx="7400">
                  <c:v>-26.0</c:v>
                </c:pt>
                <c:pt idx="7401">
                  <c:v>-25.99</c:v>
                </c:pt>
                <c:pt idx="7402">
                  <c:v>-25.98</c:v>
                </c:pt>
                <c:pt idx="7403">
                  <c:v>-25.97</c:v>
                </c:pt>
                <c:pt idx="7404">
                  <c:v>-25.96</c:v>
                </c:pt>
                <c:pt idx="7405">
                  <c:v>-25.95</c:v>
                </c:pt>
                <c:pt idx="7406">
                  <c:v>-25.94</c:v>
                </c:pt>
                <c:pt idx="7407">
                  <c:v>-25.93</c:v>
                </c:pt>
                <c:pt idx="7408">
                  <c:v>-25.92</c:v>
                </c:pt>
                <c:pt idx="7409">
                  <c:v>-25.91</c:v>
                </c:pt>
                <c:pt idx="7410">
                  <c:v>-25.9</c:v>
                </c:pt>
                <c:pt idx="7411">
                  <c:v>-25.89</c:v>
                </c:pt>
                <c:pt idx="7412">
                  <c:v>-25.88</c:v>
                </c:pt>
                <c:pt idx="7413">
                  <c:v>-25.87</c:v>
                </c:pt>
                <c:pt idx="7414">
                  <c:v>-25.86</c:v>
                </c:pt>
                <c:pt idx="7415">
                  <c:v>-25.85</c:v>
                </c:pt>
                <c:pt idx="7416">
                  <c:v>-25.84</c:v>
                </c:pt>
                <c:pt idx="7417">
                  <c:v>-25.83</c:v>
                </c:pt>
                <c:pt idx="7418">
                  <c:v>-25.82</c:v>
                </c:pt>
                <c:pt idx="7419">
                  <c:v>-25.81</c:v>
                </c:pt>
                <c:pt idx="7420">
                  <c:v>-25.8</c:v>
                </c:pt>
                <c:pt idx="7421">
                  <c:v>-25.79</c:v>
                </c:pt>
                <c:pt idx="7422">
                  <c:v>-25.78</c:v>
                </c:pt>
                <c:pt idx="7423">
                  <c:v>-25.77</c:v>
                </c:pt>
                <c:pt idx="7424">
                  <c:v>-25.76</c:v>
                </c:pt>
                <c:pt idx="7425">
                  <c:v>-25.75</c:v>
                </c:pt>
                <c:pt idx="7426">
                  <c:v>-25.74</c:v>
                </c:pt>
                <c:pt idx="7427">
                  <c:v>-25.73</c:v>
                </c:pt>
                <c:pt idx="7428">
                  <c:v>-25.72</c:v>
                </c:pt>
                <c:pt idx="7429">
                  <c:v>-25.71</c:v>
                </c:pt>
                <c:pt idx="7430">
                  <c:v>-25.7</c:v>
                </c:pt>
                <c:pt idx="7431">
                  <c:v>-25.69</c:v>
                </c:pt>
                <c:pt idx="7432">
                  <c:v>-25.68</c:v>
                </c:pt>
                <c:pt idx="7433">
                  <c:v>-25.67</c:v>
                </c:pt>
                <c:pt idx="7434">
                  <c:v>-25.66</c:v>
                </c:pt>
                <c:pt idx="7435">
                  <c:v>-25.65</c:v>
                </c:pt>
                <c:pt idx="7436">
                  <c:v>-25.64</c:v>
                </c:pt>
                <c:pt idx="7437">
                  <c:v>-25.63</c:v>
                </c:pt>
                <c:pt idx="7438">
                  <c:v>-25.62</c:v>
                </c:pt>
                <c:pt idx="7439">
                  <c:v>-25.61</c:v>
                </c:pt>
                <c:pt idx="7440">
                  <c:v>-25.6</c:v>
                </c:pt>
                <c:pt idx="7441">
                  <c:v>-25.59</c:v>
                </c:pt>
                <c:pt idx="7442">
                  <c:v>-25.58</c:v>
                </c:pt>
                <c:pt idx="7443">
                  <c:v>-25.57</c:v>
                </c:pt>
                <c:pt idx="7444">
                  <c:v>-25.56</c:v>
                </c:pt>
                <c:pt idx="7445">
                  <c:v>-25.55</c:v>
                </c:pt>
                <c:pt idx="7446">
                  <c:v>-25.54</c:v>
                </c:pt>
                <c:pt idx="7447">
                  <c:v>-25.53</c:v>
                </c:pt>
                <c:pt idx="7448">
                  <c:v>-25.52</c:v>
                </c:pt>
                <c:pt idx="7449">
                  <c:v>-25.51</c:v>
                </c:pt>
                <c:pt idx="7450">
                  <c:v>-25.5</c:v>
                </c:pt>
                <c:pt idx="7451">
                  <c:v>-25.49</c:v>
                </c:pt>
                <c:pt idx="7452">
                  <c:v>-25.48</c:v>
                </c:pt>
                <c:pt idx="7453">
                  <c:v>-25.47</c:v>
                </c:pt>
                <c:pt idx="7454">
                  <c:v>-25.46</c:v>
                </c:pt>
                <c:pt idx="7455">
                  <c:v>-25.45</c:v>
                </c:pt>
                <c:pt idx="7456">
                  <c:v>-25.44</c:v>
                </c:pt>
                <c:pt idx="7457">
                  <c:v>-25.43</c:v>
                </c:pt>
                <c:pt idx="7458">
                  <c:v>-25.42</c:v>
                </c:pt>
                <c:pt idx="7459">
                  <c:v>-25.41</c:v>
                </c:pt>
                <c:pt idx="7460">
                  <c:v>-25.4</c:v>
                </c:pt>
                <c:pt idx="7461">
                  <c:v>-25.39</c:v>
                </c:pt>
                <c:pt idx="7462">
                  <c:v>-25.38</c:v>
                </c:pt>
                <c:pt idx="7463">
                  <c:v>-25.37</c:v>
                </c:pt>
                <c:pt idx="7464">
                  <c:v>-25.36</c:v>
                </c:pt>
                <c:pt idx="7465">
                  <c:v>-25.35</c:v>
                </c:pt>
                <c:pt idx="7466">
                  <c:v>-25.34</c:v>
                </c:pt>
                <c:pt idx="7467">
                  <c:v>-25.33</c:v>
                </c:pt>
                <c:pt idx="7468">
                  <c:v>-25.32</c:v>
                </c:pt>
                <c:pt idx="7469">
                  <c:v>-25.31</c:v>
                </c:pt>
                <c:pt idx="7470">
                  <c:v>-25.3</c:v>
                </c:pt>
                <c:pt idx="7471">
                  <c:v>-25.29</c:v>
                </c:pt>
                <c:pt idx="7472">
                  <c:v>-25.28</c:v>
                </c:pt>
                <c:pt idx="7473">
                  <c:v>-25.27</c:v>
                </c:pt>
                <c:pt idx="7474">
                  <c:v>-25.26</c:v>
                </c:pt>
                <c:pt idx="7475">
                  <c:v>-25.25</c:v>
                </c:pt>
                <c:pt idx="7476">
                  <c:v>-25.24</c:v>
                </c:pt>
                <c:pt idx="7477">
                  <c:v>-25.23</c:v>
                </c:pt>
                <c:pt idx="7478">
                  <c:v>-25.22</c:v>
                </c:pt>
                <c:pt idx="7479">
                  <c:v>-25.21</c:v>
                </c:pt>
                <c:pt idx="7480">
                  <c:v>-25.2</c:v>
                </c:pt>
                <c:pt idx="7481">
                  <c:v>-25.19</c:v>
                </c:pt>
                <c:pt idx="7482">
                  <c:v>-25.18</c:v>
                </c:pt>
                <c:pt idx="7483">
                  <c:v>-25.17</c:v>
                </c:pt>
                <c:pt idx="7484">
                  <c:v>-25.16</c:v>
                </c:pt>
                <c:pt idx="7485">
                  <c:v>-25.15</c:v>
                </c:pt>
                <c:pt idx="7486">
                  <c:v>-25.14</c:v>
                </c:pt>
                <c:pt idx="7487">
                  <c:v>-25.13</c:v>
                </c:pt>
                <c:pt idx="7488">
                  <c:v>-25.12</c:v>
                </c:pt>
                <c:pt idx="7489">
                  <c:v>-25.11</c:v>
                </c:pt>
                <c:pt idx="7490">
                  <c:v>-25.1</c:v>
                </c:pt>
                <c:pt idx="7491">
                  <c:v>-25.09</c:v>
                </c:pt>
                <c:pt idx="7492">
                  <c:v>-25.08</c:v>
                </c:pt>
                <c:pt idx="7493">
                  <c:v>-25.07</c:v>
                </c:pt>
                <c:pt idx="7494">
                  <c:v>-25.06</c:v>
                </c:pt>
                <c:pt idx="7495">
                  <c:v>-25.05</c:v>
                </c:pt>
                <c:pt idx="7496">
                  <c:v>-25.04</c:v>
                </c:pt>
                <c:pt idx="7497">
                  <c:v>-25.03</c:v>
                </c:pt>
                <c:pt idx="7498">
                  <c:v>-25.02</c:v>
                </c:pt>
                <c:pt idx="7499">
                  <c:v>-25.01</c:v>
                </c:pt>
                <c:pt idx="7500">
                  <c:v>-25.0</c:v>
                </c:pt>
                <c:pt idx="7501">
                  <c:v>-24.99</c:v>
                </c:pt>
                <c:pt idx="7502">
                  <c:v>-24.98</c:v>
                </c:pt>
                <c:pt idx="7503">
                  <c:v>-24.97</c:v>
                </c:pt>
                <c:pt idx="7504">
                  <c:v>-24.96</c:v>
                </c:pt>
                <c:pt idx="7505">
                  <c:v>-24.95</c:v>
                </c:pt>
                <c:pt idx="7506">
                  <c:v>-24.94</c:v>
                </c:pt>
                <c:pt idx="7507">
                  <c:v>-24.93</c:v>
                </c:pt>
                <c:pt idx="7508">
                  <c:v>-24.92</c:v>
                </c:pt>
                <c:pt idx="7509">
                  <c:v>-24.91</c:v>
                </c:pt>
                <c:pt idx="7510">
                  <c:v>-24.9</c:v>
                </c:pt>
                <c:pt idx="7511">
                  <c:v>-24.89</c:v>
                </c:pt>
                <c:pt idx="7512">
                  <c:v>-24.88</c:v>
                </c:pt>
                <c:pt idx="7513">
                  <c:v>-24.87</c:v>
                </c:pt>
                <c:pt idx="7514">
                  <c:v>-24.86</c:v>
                </c:pt>
                <c:pt idx="7515">
                  <c:v>-24.85</c:v>
                </c:pt>
                <c:pt idx="7516">
                  <c:v>-24.84</c:v>
                </c:pt>
                <c:pt idx="7517">
                  <c:v>-24.83</c:v>
                </c:pt>
                <c:pt idx="7518">
                  <c:v>-24.82</c:v>
                </c:pt>
                <c:pt idx="7519">
                  <c:v>-24.81</c:v>
                </c:pt>
                <c:pt idx="7520">
                  <c:v>-24.8</c:v>
                </c:pt>
                <c:pt idx="7521">
                  <c:v>-24.79</c:v>
                </c:pt>
                <c:pt idx="7522">
                  <c:v>-24.78</c:v>
                </c:pt>
                <c:pt idx="7523">
                  <c:v>-24.77</c:v>
                </c:pt>
                <c:pt idx="7524">
                  <c:v>-24.76</c:v>
                </c:pt>
                <c:pt idx="7525">
                  <c:v>-24.75</c:v>
                </c:pt>
                <c:pt idx="7526">
                  <c:v>-24.74</c:v>
                </c:pt>
                <c:pt idx="7527">
                  <c:v>-24.73</c:v>
                </c:pt>
                <c:pt idx="7528">
                  <c:v>-24.72</c:v>
                </c:pt>
                <c:pt idx="7529">
                  <c:v>-24.71</c:v>
                </c:pt>
                <c:pt idx="7530">
                  <c:v>-24.7</c:v>
                </c:pt>
                <c:pt idx="7531">
                  <c:v>-24.69</c:v>
                </c:pt>
                <c:pt idx="7532">
                  <c:v>-24.68</c:v>
                </c:pt>
                <c:pt idx="7533">
                  <c:v>-24.67</c:v>
                </c:pt>
                <c:pt idx="7534">
                  <c:v>-24.66</c:v>
                </c:pt>
                <c:pt idx="7535">
                  <c:v>-24.65</c:v>
                </c:pt>
                <c:pt idx="7536">
                  <c:v>-24.64</c:v>
                </c:pt>
                <c:pt idx="7537">
                  <c:v>-24.63</c:v>
                </c:pt>
                <c:pt idx="7538">
                  <c:v>-24.62</c:v>
                </c:pt>
                <c:pt idx="7539">
                  <c:v>-24.61</c:v>
                </c:pt>
                <c:pt idx="7540">
                  <c:v>-24.6</c:v>
                </c:pt>
                <c:pt idx="7541">
                  <c:v>-24.59</c:v>
                </c:pt>
                <c:pt idx="7542">
                  <c:v>-24.58</c:v>
                </c:pt>
                <c:pt idx="7543">
                  <c:v>-24.57</c:v>
                </c:pt>
                <c:pt idx="7544">
                  <c:v>-24.56</c:v>
                </c:pt>
                <c:pt idx="7545">
                  <c:v>-24.55</c:v>
                </c:pt>
                <c:pt idx="7546">
                  <c:v>-24.54</c:v>
                </c:pt>
                <c:pt idx="7547">
                  <c:v>-24.53</c:v>
                </c:pt>
                <c:pt idx="7548">
                  <c:v>-24.52</c:v>
                </c:pt>
                <c:pt idx="7549">
                  <c:v>-24.51</c:v>
                </c:pt>
                <c:pt idx="7550">
                  <c:v>-24.5</c:v>
                </c:pt>
                <c:pt idx="7551">
                  <c:v>-24.49</c:v>
                </c:pt>
                <c:pt idx="7552">
                  <c:v>-24.48</c:v>
                </c:pt>
                <c:pt idx="7553">
                  <c:v>-24.47</c:v>
                </c:pt>
                <c:pt idx="7554">
                  <c:v>-24.46</c:v>
                </c:pt>
                <c:pt idx="7555">
                  <c:v>-24.45</c:v>
                </c:pt>
                <c:pt idx="7556">
                  <c:v>-24.44</c:v>
                </c:pt>
                <c:pt idx="7557">
                  <c:v>-24.43</c:v>
                </c:pt>
                <c:pt idx="7558">
                  <c:v>-24.42</c:v>
                </c:pt>
                <c:pt idx="7559">
                  <c:v>-24.41</c:v>
                </c:pt>
                <c:pt idx="7560">
                  <c:v>-24.4</c:v>
                </c:pt>
                <c:pt idx="7561">
                  <c:v>-24.39</c:v>
                </c:pt>
                <c:pt idx="7562">
                  <c:v>-24.38</c:v>
                </c:pt>
                <c:pt idx="7563">
                  <c:v>-24.37</c:v>
                </c:pt>
                <c:pt idx="7564">
                  <c:v>-24.36</c:v>
                </c:pt>
                <c:pt idx="7565">
                  <c:v>-24.35</c:v>
                </c:pt>
                <c:pt idx="7566">
                  <c:v>-24.34</c:v>
                </c:pt>
                <c:pt idx="7567">
                  <c:v>-24.33</c:v>
                </c:pt>
                <c:pt idx="7568">
                  <c:v>-24.32</c:v>
                </c:pt>
                <c:pt idx="7569">
                  <c:v>-24.31</c:v>
                </c:pt>
                <c:pt idx="7570">
                  <c:v>-24.3</c:v>
                </c:pt>
                <c:pt idx="7571">
                  <c:v>-24.29</c:v>
                </c:pt>
                <c:pt idx="7572">
                  <c:v>-24.28</c:v>
                </c:pt>
                <c:pt idx="7573">
                  <c:v>-24.27</c:v>
                </c:pt>
                <c:pt idx="7574">
                  <c:v>-24.26</c:v>
                </c:pt>
                <c:pt idx="7575">
                  <c:v>-24.25</c:v>
                </c:pt>
                <c:pt idx="7576">
                  <c:v>-24.24</c:v>
                </c:pt>
                <c:pt idx="7577">
                  <c:v>-24.23</c:v>
                </c:pt>
                <c:pt idx="7578">
                  <c:v>-24.22</c:v>
                </c:pt>
                <c:pt idx="7579">
                  <c:v>-24.21</c:v>
                </c:pt>
                <c:pt idx="7580">
                  <c:v>-24.2</c:v>
                </c:pt>
                <c:pt idx="7581">
                  <c:v>-24.19</c:v>
                </c:pt>
                <c:pt idx="7582">
                  <c:v>-24.18</c:v>
                </c:pt>
                <c:pt idx="7583">
                  <c:v>-24.17</c:v>
                </c:pt>
                <c:pt idx="7584">
                  <c:v>-24.16</c:v>
                </c:pt>
                <c:pt idx="7585">
                  <c:v>-24.15</c:v>
                </c:pt>
                <c:pt idx="7586">
                  <c:v>-24.14</c:v>
                </c:pt>
                <c:pt idx="7587">
                  <c:v>-24.13</c:v>
                </c:pt>
                <c:pt idx="7588">
                  <c:v>-24.12</c:v>
                </c:pt>
                <c:pt idx="7589">
                  <c:v>-24.11</c:v>
                </c:pt>
                <c:pt idx="7590">
                  <c:v>-24.1</c:v>
                </c:pt>
                <c:pt idx="7591">
                  <c:v>-24.09</c:v>
                </c:pt>
                <c:pt idx="7592">
                  <c:v>-24.08</c:v>
                </c:pt>
                <c:pt idx="7593">
                  <c:v>-24.07</c:v>
                </c:pt>
                <c:pt idx="7594">
                  <c:v>-24.06</c:v>
                </c:pt>
                <c:pt idx="7595">
                  <c:v>-24.05</c:v>
                </c:pt>
                <c:pt idx="7596">
                  <c:v>-24.04</c:v>
                </c:pt>
                <c:pt idx="7597">
                  <c:v>-24.03</c:v>
                </c:pt>
                <c:pt idx="7598">
                  <c:v>-24.02</c:v>
                </c:pt>
                <c:pt idx="7599">
                  <c:v>-24.01</c:v>
                </c:pt>
                <c:pt idx="7600">
                  <c:v>-24.0</c:v>
                </c:pt>
                <c:pt idx="7601">
                  <c:v>-23.99</c:v>
                </c:pt>
                <c:pt idx="7602">
                  <c:v>-23.98</c:v>
                </c:pt>
                <c:pt idx="7603">
                  <c:v>-23.97</c:v>
                </c:pt>
                <c:pt idx="7604">
                  <c:v>-23.96</c:v>
                </c:pt>
                <c:pt idx="7605">
                  <c:v>-23.95</c:v>
                </c:pt>
                <c:pt idx="7606">
                  <c:v>-23.94</c:v>
                </c:pt>
                <c:pt idx="7607">
                  <c:v>-23.93</c:v>
                </c:pt>
                <c:pt idx="7608">
                  <c:v>-23.92</c:v>
                </c:pt>
                <c:pt idx="7609">
                  <c:v>-23.91</c:v>
                </c:pt>
                <c:pt idx="7610">
                  <c:v>-23.9</c:v>
                </c:pt>
                <c:pt idx="7611">
                  <c:v>-23.89</c:v>
                </c:pt>
                <c:pt idx="7612">
                  <c:v>-23.88</c:v>
                </c:pt>
                <c:pt idx="7613">
                  <c:v>-23.87</c:v>
                </c:pt>
                <c:pt idx="7614">
                  <c:v>-23.86</c:v>
                </c:pt>
                <c:pt idx="7615">
                  <c:v>-23.85</c:v>
                </c:pt>
                <c:pt idx="7616">
                  <c:v>-23.84</c:v>
                </c:pt>
                <c:pt idx="7617">
                  <c:v>-23.83</c:v>
                </c:pt>
                <c:pt idx="7618">
                  <c:v>-23.82</c:v>
                </c:pt>
                <c:pt idx="7619">
                  <c:v>-23.81</c:v>
                </c:pt>
                <c:pt idx="7620">
                  <c:v>-23.8</c:v>
                </c:pt>
                <c:pt idx="7621">
                  <c:v>-23.79</c:v>
                </c:pt>
                <c:pt idx="7622">
                  <c:v>-23.78</c:v>
                </c:pt>
                <c:pt idx="7623">
                  <c:v>-23.77</c:v>
                </c:pt>
                <c:pt idx="7624">
                  <c:v>-23.76</c:v>
                </c:pt>
                <c:pt idx="7625">
                  <c:v>-23.75</c:v>
                </c:pt>
                <c:pt idx="7626">
                  <c:v>-23.74</c:v>
                </c:pt>
                <c:pt idx="7627">
                  <c:v>-23.73</c:v>
                </c:pt>
                <c:pt idx="7628">
                  <c:v>-23.72</c:v>
                </c:pt>
                <c:pt idx="7629">
                  <c:v>-23.71</c:v>
                </c:pt>
                <c:pt idx="7630">
                  <c:v>-23.7</c:v>
                </c:pt>
                <c:pt idx="7631">
                  <c:v>-23.69</c:v>
                </c:pt>
                <c:pt idx="7632">
                  <c:v>-23.68</c:v>
                </c:pt>
                <c:pt idx="7633">
                  <c:v>-23.67</c:v>
                </c:pt>
                <c:pt idx="7634">
                  <c:v>-23.66</c:v>
                </c:pt>
                <c:pt idx="7635">
                  <c:v>-23.65</c:v>
                </c:pt>
                <c:pt idx="7636">
                  <c:v>-23.64</c:v>
                </c:pt>
                <c:pt idx="7637">
                  <c:v>-23.63</c:v>
                </c:pt>
                <c:pt idx="7638">
                  <c:v>-23.62</c:v>
                </c:pt>
                <c:pt idx="7639">
                  <c:v>-23.61</c:v>
                </c:pt>
                <c:pt idx="7640">
                  <c:v>-23.6</c:v>
                </c:pt>
                <c:pt idx="7641">
                  <c:v>-23.59</c:v>
                </c:pt>
                <c:pt idx="7642">
                  <c:v>-23.58</c:v>
                </c:pt>
                <c:pt idx="7643">
                  <c:v>-23.57</c:v>
                </c:pt>
                <c:pt idx="7644">
                  <c:v>-23.56</c:v>
                </c:pt>
                <c:pt idx="7645">
                  <c:v>-23.55</c:v>
                </c:pt>
                <c:pt idx="7646">
                  <c:v>-23.54</c:v>
                </c:pt>
                <c:pt idx="7647">
                  <c:v>-23.53</c:v>
                </c:pt>
                <c:pt idx="7648">
                  <c:v>-23.52</c:v>
                </c:pt>
                <c:pt idx="7649">
                  <c:v>-23.51</c:v>
                </c:pt>
                <c:pt idx="7650">
                  <c:v>-23.5</c:v>
                </c:pt>
                <c:pt idx="7651">
                  <c:v>-23.49</c:v>
                </c:pt>
                <c:pt idx="7652">
                  <c:v>-23.48</c:v>
                </c:pt>
                <c:pt idx="7653">
                  <c:v>-23.47</c:v>
                </c:pt>
                <c:pt idx="7654">
                  <c:v>-23.46</c:v>
                </c:pt>
                <c:pt idx="7655">
                  <c:v>-23.45</c:v>
                </c:pt>
                <c:pt idx="7656">
                  <c:v>-23.44</c:v>
                </c:pt>
                <c:pt idx="7657">
                  <c:v>-23.43</c:v>
                </c:pt>
                <c:pt idx="7658">
                  <c:v>-23.42</c:v>
                </c:pt>
                <c:pt idx="7659">
                  <c:v>-23.41</c:v>
                </c:pt>
                <c:pt idx="7660">
                  <c:v>-23.4</c:v>
                </c:pt>
                <c:pt idx="7661">
                  <c:v>-23.39</c:v>
                </c:pt>
                <c:pt idx="7662">
                  <c:v>-23.38</c:v>
                </c:pt>
                <c:pt idx="7663">
                  <c:v>-23.37</c:v>
                </c:pt>
                <c:pt idx="7664">
                  <c:v>-23.36</c:v>
                </c:pt>
                <c:pt idx="7665">
                  <c:v>-23.35</c:v>
                </c:pt>
                <c:pt idx="7666">
                  <c:v>-23.34</c:v>
                </c:pt>
                <c:pt idx="7667">
                  <c:v>-23.33</c:v>
                </c:pt>
                <c:pt idx="7668">
                  <c:v>-23.32</c:v>
                </c:pt>
                <c:pt idx="7669">
                  <c:v>-23.31</c:v>
                </c:pt>
                <c:pt idx="7670">
                  <c:v>-23.3</c:v>
                </c:pt>
                <c:pt idx="7671">
                  <c:v>-23.29</c:v>
                </c:pt>
                <c:pt idx="7672">
                  <c:v>-23.28</c:v>
                </c:pt>
                <c:pt idx="7673">
                  <c:v>-23.27</c:v>
                </c:pt>
                <c:pt idx="7674">
                  <c:v>-23.26</c:v>
                </c:pt>
                <c:pt idx="7675">
                  <c:v>-23.25</c:v>
                </c:pt>
                <c:pt idx="7676">
                  <c:v>-23.24</c:v>
                </c:pt>
                <c:pt idx="7677">
                  <c:v>-23.23</c:v>
                </c:pt>
                <c:pt idx="7678">
                  <c:v>-23.22</c:v>
                </c:pt>
                <c:pt idx="7679">
                  <c:v>-23.21</c:v>
                </c:pt>
                <c:pt idx="7680">
                  <c:v>-23.2</c:v>
                </c:pt>
                <c:pt idx="7681">
                  <c:v>-23.19</c:v>
                </c:pt>
                <c:pt idx="7682">
                  <c:v>-23.18</c:v>
                </c:pt>
                <c:pt idx="7683">
                  <c:v>-23.17</c:v>
                </c:pt>
                <c:pt idx="7684">
                  <c:v>-23.16</c:v>
                </c:pt>
                <c:pt idx="7685">
                  <c:v>-23.15</c:v>
                </c:pt>
                <c:pt idx="7686">
                  <c:v>-23.14</c:v>
                </c:pt>
                <c:pt idx="7687">
                  <c:v>-23.13</c:v>
                </c:pt>
                <c:pt idx="7688">
                  <c:v>-23.12</c:v>
                </c:pt>
                <c:pt idx="7689">
                  <c:v>-23.11</c:v>
                </c:pt>
                <c:pt idx="7690">
                  <c:v>-23.1</c:v>
                </c:pt>
                <c:pt idx="7691">
                  <c:v>-23.09</c:v>
                </c:pt>
                <c:pt idx="7692">
                  <c:v>-23.08</c:v>
                </c:pt>
                <c:pt idx="7693">
                  <c:v>-23.07</c:v>
                </c:pt>
                <c:pt idx="7694">
                  <c:v>-23.06</c:v>
                </c:pt>
                <c:pt idx="7695">
                  <c:v>-23.05</c:v>
                </c:pt>
                <c:pt idx="7696">
                  <c:v>-23.04</c:v>
                </c:pt>
                <c:pt idx="7697">
                  <c:v>-23.03</c:v>
                </c:pt>
                <c:pt idx="7698">
                  <c:v>-23.02</c:v>
                </c:pt>
                <c:pt idx="7699">
                  <c:v>-23.01</c:v>
                </c:pt>
                <c:pt idx="7700">
                  <c:v>-23.0</c:v>
                </c:pt>
                <c:pt idx="7701">
                  <c:v>-22.99</c:v>
                </c:pt>
                <c:pt idx="7702">
                  <c:v>-22.98</c:v>
                </c:pt>
                <c:pt idx="7703">
                  <c:v>-22.97</c:v>
                </c:pt>
                <c:pt idx="7704">
                  <c:v>-22.96</c:v>
                </c:pt>
                <c:pt idx="7705">
                  <c:v>-22.95</c:v>
                </c:pt>
                <c:pt idx="7706">
                  <c:v>-22.94</c:v>
                </c:pt>
                <c:pt idx="7707">
                  <c:v>-22.93</c:v>
                </c:pt>
                <c:pt idx="7708">
                  <c:v>-22.92</c:v>
                </c:pt>
                <c:pt idx="7709">
                  <c:v>-22.91</c:v>
                </c:pt>
                <c:pt idx="7710">
                  <c:v>-22.9</c:v>
                </c:pt>
                <c:pt idx="7711">
                  <c:v>-22.89</c:v>
                </c:pt>
                <c:pt idx="7712">
                  <c:v>-22.88</c:v>
                </c:pt>
                <c:pt idx="7713">
                  <c:v>-22.87</c:v>
                </c:pt>
                <c:pt idx="7714">
                  <c:v>-22.86</c:v>
                </c:pt>
                <c:pt idx="7715">
                  <c:v>-22.85</c:v>
                </c:pt>
                <c:pt idx="7716">
                  <c:v>-22.84</c:v>
                </c:pt>
                <c:pt idx="7717">
                  <c:v>-22.83</c:v>
                </c:pt>
                <c:pt idx="7718">
                  <c:v>-22.82</c:v>
                </c:pt>
                <c:pt idx="7719">
                  <c:v>-22.81</c:v>
                </c:pt>
                <c:pt idx="7720">
                  <c:v>-22.8</c:v>
                </c:pt>
                <c:pt idx="7721">
                  <c:v>-22.79</c:v>
                </c:pt>
                <c:pt idx="7722">
                  <c:v>-22.78</c:v>
                </c:pt>
                <c:pt idx="7723">
                  <c:v>-22.77</c:v>
                </c:pt>
                <c:pt idx="7724">
                  <c:v>-22.76</c:v>
                </c:pt>
                <c:pt idx="7725">
                  <c:v>-22.75</c:v>
                </c:pt>
                <c:pt idx="7726">
                  <c:v>-22.74</c:v>
                </c:pt>
                <c:pt idx="7727">
                  <c:v>-22.73</c:v>
                </c:pt>
                <c:pt idx="7728">
                  <c:v>-22.72</c:v>
                </c:pt>
                <c:pt idx="7729">
                  <c:v>-22.71</c:v>
                </c:pt>
                <c:pt idx="7730">
                  <c:v>-22.7</c:v>
                </c:pt>
                <c:pt idx="7731">
                  <c:v>-22.69</c:v>
                </c:pt>
                <c:pt idx="7732">
                  <c:v>-22.68</c:v>
                </c:pt>
                <c:pt idx="7733">
                  <c:v>-22.67</c:v>
                </c:pt>
                <c:pt idx="7734">
                  <c:v>-22.66</c:v>
                </c:pt>
                <c:pt idx="7735">
                  <c:v>-22.65</c:v>
                </c:pt>
                <c:pt idx="7736">
                  <c:v>-22.64</c:v>
                </c:pt>
                <c:pt idx="7737">
                  <c:v>-22.63</c:v>
                </c:pt>
                <c:pt idx="7738">
                  <c:v>-22.62</c:v>
                </c:pt>
                <c:pt idx="7739">
                  <c:v>-22.61</c:v>
                </c:pt>
                <c:pt idx="7740">
                  <c:v>-22.6</c:v>
                </c:pt>
                <c:pt idx="7741">
                  <c:v>-22.59</c:v>
                </c:pt>
                <c:pt idx="7742">
                  <c:v>-22.58</c:v>
                </c:pt>
                <c:pt idx="7743">
                  <c:v>-22.57</c:v>
                </c:pt>
                <c:pt idx="7744">
                  <c:v>-22.56</c:v>
                </c:pt>
                <c:pt idx="7745">
                  <c:v>-22.55</c:v>
                </c:pt>
                <c:pt idx="7746">
                  <c:v>-22.54</c:v>
                </c:pt>
                <c:pt idx="7747">
                  <c:v>-22.53</c:v>
                </c:pt>
                <c:pt idx="7748">
                  <c:v>-22.52</c:v>
                </c:pt>
                <c:pt idx="7749">
                  <c:v>-22.51</c:v>
                </c:pt>
                <c:pt idx="7750">
                  <c:v>-22.5</c:v>
                </c:pt>
                <c:pt idx="7751">
                  <c:v>-22.49</c:v>
                </c:pt>
                <c:pt idx="7752">
                  <c:v>-22.48</c:v>
                </c:pt>
                <c:pt idx="7753">
                  <c:v>-22.47</c:v>
                </c:pt>
                <c:pt idx="7754">
                  <c:v>-22.46</c:v>
                </c:pt>
                <c:pt idx="7755">
                  <c:v>-22.45</c:v>
                </c:pt>
                <c:pt idx="7756">
                  <c:v>-22.44</c:v>
                </c:pt>
                <c:pt idx="7757">
                  <c:v>-22.43</c:v>
                </c:pt>
                <c:pt idx="7758">
                  <c:v>-22.42</c:v>
                </c:pt>
                <c:pt idx="7759">
                  <c:v>-22.41</c:v>
                </c:pt>
                <c:pt idx="7760">
                  <c:v>-22.4</c:v>
                </c:pt>
                <c:pt idx="7761">
                  <c:v>-22.39</c:v>
                </c:pt>
                <c:pt idx="7762">
                  <c:v>-22.38</c:v>
                </c:pt>
                <c:pt idx="7763">
                  <c:v>-22.37</c:v>
                </c:pt>
                <c:pt idx="7764">
                  <c:v>-22.36</c:v>
                </c:pt>
                <c:pt idx="7765">
                  <c:v>-22.35</c:v>
                </c:pt>
                <c:pt idx="7766">
                  <c:v>-22.34</c:v>
                </c:pt>
                <c:pt idx="7767">
                  <c:v>-22.33</c:v>
                </c:pt>
                <c:pt idx="7768">
                  <c:v>-22.32</c:v>
                </c:pt>
                <c:pt idx="7769">
                  <c:v>-22.31</c:v>
                </c:pt>
                <c:pt idx="7770">
                  <c:v>-22.3</c:v>
                </c:pt>
                <c:pt idx="7771">
                  <c:v>-22.29</c:v>
                </c:pt>
                <c:pt idx="7772">
                  <c:v>-22.28</c:v>
                </c:pt>
                <c:pt idx="7773">
                  <c:v>-22.27</c:v>
                </c:pt>
                <c:pt idx="7774">
                  <c:v>-22.26</c:v>
                </c:pt>
                <c:pt idx="7775">
                  <c:v>-22.25</c:v>
                </c:pt>
                <c:pt idx="7776">
                  <c:v>-22.24</c:v>
                </c:pt>
                <c:pt idx="7777">
                  <c:v>-22.23</c:v>
                </c:pt>
                <c:pt idx="7778">
                  <c:v>-22.22</c:v>
                </c:pt>
                <c:pt idx="7779">
                  <c:v>-22.21</c:v>
                </c:pt>
                <c:pt idx="7780">
                  <c:v>-22.2</c:v>
                </c:pt>
                <c:pt idx="7781">
                  <c:v>-22.19</c:v>
                </c:pt>
                <c:pt idx="7782">
                  <c:v>-22.18</c:v>
                </c:pt>
                <c:pt idx="7783">
                  <c:v>-22.17</c:v>
                </c:pt>
                <c:pt idx="7784">
                  <c:v>-22.16</c:v>
                </c:pt>
                <c:pt idx="7785">
                  <c:v>-22.15</c:v>
                </c:pt>
                <c:pt idx="7786">
                  <c:v>-22.14</c:v>
                </c:pt>
                <c:pt idx="7787">
                  <c:v>-22.13</c:v>
                </c:pt>
                <c:pt idx="7788">
                  <c:v>-22.12</c:v>
                </c:pt>
                <c:pt idx="7789">
                  <c:v>-22.11</c:v>
                </c:pt>
                <c:pt idx="7790">
                  <c:v>-22.1</c:v>
                </c:pt>
                <c:pt idx="7791">
                  <c:v>-22.09</c:v>
                </c:pt>
                <c:pt idx="7792">
                  <c:v>-22.08</c:v>
                </c:pt>
                <c:pt idx="7793">
                  <c:v>-22.07</c:v>
                </c:pt>
                <c:pt idx="7794">
                  <c:v>-22.06</c:v>
                </c:pt>
                <c:pt idx="7795">
                  <c:v>-22.05</c:v>
                </c:pt>
                <c:pt idx="7796">
                  <c:v>-22.04</c:v>
                </c:pt>
                <c:pt idx="7797">
                  <c:v>-22.03</c:v>
                </c:pt>
                <c:pt idx="7798">
                  <c:v>-22.02</c:v>
                </c:pt>
                <c:pt idx="7799">
                  <c:v>-22.01</c:v>
                </c:pt>
                <c:pt idx="7800">
                  <c:v>-22.0</c:v>
                </c:pt>
                <c:pt idx="7801">
                  <c:v>-21.99</c:v>
                </c:pt>
                <c:pt idx="7802">
                  <c:v>-21.98</c:v>
                </c:pt>
                <c:pt idx="7803">
                  <c:v>-21.97</c:v>
                </c:pt>
                <c:pt idx="7804">
                  <c:v>-21.96</c:v>
                </c:pt>
                <c:pt idx="7805">
                  <c:v>-21.95</c:v>
                </c:pt>
                <c:pt idx="7806">
                  <c:v>-21.94</c:v>
                </c:pt>
                <c:pt idx="7807">
                  <c:v>-21.93</c:v>
                </c:pt>
                <c:pt idx="7808">
                  <c:v>-21.92</c:v>
                </c:pt>
                <c:pt idx="7809">
                  <c:v>-21.91</c:v>
                </c:pt>
                <c:pt idx="7810">
                  <c:v>-21.9</c:v>
                </c:pt>
                <c:pt idx="7811">
                  <c:v>-21.89</c:v>
                </c:pt>
                <c:pt idx="7812">
                  <c:v>-21.88</c:v>
                </c:pt>
                <c:pt idx="7813">
                  <c:v>-21.87</c:v>
                </c:pt>
                <c:pt idx="7814">
                  <c:v>-21.86</c:v>
                </c:pt>
                <c:pt idx="7815">
                  <c:v>-21.85</c:v>
                </c:pt>
                <c:pt idx="7816">
                  <c:v>-21.84</c:v>
                </c:pt>
                <c:pt idx="7817">
                  <c:v>-21.83</c:v>
                </c:pt>
                <c:pt idx="7818">
                  <c:v>-21.82</c:v>
                </c:pt>
                <c:pt idx="7819">
                  <c:v>-21.81</c:v>
                </c:pt>
                <c:pt idx="7820">
                  <c:v>-21.8</c:v>
                </c:pt>
                <c:pt idx="7821">
                  <c:v>-21.79</c:v>
                </c:pt>
                <c:pt idx="7822">
                  <c:v>-21.78</c:v>
                </c:pt>
                <c:pt idx="7823">
                  <c:v>-21.77</c:v>
                </c:pt>
                <c:pt idx="7824">
                  <c:v>-21.76</c:v>
                </c:pt>
                <c:pt idx="7825">
                  <c:v>-21.75</c:v>
                </c:pt>
                <c:pt idx="7826">
                  <c:v>-21.74</c:v>
                </c:pt>
                <c:pt idx="7827">
                  <c:v>-21.73</c:v>
                </c:pt>
                <c:pt idx="7828">
                  <c:v>-21.72</c:v>
                </c:pt>
                <c:pt idx="7829">
                  <c:v>-21.71</c:v>
                </c:pt>
                <c:pt idx="7830">
                  <c:v>-21.7</c:v>
                </c:pt>
                <c:pt idx="7831">
                  <c:v>-21.69</c:v>
                </c:pt>
                <c:pt idx="7832">
                  <c:v>-21.68</c:v>
                </c:pt>
                <c:pt idx="7833">
                  <c:v>-21.67</c:v>
                </c:pt>
                <c:pt idx="7834">
                  <c:v>-21.66</c:v>
                </c:pt>
                <c:pt idx="7835">
                  <c:v>-21.65</c:v>
                </c:pt>
                <c:pt idx="7836">
                  <c:v>-21.64</c:v>
                </c:pt>
                <c:pt idx="7837">
                  <c:v>-21.63</c:v>
                </c:pt>
                <c:pt idx="7838">
                  <c:v>-21.62</c:v>
                </c:pt>
                <c:pt idx="7839">
                  <c:v>-21.61</c:v>
                </c:pt>
                <c:pt idx="7840">
                  <c:v>-21.6</c:v>
                </c:pt>
                <c:pt idx="7841">
                  <c:v>-21.59</c:v>
                </c:pt>
                <c:pt idx="7842">
                  <c:v>-21.58</c:v>
                </c:pt>
                <c:pt idx="7843">
                  <c:v>-21.57</c:v>
                </c:pt>
                <c:pt idx="7844">
                  <c:v>-21.56</c:v>
                </c:pt>
                <c:pt idx="7845">
                  <c:v>-21.55</c:v>
                </c:pt>
                <c:pt idx="7846">
                  <c:v>-21.54</c:v>
                </c:pt>
                <c:pt idx="7847">
                  <c:v>-21.53</c:v>
                </c:pt>
                <c:pt idx="7848">
                  <c:v>-21.52</c:v>
                </c:pt>
                <c:pt idx="7849">
                  <c:v>-21.51</c:v>
                </c:pt>
                <c:pt idx="7850">
                  <c:v>-21.5</c:v>
                </c:pt>
                <c:pt idx="7851">
                  <c:v>-21.49</c:v>
                </c:pt>
                <c:pt idx="7852">
                  <c:v>-21.48</c:v>
                </c:pt>
                <c:pt idx="7853">
                  <c:v>-21.47</c:v>
                </c:pt>
                <c:pt idx="7854">
                  <c:v>-21.46</c:v>
                </c:pt>
                <c:pt idx="7855">
                  <c:v>-21.45</c:v>
                </c:pt>
                <c:pt idx="7856">
                  <c:v>-21.44</c:v>
                </c:pt>
                <c:pt idx="7857">
                  <c:v>-21.43</c:v>
                </c:pt>
                <c:pt idx="7858">
                  <c:v>-21.42</c:v>
                </c:pt>
                <c:pt idx="7859">
                  <c:v>-21.41</c:v>
                </c:pt>
                <c:pt idx="7860">
                  <c:v>-21.4</c:v>
                </c:pt>
                <c:pt idx="7861">
                  <c:v>-21.39</c:v>
                </c:pt>
                <c:pt idx="7862">
                  <c:v>-21.38</c:v>
                </c:pt>
                <c:pt idx="7863">
                  <c:v>-21.37</c:v>
                </c:pt>
                <c:pt idx="7864">
                  <c:v>-21.36</c:v>
                </c:pt>
                <c:pt idx="7865">
                  <c:v>-21.35</c:v>
                </c:pt>
                <c:pt idx="7866">
                  <c:v>-21.34</c:v>
                </c:pt>
                <c:pt idx="7867">
                  <c:v>-21.33</c:v>
                </c:pt>
                <c:pt idx="7868">
                  <c:v>-21.32</c:v>
                </c:pt>
                <c:pt idx="7869">
                  <c:v>-21.31</c:v>
                </c:pt>
                <c:pt idx="7870">
                  <c:v>-21.3</c:v>
                </c:pt>
                <c:pt idx="7871">
                  <c:v>-21.29</c:v>
                </c:pt>
                <c:pt idx="7872">
                  <c:v>-21.28</c:v>
                </c:pt>
                <c:pt idx="7873">
                  <c:v>-21.27</c:v>
                </c:pt>
                <c:pt idx="7874">
                  <c:v>-21.26</c:v>
                </c:pt>
                <c:pt idx="7875">
                  <c:v>-21.25</c:v>
                </c:pt>
                <c:pt idx="7876">
                  <c:v>-21.24</c:v>
                </c:pt>
                <c:pt idx="7877">
                  <c:v>-21.23</c:v>
                </c:pt>
                <c:pt idx="7878">
                  <c:v>-21.22</c:v>
                </c:pt>
                <c:pt idx="7879">
                  <c:v>-21.21</c:v>
                </c:pt>
                <c:pt idx="7880">
                  <c:v>-21.2</c:v>
                </c:pt>
                <c:pt idx="7881">
                  <c:v>-21.19</c:v>
                </c:pt>
                <c:pt idx="7882">
                  <c:v>-21.18</c:v>
                </c:pt>
                <c:pt idx="7883">
                  <c:v>-21.17</c:v>
                </c:pt>
                <c:pt idx="7884">
                  <c:v>-21.16</c:v>
                </c:pt>
                <c:pt idx="7885">
                  <c:v>-21.15</c:v>
                </c:pt>
                <c:pt idx="7886">
                  <c:v>-21.14</c:v>
                </c:pt>
                <c:pt idx="7887">
                  <c:v>-21.13</c:v>
                </c:pt>
                <c:pt idx="7888">
                  <c:v>-21.12</c:v>
                </c:pt>
                <c:pt idx="7889">
                  <c:v>-21.11</c:v>
                </c:pt>
                <c:pt idx="7890">
                  <c:v>-21.1</c:v>
                </c:pt>
                <c:pt idx="7891">
                  <c:v>-21.09</c:v>
                </c:pt>
                <c:pt idx="7892">
                  <c:v>-21.08</c:v>
                </c:pt>
                <c:pt idx="7893">
                  <c:v>-21.07</c:v>
                </c:pt>
                <c:pt idx="7894">
                  <c:v>-21.06</c:v>
                </c:pt>
                <c:pt idx="7895">
                  <c:v>-21.05</c:v>
                </c:pt>
                <c:pt idx="7896">
                  <c:v>-21.04</c:v>
                </c:pt>
                <c:pt idx="7897">
                  <c:v>-21.03</c:v>
                </c:pt>
                <c:pt idx="7898">
                  <c:v>-21.02</c:v>
                </c:pt>
                <c:pt idx="7899">
                  <c:v>-21.01</c:v>
                </c:pt>
                <c:pt idx="7900">
                  <c:v>-21.0</c:v>
                </c:pt>
                <c:pt idx="7901">
                  <c:v>-20.99</c:v>
                </c:pt>
                <c:pt idx="7902">
                  <c:v>-20.98</c:v>
                </c:pt>
                <c:pt idx="7903">
                  <c:v>-20.97</c:v>
                </c:pt>
                <c:pt idx="7904">
                  <c:v>-20.96</c:v>
                </c:pt>
                <c:pt idx="7905">
                  <c:v>-20.95</c:v>
                </c:pt>
                <c:pt idx="7906">
                  <c:v>-20.94</c:v>
                </c:pt>
                <c:pt idx="7907">
                  <c:v>-20.93</c:v>
                </c:pt>
                <c:pt idx="7908">
                  <c:v>-20.92</c:v>
                </c:pt>
                <c:pt idx="7909">
                  <c:v>-20.91</c:v>
                </c:pt>
                <c:pt idx="7910">
                  <c:v>-20.9</c:v>
                </c:pt>
                <c:pt idx="7911">
                  <c:v>-20.89</c:v>
                </c:pt>
                <c:pt idx="7912">
                  <c:v>-20.88</c:v>
                </c:pt>
                <c:pt idx="7913">
                  <c:v>-20.87</c:v>
                </c:pt>
                <c:pt idx="7914">
                  <c:v>-20.86</c:v>
                </c:pt>
                <c:pt idx="7915">
                  <c:v>-20.85</c:v>
                </c:pt>
                <c:pt idx="7916">
                  <c:v>-20.84</c:v>
                </c:pt>
                <c:pt idx="7917">
                  <c:v>-20.83</c:v>
                </c:pt>
                <c:pt idx="7918">
                  <c:v>-20.82</c:v>
                </c:pt>
                <c:pt idx="7919">
                  <c:v>-20.81</c:v>
                </c:pt>
                <c:pt idx="7920">
                  <c:v>-20.8</c:v>
                </c:pt>
                <c:pt idx="7921">
                  <c:v>-20.79</c:v>
                </c:pt>
                <c:pt idx="7922">
                  <c:v>-20.78</c:v>
                </c:pt>
                <c:pt idx="7923">
                  <c:v>-20.77</c:v>
                </c:pt>
                <c:pt idx="7924">
                  <c:v>-20.76</c:v>
                </c:pt>
                <c:pt idx="7925">
                  <c:v>-20.75</c:v>
                </c:pt>
                <c:pt idx="7926">
                  <c:v>-20.74</c:v>
                </c:pt>
                <c:pt idx="7927">
                  <c:v>-20.73</c:v>
                </c:pt>
                <c:pt idx="7928">
                  <c:v>-20.72</c:v>
                </c:pt>
                <c:pt idx="7929">
                  <c:v>-20.71</c:v>
                </c:pt>
                <c:pt idx="7930">
                  <c:v>-20.7</c:v>
                </c:pt>
                <c:pt idx="7931">
                  <c:v>-20.69</c:v>
                </c:pt>
                <c:pt idx="7932">
                  <c:v>-20.68</c:v>
                </c:pt>
                <c:pt idx="7933">
                  <c:v>-20.67</c:v>
                </c:pt>
                <c:pt idx="7934">
                  <c:v>-20.66</c:v>
                </c:pt>
                <c:pt idx="7935">
                  <c:v>-20.65</c:v>
                </c:pt>
                <c:pt idx="7936">
                  <c:v>-20.64</c:v>
                </c:pt>
                <c:pt idx="7937">
                  <c:v>-20.63</c:v>
                </c:pt>
                <c:pt idx="7938">
                  <c:v>-20.62</c:v>
                </c:pt>
                <c:pt idx="7939">
                  <c:v>-20.61</c:v>
                </c:pt>
                <c:pt idx="7940">
                  <c:v>-20.6</c:v>
                </c:pt>
                <c:pt idx="7941">
                  <c:v>-20.59</c:v>
                </c:pt>
                <c:pt idx="7942">
                  <c:v>-20.58</c:v>
                </c:pt>
                <c:pt idx="7943">
                  <c:v>-20.57</c:v>
                </c:pt>
                <c:pt idx="7944">
                  <c:v>-20.56</c:v>
                </c:pt>
                <c:pt idx="7945">
                  <c:v>-20.55</c:v>
                </c:pt>
                <c:pt idx="7946">
                  <c:v>-20.54</c:v>
                </c:pt>
                <c:pt idx="7947">
                  <c:v>-20.53</c:v>
                </c:pt>
                <c:pt idx="7948">
                  <c:v>-20.52</c:v>
                </c:pt>
                <c:pt idx="7949">
                  <c:v>-20.51</c:v>
                </c:pt>
                <c:pt idx="7950">
                  <c:v>-20.5</c:v>
                </c:pt>
                <c:pt idx="7951">
                  <c:v>-20.49</c:v>
                </c:pt>
                <c:pt idx="7952">
                  <c:v>-20.48</c:v>
                </c:pt>
                <c:pt idx="7953">
                  <c:v>-20.47</c:v>
                </c:pt>
                <c:pt idx="7954">
                  <c:v>-20.46</c:v>
                </c:pt>
                <c:pt idx="7955">
                  <c:v>-20.45</c:v>
                </c:pt>
                <c:pt idx="7956">
                  <c:v>-20.44</c:v>
                </c:pt>
                <c:pt idx="7957">
                  <c:v>-20.43</c:v>
                </c:pt>
                <c:pt idx="7958">
                  <c:v>-20.42</c:v>
                </c:pt>
                <c:pt idx="7959">
                  <c:v>-20.41</c:v>
                </c:pt>
                <c:pt idx="7960">
                  <c:v>-20.4</c:v>
                </c:pt>
                <c:pt idx="7961">
                  <c:v>-20.39</c:v>
                </c:pt>
                <c:pt idx="7962">
                  <c:v>-20.38</c:v>
                </c:pt>
                <c:pt idx="7963">
                  <c:v>-20.37</c:v>
                </c:pt>
                <c:pt idx="7964">
                  <c:v>-20.36</c:v>
                </c:pt>
                <c:pt idx="7965">
                  <c:v>-20.35</c:v>
                </c:pt>
                <c:pt idx="7966">
                  <c:v>-20.34</c:v>
                </c:pt>
                <c:pt idx="7967">
                  <c:v>-20.33</c:v>
                </c:pt>
                <c:pt idx="7968">
                  <c:v>-20.32</c:v>
                </c:pt>
                <c:pt idx="7969">
                  <c:v>-20.31</c:v>
                </c:pt>
                <c:pt idx="7970">
                  <c:v>-20.3</c:v>
                </c:pt>
                <c:pt idx="7971">
                  <c:v>-20.29</c:v>
                </c:pt>
                <c:pt idx="7972">
                  <c:v>-20.28</c:v>
                </c:pt>
                <c:pt idx="7973">
                  <c:v>-20.27</c:v>
                </c:pt>
                <c:pt idx="7974">
                  <c:v>-20.26</c:v>
                </c:pt>
                <c:pt idx="7975">
                  <c:v>-20.25</c:v>
                </c:pt>
                <c:pt idx="7976">
                  <c:v>-20.24</c:v>
                </c:pt>
                <c:pt idx="7977">
                  <c:v>-20.23</c:v>
                </c:pt>
                <c:pt idx="7978">
                  <c:v>-20.22</c:v>
                </c:pt>
                <c:pt idx="7979">
                  <c:v>-20.21</c:v>
                </c:pt>
                <c:pt idx="7980">
                  <c:v>-20.2</c:v>
                </c:pt>
                <c:pt idx="7981">
                  <c:v>-20.19</c:v>
                </c:pt>
                <c:pt idx="7982">
                  <c:v>-20.18</c:v>
                </c:pt>
                <c:pt idx="7983">
                  <c:v>-20.17</c:v>
                </c:pt>
                <c:pt idx="7984">
                  <c:v>-20.16</c:v>
                </c:pt>
                <c:pt idx="7985">
                  <c:v>-20.15</c:v>
                </c:pt>
                <c:pt idx="7986">
                  <c:v>-20.14</c:v>
                </c:pt>
                <c:pt idx="7987">
                  <c:v>-20.13</c:v>
                </c:pt>
                <c:pt idx="7988">
                  <c:v>-20.12</c:v>
                </c:pt>
                <c:pt idx="7989">
                  <c:v>-20.11</c:v>
                </c:pt>
                <c:pt idx="7990">
                  <c:v>-20.1</c:v>
                </c:pt>
                <c:pt idx="7991">
                  <c:v>-20.09</c:v>
                </c:pt>
                <c:pt idx="7992">
                  <c:v>-20.08</c:v>
                </c:pt>
                <c:pt idx="7993">
                  <c:v>-20.07</c:v>
                </c:pt>
                <c:pt idx="7994">
                  <c:v>-20.06</c:v>
                </c:pt>
                <c:pt idx="7995">
                  <c:v>-20.05</c:v>
                </c:pt>
                <c:pt idx="7996">
                  <c:v>-20.04</c:v>
                </c:pt>
                <c:pt idx="7997">
                  <c:v>-20.03</c:v>
                </c:pt>
                <c:pt idx="7998">
                  <c:v>-20.02</c:v>
                </c:pt>
                <c:pt idx="7999">
                  <c:v>-20.01</c:v>
                </c:pt>
                <c:pt idx="8000">
                  <c:v>-20.0</c:v>
                </c:pt>
                <c:pt idx="8001">
                  <c:v>-19.99</c:v>
                </c:pt>
                <c:pt idx="8002">
                  <c:v>-19.98</c:v>
                </c:pt>
                <c:pt idx="8003">
                  <c:v>-19.97</c:v>
                </c:pt>
                <c:pt idx="8004">
                  <c:v>-19.96</c:v>
                </c:pt>
                <c:pt idx="8005">
                  <c:v>-19.95</c:v>
                </c:pt>
                <c:pt idx="8006">
                  <c:v>-19.94</c:v>
                </c:pt>
                <c:pt idx="8007">
                  <c:v>-19.93</c:v>
                </c:pt>
                <c:pt idx="8008">
                  <c:v>-19.92</c:v>
                </c:pt>
                <c:pt idx="8009">
                  <c:v>-19.91</c:v>
                </c:pt>
                <c:pt idx="8010">
                  <c:v>-19.9</c:v>
                </c:pt>
                <c:pt idx="8011">
                  <c:v>-19.89</c:v>
                </c:pt>
                <c:pt idx="8012">
                  <c:v>-19.88</c:v>
                </c:pt>
                <c:pt idx="8013">
                  <c:v>-19.87</c:v>
                </c:pt>
                <c:pt idx="8014">
                  <c:v>-19.86</c:v>
                </c:pt>
                <c:pt idx="8015">
                  <c:v>-19.85</c:v>
                </c:pt>
                <c:pt idx="8016">
                  <c:v>-19.84</c:v>
                </c:pt>
                <c:pt idx="8017">
                  <c:v>-19.83</c:v>
                </c:pt>
                <c:pt idx="8018">
                  <c:v>-19.82</c:v>
                </c:pt>
                <c:pt idx="8019">
                  <c:v>-19.81</c:v>
                </c:pt>
                <c:pt idx="8020">
                  <c:v>-19.8</c:v>
                </c:pt>
                <c:pt idx="8021">
                  <c:v>-19.79</c:v>
                </c:pt>
                <c:pt idx="8022">
                  <c:v>-19.78</c:v>
                </c:pt>
                <c:pt idx="8023">
                  <c:v>-19.77</c:v>
                </c:pt>
                <c:pt idx="8024">
                  <c:v>-19.76</c:v>
                </c:pt>
                <c:pt idx="8025">
                  <c:v>-19.75</c:v>
                </c:pt>
                <c:pt idx="8026">
                  <c:v>-19.74</c:v>
                </c:pt>
                <c:pt idx="8027">
                  <c:v>-19.73</c:v>
                </c:pt>
                <c:pt idx="8028">
                  <c:v>-19.72</c:v>
                </c:pt>
                <c:pt idx="8029">
                  <c:v>-19.71</c:v>
                </c:pt>
                <c:pt idx="8030">
                  <c:v>-19.7</c:v>
                </c:pt>
                <c:pt idx="8031">
                  <c:v>-19.69</c:v>
                </c:pt>
                <c:pt idx="8032">
                  <c:v>-19.68</c:v>
                </c:pt>
                <c:pt idx="8033">
                  <c:v>-19.67</c:v>
                </c:pt>
                <c:pt idx="8034">
                  <c:v>-19.66</c:v>
                </c:pt>
                <c:pt idx="8035">
                  <c:v>-19.65</c:v>
                </c:pt>
                <c:pt idx="8036">
                  <c:v>-19.64</c:v>
                </c:pt>
                <c:pt idx="8037">
                  <c:v>-19.63</c:v>
                </c:pt>
                <c:pt idx="8038">
                  <c:v>-19.62</c:v>
                </c:pt>
                <c:pt idx="8039">
                  <c:v>-19.61</c:v>
                </c:pt>
                <c:pt idx="8040">
                  <c:v>-19.6</c:v>
                </c:pt>
                <c:pt idx="8041">
                  <c:v>-19.59</c:v>
                </c:pt>
                <c:pt idx="8042">
                  <c:v>-19.58</c:v>
                </c:pt>
                <c:pt idx="8043">
                  <c:v>-19.57</c:v>
                </c:pt>
                <c:pt idx="8044">
                  <c:v>-19.56</c:v>
                </c:pt>
                <c:pt idx="8045">
                  <c:v>-19.55</c:v>
                </c:pt>
                <c:pt idx="8046">
                  <c:v>-19.54</c:v>
                </c:pt>
                <c:pt idx="8047">
                  <c:v>-19.53</c:v>
                </c:pt>
                <c:pt idx="8048">
                  <c:v>-19.52</c:v>
                </c:pt>
                <c:pt idx="8049">
                  <c:v>-19.51</c:v>
                </c:pt>
                <c:pt idx="8050">
                  <c:v>-19.5</c:v>
                </c:pt>
                <c:pt idx="8051">
                  <c:v>-19.49</c:v>
                </c:pt>
                <c:pt idx="8052">
                  <c:v>-19.48</c:v>
                </c:pt>
                <c:pt idx="8053">
                  <c:v>-19.47</c:v>
                </c:pt>
                <c:pt idx="8054">
                  <c:v>-19.46</c:v>
                </c:pt>
                <c:pt idx="8055">
                  <c:v>-19.45</c:v>
                </c:pt>
                <c:pt idx="8056">
                  <c:v>-19.44</c:v>
                </c:pt>
                <c:pt idx="8057">
                  <c:v>-19.43</c:v>
                </c:pt>
                <c:pt idx="8058">
                  <c:v>-19.42</c:v>
                </c:pt>
                <c:pt idx="8059">
                  <c:v>-19.41</c:v>
                </c:pt>
                <c:pt idx="8060">
                  <c:v>-19.4</c:v>
                </c:pt>
                <c:pt idx="8061">
                  <c:v>-19.39</c:v>
                </c:pt>
                <c:pt idx="8062">
                  <c:v>-19.38</c:v>
                </c:pt>
                <c:pt idx="8063">
                  <c:v>-19.37</c:v>
                </c:pt>
                <c:pt idx="8064">
                  <c:v>-19.36</c:v>
                </c:pt>
                <c:pt idx="8065">
                  <c:v>-19.35</c:v>
                </c:pt>
                <c:pt idx="8066">
                  <c:v>-19.34</c:v>
                </c:pt>
                <c:pt idx="8067">
                  <c:v>-19.33</c:v>
                </c:pt>
                <c:pt idx="8068">
                  <c:v>-19.32</c:v>
                </c:pt>
                <c:pt idx="8069">
                  <c:v>-19.31</c:v>
                </c:pt>
                <c:pt idx="8070">
                  <c:v>-19.3</c:v>
                </c:pt>
                <c:pt idx="8071">
                  <c:v>-19.29</c:v>
                </c:pt>
                <c:pt idx="8072">
                  <c:v>-19.28</c:v>
                </c:pt>
                <c:pt idx="8073">
                  <c:v>-19.27</c:v>
                </c:pt>
                <c:pt idx="8074">
                  <c:v>-19.26</c:v>
                </c:pt>
                <c:pt idx="8075">
                  <c:v>-19.25</c:v>
                </c:pt>
                <c:pt idx="8076">
                  <c:v>-19.24</c:v>
                </c:pt>
                <c:pt idx="8077">
                  <c:v>-19.23</c:v>
                </c:pt>
                <c:pt idx="8078">
                  <c:v>-19.22</c:v>
                </c:pt>
                <c:pt idx="8079">
                  <c:v>-19.21</c:v>
                </c:pt>
                <c:pt idx="8080">
                  <c:v>-19.2</c:v>
                </c:pt>
                <c:pt idx="8081">
                  <c:v>-19.19</c:v>
                </c:pt>
                <c:pt idx="8082">
                  <c:v>-19.18</c:v>
                </c:pt>
                <c:pt idx="8083">
                  <c:v>-19.17</c:v>
                </c:pt>
                <c:pt idx="8084">
                  <c:v>-19.16</c:v>
                </c:pt>
                <c:pt idx="8085">
                  <c:v>-19.15</c:v>
                </c:pt>
                <c:pt idx="8086">
                  <c:v>-19.14</c:v>
                </c:pt>
                <c:pt idx="8087">
                  <c:v>-19.13</c:v>
                </c:pt>
                <c:pt idx="8088">
                  <c:v>-19.12</c:v>
                </c:pt>
                <c:pt idx="8089">
                  <c:v>-19.11</c:v>
                </c:pt>
                <c:pt idx="8090">
                  <c:v>-19.1</c:v>
                </c:pt>
                <c:pt idx="8091">
                  <c:v>-19.09</c:v>
                </c:pt>
                <c:pt idx="8092">
                  <c:v>-19.08</c:v>
                </c:pt>
                <c:pt idx="8093">
                  <c:v>-19.07</c:v>
                </c:pt>
                <c:pt idx="8094">
                  <c:v>-19.06</c:v>
                </c:pt>
                <c:pt idx="8095">
                  <c:v>-19.05</c:v>
                </c:pt>
                <c:pt idx="8096">
                  <c:v>-19.04</c:v>
                </c:pt>
                <c:pt idx="8097">
                  <c:v>-19.03</c:v>
                </c:pt>
                <c:pt idx="8098">
                  <c:v>-19.02</c:v>
                </c:pt>
                <c:pt idx="8099">
                  <c:v>-19.01</c:v>
                </c:pt>
                <c:pt idx="8100">
                  <c:v>-19.0</c:v>
                </c:pt>
                <c:pt idx="8101">
                  <c:v>-18.99</c:v>
                </c:pt>
                <c:pt idx="8102">
                  <c:v>-18.98</c:v>
                </c:pt>
                <c:pt idx="8103">
                  <c:v>-18.97</c:v>
                </c:pt>
                <c:pt idx="8104">
                  <c:v>-18.96</c:v>
                </c:pt>
                <c:pt idx="8105">
                  <c:v>-18.95</c:v>
                </c:pt>
                <c:pt idx="8106">
                  <c:v>-18.94</c:v>
                </c:pt>
                <c:pt idx="8107">
                  <c:v>-18.93</c:v>
                </c:pt>
                <c:pt idx="8108">
                  <c:v>-18.92</c:v>
                </c:pt>
                <c:pt idx="8109">
                  <c:v>-18.91</c:v>
                </c:pt>
                <c:pt idx="8110">
                  <c:v>-18.9</c:v>
                </c:pt>
                <c:pt idx="8111">
                  <c:v>-18.89</c:v>
                </c:pt>
                <c:pt idx="8112">
                  <c:v>-18.88</c:v>
                </c:pt>
                <c:pt idx="8113">
                  <c:v>-18.87</c:v>
                </c:pt>
                <c:pt idx="8114">
                  <c:v>-18.86</c:v>
                </c:pt>
                <c:pt idx="8115">
                  <c:v>-18.85</c:v>
                </c:pt>
                <c:pt idx="8116">
                  <c:v>-18.84</c:v>
                </c:pt>
                <c:pt idx="8117">
                  <c:v>-18.83</c:v>
                </c:pt>
                <c:pt idx="8118">
                  <c:v>-18.82</c:v>
                </c:pt>
                <c:pt idx="8119">
                  <c:v>-18.81</c:v>
                </c:pt>
                <c:pt idx="8120">
                  <c:v>-18.8</c:v>
                </c:pt>
                <c:pt idx="8121">
                  <c:v>-18.79</c:v>
                </c:pt>
                <c:pt idx="8122">
                  <c:v>-18.78</c:v>
                </c:pt>
                <c:pt idx="8123">
                  <c:v>-18.77</c:v>
                </c:pt>
                <c:pt idx="8124">
                  <c:v>-18.76</c:v>
                </c:pt>
                <c:pt idx="8125">
                  <c:v>-18.75</c:v>
                </c:pt>
                <c:pt idx="8126">
                  <c:v>-18.74</c:v>
                </c:pt>
                <c:pt idx="8127">
                  <c:v>-18.73</c:v>
                </c:pt>
                <c:pt idx="8128">
                  <c:v>-18.72</c:v>
                </c:pt>
                <c:pt idx="8129">
                  <c:v>-18.71</c:v>
                </c:pt>
                <c:pt idx="8130">
                  <c:v>-18.7</c:v>
                </c:pt>
                <c:pt idx="8131">
                  <c:v>-18.69</c:v>
                </c:pt>
                <c:pt idx="8132">
                  <c:v>-18.68</c:v>
                </c:pt>
                <c:pt idx="8133">
                  <c:v>-18.67</c:v>
                </c:pt>
                <c:pt idx="8134">
                  <c:v>-18.66</c:v>
                </c:pt>
                <c:pt idx="8135">
                  <c:v>-18.65</c:v>
                </c:pt>
                <c:pt idx="8136">
                  <c:v>-18.64</c:v>
                </c:pt>
                <c:pt idx="8137">
                  <c:v>-18.63</c:v>
                </c:pt>
                <c:pt idx="8138">
                  <c:v>-18.62</c:v>
                </c:pt>
                <c:pt idx="8139">
                  <c:v>-18.61</c:v>
                </c:pt>
                <c:pt idx="8140">
                  <c:v>-18.6</c:v>
                </c:pt>
                <c:pt idx="8141">
                  <c:v>-18.59</c:v>
                </c:pt>
                <c:pt idx="8142">
                  <c:v>-18.58</c:v>
                </c:pt>
                <c:pt idx="8143">
                  <c:v>-18.57</c:v>
                </c:pt>
                <c:pt idx="8144">
                  <c:v>-18.56</c:v>
                </c:pt>
                <c:pt idx="8145">
                  <c:v>-18.55</c:v>
                </c:pt>
                <c:pt idx="8146">
                  <c:v>-18.54</c:v>
                </c:pt>
                <c:pt idx="8147">
                  <c:v>-18.53</c:v>
                </c:pt>
                <c:pt idx="8148">
                  <c:v>-18.52</c:v>
                </c:pt>
                <c:pt idx="8149">
                  <c:v>-18.51</c:v>
                </c:pt>
                <c:pt idx="8150">
                  <c:v>-18.5</c:v>
                </c:pt>
                <c:pt idx="8151">
                  <c:v>-18.49</c:v>
                </c:pt>
                <c:pt idx="8152">
                  <c:v>-18.48</c:v>
                </c:pt>
                <c:pt idx="8153">
                  <c:v>-18.47</c:v>
                </c:pt>
                <c:pt idx="8154">
                  <c:v>-18.46</c:v>
                </c:pt>
                <c:pt idx="8155">
                  <c:v>-18.45</c:v>
                </c:pt>
                <c:pt idx="8156">
                  <c:v>-18.44</c:v>
                </c:pt>
                <c:pt idx="8157">
                  <c:v>-18.43</c:v>
                </c:pt>
                <c:pt idx="8158">
                  <c:v>-18.42</c:v>
                </c:pt>
                <c:pt idx="8159">
                  <c:v>-18.41</c:v>
                </c:pt>
                <c:pt idx="8160">
                  <c:v>-18.4</c:v>
                </c:pt>
                <c:pt idx="8161">
                  <c:v>-18.39</c:v>
                </c:pt>
                <c:pt idx="8162">
                  <c:v>-18.38</c:v>
                </c:pt>
                <c:pt idx="8163">
                  <c:v>-18.37</c:v>
                </c:pt>
                <c:pt idx="8164">
                  <c:v>-18.36</c:v>
                </c:pt>
                <c:pt idx="8165">
                  <c:v>-18.35</c:v>
                </c:pt>
                <c:pt idx="8166">
                  <c:v>-18.34</c:v>
                </c:pt>
                <c:pt idx="8167">
                  <c:v>-18.33</c:v>
                </c:pt>
                <c:pt idx="8168">
                  <c:v>-18.32</c:v>
                </c:pt>
                <c:pt idx="8169">
                  <c:v>-18.31</c:v>
                </c:pt>
                <c:pt idx="8170">
                  <c:v>-18.3</c:v>
                </c:pt>
                <c:pt idx="8171">
                  <c:v>-18.29</c:v>
                </c:pt>
                <c:pt idx="8172">
                  <c:v>-18.28</c:v>
                </c:pt>
                <c:pt idx="8173">
                  <c:v>-18.27</c:v>
                </c:pt>
                <c:pt idx="8174">
                  <c:v>-18.26</c:v>
                </c:pt>
                <c:pt idx="8175">
                  <c:v>-18.25</c:v>
                </c:pt>
                <c:pt idx="8176">
                  <c:v>-18.24</c:v>
                </c:pt>
                <c:pt idx="8177">
                  <c:v>-18.23</c:v>
                </c:pt>
                <c:pt idx="8178">
                  <c:v>-18.22</c:v>
                </c:pt>
                <c:pt idx="8179">
                  <c:v>-18.21</c:v>
                </c:pt>
                <c:pt idx="8180">
                  <c:v>-18.2</c:v>
                </c:pt>
                <c:pt idx="8181">
                  <c:v>-18.19</c:v>
                </c:pt>
                <c:pt idx="8182">
                  <c:v>-18.18</c:v>
                </c:pt>
                <c:pt idx="8183">
                  <c:v>-18.17</c:v>
                </c:pt>
                <c:pt idx="8184">
                  <c:v>-18.16</c:v>
                </c:pt>
                <c:pt idx="8185">
                  <c:v>-18.15</c:v>
                </c:pt>
                <c:pt idx="8186">
                  <c:v>-18.14</c:v>
                </c:pt>
                <c:pt idx="8187">
                  <c:v>-18.13</c:v>
                </c:pt>
                <c:pt idx="8188">
                  <c:v>-18.12</c:v>
                </c:pt>
                <c:pt idx="8189">
                  <c:v>-18.11</c:v>
                </c:pt>
                <c:pt idx="8190">
                  <c:v>-18.1</c:v>
                </c:pt>
                <c:pt idx="8191">
                  <c:v>-18.09</c:v>
                </c:pt>
                <c:pt idx="8192">
                  <c:v>-18.08</c:v>
                </c:pt>
                <c:pt idx="8193">
                  <c:v>-18.07</c:v>
                </c:pt>
                <c:pt idx="8194">
                  <c:v>-18.06</c:v>
                </c:pt>
                <c:pt idx="8195">
                  <c:v>-18.05</c:v>
                </c:pt>
                <c:pt idx="8196">
                  <c:v>-18.04</c:v>
                </c:pt>
                <c:pt idx="8197">
                  <c:v>-18.03</c:v>
                </c:pt>
                <c:pt idx="8198">
                  <c:v>-18.02</c:v>
                </c:pt>
                <c:pt idx="8199">
                  <c:v>-18.01</c:v>
                </c:pt>
                <c:pt idx="8200">
                  <c:v>-18.0</c:v>
                </c:pt>
                <c:pt idx="8201">
                  <c:v>-17.99</c:v>
                </c:pt>
                <c:pt idx="8202">
                  <c:v>-17.98</c:v>
                </c:pt>
                <c:pt idx="8203">
                  <c:v>-17.97</c:v>
                </c:pt>
                <c:pt idx="8204">
                  <c:v>-17.96</c:v>
                </c:pt>
                <c:pt idx="8205">
                  <c:v>-17.95</c:v>
                </c:pt>
                <c:pt idx="8206">
                  <c:v>-17.94</c:v>
                </c:pt>
                <c:pt idx="8207">
                  <c:v>-17.93</c:v>
                </c:pt>
                <c:pt idx="8208">
                  <c:v>-17.92</c:v>
                </c:pt>
                <c:pt idx="8209">
                  <c:v>-17.91</c:v>
                </c:pt>
                <c:pt idx="8210">
                  <c:v>-17.9</c:v>
                </c:pt>
                <c:pt idx="8211">
                  <c:v>-17.89</c:v>
                </c:pt>
                <c:pt idx="8212">
                  <c:v>-17.88</c:v>
                </c:pt>
                <c:pt idx="8213">
                  <c:v>-17.87</c:v>
                </c:pt>
                <c:pt idx="8214">
                  <c:v>-17.86</c:v>
                </c:pt>
                <c:pt idx="8215">
                  <c:v>-17.85</c:v>
                </c:pt>
                <c:pt idx="8216">
                  <c:v>-17.84</c:v>
                </c:pt>
                <c:pt idx="8217">
                  <c:v>-17.83</c:v>
                </c:pt>
                <c:pt idx="8218">
                  <c:v>-17.82</c:v>
                </c:pt>
                <c:pt idx="8219">
                  <c:v>-17.81</c:v>
                </c:pt>
                <c:pt idx="8220">
                  <c:v>-17.8</c:v>
                </c:pt>
                <c:pt idx="8221">
                  <c:v>-17.79</c:v>
                </c:pt>
                <c:pt idx="8222">
                  <c:v>-17.78</c:v>
                </c:pt>
                <c:pt idx="8223">
                  <c:v>-17.77</c:v>
                </c:pt>
                <c:pt idx="8224">
                  <c:v>-17.76</c:v>
                </c:pt>
                <c:pt idx="8225">
                  <c:v>-17.75</c:v>
                </c:pt>
                <c:pt idx="8226">
                  <c:v>-17.74</c:v>
                </c:pt>
                <c:pt idx="8227">
                  <c:v>-17.73</c:v>
                </c:pt>
                <c:pt idx="8228">
                  <c:v>-17.72</c:v>
                </c:pt>
                <c:pt idx="8229">
                  <c:v>-17.71</c:v>
                </c:pt>
                <c:pt idx="8230">
                  <c:v>-17.7</c:v>
                </c:pt>
                <c:pt idx="8231">
                  <c:v>-17.69</c:v>
                </c:pt>
                <c:pt idx="8232">
                  <c:v>-17.68</c:v>
                </c:pt>
                <c:pt idx="8233">
                  <c:v>-17.67</c:v>
                </c:pt>
                <c:pt idx="8234">
                  <c:v>-17.66</c:v>
                </c:pt>
                <c:pt idx="8235">
                  <c:v>-17.65</c:v>
                </c:pt>
                <c:pt idx="8236">
                  <c:v>-17.64</c:v>
                </c:pt>
                <c:pt idx="8237">
                  <c:v>-17.63</c:v>
                </c:pt>
                <c:pt idx="8238">
                  <c:v>-17.62</c:v>
                </c:pt>
                <c:pt idx="8239">
                  <c:v>-17.61</c:v>
                </c:pt>
                <c:pt idx="8240">
                  <c:v>-17.6</c:v>
                </c:pt>
                <c:pt idx="8241">
                  <c:v>-17.59</c:v>
                </c:pt>
                <c:pt idx="8242">
                  <c:v>-17.58</c:v>
                </c:pt>
                <c:pt idx="8243">
                  <c:v>-17.57</c:v>
                </c:pt>
                <c:pt idx="8244">
                  <c:v>-17.56</c:v>
                </c:pt>
                <c:pt idx="8245">
                  <c:v>-17.55</c:v>
                </c:pt>
                <c:pt idx="8246">
                  <c:v>-17.54</c:v>
                </c:pt>
                <c:pt idx="8247">
                  <c:v>-17.53</c:v>
                </c:pt>
                <c:pt idx="8248">
                  <c:v>-17.52</c:v>
                </c:pt>
                <c:pt idx="8249">
                  <c:v>-17.51</c:v>
                </c:pt>
                <c:pt idx="8250">
                  <c:v>-17.5</c:v>
                </c:pt>
                <c:pt idx="8251">
                  <c:v>-17.49</c:v>
                </c:pt>
                <c:pt idx="8252">
                  <c:v>-17.48</c:v>
                </c:pt>
                <c:pt idx="8253">
                  <c:v>-17.47</c:v>
                </c:pt>
                <c:pt idx="8254">
                  <c:v>-17.46</c:v>
                </c:pt>
                <c:pt idx="8255">
                  <c:v>-17.45</c:v>
                </c:pt>
                <c:pt idx="8256">
                  <c:v>-17.44</c:v>
                </c:pt>
                <c:pt idx="8257">
                  <c:v>-17.43</c:v>
                </c:pt>
                <c:pt idx="8258">
                  <c:v>-17.42</c:v>
                </c:pt>
                <c:pt idx="8259">
                  <c:v>-17.41</c:v>
                </c:pt>
                <c:pt idx="8260">
                  <c:v>-17.4</c:v>
                </c:pt>
                <c:pt idx="8261">
                  <c:v>-17.39</c:v>
                </c:pt>
                <c:pt idx="8262">
                  <c:v>-17.38</c:v>
                </c:pt>
                <c:pt idx="8263">
                  <c:v>-17.37</c:v>
                </c:pt>
                <c:pt idx="8264">
                  <c:v>-17.36</c:v>
                </c:pt>
                <c:pt idx="8265">
                  <c:v>-17.35</c:v>
                </c:pt>
                <c:pt idx="8266">
                  <c:v>-17.34</c:v>
                </c:pt>
                <c:pt idx="8267">
                  <c:v>-17.33</c:v>
                </c:pt>
                <c:pt idx="8268">
                  <c:v>-17.32</c:v>
                </c:pt>
                <c:pt idx="8269">
                  <c:v>-17.31</c:v>
                </c:pt>
                <c:pt idx="8270">
                  <c:v>-17.3</c:v>
                </c:pt>
                <c:pt idx="8271">
                  <c:v>-17.29</c:v>
                </c:pt>
                <c:pt idx="8272">
                  <c:v>-17.28</c:v>
                </c:pt>
                <c:pt idx="8273">
                  <c:v>-17.27</c:v>
                </c:pt>
                <c:pt idx="8274">
                  <c:v>-17.26</c:v>
                </c:pt>
                <c:pt idx="8275">
                  <c:v>-17.25</c:v>
                </c:pt>
                <c:pt idx="8276">
                  <c:v>-17.24</c:v>
                </c:pt>
                <c:pt idx="8277">
                  <c:v>-17.23</c:v>
                </c:pt>
                <c:pt idx="8278">
                  <c:v>-17.22</c:v>
                </c:pt>
                <c:pt idx="8279">
                  <c:v>-17.21</c:v>
                </c:pt>
                <c:pt idx="8280">
                  <c:v>-17.2</c:v>
                </c:pt>
                <c:pt idx="8281">
                  <c:v>-17.19</c:v>
                </c:pt>
                <c:pt idx="8282">
                  <c:v>-17.18</c:v>
                </c:pt>
                <c:pt idx="8283">
                  <c:v>-17.17</c:v>
                </c:pt>
                <c:pt idx="8284">
                  <c:v>-17.16</c:v>
                </c:pt>
                <c:pt idx="8285">
                  <c:v>-17.15</c:v>
                </c:pt>
                <c:pt idx="8286">
                  <c:v>-17.14</c:v>
                </c:pt>
                <c:pt idx="8287">
                  <c:v>-17.13</c:v>
                </c:pt>
                <c:pt idx="8288">
                  <c:v>-17.12</c:v>
                </c:pt>
                <c:pt idx="8289">
                  <c:v>-17.11</c:v>
                </c:pt>
                <c:pt idx="8290">
                  <c:v>-17.1</c:v>
                </c:pt>
                <c:pt idx="8291">
                  <c:v>-17.09</c:v>
                </c:pt>
                <c:pt idx="8292">
                  <c:v>-17.08</c:v>
                </c:pt>
                <c:pt idx="8293">
                  <c:v>-17.07</c:v>
                </c:pt>
                <c:pt idx="8294">
                  <c:v>-17.06</c:v>
                </c:pt>
                <c:pt idx="8295">
                  <c:v>-17.05</c:v>
                </c:pt>
                <c:pt idx="8296">
                  <c:v>-17.04</c:v>
                </c:pt>
                <c:pt idx="8297">
                  <c:v>-17.03</c:v>
                </c:pt>
                <c:pt idx="8298">
                  <c:v>-17.02</c:v>
                </c:pt>
                <c:pt idx="8299">
                  <c:v>-17.01</c:v>
                </c:pt>
                <c:pt idx="8300">
                  <c:v>-17.0</c:v>
                </c:pt>
                <c:pt idx="8301">
                  <c:v>-16.99</c:v>
                </c:pt>
                <c:pt idx="8302">
                  <c:v>-16.98</c:v>
                </c:pt>
                <c:pt idx="8303">
                  <c:v>-16.97</c:v>
                </c:pt>
                <c:pt idx="8304">
                  <c:v>-16.96</c:v>
                </c:pt>
                <c:pt idx="8305">
                  <c:v>-16.95</c:v>
                </c:pt>
                <c:pt idx="8306">
                  <c:v>-16.94</c:v>
                </c:pt>
                <c:pt idx="8307">
                  <c:v>-16.93</c:v>
                </c:pt>
                <c:pt idx="8308">
                  <c:v>-16.92</c:v>
                </c:pt>
                <c:pt idx="8309">
                  <c:v>-16.91</c:v>
                </c:pt>
                <c:pt idx="8310">
                  <c:v>-16.9</c:v>
                </c:pt>
                <c:pt idx="8311">
                  <c:v>-16.89</c:v>
                </c:pt>
                <c:pt idx="8312">
                  <c:v>-16.88</c:v>
                </c:pt>
                <c:pt idx="8313">
                  <c:v>-16.87</c:v>
                </c:pt>
                <c:pt idx="8314">
                  <c:v>-16.86</c:v>
                </c:pt>
                <c:pt idx="8315">
                  <c:v>-16.85</c:v>
                </c:pt>
                <c:pt idx="8316">
                  <c:v>-16.84</c:v>
                </c:pt>
                <c:pt idx="8317">
                  <c:v>-16.83</c:v>
                </c:pt>
                <c:pt idx="8318">
                  <c:v>-16.82</c:v>
                </c:pt>
                <c:pt idx="8319">
                  <c:v>-16.81</c:v>
                </c:pt>
                <c:pt idx="8320">
                  <c:v>-16.8</c:v>
                </c:pt>
                <c:pt idx="8321">
                  <c:v>-16.79</c:v>
                </c:pt>
                <c:pt idx="8322">
                  <c:v>-16.78</c:v>
                </c:pt>
                <c:pt idx="8323">
                  <c:v>-16.77</c:v>
                </c:pt>
                <c:pt idx="8324">
                  <c:v>-16.76</c:v>
                </c:pt>
                <c:pt idx="8325">
                  <c:v>-16.75</c:v>
                </c:pt>
                <c:pt idx="8326">
                  <c:v>-16.74</c:v>
                </c:pt>
                <c:pt idx="8327">
                  <c:v>-16.73</c:v>
                </c:pt>
                <c:pt idx="8328">
                  <c:v>-16.72</c:v>
                </c:pt>
                <c:pt idx="8329">
                  <c:v>-16.71</c:v>
                </c:pt>
                <c:pt idx="8330">
                  <c:v>-16.7</c:v>
                </c:pt>
                <c:pt idx="8331">
                  <c:v>-16.69</c:v>
                </c:pt>
                <c:pt idx="8332">
                  <c:v>-16.68</c:v>
                </c:pt>
                <c:pt idx="8333">
                  <c:v>-16.67</c:v>
                </c:pt>
                <c:pt idx="8334">
                  <c:v>-16.66</c:v>
                </c:pt>
                <c:pt idx="8335">
                  <c:v>-16.65</c:v>
                </c:pt>
                <c:pt idx="8336">
                  <c:v>-16.64</c:v>
                </c:pt>
                <c:pt idx="8337">
                  <c:v>-16.63</c:v>
                </c:pt>
                <c:pt idx="8338">
                  <c:v>-16.62</c:v>
                </c:pt>
                <c:pt idx="8339">
                  <c:v>-16.61</c:v>
                </c:pt>
                <c:pt idx="8340">
                  <c:v>-16.6</c:v>
                </c:pt>
                <c:pt idx="8341">
                  <c:v>-16.59</c:v>
                </c:pt>
                <c:pt idx="8342">
                  <c:v>-16.58</c:v>
                </c:pt>
                <c:pt idx="8343">
                  <c:v>-16.57</c:v>
                </c:pt>
                <c:pt idx="8344">
                  <c:v>-16.56</c:v>
                </c:pt>
                <c:pt idx="8345">
                  <c:v>-16.55</c:v>
                </c:pt>
                <c:pt idx="8346">
                  <c:v>-16.54</c:v>
                </c:pt>
                <c:pt idx="8347">
                  <c:v>-16.53</c:v>
                </c:pt>
                <c:pt idx="8348">
                  <c:v>-16.52</c:v>
                </c:pt>
                <c:pt idx="8349">
                  <c:v>-16.51</c:v>
                </c:pt>
                <c:pt idx="8350">
                  <c:v>-16.5</c:v>
                </c:pt>
                <c:pt idx="8351">
                  <c:v>-16.49</c:v>
                </c:pt>
                <c:pt idx="8352">
                  <c:v>-16.48</c:v>
                </c:pt>
                <c:pt idx="8353">
                  <c:v>-16.47</c:v>
                </c:pt>
                <c:pt idx="8354">
                  <c:v>-16.46</c:v>
                </c:pt>
                <c:pt idx="8355">
                  <c:v>-16.45</c:v>
                </c:pt>
                <c:pt idx="8356">
                  <c:v>-16.44</c:v>
                </c:pt>
                <c:pt idx="8357">
                  <c:v>-16.43</c:v>
                </c:pt>
                <c:pt idx="8358">
                  <c:v>-16.42</c:v>
                </c:pt>
                <c:pt idx="8359">
                  <c:v>-16.41</c:v>
                </c:pt>
                <c:pt idx="8360">
                  <c:v>-16.4</c:v>
                </c:pt>
                <c:pt idx="8361">
                  <c:v>-16.39</c:v>
                </c:pt>
                <c:pt idx="8362">
                  <c:v>-16.38</c:v>
                </c:pt>
                <c:pt idx="8363">
                  <c:v>-16.37</c:v>
                </c:pt>
                <c:pt idx="8364">
                  <c:v>-16.36</c:v>
                </c:pt>
                <c:pt idx="8365">
                  <c:v>-16.35</c:v>
                </c:pt>
                <c:pt idx="8366">
                  <c:v>-16.34</c:v>
                </c:pt>
                <c:pt idx="8367">
                  <c:v>-16.33</c:v>
                </c:pt>
                <c:pt idx="8368">
                  <c:v>-16.32</c:v>
                </c:pt>
                <c:pt idx="8369">
                  <c:v>-16.31</c:v>
                </c:pt>
                <c:pt idx="8370">
                  <c:v>-16.3</c:v>
                </c:pt>
                <c:pt idx="8371">
                  <c:v>-16.29</c:v>
                </c:pt>
                <c:pt idx="8372">
                  <c:v>-16.28</c:v>
                </c:pt>
                <c:pt idx="8373">
                  <c:v>-16.27</c:v>
                </c:pt>
                <c:pt idx="8374">
                  <c:v>-16.26</c:v>
                </c:pt>
                <c:pt idx="8375">
                  <c:v>-16.25</c:v>
                </c:pt>
                <c:pt idx="8376">
                  <c:v>-16.24</c:v>
                </c:pt>
                <c:pt idx="8377">
                  <c:v>-16.23</c:v>
                </c:pt>
                <c:pt idx="8378">
                  <c:v>-16.22</c:v>
                </c:pt>
                <c:pt idx="8379">
                  <c:v>-16.21</c:v>
                </c:pt>
                <c:pt idx="8380">
                  <c:v>-16.2</c:v>
                </c:pt>
                <c:pt idx="8381">
                  <c:v>-16.19</c:v>
                </c:pt>
                <c:pt idx="8382">
                  <c:v>-16.18</c:v>
                </c:pt>
                <c:pt idx="8383">
                  <c:v>-16.17</c:v>
                </c:pt>
                <c:pt idx="8384">
                  <c:v>-16.16</c:v>
                </c:pt>
                <c:pt idx="8385">
                  <c:v>-16.15</c:v>
                </c:pt>
                <c:pt idx="8386">
                  <c:v>-16.14</c:v>
                </c:pt>
                <c:pt idx="8387">
                  <c:v>-16.13</c:v>
                </c:pt>
                <c:pt idx="8388">
                  <c:v>-16.12</c:v>
                </c:pt>
                <c:pt idx="8389">
                  <c:v>-16.11</c:v>
                </c:pt>
                <c:pt idx="8390">
                  <c:v>-16.1</c:v>
                </c:pt>
                <c:pt idx="8391">
                  <c:v>-16.09</c:v>
                </c:pt>
                <c:pt idx="8392">
                  <c:v>-16.08</c:v>
                </c:pt>
                <c:pt idx="8393">
                  <c:v>-16.07</c:v>
                </c:pt>
                <c:pt idx="8394">
                  <c:v>-16.06</c:v>
                </c:pt>
                <c:pt idx="8395">
                  <c:v>-16.05</c:v>
                </c:pt>
                <c:pt idx="8396">
                  <c:v>-16.04</c:v>
                </c:pt>
                <c:pt idx="8397">
                  <c:v>-16.03</c:v>
                </c:pt>
                <c:pt idx="8398">
                  <c:v>-16.02</c:v>
                </c:pt>
                <c:pt idx="8399">
                  <c:v>-16.01</c:v>
                </c:pt>
                <c:pt idx="8400">
                  <c:v>-16.0</c:v>
                </c:pt>
                <c:pt idx="8401">
                  <c:v>-15.99</c:v>
                </c:pt>
                <c:pt idx="8402">
                  <c:v>-15.98</c:v>
                </c:pt>
                <c:pt idx="8403">
                  <c:v>-15.97</c:v>
                </c:pt>
                <c:pt idx="8404">
                  <c:v>-15.96</c:v>
                </c:pt>
                <c:pt idx="8405">
                  <c:v>-15.95</c:v>
                </c:pt>
                <c:pt idx="8406">
                  <c:v>-15.94</c:v>
                </c:pt>
                <c:pt idx="8407">
                  <c:v>-15.93</c:v>
                </c:pt>
                <c:pt idx="8408">
                  <c:v>-15.92</c:v>
                </c:pt>
                <c:pt idx="8409">
                  <c:v>-15.91</c:v>
                </c:pt>
                <c:pt idx="8410">
                  <c:v>-15.9</c:v>
                </c:pt>
                <c:pt idx="8411">
                  <c:v>-15.89</c:v>
                </c:pt>
                <c:pt idx="8412">
                  <c:v>-15.88</c:v>
                </c:pt>
                <c:pt idx="8413">
                  <c:v>-15.87</c:v>
                </c:pt>
                <c:pt idx="8414">
                  <c:v>-15.86</c:v>
                </c:pt>
                <c:pt idx="8415">
                  <c:v>-15.85</c:v>
                </c:pt>
                <c:pt idx="8416">
                  <c:v>-15.84</c:v>
                </c:pt>
                <c:pt idx="8417">
                  <c:v>-15.83</c:v>
                </c:pt>
                <c:pt idx="8418">
                  <c:v>-15.82</c:v>
                </c:pt>
                <c:pt idx="8419">
                  <c:v>-15.81</c:v>
                </c:pt>
                <c:pt idx="8420">
                  <c:v>-15.8</c:v>
                </c:pt>
                <c:pt idx="8421">
                  <c:v>-15.79</c:v>
                </c:pt>
                <c:pt idx="8422">
                  <c:v>-15.78</c:v>
                </c:pt>
                <c:pt idx="8423">
                  <c:v>-15.77</c:v>
                </c:pt>
                <c:pt idx="8424">
                  <c:v>-15.76</c:v>
                </c:pt>
                <c:pt idx="8425">
                  <c:v>-15.75</c:v>
                </c:pt>
                <c:pt idx="8426">
                  <c:v>-15.74</c:v>
                </c:pt>
                <c:pt idx="8427">
                  <c:v>-15.73</c:v>
                </c:pt>
                <c:pt idx="8428">
                  <c:v>-15.72</c:v>
                </c:pt>
                <c:pt idx="8429">
                  <c:v>-15.71</c:v>
                </c:pt>
                <c:pt idx="8430">
                  <c:v>-15.7</c:v>
                </c:pt>
                <c:pt idx="8431">
                  <c:v>-15.69</c:v>
                </c:pt>
                <c:pt idx="8432">
                  <c:v>-15.68</c:v>
                </c:pt>
                <c:pt idx="8433">
                  <c:v>-15.67</c:v>
                </c:pt>
                <c:pt idx="8434">
                  <c:v>-15.66</c:v>
                </c:pt>
                <c:pt idx="8435">
                  <c:v>-15.65</c:v>
                </c:pt>
                <c:pt idx="8436">
                  <c:v>-15.64</c:v>
                </c:pt>
                <c:pt idx="8437">
                  <c:v>-15.63</c:v>
                </c:pt>
                <c:pt idx="8438">
                  <c:v>-15.62</c:v>
                </c:pt>
                <c:pt idx="8439">
                  <c:v>-15.61</c:v>
                </c:pt>
                <c:pt idx="8440">
                  <c:v>-15.6</c:v>
                </c:pt>
                <c:pt idx="8441">
                  <c:v>-15.59</c:v>
                </c:pt>
                <c:pt idx="8442">
                  <c:v>-15.58</c:v>
                </c:pt>
                <c:pt idx="8443">
                  <c:v>-15.57</c:v>
                </c:pt>
                <c:pt idx="8444">
                  <c:v>-15.56</c:v>
                </c:pt>
                <c:pt idx="8445">
                  <c:v>-15.55</c:v>
                </c:pt>
                <c:pt idx="8446">
                  <c:v>-15.54</c:v>
                </c:pt>
                <c:pt idx="8447">
                  <c:v>-15.53</c:v>
                </c:pt>
                <c:pt idx="8448">
                  <c:v>-15.52</c:v>
                </c:pt>
                <c:pt idx="8449">
                  <c:v>-15.51</c:v>
                </c:pt>
                <c:pt idx="8450">
                  <c:v>-15.5</c:v>
                </c:pt>
                <c:pt idx="8451">
                  <c:v>-15.49</c:v>
                </c:pt>
                <c:pt idx="8452">
                  <c:v>-15.48</c:v>
                </c:pt>
                <c:pt idx="8453">
                  <c:v>-15.47</c:v>
                </c:pt>
                <c:pt idx="8454">
                  <c:v>-15.46</c:v>
                </c:pt>
                <c:pt idx="8455">
                  <c:v>-15.45</c:v>
                </c:pt>
                <c:pt idx="8456">
                  <c:v>-15.44</c:v>
                </c:pt>
                <c:pt idx="8457">
                  <c:v>-15.43</c:v>
                </c:pt>
                <c:pt idx="8458">
                  <c:v>-15.42</c:v>
                </c:pt>
                <c:pt idx="8459">
                  <c:v>-15.41</c:v>
                </c:pt>
                <c:pt idx="8460">
                  <c:v>-15.4</c:v>
                </c:pt>
                <c:pt idx="8461">
                  <c:v>-15.39</c:v>
                </c:pt>
                <c:pt idx="8462">
                  <c:v>-15.38</c:v>
                </c:pt>
                <c:pt idx="8463">
                  <c:v>-15.37</c:v>
                </c:pt>
                <c:pt idx="8464">
                  <c:v>-15.36</c:v>
                </c:pt>
                <c:pt idx="8465">
                  <c:v>-15.35</c:v>
                </c:pt>
                <c:pt idx="8466">
                  <c:v>-15.34</c:v>
                </c:pt>
                <c:pt idx="8467">
                  <c:v>-15.33</c:v>
                </c:pt>
                <c:pt idx="8468">
                  <c:v>-15.32</c:v>
                </c:pt>
                <c:pt idx="8469">
                  <c:v>-15.31</c:v>
                </c:pt>
                <c:pt idx="8470">
                  <c:v>-15.3</c:v>
                </c:pt>
                <c:pt idx="8471">
                  <c:v>-15.29</c:v>
                </c:pt>
                <c:pt idx="8472">
                  <c:v>-15.28</c:v>
                </c:pt>
                <c:pt idx="8473">
                  <c:v>-15.27</c:v>
                </c:pt>
                <c:pt idx="8474">
                  <c:v>-15.26</c:v>
                </c:pt>
                <c:pt idx="8475">
                  <c:v>-15.25</c:v>
                </c:pt>
                <c:pt idx="8476">
                  <c:v>-15.24</c:v>
                </c:pt>
                <c:pt idx="8477">
                  <c:v>-15.23</c:v>
                </c:pt>
                <c:pt idx="8478">
                  <c:v>-15.22</c:v>
                </c:pt>
                <c:pt idx="8479">
                  <c:v>-15.21</c:v>
                </c:pt>
                <c:pt idx="8480">
                  <c:v>-15.2</c:v>
                </c:pt>
                <c:pt idx="8481">
                  <c:v>-15.19</c:v>
                </c:pt>
                <c:pt idx="8482">
                  <c:v>-15.18</c:v>
                </c:pt>
                <c:pt idx="8483">
                  <c:v>-15.17</c:v>
                </c:pt>
                <c:pt idx="8484">
                  <c:v>-15.16</c:v>
                </c:pt>
                <c:pt idx="8485">
                  <c:v>-15.15</c:v>
                </c:pt>
                <c:pt idx="8486">
                  <c:v>-15.14</c:v>
                </c:pt>
                <c:pt idx="8487">
                  <c:v>-15.13</c:v>
                </c:pt>
                <c:pt idx="8488">
                  <c:v>-15.12</c:v>
                </c:pt>
                <c:pt idx="8489">
                  <c:v>-15.11</c:v>
                </c:pt>
                <c:pt idx="8490">
                  <c:v>-15.1</c:v>
                </c:pt>
                <c:pt idx="8491">
                  <c:v>-15.09</c:v>
                </c:pt>
                <c:pt idx="8492">
                  <c:v>-15.08</c:v>
                </c:pt>
                <c:pt idx="8493">
                  <c:v>-15.07</c:v>
                </c:pt>
                <c:pt idx="8494">
                  <c:v>-15.06</c:v>
                </c:pt>
                <c:pt idx="8495">
                  <c:v>-15.05</c:v>
                </c:pt>
                <c:pt idx="8496">
                  <c:v>-15.04</c:v>
                </c:pt>
                <c:pt idx="8497">
                  <c:v>-15.03</c:v>
                </c:pt>
                <c:pt idx="8498">
                  <c:v>-15.02</c:v>
                </c:pt>
                <c:pt idx="8499">
                  <c:v>-15.01</c:v>
                </c:pt>
                <c:pt idx="8500">
                  <c:v>-15.0</c:v>
                </c:pt>
                <c:pt idx="8501">
                  <c:v>-14.99</c:v>
                </c:pt>
                <c:pt idx="8502">
                  <c:v>-14.98</c:v>
                </c:pt>
                <c:pt idx="8503">
                  <c:v>-14.97</c:v>
                </c:pt>
                <c:pt idx="8504">
                  <c:v>-14.96</c:v>
                </c:pt>
                <c:pt idx="8505">
                  <c:v>-14.95</c:v>
                </c:pt>
                <c:pt idx="8506">
                  <c:v>-14.94</c:v>
                </c:pt>
                <c:pt idx="8507">
                  <c:v>-14.93</c:v>
                </c:pt>
                <c:pt idx="8508">
                  <c:v>-14.92</c:v>
                </c:pt>
                <c:pt idx="8509">
                  <c:v>-14.91</c:v>
                </c:pt>
                <c:pt idx="8510">
                  <c:v>-14.9</c:v>
                </c:pt>
                <c:pt idx="8511">
                  <c:v>-14.89</c:v>
                </c:pt>
                <c:pt idx="8512">
                  <c:v>-14.88</c:v>
                </c:pt>
                <c:pt idx="8513">
                  <c:v>-14.87</c:v>
                </c:pt>
                <c:pt idx="8514">
                  <c:v>-14.86</c:v>
                </c:pt>
                <c:pt idx="8515">
                  <c:v>-14.85</c:v>
                </c:pt>
                <c:pt idx="8516">
                  <c:v>-14.84</c:v>
                </c:pt>
                <c:pt idx="8517">
                  <c:v>-14.83</c:v>
                </c:pt>
                <c:pt idx="8518">
                  <c:v>-14.82</c:v>
                </c:pt>
                <c:pt idx="8519">
                  <c:v>-14.81</c:v>
                </c:pt>
                <c:pt idx="8520">
                  <c:v>-14.8</c:v>
                </c:pt>
                <c:pt idx="8521">
                  <c:v>-14.79</c:v>
                </c:pt>
                <c:pt idx="8522">
                  <c:v>-14.78</c:v>
                </c:pt>
                <c:pt idx="8523">
                  <c:v>-14.77</c:v>
                </c:pt>
                <c:pt idx="8524">
                  <c:v>-14.76</c:v>
                </c:pt>
                <c:pt idx="8525">
                  <c:v>-14.75</c:v>
                </c:pt>
                <c:pt idx="8526">
                  <c:v>-14.74</c:v>
                </c:pt>
                <c:pt idx="8527">
                  <c:v>-14.73</c:v>
                </c:pt>
                <c:pt idx="8528">
                  <c:v>-14.72</c:v>
                </c:pt>
                <c:pt idx="8529">
                  <c:v>-14.71</c:v>
                </c:pt>
                <c:pt idx="8530">
                  <c:v>-14.7</c:v>
                </c:pt>
                <c:pt idx="8531">
                  <c:v>-14.69</c:v>
                </c:pt>
                <c:pt idx="8532">
                  <c:v>-14.68</c:v>
                </c:pt>
                <c:pt idx="8533">
                  <c:v>-14.67</c:v>
                </c:pt>
                <c:pt idx="8534">
                  <c:v>-14.66</c:v>
                </c:pt>
                <c:pt idx="8535">
                  <c:v>-14.65</c:v>
                </c:pt>
                <c:pt idx="8536">
                  <c:v>-14.64</c:v>
                </c:pt>
                <c:pt idx="8537">
                  <c:v>-14.63</c:v>
                </c:pt>
                <c:pt idx="8538">
                  <c:v>-14.62</c:v>
                </c:pt>
                <c:pt idx="8539">
                  <c:v>-14.61</c:v>
                </c:pt>
                <c:pt idx="8540">
                  <c:v>-14.6</c:v>
                </c:pt>
                <c:pt idx="8541">
                  <c:v>-14.59</c:v>
                </c:pt>
                <c:pt idx="8542">
                  <c:v>-14.58</c:v>
                </c:pt>
                <c:pt idx="8543">
                  <c:v>-14.57</c:v>
                </c:pt>
                <c:pt idx="8544">
                  <c:v>-14.56</c:v>
                </c:pt>
                <c:pt idx="8545">
                  <c:v>-14.55</c:v>
                </c:pt>
                <c:pt idx="8546">
                  <c:v>-14.54</c:v>
                </c:pt>
                <c:pt idx="8547">
                  <c:v>-14.53</c:v>
                </c:pt>
                <c:pt idx="8548">
                  <c:v>-14.52</c:v>
                </c:pt>
                <c:pt idx="8549">
                  <c:v>-14.51</c:v>
                </c:pt>
                <c:pt idx="8550">
                  <c:v>-14.5</c:v>
                </c:pt>
                <c:pt idx="8551">
                  <c:v>-14.49</c:v>
                </c:pt>
                <c:pt idx="8552">
                  <c:v>-14.48</c:v>
                </c:pt>
                <c:pt idx="8553">
                  <c:v>-14.47</c:v>
                </c:pt>
                <c:pt idx="8554">
                  <c:v>-14.46</c:v>
                </c:pt>
                <c:pt idx="8555">
                  <c:v>-14.45</c:v>
                </c:pt>
                <c:pt idx="8556">
                  <c:v>-14.44</c:v>
                </c:pt>
                <c:pt idx="8557">
                  <c:v>-14.43</c:v>
                </c:pt>
                <c:pt idx="8558">
                  <c:v>-14.42</c:v>
                </c:pt>
                <c:pt idx="8559">
                  <c:v>-14.41</c:v>
                </c:pt>
                <c:pt idx="8560">
                  <c:v>-14.4</c:v>
                </c:pt>
                <c:pt idx="8561">
                  <c:v>-14.39</c:v>
                </c:pt>
                <c:pt idx="8562">
                  <c:v>-14.38</c:v>
                </c:pt>
                <c:pt idx="8563">
                  <c:v>-14.37</c:v>
                </c:pt>
                <c:pt idx="8564">
                  <c:v>-14.36</c:v>
                </c:pt>
                <c:pt idx="8565">
                  <c:v>-14.35</c:v>
                </c:pt>
                <c:pt idx="8566">
                  <c:v>-14.34</c:v>
                </c:pt>
                <c:pt idx="8567">
                  <c:v>-14.33</c:v>
                </c:pt>
                <c:pt idx="8568">
                  <c:v>-14.32</c:v>
                </c:pt>
                <c:pt idx="8569">
                  <c:v>-14.31</c:v>
                </c:pt>
                <c:pt idx="8570">
                  <c:v>-14.3</c:v>
                </c:pt>
                <c:pt idx="8571">
                  <c:v>-14.29</c:v>
                </c:pt>
                <c:pt idx="8572">
                  <c:v>-14.28</c:v>
                </c:pt>
                <c:pt idx="8573">
                  <c:v>-14.27</c:v>
                </c:pt>
                <c:pt idx="8574">
                  <c:v>-14.26</c:v>
                </c:pt>
                <c:pt idx="8575">
                  <c:v>-14.25</c:v>
                </c:pt>
                <c:pt idx="8576">
                  <c:v>-14.24</c:v>
                </c:pt>
                <c:pt idx="8577">
                  <c:v>-14.23</c:v>
                </c:pt>
                <c:pt idx="8578">
                  <c:v>-14.22</c:v>
                </c:pt>
                <c:pt idx="8579">
                  <c:v>-14.21</c:v>
                </c:pt>
                <c:pt idx="8580">
                  <c:v>-14.2</c:v>
                </c:pt>
                <c:pt idx="8581">
                  <c:v>-14.19</c:v>
                </c:pt>
                <c:pt idx="8582">
                  <c:v>-14.18</c:v>
                </c:pt>
                <c:pt idx="8583">
                  <c:v>-14.17</c:v>
                </c:pt>
                <c:pt idx="8584">
                  <c:v>-14.16</c:v>
                </c:pt>
                <c:pt idx="8585">
                  <c:v>-14.15</c:v>
                </c:pt>
                <c:pt idx="8586">
                  <c:v>-14.14</c:v>
                </c:pt>
                <c:pt idx="8587">
                  <c:v>-14.13</c:v>
                </c:pt>
                <c:pt idx="8588">
                  <c:v>-14.12</c:v>
                </c:pt>
                <c:pt idx="8589">
                  <c:v>-14.11</c:v>
                </c:pt>
                <c:pt idx="8590">
                  <c:v>-14.1</c:v>
                </c:pt>
                <c:pt idx="8591">
                  <c:v>-14.09</c:v>
                </c:pt>
                <c:pt idx="8592">
                  <c:v>-14.08</c:v>
                </c:pt>
                <c:pt idx="8593">
                  <c:v>-14.07</c:v>
                </c:pt>
                <c:pt idx="8594">
                  <c:v>-14.06</c:v>
                </c:pt>
                <c:pt idx="8595">
                  <c:v>-14.05</c:v>
                </c:pt>
                <c:pt idx="8596">
                  <c:v>-14.04</c:v>
                </c:pt>
                <c:pt idx="8597">
                  <c:v>-14.03</c:v>
                </c:pt>
                <c:pt idx="8598">
                  <c:v>-14.02</c:v>
                </c:pt>
                <c:pt idx="8599">
                  <c:v>-14.01</c:v>
                </c:pt>
                <c:pt idx="8600">
                  <c:v>-14.0</c:v>
                </c:pt>
                <c:pt idx="8601">
                  <c:v>-13.99</c:v>
                </c:pt>
                <c:pt idx="8602">
                  <c:v>-13.98</c:v>
                </c:pt>
                <c:pt idx="8603">
                  <c:v>-13.97</c:v>
                </c:pt>
                <c:pt idx="8604">
                  <c:v>-13.96</c:v>
                </c:pt>
                <c:pt idx="8605">
                  <c:v>-13.95</c:v>
                </c:pt>
                <c:pt idx="8606">
                  <c:v>-13.94</c:v>
                </c:pt>
                <c:pt idx="8607">
                  <c:v>-13.93</c:v>
                </c:pt>
                <c:pt idx="8608">
                  <c:v>-13.92</c:v>
                </c:pt>
                <c:pt idx="8609">
                  <c:v>-13.91</c:v>
                </c:pt>
                <c:pt idx="8610">
                  <c:v>-13.9</c:v>
                </c:pt>
                <c:pt idx="8611">
                  <c:v>-13.89</c:v>
                </c:pt>
                <c:pt idx="8612">
                  <c:v>-13.88</c:v>
                </c:pt>
                <c:pt idx="8613">
                  <c:v>-13.87</c:v>
                </c:pt>
                <c:pt idx="8614">
                  <c:v>-13.86</c:v>
                </c:pt>
                <c:pt idx="8615">
                  <c:v>-13.85</c:v>
                </c:pt>
                <c:pt idx="8616">
                  <c:v>-13.84</c:v>
                </c:pt>
                <c:pt idx="8617">
                  <c:v>-13.83</c:v>
                </c:pt>
                <c:pt idx="8618">
                  <c:v>-13.82</c:v>
                </c:pt>
                <c:pt idx="8619">
                  <c:v>-13.81</c:v>
                </c:pt>
                <c:pt idx="8620">
                  <c:v>-13.8</c:v>
                </c:pt>
                <c:pt idx="8621">
                  <c:v>-13.79</c:v>
                </c:pt>
                <c:pt idx="8622">
                  <c:v>-13.78</c:v>
                </c:pt>
                <c:pt idx="8623">
                  <c:v>-13.77</c:v>
                </c:pt>
                <c:pt idx="8624">
                  <c:v>-13.76</c:v>
                </c:pt>
                <c:pt idx="8625">
                  <c:v>-13.75</c:v>
                </c:pt>
                <c:pt idx="8626">
                  <c:v>-13.74</c:v>
                </c:pt>
                <c:pt idx="8627">
                  <c:v>-13.73</c:v>
                </c:pt>
                <c:pt idx="8628">
                  <c:v>-13.72</c:v>
                </c:pt>
                <c:pt idx="8629">
                  <c:v>-13.71</c:v>
                </c:pt>
                <c:pt idx="8630">
                  <c:v>-13.7</c:v>
                </c:pt>
                <c:pt idx="8631">
                  <c:v>-13.69</c:v>
                </c:pt>
                <c:pt idx="8632">
                  <c:v>-13.68</c:v>
                </c:pt>
                <c:pt idx="8633">
                  <c:v>-13.67</c:v>
                </c:pt>
                <c:pt idx="8634">
                  <c:v>-13.66</c:v>
                </c:pt>
                <c:pt idx="8635">
                  <c:v>-13.65</c:v>
                </c:pt>
                <c:pt idx="8636">
                  <c:v>-13.64</c:v>
                </c:pt>
                <c:pt idx="8637">
                  <c:v>-13.63</c:v>
                </c:pt>
                <c:pt idx="8638">
                  <c:v>-13.62</c:v>
                </c:pt>
                <c:pt idx="8639">
                  <c:v>-13.61</c:v>
                </c:pt>
                <c:pt idx="8640">
                  <c:v>-13.6</c:v>
                </c:pt>
                <c:pt idx="8641">
                  <c:v>-13.59</c:v>
                </c:pt>
                <c:pt idx="8642">
                  <c:v>-13.58</c:v>
                </c:pt>
                <c:pt idx="8643">
                  <c:v>-13.57</c:v>
                </c:pt>
                <c:pt idx="8644">
                  <c:v>-13.56</c:v>
                </c:pt>
                <c:pt idx="8645">
                  <c:v>-13.55</c:v>
                </c:pt>
                <c:pt idx="8646">
                  <c:v>-13.54</c:v>
                </c:pt>
                <c:pt idx="8647">
                  <c:v>-13.53</c:v>
                </c:pt>
                <c:pt idx="8648">
                  <c:v>-13.52</c:v>
                </c:pt>
                <c:pt idx="8649">
                  <c:v>-13.51</c:v>
                </c:pt>
                <c:pt idx="8650">
                  <c:v>-13.5</c:v>
                </c:pt>
                <c:pt idx="8651">
                  <c:v>-13.49</c:v>
                </c:pt>
                <c:pt idx="8652">
                  <c:v>-13.48</c:v>
                </c:pt>
                <c:pt idx="8653">
                  <c:v>-13.47</c:v>
                </c:pt>
                <c:pt idx="8654">
                  <c:v>-13.46</c:v>
                </c:pt>
                <c:pt idx="8655">
                  <c:v>-13.45</c:v>
                </c:pt>
                <c:pt idx="8656">
                  <c:v>-13.44</c:v>
                </c:pt>
                <c:pt idx="8657">
                  <c:v>-13.43</c:v>
                </c:pt>
                <c:pt idx="8658">
                  <c:v>-13.42</c:v>
                </c:pt>
                <c:pt idx="8659">
                  <c:v>-13.41</c:v>
                </c:pt>
                <c:pt idx="8660">
                  <c:v>-13.4</c:v>
                </c:pt>
                <c:pt idx="8661">
                  <c:v>-13.39</c:v>
                </c:pt>
                <c:pt idx="8662">
                  <c:v>-13.38</c:v>
                </c:pt>
                <c:pt idx="8663">
                  <c:v>-13.37</c:v>
                </c:pt>
                <c:pt idx="8664">
                  <c:v>-13.36</c:v>
                </c:pt>
                <c:pt idx="8665">
                  <c:v>-13.35</c:v>
                </c:pt>
                <c:pt idx="8666">
                  <c:v>-13.34</c:v>
                </c:pt>
                <c:pt idx="8667">
                  <c:v>-13.33</c:v>
                </c:pt>
                <c:pt idx="8668">
                  <c:v>-13.32</c:v>
                </c:pt>
                <c:pt idx="8669">
                  <c:v>-13.31</c:v>
                </c:pt>
                <c:pt idx="8670">
                  <c:v>-13.3</c:v>
                </c:pt>
                <c:pt idx="8671">
                  <c:v>-13.29</c:v>
                </c:pt>
                <c:pt idx="8672">
                  <c:v>-13.28</c:v>
                </c:pt>
                <c:pt idx="8673">
                  <c:v>-13.27</c:v>
                </c:pt>
                <c:pt idx="8674">
                  <c:v>-13.26</c:v>
                </c:pt>
                <c:pt idx="8675">
                  <c:v>-13.25</c:v>
                </c:pt>
                <c:pt idx="8676">
                  <c:v>-13.24</c:v>
                </c:pt>
                <c:pt idx="8677">
                  <c:v>-13.23</c:v>
                </c:pt>
                <c:pt idx="8678">
                  <c:v>-13.22</c:v>
                </c:pt>
                <c:pt idx="8679">
                  <c:v>-13.21</c:v>
                </c:pt>
                <c:pt idx="8680">
                  <c:v>-13.2</c:v>
                </c:pt>
                <c:pt idx="8681">
                  <c:v>-13.19</c:v>
                </c:pt>
                <c:pt idx="8682">
                  <c:v>-13.18</c:v>
                </c:pt>
                <c:pt idx="8683">
                  <c:v>-13.17</c:v>
                </c:pt>
                <c:pt idx="8684">
                  <c:v>-13.16</c:v>
                </c:pt>
                <c:pt idx="8685">
                  <c:v>-13.15</c:v>
                </c:pt>
                <c:pt idx="8686">
                  <c:v>-13.14</c:v>
                </c:pt>
                <c:pt idx="8687">
                  <c:v>-13.13</c:v>
                </c:pt>
                <c:pt idx="8688">
                  <c:v>-13.12</c:v>
                </c:pt>
                <c:pt idx="8689">
                  <c:v>-13.11</c:v>
                </c:pt>
                <c:pt idx="8690">
                  <c:v>-13.1</c:v>
                </c:pt>
                <c:pt idx="8691">
                  <c:v>-13.09</c:v>
                </c:pt>
                <c:pt idx="8692">
                  <c:v>-13.08</c:v>
                </c:pt>
                <c:pt idx="8693">
                  <c:v>-13.07</c:v>
                </c:pt>
                <c:pt idx="8694">
                  <c:v>-13.06</c:v>
                </c:pt>
                <c:pt idx="8695">
                  <c:v>-13.05</c:v>
                </c:pt>
                <c:pt idx="8696">
                  <c:v>-13.04</c:v>
                </c:pt>
                <c:pt idx="8697">
                  <c:v>-13.03</c:v>
                </c:pt>
                <c:pt idx="8698">
                  <c:v>-13.02</c:v>
                </c:pt>
                <c:pt idx="8699">
                  <c:v>-13.01</c:v>
                </c:pt>
                <c:pt idx="8700">
                  <c:v>-13.0</c:v>
                </c:pt>
                <c:pt idx="8701">
                  <c:v>-12.99</c:v>
                </c:pt>
                <c:pt idx="8702">
                  <c:v>-12.98</c:v>
                </c:pt>
                <c:pt idx="8703">
                  <c:v>-12.97</c:v>
                </c:pt>
                <c:pt idx="8704">
                  <c:v>-12.96</c:v>
                </c:pt>
                <c:pt idx="8705">
                  <c:v>-12.95</c:v>
                </c:pt>
                <c:pt idx="8706">
                  <c:v>-12.94</c:v>
                </c:pt>
                <c:pt idx="8707">
                  <c:v>-12.93</c:v>
                </c:pt>
                <c:pt idx="8708">
                  <c:v>-12.92</c:v>
                </c:pt>
                <c:pt idx="8709">
                  <c:v>-12.91</c:v>
                </c:pt>
                <c:pt idx="8710">
                  <c:v>-12.9</c:v>
                </c:pt>
                <c:pt idx="8711">
                  <c:v>-12.89</c:v>
                </c:pt>
                <c:pt idx="8712">
                  <c:v>-12.88</c:v>
                </c:pt>
                <c:pt idx="8713">
                  <c:v>-12.87</c:v>
                </c:pt>
                <c:pt idx="8714">
                  <c:v>-12.86</c:v>
                </c:pt>
                <c:pt idx="8715">
                  <c:v>-12.85</c:v>
                </c:pt>
                <c:pt idx="8716">
                  <c:v>-12.84</c:v>
                </c:pt>
                <c:pt idx="8717">
                  <c:v>-12.83</c:v>
                </c:pt>
                <c:pt idx="8718">
                  <c:v>-12.82</c:v>
                </c:pt>
                <c:pt idx="8719">
                  <c:v>-12.81</c:v>
                </c:pt>
                <c:pt idx="8720">
                  <c:v>-12.8</c:v>
                </c:pt>
                <c:pt idx="8721">
                  <c:v>-12.79</c:v>
                </c:pt>
                <c:pt idx="8722">
                  <c:v>-12.78</c:v>
                </c:pt>
                <c:pt idx="8723">
                  <c:v>-12.77</c:v>
                </c:pt>
                <c:pt idx="8724">
                  <c:v>-12.76</c:v>
                </c:pt>
                <c:pt idx="8725">
                  <c:v>-12.75</c:v>
                </c:pt>
                <c:pt idx="8726">
                  <c:v>-12.74</c:v>
                </c:pt>
                <c:pt idx="8727">
                  <c:v>-12.73</c:v>
                </c:pt>
                <c:pt idx="8728">
                  <c:v>-12.72</c:v>
                </c:pt>
                <c:pt idx="8729">
                  <c:v>-12.71</c:v>
                </c:pt>
                <c:pt idx="8730">
                  <c:v>-12.7</c:v>
                </c:pt>
                <c:pt idx="8731">
                  <c:v>-12.69</c:v>
                </c:pt>
                <c:pt idx="8732">
                  <c:v>-12.68</c:v>
                </c:pt>
                <c:pt idx="8733">
                  <c:v>-12.67</c:v>
                </c:pt>
                <c:pt idx="8734">
                  <c:v>-12.66</c:v>
                </c:pt>
                <c:pt idx="8735">
                  <c:v>-12.65</c:v>
                </c:pt>
                <c:pt idx="8736">
                  <c:v>-12.64</c:v>
                </c:pt>
                <c:pt idx="8737">
                  <c:v>-12.63</c:v>
                </c:pt>
                <c:pt idx="8738">
                  <c:v>-12.62</c:v>
                </c:pt>
                <c:pt idx="8739">
                  <c:v>-12.61</c:v>
                </c:pt>
                <c:pt idx="8740">
                  <c:v>-12.6</c:v>
                </c:pt>
                <c:pt idx="8741">
                  <c:v>-12.59</c:v>
                </c:pt>
                <c:pt idx="8742">
                  <c:v>-12.58</c:v>
                </c:pt>
                <c:pt idx="8743">
                  <c:v>-12.57</c:v>
                </c:pt>
                <c:pt idx="8744">
                  <c:v>-12.56</c:v>
                </c:pt>
                <c:pt idx="8745">
                  <c:v>-12.55</c:v>
                </c:pt>
                <c:pt idx="8746">
                  <c:v>-12.54</c:v>
                </c:pt>
                <c:pt idx="8747">
                  <c:v>-12.53</c:v>
                </c:pt>
                <c:pt idx="8748">
                  <c:v>-12.52</c:v>
                </c:pt>
                <c:pt idx="8749">
                  <c:v>-12.51</c:v>
                </c:pt>
                <c:pt idx="8750">
                  <c:v>-12.5</c:v>
                </c:pt>
                <c:pt idx="8751">
                  <c:v>-12.49</c:v>
                </c:pt>
                <c:pt idx="8752">
                  <c:v>-12.48</c:v>
                </c:pt>
                <c:pt idx="8753">
                  <c:v>-12.47</c:v>
                </c:pt>
                <c:pt idx="8754">
                  <c:v>-12.46</c:v>
                </c:pt>
                <c:pt idx="8755">
                  <c:v>-12.45</c:v>
                </c:pt>
                <c:pt idx="8756">
                  <c:v>-12.44</c:v>
                </c:pt>
                <c:pt idx="8757">
                  <c:v>-12.43</c:v>
                </c:pt>
                <c:pt idx="8758">
                  <c:v>-12.42</c:v>
                </c:pt>
                <c:pt idx="8759">
                  <c:v>-12.41</c:v>
                </c:pt>
                <c:pt idx="8760">
                  <c:v>-12.4</c:v>
                </c:pt>
                <c:pt idx="8761">
                  <c:v>-12.39</c:v>
                </c:pt>
                <c:pt idx="8762">
                  <c:v>-12.38</c:v>
                </c:pt>
                <c:pt idx="8763">
                  <c:v>-12.37</c:v>
                </c:pt>
                <c:pt idx="8764">
                  <c:v>-12.36</c:v>
                </c:pt>
                <c:pt idx="8765">
                  <c:v>-12.35</c:v>
                </c:pt>
                <c:pt idx="8766">
                  <c:v>-12.34</c:v>
                </c:pt>
                <c:pt idx="8767">
                  <c:v>-12.33</c:v>
                </c:pt>
                <c:pt idx="8768">
                  <c:v>-12.32</c:v>
                </c:pt>
                <c:pt idx="8769">
                  <c:v>-12.31</c:v>
                </c:pt>
                <c:pt idx="8770">
                  <c:v>-12.3</c:v>
                </c:pt>
                <c:pt idx="8771">
                  <c:v>-12.29</c:v>
                </c:pt>
                <c:pt idx="8772">
                  <c:v>-12.28</c:v>
                </c:pt>
                <c:pt idx="8773">
                  <c:v>-12.27</c:v>
                </c:pt>
                <c:pt idx="8774">
                  <c:v>-12.26</c:v>
                </c:pt>
                <c:pt idx="8775">
                  <c:v>-12.25</c:v>
                </c:pt>
                <c:pt idx="8776">
                  <c:v>-12.24</c:v>
                </c:pt>
                <c:pt idx="8777">
                  <c:v>-12.23</c:v>
                </c:pt>
                <c:pt idx="8778">
                  <c:v>-12.22</c:v>
                </c:pt>
                <c:pt idx="8779">
                  <c:v>-12.21</c:v>
                </c:pt>
                <c:pt idx="8780">
                  <c:v>-12.2</c:v>
                </c:pt>
                <c:pt idx="8781">
                  <c:v>-12.19</c:v>
                </c:pt>
                <c:pt idx="8782">
                  <c:v>-12.18</c:v>
                </c:pt>
                <c:pt idx="8783">
                  <c:v>-12.17</c:v>
                </c:pt>
                <c:pt idx="8784">
                  <c:v>-12.16</c:v>
                </c:pt>
                <c:pt idx="8785">
                  <c:v>-12.15</c:v>
                </c:pt>
                <c:pt idx="8786">
                  <c:v>-12.14</c:v>
                </c:pt>
                <c:pt idx="8787">
                  <c:v>-12.13</c:v>
                </c:pt>
                <c:pt idx="8788">
                  <c:v>-12.12</c:v>
                </c:pt>
                <c:pt idx="8789">
                  <c:v>-12.11</c:v>
                </c:pt>
                <c:pt idx="8790">
                  <c:v>-12.1</c:v>
                </c:pt>
                <c:pt idx="8791">
                  <c:v>-12.09</c:v>
                </c:pt>
                <c:pt idx="8792">
                  <c:v>-12.08</c:v>
                </c:pt>
                <c:pt idx="8793">
                  <c:v>-12.07</c:v>
                </c:pt>
                <c:pt idx="8794">
                  <c:v>-12.06</c:v>
                </c:pt>
                <c:pt idx="8795">
                  <c:v>-12.05</c:v>
                </c:pt>
                <c:pt idx="8796">
                  <c:v>-12.04</c:v>
                </c:pt>
                <c:pt idx="8797">
                  <c:v>-12.03</c:v>
                </c:pt>
                <c:pt idx="8798">
                  <c:v>-12.02</c:v>
                </c:pt>
                <c:pt idx="8799">
                  <c:v>-12.01</c:v>
                </c:pt>
                <c:pt idx="8800">
                  <c:v>-12.0</c:v>
                </c:pt>
                <c:pt idx="8801">
                  <c:v>-11.99</c:v>
                </c:pt>
                <c:pt idx="8802">
                  <c:v>-11.98</c:v>
                </c:pt>
                <c:pt idx="8803">
                  <c:v>-11.97</c:v>
                </c:pt>
                <c:pt idx="8804">
                  <c:v>-11.96</c:v>
                </c:pt>
                <c:pt idx="8805">
                  <c:v>-11.95</c:v>
                </c:pt>
                <c:pt idx="8806">
                  <c:v>-11.94</c:v>
                </c:pt>
                <c:pt idx="8807">
                  <c:v>-11.93</c:v>
                </c:pt>
                <c:pt idx="8808">
                  <c:v>-11.92</c:v>
                </c:pt>
                <c:pt idx="8809">
                  <c:v>-11.91</c:v>
                </c:pt>
                <c:pt idx="8810">
                  <c:v>-11.9</c:v>
                </c:pt>
                <c:pt idx="8811">
                  <c:v>-11.89</c:v>
                </c:pt>
                <c:pt idx="8812">
                  <c:v>-11.88</c:v>
                </c:pt>
                <c:pt idx="8813">
                  <c:v>-11.87</c:v>
                </c:pt>
                <c:pt idx="8814">
                  <c:v>-11.86</c:v>
                </c:pt>
                <c:pt idx="8815">
                  <c:v>-11.85</c:v>
                </c:pt>
                <c:pt idx="8816">
                  <c:v>-11.84</c:v>
                </c:pt>
                <c:pt idx="8817">
                  <c:v>-11.83</c:v>
                </c:pt>
                <c:pt idx="8818">
                  <c:v>-11.82</c:v>
                </c:pt>
                <c:pt idx="8819">
                  <c:v>-11.81</c:v>
                </c:pt>
                <c:pt idx="8820">
                  <c:v>-11.8</c:v>
                </c:pt>
                <c:pt idx="8821">
                  <c:v>-11.79</c:v>
                </c:pt>
                <c:pt idx="8822">
                  <c:v>-11.78</c:v>
                </c:pt>
                <c:pt idx="8823">
                  <c:v>-11.77</c:v>
                </c:pt>
                <c:pt idx="8824">
                  <c:v>-11.76</c:v>
                </c:pt>
                <c:pt idx="8825">
                  <c:v>-11.75</c:v>
                </c:pt>
                <c:pt idx="8826">
                  <c:v>-11.74</c:v>
                </c:pt>
                <c:pt idx="8827">
                  <c:v>-11.73</c:v>
                </c:pt>
                <c:pt idx="8828">
                  <c:v>-11.72</c:v>
                </c:pt>
                <c:pt idx="8829">
                  <c:v>-11.71</c:v>
                </c:pt>
                <c:pt idx="8830">
                  <c:v>-11.7</c:v>
                </c:pt>
                <c:pt idx="8831">
                  <c:v>-11.69</c:v>
                </c:pt>
                <c:pt idx="8832">
                  <c:v>-11.68</c:v>
                </c:pt>
                <c:pt idx="8833">
                  <c:v>-11.67</c:v>
                </c:pt>
                <c:pt idx="8834">
                  <c:v>-11.66</c:v>
                </c:pt>
                <c:pt idx="8835">
                  <c:v>-11.65</c:v>
                </c:pt>
                <c:pt idx="8836">
                  <c:v>-11.64</c:v>
                </c:pt>
                <c:pt idx="8837">
                  <c:v>-11.63</c:v>
                </c:pt>
                <c:pt idx="8838">
                  <c:v>-11.62</c:v>
                </c:pt>
                <c:pt idx="8839">
                  <c:v>-11.61</c:v>
                </c:pt>
                <c:pt idx="8840">
                  <c:v>-11.6</c:v>
                </c:pt>
                <c:pt idx="8841">
                  <c:v>-11.59</c:v>
                </c:pt>
                <c:pt idx="8842">
                  <c:v>-11.58</c:v>
                </c:pt>
                <c:pt idx="8843">
                  <c:v>-11.57</c:v>
                </c:pt>
                <c:pt idx="8844">
                  <c:v>-11.56</c:v>
                </c:pt>
                <c:pt idx="8845">
                  <c:v>-11.55</c:v>
                </c:pt>
                <c:pt idx="8846">
                  <c:v>-11.54</c:v>
                </c:pt>
                <c:pt idx="8847">
                  <c:v>-11.53</c:v>
                </c:pt>
                <c:pt idx="8848">
                  <c:v>-11.52</c:v>
                </c:pt>
                <c:pt idx="8849">
                  <c:v>-11.51</c:v>
                </c:pt>
                <c:pt idx="8850">
                  <c:v>-11.5</c:v>
                </c:pt>
                <c:pt idx="8851">
                  <c:v>-11.49</c:v>
                </c:pt>
                <c:pt idx="8852">
                  <c:v>-11.48</c:v>
                </c:pt>
                <c:pt idx="8853">
                  <c:v>-11.47</c:v>
                </c:pt>
                <c:pt idx="8854">
                  <c:v>-11.46</c:v>
                </c:pt>
                <c:pt idx="8855">
                  <c:v>-11.45</c:v>
                </c:pt>
                <c:pt idx="8856">
                  <c:v>-11.44</c:v>
                </c:pt>
                <c:pt idx="8857">
                  <c:v>-11.43</c:v>
                </c:pt>
                <c:pt idx="8858">
                  <c:v>-11.42</c:v>
                </c:pt>
                <c:pt idx="8859">
                  <c:v>-11.41</c:v>
                </c:pt>
                <c:pt idx="8860">
                  <c:v>-11.4</c:v>
                </c:pt>
                <c:pt idx="8861">
                  <c:v>-11.39</c:v>
                </c:pt>
                <c:pt idx="8862">
                  <c:v>-11.38</c:v>
                </c:pt>
                <c:pt idx="8863">
                  <c:v>-11.37</c:v>
                </c:pt>
                <c:pt idx="8864">
                  <c:v>-11.36</c:v>
                </c:pt>
                <c:pt idx="8865">
                  <c:v>-11.35</c:v>
                </c:pt>
                <c:pt idx="8866">
                  <c:v>-11.34</c:v>
                </c:pt>
                <c:pt idx="8867">
                  <c:v>-11.33</c:v>
                </c:pt>
                <c:pt idx="8868">
                  <c:v>-11.32</c:v>
                </c:pt>
                <c:pt idx="8869">
                  <c:v>-11.31</c:v>
                </c:pt>
                <c:pt idx="8870">
                  <c:v>-11.3</c:v>
                </c:pt>
                <c:pt idx="8871">
                  <c:v>-11.29</c:v>
                </c:pt>
                <c:pt idx="8872">
                  <c:v>-11.28</c:v>
                </c:pt>
                <c:pt idx="8873">
                  <c:v>-11.27</c:v>
                </c:pt>
                <c:pt idx="8874">
                  <c:v>-11.26</c:v>
                </c:pt>
                <c:pt idx="8875">
                  <c:v>-11.25</c:v>
                </c:pt>
                <c:pt idx="8876">
                  <c:v>-11.24</c:v>
                </c:pt>
                <c:pt idx="8877">
                  <c:v>-11.23</c:v>
                </c:pt>
                <c:pt idx="8878">
                  <c:v>-11.22</c:v>
                </c:pt>
                <c:pt idx="8879">
                  <c:v>-11.21</c:v>
                </c:pt>
                <c:pt idx="8880">
                  <c:v>-11.2</c:v>
                </c:pt>
                <c:pt idx="8881">
                  <c:v>-11.19</c:v>
                </c:pt>
                <c:pt idx="8882">
                  <c:v>-11.18</c:v>
                </c:pt>
                <c:pt idx="8883">
                  <c:v>-11.17</c:v>
                </c:pt>
                <c:pt idx="8884">
                  <c:v>-11.16</c:v>
                </c:pt>
                <c:pt idx="8885">
                  <c:v>-11.15</c:v>
                </c:pt>
                <c:pt idx="8886">
                  <c:v>-11.14</c:v>
                </c:pt>
                <c:pt idx="8887">
                  <c:v>-11.13</c:v>
                </c:pt>
                <c:pt idx="8888">
                  <c:v>-11.12</c:v>
                </c:pt>
                <c:pt idx="8889">
                  <c:v>-11.11</c:v>
                </c:pt>
                <c:pt idx="8890">
                  <c:v>-11.1</c:v>
                </c:pt>
                <c:pt idx="8891">
                  <c:v>-11.09</c:v>
                </c:pt>
                <c:pt idx="8892">
                  <c:v>-11.08</c:v>
                </c:pt>
                <c:pt idx="8893">
                  <c:v>-11.07</c:v>
                </c:pt>
                <c:pt idx="8894">
                  <c:v>-11.06</c:v>
                </c:pt>
                <c:pt idx="8895">
                  <c:v>-11.05</c:v>
                </c:pt>
                <c:pt idx="8896">
                  <c:v>-11.04</c:v>
                </c:pt>
                <c:pt idx="8897">
                  <c:v>-11.03</c:v>
                </c:pt>
                <c:pt idx="8898">
                  <c:v>-11.02</c:v>
                </c:pt>
                <c:pt idx="8899">
                  <c:v>-11.01</c:v>
                </c:pt>
                <c:pt idx="8900">
                  <c:v>-11.0</c:v>
                </c:pt>
                <c:pt idx="8901">
                  <c:v>-10.99</c:v>
                </c:pt>
                <c:pt idx="8902">
                  <c:v>-10.98</c:v>
                </c:pt>
                <c:pt idx="8903">
                  <c:v>-10.97</c:v>
                </c:pt>
                <c:pt idx="8904">
                  <c:v>-10.96</c:v>
                </c:pt>
                <c:pt idx="8905">
                  <c:v>-10.95</c:v>
                </c:pt>
                <c:pt idx="8906">
                  <c:v>-10.94</c:v>
                </c:pt>
                <c:pt idx="8907">
                  <c:v>-10.93</c:v>
                </c:pt>
                <c:pt idx="8908">
                  <c:v>-10.92</c:v>
                </c:pt>
                <c:pt idx="8909">
                  <c:v>-10.91</c:v>
                </c:pt>
                <c:pt idx="8910">
                  <c:v>-10.9</c:v>
                </c:pt>
                <c:pt idx="8911">
                  <c:v>-10.89</c:v>
                </c:pt>
                <c:pt idx="8912">
                  <c:v>-10.88</c:v>
                </c:pt>
                <c:pt idx="8913">
                  <c:v>-10.87</c:v>
                </c:pt>
                <c:pt idx="8914">
                  <c:v>-10.86</c:v>
                </c:pt>
                <c:pt idx="8915">
                  <c:v>-10.85</c:v>
                </c:pt>
                <c:pt idx="8916">
                  <c:v>-10.84</c:v>
                </c:pt>
                <c:pt idx="8917">
                  <c:v>-10.83</c:v>
                </c:pt>
                <c:pt idx="8918">
                  <c:v>-10.82</c:v>
                </c:pt>
                <c:pt idx="8919">
                  <c:v>-10.81</c:v>
                </c:pt>
                <c:pt idx="8920">
                  <c:v>-10.8</c:v>
                </c:pt>
                <c:pt idx="8921">
                  <c:v>-10.79</c:v>
                </c:pt>
                <c:pt idx="8922">
                  <c:v>-10.78</c:v>
                </c:pt>
                <c:pt idx="8923">
                  <c:v>-10.77</c:v>
                </c:pt>
                <c:pt idx="8924">
                  <c:v>-10.76</c:v>
                </c:pt>
                <c:pt idx="8925">
                  <c:v>-10.75</c:v>
                </c:pt>
                <c:pt idx="8926">
                  <c:v>-10.74</c:v>
                </c:pt>
                <c:pt idx="8927">
                  <c:v>-10.73</c:v>
                </c:pt>
                <c:pt idx="8928">
                  <c:v>-10.72</c:v>
                </c:pt>
                <c:pt idx="8929">
                  <c:v>-10.71</c:v>
                </c:pt>
                <c:pt idx="8930">
                  <c:v>-10.7</c:v>
                </c:pt>
                <c:pt idx="8931">
                  <c:v>-10.69</c:v>
                </c:pt>
                <c:pt idx="8932">
                  <c:v>-10.68</c:v>
                </c:pt>
                <c:pt idx="8933">
                  <c:v>-10.67</c:v>
                </c:pt>
                <c:pt idx="8934">
                  <c:v>-10.66</c:v>
                </c:pt>
                <c:pt idx="8935">
                  <c:v>-10.65</c:v>
                </c:pt>
                <c:pt idx="8936">
                  <c:v>-10.64</c:v>
                </c:pt>
                <c:pt idx="8937">
                  <c:v>-10.63</c:v>
                </c:pt>
                <c:pt idx="8938">
                  <c:v>-10.62</c:v>
                </c:pt>
                <c:pt idx="8939">
                  <c:v>-10.61</c:v>
                </c:pt>
                <c:pt idx="8940">
                  <c:v>-10.6</c:v>
                </c:pt>
                <c:pt idx="8941">
                  <c:v>-10.59</c:v>
                </c:pt>
                <c:pt idx="8942">
                  <c:v>-10.58</c:v>
                </c:pt>
                <c:pt idx="8943">
                  <c:v>-10.57</c:v>
                </c:pt>
                <c:pt idx="8944">
                  <c:v>-10.56</c:v>
                </c:pt>
                <c:pt idx="8945">
                  <c:v>-10.55</c:v>
                </c:pt>
                <c:pt idx="8946">
                  <c:v>-10.54</c:v>
                </c:pt>
                <c:pt idx="8947">
                  <c:v>-10.53</c:v>
                </c:pt>
                <c:pt idx="8948">
                  <c:v>-10.52</c:v>
                </c:pt>
                <c:pt idx="8949">
                  <c:v>-10.51</c:v>
                </c:pt>
                <c:pt idx="8950">
                  <c:v>-10.5</c:v>
                </c:pt>
                <c:pt idx="8951">
                  <c:v>-10.49</c:v>
                </c:pt>
                <c:pt idx="8952">
                  <c:v>-10.48</c:v>
                </c:pt>
                <c:pt idx="8953">
                  <c:v>-10.47</c:v>
                </c:pt>
                <c:pt idx="8954">
                  <c:v>-10.46</c:v>
                </c:pt>
                <c:pt idx="8955">
                  <c:v>-10.45</c:v>
                </c:pt>
                <c:pt idx="8956">
                  <c:v>-10.44</c:v>
                </c:pt>
                <c:pt idx="8957">
                  <c:v>-10.43</c:v>
                </c:pt>
                <c:pt idx="8958">
                  <c:v>-10.42</c:v>
                </c:pt>
                <c:pt idx="8959">
                  <c:v>-10.41</c:v>
                </c:pt>
                <c:pt idx="8960">
                  <c:v>-10.4</c:v>
                </c:pt>
                <c:pt idx="8961">
                  <c:v>-10.39</c:v>
                </c:pt>
                <c:pt idx="8962">
                  <c:v>-10.38</c:v>
                </c:pt>
                <c:pt idx="8963">
                  <c:v>-10.37</c:v>
                </c:pt>
                <c:pt idx="8964">
                  <c:v>-10.36</c:v>
                </c:pt>
                <c:pt idx="8965">
                  <c:v>-10.35</c:v>
                </c:pt>
                <c:pt idx="8966">
                  <c:v>-10.34</c:v>
                </c:pt>
                <c:pt idx="8967">
                  <c:v>-10.33</c:v>
                </c:pt>
                <c:pt idx="8968">
                  <c:v>-10.32</c:v>
                </c:pt>
                <c:pt idx="8969">
                  <c:v>-10.31</c:v>
                </c:pt>
                <c:pt idx="8970">
                  <c:v>-10.3</c:v>
                </c:pt>
                <c:pt idx="8971">
                  <c:v>-10.29</c:v>
                </c:pt>
                <c:pt idx="8972">
                  <c:v>-10.28</c:v>
                </c:pt>
                <c:pt idx="8973">
                  <c:v>-10.27</c:v>
                </c:pt>
                <c:pt idx="8974">
                  <c:v>-10.26</c:v>
                </c:pt>
                <c:pt idx="8975">
                  <c:v>-10.25</c:v>
                </c:pt>
                <c:pt idx="8976">
                  <c:v>-10.24</c:v>
                </c:pt>
                <c:pt idx="8977">
                  <c:v>-10.23</c:v>
                </c:pt>
                <c:pt idx="8978">
                  <c:v>-10.22</c:v>
                </c:pt>
                <c:pt idx="8979">
                  <c:v>-10.21</c:v>
                </c:pt>
                <c:pt idx="8980">
                  <c:v>-10.2</c:v>
                </c:pt>
                <c:pt idx="8981">
                  <c:v>-10.19</c:v>
                </c:pt>
                <c:pt idx="8982">
                  <c:v>-10.18</c:v>
                </c:pt>
                <c:pt idx="8983">
                  <c:v>-10.17</c:v>
                </c:pt>
                <c:pt idx="8984">
                  <c:v>-10.16</c:v>
                </c:pt>
                <c:pt idx="8985">
                  <c:v>-10.15</c:v>
                </c:pt>
                <c:pt idx="8986">
                  <c:v>-10.14</c:v>
                </c:pt>
                <c:pt idx="8987">
                  <c:v>-10.13</c:v>
                </c:pt>
                <c:pt idx="8988">
                  <c:v>-10.12</c:v>
                </c:pt>
                <c:pt idx="8989">
                  <c:v>-10.11</c:v>
                </c:pt>
                <c:pt idx="8990">
                  <c:v>-10.1</c:v>
                </c:pt>
                <c:pt idx="8991">
                  <c:v>-10.09</c:v>
                </c:pt>
                <c:pt idx="8992">
                  <c:v>-10.08</c:v>
                </c:pt>
                <c:pt idx="8993">
                  <c:v>-10.07</c:v>
                </c:pt>
                <c:pt idx="8994">
                  <c:v>-10.06</c:v>
                </c:pt>
                <c:pt idx="8995">
                  <c:v>-10.05</c:v>
                </c:pt>
                <c:pt idx="8996">
                  <c:v>-10.04</c:v>
                </c:pt>
                <c:pt idx="8997">
                  <c:v>-10.03</c:v>
                </c:pt>
                <c:pt idx="8998">
                  <c:v>-10.02</c:v>
                </c:pt>
                <c:pt idx="8999">
                  <c:v>-10.01</c:v>
                </c:pt>
                <c:pt idx="9000">
                  <c:v>-10.0</c:v>
                </c:pt>
                <c:pt idx="9001">
                  <c:v>-9.99</c:v>
                </c:pt>
                <c:pt idx="9002">
                  <c:v>-9.98</c:v>
                </c:pt>
                <c:pt idx="9003">
                  <c:v>-9.97</c:v>
                </c:pt>
                <c:pt idx="9004">
                  <c:v>-9.96</c:v>
                </c:pt>
                <c:pt idx="9005">
                  <c:v>-9.95</c:v>
                </c:pt>
                <c:pt idx="9006">
                  <c:v>-9.94</c:v>
                </c:pt>
                <c:pt idx="9007">
                  <c:v>-9.93</c:v>
                </c:pt>
                <c:pt idx="9008">
                  <c:v>-9.92</c:v>
                </c:pt>
                <c:pt idx="9009">
                  <c:v>-9.91</c:v>
                </c:pt>
                <c:pt idx="9010">
                  <c:v>-9.9</c:v>
                </c:pt>
                <c:pt idx="9011">
                  <c:v>-9.89</c:v>
                </c:pt>
                <c:pt idx="9012">
                  <c:v>-9.88</c:v>
                </c:pt>
                <c:pt idx="9013">
                  <c:v>-9.87</c:v>
                </c:pt>
                <c:pt idx="9014">
                  <c:v>-9.86</c:v>
                </c:pt>
                <c:pt idx="9015">
                  <c:v>-9.85</c:v>
                </c:pt>
                <c:pt idx="9016">
                  <c:v>-9.84</c:v>
                </c:pt>
                <c:pt idx="9017">
                  <c:v>-9.83</c:v>
                </c:pt>
                <c:pt idx="9018">
                  <c:v>-9.82</c:v>
                </c:pt>
                <c:pt idx="9019">
                  <c:v>-9.81</c:v>
                </c:pt>
                <c:pt idx="9020">
                  <c:v>-9.8</c:v>
                </c:pt>
                <c:pt idx="9021">
                  <c:v>-9.79</c:v>
                </c:pt>
                <c:pt idx="9022">
                  <c:v>-9.78</c:v>
                </c:pt>
                <c:pt idx="9023">
                  <c:v>-9.77</c:v>
                </c:pt>
                <c:pt idx="9024">
                  <c:v>-9.76</c:v>
                </c:pt>
                <c:pt idx="9025">
                  <c:v>-9.75</c:v>
                </c:pt>
                <c:pt idx="9026">
                  <c:v>-9.74</c:v>
                </c:pt>
                <c:pt idx="9027">
                  <c:v>-9.73</c:v>
                </c:pt>
                <c:pt idx="9028">
                  <c:v>-9.72</c:v>
                </c:pt>
                <c:pt idx="9029">
                  <c:v>-9.71</c:v>
                </c:pt>
                <c:pt idx="9030">
                  <c:v>-9.7</c:v>
                </c:pt>
                <c:pt idx="9031">
                  <c:v>-9.69</c:v>
                </c:pt>
                <c:pt idx="9032">
                  <c:v>-9.68</c:v>
                </c:pt>
                <c:pt idx="9033">
                  <c:v>-9.67</c:v>
                </c:pt>
                <c:pt idx="9034">
                  <c:v>-9.66</c:v>
                </c:pt>
                <c:pt idx="9035">
                  <c:v>-9.65</c:v>
                </c:pt>
                <c:pt idx="9036">
                  <c:v>-9.64</c:v>
                </c:pt>
                <c:pt idx="9037">
                  <c:v>-9.63</c:v>
                </c:pt>
                <c:pt idx="9038">
                  <c:v>-9.62</c:v>
                </c:pt>
                <c:pt idx="9039">
                  <c:v>-9.61</c:v>
                </c:pt>
                <c:pt idx="9040">
                  <c:v>-9.6</c:v>
                </c:pt>
                <c:pt idx="9041">
                  <c:v>-9.59</c:v>
                </c:pt>
                <c:pt idx="9042">
                  <c:v>-9.58</c:v>
                </c:pt>
                <c:pt idx="9043">
                  <c:v>-9.57</c:v>
                </c:pt>
                <c:pt idx="9044">
                  <c:v>-9.56</c:v>
                </c:pt>
                <c:pt idx="9045">
                  <c:v>-9.55</c:v>
                </c:pt>
                <c:pt idx="9046">
                  <c:v>-9.54</c:v>
                </c:pt>
                <c:pt idx="9047">
                  <c:v>-9.53</c:v>
                </c:pt>
                <c:pt idx="9048">
                  <c:v>-9.52</c:v>
                </c:pt>
                <c:pt idx="9049">
                  <c:v>-9.51</c:v>
                </c:pt>
                <c:pt idx="9050">
                  <c:v>-9.5</c:v>
                </c:pt>
                <c:pt idx="9051">
                  <c:v>-9.49</c:v>
                </c:pt>
                <c:pt idx="9052">
                  <c:v>-9.48</c:v>
                </c:pt>
                <c:pt idx="9053">
                  <c:v>-9.47</c:v>
                </c:pt>
                <c:pt idx="9054">
                  <c:v>-9.46</c:v>
                </c:pt>
                <c:pt idx="9055">
                  <c:v>-9.45</c:v>
                </c:pt>
                <c:pt idx="9056">
                  <c:v>-9.44</c:v>
                </c:pt>
                <c:pt idx="9057">
                  <c:v>-9.43</c:v>
                </c:pt>
                <c:pt idx="9058">
                  <c:v>-9.42</c:v>
                </c:pt>
                <c:pt idx="9059">
                  <c:v>-9.41</c:v>
                </c:pt>
                <c:pt idx="9060">
                  <c:v>-9.4</c:v>
                </c:pt>
                <c:pt idx="9061">
                  <c:v>-9.39</c:v>
                </c:pt>
                <c:pt idx="9062">
                  <c:v>-9.38</c:v>
                </c:pt>
                <c:pt idx="9063">
                  <c:v>-9.37</c:v>
                </c:pt>
                <c:pt idx="9064">
                  <c:v>-9.36</c:v>
                </c:pt>
                <c:pt idx="9065">
                  <c:v>-9.35</c:v>
                </c:pt>
                <c:pt idx="9066">
                  <c:v>-9.34</c:v>
                </c:pt>
                <c:pt idx="9067">
                  <c:v>-9.33</c:v>
                </c:pt>
                <c:pt idx="9068">
                  <c:v>-9.32</c:v>
                </c:pt>
                <c:pt idx="9069">
                  <c:v>-9.31</c:v>
                </c:pt>
                <c:pt idx="9070">
                  <c:v>-9.3</c:v>
                </c:pt>
                <c:pt idx="9071">
                  <c:v>-9.29</c:v>
                </c:pt>
                <c:pt idx="9072">
                  <c:v>-9.28</c:v>
                </c:pt>
                <c:pt idx="9073">
                  <c:v>-9.27</c:v>
                </c:pt>
                <c:pt idx="9074">
                  <c:v>-9.26</c:v>
                </c:pt>
                <c:pt idx="9075">
                  <c:v>-9.25</c:v>
                </c:pt>
                <c:pt idx="9076">
                  <c:v>-9.24</c:v>
                </c:pt>
                <c:pt idx="9077">
                  <c:v>-9.23</c:v>
                </c:pt>
                <c:pt idx="9078">
                  <c:v>-9.22</c:v>
                </c:pt>
                <c:pt idx="9079">
                  <c:v>-9.21</c:v>
                </c:pt>
                <c:pt idx="9080">
                  <c:v>-9.2</c:v>
                </c:pt>
                <c:pt idx="9081">
                  <c:v>-9.19</c:v>
                </c:pt>
                <c:pt idx="9082">
                  <c:v>-9.18</c:v>
                </c:pt>
                <c:pt idx="9083">
                  <c:v>-9.17</c:v>
                </c:pt>
                <c:pt idx="9084">
                  <c:v>-9.16</c:v>
                </c:pt>
                <c:pt idx="9085">
                  <c:v>-9.15</c:v>
                </c:pt>
                <c:pt idx="9086">
                  <c:v>-9.14</c:v>
                </c:pt>
                <c:pt idx="9087">
                  <c:v>-9.13</c:v>
                </c:pt>
                <c:pt idx="9088">
                  <c:v>-9.12</c:v>
                </c:pt>
                <c:pt idx="9089">
                  <c:v>-9.11</c:v>
                </c:pt>
                <c:pt idx="9090">
                  <c:v>-9.1</c:v>
                </c:pt>
                <c:pt idx="9091">
                  <c:v>-9.09</c:v>
                </c:pt>
                <c:pt idx="9092">
                  <c:v>-9.08</c:v>
                </c:pt>
                <c:pt idx="9093">
                  <c:v>-9.07</c:v>
                </c:pt>
                <c:pt idx="9094">
                  <c:v>-9.06</c:v>
                </c:pt>
                <c:pt idx="9095">
                  <c:v>-9.05</c:v>
                </c:pt>
                <c:pt idx="9096">
                  <c:v>-9.04</c:v>
                </c:pt>
                <c:pt idx="9097">
                  <c:v>-9.03</c:v>
                </c:pt>
                <c:pt idx="9098">
                  <c:v>-9.02</c:v>
                </c:pt>
                <c:pt idx="9099">
                  <c:v>-9.01</c:v>
                </c:pt>
                <c:pt idx="9100">
                  <c:v>-9.0</c:v>
                </c:pt>
                <c:pt idx="9101">
                  <c:v>-8.99</c:v>
                </c:pt>
                <c:pt idx="9102">
                  <c:v>-8.98</c:v>
                </c:pt>
                <c:pt idx="9103">
                  <c:v>-8.97</c:v>
                </c:pt>
                <c:pt idx="9104">
                  <c:v>-8.96</c:v>
                </c:pt>
                <c:pt idx="9105">
                  <c:v>-8.95</c:v>
                </c:pt>
                <c:pt idx="9106">
                  <c:v>-8.94</c:v>
                </c:pt>
                <c:pt idx="9107">
                  <c:v>-8.93</c:v>
                </c:pt>
                <c:pt idx="9108">
                  <c:v>-8.92</c:v>
                </c:pt>
                <c:pt idx="9109">
                  <c:v>-8.91</c:v>
                </c:pt>
                <c:pt idx="9110">
                  <c:v>-8.9</c:v>
                </c:pt>
                <c:pt idx="9111">
                  <c:v>-8.89</c:v>
                </c:pt>
                <c:pt idx="9112">
                  <c:v>-8.88</c:v>
                </c:pt>
                <c:pt idx="9113">
                  <c:v>-8.87</c:v>
                </c:pt>
                <c:pt idx="9114">
                  <c:v>-8.86</c:v>
                </c:pt>
                <c:pt idx="9115">
                  <c:v>-8.85</c:v>
                </c:pt>
                <c:pt idx="9116">
                  <c:v>-8.84</c:v>
                </c:pt>
                <c:pt idx="9117">
                  <c:v>-8.83</c:v>
                </c:pt>
                <c:pt idx="9118">
                  <c:v>-8.82</c:v>
                </c:pt>
                <c:pt idx="9119">
                  <c:v>-8.81</c:v>
                </c:pt>
                <c:pt idx="9120">
                  <c:v>-8.8</c:v>
                </c:pt>
                <c:pt idx="9121">
                  <c:v>-8.79</c:v>
                </c:pt>
                <c:pt idx="9122">
                  <c:v>-8.78</c:v>
                </c:pt>
                <c:pt idx="9123">
                  <c:v>-8.77</c:v>
                </c:pt>
                <c:pt idx="9124">
                  <c:v>-8.76</c:v>
                </c:pt>
                <c:pt idx="9125">
                  <c:v>-8.75</c:v>
                </c:pt>
                <c:pt idx="9126">
                  <c:v>-8.74</c:v>
                </c:pt>
                <c:pt idx="9127">
                  <c:v>-8.73</c:v>
                </c:pt>
                <c:pt idx="9128">
                  <c:v>-8.72</c:v>
                </c:pt>
                <c:pt idx="9129">
                  <c:v>-8.71</c:v>
                </c:pt>
                <c:pt idx="9130">
                  <c:v>-8.7</c:v>
                </c:pt>
                <c:pt idx="9131">
                  <c:v>-8.69</c:v>
                </c:pt>
                <c:pt idx="9132">
                  <c:v>-8.68</c:v>
                </c:pt>
                <c:pt idx="9133">
                  <c:v>-8.67</c:v>
                </c:pt>
                <c:pt idx="9134">
                  <c:v>-8.66</c:v>
                </c:pt>
                <c:pt idx="9135">
                  <c:v>-8.65</c:v>
                </c:pt>
                <c:pt idx="9136">
                  <c:v>-8.64</c:v>
                </c:pt>
                <c:pt idx="9137">
                  <c:v>-8.63</c:v>
                </c:pt>
                <c:pt idx="9138">
                  <c:v>-8.62</c:v>
                </c:pt>
                <c:pt idx="9139">
                  <c:v>-8.61</c:v>
                </c:pt>
                <c:pt idx="9140">
                  <c:v>-8.6</c:v>
                </c:pt>
                <c:pt idx="9141">
                  <c:v>-8.59</c:v>
                </c:pt>
                <c:pt idx="9142">
                  <c:v>-8.58</c:v>
                </c:pt>
                <c:pt idx="9143">
                  <c:v>-8.57</c:v>
                </c:pt>
                <c:pt idx="9144">
                  <c:v>-8.56</c:v>
                </c:pt>
                <c:pt idx="9145">
                  <c:v>-8.55</c:v>
                </c:pt>
                <c:pt idx="9146">
                  <c:v>-8.54</c:v>
                </c:pt>
                <c:pt idx="9147">
                  <c:v>-8.53</c:v>
                </c:pt>
                <c:pt idx="9148">
                  <c:v>-8.52</c:v>
                </c:pt>
                <c:pt idx="9149">
                  <c:v>-8.51</c:v>
                </c:pt>
                <c:pt idx="9150">
                  <c:v>-8.5</c:v>
                </c:pt>
                <c:pt idx="9151">
                  <c:v>-8.49</c:v>
                </c:pt>
                <c:pt idx="9152">
                  <c:v>-8.48</c:v>
                </c:pt>
                <c:pt idx="9153">
                  <c:v>-8.47</c:v>
                </c:pt>
                <c:pt idx="9154">
                  <c:v>-8.46</c:v>
                </c:pt>
                <c:pt idx="9155">
                  <c:v>-8.45</c:v>
                </c:pt>
                <c:pt idx="9156">
                  <c:v>-8.44</c:v>
                </c:pt>
                <c:pt idx="9157">
                  <c:v>-8.43</c:v>
                </c:pt>
                <c:pt idx="9158">
                  <c:v>-8.42</c:v>
                </c:pt>
                <c:pt idx="9159">
                  <c:v>-8.41</c:v>
                </c:pt>
                <c:pt idx="9160">
                  <c:v>-8.4</c:v>
                </c:pt>
                <c:pt idx="9161">
                  <c:v>-8.39</c:v>
                </c:pt>
                <c:pt idx="9162">
                  <c:v>-8.38</c:v>
                </c:pt>
                <c:pt idx="9163">
                  <c:v>-8.37</c:v>
                </c:pt>
                <c:pt idx="9164">
                  <c:v>-8.36</c:v>
                </c:pt>
                <c:pt idx="9165">
                  <c:v>-8.35</c:v>
                </c:pt>
                <c:pt idx="9166">
                  <c:v>-8.34</c:v>
                </c:pt>
                <c:pt idx="9167">
                  <c:v>-8.33</c:v>
                </c:pt>
                <c:pt idx="9168">
                  <c:v>-8.32</c:v>
                </c:pt>
                <c:pt idx="9169">
                  <c:v>-8.31</c:v>
                </c:pt>
                <c:pt idx="9170">
                  <c:v>-8.3</c:v>
                </c:pt>
                <c:pt idx="9171">
                  <c:v>-8.29</c:v>
                </c:pt>
                <c:pt idx="9172">
                  <c:v>-8.28</c:v>
                </c:pt>
                <c:pt idx="9173">
                  <c:v>-8.27</c:v>
                </c:pt>
                <c:pt idx="9174">
                  <c:v>-8.26</c:v>
                </c:pt>
                <c:pt idx="9175">
                  <c:v>-8.25</c:v>
                </c:pt>
                <c:pt idx="9176">
                  <c:v>-8.24</c:v>
                </c:pt>
                <c:pt idx="9177">
                  <c:v>-8.23</c:v>
                </c:pt>
                <c:pt idx="9178">
                  <c:v>-8.22</c:v>
                </c:pt>
                <c:pt idx="9179">
                  <c:v>-8.21</c:v>
                </c:pt>
                <c:pt idx="9180">
                  <c:v>-8.2</c:v>
                </c:pt>
                <c:pt idx="9181">
                  <c:v>-8.19</c:v>
                </c:pt>
                <c:pt idx="9182">
                  <c:v>-8.18</c:v>
                </c:pt>
                <c:pt idx="9183">
                  <c:v>-8.17</c:v>
                </c:pt>
                <c:pt idx="9184">
                  <c:v>-8.16</c:v>
                </c:pt>
                <c:pt idx="9185">
                  <c:v>-8.15</c:v>
                </c:pt>
                <c:pt idx="9186">
                  <c:v>-8.14</c:v>
                </c:pt>
                <c:pt idx="9187">
                  <c:v>-8.13</c:v>
                </c:pt>
                <c:pt idx="9188">
                  <c:v>-8.12</c:v>
                </c:pt>
                <c:pt idx="9189">
                  <c:v>-8.11</c:v>
                </c:pt>
                <c:pt idx="9190">
                  <c:v>-8.1</c:v>
                </c:pt>
                <c:pt idx="9191">
                  <c:v>-8.09</c:v>
                </c:pt>
                <c:pt idx="9192">
                  <c:v>-8.08</c:v>
                </c:pt>
                <c:pt idx="9193">
                  <c:v>-8.07</c:v>
                </c:pt>
                <c:pt idx="9194">
                  <c:v>-8.06</c:v>
                </c:pt>
                <c:pt idx="9195">
                  <c:v>-8.05</c:v>
                </c:pt>
                <c:pt idx="9196">
                  <c:v>-8.04</c:v>
                </c:pt>
                <c:pt idx="9197">
                  <c:v>-8.03</c:v>
                </c:pt>
                <c:pt idx="9198">
                  <c:v>-8.02</c:v>
                </c:pt>
                <c:pt idx="9199">
                  <c:v>-8.01</c:v>
                </c:pt>
                <c:pt idx="9200">
                  <c:v>-8.0</c:v>
                </c:pt>
                <c:pt idx="9201">
                  <c:v>-7.99</c:v>
                </c:pt>
                <c:pt idx="9202">
                  <c:v>-7.98</c:v>
                </c:pt>
                <c:pt idx="9203">
                  <c:v>-7.97</c:v>
                </c:pt>
                <c:pt idx="9204">
                  <c:v>-7.96</c:v>
                </c:pt>
                <c:pt idx="9205">
                  <c:v>-7.95</c:v>
                </c:pt>
                <c:pt idx="9206">
                  <c:v>-7.94</c:v>
                </c:pt>
                <c:pt idx="9207">
                  <c:v>-7.93</c:v>
                </c:pt>
                <c:pt idx="9208">
                  <c:v>-7.92</c:v>
                </c:pt>
                <c:pt idx="9209">
                  <c:v>-7.91</c:v>
                </c:pt>
                <c:pt idx="9210">
                  <c:v>-7.9</c:v>
                </c:pt>
                <c:pt idx="9211">
                  <c:v>-7.89</c:v>
                </c:pt>
                <c:pt idx="9212">
                  <c:v>-7.88</c:v>
                </c:pt>
                <c:pt idx="9213">
                  <c:v>-7.87</c:v>
                </c:pt>
                <c:pt idx="9214">
                  <c:v>-7.86</c:v>
                </c:pt>
                <c:pt idx="9215">
                  <c:v>-7.85</c:v>
                </c:pt>
                <c:pt idx="9216">
                  <c:v>-7.84</c:v>
                </c:pt>
                <c:pt idx="9217">
                  <c:v>-7.83</c:v>
                </c:pt>
                <c:pt idx="9218">
                  <c:v>-7.82</c:v>
                </c:pt>
                <c:pt idx="9219">
                  <c:v>-7.81</c:v>
                </c:pt>
                <c:pt idx="9220">
                  <c:v>-7.8</c:v>
                </c:pt>
                <c:pt idx="9221">
                  <c:v>-7.79</c:v>
                </c:pt>
                <c:pt idx="9222">
                  <c:v>-7.78</c:v>
                </c:pt>
                <c:pt idx="9223">
                  <c:v>-7.77</c:v>
                </c:pt>
                <c:pt idx="9224">
                  <c:v>-7.76</c:v>
                </c:pt>
                <c:pt idx="9225">
                  <c:v>-7.75</c:v>
                </c:pt>
                <c:pt idx="9226">
                  <c:v>-7.74</c:v>
                </c:pt>
                <c:pt idx="9227">
                  <c:v>-7.73</c:v>
                </c:pt>
                <c:pt idx="9228">
                  <c:v>-7.72</c:v>
                </c:pt>
                <c:pt idx="9229">
                  <c:v>-7.71</c:v>
                </c:pt>
                <c:pt idx="9230">
                  <c:v>-7.7</c:v>
                </c:pt>
                <c:pt idx="9231">
                  <c:v>-7.69</c:v>
                </c:pt>
                <c:pt idx="9232">
                  <c:v>-7.68</c:v>
                </c:pt>
                <c:pt idx="9233">
                  <c:v>-7.67</c:v>
                </c:pt>
                <c:pt idx="9234">
                  <c:v>-7.66</c:v>
                </c:pt>
                <c:pt idx="9235">
                  <c:v>-7.65</c:v>
                </c:pt>
                <c:pt idx="9236">
                  <c:v>-7.64</c:v>
                </c:pt>
                <c:pt idx="9237">
                  <c:v>-7.63</c:v>
                </c:pt>
                <c:pt idx="9238">
                  <c:v>-7.62</c:v>
                </c:pt>
                <c:pt idx="9239">
                  <c:v>-7.61</c:v>
                </c:pt>
                <c:pt idx="9240">
                  <c:v>-7.6</c:v>
                </c:pt>
                <c:pt idx="9241">
                  <c:v>-7.59</c:v>
                </c:pt>
                <c:pt idx="9242">
                  <c:v>-7.58</c:v>
                </c:pt>
                <c:pt idx="9243">
                  <c:v>-7.57</c:v>
                </c:pt>
                <c:pt idx="9244">
                  <c:v>-7.56</c:v>
                </c:pt>
                <c:pt idx="9245">
                  <c:v>-7.55</c:v>
                </c:pt>
                <c:pt idx="9246">
                  <c:v>-7.54</c:v>
                </c:pt>
                <c:pt idx="9247">
                  <c:v>-7.53</c:v>
                </c:pt>
                <c:pt idx="9248">
                  <c:v>-7.52</c:v>
                </c:pt>
                <c:pt idx="9249">
                  <c:v>-7.51</c:v>
                </c:pt>
                <c:pt idx="9250">
                  <c:v>-7.5</c:v>
                </c:pt>
                <c:pt idx="9251">
                  <c:v>-7.49</c:v>
                </c:pt>
                <c:pt idx="9252">
                  <c:v>-7.48</c:v>
                </c:pt>
                <c:pt idx="9253">
                  <c:v>-7.47</c:v>
                </c:pt>
                <c:pt idx="9254">
                  <c:v>-7.46</c:v>
                </c:pt>
                <c:pt idx="9255">
                  <c:v>-7.45</c:v>
                </c:pt>
                <c:pt idx="9256">
                  <c:v>-7.44</c:v>
                </c:pt>
                <c:pt idx="9257">
                  <c:v>-7.43</c:v>
                </c:pt>
                <c:pt idx="9258">
                  <c:v>-7.42</c:v>
                </c:pt>
                <c:pt idx="9259">
                  <c:v>-7.41</c:v>
                </c:pt>
                <c:pt idx="9260">
                  <c:v>-7.4</c:v>
                </c:pt>
                <c:pt idx="9261">
                  <c:v>-7.39</c:v>
                </c:pt>
                <c:pt idx="9262">
                  <c:v>-7.38</c:v>
                </c:pt>
                <c:pt idx="9263">
                  <c:v>-7.37</c:v>
                </c:pt>
                <c:pt idx="9264">
                  <c:v>-7.36</c:v>
                </c:pt>
                <c:pt idx="9265">
                  <c:v>-7.35</c:v>
                </c:pt>
                <c:pt idx="9266">
                  <c:v>-7.34</c:v>
                </c:pt>
                <c:pt idx="9267">
                  <c:v>-7.33</c:v>
                </c:pt>
                <c:pt idx="9268">
                  <c:v>-7.32</c:v>
                </c:pt>
                <c:pt idx="9269">
                  <c:v>-7.31</c:v>
                </c:pt>
                <c:pt idx="9270">
                  <c:v>-7.3</c:v>
                </c:pt>
                <c:pt idx="9271">
                  <c:v>-7.29</c:v>
                </c:pt>
                <c:pt idx="9272">
                  <c:v>-7.28</c:v>
                </c:pt>
                <c:pt idx="9273">
                  <c:v>-7.27</c:v>
                </c:pt>
                <c:pt idx="9274">
                  <c:v>-7.26</c:v>
                </c:pt>
                <c:pt idx="9275">
                  <c:v>-7.25</c:v>
                </c:pt>
                <c:pt idx="9276">
                  <c:v>-7.24</c:v>
                </c:pt>
                <c:pt idx="9277">
                  <c:v>-7.23</c:v>
                </c:pt>
                <c:pt idx="9278">
                  <c:v>-7.22</c:v>
                </c:pt>
                <c:pt idx="9279">
                  <c:v>-7.21</c:v>
                </c:pt>
                <c:pt idx="9280">
                  <c:v>-7.2</c:v>
                </c:pt>
                <c:pt idx="9281">
                  <c:v>-7.19</c:v>
                </c:pt>
                <c:pt idx="9282">
                  <c:v>-7.18</c:v>
                </c:pt>
                <c:pt idx="9283">
                  <c:v>-7.17</c:v>
                </c:pt>
                <c:pt idx="9284">
                  <c:v>-7.16</c:v>
                </c:pt>
                <c:pt idx="9285">
                  <c:v>-7.15</c:v>
                </c:pt>
                <c:pt idx="9286">
                  <c:v>-7.14</c:v>
                </c:pt>
                <c:pt idx="9287">
                  <c:v>-7.13</c:v>
                </c:pt>
                <c:pt idx="9288">
                  <c:v>-7.12</c:v>
                </c:pt>
                <c:pt idx="9289">
                  <c:v>-7.11</c:v>
                </c:pt>
                <c:pt idx="9290">
                  <c:v>-7.1</c:v>
                </c:pt>
                <c:pt idx="9291">
                  <c:v>-7.09</c:v>
                </c:pt>
                <c:pt idx="9292">
                  <c:v>-7.08</c:v>
                </c:pt>
                <c:pt idx="9293">
                  <c:v>-7.07</c:v>
                </c:pt>
                <c:pt idx="9294">
                  <c:v>-7.06</c:v>
                </c:pt>
                <c:pt idx="9295">
                  <c:v>-7.05</c:v>
                </c:pt>
                <c:pt idx="9296">
                  <c:v>-7.04</c:v>
                </c:pt>
                <c:pt idx="9297">
                  <c:v>-7.03</c:v>
                </c:pt>
                <c:pt idx="9298">
                  <c:v>-7.02</c:v>
                </c:pt>
                <c:pt idx="9299">
                  <c:v>-7.01</c:v>
                </c:pt>
                <c:pt idx="9300">
                  <c:v>-7.0</c:v>
                </c:pt>
                <c:pt idx="9301">
                  <c:v>-6.99</c:v>
                </c:pt>
                <c:pt idx="9302">
                  <c:v>-6.98</c:v>
                </c:pt>
                <c:pt idx="9303">
                  <c:v>-6.97</c:v>
                </c:pt>
                <c:pt idx="9304">
                  <c:v>-6.96</c:v>
                </c:pt>
                <c:pt idx="9305">
                  <c:v>-6.95</c:v>
                </c:pt>
                <c:pt idx="9306">
                  <c:v>-6.94</c:v>
                </c:pt>
                <c:pt idx="9307">
                  <c:v>-6.93</c:v>
                </c:pt>
                <c:pt idx="9308">
                  <c:v>-6.92</c:v>
                </c:pt>
                <c:pt idx="9309">
                  <c:v>-6.91</c:v>
                </c:pt>
                <c:pt idx="9310">
                  <c:v>-6.9</c:v>
                </c:pt>
                <c:pt idx="9311">
                  <c:v>-6.89</c:v>
                </c:pt>
                <c:pt idx="9312">
                  <c:v>-6.88</c:v>
                </c:pt>
                <c:pt idx="9313">
                  <c:v>-6.87</c:v>
                </c:pt>
                <c:pt idx="9314">
                  <c:v>-6.86</c:v>
                </c:pt>
                <c:pt idx="9315">
                  <c:v>-6.85</c:v>
                </c:pt>
                <c:pt idx="9316">
                  <c:v>-6.84</c:v>
                </c:pt>
                <c:pt idx="9317">
                  <c:v>-6.83</c:v>
                </c:pt>
                <c:pt idx="9318">
                  <c:v>-6.82</c:v>
                </c:pt>
                <c:pt idx="9319">
                  <c:v>-6.81</c:v>
                </c:pt>
                <c:pt idx="9320">
                  <c:v>-6.8</c:v>
                </c:pt>
                <c:pt idx="9321">
                  <c:v>-6.79</c:v>
                </c:pt>
                <c:pt idx="9322">
                  <c:v>-6.78</c:v>
                </c:pt>
                <c:pt idx="9323">
                  <c:v>-6.77</c:v>
                </c:pt>
                <c:pt idx="9324">
                  <c:v>-6.76</c:v>
                </c:pt>
                <c:pt idx="9325">
                  <c:v>-6.75</c:v>
                </c:pt>
                <c:pt idx="9326">
                  <c:v>-6.74</c:v>
                </c:pt>
                <c:pt idx="9327">
                  <c:v>-6.73</c:v>
                </c:pt>
                <c:pt idx="9328">
                  <c:v>-6.72</c:v>
                </c:pt>
                <c:pt idx="9329">
                  <c:v>-6.71</c:v>
                </c:pt>
                <c:pt idx="9330">
                  <c:v>-6.7</c:v>
                </c:pt>
                <c:pt idx="9331">
                  <c:v>-6.69</c:v>
                </c:pt>
                <c:pt idx="9332">
                  <c:v>-6.68</c:v>
                </c:pt>
                <c:pt idx="9333">
                  <c:v>-6.67</c:v>
                </c:pt>
                <c:pt idx="9334">
                  <c:v>-6.66</c:v>
                </c:pt>
                <c:pt idx="9335">
                  <c:v>-6.65</c:v>
                </c:pt>
                <c:pt idx="9336">
                  <c:v>-6.64</c:v>
                </c:pt>
                <c:pt idx="9337">
                  <c:v>-6.63</c:v>
                </c:pt>
                <c:pt idx="9338">
                  <c:v>-6.62</c:v>
                </c:pt>
                <c:pt idx="9339">
                  <c:v>-6.61</c:v>
                </c:pt>
                <c:pt idx="9340">
                  <c:v>-6.6</c:v>
                </c:pt>
                <c:pt idx="9341">
                  <c:v>-6.59</c:v>
                </c:pt>
                <c:pt idx="9342">
                  <c:v>-6.58</c:v>
                </c:pt>
                <c:pt idx="9343">
                  <c:v>-6.57</c:v>
                </c:pt>
                <c:pt idx="9344">
                  <c:v>-6.56</c:v>
                </c:pt>
                <c:pt idx="9345">
                  <c:v>-6.55</c:v>
                </c:pt>
                <c:pt idx="9346">
                  <c:v>-6.54</c:v>
                </c:pt>
                <c:pt idx="9347">
                  <c:v>-6.53</c:v>
                </c:pt>
                <c:pt idx="9348">
                  <c:v>-6.52</c:v>
                </c:pt>
                <c:pt idx="9349">
                  <c:v>-6.51</c:v>
                </c:pt>
                <c:pt idx="9350">
                  <c:v>-6.5</c:v>
                </c:pt>
                <c:pt idx="9351">
                  <c:v>-6.49</c:v>
                </c:pt>
                <c:pt idx="9352">
                  <c:v>-6.48</c:v>
                </c:pt>
                <c:pt idx="9353">
                  <c:v>-6.47</c:v>
                </c:pt>
                <c:pt idx="9354">
                  <c:v>-6.46</c:v>
                </c:pt>
                <c:pt idx="9355">
                  <c:v>-6.45</c:v>
                </c:pt>
                <c:pt idx="9356">
                  <c:v>-6.44</c:v>
                </c:pt>
                <c:pt idx="9357">
                  <c:v>-6.43</c:v>
                </c:pt>
                <c:pt idx="9358">
                  <c:v>-6.42</c:v>
                </c:pt>
                <c:pt idx="9359">
                  <c:v>-6.41</c:v>
                </c:pt>
                <c:pt idx="9360">
                  <c:v>-6.4</c:v>
                </c:pt>
                <c:pt idx="9361">
                  <c:v>-6.39</c:v>
                </c:pt>
                <c:pt idx="9362">
                  <c:v>-6.38</c:v>
                </c:pt>
                <c:pt idx="9363">
                  <c:v>-6.37</c:v>
                </c:pt>
                <c:pt idx="9364">
                  <c:v>-6.36</c:v>
                </c:pt>
                <c:pt idx="9365">
                  <c:v>-6.35</c:v>
                </c:pt>
                <c:pt idx="9366">
                  <c:v>-6.34</c:v>
                </c:pt>
                <c:pt idx="9367">
                  <c:v>-6.33</c:v>
                </c:pt>
                <c:pt idx="9368">
                  <c:v>-6.32</c:v>
                </c:pt>
                <c:pt idx="9369">
                  <c:v>-6.31</c:v>
                </c:pt>
                <c:pt idx="9370">
                  <c:v>-6.3</c:v>
                </c:pt>
                <c:pt idx="9371">
                  <c:v>-6.29</c:v>
                </c:pt>
                <c:pt idx="9372">
                  <c:v>-6.28</c:v>
                </c:pt>
                <c:pt idx="9373">
                  <c:v>-6.27</c:v>
                </c:pt>
                <c:pt idx="9374">
                  <c:v>-6.26</c:v>
                </c:pt>
                <c:pt idx="9375">
                  <c:v>-6.25</c:v>
                </c:pt>
                <c:pt idx="9376">
                  <c:v>-6.24</c:v>
                </c:pt>
                <c:pt idx="9377">
                  <c:v>-6.23</c:v>
                </c:pt>
                <c:pt idx="9378">
                  <c:v>-6.22</c:v>
                </c:pt>
                <c:pt idx="9379">
                  <c:v>-6.21</c:v>
                </c:pt>
                <c:pt idx="9380">
                  <c:v>-6.2</c:v>
                </c:pt>
                <c:pt idx="9381">
                  <c:v>-6.19</c:v>
                </c:pt>
                <c:pt idx="9382">
                  <c:v>-6.18</c:v>
                </c:pt>
                <c:pt idx="9383">
                  <c:v>-6.17</c:v>
                </c:pt>
                <c:pt idx="9384">
                  <c:v>-6.16</c:v>
                </c:pt>
                <c:pt idx="9385">
                  <c:v>-6.15</c:v>
                </c:pt>
                <c:pt idx="9386">
                  <c:v>-6.14</c:v>
                </c:pt>
                <c:pt idx="9387">
                  <c:v>-6.13</c:v>
                </c:pt>
                <c:pt idx="9388">
                  <c:v>-6.12</c:v>
                </c:pt>
                <c:pt idx="9389">
                  <c:v>-6.11</c:v>
                </c:pt>
                <c:pt idx="9390">
                  <c:v>-6.1</c:v>
                </c:pt>
                <c:pt idx="9391">
                  <c:v>-6.09</c:v>
                </c:pt>
                <c:pt idx="9392">
                  <c:v>-6.08</c:v>
                </c:pt>
                <c:pt idx="9393">
                  <c:v>-6.07</c:v>
                </c:pt>
                <c:pt idx="9394">
                  <c:v>-6.06</c:v>
                </c:pt>
                <c:pt idx="9395">
                  <c:v>-6.05</c:v>
                </c:pt>
                <c:pt idx="9396">
                  <c:v>-6.04</c:v>
                </c:pt>
                <c:pt idx="9397">
                  <c:v>-6.03</c:v>
                </c:pt>
                <c:pt idx="9398">
                  <c:v>-6.02</c:v>
                </c:pt>
                <c:pt idx="9399">
                  <c:v>-6.01</c:v>
                </c:pt>
                <c:pt idx="9400">
                  <c:v>-6.0</c:v>
                </c:pt>
                <c:pt idx="9401">
                  <c:v>-5.99</c:v>
                </c:pt>
                <c:pt idx="9402">
                  <c:v>-5.98</c:v>
                </c:pt>
                <c:pt idx="9403">
                  <c:v>-5.97</c:v>
                </c:pt>
                <c:pt idx="9404">
                  <c:v>-5.96</c:v>
                </c:pt>
                <c:pt idx="9405">
                  <c:v>-5.95</c:v>
                </c:pt>
                <c:pt idx="9406">
                  <c:v>-5.94</c:v>
                </c:pt>
                <c:pt idx="9407">
                  <c:v>-5.93</c:v>
                </c:pt>
                <c:pt idx="9408">
                  <c:v>-5.92</c:v>
                </c:pt>
                <c:pt idx="9409">
                  <c:v>-5.91</c:v>
                </c:pt>
                <c:pt idx="9410">
                  <c:v>-5.9</c:v>
                </c:pt>
                <c:pt idx="9411">
                  <c:v>-5.89</c:v>
                </c:pt>
                <c:pt idx="9412">
                  <c:v>-5.88</c:v>
                </c:pt>
                <c:pt idx="9413">
                  <c:v>-5.87</c:v>
                </c:pt>
                <c:pt idx="9414">
                  <c:v>-5.86</c:v>
                </c:pt>
                <c:pt idx="9415">
                  <c:v>-5.85</c:v>
                </c:pt>
                <c:pt idx="9416">
                  <c:v>-5.84</c:v>
                </c:pt>
                <c:pt idx="9417">
                  <c:v>-5.83</c:v>
                </c:pt>
                <c:pt idx="9418">
                  <c:v>-5.82</c:v>
                </c:pt>
                <c:pt idx="9419">
                  <c:v>-5.81</c:v>
                </c:pt>
                <c:pt idx="9420">
                  <c:v>-5.8</c:v>
                </c:pt>
                <c:pt idx="9421">
                  <c:v>-5.79</c:v>
                </c:pt>
                <c:pt idx="9422">
                  <c:v>-5.78</c:v>
                </c:pt>
                <c:pt idx="9423">
                  <c:v>-5.77</c:v>
                </c:pt>
                <c:pt idx="9424">
                  <c:v>-5.76</c:v>
                </c:pt>
                <c:pt idx="9425">
                  <c:v>-5.75</c:v>
                </c:pt>
                <c:pt idx="9426">
                  <c:v>-5.74</c:v>
                </c:pt>
                <c:pt idx="9427">
                  <c:v>-5.73</c:v>
                </c:pt>
                <c:pt idx="9428">
                  <c:v>-5.72</c:v>
                </c:pt>
                <c:pt idx="9429">
                  <c:v>-5.71</c:v>
                </c:pt>
                <c:pt idx="9430">
                  <c:v>-5.7</c:v>
                </c:pt>
                <c:pt idx="9431">
                  <c:v>-5.69</c:v>
                </c:pt>
                <c:pt idx="9432">
                  <c:v>-5.68</c:v>
                </c:pt>
                <c:pt idx="9433">
                  <c:v>-5.67</c:v>
                </c:pt>
                <c:pt idx="9434">
                  <c:v>-5.66</c:v>
                </c:pt>
                <c:pt idx="9435">
                  <c:v>-5.65</c:v>
                </c:pt>
                <c:pt idx="9436">
                  <c:v>-5.64</c:v>
                </c:pt>
                <c:pt idx="9437">
                  <c:v>-5.63</c:v>
                </c:pt>
                <c:pt idx="9438">
                  <c:v>-5.62</c:v>
                </c:pt>
                <c:pt idx="9439">
                  <c:v>-5.61</c:v>
                </c:pt>
                <c:pt idx="9440">
                  <c:v>-5.6</c:v>
                </c:pt>
                <c:pt idx="9441">
                  <c:v>-5.59</c:v>
                </c:pt>
                <c:pt idx="9442">
                  <c:v>-5.58</c:v>
                </c:pt>
                <c:pt idx="9443">
                  <c:v>-5.57</c:v>
                </c:pt>
                <c:pt idx="9444">
                  <c:v>-5.56</c:v>
                </c:pt>
                <c:pt idx="9445">
                  <c:v>-5.55</c:v>
                </c:pt>
                <c:pt idx="9446">
                  <c:v>-5.54</c:v>
                </c:pt>
                <c:pt idx="9447">
                  <c:v>-5.53</c:v>
                </c:pt>
                <c:pt idx="9448">
                  <c:v>-5.52</c:v>
                </c:pt>
                <c:pt idx="9449">
                  <c:v>-5.51</c:v>
                </c:pt>
                <c:pt idx="9450">
                  <c:v>-5.5</c:v>
                </c:pt>
                <c:pt idx="9451">
                  <c:v>-5.49</c:v>
                </c:pt>
                <c:pt idx="9452">
                  <c:v>-5.48</c:v>
                </c:pt>
                <c:pt idx="9453">
                  <c:v>-5.47</c:v>
                </c:pt>
                <c:pt idx="9454">
                  <c:v>-5.46</c:v>
                </c:pt>
                <c:pt idx="9455">
                  <c:v>-5.45</c:v>
                </c:pt>
                <c:pt idx="9456">
                  <c:v>-5.44</c:v>
                </c:pt>
                <c:pt idx="9457">
                  <c:v>-5.43</c:v>
                </c:pt>
                <c:pt idx="9458">
                  <c:v>-5.42</c:v>
                </c:pt>
                <c:pt idx="9459">
                  <c:v>-5.41</c:v>
                </c:pt>
                <c:pt idx="9460">
                  <c:v>-5.4</c:v>
                </c:pt>
                <c:pt idx="9461">
                  <c:v>-5.39</c:v>
                </c:pt>
                <c:pt idx="9462">
                  <c:v>-5.38</c:v>
                </c:pt>
                <c:pt idx="9463">
                  <c:v>-5.37</c:v>
                </c:pt>
                <c:pt idx="9464">
                  <c:v>-5.36</c:v>
                </c:pt>
                <c:pt idx="9465">
                  <c:v>-5.35</c:v>
                </c:pt>
                <c:pt idx="9466">
                  <c:v>-5.34</c:v>
                </c:pt>
                <c:pt idx="9467">
                  <c:v>-5.33</c:v>
                </c:pt>
                <c:pt idx="9468">
                  <c:v>-5.32</c:v>
                </c:pt>
                <c:pt idx="9469">
                  <c:v>-5.31</c:v>
                </c:pt>
                <c:pt idx="9470">
                  <c:v>-5.3</c:v>
                </c:pt>
                <c:pt idx="9471">
                  <c:v>-5.29</c:v>
                </c:pt>
                <c:pt idx="9472">
                  <c:v>-5.28</c:v>
                </c:pt>
                <c:pt idx="9473">
                  <c:v>-5.27</c:v>
                </c:pt>
                <c:pt idx="9474">
                  <c:v>-5.26</c:v>
                </c:pt>
                <c:pt idx="9475">
                  <c:v>-5.25</c:v>
                </c:pt>
                <c:pt idx="9476">
                  <c:v>-5.24</c:v>
                </c:pt>
                <c:pt idx="9477">
                  <c:v>-5.23</c:v>
                </c:pt>
                <c:pt idx="9478">
                  <c:v>-5.22</c:v>
                </c:pt>
                <c:pt idx="9479">
                  <c:v>-5.21</c:v>
                </c:pt>
                <c:pt idx="9480">
                  <c:v>-5.2</c:v>
                </c:pt>
                <c:pt idx="9481">
                  <c:v>-5.19</c:v>
                </c:pt>
                <c:pt idx="9482">
                  <c:v>-5.18</c:v>
                </c:pt>
                <c:pt idx="9483">
                  <c:v>-5.17</c:v>
                </c:pt>
                <c:pt idx="9484">
                  <c:v>-5.16</c:v>
                </c:pt>
                <c:pt idx="9485">
                  <c:v>-5.15</c:v>
                </c:pt>
                <c:pt idx="9486">
                  <c:v>-5.14</c:v>
                </c:pt>
                <c:pt idx="9487">
                  <c:v>-5.13</c:v>
                </c:pt>
                <c:pt idx="9488">
                  <c:v>-5.12</c:v>
                </c:pt>
                <c:pt idx="9489">
                  <c:v>-5.11</c:v>
                </c:pt>
                <c:pt idx="9490">
                  <c:v>-5.1</c:v>
                </c:pt>
                <c:pt idx="9491">
                  <c:v>-5.09</c:v>
                </c:pt>
                <c:pt idx="9492">
                  <c:v>-5.08</c:v>
                </c:pt>
                <c:pt idx="9493">
                  <c:v>-5.07</c:v>
                </c:pt>
                <c:pt idx="9494">
                  <c:v>-5.06</c:v>
                </c:pt>
                <c:pt idx="9495">
                  <c:v>-5.05</c:v>
                </c:pt>
                <c:pt idx="9496">
                  <c:v>-5.04</c:v>
                </c:pt>
                <c:pt idx="9497">
                  <c:v>-5.03</c:v>
                </c:pt>
                <c:pt idx="9498">
                  <c:v>-5.02</c:v>
                </c:pt>
                <c:pt idx="9499">
                  <c:v>-5.01</c:v>
                </c:pt>
                <c:pt idx="9500">
                  <c:v>-5.0</c:v>
                </c:pt>
                <c:pt idx="9501">
                  <c:v>-4.99</c:v>
                </c:pt>
                <c:pt idx="9502">
                  <c:v>-4.98</c:v>
                </c:pt>
                <c:pt idx="9503">
                  <c:v>-4.97</c:v>
                </c:pt>
                <c:pt idx="9504">
                  <c:v>-4.96</c:v>
                </c:pt>
                <c:pt idx="9505">
                  <c:v>-4.95</c:v>
                </c:pt>
                <c:pt idx="9506">
                  <c:v>-4.94</c:v>
                </c:pt>
                <c:pt idx="9507">
                  <c:v>-4.93</c:v>
                </c:pt>
                <c:pt idx="9508">
                  <c:v>-4.92</c:v>
                </c:pt>
                <c:pt idx="9509">
                  <c:v>-4.91</c:v>
                </c:pt>
                <c:pt idx="9510">
                  <c:v>-4.9</c:v>
                </c:pt>
                <c:pt idx="9511">
                  <c:v>-4.89</c:v>
                </c:pt>
                <c:pt idx="9512">
                  <c:v>-4.88</c:v>
                </c:pt>
                <c:pt idx="9513">
                  <c:v>-4.87</c:v>
                </c:pt>
                <c:pt idx="9514">
                  <c:v>-4.86</c:v>
                </c:pt>
                <c:pt idx="9515">
                  <c:v>-4.85</c:v>
                </c:pt>
                <c:pt idx="9516">
                  <c:v>-4.84</c:v>
                </c:pt>
                <c:pt idx="9517">
                  <c:v>-4.83</c:v>
                </c:pt>
                <c:pt idx="9518">
                  <c:v>-4.82</c:v>
                </c:pt>
                <c:pt idx="9519">
                  <c:v>-4.81</c:v>
                </c:pt>
                <c:pt idx="9520">
                  <c:v>-4.8</c:v>
                </c:pt>
                <c:pt idx="9521">
                  <c:v>-4.79</c:v>
                </c:pt>
                <c:pt idx="9522">
                  <c:v>-4.78</c:v>
                </c:pt>
                <c:pt idx="9523">
                  <c:v>-4.77</c:v>
                </c:pt>
                <c:pt idx="9524">
                  <c:v>-4.76</c:v>
                </c:pt>
                <c:pt idx="9525">
                  <c:v>-4.75</c:v>
                </c:pt>
                <c:pt idx="9526">
                  <c:v>-4.74</c:v>
                </c:pt>
                <c:pt idx="9527">
                  <c:v>-4.73</c:v>
                </c:pt>
                <c:pt idx="9528">
                  <c:v>-4.72</c:v>
                </c:pt>
                <c:pt idx="9529">
                  <c:v>-4.71</c:v>
                </c:pt>
                <c:pt idx="9530">
                  <c:v>-4.7</c:v>
                </c:pt>
                <c:pt idx="9531">
                  <c:v>-4.69</c:v>
                </c:pt>
                <c:pt idx="9532">
                  <c:v>-4.68</c:v>
                </c:pt>
                <c:pt idx="9533">
                  <c:v>-4.67</c:v>
                </c:pt>
                <c:pt idx="9534">
                  <c:v>-4.66</c:v>
                </c:pt>
                <c:pt idx="9535">
                  <c:v>-4.65</c:v>
                </c:pt>
                <c:pt idx="9536">
                  <c:v>-4.64</c:v>
                </c:pt>
                <c:pt idx="9537">
                  <c:v>-4.63</c:v>
                </c:pt>
                <c:pt idx="9538">
                  <c:v>-4.62</c:v>
                </c:pt>
                <c:pt idx="9539">
                  <c:v>-4.61</c:v>
                </c:pt>
                <c:pt idx="9540">
                  <c:v>-4.6</c:v>
                </c:pt>
                <c:pt idx="9541">
                  <c:v>-4.59</c:v>
                </c:pt>
                <c:pt idx="9542">
                  <c:v>-4.58</c:v>
                </c:pt>
                <c:pt idx="9543">
                  <c:v>-4.57</c:v>
                </c:pt>
                <c:pt idx="9544">
                  <c:v>-4.56</c:v>
                </c:pt>
                <c:pt idx="9545">
                  <c:v>-4.55</c:v>
                </c:pt>
                <c:pt idx="9546">
                  <c:v>-4.54</c:v>
                </c:pt>
                <c:pt idx="9547">
                  <c:v>-4.53</c:v>
                </c:pt>
                <c:pt idx="9548">
                  <c:v>-4.52</c:v>
                </c:pt>
                <c:pt idx="9549">
                  <c:v>-4.51</c:v>
                </c:pt>
                <c:pt idx="9550">
                  <c:v>-4.5</c:v>
                </c:pt>
                <c:pt idx="9551">
                  <c:v>-4.49</c:v>
                </c:pt>
                <c:pt idx="9552">
                  <c:v>-4.48</c:v>
                </c:pt>
                <c:pt idx="9553">
                  <c:v>-4.47</c:v>
                </c:pt>
                <c:pt idx="9554">
                  <c:v>-4.46</c:v>
                </c:pt>
                <c:pt idx="9555">
                  <c:v>-4.45</c:v>
                </c:pt>
                <c:pt idx="9556">
                  <c:v>-4.44</c:v>
                </c:pt>
                <c:pt idx="9557">
                  <c:v>-4.43</c:v>
                </c:pt>
                <c:pt idx="9558">
                  <c:v>-4.42</c:v>
                </c:pt>
                <c:pt idx="9559">
                  <c:v>-4.41</c:v>
                </c:pt>
                <c:pt idx="9560">
                  <c:v>-4.4</c:v>
                </c:pt>
                <c:pt idx="9561">
                  <c:v>-4.39</c:v>
                </c:pt>
                <c:pt idx="9562">
                  <c:v>-4.38</c:v>
                </c:pt>
                <c:pt idx="9563">
                  <c:v>-4.37</c:v>
                </c:pt>
                <c:pt idx="9564">
                  <c:v>-4.36</c:v>
                </c:pt>
                <c:pt idx="9565">
                  <c:v>-4.35</c:v>
                </c:pt>
                <c:pt idx="9566">
                  <c:v>-4.34</c:v>
                </c:pt>
                <c:pt idx="9567">
                  <c:v>-4.33</c:v>
                </c:pt>
                <c:pt idx="9568">
                  <c:v>-4.32</c:v>
                </c:pt>
                <c:pt idx="9569">
                  <c:v>-4.31</c:v>
                </c:pt>
                <c:pt idx="9570">
                  <c:v>-4.3</c:v>
                </c:pt>
                <c:pt idx="9571">
                  <c:v>-4.29</c:v>
                </c:pt>
                <c:pt idx="9572">
                  <c:v>-4.28</c:v>
                </c:pt>
                <c:pt idx="9573">
                  <c:v>-4.27</c:v>
                </c:pt>
                <c:pt idx="9574">
                  <c:v>-4.26</c:v>
                </c:pt>
                <c:pt idx="9575">
                  <c:v>-4.25</c:v>
                </c:pt>
                <c:pt idx="9576">
                  <c:v>-4.24</c:v>
                </c:pt>
                <c:pt idx="9577">
                  <c:v>-4.23</c:v>
                </c:pt>
                <c:pt idx="9578">
                  <c:v>-4.22</c:v>
                </c:pt>
                <c:pt idx="9579">
                  <c:v>-4.21</c:v>
                </c:pt>
                <c:pt idx="9580">
                  <c:v>-4.2</c:v>
                </c:pt>
                <c:pt idx="9581">
                  <c:v>-4.19</c:v>
                </c:pt>
                <c:pt idx="9582">
                  <c:v>-4.18</c:v>
                </c:pt>
                <c:pt idx="9583">
                  <c:v>-4.17</c:v>
                </c:pt>
                <c:pt idx="9584">
                  <c:v>-4.16</c:v>
                </c:pt>
                <c:pt idx="9585">
                  <c:v>-4.15</c:v>
                </c:pt>
                <c:pt idx="9586">
                  <c:v>-4.14</c:v>
                </c:pt>
                <c:pt idx="9587">
                  <c:v>-4.13</c:v>
                </c:pt>
                <c:pt idx="9588">
                  <c:v>-4.12</c:v>
                </c:pt>
                <c:pt idx="9589">
                  <c:v>-4.11</c:v>
                </c:pt>
                <c:pt idx="9590">
                  <c:v>-4.1</c:v>
                </c:pt>
                <c:pt idx="9591">
                  <c:v>-4.09</c:v>
                </c:pt>
                <c:pt idx="9592">
                  <c:v>-4.08</c:v>
                </c:pt>
                <c:pt idx="9593">
                  <c:v>-4.07</c:v>
                </c:pt>
                <c:pt idx="9594">
                  <c:v>-4.06</c:v>
                </c:pt>
                <c:pt idx="9595">
                  <c:v>-4.05</c:v>
                </c:pt>
                <c:pt idx="9596">
                  <c:v>-4.04</c:v>
                </c:pt>
                <c:pt idx="9597">
                  <c:v>-4.03</c:v>
                </c:pt>
                <c:pt idx="9598">
                  <c:v>-4.02</c:v>
                </c:pt>
                <c:pt idx="9599">
                  <c:v>-4.01</c:v>
                </c:pt>
                <c:pt idx="9600">
                  <c:v>-4.0</c:v>
                </c:pt>
                <c:pt idx="9601">
                  <c:v>-3.99</c:v>
                </c:pt>
                <c:pt idx="9602">
                  <c:v>-3.98</c:v>
                </c:pt>
                <c:pt idx="9603">
                  <c:v>-3.97</c:v>
                </c:pt>
                <c:pt idx="9604">
                  <c:v>-3.96</c:v>
                </c:pt>
                <c:pt idx="9605">
                  <c:v>-3.95</c:v>
                </c:pt>
                <c:pt idx="9606">
                  <c:v>-3.94</c:v>
                </c:pt>
                <c:pt idx="9607">
                  <c:v>-3.93</c:v>
                </c:pt>
                <c:pt idx="9608">
                  <c:v>-3.92</c:v>
                </c:pt>
                <c:pt idx="9609">
                  <c:v>-3.91</c:v>
                </c:pt>
                <c:pt idx="9610">
                  <c:v>-3.9</c:v>
                </c:pt>
                <c:pt idx="9611">
                  <c:v>-3.89</c:v>
                </c:pt>
                <c:pt idx="9612">
                  <c:v>-3.88</c:v>
                </c:pt>
                <c:pt idx="9613">
                  <c:v>-3.87</c:v>
                </c:pt>
                <c:pt idx="9614">
                  <c:v>-3.86</c:v>
                </c:pt>
                <c:pt idx="9615">
                  <c:v>-3.85</c:v>
                </c:pt>
                <c:pt idx="9616">
                  <c:v>-3.84</c:v>
                </c:pt>
                <c:pt idx="9617">
                  <c:v>-3.83</c:v>
                </c:pt>
                <c:pt idx="9618">
                  <c:v>-3.82</c:v>
                </c:pt>
                <c:pt idx="9619">
                  <c:v>-3.81</c:v>
                </c:pt>
                <c:pt idx="9620">
                  <c:v>-3.8</c:v>
                </c:pt>
                <c:pt idx="9621">
                  <c:v>-3.79</c:v>
                </c:pt>
                <c:pt idx="9622">
                  <c:v>-3.78</c:v>
                </c:pt>
                <c:pt idx="9623">
                  <c:v>-3.77</c:v>
                </c:pt>
                <c:pt idx="9624">
                  <c:v>-3.76</c:v>
                </c:pt>
                <c:pt idx="9625">
                  <c:v>-3.75</c:v>
                </c:pt>
                <c:pt idx="9626">
                  <c:v>-3.74</c:v>
                </c:pt>
                <c:pt idx="9627">
                  <c:v>-3.73</c:v>
                </c:pt>
                <c:pt idx="9628">
                  <c:v>-3.72</c:v>
                </c:pt>
                <c:pt idx="9629">
                  <c:v>-3.71</c:v>
                </c:pt>
                <c:pt idx="9630">
                  <c:v>-3.7</c:v>
                </c:pt>
                <c:pt idx="9631">
                  <c:v>-3.69</c:v>
                </c:pt>
                <c:pt idx="9632">
                  <c:v>-3.68</c:v>
                </c:pt>
                <c:pt idx="9633">
                  <c:v>-3.67</c:v>
                </c:pt>
                <c:pt idx="9634">
                  <c:v>-3.66</c:v>
                </c:pt>
                <c:pt idx="9635">
                  <c:v>-3.65</c:v>
                </c:pt>
                <c:pt idx="9636">
                  <c:v>-3.64</c:v>
                </c:pt>
                <c:pt idx="9637">
                  <c:v>-3.63</c:v>
                </c:pt>
                <c:pt idx="9638">
                  <c:v>-3.62</c:v>
                </c:pt>
                <c:pt idx="9639">
                  <c:v>-3.61</c:v>
                </c:pt>
                <c:pt idx="9640">
                  <c:v>-3.6</c:v>
                </c:pt>
                <c:pt idx="9641">
                  <c:v>-3.59</c:v>
                </c:pt>
                <c:pt idx="9642">
                  <c:v>-3.58</c:v>
                </c:pt>
                <c:pt idx="9643">
                  <c:v>-3.57</c:v>
                </c:pt>
                <c:pt idx="9644">
                  <c:v>-3.56</c:v>
                </c:pt>
                <c:pt idx="9645">
                  <c:v>-3.55</c:v>
                </c:pt>
                <c:pt idx="9646">
                  <c:v>-3.54</c:v>
                </c:pt>
                <c:pt idx="9647">
                  <c:v>-3.53</c:v>
                </c:pt>
                <c:pt idx="9648">
                  <c:v>-3.52</c:v>
                </c:pt>
                <c:pt idx="9649">
                  <c:v>-3.51</c:v>
                </c:pt>
                <c:pt idx="9650">
                  <c:v>-3.5</c:v>
                </c:pt>
                <c:pt idx="9651">
                  <c:v>-3.49</c:v>
                </c:pt>
                <c:pt idx="9652">
                  <c:v>-3.48</c:v>
                </c:pt>
                <c:pt idx="9653">
                  <c:v>-3.47</c:v>
                </c:pt>
                <c:pt idx="9654">
                  <c:v>-3.46</c:v>
                </c:pt>
                <c:pt idx="9655">
                  <c:v>-3.45</c:v>
                </c:pt>
                <c:pt idx="9656">
                  <c:v>-3.44</c:v>
                </c:pt>
                <c:pt idx="9657">
                  <c:v>-3.43</c:v>
                </c:pt>
                <c:pt idx="9658">
                  <c:v>-3.42</c:v>
                </c:pt>
                <c:pt idx="9659">
                  <c:v>-3.41</c:v>
                </c:pt>
                <c:pt idx="9660">
                  <c:v>-3.4</c:v>
                </c:pt>
                <c:pt idx="9661">
                  <c:v>-3.39</c:v>
                </c:pt>
                <c:pt idx="9662">
                  <c:v>-3.38</c:v>
                </c:pt>
                <c:pt idx="9663">
                  <c:v>-3.37</c:v>
                </c:pt>
                <c:pt idx="9664">
                  <c:v>-3.36</c:v>
                </c:pt>
                <c:pt idx="9665">
                  <c:v>-3.35</c:v>
                </c:pt>
                <c:pt idx="9666">
                  <c:v>-3.34</c:v>
                </c:pt>
                <c:pt idx="9667">
                  <c:v>-3.33</c:v>
                </c:pt>
                <c:pt idx="9668">
                  <c:v>-3.32</c:v>
                </c:pt>
                <c:pt idx="9669">
                  <c:v>-3.31</c:v>
                </c:pt>
                <c:pt idx="9670">
                  <c:v>-3.3</c:v>
                </c:pt>
                <c:pt idx="9671">
                  <c:v>-3.29</c:v>
                </c:pt>
                <c:pt idx="9672">
                  <c:v>-3.28</c:v>
                </c:pt>
                <c:pt idx="9673">
                  <c:v>-3.27</c:v>
                </c:pt>
                <c:pt idx="9674">
                  <c:v>-3.26</c:v>
                </c:pt>
                <c:pt idx="9675">
                  <c:v>-3.25</c:v>
                </c:pt>
                <c:pt idx="9676">
                  <c:v>-3.24</c:v>
                </c:pt>
                <c:pt idx="9677">
                  <c:v>-3.23</c:v>
                </c:pt>
                <c:pt idx="9678">
                  <c:v>-3.22</c:v>
                </c:pt>
                <c:pt idx="9679">
                  <c:v>-3.21</c:v>
                </c:pt>
                <c:pt idx="9680">
                  <c:v>-3.2</c:v>
                </c:pt>
                <c:pt idx="9681">
                  <c:v>-3.19</c:v>
                </c:pt>
                <c:pt idx="9682">
                  <c:v>-3.18</c:v>
                </c:pt>
                <c:pt idx="9683">
                  <c:v>-3.17</c:v>
                </c:pt>
                <c:pt idx="9684">
                  <c:v>-3.16</c:v>
                </c:pt>
                <c:pt idx="9685">
                  <c:v>-3.15</c:v>
                </c:pt>
                <c:pt idx="9686">
                  <c:v>-3.14</c:v>
                </c:pt>
                <c:pt idx="9687">
                  <c:v>-3.13</c:v>
                </c:pt>
                <c:pt idx="9688">
                  <c:v>-3.12</c:v>
                </c:pt>
                <c:pt idx="9689">
                  <c:v>-3.11</c:v>
                </c:pt>
                <c:pt idx="9690">
                  <c:v>-3.1</c:v>
                </c:pt>
                <c:pt idx="9691">
                  <c:v>-3.09</c:v>
                </c:pt>
                <c:pt idx="9692">
                  <c:v>-3.08</c:v>
                </c:pt>
                <c:pt idx="9693">
                  <c:v>-3.07</c:v>
                </c:pt>
                <c:pt idx="9694">
                  <c:v>-3.06</c:v>
                </c:pt>
                <c:pt idx="9695">
                  <c:v>-3.05</c:v>
                </c:pt>
                <c:pt idx="9696">
                  <c:v>-3.04</c:v>
                </c:pt>
                <c:pt idx="9697">
                  <c:v>-3.03</c:v>
                </c:pt>
                <c:pt idx="9698">
                  <c:v>-3.02</c:v>
                </c:pt>
                <c:pt idx="9699">
                  <c:v>-3.01</c:v>
                </c:pt>
                <c:pt idx="9700">
                  <c:v>-3.0</c:v>
                </c:pt>
                <c:pt idx="9701">
                  <c:v>-2.99</c:v>
                </c:pt>
                <c:pt idx="9702">
                  <c:v>-2.98</c:v>
                </c:pt>
                <c:pt idx="9703">
                  <c:v>-2.97</c:v>
                </c:pt>
                <c:pt idx="9704">
                  <c:v>-2.96</c:v>
                </c:pt>
                <c:pt idx="9705">
                  <c:v>-2.95</c:v>
                </c:pt>
                <c:pt idx="9706">
                  <c:v>-2.94</c:v>
                </c:pt>
                <c:pt idx="9707">
                  <c:v>-2.93</c:v>
                </c:pt>
                <c:pt idx="9708">
                  <c:v>-2.92</c:v>
                </c:pt>
                <c:pt idx="9709">
                  <c:v>-2.91</c:v>
                </c:pt>
                <c:pt idx="9710">
                  <c:v>-2.9</c:v>
                </c:pt>
                <c:pt idx="9711">
                  <c:v>-2.89</c:v>
                </c:pt>
                <c:pt idx="9712">
                  <c:v>-2.88</c:v>
                </c:pt>
                <c:pt idx="9713">
                  <c:v>-2.87</c:v>
                </c:pt>
                <c:pt idx="9714">
                  <c:v>-2.86</c:v>
                </c:pt>
                <c:pt idx="9715">
                  <c:v>-2.85</c:v>
                </c:pt>
                <c:pt idx="9716">
                  <c:v>-2.84</c:v>
                </c:pt>
                <c:pt idx="9717">
                  <c:v>-2.83</c:v>
                </c:pt>
                <c:pt idx="9718">
                  <c:v>-2.82</c:v>
                </c:pt>
                <c:pt idx="9719">
                  <c:v>-2.81</c:v>
                </c:pt>
                <c:pt idx="9720">
                  <c:v>-2.8</c:v>
                </c:pt>
                <c:pt idx="9721">
                  <c:v>-2.79</c:v>
                </c:pt>
                <c:pt idx="9722">
                  <c:v>-2.78</c:v>
                </c:pt>
                <c:pt idx="9723">
                  <c:v>-2.77</c:v>
                </c:pt>
                <c:pt idx="9724">
                  <c:v>-2.76</c:v>
                </c:pt>
                <c:pt idx="9725">
                  <c:v>-2.75</c:v>
                </c:pt>
                <c:pt idx="9726">
                  <c:v>-2.74</c:v>
                </c:pt>
                <c:pt idx="9727">
                  <c:v>-2.73</c:v>
                </c:pt>
                <c:pt idx="9728">
                  <c:v>-2.72</c:v>
                </c:pt>
                <c:pt idx="9729">
                  <c:v>-2.71</c:v>
                </c:pt>
                <c:pt idx="9730">
                  <c:v>-2.7</c:v>
                </c:pt>
                <c:pt idx="9731">
                  <c:v>-2.69</c:v>
                </c:pt>
                <c:pt idx="9732">
                  <c:v>-2.68</c:v>
                </c:pt>
                <c:pt idx="9733">
                  <c:v>-2.67</c:v>
                </c:pt>
                <c:pt idx="9734">
                  <c:v>-2.66</c:v>
                </c:pt>
                <c:pt idx="9735">
                  <c:v>-2.65</c:v>
                </c:pt>
                <c:pt idx="9736">
                  <c:v>-2.64</c:v>
                </c:pt>
                <c:pt idx="9737">
                  <c:v>-2.63</c:v>
                </c:pt>
                <c:pt idx="9738">
                  <c:v>-2.62</c:v>
                </c:pt>
                <c:pt idx="9739">
                  <c:v>-2.61</c:v>
                </c:pt>
                <c:pt idx="9740">
                  <c:v>-2.6</c:v>
                </c:pt>
                <c:pt idx="9741">
                  <c:v>-2.59</c:v>
                </c:pt>
                <c:pt idx="9742">
                  <c:v>-2.58</c:v>
                </c:pt>
                <c:pt idx="9743">
                  <c:v>-2.57</c:v>
                </c:pt>
                <c:pt idx="9744">
                  <c:v>-2.56</c:v>
                </c:pt>
                <c:pt idx="9745">
                  <c:v>-2.55</c:v>
                </c:pt>
                <c:pt idx="9746">
                  <c:v>-2.54</c:v>
                </c:pt>
                <c:pt idx="9747">
                  <c:v>-2.53</c:v>
                </c:pt>
                <c:pt idx="9748">
                  <c:v>-2.52</c:v>
                </c:pt>
                <c:pt idx="9749">
                  <c:v>-2.51</c:v>
                </c:pt>
                <c:pt idx="9750">
                  <c:v>-2.5</c:v>
                </c:pt>
                <c:pt idx="9751">
                  <c:v>-2.49</c:v>
                </c:pt>
                <c:pt idx="9752">
                  <c:v>-2.48</c:v>
                </c:pt>
                <c:pt idx="9753">
                  <c:v>-2.47</c:v>
                </c:pt>
                <c:pt idx="9754">
                  <c:v>-2.46</c:v>
                </c:pt>
                <c:pt idx="9755">
                  <c:v>-2.45</c:v>
                </c:pt>
                <c:pt idx="9756">
                  <c:v>-2.44</c:v>
                </c:pt>
                <c:pt idx="9757">
                  <c:v>-2.43</c:v>
                </c:pt>
                <c:pt idx="9758">
                  <c:v>-2.42</c:v>
                </c:pt>
                <c:pt idx="9759">
                  <c:v>-2.41</c:v>
                </c:pt>
                <c:pt idx="9760">
                  <c:v>-2.4</c:v>
                </c:pt>
                <c:pt idx="9761">
                  <c:v>-2.39</c:v>
                </c:pt>
                <c:pt idx="9762">
                  <c:v>-2.38</c:v>
                </c:pt>
                <c:pt idx="9763">
                  <c:v>-2.37</c:v>
                </c:pt>
                <c:pt idx="9764">
                  <c:v>-2.36</c:v>
                </c:pt>
                <c:pt idx="9765">
                  <c:v>-2.35</c:v>
                </c:pt>
                <c:pt idx="9766">
                  <c:v>-2.34</c:v>
                </c:pt>
                <c:pt idx="9767">
                  <c:v>-2.33</c:v>
                </c:pt>
                <c:pt idx="9768">
                  <c:v>-2.32</c:v>
                </c:pt>
                <c:pt idx="9769">
                  <c:v>-2.31</c:v>
                </c:pt>
                <c:pt idx="9770">
                  <c:v>-2.3</c:v>
                </c:pt>
                <c:pt idx="9771">
                  <c:v>-2.29</c:v>
                </c:pt>
                <c:pt idx="9772">
                  <c:v>-2.28</c:v>
                </c:pt>
                <c:pt idx="9773">
                  <c:v>-2.27</c:v>
                </c:pt>
                <c:pt idx="9774">
                  <c:v>-2.26</c:v>
                </c:pt>
                <c:pt idx="9775">
                  <c:v>-2.25</c:v>
                </c:pt>
                <c:pt idx="9776">
                  <c:v>-2.24</c:v>
                </c:pt>
                <c:pt idx="9777">
                  <c:v>-2.23</c:v>
                </c:pt>
                <c:pt idx="9778">
                  <c:v>-2.22</c:v>
                </c:pt>
                <c:pt idx="9779">
                  <c:v>-2.21</c:v>
                </c:pt>
                <c:pt idx="9780">
                  <c:v>-2.2</c:v>
                </c:pt>
                <c:pt idx="9781">
                  <c:v>-2.19</c:v>
                </c:pt>
                <c:pt idx="9782">
                  <c:v>-2.18</c:v>
                </c:pt>
                <c:pt idx="9783">
                  <c:v>-2.17</c:v>
                </c:pt>
                <c:pt idx="9784">
                  <c:v>-2.16</c:v>
                </c:pt>
                <c:pt idx="9785">
                  <c:v>-2.15</c:v>
                </c:pt>
                <c:pt idx="9786">
                  <c:v>-2.14</c:v>
                </c:pt>
                <c:pt idx="9787">
                  <c:v>-2.13</c:v>
                </c:pt>
                <c:pt idx="9788">
                  <c:v>-2.12</c:v>
                </c:pt>
                <c:pt idx="9789">
                  <c:v>-2.11</c:v>
                </c:pt>
                <c:pt idx="9790">
                  <c:v>-2.1</c:v>
                </c:pt>
                <c:pt idx="9791">
                  <c:v>-2.09</c:v>
                </c:pt>
                <c:pt idx="9792">
                  <c:v>-2.08</c:v>
                </c:pt>
                <c:pt idx="9793">
                  <c:v>-2.07</c:v>
                </c:pt>
                <c:pt idx="9794">
                  <c:v>-2.06</c:v>
                </c:pt>
                <c:pt idx="9795">
                  <c:v>-2.05</c:v>
                </c:pt>
                <c:pt idx="9796">
                  <c:v>-2.04</c:v>
                </c:pt>
                <c:pt idx="9797">
                  <c:v>-2.03</c:v>
                </c:pt>
                <c:pt idx="9798">
                  <c:v>-2.02</c:v>
                </c:pt>
                <c:pt idx="9799">
                  <c:v>-2.01</c:v>
                </c:pt>
                <c:pt idx="9800">
                  <c:v>-2.0</c:v>
                </c:pt>
                <c:pt idx="9801">
                  <c:v>-1.99</c:v>
                </c:pt>
                <c:pt idx="9802">
                  <c:v>-1.98</c:v>
                </c:pt>
                <c:pt idx="9803">
                  <c:v>-1.97</c:v>
                </c:pt>
                <c:pt idx="9804">
                  <c:v>-1.96</c:v>
                </c:pt>
                <c:pt idx="9805">
                  <c:v>-1.95</c:v>
                </c:pt>
                <c:pt idx="9806">
                  <c:v>-1.94</c:v>
                </c:pt>
                <c:pt idx="9807">
                  <c:v>-1.93</c:v>
                </c:pt>
                <c:pt idx="9808">
                  <c:v>-1.92</c:v>
                </c:pt>
                <c:pt idx="9809">
                  <c:v>-1.91</c:v>
                </c:pt>
                <c:pt idx="9810">
                  <c:v>-1.9</c:v>
                </c:pt>
                <c:pt idx="9811">
                  <c:v>-1.89</c:v>
                </c:pt>
                <c:pt idx="9812">
                  <c:v>-1.88</c:v>
                </c:pt>
                <c:pt idx="9813">
                  <c:v>-1.87</c:v>
                </c:pt>
                <c:pt idx="9814">
                  <c:v>-1.86</c:v>
                </c:pt>
                <c:pt idx="9815">
                  <c:v>-1.85</c:v>
                </c:pt>
                <c:pt idx="9816">
                  <c:v>-1.84</c:v>
                </c:pt>
                <c:pt idx="9817">
                  <c:v>-1.83</c:v>
                </c:pt>
                <c:pt idx="9818">
                  <c:v>-1.82</c:v>
                </c:pt>
                <c:pt idx="9819">
                  <c:v>-1.81</c:v>
                </c:pt>
                <c:pt idx="9820">
                  <c:v>-1.8</c:v>
                </c:pt>
                <c:pt idx="9821">
                  <c:v>-1.79</c:v>
                </c:pt>
                <c:pt idx="9822">
                  <c:v>-1.78</c:v>
                </c:pt>
                <c:pt idx="9823">
                  <c:v>-1.77</c:v>
                </c:pt>
                <c:pt idx="9824">
                  <c:v>-1.76</c:v>
                </c:pt>
                <c:pt idx="9825">
                  <c:v>-1.75</c:v>
                </c:pt>
                <c:pt idx="9826">
                  <c:v>-1.74</c:v>
                </c:pt>
                <c:pt idx="9827">
                  <c:v>-1.73</c:v>
                </c:pt>
                <c:pt idx="9828">
                  <c:v>-1.72</c:v>
                </c:pt>
                <c:pt idx="9829">
                  <c:v>-1.71</c:v>
                </c:pt>
                <c:pt idx="9830">
                  <c:v>-1.7</c:v>
                </c:pt>
                <c:pt idx="9831">
                  <c:v>-1.69</c:v>
                </c:pt>
                <c:pt idx="9832">
                  <c:v>-1.68</c:v>
                </c:pt>
                <c:pt idx="9833">
                  <c:v>-1.67</c:v>
                </c:pt>
                <c:pt idx="9834">
                  <c:v>-1.66</c:v>
                </c:pt>
                <c:pt idx="9835">
                  <c:v>-1.65</c:v>
                </c:pt>
                <c:pt idx="9836">
                  <c:v>-1.64</c:v>
                </c:pt>
                <c:pt idx="9837">
                  <c:v>-1.63</c:v>
                </c:pt>
                <c:pt idx="9838">
                  <c:v>-1.62</c:v>
                </c:pt>
                <c:pt idx="9839">
                  <c:v>-1.61</c:v>
                </c:pt>
                <c:pt idx="9840">
                  <c:v>-1.6</c:v>
                </c:pt>
                <c:pt idx="9841">
                  <c:v>-1.59</c:v>
                </c:pt>
                <c:pt idx="9842">
                  <c:v>-1.58</c:v>
                </c:pt>
                <c:pt idx="9843">
                  <c:v>-1.57</c:v>
                </c:pt>
                <c:pt idx="9844">
                  <c:v>-1.56</c:v>
                </c:pt>
                <c:pt idx="9845">
                  <c:v>-1.55</c:v>
                </c:pt>
                <c:pt idx="9846">
                  <c:v>-1.54</c:v>
                </c:pt>
                <c:pt idx="9847">
                  <c:v>-1.53</c:v>
                </c:pt>
                <c:pt idx="9848">
                  <c:v>-1.52</c:v>
                </c:pt>
                <c:pt idx="9849">
                  <c:v>-1.51</c:v>
                </c:pt>
                <c:pt idx="9850">
                  <c:v>-1.5</c:v>
                </c:pt>
                <c:pt idx="9851">
                  <c:v>-1.49</c:v>
                </c:pt>
                <c:pt idx="9852">
                  <c:v>-1.48</c:v>
                </c:pt>
                <c:pt idx="9853">
                  <c:v>-1.47</c:v>
                </c:pt>
                <c:pt idx="9854">
                  <c:v>-1.46</c:v>
                </c:pt>
                <c:pt idx="9855">
                  <c:v>-1.45</c:v>
                </c:pt>
                <c:pt idx="9856">
                  <c:v>-1.44</c:v>
                </c:pt>
                <c:pt idx="9857">
                  <c:v>-1.43</c:v>
                </c:pt>
                <c:pt idx="9858">
                  <c:v>-1.42</c:v>
                </c:pt>
                <c:pt idx="9859">
                  <c:v>-1.41</c:v>
                </c:pt>
                <c:pt idx="9860">
                  <c:v>-1.4</c:v>
                </c:pt>
                <c:pt idx="9861">
                  <c:v>-1.39</c:v>
                </c:pt>
                <c:pt idx="9862">
                  <c:v>-1.38</c:v>
                </c:pt>
                <c:pt idx="9863">
                  <c:v>-1.37</c:v>
                </c:pt>
                <c:pt idx="9864">
                  <c:v>-1.36</c:v>
                </c:pt>
                <c:pt idx="9865">
                  <c:v>-1.35</c:v>
                </c:pt>
                <c:pt idx="9866">
                  <c:v>-1.34</c:v>
                </c:pt>
                <c:pt idx="9867">
                  <c:v>-1.33</c:v>
                </c:pt>
                <c:pt idx="9868">
                  <c:v>-1.32</c:v>
                </c:pt>
                <c:pt idx="9869">
                  <c:v>-1.31</c:v>
                </c:pt>
                <c:pt idx="9870">
                  <c:v>-1.3</c:v>
                </c:pt>
                <c:pt idx="9871">
                  <c:v>-1.29</c:v>
                </c:pt>
                <c:pt idx="9872">
                  <c:v>-1.28</c:v>
                </c:pt>
                <c:pt idx="9873">
                  <c:v>-1.27</c:v>
                </c:pt>
                <c:pt idx="9874">
                  <c:v>-1.26</c:v>
                </c:pt>
                <c:pt idx="9875">
                  <c:v>-1.25</c:v>
                </c:pt>
                <c:pt idx="9876">
                  <c:v>-1.24</c:v>
                </c:pt>
                <c:pt idx="9877">
                  <c:v>-1.23</c:v>
                </c:pt>
                <c:pt idx="9878">
                  <c:v>-1.22</c:v>
                </c:pt>
                <c:pt idx="9879">
                  <c:v>-1.21</c:v>
                </c:pt>
                <c:pt idx="9880">
                  <c:v>-1.2</c:v>
                </c:pt>
                <c:pt idx="9881">
                  <c:v>-1.19</c:v>
                </c:pt>
                <c:pt idx="9882">
                  <c:v>-1.18</c:v>
                </c:pt>
                <c:pt idx="9883">
                  <c:v>-1.17</c:v>
                </c:pt>
                <c:pt idx="9884">
                  <c:v>-1.16</c:v>
                </c:pt>
                <c:pt idx="9885">
                  <c:v>-1.15</c:v>
                </c:pt>
                <c:pt idx="9886">
                  <c:v>-1.14</c:v>
                </c:pt>
                <c:pt idx="9887">
                  <c:v>-1.13</c:v>
                </c:pt>
                <c:pt idx="9888">
                  <c:v>-1.12</c:v>
                </c:pt>
                <c:pt idx="9889">
                  <c:v>-1.11</c:v>
                </c:pt>
                <c:pt idx="9890">
                  <c:v>-1.1</c:v>
                </c:pt>
                <c:pt idx="9891">
                  <c:v>-1.09</c:v>
                </c:pt>
                <c:pt idx="9892">
                  <c:v>-1.08</c:v>
                </c:pt>
                <c:pt idx="9893">
                  <c:v>-1.07</c:v>
                </c:pt>
                <c:pt idx="9894">
                  <c:v>-1.06</c:v>
                </c:pt>
                <c:pt idx="9895">
                  <c:v>-1.05</c:v>
                </c:pt>
                <c:pt idx="9896">
                  <c:v>-1.04</c:v>
                </c:pt>
                <c:pt idx="9897">
                  <c:v>-1.03</c:v>
                </c:pt>
                <c:pt idx="9898">
                  <c:v>-1.02</c:v>
                </c:pt>
                <c:pt idx="9899">
                  <c:v>-1.01</c:v>
                </c:pt>
                <c:pt idx="9900">
                  <c:v>-1.0</c:v>
                </c:pt>
                <c:pt idx="9901">
                  <c:v>-0.99</c:v>
                </c:pt>
                <c:pt idx="9902">
                  <c:v>-0.98</c:v>
                </c:pt>
                <c:pt idx="9903">
                  <c:v>-0.97</c:v>
                </c:pt>
                <c:pt idx="9904">
                  <c:v>-0.96</c:v>
                </c:pt>
                <c:pt idx="9905">
                  <c:v>-0.95</c:v>
                </c:pt>
                <c:pt idx="9906">
                  <c:v>-0.94</c:v>
                </c:pt>
                <c:pt idx="9907">
                  <c:v>-0.93</c:v>
                </c:pt>
                <c:pt idx="9908">
                  <c:v>-0.92</c:v>
                </c:pt>
                <c:pt idx="9909">
                  <c:v>-0.91</c:v>
                </c:pt>
                <c:pt idx="9910">
                  <c:v>-0.9</c:v>
                </c:pt>
                <c:pt idx="9911">
                  <c:v>-0.89</c:v>
                </c:pt>
                <c:pt idx="9912">
                  <c:v>-0.88</c:v>
                </c:pt>
                <c:pt idx="9913">
                  <c:v>-0.87</c:v>
                </c:pt>
                <c:pt idx="9914">
                  <c:v>-0.86</c:v>
                </c:pt>
                <c:pt idx="9915">
                  <c:v>-0.85</c:v>
                </c:pt>
                <c:pt idx="9916">
                  <c:v>-0.84</c:v>
                </c:pt>
                <c:pt idx="9917">
                  <c:v>-0.83</c:v>
                </c:pt>
                <c:pt idx="9918">
                  <c:v>-0.82</c:v>
                </c:pt>
                <c:pt idx="9919">
                  <c:v>-0.81</c:v>
                </c:pt>
                <c:pt idx="9920">
                  <c:v>-0.8</c:v>
                </c:pt>
                <c:pt idx="9921">
                  <c:v>-0.79</c:v>
                </c:pt>
                <c:pt idx="9922">
                  <c:v>-0.78</c:v>
                </c:pt>
                <c:pt idx="9923">
                  <c:v>-0.77</c:v>
                </c:pt>
                <c:pt idx="9924">
                  <c:v>-0.76</c:v>
                </c:pt>
                <c:pt idx="9925">
                  <c:v>-0.75</c:v>
                </c:pt>
                <c:pt idx="9926">
                  <c:v>-0.74</c:v>
                </c:pt>
                <c:pt idx="9927">
                  <c:v>-0.73</c:v>
                </c:pt>
                <c:pt idx="9928">
                  <c:v>-0.72</c:v>
                </c:pt>
                <c:pt idx="9929">
                  <c:v>-0.71</c:v>
                </c:pt>
                <c:pt idx="9930">
                  <c:v>-0.7</c:v>
                </c:pt>
                <c:pt idx="9931">
                  <c:v>-0.69</c:v>
                </c:pt>
                <c:pt idx="9932">
                  <c:v>-0.68</c:v>
                </c:pt>
                <c:pt idx="9933">
                  <c:v>-0.67</c:v>
                </c:pt>
                <c:pt idx="9934">
                  <c:v>-0.66</c:v>
                </c:pt>
                <c:pt idx="9935">
                  <c:v>-0.65</c:v>
                </c:pt>
                <c:pt idx="9936">
                  <c:v>-0.64</c:v>
                </c:pt>
                <c:pt idx="9937">
                  <c:v>-0.63</c:v>
                </c:pt>
                <c:pt idx="9938">
                  <c:v>-0.62</c:v>
                </c:pt>
                <c:pt idx="9939">
                  <c:v>-0.61</c:v>
                </c:pt>
                <c:pt idx="9940">
                  <c:v>-0.6</c:v>
                </c:pt>
                <c:pt idx="9941">
                  <c:v>-0.59</c:v>
                </c:pt>
                <c:pt idx="9942">
                  <c:v>-0.58</c:v>
                </c:pt>
                <c:pt idx="9943">
                  <c:v>-0.57</c:v>
                </c:pt>
                <c:pt idx="9944">
                  <c:v>-0.56</c:v>
                </c:pt>
                <c:pt idx="9945">
                  <c:v>-0.55</c:v>
                </c:pt>
                <c:pt idx="9946">
                  <c:v>-0.54</c:v>
                </c:pt>
                <c:pt idx="9947">
                  <c:v>-0.53</c:v>
                </c:pt>
                <c:pt idx="9948">
                  <c:v>-0.52</c:v>
                </c:pt>
                <c:pt idx="9949">
                  <c:v>-0.51</c:v>
                </c:pt>
                <c:pt idx="9950">
                  <c:v>-0.5</c:v>
                </c:pt>
                <c:pt idx="9951">
                  <c:v>-0.49</c:v>
                </c:pt>
                <c:pt idx="9952">
                  <c:v>-0.48</c:v>
                </c:pt>
                <c:pt idx="9953">
                  <c:v>-0.47</c:v>
                </c:pt>
                <c:pt idx="9954">
                  <c:v>-0.46</c:v>
                </c:pt>
                <c:pt idx="9955">
                  <c:v>-0.45</c:v>
                </c:pt>
                <c:pt idx="9956">
                  <c:v>-0.44</c:v>
                </c:pt>
                <c:pt idx="9957">
                  <c:v>-0.43</c:v>
                </c:pt>
                <c:pt idx="9958">
                  <c:v>-0.42</c:v>
                </c:pt>
                <c:pt idx="9959">
                  <c:v>-0.41</c:v>
                </c:pt>
                <c:pt idx="9960">
                  <c:v>-0.4</c:v>
                </c:pt>
                <c:pt idx="9961">
                  <c:v>-0.39</c:v>
                </c:pt>
                <c:pt idx="9962">
                  <c:v>-0.38</c:v>
                </c:pt>
                <c:pt idx="9963">
                  <c:v>-0.37</c:v>
                </c:pt>
                <c:pt idx="9964">
                  <c:v>-0.36</c:v>
                </c:pt>
                <c:pt idx="9965">
                  <c:v>-0.35</c:v>
                </c:pt>
                <c:pt idx="9966">
                  <c:v>-0.34</c:v>
                </c:pt>
                <c:pt idx="9967">
                  <c:v>-0.33</c:v>
                </c:pt>
                <c:pt idx="9968">
                  <c:v>-0.32</c:v>
                </c:pt>
                <c:pt idx="9969">
                  <c:v>-0.31</c:v>
                </c:pt>
                <c:pt idx="9970">
                  <c:v>-0.3</c:v>
                </c:pt>
                <c:pt idx="9971">
                  <c:v>-0.29</c:v>
                </c:pt>
                <c:pt idx="9972">
                  <c:v>-0.28</c:v>
                </c:pt>
                <c:pt idx="9973">
                  <c:v>-0.27</c:v>
                </c:pt>
                <c:pt idx="9974">
                  <c:v>-0.26</c:v>
                </c:pt>
                <c:pt idx="9975">
                  <c:v>-0.25</c:v>
                </c:pt>
                <c:pt idx="9976">
                  <c:v>-0.24</c:v>
                </c:pt>
                <c:pt idx="9977">
                  <c:v>-0.23</c:v>
                </c:pt>
                <c:pt idx="9978">
                  <c:v>-0.22</c:v>
                </c:pt>
                <c:pt idx="9979">
                  <c:v>-0.21</c:v>
                </c:pt>
                <c:pt idx="9980">
                  <c:v>-0.2</c:v>
                </c:pt>
                <c:pt idx="9981">
                  <c:v>-0.19</c:v>
                </c:pt>
                <c:pt idx="9982">
                  <c:v>-0.18</c:v>
                </c:pt>
                <c:pt idx="9983">
                  <c:v>-0.17</c:v>
                </c:pt>
                <c:pt idx="9984">
                  <c:v>-0.16</c:v>
                </c:pt>
                <c:pt idx="9985">
                  <c:v>-0.15</c:v>
                </c:pt>
                <c:pt idx="9986">
                  <c:v>-0.14</c:v>
                </c:pt>
                <c:pt idx="9987">
                  <c:v>-0.13</c:v>
                </c:pt>
                <c:pt idx="9988">
                  <c:v>-0.12</c:v>
                </c:pt>
                <c:pt idx="9989">
                  <c:v>-0.11</c:v>
                </c:pt>
                <c:pt idx="9990">
                  <c:v>-0.1</c:v>
                </c:pt>
                <c:pt idx="9991">
                  <c:v>-0.09</c:v>
                </c:pt>
                <c:pt idx="9992">
                  <c:v>-0.08</c:v>
                </c:pt>
                <c:pt idx="9993">
                  <c:v>-0.07</c:v>
                </c:pt>
                <c:pt idx="9994">
                  <c:v>-0.06</c:v>
                </c:pt>
                <c:pt idx="9995">
                  <c:v>-0.05</c:v>
                </c:pt>
                <c:pt idx="9996">
                  <c:v>-0.04</c:v>
                </c:pt>
                <c:pt idx="9997">
                  <c:v>-0.03</c:v>
                </c:pt>
                <c:pt idx="9998">
                  <c:v>-0.02</c:v>
                </c:pt>
                <c:pt idx="9999">
                  <c:v>-0.01</c:v>
                </c:pt>
                <c:pt idx="10000">
                  <c:v>0.0</c:v>
                </c:pt>
                <c:pt idx="10001">
                  <c:v>0.01</c:v>
                </c:pt>
                <c:pt idx="10002">
                  <c:v>0.02</c:v>
                </c:pt>
                <c:pt idx="10003">
                  <c:v>0.03</c:v>
                </c:pt>
                <c:pt idx="10004">
                  <c:v>0.04</c:v>
                </c:pt>
                <c:pt idx="10005">
                  <c:v>0.05</c:v>
                </c:pt>
                <c:pt idx="10006">
                  <c:v>0.06</c:v>
                </c:pt>
                <c:pt idx="10007">
                  <c:v>0.07</c:v>
                </c:pt>
                <c:pt idx="10008">
                  <c:v>0.08</c:v>
                </c:pt>
                <c:pt idx="10009">
                  <c:v>0.09</c:v>
                </c:pt>
                <c:pt idx="10010">
                  <c:v>0.1</c:v>
                </c:pt>
                <c:pt idx="10011">
                  <c:v>0.11</c:v>
                </c:pt>
                <c:pt idx="10012">
                  <c:v>0.12</c:v>
                </c:pt>
                <c:pt idx="10013">
                  <c:v>0.13</c:v>
                </c:pt>
                <c:pt idx="10014">
                  <c:v>0.14</c:v>
                </c:pt>
                <c:pt idx="10015">
                  <c:v>0.15</c:v>
                </c:pt>
                <c:pt idx="10016">
                  <c:v>0.16</c:v>
                </c:pt>
                <c:pt idx="10017">
                  <c:v>0.17</c:v>
                </c:pt>
                <c:pt idx="10018">
                  <c:v>0.18</c:v>
                </c:pt>
                <c:pt idx="10019">
                  <c:v>0.19</c:v>
                </c:pt>
                <c:pt idx="10020">
                  <c:v>0.2</c:v>
                </c:pt>
                <c:pt idx="10021">
                  <c:v>0.21</c:v>
                </c:pt>
                <c:pt idx="10022">
                  <c:v>0.22</c:v>
                </c:pt>
                <c:pt idx="10023">
                  <c:v>0.23</c:v>
                </c:pt>
                <c:pt idx="10024">
                  <c:v>0.24</c:v>
                </c:pt>
                <c:pt idx="10025">
                  <c:v>0.25</c:v>
                </c:pt>
                <c:pt idx="10026">
                  <c:v>0.26</c:v>
                </c:pt>
                <c:pt idx="10027">
                  <c:v>0.27</c:v>
                </c:pt>
                <c:pt idx="10028">
                  <c:v>0.28</c:v>
                </c:pt>
                <c:pt idx="10029">
                  <c:v>0.29</c:v>
                </c:pt>
                <c:pt idx="10030">
                  <c:v>0.3</c:v>
                </c:pt>
                <c:pt idx="10031">
                  <c:v>0.31</c:v>
                </c:pt>
                <c:pt idx="10032">
                  <c:v>0.32</c:v>
                </c:pt>
                <c:pt idx="10033">
                  <c:v>0.33</c:v>
                </c:pt>
                <c:pt idx="10034">
                  <c:v>0.34</c:v>
                </c:pt>
                <c:pt idx="10035">
                  <c:v>0.35</c:v>
                </c:pt>
                <c:pt idx="10036">
                  <c:v>0.36</c:v>
                </c:pt>
                <c:pt idx="10037">
                  <c:v>0.37</c:v>
                </c:pt>
                <c:pt idx="10038">
                  <c:v>0.38</c:v>
                </c:pt>
                <c:pt idx="10039">
                  <c:v>0.39</c:v>
                </c:pt>
                <c:pt idx="10040">
                  <c:v>0.4</c:v>
                </c:pt>
                <c:pt idx="10041">
                  <c:v>0.41</c:v>
                </c:pt>
                <c:pt idx="10042">
                  <c:v>0.42</c:v>
                </c:pt>
                <c:pt idx="10043">
                  <c:v>0.43</c:v>
                </c:pt>
                <c:pt idx="10044">
                  <c:v>0.44</c:v>
                </c:pt>
                <c:pt idx="10045">
                  <c:v>0.45</c:v>
                </c:pt>
                <c:pt idx="10046">
                  <c:v>0.46</c:v>
                </c:pt>
                <c:pt idx="10047">
                  <c:v>0.47</c:v>
                </c:pt>
                <c:pt idx="10048">
                  <c:v>0.48</c:v>
                </c:pt>
                <c:pt idx="10049">
                  <c:v>0.49</c:v>
                </c:pt>
                <c:pt idx="10050">
                  <c:v>0.5</c:v>
                </c:pt>
                <c:pt idx="10051">
                  <c:v>0.51</c:v>
                </c:pt>
                <c:pt idx="10052">
                  <c:v>0.52</c:v>
                </c:pt>
                <c:pt idx="10053">
                  <c:v>0.53</c:v>
                </c:pt>
                <c:pt idx="10054">
                  <c:v>0.54</c:v>
                </c:pt>
                <c:pt idx="10055">
                  <c:v>0.55</c:v>
                </c:pt>
                <c:pt idx="10056">
                  <c:v>0.56</c:v>
                </c:pt>
                <c:pt idx="10057">
                  <c:v>0.57</c:v>
                </c:pt>
                <c:pt idx="10058">
                  <c:v>0.58</c:v>
                </c:pt>
                <c:pt idx="10059">
                  <c:v>0.59</c:v>
                </c:pt>
                <c:pt idx="10060">
                  <c:v>0.6</c:v>
                </c:pt>
                <c:pt idx="10061">
                  <c:v>0.61</c:v>
                </c:pt>
                <c:pt idx="10062">
                  <c:v>0.62</c:v>
                </c:pt>
                <c:pt idx="10063">
                  <c:v>0.63</c:v>
                </c:pt>
                <c:pt idx="10064">
                  <c:v>0.64</c:v>
                </c:pt>
                <c:pt idx="10065">
                  <c:v>0.65</c:v>
                </c:pt>
                <c:pt idx="10066">
                  <c:v>0.66</c:v>
                </c:pt>
                <c:pt idx="10067">
                  <c:v>0.67</c:v>
                </c:pt>
                <c:pt idx="10068">
                  <c:v>0.68</c:v>
                </c:pt>
                <c:pt idx="10069">
                  <c:v>0.69</c:v>
                </c:pt>
                <c:pt idx="10070">
                  <c:v>0.7</c:v>
                </c:pt>
                <c:pt idx="10071">
                  <c:v>0.71</c:v>
                </c:pt>
                <c:pt idx="10072">
                  <c:v>0.72</c:v>
                </c:pt>
                <c:pt idx="10073">
                  <c:v>0.73</c:v>
                </c:pt>
                <c:pt idx="10074">
                  <c:v>0.74</c:v>
                </c:pt>
                <c:pt idx="10075">
                  <c:v>0.75</c:v>
                </c:pt>
                <c:pt idx="10076">
                  <c:v>0.76</c:v>
                </c:pt>
                <c:pt idx="10077">
                  <c:v>0.77</c:v>
                </c:pt>
                <c:pt idx="10078">
                  <c:v>0.78</c:v>
                </c:pt>
                <c:pt idx="10079">
                  <c:v>0.79</c:v>
                </c:pt>
                <c:pt idx="10080">
                  <c:v>0.8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0.87</c:v>
                </c:pt>
                <c:pt idx="10088">
                  <c:v>0.88</c:v>
                </c:pt>
                <c:pt idx="10089">
                  <c:v>0.89</c:v>
                </c:pt>
                <c:pt idx="10090">
                  <c:v>0.9</c:v>
                </c:pt>
                <c:pt idx="10091">
                  <c:v>0.91</c:v>
                </c:pt>
                <c:pt idx="10092">
                  <c:v>0.92</c:v>
                </c:pt>
                <c:pt idx="10093">
                  <c:v>0.93</c:v>
                </c:pt>
                <c:pt idx="10094">
                  <c:v>0.94</c:v>
                </c:pt>
                <c:pt idx="10095">
                  <c:v>0.95</c:v>
                </c:pt>
                <c:pt idx="10096">
                  <c:v>0.96</c:v>
                </c:pt>
                <c:pt idx="10097">
                  <c:v>0.97</c:v>
                </c:pt>
                <c:pt idx="10098">
                  <c:v>0.98</c:v>
                </c:pt>
                <c:pt idx="10099">
                  <c:v>0.99</c:v>
                </c:pt>
                <c:pt idx="10100">
                  <c:v>1.0</c:v>
                </c:pt>
                <c:pt idx="10101">
                  <c:v>1.01</c:v>
                </c:pt>
                <c:pt idx="10102">
                  <c:v>1.02</c:v>
                </c:pt>
                <c:pt idx="10103">
                  <c:v>1.03</c:v>
                </c:pt>
                <c:pt idx="10104">
                  <c:v>1.04</c:v>
                </c:pt>
                <c:pt idx="10105">
                  <c:v>1.05</c:v>
                </c:pt>
                <c:pt idx="10106">
                  <c:v>1.06</c:v>
                </c:pt>
                <c:pt idx="10107">
                  <c:v>1.07</c:v>
                </c:pt>
                <c:pt idx="10108">
                  <c:v>1.08</c:v>
                </c:pt>
                <c:pt idx="10109">
                  <c:v>1.09</c:v>
                </c:pt>
                <c:pt idx="10110">
                  <c:v>1.1</c:v>
                </c:pt>
                <c:pt idx="10111">
                  <c:v>1.11</c:v>
                </c:pt>
                <c:pt idx="10112">
                  <c:v>1.12</c:v>
                </c:pt>
                <c:pt idx="10113">
                  <c:v>1.13</c:v>
                </c:pt>
                <c:pt idx="10114">
                  <c:v>1.14</c:v>
                </c:pt>
                <c:pt idx="10115">
                  <c:v>1.15</c:v>
                </c:pt>
                <c:pt idx="10116">
                  <c:v>1.16</c:v>
                </c:pt>
                <c:pt idx="10117">
                  <c:v>1.17</c:v>
                </c:pt>
                <c:pt idx="10118">
                  <c:v>1.18</c:v>
                </c:pt>
                <c:pt idx="10119">
                  <c:v>1.19</c:v>
                </c:pt>
                <c:pt idx="10120">
                  <c:v>1.2</c:v>
                </c:pt>
                <c:pt idx="10121">
                  <c:v>1.21</c:v>
                </c:pt>
                <c:pt idx="10122">
                  <c:v>1.22</c:v>
                </c:pt>
                <c:pt idx="10123">
                  <c:v>1.23</c:v>
                </c:pt>
                <c:pt idx="10124">
                  <c:v>1.24</c:v>
                </c:pt>
                <c:pt idx="10125">
                  <c:v>1.25</c:v>
                </c:pt>
                <c:pt idx="10126">
                  <c:v>1.26</c:v>
                </c:pt>
                <c:pt idx="10127">
                  <c:v>1.27</c:v>
                </c:pt>
                <c:pt idx="10128">
                  <c:v>1.28</c:v>
                </c:pt>
                <c:pt idx="10129">
                  <c:v>1.29</c:v>
                </c:pt>
                <c:pt idx="10130">
                  <c:v>1.3</c:v>
                </c:pt>
                <c:pt idx="10131">
                  <c:v>1.31</c:v>
                </c:pt>
                <c:pt idx="10132">
                  <c:v>1.32</c:v>
                </c:pt>
                <c:pt idx="10133">
                  <c:v>1.33</c:v>
                </c:pt>
                <c:pt idx="10134">
                  <c:v>1.34</c:v>
                </c:pt>
                <c:pt idx="10135">
                  <c:v>1.35</c:v>
                </c:pt>
                <c:pt idx="10136">
                  <c:v>1.36</c:v>
                </c:pt>
                <c:pt idx="10137">
                  <c:v>1.37</c:v>
                </c:pt>
                <c:pt idx="10138">
                  <c:v>1.38</c:v>
                </c:pt>
                <c:pt idx="10139">
                  <c:v>1.39</c:v>
                </c:pt>
                <c:pt idx="10140">
                  <c:v>1.4</c:v>
                </c:pt>
                <c:pt idx="10141">
                  <c:v>1.41</c:v>
                </c:pt>
                <c:pt idx="10142">
                  <c:v>1.42</c:v>
                </c:pt>
                <c:pt idx="10143">
                  <c:v>1.43</c:v>
                </c:pt>
                <c:pt idx="10144">
                  <c:v>1.44</c:v>
                </c:pt>
                <c:pt idx="10145">
                  <c:v>1.45</c:v>
                </c:pt>
                <c:pt idx="10146">
                  <c:v>1.46</c:v>
                </c:pt>
                <c:pt idx="10147">
                  <c:v>1.47</c:v>
                </c:pt>
                <c:pt idx="10148">
                  <c:v>1.48</c:v>
                </c:pt>
                <c:pt idx="10149">
                  <c:v>1.49</c:v>
                </c:pt>
                <c:pt idx="10150">
                  <c:v>1.5</c:v>
                </c:pt>
                <c:pt idx="10151">
                  <c:v>1.51</c:v>
                </c:pt>
                <c:pt idx="10152">
                  <c:v>1.52</c:v>
                </c:pt>
                <c:pt idx="10153">
                  <c:v>1.53</c:v>
                </c:pt>
                <c:pt idx="10154">
                  <c:v>1.54</c:v>
                </c:pt>
                <c:pt idx="10155">
                  <c:v>1.55</c:v>
                </c:pt>
                <c:pt idx="10156">
                  <c:v>1.56</c:v>
                </c:pt>
                <c:pt idx="10157">
                  <c:v>1.57</c:v>
                </c:pt>
                <c:pt idx="10158">
                  <c:v>1.58</c:v>
                </c:pt>
                <c:pt idx="10159">
                  <c:v>1.59</c:v>
                </c:pt>
                <c:pt idx="10160">
                  <c:v>1.6</c:v>
                </c:pt>
                <c:pt idx="10161">
                  <c:v>1.61</c:v>
                </c:pt>
                <c:pt idx="10162">
                  <c:v>1.62</c:v>
                </c:pt>
                <c:pt idx="10163">
                  <c:v>1.63</c:v>
                </c:pt>
                <c:pt idx="10164">
                  <c:v>1.64</c:v>
                </c:pt>
                <c:pt idx="10165">
                  <c:v>1.65</c:v>
                </c:pt>
                <c:pt idx="10166">
                  <c:v>1.66</c:v>
                </c:pt>
                <c:pt idx="10167">
                  <c:v>1.67</c:v>
                </c:pt>
                <c:pt idx="10168">
                  <c:v>1.68</c:v>
                </c:pt>
                <c:pt idx="10169">
                  <c:v>1.69</c:v>
                </c:pt>
                <c:pt idx="10170">
                  <c:v>1.7</c:v>
                </c:pt>
                <c:pt idx="10171">
                  <c:v>1.71</c:v>
                </c:pt>
                <c:pt idx="10172">
                  <c:v>1.72</c:v>
                </c:pt>
                <c:pt idx="10173">
                  <c:v>1.73</c:v>
                </c:pt>
                <c:pt idx="10174">
                  <c:v>1.74</c:v>
                </c:pt>
                <c:pt idx="10175">
                  <c:v>1.75</c:v>
                </c:pt>
                <c:pt idx="10176">
                  <c:v>1.76</c:v>
                </c:pt>
                <c:pt idx="10177">
                  <c:v>1.77</c:v>
                </c:pt>
                <c:pt idx="10178">
                  <c:v>1.78</c:v>
                </c:pt>
                <c:pt idx="10179">
                  <c:v>1.79</c:v>
                </c:pt>
                <c:pt idx="10180">
                  <c:v>1.8</c:v>
                </c:pt>
                <c:pt idx="10181">
                  <c:v>1.81</c:v>
                </c:pt>
                <c:pt idx="10182">
                  <c:v>1.82</c:v>
                </c:pt>
                <c:pt idx="10183">
                  <c:v>1.83</c:v>
                </c:pt>
                <c:pt idx="10184">
                  <c:v>1.84</c:v>
                </c:pt>
                <c:pt idx="10185">
                  <c:v>1.85</c:v>
                </c:pt>
                <c:pt idx="10186">
                  <c:v>1.86</c:v>
                </c:pt>
                <c:pt idx="10187">
                  <c:v>1.87</c:v>
                </c:pt>
                <c:pt idx="10188">
                  <c:v>1.88</c:v>
                </c:pt>
                <c:pt idx="10189">
                  <c:v>1.89</c:v>
                </c:pt>
                <c:pt idx="10190">
                  <c:v>1.9</c:v>
                </c:pt>
                <c:pt idx="10191">
                  <c:v>1.91</c:v>
                </c:pt>
                <c:pt idx="10192">
                  <c:v>1.92</c:v>
                </c:pt>
                <c:pt idx="10193">
                  <c:v>1.93</c:v>
                </c:pt>
                <c:pt idx="10194">
                  <c:v>1.94</c:v>
                </c:pt>
                <c:pt idx="10195">
                  <c:v>1.95</c:v>
                </c:pt>
                <c:pt idx="10196">
                  <c:v>1.96</c:v>
                </c:pt>
                <c:pt idx="10197">
                  <c:v>1.97</c:v>
                </c:pt>
                <c:pt idx="10198">
                  <c:v>1.98</c:v>
                </c:pt>
                <c:pt idx="10199">
                  <c:v>1.99</c:v>
                </c:pt>
                <c:pt idx="10200">
                  <c:v>2.0</c:v>
                </c:pt>
                <c:pt idx="10201">
                  <c:v>2.01</c:v>
                </c:pt>
                <c:pt idx="10202">
                  <c:v>2.02</c:v>
                </c:pt>
                <c:pt idx="10203">
                  <c:v>2.03</c:v>
                </c:pt>
                <c:pt idx="10204">
                  <c:v>2.04</c:v>
                </c:pt>
                <c:pt idx="10205">
                  <c:v>2.05</c:v>
                </c:pt>
                <c:pt idx="10206">
                  <c:v>2.06</c:v>
                </c:pt>
                <c:pt idx="10207">
                  <c:v>2.07</c:v>
                </c:pt>
                <c:pt idx="10208">
                  <c:v>2.08</c:v>
                </c:pt>
                <c:pt idx="10209">
                  <c:v>2.09</c:v>
                </c:pt>
                <c:pt idx="10210">
                  <c:v>2.1</c:v>
                </c:pt>
                <c:pt idx="10211">
                  <c:v>2.11</c:v>
                </c:pt>
                <c:pt idx="10212">
                  <c:v>2.12</c:v>
                </c:pt>
                <c:pt idx="10213">
                  <c:v>2.13</c:v>
                </c:pt>
                <c:pt idx="10214">
                  <c:v>2.14</c:v>
                </c:pt>
                <c:pt idx="10215">
                  <c:v>2.15</c:v>
                </c:pt>
                <c:pt idx="10216">
                  <c:v>2.16</c:v>
                </c:pt>
                <c:pt idx="10217">
                  <c:v>2.17</c:v>
                </c:pt>
                <c:pt idx="10218">
                  <c:v>2.18</c:v>
                </c:pt>
                <c:pt idx="10219">
                  <c:v>2.19</c:v>
                </c:pt>
                <c:pt idx="10220">
                  <c:v>2.2</c:v>
                </c:pt>
                <c:pt idx="10221">
                  <c:v>2.21</c:v>
                </c:pt>
                <c:pt idx="10222">
                  <c:v>2.22</c:v>
                </c:pt>
                <c:pt idx="10223">
                  <c:v>2.23</c:v>
                </c:pt>
                <c:pt idx="10224">
                  <c:v>2.24</c:v>
                </c:pt>
                <c:pt idx="10225">
                  <c:v>2.25</c:v>
                </c:pt>
                <c:pt idx="10226">
                  <c:v>2.26</c:v>
                </c:pt>
                <c:pt idx="10227">
                  <c:v>2.27</c:v>
                </c:pt>
                <c:pt idx="10228">
                  <c:v>2.28</c:v>
                </c:pt>
                <c:pt idx="10229">
                  <c:v>2.29</c:v>
                </c:pt>
                <c:pt idx="10230">
                  <c:v>2.3</c:v>
                </c:pt>
                <c:pt idx="10231">
                  <c:v>2.31</c:v>
                </c:pt>
                <c:pt idx="10232">
                  <c:v>2.32</c:v>
                </c:pt>
                <c:pt idx="10233">
                  <c:v>2.33</c:v>
                </c:pt>
                <c:pt idx="10234">
                  <c:v>2.34</c:v>
                </c:pt>
                <c:pt idx="10235">
                  <c:v>2.35</c:v>
                </c:pt>
                <c:pt idx="10236">
                  <c:v>2.36</c:v>
                </c:pt>
                <c:pt idx="10237">
                  <c:v>2.37</c:v>
                </c:pt>
                <c:pt idx="10238">
                  <c:v>2.38</c:v>
                </c:pt>
                <c:pt idx="10239">
                  <c:v>2.39</c:v>
                </c:pt>
                <c:pt idx="10240">
                  <c:v>2.4</c:v>
                </c:pt>
                <c:pt idx="10241">
                  <c:v>2.41</c:v>
                </c:pt>
                <c:pt idx="10242">
                  <c:v>2.42</c:v>
                </c:pt>
                <c:pt idx="10243">
                  <c:v>2.43</c:v>
                </c:pt>
                <c:pt idx="10244">
                  <c:v>2.44</c:v>
                </c:pt>
                <c:pt idx="10245">
                  <c:v>2.45</c:v>
                </c:pt>
                <c:pt idx="10246">
                  <c:v>2.46</c:v>
                </c:pt>
                <c:pt idx="10247">
                  <c:v>2.47</c:v>
                </c:pt>
                <c:pt idx="10248">
                  <c:v>2.48</c:v>
                </c:pt>
                <c:pt idx="10249">
                  <c:v>2.49</c:v>
                </c:pt>
                <c:pt idx="10250">
                  <c:v>2.5</c:v>
                </c:pt>
                <c:pt idx="10251">
                  <c:v>2.51</c:v>
                </c:pt>
                <c:pt idx="10252">
                  <c:v>2.52</c:v>
                </c:pt>
                <c:pt idx="10253">
                  <c:v>2.53</c:v>
                </c:pt>
                <c:pt idx="10254">
                  <c:v>2.54</c:v>
                </c:pt>
                <c:pt idx="10255">
                  <c:v>2.55</c:v>
                </c:pt>
                <c:pt idx="10256">
                  <c:v>2.56</c:v>
                </c:pt>
                <c:pt idx="10257">
                  <c:v>2.57</c:v>
                </c:pt>
                <c:pt idx="10258">
                  <c:v>2.58</c:v>
                </c:pt>
                <c:pt idx="10259">
                  <c:v>2.59</c:v>
                </c:pt>
                <c:pt idx="10260">
                  <c:v>2.6</c:v>
                </c:pt>
                <c:pt idx="10261">
                  <c:v>2.61</c:v>
                </c:pt>
                <c:pt idx="10262">
                  <c:v>2.62</c:v>
                </c:pt>
                <c:pt idx="10263">
                  <c:v>2.63</c:v>
                </c:pt>
                <c:pt idx="10264">
                  <c:v>2.64</c:v>
                </c:pt>
                <c:pt idx="10265">
                  <c:v>2.65</c:v>
                </c:pt>
                <c:pt idx="10266">
                  <c:v>2.66</c:v>
                </c:pt>
                <c:pt idx="10267">
                  <c:v>2.67</c:v>
                </c:pt>
                <c:pt idx="10268">
                  <c:v>2.68</c:v>
                </c:pt>
                <c:pt idx="10269">
                  <c:v>2.69</c:v>
                </c:pt>
                <c:pt idx="10270">
                  <c:v>2.7</c:v>
                </c:pt>
                <c:pt idx="10271">
                  <c:v>2.71</c:v>
                </c:pt>
                <c:pt idx="10272">
                  <c:v>2.72</c:v>
                </c:pt>
                <c:pt idx="10273">
                  <c:v>2.73</c:v>
                </c:pt>
                <c:pt idx="10274">
                  <c:v>2.74</c:v>
                </c:pt>
                <c:pt idx="10275">
                  <c:v>2.75</c:v>
                </c:pt>
                <c:pt idx="10276">
                  <c:v>2.76</c:v>
                </c:pt>
                <c:pt idx="10277">
                  <c:v>2.77</c:v>
                </c:pt>
                <c:pt idx="10278">
                  <c:v>2.78</c:v>
                </c:pt>
                <c:pt idx="10279">
                  <c:v>2.79</c:v>
                </c:pt>
                <c:pt idx="10280">
                  <c:v>2.8</c:v>
                </c:pt>
                <c:pt idx="10281">
                  <c:v>2.81</c:v>
                </c:pt>
                <c:pt idx="10282">
                  <c:v>2.82</c:v>
                </c:pt>
                <c:pt idx="10283">
                  <c:v>2.83</c:v>
                </c:pt>
                <c:pt idx="10284">
                  <c:v>2.84</c:v>
                </c:pt>
                <c:pt idx="10285">
                  <c:v>2.85</c:v>
                </c:pt>
                <c:pt idx="10286">
                  <c:v>2.86</c:v>
                </c:pt>
                <c:pt idx="10287">
                  <c:v>2.87</c:v>
                </c:pt>
                <c:pt idx="10288">
                  <c:v>2.88</c:v>
                </c:pt>
                <c:pt idx="10289">
                  <c:v>2.89</c:v>
                </c:pt>
                <c:pt idx="10290">
                  <c:v>2.9</c:v>
                </c:pt>
                <c:pt idx="10291">
                  <c:v>2.91</c:v>
                </c:pt>
                <c:pt idx="10292">
                  <c:v>2.92</c:v>
                </c:pt>
                <c:pt idx="10293">
                  <c:v>2.93</c:v>
                </c:pt>
                <c:pt idx="10294">
                  <c:v>2.94</c:v>
                </c:pt>
                <c:pt idx="10295">
                  <c:v>2.95</c:v>
                </c:pt>
                <c:pt idx="10296">
                  <c:v>2.96</c:v>
                </c:pt>
                <c:pt idx="10297">
                  <c:v>2.97</c:v>
                </c:pt>
                <c:pt idx="10298">
                  <c:v>2.98</c:v>
                </c:pt>
                <c:pt idx="10299">
                  <c:v>2.99</c:v>
                </c:pt>
                <c:pt idx="10300">
                  <c:v>3.0</c:v>
                </c:pt>
                <c:pt idx="10301">
                  <c:v>3.01</c:v>
                </c:pt>
                <c:pt idx="10302">
                  <c:v>3.02</c:v>
                </c:pt>
                <c:pt idx="10303">
                  <c:v>3.03</c:v>
                </c:pt>
                <c:pt idx="10304">
                  <c:v>3.04</c:v>
                </c:pt>
                <c:pt idx="10305">
                  <c:v>3.05</c:v>
                </c:pt>
                <c:pt idx="10306">
                  <c:v>3.06</c:v>
                </c:pt>
                <c:pt idx="10307">
                  <c:v>3.07</c:v>
                </c:pt>
                <c:pt idx="10308">
                  <c:v>3.08</c:v>
                </c:pt>
                <c:pt idx="10309">
                  <c:v>3.09</c:v>
                </c:pt>
                <c:pt idx="10310">
                  <c:v>3.1</c:v>
                </c:pt>
                <c:pt idx="10311">
                  <c:v>3.11</c:v>
                </c:pt>
                <c:pt idx="10312">
                  <c:v>3.12</c:v>
                </c:pt>
                <c:pt idx="10313">
                  <c:v>3.13</c:v>
                </c:pt>
                <c:pt idx="10314">
                  <c:v>3.14</c:v>
                </c:pt>
                <c:pt idx="10315">
                  <c:v>3.15</c:v>
                </c:pt>
                <c:pt idx="10316">
                  <c:v>3.16</c:v>
                </c:pt>
                <c:pt idx="10317">
                  <c:v>3.17</c:v>
                </c:pt>
                <c:pt idx="10318">
                  <c:v>3.18</c:v>
                </c:pt>
                <c:pt idx="10319">
                  <c:v>3.19</c:v>
                </c:pt>
                <c:pt idx="10320">
                  <c:v>3.2</c:v>
                </c:pt>
                <c:pt idx="10321">
                  <c:v>3.21</c:v>
                </c:pt>
                <c:pt idx="10322">
                  <c:v>3.22</c:v>
                </c:pt>
                <c:pt idx="10323">
                  <c:v>3.23</c:v>
                </c:pt>
                <c:pt idx="10324">
                  <c:v>3.24</c:v>
                </c:pt>
                <c:pt idx="10325">
                  <c:v>3.25</c:v>
                </c:pt>
                <c:pt idx="10326">
                  <c:v>3.26</c:v>
                </c:pt>
                <c:pt idx="10327">
                  <c:v>3.27</c:v>
                </c:pt>
                <c:pt idx="10328">
                  <c:v>3.28</c:v>
                </c:pt>
                <c:pt idx="10329">
                  <c:v>3.29</c:v>
                </c:pt>
                <c:pt idx="10330">
                  <c:v>3.3</c:v>
                </c:pt>
                <c:pt idx="10331">
                  <c:v>3.31</c:v>
                </c:pt>
                <c:pt idx="10332">
                  <c:v>3.32</c:v>
                </c:pt>
                <c:pt idx="10333">
                  <c:v>3.33</c:v>
                </c:pt>
                <c:pt idx="10334">
                  <c:v>3.34</c:v>
                </c:pt>
                <c:pt idx="10335">
                  <c:v>3.35</c:v>
                </c:pt>
                <c:pt idx="10336">
                  <c:v>3.36</c:v>
                </c:pt>
                <c:pt idx="10337">
                  <c:v>3.37</c:v>
                </c:pt>
                <c:pt idx="10338">
                  <c:v>3.38</c:v>
                </c:pt>
                <c:pt idx="10339">
                  <c:v>3.39</c:v>
                </c:pt>
                <c:pt idx="10340">
                  <c:v>3.4</c:v>
                </c:pt>
                <c:pt idx="10341">
                  <c:v>3.41</c:v>
                </c:pt>
                <c:pt idx="10342">
                  <c:v>3.42</c:v>
                </c:pt>
                <c:pt idx="10343">
                  <c:v>3.43</c:v>
                </c:pt>
                <c:pt idx="10344">
                  <c:v>3.44</c:v>
                </c:pt>
                <c:pt idx="10345">
                  <c:v>3.45</c:v>
                </c:pt>
                <c:pt idx="10346">
                  <c:v>3.46</c:v>
                </c:pt>
                <c:pt idx="10347">
                  <c:v>3.47</c:v>
                </c:pt>
                <c:pt idx="10348">
                  <c:v>3.48</c:v>
                </c:pt>
                <c:pt idx="10349">
                  <c:v>3.49</c:v>
                </c:pt>
                <c:pt idx="10350">
                  <c:v>3.5</c:v>
                </c:pt>
                <c:pt idx="10351">
                  <c:v>3.51</c:v>
                </c:pt>
                <c:pt idx="10352">
                  <c:v>3.52</c:v>
                </c:pt>
                <c:pt idx="10353">
                  <c:v>3.53</c:v>
                </c:pt>
                <c:pt idx="10354">
                  <c:v>3.54</c:v>
                </c:pt>
                <c:pt idx="10355">
                  <c:v>3.55</c:v>
                </c:pt>
                <c:pt idx="10356">
                  <c:v>3.56</c:v>
                </c:pt>
                <c:pt idx="10357">
                  <c:v>3.57</c:v>
                </c:pt>
                <c:pt idx="10358">
                  <c:v>3.58</c:v>
                </c:pt>
                <c:pt idx="10359">
                  <c:v>3.59</c:v>
                </c:pt>
                <c:pt idx="10360">
                  <c:v>3.6</c:v>
                </c:pt>
                <c:pt idx="10361">
                  <c:v>3.61</c:v>
                </c:pt>
                <c:pt idx="10362">
                  <c:v>3.62</c:v>
                </c:pt>
                <c:pt idx="10363">
                  <c:v>3.63</c:v>
                </c:pt>
                <c:pt idx="10364">
                  <c:v>3.64</c:v>
                </c:pt>
                <c:pt idx="10365">
                  <c:v>3.65</c:v>
                </c:pt>
                <c:pt idx="10366">
                  <c:v>3.66</c:v>
                </c:pt>
                <c:pt idx="10367">
                  <c:v>3.67</c:v>
                </c:pt>
                <c:pt idx="10368">
                  <c:v>3.68</c:v>
                </c:pt>
                <c:pt idx="10369">
                  <c:v>3.69</c:v>
                </c:pt>
                <c:pt idx="10370">
                  <c:v>3.7</c:v>
                </c:pt>
                <c:pt idx="10371">
                  <c:v>3.71</c:v>
                </c:pt>
                <c:pt idx="10372">
                  <c:v>3.72</c:v>
                </c:pt>
                <c:pt idx="10373">
                  <c:v>3.73</c:v>
                </c:pt>
                <c:pt idx="10374">
                  <c:v>3.74</c:v>
                </c:pt>
                <c:pt idx="10375">
                  <c:v>3.75</c:v>
                </c:pt>
                <c:pt idx="10376">
                  <c:v>3.76</c:v>
                </c:pt>
                <c:pt idx="10377">
                  <c:v>3.77</c:v>
                </c:pt>
                <c:pt idx="10378">
                  <c:v>3.78</c:v>
                </c:pt>
                <c:pt idx="10379">
                  <c:v>3.79</c:v>
                </c:pt>
                <c:pt idx="10380">
                  <c:v>3.8</c:v>
                </c:pt>
                <c:pt idx="10381">
                  <c:v>3.81</c:v>
                </c:pt>
                <c:pt idx="10382">
                  <c:v>3.82</c:v>
                </c:pt>
                <c:pt idx="10383">
                  <c:v>3.83</c:v>
                </c:pt>
                <c:pt idx="10384">
                  <c:v>3.84</c:v>
                </c:pt>
                <c:pt idx="10385">
                  <c:v>3.85</c:v>
                </c:pt>
                <c:pt idx="10386">
                  <c:v>3.86</c:v>
                </c:pt>
                <c:pt idx="10387">
                  <c:v>3.87</c:v>
                </c:pt>
                <c:pt idx="10388">
                  <c:v>3.88</c:v>
                </c:pt>
                <c:pt idx="10389">
                  <c:v>3.89</c:v>
                </c:pt>
                <c:pt idx="10390">
                  <c:v>3.9</c:v>
                </c:pt>
                <c:pt idx="10391">
                  <c:v>3.91</c:v>
                </c:pt>
                <c:pt idx="10392">
                  <c:v>3.92</c:v>
                </c:pt>
                <c:pt idx="10393">
                  <c:v>3.93</c:v>
                </c:pt>
                <c:pt idx="10394">
                  <c:v>3.94</c:v>
                </c:pt>
                <c:pt idx="10395">
                  <c:v>3.95</c:v>
                </c:pt>
                <c:pt idx="10396">
                  <c:v>3.96</c:v>
                </c:pt>
                <c:pt idx="10397">
                  <c:v>3.97</c:v>
                </c:pt>
                <c:pt idx="10398">
                  <c:v>3.98</c:v>
                </c:pt>
                <c:pt idx="10399">
                  <c:v>3.99</c:v>
                </c:pt>
                <c:pt idx="10400">
                  <c:v>4.0</c:v>
                </c:pt>
                <c:pt idx="10401">
                  <c:v>4.01</c:v>
                </c:pt>
                <c:pt idx="10402">
                  <c:v>4.02</c:v>
                </c:pt>
                <c:pt idx="10403">
                  <c:v>4.03</c:v>
                </c:pt>
                <c:pt idx="10404">
                  <c:v>4.04</c:v>
                </c:pt>
                <c:pt idx="10405">
                  <c:v>4.05</c:v>
                </c:pt>
                <c:pt idx="10406">
                  <c:v>4.06</c:v>
                </c:pt>
                <c:pt idx="10407">
                  <c:v>4.07</c:v>
                </c:pt>
                <c:pt idx="10408">
                  <c:v>4.08</c:v>
                </c:pt>
                <c:pt idx="10409">
                  <c:v>4.09</c:v>
                </c:pt>
                <c:pt idx="10410">
                  <c:v>4.1</c:v>
                </c:pt>
                <c:pt idx="10411">
                  <c:v>4.11</c:v>
                </c:pt>
                <c:pt idx="10412">
                  <c:v>4.12</c:v>
                </c:pt>
                <c:pt idx="10413">
                  <c:v>4.13</c:v>
                </c:pt>
                <c:pt idx="10414">
                  <c:v>4.14</c:v>
                </c:pt>
                <c:pt idx="10415">
                  <c:v>4.15</c:v>
                </c:pt>
                <c:pt idx="10416">
                  <c:v>4.16</c:v>
                </c:pt>
                <c:pt idx="10417">
                  <c:v>4.17</c:v>
                </c:pt>
                <c:pt idx="10418">
                  <c:v>4.18</c:v>
                </c:pt>
                <c:pt idx="10419">
                  <c:v>4.19</c:v>
                </c:pt>
                <c:pt idx="10420">
                  <c:v>4.2</c:v>
                </c:pt>
                <c:pt idx="10421">
                  <c:v>4.21</c:v>
                </c:pt>
                <c:pt idx="10422">
                  <c:v>4.22</c:v>
                </c:pt>
                <c:pt idx="10423">
                  <c:v>4.23</c:v>
                </c:pt>
                <c:pt idx="10424">
                  <c:v>4.24</c:v>
                </c:pt>
                <c:pt idx="10425">
                  <c:v>4.25</c:v>
                </c:pt>
                <c:pt idx="10426">
                  <c:v>4.26</c:v>
                </c:pt>
                <c:pt idx="10427">
                  <c:v>4.27</c:v>
                </c:pt>
                <c:pt idx="10428">
                  <c:v>4.28</c:v>
                </c:pt>
                <c:pt idx="10429">
                  <c:v>4.29</c:v>
                </c:pt>
                <c:pt idx="10430">
                  <c:v>4.3</c:v>
                </c:pt>
                <c:pt idx="10431">
                  <c:v>4.31</c:v>
                </c:pt>
                <c:pt idx="10432">
                  <c:v>4.32</c:v>
                </c:pt>
                <c:pt idx="10433">
                  <c:v>4.33</c:v>
                </c:pt>
                <c:pt idx="10434">
                  <c:v>4.34</c:v>
                </c:pt>
                <c:pt idx="10435">
                  <c:v>4.35</c:v>
                </c:pt>
                <c:pt idx="10436">
                  <c:v>4.36</c:v>
                </c:pt>
                <c:pt idx="10437">
                  <c:v>4.37</c:v>
                </c:pt>
                <c:pt idx="10438">
                  <c:v>4.38</c:v>
                </c:pt>
                <c:pt idx="10439">
                  <c:v>4.39</c:v>
                </c:pt>
                <c:pt idx="10440">
                  <c:v>4.4</c:v>
                </c:pt>
                <c:pt idx="10441">
                  <c:v>4.41</c:v>
                </c:pt>
                <c:pt idx="10442">
                  <c:v>4.42</c:v>
                </c:pt>
                <c:pt idx="10443">
                  <c:v>4.43</c:v>
                </c:pt>
                <c:pt idx="10444">
                  <c:v>4.44</c:v>
                </c:pt>
                <c:pt idx="10445">
                  <c:v>4.45</c:v>
                </c:pt>
                <c:pt idx="10446">
                  <c:v>4.46</c:v>
                </c:pt>
                <c:pt idx="10447">
                  <c:v>4.47</c:v>
                </c:pt>
                <c:pt idx="10448">
                  <c:v>4.48</c:v>
                </c:pt>
                <c:pt idx="10449">
                  <c:v>4.49</c:v>
                </c:pt>
                <c:pt idx="10450">
                  <c:v>4.5</c:v>
                </c:pt>
                <c:pt idx="10451">
                  <c:v>4.51</c:v>
                </c:pt>
                <c:pt idx="10452">
                  <c:v>4.52</c:v>
                </c:pt>
                <c:pt idx="10453">
                  <c:v>4.53</c:v>
                </c:pt>
                <c:pt idx="10454">
                  <c:v>4.54</c:v>
                </c:pt>
                <c:pt idx="10455">
                  <c:v>4.55</c:v>
                </c:pt>
                <c:pt idx="10456">
                  <c:v>4.56</c:v>
                </c:pt>
                <c:pt idx="10457">
                  <c:v>4.57</c:v>
                </c:pt>
                <c:pt idx="10458">
                  <c:v>4.58</c:v>
                </c:pt>
                <c:pt idx="10459">
                  <c:v>4.59</c:v>
                </c:pt>
                <c:pt idx="10460">
                  <c:v>4.6</c:v>
                </c:pt>
                <c:pt idx="10461">
                  <c:v>4.61</c:v>
                </c:pt>
                <c:pt idx="10462">
                  <c:v>4.62</c:v>
                </c:pt>
                <c:pt idx="10463">
                  <c:v>4.63</c:v>
                </c:pt>
                <c:pt idx="10464">
                  <c:v>4.64</c:v>
                </c:pt>
                <c:pt idx="10465">
                  <c:v>4.65</c:v>
                </c:pt>
                <c:pt idx="10466">
                  <c:v>4.66</c:v>
                </c:pt>
                <c:pt idx="10467">
                  <c:v>4.67</c:v>
                </c:pt>
                <c:pt idx="10468">
                  <c:v>4.68</c:v>
                </c:pt>
                <c:pt idx="10469">
                  <c:v>4.69</c:v>
                </c:pt>
                <c:pt idx="10470">
                  <c:v>4.7</c:v>
                </c:pt>
                <c:pt idx="10471">
                  <c:v>4.71</c:v>
                </c:pt>
                <c:pt idx="10472">
                  <c:v>4.72</c:v>
                </c:pt>
                <c:pt idx="10473">
                  <c:v>4.73</c:v>
                </c:pt>
                <c:pt idx="10474">
                  <c:v>4.74</c:v>
                </c:pt>
                <c:pt idx="10475">
                  <c:v>4.75</c:v>
                </c:pt>
                <c:pt idx="10476">
                  <c:v>4.76</c:v>
                </c:pt>
                <c:pt idx="10477">
                  <c:v>4.77</c:v>
                </c:pt>
                <c:pt idx="10478">
                  <c:v>4.78</c:v>
                </c:pt>
                <c:pt idx="10479">
                  <c:v>4.79</c:v>
                </c:pt>
                <c:pt idx="10480">
                  <c:v>4.8</c:v>
                </c:pt>
                <c:pt idx="10481">
                  <c:v>4.81</c:v>
                </c:pt>
                <c:pt idx="10482">
                  <c:v>4.82</c:v>
                </c:pt>
                <c:pt idx="10483">
                  <c:v>4.83</c:v>
                </c:pt>
                <c:pt idx="10484">
                  <c:v>4.84</c:v>
                </c:pt>
                <c:pt idx="10485">
                  <c:v>4.85</c:v>
                </c:pt>
                <c:pt idx="10486">
                  <c:v>4.86</c:v>
                </c:pt>
                <c:pt idx="10487">
                  <c:v>4.87</c:v>
                </c:pt>
                <c:pt idx="10488">
                  <c:v>4.88</c:v>
                </c:pt>
                <c:pt idx="10489">
                  <c:v>4.89</c:v>
                </c:pt>
                <c:pt idx="10490">
                  <c:v>4.9</c:v>
                </c:pt>
                <c:pt idx="10491">
                  <c:v>4.91</c:v>
                </c:pt>
                <c:pt idx="10492">
                  <c:v>4.92</c:v>
                </c:pt>
                <c:pt idx="10493">
                  <c:v>4.93</c:v>
                </c:pt>
                <c:pt idx="10494">
                  <c:v>4.94</c:v>
                </c:pt>
                <c:pt idx="10495">
                  <c:v>4.95</c:v>
                </c:pt>
                <c:pt idx="10496">
                  <c:v>4.96</c:v>
                </c:pt>
                <c:pt idx="10497">
                  <c:v>4.97</c:v>
                </c:pt>
                <c:pt idx="10498">
                  <c:v>4.98</c:v>
                </c:pt>
                <c:pt idx="10499">
                  <c:v>4.99</c:v>
                </c:pt>
                <c:pt idx="10500">
                  <c:v>5.0</c:v>
                </c:pt>
                <c:pt idx="10501">
                  <c:v>5.01</c:v>
                </c:pt>
                <c:pt idx="10502">
                  <c:v>5.02</c:v>
                </c:pt>
                <c:pt idx="10503">
                  <c:v>5.03</c:v>
                </c:pt>
                <c:pt idx="10504">
                  <c:v>5.04</c:v>
                </c:pt>
                <c:pt idx="10505">
                  <c:v>5.05</c:v>
                </c:pt>
                <c:pt idx="10506">
                  <c:v>5.06</c:v>
                </c:pt>
                <c:pt idx="10507">
                  <c:v>5.07</c:v>
                </c:pt>
                <c:pt idx="10508">
                  <c:v>5.08</c:v>
                </c:pt>
                <c:pt idx="10509">
                  <c:v>5.09</c:v>
                </c:pt>
                <c:pt idx="10510">
                  <c:v>5.1</c:v>
                </c:pt>
                <c:pt idx="10511">
                  <c:v>5.11</c:v>
                </c:pt>
                <c:pt idx="10512">
                  <c:v>5.12</c:v>
                </c:pt>
                <c:pt idx="10513">
                  <c:v>5.13</c:v>
                </c:pt>
                <c:pt idx="10514">
                  <c:v>5.14</c:v>
                </c:pt>
                <c:pt idx="10515">
                  <c:v>5.15</c:v>
                </c:pt>
                <c:pt idx="10516">
                  <c:v>5.16</c:v>
                </c:pt>
                <c:pt idx="10517">
                  <c:v>5.17</c:v>
                </c:pt>
                <c:pt idx="10518">
                  <c:v>5.18</c:v>
                </c:pt>
                <c:pt idx="10519">
                  <c:v>5.19</c:v>
                </c:pt>
                <c:pt idx="10520">
                  <c:v>5.2</c:v>
                </c:pt>
                <c:pt idx="10521">
                  <c:v>5.21</c:v>
                </c:pt>
                <c:pt idx="10522">
                  <c:v>5.22</c:v>
                </c:pt>
                <c:pt idx="10523">
                  <c:v>5.23</c:v>
                </c:pt>
                <c:pt idx="10524">
                  <c:v>5.24</c:v>
                </c:pt>
                <c:pt idx="10525">
                  <c:v>5.25</c:v>
                </c:pt>
                <c:pt idx="10526">
                  <c:v>5.26</c:v>
                </c:pt>
                <c:pt idx="10527">
                  <c:v>5.27</c:v>
                </c:pt>
                <c:pt idx="10528">
                  <c:v>5.28</c:v>
                </c:pt>
                <c:pt idx="10529">
                  <c:v>5.29</c:v>
                </c:pt>
                <c:pt idx="10530">
                  <c:v>5.3</c:v>
                </c:pt>
                <c:pt idx="10531">
                  <c:v>5.31</c:v>
                </c:pt>
                <c:pt idx="10532">
                  <c:v>5.32</c:v>
                </c:pt>
                <c:pt idx="10533">
                  <c:v>5.33</c:v>
                </c:pt>
                <c:pt idx="10534">
                  <c:v>5.34</c:v>
                </c:pt>
                <c:pt idx="10535">
                  <c:v>5.35</c:v>
                </c:pt>
                <c:pt idx="10536">
                  <c:v>5.36</c:v>
                </c:pt>
                <c:pt idx="10537">
                  <c:v>5.37</c:v>
                </c:pt>
                <c:pt idx="10538">
                  <c:v>5.38</c:v>
                </c:pt>
                <c:pt idx="10539">
                  <c:v>5.39</c:v>
                </c:pt>
                <c:pt idx="10540">
                  <c:v>5.4</c:v>
                </c:pt>
                <c:pt idx="10541">
                  <c:v>5.41</c:v>
                </c:pt>
                <c:pt idx="10542">
                  <c:v>5.42</c:v>
                </c:pt>
                <c:pt idx="10543">
                  <c:v>5.43</c:v>
                </c:pt>
                <c:pt idx="10544">
                  <c:v>5.44</c:v>
                </c:pt>
                <c:pt idx="10545">
                  <c:v>5.45</c:v>
                </c:pt>
                <c:pt idx="10546">
                  <c:v>5.46</c:v>
                </c:pt>
                <c:pt idx="10547">
                  <c:v>5.47</c:v>
                </c:pt>
                <c:pt idx="10548">
                  <c:v>5.48</c:v>
                </c:pt>
                <c:pt idx="10549">
                  <c:v>5.49</c:v>
                </c:pt>
                <c:pt idx="10550">
                  <c:v>5.5</c:v>
                </c:pt>
                <c:pt idx="10551">
                  <c:v>5.51</c:v>
                </c:pt>
                <c:pt idx="10552">
                  <c:v>5.52</c:v>
                </c:pt>
                <c:pt idx="10553">
                  <c:v>5.53</c:v>
                </c:pt>
                <c:pt idx="10554">
                  <c:v>5.54</c:v>
                </c:pt>
                <c:pt idx="10555">
                  <c:v>5.55</c:v>
                </c:pt>
                <c:pt idx="10556">
                  <c:v>5.56</c:v>
                </c:pt>
                <c:pt idx="10557">
                  <c:v>5.57</c:v>
                </c:pt>
                <c:pt idx="10558">
                  <c:v>5.58</c:v>
                </c:pt>
                <c:pt idx="10559">
                  <c:v>5.59</c:v>
                </c:pt>
                <c:pt idx="10560">
                  <c:v>5.6</c:v>
                </c:pt>
                <c:pt idx="10561">
                  <c:v>5.61</c:v>
                </c:pt>
                <c:pt idx="10562">
                  <c:v>5.62</c:v>
                </c:pt>
                <c:pt idx="10563">
                  <c:v>5.63</c:v>
                </c:pt>
                <c:pt idx="10564">
                  <c:v>5.64</c:v>
                </c:pt>
                <c:pt idx="10565">
                  <c:v>5.65</c:v>
                </c:pt>
                <c:pt idx="10566">
                  <c:v>5.66</c:v>
                </c:pt>
                <c:pt idx="10567">
                  <c:v>5.67</c:v>
                </c:pt>
                <c:pt idx="10568">
                  <c:v>5.68</c:v>
                </c:pt>
                <c:pt idx="10569">
                  <c:v>5.69</c:v>
                </c:pt>
                <c:pt idx="10570">
                  <c:v>5.7</c:v>
                </c:pt>
                <c:pt idx="10571">
                  <c:v>5.71</c:v>
                </c:pt>
                <c:pt idx="10572">
                  <c:v>5.72</c:v>
                </c:pt>
                <c:pt idx="10573">
                  <c:v>5.73</c:v>
                </c:pt>
                <c:pt idx="10574">
                  <c:v>5.74</c:v>
                </c:pt>
                <c:pt idx="10575">
                  <c:v>5.75</c:v>
                </c:pt>
                <c:pt idx="10576">
                  <c:v>5.76</c:v>
                </c:pt>
                <c:pt idx="10577">
                  <c:v>5.77</c:v>
                </c:pt>
                <c:pt idx="10578">
                  <c:v>5.78</c:v>
                </c:pt>
                <c:pt idx="10579">
                  <c:v>5.79</c:v>
                </c:pt>
                <c:pt idx="10580">
                  <c:v>5.8</c:v>
                </c:pt>
                <c:pt idx="10581">
                  <c:v>5.81</c:v>
                </c:pt>
                <c:pt idx="10582">
                  <c:v>5.82</c:v>
                </c:pt>
                <c:pt idx="10583">
                  <c:v>5.83</c:v>
                </c:pt>
                <c:pt idx="10584">
                  <c:v>5.84</c:v>
                </c:pt>
                <c:pt idx="10585">
                  <c:v>5.85</c:v>
                </c:pt>
                <c:pt idx="10586">
                  <c:v>5.86</c:v>
                </c:pt>
                <c:pt idx="10587">
                  <c:v>5.87</c:v>
                </c:pt>
                <c:pt idx="10588">
                  <c:v>5.88</c:v>
                </c:pt>
                <c:pt idx="10589">
                  <c:v>5.89</c:v>
                </c:pt>
                <c:pt idx="10590">
                  <c:v>5.9</c:v>
                </c:pt>
                <c:pt idx="10591">
                  <c:v>5.91</c:v>
                </c:pt>
                <c:pt idx="10592">
                  <c:v>5.92</c:v>
                </c:pt>
                <c:pt idx="10593">
                  <c:v>5.93</c:v>
                </c:pt>
                <c:pt idx="10594">
                  <c:v>5.94</c:v>
                </c:pt>
                <c:pt idx="10595">
                  <c:v>5.95</c:v>
                </c:pt>
                <c:pt idx="10596">
                  <c:v>5.96</c:v>
                </c:pt>
                <c:pt idx="10597">
                  <c:v>5.97</c:v>
                </c:pt>
                <c:pt idx="10598">
                  <c:v>5.98</c:v>
                </c:pt>
                <c:pt idx="10599">
                  <c:v>5.99</c:v>
                </c:pt>
                <c:pt idx="10600">
                  <c:v>6.0</c:v>
                </c:pt>
                <c:pt idx="10601">
                  <c:v>6.01</c:v>
                </c:pt>
                <c:pt idx="10602">
                  <c:v>6.02</c:v>
                </c:pt>
                <c:pt idx="10603">
                  <c:v>6.03</c:v>
                </c:pt>
                <c:pt idx="10604">
                  <c:v>6.04</c:v>
                </c:pt>
                <c:pt idx="10605">
                  <c:v>6.05</c:v>
                </c:pt>
                <c:pt idx="10606">
                  <c:v>6.06</c:v>
                </c:pt>
                <c:pt idx="10607">
                  <c:v>6.07</c:v>
                </c:pt>
                <c:pt idx="10608">
                  <c:v>6.08</c:v>
                </c:pt>
                <c:pt idx="10609">
                  <c:v>6.09</c:v>
                </c:pt>
                <c:pt idx="10610">
                  <c:v>6.1</c:v>
                </c:pt>
                <c:pt idx="10611">
                  <c:v>6.11</c:v>
                </c:pt>
                <c:pt idx="10612">
                  <c:v>6.12</c:v>
                </c:pt>
                <c:pt idx="10613">
                  <c:v>6.13</c:v>
                </c:pt>
                <c:pt idx="10614">
                  <c:v>6.14</c:v>
                </c:pt>
                <c:pt idx="10615">
                  <c:v>6.15</c:v>
                </c:pt>
                <c:pt idx="10616">
                  <c:v>6.16</c:v>
                </c:pt>
                <c:pt idx="10617">
                  <c:v>6.17</c:v>
                </c:pt>
                <c:pt idx="10618">
                  <c:v>6.18</c:v>
                </c:pt>
                <c:pt idx="10619">
                  <c:v>6.19</c:v>
                </c:pt>
                <c:pt idx="10620">
                  <c:v>6.2</c:v>
                </c:pt>
                <c:pt idx="10621">
                  <c:v>6.21</c:v>
                </c:pt>
                <c:pt idx="10622">
                  <c:v>6.22</c:v>
                </c:pt>
                <c:pt idx="10623">
                  <c:v>6.23</c:v>
                </c:pt>
                <c:pt idx="10624">
                  <c:v>6.24</c:v>
                </c:pt>
                <c:pt idx="10625">
                  <c:v>6.25</c:v>
                </c:pt>
                <c:pt idx="10626">
                  <c:v>6.26</c:v>
                </c:pt>
                <c:pt idx="10627">
                  <c:v>6.27</c:v>
                </c:pt>
                <c:pt idx="10628">
                  <c:v>6.28</c:v>
                </c:pt>
                <c:pt idx="10629">
                  <c:v>6.29</c:v>
                </c:pt>
                <c:pt idx="10630">
                  <c:v>6.3</c:v>
                </c:pt>
                <c:pt idx="10631">
                  <c:v>6.31</c:v>
                </c:pt>
                <c:pt idx="10632">
                  <c:v>6.32</c:v>
                </c:pt>
                <c:pt idx="10633">
                  <c:v>6.33</c:v>
                </c:pt>
                <c:pt idx="10634">
                  <c:v>6.34</c:v>
                </c:pt>
                <c:pt idx="10635">
                  <c:v>6.35</c:v>
                </c:pt>
                <c:pt idx="10636">
                  <c:v>6.36</c:v>
                </c:pt>
                <c:pt idx="10637">
                  <c:v>6.37</c:v>
                </c:pt>
                <c:pt idx="10638">
                  <c:v>6.38</c:v>
                </c:pt>
                <c:pt idx="10639">
                  <c:v>6.39</c:v>
                </c:pt>
                <c:pt idx="10640">
                  <c:v>6.4</c:v>
                </c:pt>
                <c:pt idx="10641">
                  <c:v>6.41</c:v>
                </c:pt>
                <c:pt idx="10642">
                  <c:v>6.42</c:v>
                </c:pt>
                <c:pt idx="10643">
                  <c:v>6.43</c:v>
                </c:pt>
                <c:pt idx="10644">
                  <c:v>6.44</c:v>
                </c:pt>
                <c:pt idx="10645">
                  <c:v>6.45</c:v>
                </c:pt>
                <c:pt idx="10646">
                  <c:v>6.46</c:v>
                </c:pt>
                <c:pt idx="10647">
                  <c:v>6.47</c:v>
                </c:pt>
                <c:pt idx="10648">
                  <c:v>6.48</c:v>
                </c:pt>
                <c:pt idx="10649">
                  <c:v>6.49</c:v>
                </c:pt>
                <c:pt idx="10650">
                  <c:v>6.5</c:v>
                </c:pt>
                <c:pt idx="10651">
                  <c:v>6.51</c:v>
                </c:pt>
                <c:pt idx="10652">
                  <c:v>6.52</c:v>
                </c:pt>
                <c:pt idx="10653">
                  <c:v>6.53</c:v>
                </c:pt>
                <c:pt idx="10654">
                  <c:v>6.54</c:v>
                </c:pt>
                <c:pt idx="10655">
                  <c:v>6.55</c:v>
                </c:pt>
                <c:pt idx="10656">
                  <c:v>6.56</c:v>
                </c:pt>
                <c:pt idx="10657">
                  <c:v>6.57</c:v>
                </c:pt>
                <c:pt idx="10658">
                  <c:v>6.58</c:v>
                </c:pt>
                <c:pt idx="10659">
                  <c:v>6.59</c:v>
                </c:pt>
                <c:pt idx="10660">
                  <c:v>6.6</c:v>
                </c:pt>
                <c:pt idx="10661">
                  <c:v>6.61</c:v>
                </c:pt>
                <c:pt idx="10662">
                  <c:v>6.62</c:v>
                </c:pt>
                <c:pt idx="10663">
                  <c:v>6.63</c:v>
                </c:pt>
                <c:pt idx="10664">
                  <c:v>6.64</c:v>
                </c:pt>
                <c:pt idx="10665">
                  <c:v>6.65</c:v>
                </c:pt>
                <c:pt idx="10666">
                  <c:v>6.66</c:v>
                </c:pt>
                <c:pt idx="10667">
                  <c:v>6.67</c:v>
                </c:pt>
                <c:pt idx="10668">
                  <c:v>6.68</c:v>
                </c:pt>
                <c:pt idx="10669">
                  <c:v>6.69</c:v>
                </c:pt>
                <c:pt idx="10670">
                  <c:v>6.7</c:v>
                </c:pt>
                <c:pt idx="10671">
                  <c:v>6.71</c:v>
                </c:pt>
                <c:pt idx="10672">
                  <c:v>6.72</c:v>
                </c:pt>
                <c:pt idx="10673">
                  <c:v>6.73</c:v>
                </c:pt>
                <c:pt idx="10674">
                  <c:v>6.74</c:v>
                </c:pt>
                <c:pt idx="10675">
                  <c:v>6.75</c:v>
                </c:pt>
                <c:pt idx="10676">
                  <c:v>6.76</c:v>
                </c:pt>
                <c:pt idx="10677">
                  <c:v>6.77</c:v>
                </c:pt>
                <c:pt idx="10678">
                  <c:v>6.78</c:v>
                </c:pt>
                <c:pt idx="10679">
                  <c:v>6.79</c:v>
                </c:pt>
                <c:pt idx="10680">
                  <c:v>6.8</c:v>
                </c:pt>
                <c:pt idx="10681">
                  <c:v>6.81</c:v>
                </c:pt>
                <c:pt idx="10682">
                  <c:v>6.82</c:v>
                </c:pt>
                <c:pt idx="10683">
                  <c:v>6.83</c:v>
                </c:pt>
                <c:pt idx="10684">
                  <c:v>6.84</c:v>
                </c:pt>
                <c:pt idx="10685">
                  <c:v>6.85</c:v>
                </c:pt>
                <c:pt idx="10686">
                  <c:v>6.86</c:v>
                </c:pt>
                <c:pt idx="10687">
                  <c:v>6.87</c:v>
                </c:pt>
                <c:pt idx="10688">
                  <c:v>6.88</c:v>
                </c:pt>
                <c:pt idx="10689">
                  <c:v>6.89</c:v>
                </c:pt>
                <c:pt idx="10690">
                  <c:v>6.9</c:v>
                </c:pt>
                <c:pt idx="10691">
                  <c:v>6.91</c:v>
                </c:pt>
                <c:pt idx="10692">
                  <c:v>6.92</c:v>
                </c:pt>
                <c:pt idx="10693">
                  <c:v>6.93</c:v>
                </c:pt>
                <c:pt idx="10694">
                  <c:v>6.94</c:v>
                </c:pt>
                <c:pt idx="10695">
                  <c:v>6.95</c:v>
                </c:pt>
                <c:pt idx="10696">
                  <c:v>6.96</c:v>
                </c:pt>
                <c:pt idx="10697">
                  <c:v>6.97</c:v>
                </c:pt>
                <c:pt idx="10698">
                  <c:v>6.98</c:v>
                </c:pt>
                <c:pt idx="10699">
                  <c:v>6.99</c:v>
                </c:pt>
                <c:pt idx="10700">
                  <c:v>7.0</c:v>
                </c:pt>
                <c:pt idx="10701">
                  <c:v>7.01</c:v>
                </c:pt>
                <c:pt idx="10702">
                  <c:v>7.02</c:v>
                </c:pt>
                <c:pt idx="10703">
                  <c:v>7.03</c:v>
                </c:pt>
                <c:pt idx="10704">
                  <c:v>7.04</c:v>
                </c:pt>
                <c:pt idx="10705">
                  <c:v>7.05</c:v>
                </c:pt>
                <c:pt idx="10706">
                  <c:v>7.06</c:v>
                </c:pt>
                <c:pt idx="10707">
                  <c:v>7.07</c:v>
                </c:pt>
                <c:pt idx="10708">
                  <c:v>7.08</c:v>
                </c:pt>
                <c:pt idx="10709">
                  <c:v>7.09</c:v>
                </c:pt>
                <c:pt idx="10710">
                  <c:v>7.1</c:v>
                </c:pt>
                <c:pt idx="10711">
                  <c:v>7.11</c:v>
                </c:pt>
                <c:pt idx="10712">
                  <c:v>7.12</c:v>
                </c:pt>
                <c:pt idx="10713">
                  <c:v>7.13</c:v>
                </c:pt>
                <c:pt idx="10714">
                  <c:v>7.14</c:v>
                </c:pt>
                <c:pt idx="10715">
                  <c:v>7.15</c:v>
                </c:pt>
                <c:pt idx="10716">
                  <c:v>7.16</c:v>
                </c:pt>
                <c:pt idx="10717">
                  <c:v>7.17</c:v>
                </c:pt>
                <c:pt idx="10718">
                  <c:v>7.18</c:v>
                </c:pt>
                <c:pt idx="10719">
                  <c:v>7.19</c:v>
                </c:pt>
                <c:pt idx="10720">
                  <c:v>7.2</c:v>
                </c:pt>
                <c:pt idx="10721">
                  <c:v>7.21</c:v>
                </c:pt>
                <c:pt idx="10722">
                  <c:v>7.22</c:v>
                </c:pt>
                <c:pt idx="10723">
                  <c:v>7.23</c:v>
                </c:pt>
                <c:pt idx="10724">
                  <c:v>7.24</c:v>
                </c:pt>
                <c:pt idx="10725">
                  <c:v>7.25</c:v>
                </c:pt>
                <c:pt idx="10726">
                  <c:v>7.26</c:v>
                </c:pt>
                <c:pt idx="10727">
                  <c:v>7.27</c:v>
                </c:pt>
                <c:pt idx="10728">
                  <c:v>7.28</c:v>
                </c:pt>
                <c:pt idx="10729">
                  <c:v>7.29</c:v>
                </c:pt>
                <c:pt idx="10730">
                  <c:v>7.3</c:v>
                </c:pt>
                <c:pt idx="10731">
                  <c:v>7.31</c:v>
                </c:pt>
                <c:pt idx="10732">
                  <c:v>7.32</c:v>
                </c:pt>
                <c:pt idx="10733">
                  <c:v>7.33</c:v>
                </c:pt>
                <c:pt idx="10734">
                  <c:v>7.34</c:v>
                </c:pt>
                <c:pt idx="10735">
                  <c:v>7.35</c:v>
                </c:pt>
                <c:pt idx="10736">
                  <c:v>7.36</c:v>
                </c:pt>
                <c:pt idx="10737">
                  <c:v>7.37</c:v>
                </c:pt>
                <c:pt idx="10738">
                  <c:v>7.38</c:v>
                </c:pt>
                <c:pt idx="10739">
                  <c:v>7.39</c:v>
                </c:pt>
                <c:pt idx="10740">
                  <c:v>7.4</c:v>
                </c:pt>
                <c:pt idx="10741">
                  <c:v>7.41</c:v>
                </c:pt>
                <c:pt idx="10742">
                  <c:v>7.42</c:v>
                </c:pt>
                <c:pt idx="10743">
                  <c:v>7.43</c:v>
                </c:pt>
                <c:pt idx="10744">
                  <c:v>7.44</c:v>
                </c:pt>
                <c:pt idx="10745">
                  <c:v>7.45</c:v>
                </c:pt>
                <c:pt idx="10746">
                  <c:v>7.46</c:v>
                </c:pt>
                <c:pt idx="10747">
                  <c:v>7.47</c:v>
                </c:pt>
                <c:pt idx="10748">
                  <c:v>7.48</c:v>
                </c:pt>
                <c:pt idx="10749">
                  <c:v>7.49</c:v>
                </c:pt>
                <c:pt idx="10750">
                  <c:v>7.5</c:v>
                </c:pt>
                <c:pt idx="10751">
                  <c:v>7.51</c:v>
                </c:pt>
                <c:pt idx="10752">
                  <c:v>7.52</c:v>
                </c:pt>
                <c:pt idx="10753">
                  <c:v>7.53</c:v>
                </c:pt>
                <c:pt idx="10754">
                  <c:v>7.54</c:v>
                </c:pt>
                <c:pt idx="10755">
                  <c:v>7.55</c:v>
                </c:pt>
                <c:pt idx="10756">
                  <c:v>7.56</c:v>
                </c:pt>
                <c:pt idx="10757">
                  <c:v>7.57</c:v>
                </c:pt>
                <c:pt idx="10758">
                  <c:v>7.58</c:v>
                </c:pt>
                <c:pt idx="10759">
                  <c:v>7.59</c:v>
                </c:pt>
                <c:pt idx="10760">
                  <c:v>7.6</c:v>
                </c:pt>
                <c:pt idx="10761">
                  <c:v>7.61</c:v>
                </c:pt>
                <c:pt idx="10762">
                  <c:v>7.62</c:v>
                </c:pt>
                <c:pt idx="10763">
                  <c:v>7.63</c:v>
                </c:pt>
                <c:pt idx="10764">
                  <c:v>7.64</c:v>
                </c:pt>
                <c:pt idx="10765">
                  <c:v>7.65</c:v>
                </c:pt>
                <c:pt idx="10766">
                  <c:v>7.66</c:v>
                </c:pt>
                <c:pt idx="10767">
                  <c:v>7.67</c:v>
                </c:pt>
                <c:pt idx="10768">
                  <c:v>7.68</c:v>
                </c:pt>
                <c:pt idx="10769">
                  <c:v>7.69</c:v>
                </c:pt>
                <c:pt idx="10770">
                  <c:v>7.7</c:v>
                </c:pt>
                <c:pt idx="10771">
                  <c:v>7.71</c:v>
                </c:pt>
                <c:pt idx="10772">
                  <c:v>7.72</c:v>
                </c:pt>
                <c:pt idx="10773">
                  <c:v>7.73</c:v>
                </c:pt>
                <c:pt idx="10774">
                  <c:v>7.74</c:v>
                </c:pt>
                <c:pt idx="10775">
                  <c:v>7.75</c:v>
                </c:pt>
                <c:pt idx="10776">
                  <c:v>7.76</c:v>
                </c:pt>
                <c:pt idx="10777">
                  <c:v>7.77</c:v>
                </c:pt>
                <c:pt idx="10778">
                  <c:v>7.78</c:v>
                </c:pt>
                <c:pt idx="10779">
                  <c:v>7.79</c:v>
                </c:pt>
                <c:pt idx="10780">
                  <c:v>7.8</c:v>
                </c:pt>
                <c:pt idx="10781">
                  <c:v>7.81</c:v>
                </c:pt>
                <c:pt idx="10782">
                  <c:v>7.82</c:v>
                </c:pt>
                <c:pt idx="10783">
                  <c:v>7.83</c:v>
                </c:pt>
                <c:pt idx="10784">
                  <c:v>7.84</c:v>
                </c:pt>
                <c:pt idx="10785">
                  <c:v>7.85</c:v>
                </c:pt>
                <c:pt idx="10786">
                  <c:v>7.86</c:v>
                </c:pt>
                <c:pt idx="10787">
                  <c:v>7.87</c:v>
                </c:pt>
                <c:pt idx="10788">
                  <c:v>7.88</c:v>
                </c:pt>
                <c:pt idx="10789">
                  <c:v>7.89</c:v>
                </c:pt>
                <c:pt idx="10790">
                  <c:v>7.9</c:v>
                </c:pt>
                <c:pt idx="10791">
                  <c:v>7.91</c:v>
                </c:pt>
                <c:pt idx="10792">
                  <c:v>7.92</c:v>
                </c:pt>
                <c:pt idx="10793">
                  <c:v>7.93</c:v>
                </c:pt>
                <c:pt idx="10794">
                  <c:v>7.94</c:v>
                </c:pt>
                <c:pt idx="10795">
                  <c:v>7.95</c:v>
                </c:pt>
                <c:pt idx="10796">
                  <c:v>7.96</c:v>
                </c:pt>
                <c:pt idx="10797">
                  <c:v>7.97</c:v>
                </c:pt>
                <c:pt idx="10798">
                  <c:v>7.98</c:v>
                </c:pt>
                <c:pt idx="10799">
                  <c:v>7.99</c:v>
                </c:pt>
                <c:pt idx="10800">
                  <c:v>8.0</c:v>
                </c:pt>
                <c:pt idx="10801">
                  <c:v>8.01</c:v>
                </c:pt>
                <c:pt idx="10802">
                  <c:v>8.02</c:v>
                </c:pt>
                <c:pt idx="10803">
                  <c:v>8.03</c:v>
                </c:pt>
                <c:pt idx="10804">
                  <c:v>8.04</c:v>
                </c:pt>
                <c:pt idx="10805">
                  <c:v>8.05</c:v>
                </c:pt>
                <c:pt idx="10806">
                  <c:v>8.06</c:v>
                </c:pt>
                <c:pt idx="10807">
                  <c:v>8.07</c:v>
                </c:pt>
                <c:pt idx="10808">
                  <c:v>8.08</c:v>
                </c:pt>
                <c:pt idx="10809">
                  <c:v>8.09</c:v>
                </c:pt>
                <c:pt idx="10810">
                  <c:v>8.1</c:v>
                </c:pt>
                <c:pt idx="10811">
                  <c:v>8.11</c:v>
                </c:pt>
                <c:pt idx="10812">
                  <c:v>8.12</c:v>
                </c:pt>
                <c:pt idx="10813">
                  <c:v>8.13</c:v>
                </c:pt>
                <c:pt idx="10814">
                  <c:v>8.14</c:v>
                </c:pt>
                <c:pt idx="10815">
                  <c:v>8.15</c:v>
                </c:pt>
                <c:pt idx="10816">
                  <c:v>8.16</c:v>
                </c:pt>
                <c:pt idx="10817">
                  <c:v>8.17</c:v>
                </c:pt>
                <c:pt idx="10818">
                  <c:v>8.18</c:v>
                </c:pt>
                <c:pt idx="10819">
                  <c:v>8.19</c:v>
                </c:pt>
                <c:pt idx="10820">
                  <c:v>8.2</c:v>
                </c:pt>
                <c:pt idx="10821">
                  <c:v>8.21</c:v>
                </c:pt>
                <c:pt idx="10822">
                  <c:v>8.22</c:v>
                </c:pt>
                <c:pt idx="10823">
                  <c:v>8.23</c:v>
                </c:pt>
                <c:pt idx="10824">
                  <c:v>8.24</c:v>
                </c:pt>
                <c:pt idx="10825">
                  <c:v>8.25</c:v>
                </c:pt>
                <c:pt idx="10826">
                  <c:v>8.26</c:v>
                </c:pt>
                <c:pt idx="10827">
                  <c:v>8.27</c:v>
                </c:pt>
                <c:pt idx="10828">
                  <c:v>8.28</c:v>
                </c:pt>
                <c:pt idx="10829">
                  <c:v>8.29</c:v>
                </c:pt>
                <c:pt idx="10830">
                  <c:v>8.3</c:v>
                </c:pt>
                <c:pt idx="10831">
                  <c:v>8.31</c:v>
                </c:pt>
                <c:pt idx="10832">
                  <c:v>8.32</c:v>
                </c:pt>
                <c:pt idx="10833">
                  <c:v>8.33</c:v>
                </c:pt>
                <c:pt idx="10834">
                  <c:v>8.34</c:v>
                </c:pt>
                <c:pt idx="10835">
                  <c:v>8.35</c:v>
                </c:pt>
                <c:pt idx="10836">
                  <c:v>8.36</c:v>
                </c:pt>
                <c:pt idx="10837">
                  <c:v>8.37</c:v>
                </c:pt>
                <c:pt idx="10838">
                  <c:v>8.38</c:v>
                </c:pt>
                <c:pt idx="10839">
                  <c:v>8.39</c:v>
                </c:pt>
                <c:pt idx="10840">
                  <c:v>8.4</c:v>
                </c:pt>
                <c:pt idx="10841">
                  <c:v>8.41</c:v>
                </c:pt>
                <c:pt idx="10842">
                  <c:v>8.42</c:v>
                </c:pt>
                <c:pt idx="10843">
                  <c:v>8.43</c:v>
                </c:pt>
                <c:pt idx="10844">
                  <c:v>8.44</c:v>
                </c:pt>
                <c:pt idx="10845">
                  <c:v>8.45</c:v>
                </c:pt>
                <c:pt idx="10846">
                  <c:v>8.46</c:v>
                </c:pt>
                <c:pt idx="10847">
                  <c:v>8.47</c:v>
                </c:pt>
                <c:pt idx="10848">
                  <c:v>8.48</c:v>
                </c:pt>
                <c:pt idx="10849">
                  <c:v>8.49</c:v>
                </c:pt>
                <c:pt idx="10850">
                  <c:v>8.5</c:v>
                </c:pt>
                <c:pt idx="10851">
                  <c:v>8.51</c:v>
                </c:pt>
                <c:pt idx="10852">
                  <c:v>8.52</c:v>
                </c:pt>
                <c:pt idx="10853">
                  <c:v>8.53</c:v>
                </c:pt>
                <c:pt idx="10854">
                  <c:v>8.54</c:v>
                </c:pt>
                <c:pt idx="10855">
                  <c:v>8.55</c:v>
                </c:pt>
                <c:pt idx="10856">
                  <c:v>8.56</c:v>
                </c:pt>
                <c:pt idx="10857">
                  <c:v>8.57</c:v>
                </c:pt>
                <c:pt idx="10858">
                  <c:v>8.58</c:v>
                </c:pt>
                <c:pt idx="10859">
                  <c:v>8.59</c:v>
                </c:pt>
                <c:pt idx="10860">
                  <c:v>8.6</c:v>
                </c:pt>
                <c:pt idx="10861">
                  <c:v>8.61</c:v>
                </c:pt>
                <c:pt idx="10862">
                  <c:v>8.62</c:v>
                </c:pt>
                <c:pt idx="10863">
                  <c:v>8.63</c:v>
                </c:pt>
                <c:pt idx="10864">
                  <c:v>8.64</c:v>
                </c:pt>
                <c:pt idx="10865">
                  <c:v>8.65</c:v>
                </c:pt>
                <c:pt idx="10866">
                  <c:v>8.66</c:v>
                </c:pt>
                <c:pt idx="10867">
                  <c:v>8.67</c:v>
                </c:pt>
                <c:pt idx="10868">
                  <c:v>8.68</c:v>
                </c:pt>
                <c:pt idx="10869">
                  <c:v>8.69</c:v>
                </c:pt>
                <c:pt idx="10870">
                  <c:v>8.7</c:v>
                </c:pt>
                <c:pt idx="10871">
                  <c:v>8.71</c:v>
                </c:pt>
                <c:pt idx="10872">
                  <c:v>8.72</c:v>
                </c:pt>
                <c:pt idx="10873">
                  <c:v>8.73</c:v>
                </c:pt>
                <c:pt idx="10874">
                  <c:v>8.74</c:v>
                </c:pt>
                <c:pt idx="10875">
                  <c:v>8.75</c:v>
                </c:pt>
                <c:pt idx="10876">
                  <c:v>8.76</c:v>
                </c:pt>
                <c:pt idx="10877">
                  <c:v>8.77</c:v>
                </c:pt>
                <c:pt idx="10878">
                  <c:v>8.78</c:v>
                </c:pt>
                <c:pt idx="10879">
                  <c:v>8.79</c:v>
                </c:pt>
                <c:pt idx="10880">
                  <c:v>8.8</c:v>
                </c:pt>
                <c:pt idx="10881">
                  <c:v>8.81</c:v>
                </c:pt>
                <c:pt idx="10882">
                  <c:v>8.82</c:v>
                </c:pt>
                <c:pt idx="10883">
                  <c:v>8.83</c:v>
                </c:pt>
                <c:pt idx="10884">
                  <c:v>8.84</c:v>
                </c:pt>
                <c:pt idx="10885">
                  <c:v>8.85</c:v>
                </c:pt>
                <c:pt idx="10886">
                  <c:v>8.86</c:v>
                </c:pt>
                <c:pt idx="10887">
                  <c:v>8.87</c:v>
                </c:pt>
                <c:pt idx="10888">
                  <c:v>8.88</c:v>
                </c:pt>
                <c:pt idx="10889">
                  <c:v>8.89</c:v>
                </c:pt>
                <c:pt idx="10890">
                  <c:v>8.9</c:v>
                </c:pt>
                <c:pt idx="10891">
                  <c:v>8.91</c:v>
                </c:pt>
                <c:pt idx="10892">
                  <c:v>8.92</c:v>
                </c:pt>
                <c:pt idx="10893">
                  <c:v>8.93</c:v>
                </c:pt>
                <c:pt idx="10894">
                  <c:v>8.94</c:v>
                </c:pt>
                <c:pt idx="10895">
                  <c:v>8.95</c:v>
                </c:pt>
                <c:pt idx="10896">
                  <c:v>8.96</c:v>
                </c:pt>
                <c:pt idx="10897">
                  <c:v>8.97</c:v>
                </c:pt>
                <c:pt idx="10898">
                  <c:v>8.98</c:v>
                </c:pt>
                <c:pt idx="10899">
                  <c:v>8.99</c:v>
                </c:pt>
                <c:pt idx="10900">
                  <c:v>9.0</c:v>
                </c:pt>
                <c:pt idx="10901">
                  <c:v>9.01</c:v>
                </c:pt>
                <c:pt idx="10902">
                  <c:v>9.02</c:v>
                </c:pt>
                <c:pt idx="10903">
                  <c:v>9.03</c:v>
                </c:pt>
                <c:pt idx="10904">
                  <c:v>9.04</c:v>
                </c:pt>
                <c:pt idx="10905">
                  <c:v>9.05</c:v>
                </c:pt>
                <c:pt idx="10906">
                  <c:v>9.06</c:v>
                </c:pt>
                <c:pt idx="10907">
                  <c:v>9.07</c:v>
                </c:pt>
                <c:pt idx="10908">
                  <c:v>9.08</c:v>
                </c:pt>
                <c:pt idx="10909">
                  <c:v>9.09</c:v>
                </c:pt>
                <c:pt idx="10910">
                  <c:v>9.1</c:v>
                </c:pt>
                <c:pt idx="10911">
                  <c:v>9.11</c:v>
                </c:pt>
                <c:pt idx="10912">
                  <c:v>9.12</c:v>
                </c:pt>
                <c:pt idx="10913">
                  <c:v>9.13</c:v>
                </c:pt>
                <c:pt idx="10914">
                  <c:v>9.14</c:v>
                </c:pt>
                <c:pt idx="10915">
                  <c:v>9.15</c:v>
                </c:pt>
                <c:pt idx="10916">
                  <c:v>9.16</c:v>
                </c:pt>
                <c:pt idx="10917">
                  <c:v>9.17</c:v>
                </c:pt>
                <c:pt idx="10918">
                  <c:v>9.18</c:v>
                </c:pt>
                <c:pt idx="10919">
                  <c:v>9.19</c:v>
                </c:pt>
                <c:pt idx="10920">
                  <c:v>9.2</c:v>
                </c:pt>
                <c:pt idx="10921">
                  <c:v>9.21</c:v>
                </c:pt>
                <c:pt idx="10922">
                  <c:v>9.22</c:v>
                </c:pt>
                <c:pt idx="10923">
                  <c:v>9.23</c:v>
                </c:pt>
                <c:pt idx="10924">
                  <c:v>9.24</c:v>
                </c:pt>
                <c:pt idx="10925">
                  <c:v>9.25</c:v>
                </c:pt>
                <c:pt idx="10926">
                  <c:v>9.26</c:v>
                </c:pt>
                <c:pt idx="10927">
                  <c:v>9.27</c:v>
                </c:pt>
                <c:pt idx="10928">
                  <c:v>9.28</c:v>
                </c:pt>
                <c:pt idx="10929">
                  <c:v>9.29</c:v>
                </c:pt>
                <c:pt idx="10930">
                  <c:v>9.3</c:v>
                </c:pt>
                <c:pt idx="10931">
                  <c:v>9.31</c:v>
                </c:pt>
                <c:pt idx="10932">
                  <c:v>9.32</c:v>
                </c:pt>
                <c:pt idx="10933">
                  <c:v>9.33</c:v>
                </c:pt>
                <c:pt idx="10934">
                  <c:v>9.34</c:v>
                </c:pt>
                <c:pt idx="10935">
                  <c:v>9.35</c:v>
                </c:pt>
                <c:pt idx="10936">
                  <c:v>9.36</c:v>
                </c:pt>
                <c:pt idx="10937">
                  <c:v>9.37</c:v>
                </c:pt>
                <c:pt idx="10938">
                  <c:v>9.38</c:v>
                </c:pt>
                <c:pt idx="10939">
                  <c:v>9.39</c:v>
                </c:pt>
                <c:pt idx="10940">
                  <c:v>9.4</c:v>
                </c:pt>
                <c:pt idx="10941">
                  <c:v>9.41</c:v>
                </c:pt>
                <c:pt idx="10942">
                  <c:v>9.42</c:v>
                </c:pt>
                <c:pt idx="10943">
                  <c:v>9.43</c:v>
                </c:pt>
                <c:pt idx="10944">
                  <c:v>9.44</c:v>
                </c:pt>
                <c:pt idx="10945">
                  <c:v>9.45</c:v>
                </c:pt>
                <c:pt idx="10946">
                  <c:v>9.46</c:v>
                </c:pt>
                <c:pt idx="10947">
                  <c:v>9.47</c:v>
                </c:pt>
                <c:pt idx="10948">
                  <c:v>9.48</c:v>
                </c:pt>
                <c:pt idx="10949">
                  <c:v>9.49</c:v>
                </c:pt>
                <c:pt idx="10950">
                  <c:v>9.5</c:v>
                </c:pt>
                <c:pt idx="10951">
                  <c:v>9.51</c:v>
                </c:pt>
                <c:pt idx="10952">
                  <c:v>9.52</c:v>
                </c:pt>
                <c:pt idx="10953">
                  <c:v>9.53</c:v>
                </c:pt>
                <c:pt idx="10954">
                  <c:v>9.54</c:v>
                </c:pt>
                <c:pt idx="10955">
                  <c:v>9.55</c:v>
                </c:pt>
                <c:pt idx="10956">
                  <c:v>9.56</c:v>
                </c:pt>
                <c:pt idx="10957">
                  <c:v>9.57</c:v>
                </c:pt>
                <c:pt idx="10958">
                  <c:v>9.58</c:v>
                </c:pt>
                <c:pt idx="10959">
                  <c:v>9.59</c:v>
                </c:pt>
                <c:pt idx="10960">
                  <c:v>9.6</c:v>
                </c:pt>
                <c:pt idx="10961">
                  <c:v>9.61</c:v>
                </c:pt>
                <c:pt idx="10962">
                  <c:v>9.62</c:v>
                </c:pt>
                <c:pt idx="10963">
                  <c:v>9.63</c:v>
                </c:pt>
                <c:pt idx="10964">
                  <c:v>9.64</c:v>
                </c:pt>
                <c:pt idx="10965">
                  <c:v>9.65</c:v>
                </c:pt>
                <c:pt idx="10966">
                  <c:v>9.66</c:v>
                </c:pt>
                <c:pt idx="10967">
                  <c:v>9.67</c:v>
                </c:pt>
                <c:pt idx="10968">
                  <c:v>9.68</c:v>
                </c:pt>
                <c:pt idx="10969">
                  <c:v>9.69</c:v>
                </c:pt>
                <c:pt idx="10970">
                  <c:v>9.7</c:v>
                </c:pt>
                <c:pt idx="10971">
                  <c:v>9.71</c:v>
                </c:pt>
                <c:pt idx="10972">
                  <c:v>9.72</c:v>
                </c:pt>
                <c:pt idx="10973">
                  <c:v>9.73</c:v>
                </c:pt>
                <c:pt idx="10974">
                  <c:v>9.74</c:v>
                </c:pt>
                <c:pt idx="10975">
                  <c:v>9.75</c:v>
                </c:pt>
                <c:pt idx="10976">
                  <c:v>9.76</c:v>
                </c:pt>
                <c:pt idx="10977">
                  <c:v>9.77</c:v>
                </c:pt>
                <c:pt idx="10978">
                  <c:v>9.78</c:v>
                </c:pt>
                <c:pt idx="10979">
                  <c:v>9.79</c:v>
                </c:pt>
                <c:pt idx="10980">
                  <c:v>9.8</c:v>
                </c:pt>
                <c:pt idx="10981">
                  <c:v>9.81</c:v>
                </c:pt>
                <c:pt idx="10982">
                  <c:v>9.82</c:v>
                </c:pt>
                <c:pt idx="10983">
                  <c:v>9.83</c:v>
                </c:pt>
                <c:pt idx="10984">
                  <c:v>9.84</c:v>
                </c:pt>
                <c:pt idx="10985">
                  <c:v>9.85</c:v>
                </c:pt>
                <c:pt idx="10986">
                  <c:v>9.86</c:v>
                </c:pt>
                <c:pt idx="10987">
                  <c:v>9.87</c:v>
                </c:pt>
                <c:pt idx="10988">
                  <c:v>9.88</c:v>
                </c:pt>
                <c:pt idx="10989">
                  <c:v>9.89</c:v>
                </c:pt>
                <c:pt idx="10990">
                  <c:v>9.9</c:v>
                </c:pt>
                <c:pt idx="10991">
                  <c:v>9.91</c:v>
                </c:pt>
                <c:pt idx="10992">
                  <c:v>9.92</c:v>
                </c:pt>
                <c:pt idx="10993">
                  <c:v>9.93</c:v>
                </c:pt>
                <c:pt idx="10994">
                  <c:v>9.94</c:v>
                </c:pt>
                <c:pt idx="10995">
                  <c:v>9.95</c:v>
                </c:pt>
                <c:pt idx="10996">
                  <c:v>9.96</c:v>
                </c:pt>
                <c:pt idx="10997">
                  <c:v>9.97</c:v>
                </c:pt>
                <c:pt idx="10998">
                  <c:v>9.98</c:v>
                </c:pt>
                <c:pt idx="10999">
                  <c:v>9.99</c:v>
                </c:pt>
                <c:pt idx="11000">
                  <c:v>10.0</c:v>
                </c:pt>
                <c:pt idx="11001">
                  <c:v>10.01</c:v>
                </c:pt>
                <c:pt idx="11002">
                  <c:v>10.02</c:v>
                </c:pt>
                <c:pt idx="11003">
                  <c:v>10.03</c:v>
                </c:pt>
                <c:pt idx="11004">
                  <c:v>10.04</c:v>
                </c:pt>
                <c:pt idx="11005">
                  <c:v>10.05</c:v>
                </c:pt>
                <c:pt idx="11006">
                  <c:v>10.06</c:v>
                </c:pt>
                <c:pt idx="11007">
                  <c:v>10.07</c:v>
                </c:pt>
                <c:pt idx="11008">
                  <c:v>10.08</c:v>
                </c:pt>
                <c:pt idx="11009">
                  <c:v>10.09</c:v>
                </c:pt>
                <c:pt idx="11010">
                  <c:v>10.1</c:v>
                </c:pt>
                <c:pt idx="11011">
                  <c:v>10.11</c:v>
                </c:pt>
                <c:pt idx="11012">
                  <c:v>10.12</c:v>
                </c:pt>
                <c:pt idx="11013">
                  <c:v>10.13</c:v>
                </c:pt>
                <c:pt idx="11014">
                  <c:v>10.14</c:v>
                </c:pt>
                <c:pt idx="11015">
                  <c:v>10.15</c:v>
                </c:pt>
                <c:pt idx="11016">
                  <c:v>10.16</c:v>
                </c:pt>
                <c:pt idx="11017">
                  <c:v>10.17</c:v>
                </c:pt>
                <c:pt idx="11018">
                  <c:v>10.18</c:v>
                </c:pt>
                <c:pt idx="11019">
                  <c:v>10.19</c:v>
                </c:pt>
                <c:pt idx="11020">
                  <c:v>10.2</c:v>
                </c:pt>
                <c:pt idx="11021">
                  <c:v>10.21</c:v>
                </c:pt>
                <c:pt idx="11022">
                  <c:v>10.22</c:v>
                </c:pt>
                <c:pt idx="11023">
                  <c:v>10.23</c:v>
                </c:pt>
                <c:pt idx="11024">
                  <c:v>10.24</c:v>
                </c:pt>
                <c:pt idx="11025">
                  <c:v>10.25</c:v>
                </c:pt>
                <c:pt idx="11026">
                  <c:v>10.26</c:v>
                </c:pt>
                <c:pt idx="11027">
                  <c:v>10.27</c:v>
                </c:pt>
                <c:pt idx="11028">
                  <c:v>10.28</c:v>
                </c:pt>
                <c:pt idx="11029">
                  <c:v>10.29</c:v>
                </c:pt>
                <c:pt idx="11030">
                  <c:v>10.3</c:v>
                </c:pt>
                <c:pt idx="11031">
                  <c:v>10.31</c:v>
                </c:pt>
                <c:pt idx="11032">
                  <c:v>10.32</c:v>
                </c:pt>
                <c:pt idx="11033">
                  <c:v>10.33</c:v>
                </c:pt>
                <c:pt idx="11034">
                  <c:v>10.34</c:v>
                </c:pt>
                <c:pt idx="11035">
                  <c:v>10.35</c:v>
                </c:pt>
                <c:pt idx="11036">
                  <c:v>10.36</c:v>
                </c:pt>
                <c:pt idx="11037">
                  <c:v>10.37</c:v>
                </c:pt>
                <c:pt idx="11038">
                  <c:v>10.38</c:v>
                </c:pt>
                <c:pt idx="11039">
                  <c:v>10.39</c:v>
                </c:pt>
                <c:pt idx="11040">
                  <c:v>10.4</c:v>
                </c:pt>
                <c:pt idx="11041">
                  <c:v>10.41</c:v>
                </c:pt>
                <c:pt idx="11042">
                  <c:v>10.42</c:v>
                </c:pt>
                <c:pt idx="11043">
                  <c:v>10.43</c:v>
                </c:pt>
                <c:pt idx="11044">
                  <c:v>10.44</c:v>
                </c:pt>
                <c:pt idx="11045">
                  <c:v>10.45</c:v>
                </c:pt>
                <c:pt idx="11046">
                  <c:v>10.46</c:v>
                </c:pt>
                <c:pt idx="11047">
                  <c:v>10.47</c:v>
                </c:pt>
                <c:pt idx="11048">
                  <c:v>10.48</c:v>
                </c:pt>
                <c:pt idx="11049">
                  <c:v>10.49</c:v>
                </c:pt>
                <c:pt idx="11050">
                  <c:v>10.5</c:v>
                </c:pt>
                <c:pt idx="11051">
                  <c:v>10.51</c:v>
                </c:pt>
                <c:pt idx="11052">
                  <c:v>10.52</c:v>
                </c:pt>
                <c:pt idx="11053">
                  <c:v>10.53</c:v>
                </c:pt>
                <c:pt idx="11054">
                  <c:v>10.54</c:v>
                </c:pt>
                <c:pt idx="11055">
                  <c:v>10.55</c:v>
                </c:pt>
                <c:pt idx="11056">
                  <c:v>10.56</c:v>
                </c:pt>
                <c:pt idx="11057">
                  <c:v>10.57</c:v>
                </c:pt>
                <c:pt idx="11058">
                  <c:v>10.58</c:v>
                </c:pt>
                <c:pt idx="11059">
                  <c:v>10.59</c:v>
                </c:pt>
                <c:pt idx="11060">
                  <c:v>10.6</c:v>
                </c:pt>
                <c:pt idx="11061">
                  <c:v>10.61</c:v>
                </c:pt>
                <c:pt idx="11062">
                  <c:v>10.62</c:v>
                </c:pt>
                <c:pt idx="11063">
                  <c:v>10.63</c:v>
                </c:pt>
                <c:pt idx="11064">
                  <c:v>10.64</c:v>
                </c:pt>
                <c:pt idx="11065">
                  <c:v>10.65</c:v>
                </c:pt>
                <c:pt idx="11066">
                  <c:v>10.66</c:v>
                </c:pt>
                <c:pt idx="11067">
                  <c:v>10.67</c:v>
                </c:pt>
                <c:pt idx="11068">
                  <c:v>10.68</c:v>
                </c:pt>
                <c:pt idx="11069">
                  <c:v>10.69</c:v>
                </c:pt>
                <c:pt idx="11070">
                  <c:v>10.7</c:v>
                </c:pt>
                <c:pt idx="11071">
                  <c:v>10.71</c:v>
                </c:pt>
                <c:pt idx="11072">
                  <c:v>10.72</c:v>
                </c:pt>
                <c:pt idx="11073">
                  <c:v>10.73</c:v>
                </c:pt>
                <c:pt idx="11074">
                  <c:v>10.74</c:v>
                </c:pt>
                <c:pt idx="11075">
                  <c:v>10.75</c:v>
                </c:pt>
                <c:pt idx="11076">
                  <c:v>10.76</c:v>
                </c:pt>
                <c:pt idx="11077">
                  <c:v>10.77</c:v>
                </c:pt>
                <c:pt idx="11078">
                  <c:v>10.78</c:v>
                </c:pt>
                <c:pt idx="11079">
                  <c:v>10.79</c:v>
                </c:pt>
                <c:pt idx="11080">
                  <c:v>10.8</c:v>
                </c:pt>
                <c:pt idx="11081">
                  <c:v>10.81</c:v>
                </c:pt>
                <c:pt idx="11082">
                  <c:v>10.82</c:v>
                </c:pt>
                <c:pt idx="11083">
                  <c:v>10.83</c:v>
                </c:pt>
                <c:pt idx="11084">
                  <c:v>10.84</c:v>
                </c:pt>
                <c:pt idx="11085">
                  <c:v>10.85</c:v>
                </c:pt>
                <c:pt idx="11086">
                  <c:v>10.86</c:v>
                </c:pt>
                <c:pt idx="11087">
                  <c:v>10.87</c:v>
                </c:pt>
                <c:pt idx="11088">
                  <c:v>10.88</c:v>
                </c:pt>
                <c:pt idx="11089">
                  <c:v>10.89</c:v>
                </c:pt>
                <c:pt idx="11090">
                  <c:v>10.9</c:v>
                </c:pt>
                <c:pt idx="11091">
                  <c:v>10.91</c:v>
                </c:pt>
                <c:pt idx="11092">
                  <c:v>10.92</c:v>
                </c:pt>
                <c:pt idx="11093">
                  <c:v>10.93</c:v>
                </c:pt>
                <c:pt idx="11094">
                  <c:v>10.94</c:v>
                </c:pt>
                <c:pt idx="11095">
                  <c:v>10.95</c:v>
                </c:pt>
                <c:pt idx="11096">
                  <c:v>10.96</c:v>
                </c:pt>
                <c:pt idx="11097">
                  <c:v>10.97</c:v>
                </c:pt>
                <c:pt idx="11098">
                  <c:v>10.98</c:v>
                </c:pt>
                <c:pt idx="11099">
                  <c:v>10.99</c:v>
                </c:pt>
                <c:pt idx="11100">
                  <c:v>11.0</c:v>
                </c:pt>
                <c:pt idx="11101">
                  <c:v>11.01</c:v>
                </c:pt>
                <c:pt idx="11102">
                  <c:v>11.02</c:v>
                </c:pt>
                <c:pt idx="11103">
                  <c:v>11.03</c:v>
                </c:pt>
                <c:pt idx="11104">
                  <c:v>11.04</c:v>
                </c:pt>
                <c:pt idx="11105">
                  <c:v>11.05</c:v>
                </c:pt>
                <c:pt idx="11106">
                  <c:v>11.06</c:v>
                </c:pt>
                <c:pt idx="11107">
                  <c:v>11.07</c:v>
                </c:pt>
                <c:pt idx="11108">
                  <c:v>11.08</c:v>
                </c:pt>
                <c:pt idx="11109">
                  <c:v>11.09</c:v>
                </c:pt>
                <c:pt idx="11110">
                  <c:v>11.1</c:v>
                </c:pt>
                <c:pt idx="11111">
                  <c:v>11.11</c:v>
                </c:pt>
                <c:pt idx="11112">
                  <c:v>11.12</c:v>
                </c:pt>
                <c:pt idx="11113">
                  <c:v>11.13</c:v>
                </c:pt>
                <c:pt idx="11114">
                  <c:v>11.14</c:v>
                </c:pt>
                <c:pt idx="11115">
                  <c:v>11.15</c:v>
                </c:pt>
                <c:pt idx="11116">
                  <c:v>11.16</c:v>
                </c:pt>
                <c:pt idx="11117">
                  <c:v>11.17</c:v>
                </c:pt>
                <c:pt idx="11118">
                  <c:v>11.18</c:v>
                </c:pt>
                <c:pt idx="11119">
                  <c:v>11.19</c:v>
                </c:pt>
                <c:pt idx="11120">
                  <c:v>11.2</c:v>
                </c:pt>
                <c:pt idx="11121">
                  <c:v>11.21</c:v>
                </c:pt>
                <c:pt idx="11122">
                  <c:v>11.22</c:v>
                </c:pt>
                <c:pt idx="11123">
                  <c:v>11.23</c:v>
                </c:pt>
                <c:pt idx="11124">
                  <c:v>11.24</c:v>
                </c:pt>
                <c:pt idx="11125">
                  <c:v>11.25</c:v>
                </c:pt>
                <c:pt idx="11126">
                  <c:v>11.26</c:v>
                </c:pt>
                <c:pt idx="11127">
                  <c:v>11.27</c:v>
                </c:pt>
                <c:pt idx="11128">
                  <c:v>11.28</c:v>
                </c:pt>
                <c:pt idx="11129">
                  <c:v>11.29</c:v>
                </c:pt>
                <c:pt idx="11130">
                  <c:v>11.3</c:v>
                </c:pt>
                <c:pt idx="11131">
                  <c:v>11.31</c:v>
                </c:pt>
                <c:pt idx="11132">
                  <c:v>11.32</c:v>
                </c:pt>
                <c:pt idx="11133">
                  <c:v>11.33</c:v>
                </c:pt>
                <c:pt idx="11134">
                  <c:v>11.34</c:v>
                </c:pt>
                <c:pt idx="11135">
                  <c:v>11.35</c:v>
                </c:pt>
                <c:pt idx="11136">
                  <c:v>11.36</c:v>
                </c:pt>
                <c:pt idx="11137">
                  <c:v>11.37</c:v>
                </c:pt>
                <c:pt idx="11138">
                  <c:v>11.38</c:v>
                </c:pt>
                <c:pt idx="11139">
                  <c:v>11.39</c:v>
                </c:pt>
                <c:pt idx="11140">
                  <c:v>11.4</c:v>
                </c:pt>
                <c:pt idx="11141">
                  <c:v>11.41</c:v>
                </c:pt>
                <c:pt idx="11142">
                  <c:v>11.42</c:v>
                </c:pt>
                <c:pt idx="11143">
                  <c:v>11.43</c:v>
                </c:pt>
                <c:pt idx="11144">
                  <c:v>11.44</c:v>
                </c:pt>
                <c:pt idx="11145">
                  <c:v>11.45</c:v>
                </c:pt>
                <c:pt idx="11146">
                  <c:v>11.46</c:v>
                </c:pt>
                <c:pt idx="11147">
                  <c:v>11.47</c:v>
                </c:pt>
                <c:pt idx="11148">
                  <c:v>11.48</c:v>
                </c:pt>
                <c:pt idx="11149">
                  <c:v>11.49</c:v>
                </c:pt>
                <c:pt idx="11150">
                  <c:v>11.5</c:v>
                </c:pt>
                <c:pt idx="11151">
                  <c:v>11.51</c:v>
                </c:pt>
                <c:pt idx="11152">
                  <c:v>11.52</c:v>
                </c:pt>
                <c:pt idx="11153">
                  <c:v>11.53</c:v>
                </c:pt>
                <c:pt idx="11154">
                  <c:v>11.54</c:v>
                </c:pt>
                <c:pt idx="11155">
                  <c:v>11.55</c:v>
                </c:pt>
                <c:pt idx="11156">
                  <c:v>11.56</c:v>
                </c:pt>
                <c:pt idx="11157">
                  <c:v>11.57</c:v>
                </c:pt>
                <c:pt idx="11158">
                  <c:v>11.58</c:v>
                </c:pt>
                <c:pt idx="11159">
                  <c:v>11.59</c:v>
                </c:pt>
                <c:pt idx="11160">
                  <c:v>11.6</c:v>
                </c:pt>
                <c:pt idx="11161">
                  <c:v>11.61</c:v>
                </c:pt>
                <c:pt idx="11162">
                  <c:v>11.62</c:v>
                </c:pt>
                <c:pt idx="11163">
                  <c:v>11.63</c:v>
                </c:pt>
                <c:pt idx="11164">
                  <c:v>11.64</c:v>
                </c:pt>
                <c:pt idx="11165">
                  <c:v>11.65</c:v>
                </c:pt>
                <c:pt idx="11166">
                  <c:v>11.66</c:v>
                </c:pt>
                <c:pt idx="11167">
                  <c:v>11.67</c:v>
                </c:pt>
                <c:pt idx="11168">
                  <c:v>11.68</c:v>
                </c:pt>
                <c:pt idx="11169">
                  <c:v>11.69</c:v>
                </c:pt>
                <c:pt idx="11170">
                  <c:v>11.7</c:v>
                </c:pt>
                <c:pt idx="11171">
                  <c:v>11.71</c:v>
                </c:pt>
                <c:pt idx="11172">
                  <c:v>11.72</c:v>
                </c:pt>
                <c:pt idx="11173">
                  <c:v>11.73</c:v>
                </c:pt>
                <c:pt idx="11174">
                  <c:v>11.74</c:v>
                </c:pt>
                <c:pt idx="11175">
                  <c:v>11.75</c:v>
                </c:pt>
                <c:pt idx="11176">
                  <c:v>11.76</c:v>
                </c:pt>
                <c:pt idx="11177">
                  <c:v>11.77</c:v>
                </c:pt>
                <c:pt idx="11178">
                  <c:v>11.78</c:v>
                </c:pt>
                <c:pt idx="11179">
                  <c:v>11.79</c:v>
                </c:pt>
                <c:pt idx="11180">
                  <c:v>11.8</c:v>
                </c:pt>
                <c:pt idx="11181">
                  <c:v>11.81</c:v>
                </c:pt>
                <c:pt idx="11182">
                  <c:v>11.82</c:v>
                </c:pt>
                <c:pt idx="11183">
                  <c:v>11.83</c:v>
                </c:pt>
                <c:pt idx="11184">
                  <c:v>11.84</c:v>
                </c:pt>
                <c:pt idx="11185">
                  <c:v>11.85</c:v>
                </c:pt>
                <c:pt idx="11186">
                  <c:v>11.86</c:v>
                </c:pt>
                <c:pt idx="11187">
                  <c:v>11.87</c:v>
                </c:pt>
                <c:pt idx="11188">
                  <c:v>11.88</c:v>
                </c:pt>
                <c:pt idx="11189">
                  <c:v>11.89</c:v>
                </c:pt>
                <c:pt idx="11190">
                  <c:v>11.9</c:v>
                </c:pt>
                <c:pt idx="11191">
                  <c:v>11.91</c:v>
                </c:pt>
                <c:pt idx="11192">
                  <c:v>11.92</c:v>
                </c:pt>
                <c:pt idx="11193">
                  <c:v>11.93</c:v>
                </c:pt>
                <c:pt idx="11194">
                  <c:v>11.94</c:v>
                </c:pt>
                <c:pt idx="11195">
                  <c:v>11.95</c:v>
                </c:pt>
                <c:pt idx="11196">
                  <c:v>11.96</c:v>
                </c:pt>
                <c:pt idx="11197">
                  <c:v>11.97</c:v>
                </c:pt>
                <c:pt idx="11198">
                  <c:v>11.98</c:v>
                </c:pt>
                <c:pt idx="11199">
                  <c:v>11.99</c:v>
                </c:pt>
                <c:pt idx="11200">
                  <c:v>12.0</c:v>
                </c:pt>
                <c:pt idx="11201">
                  <c:v>12.01</c:v>
                </c:pt>
                <c:pt idx="11202">
                  <c:v>12.02</c:v>
                </c:pt>
                <c:pt idx="11203">
                  <c:v>12.03</c:v>
                </c:pt>
                <c:pt idx="11204">
                  <c:v>12.04</c:v>
                </c:pt>
                <c:pt idx="11205">
                  <c:v>12.05</c:v>
                </c:pt>
                <c:pt idx="11206">
                  <c:v>12.06</c:v>
                </c:pt>
                <c:pt idx="11207">
                  <c:v>12.07</c:v>
                </c:pt>
                <c:pt idx="11208">
                  <c:v>12.08</c:v>
                </c:pt>
                <c:pt idx="11209">
                  <c:v>12.09</c:v>
                </c:pt>
                <c:pt idx="11210">
                  <c:v>12.1</c:v>
                </c:pt>
                <c:pt idx="11211">
                  <c:v>12.11</c:v>
                </c:pt>
                <c:pt idx="11212">
                  <c:v>12.12</c:v>
                </c:pt>
                <c:pt idx="11213">
                  <c:v>12.13</c:v>
                </c:pt>
                <c:pt idx="11214">
                  <c:v>12.14</c:v>
                </c:pt>
                <c:pt idx="11215">
                  <c:v>12.15</c:v>
                </c:pt>
                <c:pt idx="11216">
                  <c:v>12.16</c:v>
                </c:pt>
                <c:pt idx="11217">
                  <c:v>12.17</c:v>
                </c:pt>
                <c:pt idx="11218">
                  <c:v>12.18</c:v>
                </c:pt>
                <c:pt idx="11219">
                  <c:v>12.19</c:v>
                </c:pt>
                <c:pt idx="11220">
                  <c:v>12.2</c:v>
                </c:pt>
                <c:pt idx="11221">
                  <c:v>12.21</c:v>
                </c:pt>
                <c:pt idx="11222">
                  <c:v>12.22</c:v>
                </c:pt>
                <c:pt idx="11223">
                  <c:v>12.23</c:v>
                </c:pt>
                <c:pt idx="11224">
                  <c:v>12.24</c:v>
                </c:pt>
                <c:pt idx="11225">
                  <c:v>12.25</c:v>
                </c:pt>
                <c:pt idx="11226">
                  <c:v>12.26</c:v>
                </c:pt>
                <c:pt idx="11227">
                  <c:v>12.27</c:v>
                </c:pt>
                <c:pt idx="11228">
                  <c:v>12.28</c:v>
                </c:pt>
                <c:pt idx="11229">
                  <c:v>12.29</c:v>
                </c:pt>
                <c:pt idx="11230">
                  <c:v>12.3</c:v>
                </c:pt>
                <c:pt idx="11231">
                  <c:v>12.31</c:v>
                </c:pt>
                <c:pt idx="11232">
                  <c:v>12.32</c:v>
                </c:pt>
                <c:pt idx="11233">
                  <c:v>12.33</c:v>
                </c:pt>
                <c:pt idx="11234">
                  <c:v>12.34</c:v>
                </c:pt>
                <c:pt idx="11235">
                  <c:v>12.35</c:v>
                </c:pt>
                <c:pt idx="11236">
                  <c:v>12.36</c:v>
                </c:pt>
                <c:pt idx="11237">
                  <c:v>12.37</c:v>
                </c:pt>
                <c:pt idx="11238">
                  <c:v>12.38</c:v>
                </c:pt>
                <c:pt idx="11239">
                  <c:v>12.39</c:v>
                </c:pt>
                <c:pt idx="11240">
                  <c:v>12.4</c:v>
                </c:pt>
                <c:pt idx="11241">
                  <c:v>12.41</c:v>
                </c:pt>
                <c:pt idx="11242">
                  <c:v>12.42</c:v>
                </c:pt>
                <c:pt idx="11243">
                  <c:v>12.43</c:v>
                </c:pt>
                <c:pt idx="11244">
                  <c:v>12.44</c:v>
                </c:pt>
                <c:pt idx="11245">
                  <c:v>12.45</c:v>
                </c:pt>
                <c:pt idx="11246">
                  <c:v>12.46</c:v>
                </c:pt>
                <c:pt idx="11247">
                  <c:v>12.47</c:v>
                </c:pt>
                <c:pt idx="11248">
                  <c:v>12.48</c:v>
                </c:pt>
                <c:pt idx="11249">
                  <c:v>12.49</c:v>
                </c:pt>
                <c:pt idx="11250">
                  <c:v>12.5</c:v>
                </c:pt>
                <c:pt idx="11251">
                  <c:v>12.51</c:v>
                </c:pt>
                <c:pt idx="11252">
                  <c:v>12.52</c:v>
                </c:pt>
                <c:pt idx="11253">
                  <c:v>12.53</c:v>
                </c:pt>
                <c:pt idx="11254">
                  <c:v>12.54</c:v>
                </c:pt>
                <c:pt idx="11255">
                  <c:v>12.55</c:v>
                </c:pt>
                <c:pt idx="11256">
                  <c:v>12.56</c:v>
                </c:pt>
                <c:pt idx="11257">
                  <c:v>12.57</c:v>
                </c:pt>
                <c:pt idx="11258">
                  <c:v>12.58</c:v>
                </c:pt>
                <c:pt idx="11259">
                  <c:v>12.59</c:v>
                </c:pt>
                <c:pt idx="11260">
                  <c:v>12.6</c:v>
                </c:pt>
                <c:pt idx="11261">
                  <c:v>12.61</c:v>
                </c:pt>
                <c:pt idx="11262">
                  <c:v>12.62</c:v>
                </c:pt>
                <c:pt idx="11263">
                  <c:v>12.63</c:v>
                </c:pt>
                <c:pt idx="11264">
                  <c:v>12.64</c:v>
                </c:pt>
                <c:pt idx="11265">
                  <c:v>12.65</c:v>
                </c:pt>
                <c:pt idx="11266">
                  <c:v>12.66</c:v>
                </c:pt>
                <c:pt idx="11267">
                  <c:v>12.67</c:v>
                </c:pt>
                <c:pt idx="11268">
                  <c:v>12.68</c:v>
                </c:pt>
                <c:pt idx="11269">
                  <c:v>12.69</c:v>
                </c:pt>
                <c:pt idx="11270">
                  <c:v>12.7</c:v>
                </c:pt>
                <c:pt idx="11271">
                  <c:v>12.71</c:v>
                </c:pt>
                <c:pt idx="11272">
                  <c:v>12.72</c:v>
                </c:pt>
                <c:pt idx="11273">
                  <c:v>12.73</c:v>
                </c:pt>
                <c:pt idx="11274">
                  <c:v>12.74</c:v>
                </c:pt>
                <c:pt idx="11275">
                  <c:v>12.75</c:v>
                </c:pt>
                <c:pt idx="11276">
                  <c:v>12.76</c:v>
                </c:pt>
                <c:pt idx="11277">
                  <c:v>12.77</c:v>
                </c:pt>
                <c:pt idx="11278">
                  <c:v>12.78</c:v>
                </c:pt>
                <c:pt idx="11279">
                  <c:v>12.79</c:v>
                </c:pt>
                <c:pt idx="11280">
                  <c:v>12.8</c:v>
                </c:pt>
                <c:pt idx="11281">
                  <c:v>12.81</c:v>
                </c:pt>
                <c:pt idx="11282">
                  <c:v>12.82</c:v>
                </c:pt>
                <c:pt idx="11283">
                  <c:v>12.83</c:v>
                </c:pt>
                <c:pt idx="11284">
                  <c:v>12.84</c:v>
                </c:pt>
                <c:pt idx="11285">
                  <c:v>12.85</c:v>
                </c:pt>
                <c:pt idx="11286">
                  <c:v>12.86</c:v>
                </c:pt>
                <c:pt idx="11287">
                  <c:v>12.87</c:v>
                </c:pt>
                <c:pt idx="11288">
                  <c:v>12.88</c:v>
                </c:pt>
                <c:pt idx="11289">
                  <c:v>12.89</c:v>
                </c:pt>
                <c:pt idx="11290">
                  <c:v>12.9</c:v>
                </c:pt>
                <c:pt idx="11291">
                  <c:v>12.91</c:v>
                </c:pt>
                <c:pt idx="11292">
                  <c:v>12.92</c:v>
                </c:pt>
                <c:pt idx="11293">
                  <c:v>12.93</c:v>
                </c:pt>
                <c:pt idx="11294">
                  <c:v>12.94</c:v>
                </c:pt>
                <c:pt idx="11295">
                  <c:v>12.95</c:v>
                </c:pt>
                <c:pt idx="11296">
                  <c:v>12.96</c:v>
                </c:pt>
                <c:pt idx="11297">
                  <c:v>12.97</c:v>
                </c:pt>
                <c:pt idx="11298">
                  <c:v>12.98</c:v>
                </c:pt>
                <c:pt idx="11299">
                  <c:v>12.99</c:v>
                </c:pt>
                <c:pt idx="11300">
                  <c:v>13.0</c:v>
                </c:pt>
                <c:pt idx="11301">
                  <c:v>13.01</c:v>
                </c:pt>
                <c:pt idx="11302">
                  <c:v>13.02</c:v>
                </c:pt>
                <c:pt idx="11303">
                  <c:v>13.03</c:v>
                </c:pt>
                <c:pt idx="11304">
                  <c:v>13.04</c:v>
                </c:pt>
                <c:pt idx="11305">
                  <c:v>13.05</c:v>
                </c:pt>
                <c:pt idx="11306">
                  <c:v>13.06</c:v>
                </c:pt>
                <c:pt idx="11307">
                  <c:v>13.07</c:v>
                </c:pt>
                <c:pt idx="11308">
                  <c:v>13.08</c:v>
                </c:pt>
                <c:pt idx="11309">
                  <c:v>13.09</c:v>
                </c:pt>
                <c:pt idx="11310">
                  <c:v>13.1</c:v>
                </c:pt>
                <c:pt idx="11311">
                  <c:v>13.11</c:v>
                </c:pt>
                <c:pt idx="11312">
                  <c:v>13.12</c:v>
                </c:pt>
                <c:pt idx="11313">
                  <c:v>13.13</c:v>
                </c:pt>
                <c:pt idx="11314">
                  <c:v>13.14</c:v>
                </c:pt>
                <c:pt idx="11315">
                  <c:v>13.15</c:v>
                </c:pt>
                <c:pt idx="11316">
                  <c:v>13.16</c:v>
                </c:pt>
                <c:pt idx="11317">
                  <c:v>13.17</c:v>
                </c:pt>
                <c:pt idx="11318">
                  <c:v>13.18</c:v>
                </c:pt>
                <c:pt idx="11319">
                  <c:v>13.19</c:v>
                </c:pt>
                <c:pt idx="11320">
                  <c:v>13.2</c:v>
                </c:pt>
                <c:pt idx="11321">
                  <c:v>13.21</c:v>
                </c:pt>
                <c:pt idx="11322">
                  <c:v>13.22</c:v>
                </c:pt>
                <c:pt idx="11323">
                  <c:v>13.23</c:v>
                </c:pt>
                <c:pt idx="11324">
                  <c:v>13.24</c:v>
                </c:pt>
                <c:pt idx="11325">
                  <c:v>13.25</c:v>
                </c:pt>
                <c:pt idx="11326">
                  <c:v>13.26</c:v>
                </c:pt>
                <c:pt idx="11327">
                  <c:v>13.27</c:v>
                </c:pt>
                <c:pt idx="11328">
                  <c:v>13.28</c:v>
                </c:pt>
                <c:pt idx="11329">
                  <c:v>13.29</c:v>
                </c:pt>
                <c:pt idx="11330">
                  <c:v>13.3</c:v>
                </c:pt>
                <c:pt idx="11331">
                  <c:v>13.31</c:v>
                </c:pt>
                <c:pt idx="11332">
                  <c:v>13.32</c:v>
                </c:pt>
                <c:pt idx="11333">
                  <c:v>13.33</c:v>
                </c:pt>
                <c:pt idx="11334">
                  <c:v>13.34</c:v>
                </c:pt>
                <c:pt idx="11335">
                  <c:v>13.35</c:v>
                </c:pt>
                <c:pt idx="11336">
                  <c:v>13.36</c:v>
                </c:pt>
                <c:pt idx="11337">
                  <c:v>13.37</c:v>
                </c:pt>
                <c:pt idx="11338">
                  <c:v>13.38</c:v>
                </c:pt>
                <c:pt idx="11339">
                  <c:v>13.39</c:v>
                </c:pt>
                <c:pt idx="11340">
                  <c:v>13.4</c:v>
                </c:pt>
                <c:pt idx="11341">
                  <c:v>13.41</c:v>
                </c:pt>
                <c:pt idx="11342">
                  <c:v>13.42</c:v>
                </c:pt>
                <c:pt idx="11343">
                  <c:v>13.43</c:v>
                </c:pt>
                <c:pt idx="11344">
                  <c:v>13.44</c:v>
                </c:pt>
                <c:pt idx="11345">
                  <c:v>13.45</c:v>
                </c:pt>
                <c:pt idx="11346">
                  <c:v>13.46</c:v>
                </c:pt>
                <c:pt idx="11347">
                  <c:v>13.47</c:v>
                </c:pt>
                <c:pt idx="11348">
                  <c:v>13.48</c:v>
                </c:pt>
                <c:pt idx="11349">
                  <c:v>13.49</c:v>
                </c:pt>
                <c:pt idx="11350">
                  <c:v>13.5</c:v>
                </c:pt>
                <c:pt idx="11351">
                  <c:v>13.51</c:v>
                </c:pt>
                <c:pt idx="11352">
                  <c:v>13.52</c:v>
                </c:pt>
                <c:pt idx="11353">
                  <c:v>13.53</c:v>
                </c:pt>
                <c:pt idx="11354">
                  <c:v>13.54</c:v>
                </c:pt>
                <c:pt idx="11355">
                  <c:v>13.55</c:v>
                </c:pt>
                <c:pt idx="11356">
                  <c:v>13.56</c:v>
                </c:pt>
                <c:pt idx="11357">
                  <c:v>13.57</c:v>
                </c:pt>
                <c:pt idx="11358">
                  <c:v>13.58</c:v>
                </c:pt>
                <c:pt idx="11359">
                  <c:v>13.59</c:v>
                </c:pt>
                <c:pt idx="11360">
                  <c:v>13.6</c:v>
                </c:pt>
                <c:pt idx="11361">
                  <c:v>13.61</c:v>
                </c:pt>
                <c:pt idx="11362">
                  <c:v>13.62</c:v>
                </c:pt>
                <c:pt idx="11363">
                  <c:v>13.63</c:v>
                </c:pt>
                <c:pt idx="11364">
                  <c:v>13.64</c:v>
                </c:pt>
                <c:pt idx="11365">
                  <c:v>13.65</c:v>
                </c:pt>
                <c:pt idx="11366">
                  <c:v>13.66</c:v>
                </c:pt>
                <c:pt idx="11367">
                  <c:v>13.67</c:v>
                </c:pt>
                <c:pt idx="11368">
                  <c:v>13.68</c:v>
                </c:pt>
                <c:pt idx="11369">
                  <c:v>13.69</c:v>
                </c:pt>
                <c:pt idx="11370">
                  <c:v>13.7</c:v>
                </c:pt>
                <c:pt idx="11371">
                  <c:v>13.71</c:v>
                </c:pt>
                <c:pt idx="11372">
                  <c:v>13.72</c:v>
                </c:pt>
                <c:pt idx="11373">
                  <c:v>13.73</c:v>
                </c:pt>
                <c:pt idx="11374">
                  <c:v>13.74</c:v>
                </c:pt>
                <c:pt idx="11375">
                  <c:v>13.75</c:v>
                </c:pt>
                <c:pt idx="11376">
                  <c:v>13.76</c:v>
                </c:pt>
                <c:pt idx="11377">
                  <c:v>13.77</c:v>
                </c:pt>
                <c:pt idx="11378">
                  <c:v>13.78</c:v>
                </c:pt>
                <c:pt idx="11379">
                  <c:v>13.79</c:v>
                </c:pt>
                <c:pt idx="11380">
                  <c:v>13.8</c:v>
                </c:pt>
                <c:pt idx="11381">
                  <c:v>13.81</c:v>
                </c:pt>
                <c:pt idx="11382">
                  <c:v>13.82</c:v>
                </c:pt>
                <c:pt idx="11383">
                  <c:v>13.83</c:v>
                </c:pt>
                <c:pt idx="11384">
                  <c:v>13.84</c:v>
                </c:pt>
                <c:pt idx="11385">
                  <c:v>13.85</c:v>
                </c:pt>
                <c:pt idx="11386">
                  <c:v>13.86</c:v>
                </c:pt>
                <c:pt idx="11387">
                  <c:v>13.87</c:v>
                </c:pt>
                <c:pt idx="11388">
                  <c:v>13.88</c:v>
                </c:pt>
                <c:pt idx="11389">
                  <c:v>13.89</c:v>
                </c:pt>
                <c:pt idx="11390">
                  <c:v>13.9</c:v>
                </c:pt>
                <c:pt idx="11391">
                  <c:v>13.91</c:v>
                </c:pt>
                <c:pt idx="11392">
                  <c:v>13.92</c:v>
                </c:pt>
                <c:pt idx="11393">
                  <c:v>13.93</c:v>
                </c:pt>
                <c:pt idx="11394">
                  <c:v>13.94</c:v>
                </c:pt>
                <c:pt idx="11395">
                  <c:v>13.95</c:v>
                </c:pt>
                <c:pt idx="11396">
                  <c:v>13.96</c:v>
                </c:pt>
                <c:pt idx="11397">
                  <c:v>13.97</c:v>
                </c:pt>
                <c:pt idx="11398">
                  <c:v>13.98</c:v>
                </c:pt>
                <c:pt idx="11399">
                  <c:v>13.99</c:v>
                </c:pt>
                <c:pt idx="11400">
                  <c:v>14.0</c:v>
                </c:pt>
                <c:pt idx="11401">
                  <c:v>14.01</c:v>
                </c:pt>
                <c:pt idx="11402">
                  <c:v>14.02</c:v>
                </c:pt>
                <c:pt idx="11403">
                  <c:v>14.03</c:v>
                </c:pt>
                <c:pt idx="11404">
                  <c:v>14.04</c:v>
                </c:pt>
                <c:pt idx="11405">
                  <c:v>14.05</c:v>
                </c:pt>
                <c:pt idx="11406">
                  <c:v>14.06</c:v>
                </c:pt>
                <c:pt idx="11407">
                  <c:v>14.07</c:v>
                </c:pt>
                <c:pt idx="11408">
                  <c:v>14.08</c:v>
                </c:pt>
                <c:pt idx="11409">
                  <c:v>14.09</c:v>
                </c:pt>
                <c:pt idx="11410">
                  <c:v>14.1</c:v>
                </c:pt>
                <c:pt idx="11411">
                  <c:v>14.11</c:v>
                </c:pt>
                <c:pt idx="11412">
                  <c:v>14.12</c:v>
                </c:pt>
                <c:pt idx="11413">
                  <c:v>14.13</c:v>
                </c:pt>
                <c:pt idx="11414">
                  <c:v>14.14</c:v>
                </c:pt>
                <c:pt idx="11415">
                  <c:v>14.15</c:v>
                </c:pt>
                <c:pt idx="11416">
                  <c:v>14.16</c:v>
                </c:pt>
                <c:pt idx="11417">
                  <c:v>14.17</c:v>
                </c:pt>
                <c:pt idx="11418">
                  <c:v>14.18</c:v>
                </c:pt>
                <c:pt idx="11419">
                  <c:v>14.19</c:v>
                </c:pt>
                <c:pt idx="11420">
                  <c:v>14.2</c:v>
                </c:pt>
                <c:pt idx="11421">
                  <c:v>14.21</c:v>
                </c:pt>
                <c:pt idx="11422">
                  <c:v>14.22</c:v>
                </c:pt>
                <c:pt idx="11423">
                  <c:v>14.23</c:v>
                </c:pt>
                <c:pt idx="11424">
                  <c:v>14.24</c:v>
                </c:pt>
                <c:pt idx="11425">
                  <c:v>14.25</c:v>
                </c:pt>
                <c:pt idx="11426">
                  <c:v>14.26</c:v>
                </c:pt>
                <c:pt idx="11427">
                  <c:v>14.27</c:v>
                </c:pt>
                <c:pt idx="11428">
                  <c:v>14.28</c:v>
                </c:pt>
                <c:pt idx="11429">
                  <c:v>14.29</c:v>
                </c:pt>
                <c:pt idx="11430">
                  <c:v>14.3</c:v>
                </c:pt>
                <c:pt idx="11431">
                  <c:v>14.31</c:v>
                </c:pt>
                <c:pt idx="11432">
                  <c:v>14.32</c:v>
                </c:pt>
                <c:pt idx="11433">
                  <c:v>14.33</c:v>
                </c:pt>
                <c:pt idx="11434">
                  <c:v>14.34</c:v>
                </c:pt>
                <c:pt idx="11435">
                  <c:v>14.35</c:v>
                </c:pt>
                <c:pt idx="11436">
                  <c:v>14.36</c:v>
                </c:pt>
                <c:pt idx="11437">
                  <c:v>14.37</c:v>
                </c:pt>
                <c:pt idx="11438">
                  <c:v>14.38</c:v>
                </c:pt>
                <c:pt idx="11439">
                  <c:v>14.39</c:v>
                </c:pt>
                <c:pt idx="11440">
                  <c:v>14.4</c:v>
                </c:pt>
                <c:pt idx="11441">
                  <c:v>14.41</c:v>
                </c:pt>
                <c:pt idx="11442">
                  <c:v>14.42</c:v>
                </c:pt>
                <c:pt idx="11443">
                  <c:v>14.43</c:v>
                </c:pt>
                <c:pt idx="11444">
                  <c:v>14.44</c:v>
                </c:pt>
                <c:pt idx="11445">
                  <c:v>14.45</c:v>
                </c:pt>
                <c:pt idx="11446">
                  <c:v>14.46</c:v>
                </c:pt>
                <c:pt idx="11447">
                  <c:v>14.47</c:v>
                </c:pt>
                <c:pt idx="11448">
                  <c:v>14.48</c:v>
                </c:pt>
                <c:pt idx="11449">
                  <c:v>14.49</c:v>
                </c:pt>
                <c:pt idx="11450">
                  <c:v>14.5</c:v>
                </c:pt>
                <c:pt idx="11451">
                  <c:v>14.51</c:v>
                </c:pt>
                <c:pt idx="11452">
                  <c:v>14.52</c:v>
                </c:pt>
                <c:pt idx="11453">
                  <c:v>14.53</c:v>
                </c:pt>
                <c:pt idx="11454">
                  <c:v>14.54</c:v>
                </c:pt>
                <c:pt idx="11455">
                  <c:v>14.55</c:v>
                </c:pt>
                <c:pt idx="11456">
                  <c:v>14.56</c:v>
                </c:pt>
                <c:pt idx="11457">
                  <c:v>14.57</c:v>
                </c:pt>
                <c:pt idx="11458">
                  <c:v>14.58</c:v>
                </c:pt>
                <c:pt idx="11459">
                  <c:v>14.59</c:v>
                </c:pt>
                <c:pt idx="11460">
                  <c:v>14.6</c:v>
                </c:pt>
                <c:pt idx="11461">
                  <c:v>14.61</c:v>
                </c:pt>
                <c:pt idx="11462">
                  <c:v>14.62</c:v>
                </c:pt>
                <c:pt idx="11463">
                  <c:v>14.63</c:v>
                </c:pt>
                <c:pt idx="11464">
                  <c:v>14.64</c:v>
                </c:pt>
                <c:pt idx="11465">
                  <c:v>14.65</c:v>
                </c:pt>
                <c:pt idx="11466">
                  <c:v>14.66</c:v>
                </c:pt>
                <c:pt idx="11467">
                  <c:v>14.67</c:v>
                </c:pt>
                <c:pt idx="11468">
                  <c:v>14.68</c:v>
                </c:pt>
                <c:pt idx="11469">
                  <c:v>14.69</c:v>
                </c:pt>
                <c:pt idx="11470">
                  <c:v>14.7</c:v>
                </c:pt>
                <c:pt idx="11471">
                  <c:v>14.71</c:v>
                </c:pt>
                <c:pt idx="11472">
                  <c:v>14.72</c:v>
                </c:pt>
                <c:pt idx="11473">
                  <c:v>14.73</c:v>
                </c:pt>
                <c:pt idx="11474">
                  <c:v>14.74</c:v>
                </c:pt>
                <c:pt idx="11475">
                  <c:v>14.75</c:v>
                </c:pt>
                <c:pt idx="11476">
                  <c:v>14.76</c:v>
                </c:pt>
                <c:pt idx="11477">
                  <c:v>14.77</c:v>
                </c:pt>
                <c:pt idx="11478">
                  <c:v>14.78</c:v>
                </c:pt>
                <c:pt idx="11479">
                  <c:v>14.79</c:v>
                </c:pt>
                <c:pt idx="11480">
                  <c:v>14.8</c:v>
                </c:pt>
                <c:pt idx="11481">
                  <c:v>14.81</c:v>
                </c:pt>
                <c:pt idx="11482">
                  <c:v>14.82</c:v>
                </c:pt>
                <c:pt idx="11483">
                  <c:v>14.83</c:v>
                </c:pt>
                <c:pt idx="11484">
                  <c:v>14.84</c:v>
                </c:pt>
                <c:pt idx="11485">
                  <c:v>14.85</c:v>
                </c:pt>
                <c:pt idx="11486">
                  <c:v>14.86</c:v>
                </c:pt>
                <c:pt idx="11487">
                  <c:v>14.87</c:v>
                </c:pt>
                <c:pt idx="11488">
                  <c:v>14.88</c:v>
                </c:pt>
                <c:pt idx="11489">
                  <c:v>14.89</c:v>
                </c:pt>
                <c:pt idx="11490">
                  <c:v>14.9</c:v>
                </c:pt>
                <c:pt idx="11491">
                  <c:v>14.91</c:v>
                </c:pt>
                <c:pt idx="11492">
                  <c:v>14.92</c:v>
                </c:pt>
                <c:pt idx="11493">
                  <c:v>14.93</c:v>
                </c:pt>
                <c:pt idx="11494">
                  <c:v>14.94</c:v>
                </c:pt>
                <c:pt idx="11495">
                  <c:v>14.95</c:v>
                </c:pt>
                <c:pt idx="11496">
                  <c:v>14.96</c:v>
                </c:pt>
                <c:pt idx="11497">
                  <c:v>14.97</c:v>
                </c:pt>
                <c:pt idx="11498">
                  <c:v>14.98</c:v>
                </c:pt>
                <c:pt idx="11499">
                  <c:v>14.99</c:v>
                </c:pt>
                <c:pt idx="11500">
                  <c:v>15.0</c:v>
                </c:pt>
                <c:pt idx="11501">
                  <c:v>15.01</c:v>
                </c:pt>
                <c:pt idx="11502">
                  <c:v>15.02</c:v>
                </c:pt>
                <c:pt idx="11503">
                  <c:v>15.03</c:v>
                </c:pt>
                <c:pt idx="11504">
                  <c:v>15.04</c:v>
                </c:pt>
                <c:pt idx="11505">
                  <c:v>15.05</c:v>
                </c:pt>
                <c:pt idx="11506">
                  <c:v>15.06</c:v>
                </c:pt>
                <c:pt idx="11507">
                  <c:v>15.07</c:v>
                </c:pt>
                <c:pt idx="11508">
                  <c:v>15.08</c:v>
                </c:pt>
                <c:pt idx="11509">
                  <c:v>15.09</c:v>
                </c:pt>
                <c:pt idx="11510">
                  <c:v>15.1</c:v>
                </c:pt>
                <c:pt idx="11511">
                  <c:v>15.11</c:v>
                </c:pt>
                <c:pt idx="11512">
                  <c:v>15.12</c:v>
                </c:pt>
                <c:pt idx="11513">
                  <c:v>15.13</c:v>
                </c:pt>
                <c:pt idx="11514">
                  <c:v>15.14</c:v>
                </c:pt>
                <c:pt idx="11515">
                  <c:v>15.15</c:v>
                </c:pt>
                <c:pt idx="11516">
                  <c:v>15.16</c:v>
                </c:pt>
                <c:pt idx="11517">
                  <c:v>15.17</c:v>
                </c:pt>
                <c:pt idx="11518">
                  <c:v>15.18</c:v>
                </c:pt>
                <c:pt idx="11519">
                  <c:v>15.19</c:v>
                </c:pt>
                <c:pt idx="11520">
                  <c:v>15.2</c:v>
                </c:pt>
                <c:pt idx="11521">
                  <c:v>15.21</c:v>
                </c:pt>
                <c:pt idx="11522">
                  <c:v>15.22</c:v>
                </c:pt>
                <c:pt idx="11523">
                  <c:v>15.23</c:v>
                </c:pt>
                <c:pt idx="11524">
                  <c:v>15.24</c:v>
                </c:pt>
                <c:pt idx="11525">
                  <c:v>15.25</c:v>
                </c:pt>
                <c:pt idx="11526">
                  <c:v>15.26</c:v>
                </c:pt>
                <c:pt idx="11527">
                  <c:v>15.27</c:v>
                </c:pt>
                <c:pt idx="11528">
                  <c:v>15.28</c:v>
                </c:pt>
                <c:pt idx="11529">
                  <c:v>15.29</c:v>
                </c:pt>
                <c:pt idx="11530">
                  <c:v>15.3</c:v>
                </c:pt>
                <c:pt idx="11531">
                  <c:v>15.31</c:v>
                </c:pt>
                <c:pt idx="11532">
                  <c:v>15.32</c:v>
                </c:pt>
                <c:pt idx="11533">
                  <c:v>15.33</c:v>
                </c:pt>
                <c:pt idx="11534">
                  <c:v>15.34</c:v>
                </c:pt>
                <c:pt idx="11535">
                  <c:v>15.35</c:v>
                </c:pt>
                <c:pt idx="11536">
                  <c:v>15.36</c:v>
                </c:pt>
                <c:pt idx="11537">
                  <c:v>15.37</c:v>
                </c:pt>
                <c:pt idx="11538">
                  <c:v>15.38</c:v>
                </c:pt>
                <c:pt idx="11539">
                  <c:v>15.39</c:v>
                </c:pt>
                <c:pt idx="11540">
                  <c:v>15.4</c:v>
                </c:pt>
                <c:pt idx="11541">
                  <c:v>15.41</c:v>
                </c:pt>
                <c:pt idx="11542">
                  <c:v>15.42</c:v>
                </c:pt>
                <c:pt idx="11543">
                  <c:v>15.43</c:v>
                </c:pt>
                <c:pt idx="11544">
                  <c:v>15.44</c:v>
                </c:pt>
                <c:pt idx="11545">
                  <c:v>15.45</c:v>
                </c:pt>
                <c:pt idx="11546">
                  <c:v>15.46</c:v>
                </c:pt>
                <c:pt idx="11547">
                  <c:v>15.47</c:v>
                </c:pt>
                <c:pt idx="11548">
                  <c:v>15.48</c:v>
                </c:pt>
                <c:pt idx="11549">
                  <c:v>15.49</c:v>
                </c:pt>
                <c:pt idx="11550">
                  <c:v>15.5</c:v>
                </c:pt>
                <c:pt idx="11551">
                  <c:v>15.51</c:v>
                </c:pt>
                <c:pt idx="11552">
                  <c:v>15.52</c:v>
                </c:pt>
                <c:pt idx="11553">
                  <c:v>15.53</c:v>
                </c:pt>
                <c:pt idx="11554">
                  <c:v>15.54</c:v>
                </c:pt>
                <c:pt idx="11555">
                  <c:v>15.55</c:v>
                </c:pt>
                <c:pt idx="11556">
                  <c:v>15.56</c:v>
                </c:pt>
                <c:pt idx="11557">
                  <c:v>15.57</c:v>
                </c:pt>
                <c:pt idx="11558">
                  <c:v>15.58</c:v>
                </c:pt>
                <c:pt idx="11559">
                  <c:v>15.59</c:v>
                </c:pt>
                <c:pt idx="11560">
                  <c:v>15.6</c:v>
                </c:pt>
                <c:pt idx="11561">
                  <c:v>15.61</c:v>
                </c:pt>
                <c:pt idx="11562">
                  <c:v>15.62</c:v>
                </c:pt>
                <c:pt idx="11563">
                  <c:v>15.63</c:v>
                </c:pt>
                <c:pt idx="11564">
                  <c:v>15.64</c:v>
                </c:pt>
                <c:pt idx="11565">
                  <c:v>15.65</c:v>
                </c:pt>
                <c:pt idx="11566">
                  <c:v>15.66</c:v>
                </c:pt>
                <c:pt idx="11567">
                  <c:v>15.67</c:v>
                </c:pt>
                <c:pt idx="11568">
                  <c:v>15.68</c:v>
                </c:pt>
                <c:pt idx="11569">
                  <c:v>15.69</c:v>
                </c:pt>
                <c:pt idx="11570">
                  <c:v>15.7</c:v>
                </c:pt>
                <c:pt idx="11571">
                  <c:v>15.71</c:v>
                </c:pt>
                <c:pt idx="11572">
                  <c:v>15.72</c:v>
                </c:pt>
                <c:pt idx="11573">
                  <c:v>15.73</c:v>
                </c:pt>
                <c:pt idx="11574">
                  <c:v>15.74</c:v>
                </c:pt>
                <c:pt idx="11575">
                  <c:v>15.75</c:v>
                </c:pt>
                <c:pt idx="11576">
                  <c:v>15.76</c:v>
                </c:pt>
                <c:pt idx="11577">
                  <c:v>15.77</c:v>
                </c:pt>
                <c:pt idx="11578">
                  <c:v>15.78</c:v>
                </c:pt>
                <c:pt idx="11579">
                  <c:v>15.79</c:v>
                </c:pt>
                <c:pt idx="11580">
                  <c:v>15.8</c:v>
                </c:pt>
                <c:pt idx="11581">
                  <c:v>15.81</c:v>
                </c:pt>
                <c:pt idx="11582">
                  <c:v>15.82</c:v>
                </c:pt>
                <c:pt idx="11583">
                  <c:v>15.83</c:v>
                </c:pt>
                <c:pt idx="11584">
                  <c:v>15.84</c:v>
                </c:pt>
                <c:pt idx="11585">
                  <c:v>15.85</c:v>
                </c:pt>
                <c:pt idx="11586">
                  <c:v>15.86</c:v>
                </c:pt>
                <c:pt idx="11587">
                  <c:v>15.87</c:v>
                </c:pt>
                <c:pt idx="11588">
                  <c:v>15.88</c:v>
                </c:pt>
                <c:pt idx="11589">
                  <c:v>15.89</c:v>
                </c:pt>
                <c:pt idx="11590">
                  <c:v>15.9</c:v>
                </c:pt>
                <c:pt idx="11591">
                  <c:v>15.91</c:v>
                </c:pt>
                <c:pt idx="11592">
                  <c:v>15.92</c:v>
                </c:pt>
                <c:pt idx="11593">
                  <c:v>15.93</c:v>
                </c:pt>
                <c:pt idx="11594">
                  <c:v>15.94</c:v>
                </c:pt>
                <c:pt idx="11595">
                  <c:v>15.95</c:v>
                </c:pt>
                <c:pt idx="11596">
                  <c:v>15.96</c:v>
                </c:pt>
                <c:pt idx="11597">
                  <c:v>15.97</c:v>
                </c:pt>
                <c:pt idx="11598">
                  <c:v>15.98</c:v>
                </c:pt>
                <c:pt idx="11599">
                  <c:v>15.99</c:v>
                </c:pt>
                <c:pt idx="11600">
                  <c:v>16.0</c:v>
                </c:pt>
                <c:pt idx="11601">
                  <c:v>16.01</c:v>
                </c:pt>
                <c:pt idx="11602">
                  <c:v>16.02</c:v>
                </c:pt>
                <c:pt idx="11603">
                  <c:v>16.03</c:v>
                </c:pt>
                <c:pt idx="11604">
                  <c:v>16.04</c:v>
                </c:pt>
                <c:pt idx="11605">
                  <c:v>16.05</c:v>
                </c:pt>
                <c:pt idx="11606">
                  <c:v>16.06</c:v>
                </c:pt>
                <c:pt idx="11607">
                  <c:v>16.07</c:v>
                </c:pt>
                <c:pt idx="11608">
                  <c:v>16.08</c:v>
                </c:pt>
                <c:pt idx="11609">
                  <c:v>16.09</c:v>
                </c:pt>
                <c:pt idx="11610">
                  <c:v>16.1</c:v>
                </c:pt>
                <c:pt idx="11611">
                  <c:v>16.11</c:v>
                </c:pt>
                <c:pt idx="11612">
                  <c:v>16.12</c:v>
                </c:pt>
                <c:pt idx="11613">
                  <c:v>16.13</c:v>
                </c:pt>
                <c:pt idx="11614">
                  <c:v>16.14</c:v>
                </c:pt>
                <c:pt idx="11615">
                  <c:v>16.15</c:v>
                </c:pt>
                <c:pt idx="11616">
                  <c:v>16.16</c:v>
                </c:pt>
                <c:pt idx="11617">
                  <c:v>16.17</c:v>
                </c:pt>
                <c:pt idx="11618">
                  <c:v>16.18</c:v>
                </c:pt>
                <c:pt idx="11619">
                  <c:v>16.19</c:v>
                </c:pt>
                <c:pt idx="11620">
                  <c:v>16.2</c:v>
                </c:pt>
                <c:pt idx="11621">
                  <c:v>16.21</c:v>
                </c:pt>
                <c:pt idx="11622">
                  <c:v>16.22</c:v>
                </c:pt>
                <c:pt idx="11623">
                  <c:v>16.23</c:v>
                </c:pt>
                <c:pt idx="11624">
                  <c:v>16.24</c:v>
                </c:pt>
                <c:pt idx="11625">
                  <c:v>16.25</c:v>
                </c:pt>
                <c:pt idx="11626">
                  <c:v>16.26</c:v>
                </c:pt>
                <c:pt idx="11627">
                  <c:v>16.27</c:v>
                </c:pt>
                <c:pt idx="11628">
                  <c:v>16.28</c:v>
                </c:pt>
                <c:pt idx="11629">
                  <c:v>16.29</c:v>
                </c:pt>
                <c:pt idx="11630">
                  <c:v>16.3</c:v>
                </c:pt>
                <c:pt idx="11631">
                  <c:v>16.31</c:v>
                </c:pt>
                <c:pt idx="11632">
                  <c:v>16.32</c:v>
                </c:pt>
                <c:pt idx="11633">
                  <c:v>16.33</c:v>
                </c:pt>
                <c:pt idx="11634">
                  <c:v>16.34</c:v>
                </c:pt>
                <c:pt idx="11635">
                  <c:v>16.35</c:v>
                </c:pt>
                <c:pt idx="11636">
                  <c:v>16.36</c:v>
                </c:pt>
                <c:pt idx="11637">
                  <c:v>16.37</c:v>
                </c:pt>
                <c:pt idx="11638">
                  <c:v>16.38</c:v>
                </c:pt>
                <c:pt idx="11639">
                  <c:v>16.39</c:v>
                </c:pt>
                <c:pt idx="11640">
                  <c:v>16.4</c:v>
                </c:pt>
                <c:pt idx="11641">
                  <c:v>16.41</c:v>
                </c:pt>
                <c:pt idx="11642">
                  <c:v>16.42</c:v>
                </c:pt>
                <c:pt idx="11643">
                  <c:v>16.43</c:v>
                </c:pt>
                <c:pt idx="11644">
                  <c:v>16.44</c:v>
                </c:pt>
                <c:pt idx="11645">
                  <c:v>16.45</c:v>
                </c:pt>
                <c:pt idx="11646">
                  <c:v>16.46</c:v>
                </c:pt>
                <c:pt idx="11647">
                  <c:v>16.47</c:v>
                </c:pt>
                <c:pt idx="11648">
                  <c:v>16.48</c:v>
                </c:pt>
                <c:pt idx="11649">
                  <c:v>16.49</c:v>
                </c:pt>
                <c:pt idx="11650">
                  <c:v>16.5</c:v>
                </c:pt>
                <c:pt idx="11651">
                  <c:v>16.51</c:v>
                </c:pt>
                <c:pt idx="11652">
                  <c:v>16.52</c:v>
                </c:pt>
                <c:pt idx="11653">
                  <c:v>16.53</c:v>
                </c:pt>
                <c:pt idx="11654">
                  <c:v>16.54</c:v>
                </c:pt>
                <c:pt idx="11655">
                  <c:v>16.55</c:v>
                </c:pt>
                <c:pt idx="11656">
                  <c:v>16.56</c:v>
                </c:pt>
                <c:pt idx="11657">
                  <c:v>16.57</c:v>
                </c:pt>
                <c:pt idx="11658">
                  <c:v>16.58</c:v>
                </c:pt>
                <c:pt idx="11659">
                  <c:v>16.59</c:v>
                </c:pt>
                <c:pt idx="11660">
                  <c:v>16.6</c:v>
                </c:pt>
                <c:pt idx="11661">
                  <c:v>16.61</c:v>
                </c:pt>
                <c:pt idx="11662">
                  <c:v>16.62</c:v>
                </c:pt>
                <c:pt idx="11663">
                  <c:v>16.63</c:v>
                </c:pt>
                <c:pt idx="11664">
                  <c:v>16.64</c:v>
                </c:pt>
                <c:pt idx="11665">
                  <c:v>16.65</c:v>
                </c:pt>
                <c:pt idx="11666">
                  <c:v>16.66</c:v>
                </c:pt>
                <c:pt idx="11667">
                  <c:v>16.67</c:v>
                </c:pt>
                <c:pt idx="11668">
                  <c:v>16.68</c:v>
                </c:pt>
                <c:pt idx="11669">
                  <c:v>16.69</c:v>
                </c:pt>
                <c:pt idx="11670">
                  <c:v>16.7</c:v>
                </c:pt>
                <c:pt idx="11671">
                  <c:v>16.71</c:v>
                </c:pt>
                <c:pt idx="11672">
                  <c:v>16.72</c:v>
                </c:pt>
                <c:pt idx="11673">
                  <c:v>16.73</c:v>
                </c:pt>
                <c:pt idx="11674">
                  <c:v>16.74</c:v>
                </c:pt>
                <c:pt idx="11675">
                  <c:v>16.75</c:v>
                </c:pt>
                <c:pt idx="11676">
                  <c:v>16.76</c:v>
                </c:pt>
                <c:pt idx="11677">
                  <c:v>16.77</c:v>
                </c:pt>
                <c:pt idx="11678">
                  <c:v>16.78</c:v>
                </c:pt>
                <c:pt idx="11679">
                  <c:v>16.79</c:v>
                </c:pt>
                <c:pt idx="11680">
                  <c:v>16.8</c:v>
                </c:pt>
                <c:pt idx="11681">
                  <c:v>16.81</c:v>
                </c:pt>
                <c:pt idx="11682">
                  <c:v>16.82</c:v>
                </c:pt>
                <c:pt idx="11683">
                  <c:v>16.83</c:v>
                </c:pt>
                <c:pt idx="11684">
                  <c:v>16.84</c:v>
                </c:pt>
                <c:pt idx="11685">
                  <c:v>16.85</c:v>
                </c:pt>
                <c:pt idx="11686">
                  <c:v>16.86</c:v>
                </c:pt>
                <c:pt idx="11687">
                  <c:v>16.87</c:v>
                </c:pt>
                <c:pt idx="11688">
                  <c:v>16.88</c:v>
                </c:pt>
                <c:pt idx="11689">
                  <c:v>16.89</c:v>
                </c:pt>
                <c:pt idx="11690">
                  <c:v>16.9</c:v>
                </c:pt>
                <c:pt idx="11691">
                  <c:v>16.91</c:v>
                </c:pt>
                <c:pt idx="11692">
                  <c:v>16.92</c:v>
                </c:pt>
                <c:pt idx="11693">
                  <c:v>16.93</c:v>
                </c:pt>
                <c:pt idx="11694">
                  <c:v>16.94</c:v>
                </c:pt>
                <c:pt idx="11695">
                  <c:v>16.95</c:v>
                </c:pt>
                <c:pt idx="11696">
                  <c:v>16.96</c:v>
                </c:pt>
                <c:pt idx="11697">
                  <c:v>16.97</c:v>
                </c:pt>
                <c:pt idx="11698">
                  <c:v>16.98</c:v>
                </c:pt>
                <c:pt idx="11699">
                  <c:v>16.99</c:v>
                </c:pt>
                <c:pt idx="11700">
                  <c:v>17.0</c:v>
                </c:pt>
                <c:pt idx="11701">
                  <c:v>17.01</c:v>
                </c:pt>
                <c:pt idx="11702">
                  <c:v>17.02</c:v>
                </c:pt>
                <c:pt idx="11703">
                  <c:v>17.03</c:v>
                </c:pt>
                <c:pt idx="11704">
                  <c:v>17.04</c:v>
                </c:pt>
                <c:pt idx="11705">
                  <c:v>17.05</c:v>
                </c:pt>
                <c:pt idx="11706">
                  <c:v>17.06</c:v>
                </c:pt>
                <c:pt idx="11707">
                  <c:v>17.07</c:v>
                </c:pt>
                <c:pt idx="11708">
                  <c:v>17.08</c:v>
                </c:pt>
                <c:pt idx="11709">
                  <c:v>17.09</c:v>
                </c:pt>
                <c:pt idx="11710">
                  <c:v>17.1</c:v>
                </c:pt>
                <c:pt idx="11711">
                  <c:v>17.11</c:v>
                </c:pt>
                <c:pt idx="11712">
                  <c:v>17.12</c:v>
                </c:pt>
                <c:pt idx="11713">
                  <c:v>17.13</c:v>
                </c:pt>
                <c:pt idx="11714">
                  <c:v>17.14</c:v>
                </c:pt>
                <c:pt idx="11715">
                  <c:v>17.15</c:v>
                </c:pt>
                <c:pt idx="11716">
                  <c:v>17.16</c:v>
                </c:pt>
                <c:pt idx="11717">
                  <c:v>17.17</c:v>
                </c:pt>
                <c:pt idx="11718">
                  <c:v>17.18</c:v>
                </c:pt>
                <c:pt idx="11719">
                  <c:v>17.19</c:v>
                </c:pt>
                <c:pt idx="11720">
                  <c:v>17.2</c:v>
                </c:pt>
                <c:pt idx="11721">
                  <c:v>17.21</c:v>
                </c:pt>
                <c:pt idx="11722">
                  <c:v>17.22</c:v>
                </c:pt>
                <c:pt idx="11723">
                  <c:v>17.23</c:v>
                </c:pt>
                <c:pt idx="11724">
                  <c:v>17.24</c:v>
                </c:pt>
                <c:pt idx="11725">
                  <c:v>17.25</c:v>
                </c:pt>
                <c:pt idx="11726">
                  <c:v>17.26</c:v>
                </c:pt>
                <c:pt idx="11727">
                  <c:v>17.27</c:v>
                </c:pt>
                <c:pt idx="11728">
                  <c:v>17.28</c:v>
                </c:pt>
                <c:pt idx="11729">
                  <c:v>17.29</c:v>
                </c:pt>
                <c:pt idx="11730">
                  <c:v>17.3</c:v>
                </c:pt>
                <c:pt idx="11731">
                  <c:v>17.31</c:v>
                </c:pt>
                <c:pt idx="11732">
                  <c:v>17.32</c:v>
                </c:pt>
                <c:pt idx="11733">
                  <c:v>17.33</c:v>
                </c:pt>
                <c:pt idx="11734">
                  <c:v>17.34</c:v>
                </c:pt>
                <c:pt idx="11735">
                  <c:v>17.35</c:v>
                </c:pt>
                <c:pt idx="11736">
                  <c:v>17.36</c:v>
                </c:pt>
                <c:pt idx="11737">
                  <c:v>17.37</c:v>
                </c:pt>
                <c:pt idx="11738">
                  <c:v>17.38</c:v>
                </c:pt>
                <c:pt idx="11739">
                  <c:v>17.39</c:v>
                </c:pt>
                <c:pt idx="11740">
                  <c:v>17.4</c:v>
                </c:pt>
                <c:pt idx="11741">
                  <c:v>17.41</c:v>
                </c:pt>
                <c:pt idx="11742">
                  <c:v>17.42</c:v>
                </c:pt>
                <c:pt idx="11743">
                  <c:v>17.43</c:v>
                </c:pt>
                <c:pt idx="11744">
                  <c:v>17.44</c:v>
                </c:pt>
                <c:pt idx="11745">
                  <c:v>17.45</c:v>
                </c:pt>
                <c:pt idx="11746">
                  <c:v>17.46</c:v>
                </c:pt>
                <c:pt idx="11747">
                  <c:v>17.47</c:v>
                </c:pt>
                <c:pt idx="11748">
                  <c:v>17.48</c:v>
                </c:pt>
                <c:pt idx="11749">
                  <c:v>17.49</c:v>
                </c:pt>
                <c:pt idx="11750">
                  <c:v>17.5</c:v>
                </c:pt>
                <c:pt idx="11751">
                  <c:v>17.51</c:v>
                </c:pt>
                <c:pt idx="11752">
                  <c:v>17.52</c:v>
                </c:pt>
                <c:pt idx="11753">
                  <c:v>17.53</c:v>
                </c:pt>
                <c:pt idx="11754">
                  <c:v>17.54</c:v>
                </c:pt>
                <c:pt idx="11755">
                  <c:v>17.55</c:v>
                </c:pt>
                <c:pt idx="11756">
                  <c:v>17.56</c:v>
                </c:pt>
                <c:pt idx="11757">
                  <c:v>17.57</c:v>
                </c:pt>
                <c:pt idx="11758">
                  <c:v>17.58</c:v>
                </c:pt>
                <c:pt idx="11759">
                  <c:v>17.59</c:v>
                </c:pt>
                <c:pt idx="11760">
                  <c:v>17.6</c:v>
                </c:pt>
                <c:pt idx="11761">
                  <c:v>17.61</c:v>
                </c:pt>
                <c:pt idx="11762">
                  <c:v>17.62</c:v>
                </c:pt>
                <c:pt idx="11763">
                  <c:v>17.63</c:v>
                </c:pt>
                <c:pt idx="11764">
                  <c:v>17.64</c:v>
                </c:pt>
                <c:pt idx="11765">
                  <c:v>17.65</c:v>
                </c:pt>
                <c:pt idx="11766">
                  <c:v>17.66</c:v>
                </c:pt>
                <c:pt idx="11767">
                  <c:v>17.67</c:v>
                </c:pt>
                <c:pt idx="11768">
                  <c:v>17.68</c:v>
                </c:pt>
                <c:pt idx="11769">
                  <c:v>17.69</c:v>
                </c:pt>
                <c:pt idx="11770">
                  <c:v>17.7</c:v>
                </c:pt>
                <c:pt idx="11771">
                  <c:v>17.71</c:v>
                </c:pt>
                <c:pt idx="11772">
                  <c:v>17.72</c:v>
                </c:pt>
                <c:pt idx="11773">
                  <c:v>17.73</c:v>
                </c:pt>
                <c:pt idx="11774">
                  <c:v>17.74</c:v>
                </c:pt>
                <c:pt idx="11775">
                  <c:v>17.75</c:v>
                </c:pt>
                <c:pt idx="11776">
                  <c:v>17.76</c:v>
                </c:pt>
                <c:pt idx="11777">
                  <c:v>17.77</c:v>
                </c:pt>
                <c:pt idx="11778">
                  <c:v>17.78</c:v>
                </c:pt>
                <c:pt idx="11779">
                  <c:v>17.79</c:v>
                </c:pt>
                <c:pt idx="11780">
                  <c:v>17.8</c:v>
                </c:pt>
                <c:pt idx="11781">
                  <c:v>17.81</c:v>
                </c:pt>
                <c:pt idx="11782">
                  <c:v>17.82</c:v>
                </c:pt>
                <c:pt idx="11783">
                  <c:v>17.83</c:v>
                </c:pt>
                <c:pt idx="11784">
                  <c:v>17.84</c:v>
                </c:pt>
                <c:pt idx="11785">
                  <c:v>17.85</c:v>
                </c:pt>
                <c:pt idx="11786">
                  <c:v>17.86</c:v>
                </c:pt>
                <c:pt idx="11787">
                  <c:v>17.87</c:v>
                </c:pt>
                <c:pt idx="11788">
                  <c:v>17.88</c:v>
                </c:pt>
                <c:pt idx="11789">
                  <c:v>17.89</c:v>
                </c:pt>
                <c:pt idx="11790">
                  <c:v>17.9</c:v>
                </c:pt>
                <c:pt idx="11791">
                  <c:v>17.91</c:v>
                </c:pt>
                <c:pt idx="11792">
                  <c:v>17.92</c:v>
                </c:pt>
                <c:pt idx="11793">
                  <c:v>17.93</c:v>
                </c:pt>
                <c:pt idx="11794">
                  <c:v>17.94</c:v>
                </c:pt>
                <c:pt idx="11795">
                  <c:v>17.95</c:v>
                </c:pt>
                <c:pt idx="11796">
                  <c:v>17.96</c:v>
                </c:pt>
                <c:pt idx="11797">
                  <c:v>17.97</c:v>
                </c:pt>
                <c:pt idx="11798">
                  <c:v>17.98</c:v>
                </c:pt>
                <c:pt idx="11799">
                  <c:v>17.99</c:v>
                </c:pt>
                <c:pt idx="11800">
                  <c:v>18.0</c:v>
                </c:pt>
                <c:pt idx="11801">
                  <c:v>18.01</c:v>
                </c:pt>
                <c:pt idx="11802">
                  <c:v>18.02</c:v>
                </c:pt>
                <c:pt idx="11803">
                  <c:v>18.03</c:v>
                </c:pt>
                <c:pt idx="11804">
                  <c:v>18.04</c:v>
                </c:pt>
                <c:pt idx="11805">
                  <c:v>18.05</c:v>
                </c:pt>
                <c:pt idx="11806">
                  <c:v>18.06</c:v>
                </c:pt>
                <c:pt idx="11807">
                  <c:v>18.07</c:v>
                </c:pt>
                <c:pt idx="11808">
                  <c:v>18.08</c:v>
                </c:pt>
                <c:pt idx="11809">
                  <c:v>18.09</c:v>
                </c:pt>
                <c:pt idx="11810">
                  <c:v>18.1</c:v>
                </c:pt>
                <c:pt idx="11811">
                  <c:v>18.11</c:v>
                </c:pt>
                <c:pt idx="11812">
                  <c:v>18.12</c:v>
                </c:pt>
                <c:pt idx="11813">
                  <c:v>18.13</c:v>
                </c:pt>
                <c:pt idx="11814">
                  <c:v>18.14</c:v>
                </c:pt>
                <c:pt idx="11815">
                  <c:v>18.15</c:v>
                </c:pt>
                <c:pt idx="11816">
                  <c:v>18.16</c:v>
                </c:pt>
                <c:pt idx="11817">
                  <c:v>18.17</c:v>
                </c:pt>
                <c:pt idx="11818">
                  <c:v>18.18</c:v>
                </c:pt>
                <c:pt idx="11819">
                  <c:v>18.19</c:v>
                </c:pt>
                <c:pt idx="11820">
                  <c:v>18.2</c:v>
                </c:pt>
                <c:pt idx="11821">
                  <c:v>18.21</c:v>
                </c:pt>
                <c:pt idx="11822">
                  <c:v>18.22</c:v>
                </c:pt>
                <c:pt idx="11823">
                  <c:v>18.23</c:v>
                </c:pt>
                <c:pt idx="11824">
                  <c:v>18.24</c:v>
                </c:pt>
                <c:pt idx="11825">
                  <c:v>18.25</c:v>
                </c:pt>
                <c:pt idx="11826">
                  <c:v>18.26</c:v>
                </c:pt>
                <c:pt idx="11827">
                  <c:v>18.27</c:v>
                </c:pt>
                <c:pt idx="11828">
                  <c:v>18.28</c:v>
                </c:pt>
                <c:pt idx="11829">
                  <c:v>18.29</c:v>
                </c:pt>
                <c:pt idx="11830">
                  <c:v>18.3</c:v>
                </c:pt>
                <c:pt idx="11831">
                  <c:v>18.31</c:v>
                </c:pt>
                <c:pt idx="11832">
                  <c:v>18.32</c:v>
                </c:pt>
                <c:pt idx="11833">
                  <c:v>18.33</c:v>
                </c:pt>
                <c:pt idx="11834">
                  <c:v>18.34</c:v>
                </c:pt>
                <c:pt idx="11835">
                  <c:v>18.35</c:v>
                </c:pt>
                <c:pt idx="11836">
                  <c:v>18.36</c:v>
                </c:pt>
                <c:pt idx="11837">
                  <c:v>18.37</c:v>
                </c:pt>
                <c:pt idx="11838">
                  <c:v>18.38</c:v>
                </c:pt>
                <c:pt idx="11839">
                  <c:v>18.39</c:v>
                </c:pt>
                <c:pt idx="11840">
                  <c:v>18.4</c:v>
                </c:pt>
                <c:pt idx="11841">
                  <c:v>18.41</c:v>
                </c:pt>
                <c:pt idx="11842">
                  <c:v>18.42</c:v>
                </c:pt>
                <c:pt idx="11843">
                  <c:v>18.43</c:v>
                </c:pt>
                <c:pt idx="11844">
                  <c:v>18.44</c:v>
                </c:pt>
                <c:pt idx="11845">
                  <c:v>18.45</c:v>
                </c:pt>
                <c:pt idx="11846">
                  <c:v>18.46</c:v>
                </c:pt>
                <c:pt idx="11847">
                  <c:v>18.47</c:v>
                </c:pt>
                <c:pt idx="11848">
                  <c:v>18.48</c:v>
                </c:pt>
                <c:pt idx="11849">
                  <c:v>18.49</c:v>
                </c:pt>
                <c:pt idx="11850">
                  <c:v>18.5</c:v>
                </c:pt>
                <c:pt idx="11851">
                  <c:v>18.51</c:v>
                </c:pt>
                <c:pt idx="11852">
                  <c:v>18.52</c:v>
                </c:pt>
                <c:pt idx="11853">
                  <c:v>18.53</c:v>
                </c:pt>
                <c:pt idx="11854">
                  <c:v>18.54</c:v>
                </c:pt>
                <c:pt idx="11855">
                  <c:v>18.55</c:v>
                </c:pt>
                <c:pt idx="11856">
                  <c:v>18.56</c:v>
                </c:pt>
                <c:pt idx="11857">
                  <c:v>18.57</c:v>
                </c:pt>
                <c:pt idx="11858">
                  <c:v>18.58</c:v>
                </c:pt>
                <c:pt idx="11859">
                  <c:v>18.59</c:v>
                </c:pt>
                <c:pt idx="11860">
                  <c:v>18.6</c:v>
                </c:pt>
                <c:pt idx="11861">
                  <c:v>18.61</c:v>
                </c:pt>
                <c:pt idx="11862">
                  <c:v>18.62</c:v>
                </c:pt>
                <c:pt idx="11863">
                  <c:v>18.63</c:v>
                </c:pt>
                <c:pt idx="11864">
                  <c:v>18.64</c:v>
                </c:pt>
                <c:pt idx="11865">
                  <c:v>18.65</c:v>
                </c:pt>
                <c:pt idx="11866">
                  <c:v>18.66</c:v>
                </c:pt>
                <c:pt idx="11867">
                  <c:v>18.67</c:v>
                </c:pt>
                <c:pt idx="11868">
                  <c:v>18.68</c:v>
                </c:pt>
                <c:pt idx="11869">
                  <c:v>18.69</c:v>
                </c:pt>
                <c:pt idx="11870">
                  <c:v>18.7</c:v>
                </c:pt>
                <c:pt idx="11871">
                  <c:v>18.71</c:v>
                </c:pt>
                <c:pt idx="11872">
                  <c:v>18.72</c:v>
                </c:pt>
                <c:pt idx="11873">
                  <c:v>18.73</c:v>
                </c:pt>
                <c:pt idx="11874">
                  <c:v>18.74</c:v>
                </c:pt>
                <c:pt idx="11875">
                  <c:v>18.75</c:v>
                </c:pt>
                <c:pt idx="11876">
                  <c:v>18.76</c:v>
                </c:pt>
                <c:pt idx="11877">
                  <c:v>18.77</c:v>
                </c:pt>
                <c:pt idx="11878">
                  <c:v>18.78</c:v>
                </c:pt>
                <c:pt idx="11879">
                  <c:v>18.79</c:v>
                </c:pt>
                <c:pt idx="11880">
                  <c:v>18.8</c:v>
                </c:pt>
                <c:pt idx="11881">
                  <c:v>18.81</c:v>
                </c:pt>
                <c:pt idx="11882">
                  <c:v>18.82</c:v>
                </c:pt>
                <c:pt idx="11883">
                  <c:v>18.83</c:v>
                </c:pt>
                <c:pt idx="11884">
                  <c:v>18.84</c:v>
                </c:pt>
                <c:pt idx="11885">
                  <c:v>18.85</c:v>
                </c:pt>
                <c:pt idx="11886">
                  <c:v>18.86</c:v>
                </c:pt>
                <c:pt idx="11887">
                  <c:v>18.87</c:v>
                </c:pt>
                <c:pt idx="11888">
                  <c:v>18.88</c:v>
                </c:pt>
                <c:pt idx="11889">
                  <c:v>18.89</c:v>
                </c:pt>
                <c:pt idx="11890">
                  <c:v>18.9</c:v>
                </c:pt>
                <c:pt idx="11891">
                  <c:v>18.91</c:v>
                </c:pt>
                <c:pt idx="11892">
                  <c:v>18.92</c:v>
                </c:pt>
                <c:pt idx="11893">
                  <c:v>18.93</c:v>
                </c:pt>
                <c:pt idx="11894">
                  <c:v>18.94</c:v>
                </c:pt>
                <c:pt idx="11895">
                  <c:v>18.95</c:v>
                </c:pt>
                <c:pt idx="11896">
                  <c:v>18.96</c:v>
                </c:pt>
                <c:pt idx="11897">
                  <c:v>18.97</c:v>
                </c:pt>
                <c:pt idx="11898">
                  <c:v>18.98</c:v>
                </c:pt>
                <c:pt idx="11899">
                  <c:v>18.99</c:v>
                </c:pt>
                <c:pt idx="11900">
                  <c:v>19.0</c:v>
                </c:pt>
                <c:pt idx="11901">
                  <c:v>19.01</c:v>
                </c:pt>
                <c:pt idx="11902">
                  <c:v>19.02</c:v>
                </c:pt>
                <c:pt idx="11903">
                  <c:v>19.03</c:v>
                </c:pt>
                <c:pt idx="11904">
                  <c:v>19.04</c:v>
                </c:pt>
                <c:pt idx="11905">
                  <c:v>19.05</c:v>
                </c:pt>
                <c:pt idx="11906">
                  <c:v>19.06</c:v>
                </c:pt>
                <c:pt idx="11907">
                  <c:v>19.07</c:v>
                </c:pt>
                <c:pt idx="11908">
                  <c:v>19.08</c:v>
                </c:pt>
                <c:pt idx="11909">
                  <c:v>19.09</c:v>
                </c:pt>
                <c:pt idx="11910">
                  <c:v>19.1</c:v>
                </c:pt>
                <c:pt idx="11911">
                  <c:v>19.11</c:v>
                </c:pt>
                <c:pt idx="11912">
                  <c:v>19.12</c:v>
                </c:pt>
                <c:pt idx="11913">
                  <c:v>19.13</c:v>
                </c:pt>
                <c:pt idx="11914">
                  <c:v>19.14</c:v>
                </c:pt>
                <c:pt idx="11915">
                  <c:v>19.15</c:v>
                </c:pt>
                <c:pt idx="11916">
                  <c:v>19.16</c:v>
                </c:pt>
                <c:pt idx="11917">
                  <c:v>19.17</c:v>
                </c:pt>
                <c:pt idx="11918">
                  <c:v>19.18</c:v>
                </c:pt>
                <c:pt idx="11919">
                  <c:v>19.19</c:v>
                </c:pt>
                <c:pt idx="11920">
                  <c:v>19.2</c:v>
                </c:pt>
                <c:pt idx="11921">
                  <c:v>19.21</c:v>
                </c:pt>
                <c:pt idx="11922">
                  <c:v>19.22</c:v>
                </c:pt>
                <c:pt idx="11923">
                  <c:v>19.23</c:v>
                </c:pt>
                <c:pt idx="11924">
                  <c:v>19.24</c:v>
                </c:pt>
                <c:pt idx="11925">
                  <c:v>19.25</c:v>
                </c:pt>
                <c:pt idx="11926">
                  <c:v>19.26</c:v>
                </c:pt>
                <c:pt idx="11927">
                  <c:v>19.27</c:v>
                </c:pt>
                <c:pt idx="11928">
                  <c:v>19.28</c:v>
                </c:pt>
                <c:pt idx="11929">
                  <c:v>19.29</c:v>
                </c:pt>
                <c:pt idx="11930">
                  <c:v>19.3</c:v>
                </c:pt>
                <c:pt idx="11931">
                  <c:v>19.31</c:v>
                </c:pt>
                <c:pt idx="11932">
                  <c:v>19.32</c:v>
                </c:pt>
                <c:pt idx="11933">
                  <c:v>19.33</c:v>
                </c:pt>
                <c:pt idx="11934">
                  <c:v>19.34</c:v>
                </c:pt>
                <c:pt idx="11935">
                  <c:v>19.35</c:v>
                </c:pt>
                <c:pt idx="11936">
                  <c:v>19.36</c:v>
                </c:pt>
                <c:pt idx="11937">
                  <c:v>19.37</c:v>
                </c:pt>
                <c:pt idx="11938">
                  <c:v>19.38</c:v>
                </c:pt>
                <c:pt idx="11939">
                  <c:v>19.39</c:v>
                </c:pt>
                <c:pt idx="11940">
                  <c:v>19.4</c:v>
                </c:pt>
                <c:pt idx="11941">
                  <c:v>19.41</c:v>
                </c:pt>
                <c:pt idx="11942">
                  <c:v>19.42</c:v>
                </c:pt>
                <c:pt idx="11943">
                  <c:v>19.43</c:v>
                </c:pt>
                <c:pt idx="11944">
                  <c:v>19.44</c:v>
                </c:pt>
                <c:pt idx="11945">
                  <c:v>19.45</c:v>
                </c:pt>
                <c:pt idx="11946">
                  <c:v>19.46</c:v>
                </c:pt>
                <c:pt idx="11947">
                  <c:v>19.47</c:v>
                </c:pt>
                <c:pt idx="11948">
                  <c:v>19.48</c:v>
                </c:pt>
                <c:pt idx="11949">
                  <c:v>19.49</c:v>
                </c:pt>
                <c:pt idx="11950">
                  <c:v>19.5</c:v>
                </c:pt>
                <c:pt idx="11951">
                  <c:v>19.51</c:v>
                </c:pt>
                <c:pt idx="11952">
                  <c:v>19.52</c:v>
                </c:pt>
                <c:pt idx="11953">
                  <c:v>19.53</c:v>
                </c:pt>
                <c:pt idx="11954">
                  <c:v>19.54</c:v>
                </c:pt>
                <c:pt idx="11955">
                  <c:v>19.55</c:v>
                </c:pt>
                <c:pt idx="11956">
                  <c:v>19.56</c:v>
                </c:pt>
                <c:pt idx="11957">
                  <c:v>19.57</c:v>
                </c:pt>
                <c:pt idx="11958">
                  <c:v>19.58</c:v>
                </c:pt>
                <c:pt idx="11959">
                  <c:v>19.59</c:v>
                </c:pt>
                <c:pt idx="11960">
                  <c:v>19.6</c:v>
                </c:pt>
                <c:pt idx="11961">
                  <c:v>19.61</c:v>
                </c:pt>
                <c:pt idx="11962">
                  <c:v>19.62</c:v>
                </c:pt>
                <c:pt idx="11963">
                  <c:v>19.63</c:v>
                </c:pt>
                <c:pt idx="11964">
                  <c:v>19.64</c:v>
                </c:pt>
                <c:pt idx="11965">
                  <c:v>19.65</c:v>
                </c:pt>
                <c:pt idx="11966">
                  <c:v>19.66</c:v>
                </c:pt>
                <c:pt idx="11967">
                  <c:v>19.67</c:v>
                </c:pt>
                <c:pt idx="11968">
                  <c:v>19.68</c:v>
                </c:pt>
                <c:pt idx="11969">
                  <c:v>19.69</c:v>
                </c:pt>
                <c:pt idx="11970">
                  <c:v>19.7</c:v>
                </c:pt>
                <c:pt idx="11971">
                  <c:v>19.71</c:v>
                </c:pt>
                <c:pt idx="11972">
                  <c:v>19.72</c:v>
                </c:pt>
                <c:pt idx="11973">
                  <c:v>19.73</c:v>
                </c:pt>
                <c:pt idx="11974">
                  <c:v>19.74</c:v>
                </c:pt>
                <c:pt idx="11975">
                  <c:v>19.75</c:v>
                </c:pt>
                <c:pt idx="11976">
                  <c:v>19.76</c:v>
                </c:pt>
                <c:pt idx="11977">
                  <c:v>19.77</c:v>
                </c:pt>
                <c:pt idx="11978">
                  <c:v>19.78</c:v>
                </c:pt>
                <c:pt idx="11979">
                  <c:v>19.79</c:v>
                </c:pt>
                <c:pt idx="11980">
                  <c:v>19.8</c:v>
                </c:pt>
                <c:pt idx="11981">
                  <c:v>19.81</c:v>
                </c:pt>
                <c:pt idx="11982">
                  <c:v>19.82</c:v>
                </c:pt>
                <c:pt idx="11983">
                  <c:v>19.83</c:v>
                </c:pt>
                <c:pt idx="11984">
                  <c:v>19.84</c:v>
                </c:pt>
                <c:pt idx="11985">
                  <c:v>19.85</c:v>
                </c:pt>
                <c:pt idx="11986">
                  <c:v>19.86</c:v>
                </c:pt>
                <c:pt idx="11987">
                  <c:v>19.87</c:v>
                </c:pt>
                <c:pt idx="11988">
                  <c:v>19.88</c:v>
                </c:pt>
                <c:pt idx="11989">
                  <c:v>19.89</c:v>
                </c:pt>
                <c:pt idx="11990">
                  <c:v>19.9</c:v>
                </c:pt>
                <c:pt idx="11991">
                  <c:v>19.91</c:v>
                </c:pt>
                <c:pt idx="11992">
                  <c:v>19.92</c:v>
                </c:pt>
                <c:pt idx="11993">
                  <c:v>19.93</c:v>
                </c:pt>
                <c:pt idx="11994">
                  <c:v>19.94</c:v>
                </c:pt>
                <c:pt idx="11995">
                  <c:v>19.95</c:v>
                </c:pt>
                <c:pt idx="11996">
                  <c:v>19.96</c:v>
                </c:pt>
                <c:pt idx="11997">
                  <c:v>19.97</c:v>
                </c:pt>
                <c:pt idx="11998">
                  <c:v>19.98</c:v>
                </c:pt>
                <c:pt idx="11999">
                  <c:v>19.99</c:v>
                </c:pt>
                <c:pt idx="12000">
                  <c:v>20.0</c:v>
                </c:pt>
                <c:pt idx="12001">
                  <c:v>20.01</c:v>
                </c:pt>
                <c:pt idx="12002">
                  <c:v>20.02</c:v>
                </c:pt>
                <c:pt idx="12003">
                  <c:v>20.03</c:v>
                </c:pt>
                <c:pt idx="12004">
                  <c:v>20.04</c:v>
                </c:pt>
                <c:pt idx="12005">
                  <c:v>20.05</c:v>
                </c:pt>
                <c:pt idx="12006">
                  <c:v>20.06</c:v>
                </c:pt>
                <c:pt idx="12007">
                  <c:v>20.07</c:v>
                </c:pt>
                <c:pt idx="12008">
                  <c:v>20.08</c:v>
                </c:pt>
                <c:pt idx="12009">
                  <c:v>20.09</c:v>
                </c:pt>
                <c:pt idx="12010">
                  <c:v>20.1</c:v>
                </c:pt>
                <c:pt idx="12011">
                  <c:v>20.11</c:v>
                </c:pt>
                <c:pt idx="12012">
                  <c:v>20.12</c:v>
                </c:pt>
                <c:pt idx="12013">
                  <c:v>20.13</c:v>
                </c:pt>
                <c:pt idx="12014">
                  <c:v>20.14</c:v>
                </c:pt>
                <c:pt idx="12015">
                  <c:v>20.15</c:v>
                </c:pt>
                <c:pt idx="12016">
                  <c:v>20.16</c:v>
                </c:pt>
                <c:pt idx="12017">
                  <c:v>20.17</c:v>
                </c:pt>
                <c:pt idx="12018">
                  <c:v>20.18</c:v>
                </c:pt>
                <c:pt idx="12019">
                  <c:v>20.19</c:v>
                </c:pt>
                <c:pt idx="12020">
                  <c:v>20.2</c:v>
                </c:pt>
                <c:pt idx="12021">
                  <c:v>20.21</c:v>
                </c:pt>
                <c:pt idx="12022">
                  <c:v>20.22</c:v>
                </c:pt>
                <c:pt idx="12023">
                  <c:v>20.23</c:v>
                </c:pt>
                <c:pt idx="12024">
                  <c:v>20.24</c:v>
                </c:pt>
                <c:pt idx="12025">
                  <c:v>20.25</c:v>
                </c:pt>
                <c:pt idx="12026">
                  <c:v>20.26</c:v>
                </c:pt>
                <c:pt idx="12027">
                  <c:v>20.27</c:v>
                </c:pt>
                <c:pt idx="12028">
                  <c:v>20.28</c:v>
                </c:pt>
                <c:pt idx="12029">
                  <c:v>20.29</c:v>
                </c:pt>
                <c:pt idx="12030">
                  <c:v>20.3</c:v>
                </c:pt>
                <c:pt idx="12031">
                  <c:v>20.31</c:v>
                </c:pt>
                <c:pt idx="12032">
                  <c:v>20.32</c:v>
                </c:pt>
                <c:pt idx="12033">
                  <c:v>20.33</c:v>
                </c:pt>
                <c:pt idx="12034">
                  <c:v>20.34</c:v>
                </c:pt>
                <c:pt idx="12035">
                  <c:v>20.35</c:v>
                </c:pt>
                <c:pt idx="12036">
                  <c:v>20.36</c:v>
                </c:pt>
                <c:pt idx="12037">
                  <c:v>20.37</c:v>
                </c:pt>
                <c:pt idx="12038">
                  <c:v>20.38</c:v>
                </c:pt>
                <c:pt idx="12039">
                  <c:v>20.39</c:v>
                </c:pt>
                <c:pt idx="12040">
                  <c:v>20.4</c:v>
                </c:pt>
                <c:pt idx="12041">
                  <c:v>20.41</c:v>
                </c:pt>
                <c:pt idx="12042">
                  <c:v>20.42</c:v>
                </c:pt>
                <c:pt idx="12043">
                  <c:v>20.43</c:v>
                </c:pt>
                <c:pt idx="12044">
                  <c:v>20.44</c:v>
                </c:pt>
                <c:pt idx="12045">
                  <c:v>20.45</c:v>
                </c:pt>
                <c:pt idx="12046">
                  <c:v>20.46</c:v>
                </c:pt>
                <c:pt idx="12047">
                  <c:v>20.47</c:v>
                </c:pt>
                <c:pt idx="12048">
                  <c:v>20.48</c:v>
                </c:pt>
                <c:pt idx="12049">
                  <c:v>20.49</c:v>
                </c:pt>
                <c:pt idx="12050">
                  <c:v>20.5</c:v>
                </c:pt>
                <c:pt idx="12051">
                  <c:v>20.51</c:v>
                </c:pt>
                <c:pt idx="12052">
                  <c:v>20.52</c:v>
                </c:pt>
                <c:pt idx="12053">
                  <c:v>20.53</c:v>
                </c:pt>
                <c:pt idx="12054">
                  <c:v>20.54</c:v>
                </c:pt>
                <c:pt idx="12055">
                  <c:v>20.55</c:v>
                </c:pt>
                <c:pt idx="12056">
                  <c:v>20.56</c:v>
                </c:pt>
                <c:pt idx="12057">
                  <c:v>20.57</c:v>
                </c:pt>
                <c:pt idx="12058">
                  <c:v>20.58</c:v>
                </c:pt>
                <c:pt idx="12059">
                  <c:v>20.59</c:v>
                </c:pt>
                <c:pt idx="12060">
                  <c:v>20.6</c:v>
                </c:pt>
                <c:pt idx="12061">
                  <c:v>20.61</c:v>
                </c:pt>
                <c:pt idx="12062">
                  <c:v>20.62</c:v>
                </c:pt>
                <c:pt idx="12063">
                  <c:v>20.63</c:v>
                </c:pt>
                <c:pt idx="12064">
                  <c:v>20.64</c:v>
                </c:pt>
                <c:pt idx="12065">
                  <c:v>20.65</c:v>
                </c:pt>
                <c:pt idx="12066">
                  <c:v>20.66</c:v>
                </c:pt>
                <c:pt idx="12067">
                  <c:v>20.67</c:v>
                </c:pt>
                <c:pt idx="12068">
                  <c:v>20.68</c:v>
                </c:pt>
                <c:pt idx="12069">
                  <c:v>20.69</c:v>
                </c:pt>
                <c:pt idx="12070">
                  <c:v>20.7</c:v>
                </c:pt>
                <c:pt idx="12071">
                  <c:v>20.71</c:v>
                </c:pt>
                <c:pt idx="12072">
                  <c:v>20.72</c:v>
                </c:pt>
                <c:pt idx="12073">
                  <c:v>20.73</c:v>
                </c:pt>
                <c:pt idx="12074">
                  <c:v>20.74</c:v>
                </c:pt>
                <c:pt idx="12075">
                  <c:v>20.75</c:v>
                </c:pt>
                <c:pt idx="12076">
                  <c:v>20.76</c:v>
                </c:pt>
                <c:pt idx="12077">
                  <c:v>20.77</c:v>
                </c:pt>
                <c:pt idx="12078">
                  <c:v>20.78</c:v>
                </c:pt>
                <c:pt idx="12079">
                  <c:v>20.79</c:v>
                </c:pt>
                <c:pt idx="12080">
                  <c:v>20.8</c:v>
                </c:pt>
                <c:pt idx="12081">
                  <c:v>20.81</c:v>
                </c:pt>
                <c:pt idx="12082">
                  <c:v>20.82</c:v>
                </c:pt>
                <c:pt idx="12083">
                  <c:v>20.83</c:v>
                </c:pt>
                <c:pt idx="12084">
                  <c:v>20.84</c:v>
                </c:pt>
                <c:pt idx="12085">
                  <c:v>20.85</c:v>
                </c:pt>
                <c:pt idx="12086">
                  <c:v>20.86</c:v>
                </c:pt>
                <c:pt idx="12087">
                  <c:v>20.87</c:v>
                </c:pt>
                <c:pt idx="12088">
                  <c:v>20.88</c:v>
                </c:pt>
                <c:pt idx="12089">
                  <c:v>20.89</c:v>
                </c:pt>
                <c:pt idx="12090">
                  <c:v>20.9</c:v>
                </c:pt>
                <c:pt idx="12091">
                  <c:v>20.91</c:v>
                </c:pt>
                <c:pt idx="12092">
                  <c:v>20.92</c:v>
                </c:pt>
                <c:pt idx="12093">
                  <c:v>20.93</c:v>
                </c:pt>
                <c:pt idx="12094">
                  <c:v>20.94</c:v>
                </c:pt>
                <c:pt idx="12095">
                  <c:v>20.95</c:v>
                </c:pt>
                <c:pt idx="12096">
                  <c:v>20.96</c:v>
                </c:pt>
                <c:pt idx="12097">
                  <c:v>20.97</c:v>
                </c:pt>
                <c:pt idx="12098">
                  <c:v>20.98</c:v>
                </c:pt>
                <c:pt idx="12099">
                  <c:v>20.99</c:v>
                </c:pt>
                <c:pt idx="12100">
                  <c:v>21.0</c:v>
                </c:pt>
                <c:pt idx="12101">
                  <c:v>21.01</c:v>
                </c:pt>
                <c:pt idx="12102">
                  <c:v>21.02</c:v>
                </c:pt>
                <c:pt idx="12103">
                  <c:v>21.03</c:v>
                </c:pt>
                <c:pt idx="12104">
                  <c:v>21.04</c:v>
                </c:pt>
                <c:pt idx="12105">
                  <c:v>21.05</c:v>
                </c:pt>
                <c:pt idx="12106">
                  <c:v>21.06</c:v>
                </c:pt>
                <c:pt idx="12107">
                  <c:v>21.07</c:v>
                </c:pt>
                <c:pt idx="12108">
                  <c:v>21.08</c:v>
                </c:pt>
                <c:pt idx="12109">
                  <c:v>21.09</c:v>
                </c:pt>
                <c:pt idx="12110">
                  <c:v>21.1</c:v>
                </c:pt>
                <c:pt idx="12111">
                  <c:v>21.11</c:v>
                </c:pt>
                <c:pt idx="12112">
                  <c:v>21.12</c:v>
                </c:pt>
                <c:pt idx="12113">
                  <c:v>21.13</c:v>
                </c:pt>
                <c:pt idx="12114">
                  <c:v>21.14</c:v>
                </c:pt>
                <c:pt idx="12115">
                  <c:v>21.15</c:v>
                </c:pt>
                <c:pt idx="12116">
                  <c:v>21.16</c:v>
                </c:pt>
                <c:pt idx="12117">
                  <c:v>21.17</c:v>
                </c:pt>
                <c:pt idx="12118">
                  <c:v>21.18</c:v>
                </c:pt>
                <c:pt idx="12119">
                  <c:v>21.19</c:v>
                </c:pt>
                <c:pt idx="12120">
                  <c:v>21.2</c:v>
                </c:pt>
                <c:pt idx="12121">
                  <c:v>21.21</c:v>
                </c:pt>
                <c:pt idx="12122">
                  <c:v>21.22</c:v>
                </c:pt>
                <c:pt idx="12123">
                  <c:v>21.23</c:v>
                </c:pt>
                <c:pt idx="12124">
                  <c:v>21.24</c:v>
                </c:pt>
                <c:pt idx="12125">
                  <c:v>21.25</c:v>
                </c:pt>
                <c:pt idx="12126">
                  <c:v>21.26</c:v>
                </c:pt>
                <c:pt idx="12127">
                  <c:v>21.27</c:v>
                </c:pt>
                <c:pt idx="12128">
                  <c:v>21.28</c:v>
                </c:pt>
                <c:pt idx="12129">
                  <c:v>21.29</c:v>
                </c:pt>
                <c:pt idx="12130">
                  <c:v>21.3</c:v>
                </c:pt>
                <c:pt idx="12131">
                  <c:v>21.31</c:v>
                </c:pt>
                <c:pt idx="12132">
                  <c:v>21.32</c:v>
                </c:pt>
                <c:pt idx="12133">
                  <c:v>21.33</c:v>
                </c:pt>
                <c:pt idx="12134">
                  <c:v>21.34</c:v>
                </c:pt>
                <c:pt idx="12135">
                  <c:v>21.35</c:v>
                </c:pt>
                <c:pt idx="12136">
                  <c:v>21.36</c:v>
                </c:pt>
                <c:pt idx="12137">
                  <c:v>21.37</c:v>
                </c:pt>
                <c:pt idx="12138">
                  <c:v>21.38</c:v>
                </c:pt>
                <c:pt idx="12139">
                  <c:v>21.39</c:v>
                </c:pt>
                <c:pt idx="12140">
                  <c:v>21.4</c:v>
                </c:pt>
                <c:pt idx="12141">
                  <c:v>21.41</c:v>
                </c:pt>
                <c:pt idx="12142">
                  <c:v>21.42</c:v>
                </c:pt>
                <c:pt idx="12143">
                  <c:v>21.43</c:v>
                </c:pt>
                <c:pt idx="12144">
                  <c:v>21.44</c:v>
                </c:pt>
                <c:pt idx="12145">
                  <c:v>21.45</c:v>
                </c:pt>
                <c:pt idx="12146">
                  <c:v>21.46</c:v>
                </c:pt>
                <c:pt idx="12147">
                  <c:v>21.47</c:v>
                </c:pt>
                <c:pt idx="12148">
                  <c:v>21.48</c:v>
                </c:pt>
                <c:pt idx="12149">
                  <c:v>21.49</c:v>
                </c:pt>
                <c:pt idx="12150">
                  <c:v>21.5</c:v>
                </c:pt>
                <c:pt idx="12151">
                  <c:v>21.51</c:v>
                </c:pt>
                <c:pt idx="12152">
                  <c:v>21.52</c:v>
                </c:pt>
                <c:pt idx="12153">
                  <c:v>21.53</c:v>
                </c:pt>
                <c:pt idx="12154">
                  <c:v>21.54</c:v>
                </c:pt>
                <c:pt idx="12155">
                  <c:v>21.55</c:v>
                </c:pt>
                <c:pt idx="12156">
                  <c:v>21.56</c:v>
                </c:pt>
                <c:pt idx="12157">
                  <c:v>21.57</c:v>
                </c:pt>
                <c:pt idx="12158">
                  <c:v>21.58</c:v>
                </c:pt>
                <c:pt idx="12159">
                  <c:v>21.59</c:v>
                </c:pt>
                <c:pt idx="12160">
                  <c:v>21.6</c:v>
                </c:pt>
                <c:pt idx="12161">
                  <c:v>21.61</c:v>
                </c:pt>
                <c:pt idx="12162">
                  <c:v>21.62</c:v>
                </c:pt>
                <c:pt idx="12163">
                  <c:v>21.63</c:v>
                </c:pt>
                <c:pt idx="12164">
                  <c:v>21.64</c:v>
                </c:pt>
                <c:pt idx="12165">
                  <c:v>21.65</c:v>
                </c:pt>
                <c:pt idx="12166">
                  <c:v>21.66</c:v>
                </c:pt>
                <c:pt idx="12167">
                  <c:v>21.67</c:v>
                </c:pt>
                <c:pt idx="12168">
                  <c:v>21.68</c:v>
                </c:pt>
                <c:pt idx="12169">
                  <c:v>21.69</c:v>
                </c:pt>
                <c:pt idx="12170">
                  <c:v>21.7</c:v>
                </c:pt>
                <c:pt idx="12171">
                  <c:v>21.71</c:v>
                </c:pt>
                <c:pt idx="12172">
                  <c:v>21.72</c:v>
                </c:pt>
                <c:pt idx="12173">
                  <c:v>21.73</c:v>
                </c:pt>
                <c:pt idx="12174">
                  <c:v>21.74</c:v>
                </c:pt>
                <c:pt idx="12175">
                  <c:v>21.75</c:v>
                </c:pt>
                <c:pt idx="12176">
                  <c:v>21.76</c:v>
                </c:pt>
                <c:pt idx="12177">
                  <c:v>21.77</c:v>
                </c:pt>
                <c:pt idx="12178">
                  <c:v>21.78</c:v>
                </c:pt>
                <c:pt idx="12179">
                  <c:v>21.79</c:v>
                </c:pt>
                <c:pt idx="12180">
                  <c:v>21.8</c:v>
                </c:pt>
                <c:pt idx="12181">
                  <c:v>21.81</c:v>
                </c:pt>
                <c:pt idx="12182">
                  <c:v>21.82</c:v>
                </c:pt>
                <c:pt idx="12183">
                  <c:v>21.83</c:v>
                </c:pt>
                <c:pt idx="12184">
                  <c:v>21.84</c:v>
                </c:pt>
                <c:pt idx="12185">
                  <c:v>21.85</c:v>
                </c:pt>
                <c:pt idx="12186">
                  <c:v>21.86</c:v>
                </c:pt>
                <c:pt idx="12187">
                  <c:v>21.87</c:v>
                </c:pt>
                <c:pt idx="12188">
                  <c:v>21.88</c:v>
                </c:pt>
                <c:pt idx="12189">
                  <c:v>21.89</c:v>
                </c:pt>
                <c:pt idx="12190">
                  <c:v>21.9</c:v>
                </c:pt>
                <c:pt idx="12191">
                  <c:v>21.91</c:v>
                </c:pt>
                <c:pt idx="12192">
                  <c:v>21.92</c:v>
                </c:pt>
                <c:pt idx="12193">
                  <c:v>21.93</c:v>
                </c:pt>
                <c:pt idx="12194">
                  <c:v>21.94</c:v>
                </c:pt>
                <c:pt idx="12195">
                  <c:v>21.95</c:v>
                </c:pt>
                <c:pt idx="12196">
                  <c:v>21.96</c:v>
                </c:pt>
                <c:pt idx="12197">
                  <c:v>21.97</c:v>
                </c:pt>
                <c:pt idx="12198">
                  <c:v>21.98</c:v>
                </c:pt>
                <c:pt idx="12199">
                  <c:v>21.99</c:v>
                </c:pt>
                <c:pt idx="12200">
                  <c:v>22.0</c:v>
                </c:pt>
                <c:pt idx="12201">
                  <c:v>22.01</c:v>
                </c:pt>
                <c:pt idx="12202">
                  <c:v>22.02</c:v>
                </c:pt>
                <c:pt idx="12203">
                  <c:v>22.03</c:v>
                </c:pt>
                <c:pt idx="12204">
                  <c:v>22.04</c:v>
                </c:pt>
                <c:pt idx="12205">
                  <c:v>22.05</c:v>
                </c:pt>
                <c:pt idx="12206">
                  <c:v>22.06</c:v>
                </c:pt>
                <c:pt idx="12207">
                  <c:v>22.07</c:v>
                </c:pt>
                <c:pt idx="12208">
                  <c:v>22.08</c:v>
                </c:pt>
                <c:pt idx="12209">
                  <c:v>22.09</c:v>
                </c:pt>
                <c:pt idx="12210">
                  <c:v>22.1</c:v>
                </c:pt>
                <c:pt idx="12211">
                  <c:v>22.11</c:v>
                </c:pt>
                <c:pt idx="12212">
                  <c:v>22.12</c:v>
                </c:pt>
                <c:pt idx="12213">
                  <c:v>22.13</c:v>
                </c:pt>
                <c:pt idx="12214">
                  <c:v>22.14</c:v>
                </c:pt>
                <c:pt idx="12215">
                  <c:v>22.15</c:v>
                </c:pt>
                <c:pt idx="12216">
                  <c:v>22.16</c:v>
                </c:pt>
                <c:pt idx="12217">
                  <c:v>22.17</c:v>
                </c:pt>
                <c:pt idx="12218">
                  <c:v>22.18</c:v>
                </c:pt>
                <c:pt idx="12219">
                  <c:v>22.19</c:v>
                </c:pt>
                <c:pt idx="12220">
                  <c:v>22.2</c:v>
                </c:pt>
                <c:pt idx="12221">
                  <c:v>22.21</c:v>
                </c:pt>
                <c:pt idx="12222">
                  <c:v>22.22</c:v>
                </c:pt>
                <c:pt idx="12223">
                  <c:v>22.23</c:v>
                </c:pt>
                <c:pt idx="12224">
                  <c:v>22.24</c:v>
                </c:pt>
                <c:pt idx="12225">
                  <c:v>22.25</c:v>
                </c:pt>
                <c:pt idx="12226">
                  <c:v>22.26</c:v>
                </c:pt>
                <c:pt idx="12227">
                  <c:v>22.27</c:v>
                </c:pt>
                <c:pt idx="12228">
                  <c:v>22.28</c:v>
                </c:pt>
                <c:pt idx="12229">
                  <c:v>22.29</c:v>
                </c:pt>
                <c:pt idx="12230">
                  <c:v>22.3</c:v>
                </c:pt>
                <c:pt idx="12231">
                  <c:v>22.31</c:v>
                </c:pt>
                <c:pt idx="12232">
                  <c:v>22.32</c:v>
                </c:pt>
                <c:pt idx="12233">
                  <c:v>22.33</c:v>
                </c:pt>
                <c:pt idx="12234">
                  <c:v>22.34</c:v>
                </c:pt>
                <c:pt idx="12235">
                  <c:v>22.35</c:v>
                </c:pt>
                <c:pt idx="12236">
                  <c:v>22.36</c:v>
                </c:pt>
                <c:pt idx="12237">
                  <c:v>22.37</c:v>
                </c:pt>
                <c:pt idx="12238">
                  <c:v>22.38</c:v>
                </c:pt>
                <c:pt idx="12239">
                  <c:v>22.39</c:v>
                </c:pt>
                <c:pt idx="12240">
                  <c:v>22.4</c:v>
                </c:pt>
                <c:pt idx="12241">
                  <c:v>22.41</c:v>
                </c:pt>
                <c:pt idx="12242">
                  <c:v>22.42</c:v>
                </c:pt>
                <c:pt idx="12243">
                  <c:v>22.43</c:v>
                </c:pt>
                <c:pt idx="12244">
                  <c:v>22.44</c:v>
                </c:pt>
                <c:pt idx="12245">
                  <c:v>22.45</c:v>
                </c:pt>
                <c:pt idx="12246">
                  <c:v>22.46</c:v>
                </c:pt>
                <c:pt idx="12247">
                  <c:v>22.47</c:v>
                </c:pt>
                <c:pt idx="12248">
                  <c:v>22.48</c:v>
                </c:pt>
                <c:pt idx="12249">
                  <c:v>22.49</c:v>
                </c:pt>
                <c:pt idx="12250">
                  <c:v>22.5</c:v>
                </c:pt>
                <c:pt idx="12251">
                  <c:v>22.51</c:v>
                </c:pt>
                <c:pt idx="12252">
                  <c:v>22.52</c:v>
                </c:pt>
                <c:pt idx="12253">
                  <c:v>22.53</c:v>
                </c:pt>
                <c:pt idx="12254">
                  <c:v>22.54</c:v>
                </c:pt>
                <c:pt idx="12255">
                  <c:v>22.55</c:v>
                </c:pt>
                <c:pt idx="12256">
                  <c:v>22.56</c:v>
                </c:pt>
                <c:pt idx="12257">
                  <c:v>22.57</c:v>
                </c:pt>
                <c:pt idx="12258">
                  <c:v>22.58</c:v>
                </c:pt>
                <c:pt idx="12259">
                  <c:v>22.59</c:v>
                </c:pt>
                <c:pt idx="12260">
                  <c:v>22.6</c:v>
                </c:pt>
                <c:pt idx="12261">
                  <c:v>22.61</c:v>
                </c:pt>
                <c:pt idx="12262">
                  <c:v>22.62</c:v>
                </c:pt>
                <c:pt idx="12263">
                  <c:v>22.63</c:v>
                </c:pt>
                <c:pt idx="12264">
                  <c:v>22.64</c:v>
                </c:pt>
                <c:pt idx="12265">
                  <c:v>22.65</c:v>
                </c:pt>
                <c:pt idx="12266">
                  <c:v>22.66</c:v>
                </c:pt>
                <c:pt idx="12267">
                  <c:v>22.67</c:v>
                </c:pt>
                <c:pt idx="12268">
                  <c:v>22.68</c:v>
                </c:pt>
                <c:pt idx="12269">
                  <c:v>22.69</c:v>
                </c:pt>
                <c:pt idx="12270">
                  <c:v>22.7</c:v>
                </c:pt>
                <c:pt idx="12271">
                  <c:v>22.71</c:v>
                </c:pt>
                <c:pt idx="12272">
                  <c:v>22.72</c:v>
                </c:pt>
                <c:pt idx="12273">
                  <c:v>22.73</c:v>
                </c:pt>
                <c:pt idx="12274">
                  <c:v>22.74</c:v>
                </c:pt>
                <c:pt idx="12275">
                  <c:v>22.75</c:v>
                </c:pt>
                <c:pt idx="12276">
                  <c:v>22.76</c:v>
                </c:pt>
                <c:pt idx="12277">
                  <c:v>22.77</c:v>
                </c:pt>
                <c:pt idx="12278">
                  <c:v>22.78</c:v>
                </c:pt>
                <c:pt idx="12279">
                  <c:v>22.79</c:v>
                </c:pt>
                <c:pt idx="12280">
                  <c:v>22.8</c:v>
                </c:pt>
                <c:pt idx="12281">
                  <c:v>22.81</c:v>
                </c:pt>
                <c:pt idx="12282">
                  <c:v>22.82</c:v>
                </c:pt>
                <c:pt idx="12283">
                  <c:v>22.83</c:v>
                </c:pt>
                <c:pt idx="12284">
                  <c:v>22.84</c:v>
                </c:pt>
                <c:pt idx="12285">
                  <c:v>22.85</c:v>
                </c:pt>
                <c:pt idx="12286">
                  <c:v>22.86</c:v>
                </c:pt>
                <c:pt idx="12287">
                  <c:v>22.87</c:v>
                </c:pt>
                <c:pt idx="12288">
                  <c:v>22.88</c:v>
                </c:pt>
                <c:pt idx="12289">
                  <c:v>22.89</c:v>
                </c:pt>
                <c:pt idx="12290">
                  <c:v>22.9</c:v>
                </c:pt>
                <c:pt idx="12291">
                  <c:v>22.91</c:v>
                </c:pt>
                <c:pt idx="12292">
                  <c:v>22.92</c:v>
                </c:pt>
                <c:pt idx="12293">
                  <c:v>22.93</c:v>
                </c:pt>
                <c:pt idx="12294">
                  <c:v>22.94</c:v>
                </c:pt>
                <c:pt idx="12295">
                  <c:v>22.95</c:v>
                </c:pt>
                <c:pt idx="12296">
                  <c:v>22.96</c:v>
                </c:pt>
                <c:pt idx="12297">
                  <c:v>22.97</c:v>
                </c:pt>
                <c:pt idx="12298">
                  <c:v>22.98</c:v>
                </c:pt>
                <c:pt idx="12299">
                  <c:v>22.99</c:v>
                </c:pt>
                <c:pt idx="12300">
                  <c:v>23.0</c:v>
                </c:pt>
                <c:pt idx="12301">
                  <c:v>23.01</c:v>
                </c:pt>
                <c:pt idx="12302">
                  <c:v>23.02</c:v>
                </c:pt>
                <c:pt idx="12303">
                  <c:v>23.03</c:v>
                </c:pt>
                <c:pt idx="12304">
                  <c:v>23.04</c:v>
                </c:pt>
                <c:pt idx="12305">
                  <c:v>23.05</c:v>
                </c:pt>
                <c:pt idx="12306">
                  <c:v>23.06</c:v>
                </c:pt>
                <c:pt idx="12307">
                  <c:v>23.07</c:v>
                </c:pt>
                <c:pt idx="12308">
                  <c:v>23.08</c:v>
                </c:pt>
                <c:pt idx="12309">
                  <c:v>23.09</c:v>
                </c:pt>
                <c:pt idx="12310">
                  <c:v>23.1</c:v>
                </c:pt>
                <c:pt idx="12311">
                  <c:v>23.11</c:v>
                </c:pt>
                <c:pt idx="12312">
                  <c:v>23.12</c:v>
                </c:pt>
                <c:pt idx="12313">
                  <c:v>23.13</c:v>
                </c:pt>
                <c:pt idx="12314">
                  <c:v>23.14</c:v>
                </c:pt>
                <c:pt idx="12315">
                  <c:v>23.15</c:v>
                </c:pt>
                <c:pt idx="12316">
                  <c:v>23.16</c:v>
                </c:pt>
                <c:pt idx="12317">
                  <c:v>23.17</c:v>
                </c:pt>
                <c:pt idx="12318">
                  <c:v>23.18</c:v>
                </c:pt>
                <c:pt idx="12319">
                  <c:v>23.19</c:v>
                </c:pt>
                <c:pt idx="12320">
                  <c:v>23.2</c:v>
                </c:pt>
                <c:pt idx="12321">
                  <c:v>23.21</c:v>
                </c:pt>
                <c:pt idx="12322">
                  <c:v>23.22</c:v>
                </c:pt>
                <c:pt idx="12323">
                  <c:v>23.23</c:v>
                </c:pt>
                <c:pt idx="12324">
                  <c:v>23.24</c:v>
                </c:pt>
                <c:pt idx="12325">
                  <c:v>23.25</c:v>
                </c:pt>
                <c:pt idx="12326">
                  <c:v>23.26</c:v>
                </c:pt>
                <c:pt idx="12327">
                  <c:v>23.27</c:v>
                </c:pt>
                <c:pt idx="12328">
                  <c:v>23.28</c:v>
                </c:pt>
                <c:pt idx="12329">
                  <c:v>23.29</c:v>
                </c:pt>
                <c:pt idx="12330">
                  <c:v>23.3</c:v>
                </c:pt>
                <c:pt idx="12331">
                  <c:v>23.31</c:v>
                </c:pt>
                <c:pt idx="12332">
                  <c:v>23.32</c:v>
                </c:pt>
                <c:pt idx="12333">
                  <c:v>23.33</c:v>
                </c:pt>
                <c:pt idx="12334">
                  <c:v>23.34</c:v>
                </c:pt>
                <c:pt idx="12335">
                  <c:v>23.35</c:v>
                </c:pt>
                <c:pt idx="12336">
                  <c:v>23.36</c:v>
                </c:pt>
                <c:pt idx="12337">
                  <c:v>23.37</c:v>
                </c:pt>
                <c:pt idx="12338">
                  <c:v>23.38</c:v>
                </c:pt>
                <c:pt idx="12339">
                  <c:v>23.39</c:v>
                </c:pt>
                <c:pt idx="12340">
                  <c:v>23.4</c:v>
                </c:pt>
                <c:pt idx="12341">
                  <c:v>23.41</c:v>
                </c:pt>
                <c:pt idx="12342">
                  <c:v>23.42</c:v>
                </c:pt>
                <c:pt idx="12343">
                  <c:v>23.43</c:v>
                </c:pt>
                <c:pt idx="12344">
                  <c:v>23.44</c:v>
                </c:pt>
                <c:pt idx="12345">
                  <c:v>23.45</c:v>
                </c:pt>
                <c:pt idx="12346">
                  <c:v>23.46</c:v>
                </c:pt>
                <c:pt idx="12347">
                  <c:v>23.47</c:v>
                </c:pt>
                <c:pt idx="12348">
                  <c:v>23.48</c:v>
                </c:pt>
                <c:pt idx="12349">
                  <c:v>23.49</c:v>
                </c:pt>
                <c:pt idx="12350">
                  <c:v>23.5</c:v>
                </c:pt>
                <c:pt idx="12351">
                  <c:v>23.51</c:v>
                </c:pt>
                <c:pt idx="12352">
                  <c:v>23.52</c:v>
                </c:pt>
                <c:pt idx="12353">
                  <c:v>23.53</c:v>
                </c:pt>
                <c:pt idx="12354">
                  <c:v>23.54</c:v>
                </c:pt>
                <c:pt idx="12355">
                  <c:v>23.55</c:v>
                </c:pt>
                <c:pt idx="12356">
                  <c:v>23.56</c:v>
                </c:pt>
                <c:pt idx="12357">
                  <c:v>23.57</c:v>
                </c:pt>
                <c:pt idx="12358">
                  <c:v>23.58</c:v>
                </c:pt>
                <c:pt idx="12359">
                  <c:v>23.59</c:v>
                </c:pt>
                <c:pt idx="12360">
                  <c:v>23.6</c:v>
                </c:pt>
                <c:pt idx="12361">
                  <c:v>23.61</c:v>
                </c:pt>
                <c:pt idx="12362">
                  <c:v>23.62</c:v>
                </c:pt>
                <c:pt idx="12363">
                  <c:v>23.63</c:v>
                </c:pt>
                <c:pt idx="12364">
                  <c:v>23.64</c:v>
                </c:pt>
                <c:pt idx="12365">
                  <c:v>23.65</c:v>
                </c:pt>
                <c:pt idx="12366">
                  <c:v>23.66</c:v>
                </c:pt>
                <c:pt idx="12367">
                  <c:v>23.67</c:v>
                </c:pt>
                <c:pt idx="12368">
                  <c:v>23.68</c:v>
                </c:pt>
                <c:pt idx="12369">
                  <c:v>23.69</c:v>
                </c:pt>
                <c:pt idx="12370">
                  <c:v>23.7</c:v>
                </c:pt>
                <c:pt idx="12371">
                  <c:v>23.71</c:v>
                </c:pt>
                <c:pt idx="12372">
                  <c:v>23.72</c:v>
                </c:pt>
                <c:pt idx="12373">
                  <c:v>23.73</c:v>
                </c:pt>
                <c:pt idx="12374">
                  <c:v>23.74</c:v>
                </c:pt>
                <c:pt idx="12375">
                  <c:v>23.75</c:v>
                </c:pt>
                <c:pt idx="12376">
                  <c:v>23.76</c:v>
                </c:pt>
                <c:pt idx="12377">
                  <c:v>23.77</c:v>
                </c:pt>
                <c:pt idx="12378">
                  <c:v>23.78</c:v>
                </c:pt>
                <c:pt idx="12379">
                  <c:v>23.79</c:v>
                </c:pt>
                <c:pt idx="12380">
                  <c:v>23.8</c:v>
                </c:pt>
                <c:pt idx="12381">
                  <c:v>23.81</c:v>
                </c:pt>
                <c:pt idx="12382">
                  <c:v>23.82</c:v>
                </c:pt>
                <c:pt idx="12383">
                  <c:v>23.83</c:v>
                </c:pt>
                <c:pt idx="12384">
                  <c:v>23.84</c:v>
                </c:pt>
                <c:pt idx="12385">
                  <c:v>23.85</c:v>
                </c:pt>
                <c:pt idx="12386">
                  <c:v>23.86</c:v>
                </c:pt>
                <c:pt idx="12387">
                  <c:v>23.87</c:v>
                </c:pt>
                <c:pt idx="12388">
                  <c:v>23.88</c:v>
                </c:pt>
                <c:pt idx="12389">
                  <c:v>23.89</c:v>
                </c:pt>
                <c:pt idx="12390">
                  <c:v>23.9</c:v>
                </c:pt>
                <c:pt idx="12391">
                  <c:v>23.91</c:v>
                </c:pt>
                <c:pt idx="12392">
                  <c:v>23.92</c:v>
                </c:pt>
                <c:pt idx="12393">
                  <c:v>23.93</c:v>
                </c:pt>
                <c:pt idx="12394">
                  <c:v>23.94</c:v>
                </c:pt>
                <c:pt idx="12395">
                  <c:v>23.95</c:v>
                </c:pt>
                <c:pt idx="12396">
                  <c:v>23.96</c:v>
                </c:pt>
                <c:pt idx="12397">
                  <c:v>23.97</c:v>
                </c:pt>
                <c:pt idx="12398">
                  <c:v>23.98</c:v>
                </c:pt>
                <c:pt idx="12399">
                  <c:v>23.99</c:v>
                </c:pt>
                <c:pt idx="12400">
                  <c:v>24.0</c:v>
                </c:pt>
                <c:pt idx="12401">
                  <c:v>24.01</c:v>
                </c:pt>
                <c:pt idx="12402">
                  <c:v>24.02</c:v>
                </c:pt>
                <c:pt idx="12403">
                  <c:v>24.03</c:v>
                </c:pt>
                <c:pt idx="12404">
                  <c:v>24.04</c:v>
                </c:pt>
                <c:pt idx="12405">
                  <c:v>24.05</c:v>
                </c:pt>
                <c:pt idx="12406">
                  <c:v>24.06</c:v>
                </c:pt>
                <c:pt idx="12407">
                  <c:v>24.07</c:v>
                </c:pt>
                <c:pt idx="12408">
                  <c:v>24.08</c:v>
                </c:pt>
                <c:pt idx="12409">
                  <c:v>24.09</c:v>
                </c:pt>
                <c:pt idx="12410">
                  <c:v>24.1</c:v>
                </c:pt>
                <c:pt idx="12411">
                  <c:v>24.11</c:v>
                </c:pt>
                <c:pt idx="12412">
                  <c:v>24.12</c:v>
                </c:pt>
                <c:pt idx="12413">
                  <c:v>24.13</c:v>
                </c:pt>
                <c:pt idx="12414">
                  <c:v>24.14</c:v>
                </c:pt>
                <c:pt idx="12415">
                  <c:v>24.15</c:v>
                </c:pt>
                <c:pt idx="12416">
                  <c:v>24.16</c:v>
                </c:pt>
                <c:pt idx="12417">
                  <c:v>24.17</c:v>
                </c:pt>
                <c:pt idx="12418">
                  <c:v>24.18</c:v>
                </c:pt>
                <c:pt idx="12419">
                  <c:v>24.19</c:v>
                </c:pt>
                <c:pt idx="12420">
                  <c:v>24.2</c:v>
                </c:pt>
                <c:pt idx="12421">
                  <c:v>24.21</c:v>
                </c:pt>
                <c:pt idx="12422">
                  <c:v>24.22</c:v>
                </c:pt>
                <c:pt idx="12423">
                  <c:v>24.23</c:v>
                </c:pt>
                <c:pt idx="12424">
                  <c:v>24.24</c:v>
                </c:pt>
                <c:pt idx="12425">
                  <c:v>24.25</c:v>
                </c:pt>
                <c:pt idx="12426">
                  <c:v>24.26</c:v>
                </c:pt>
                <c:pt idx="12427">
                  <c:v>24.27</c:v>
                </c:pt>
                <c:pt idx="12428">
                  <c:v>24.28</c:v>
                </c:pt>
                <c:pt idx="12429">
                  <c:v>24.29</c:v>
                </c:pt>
                <c:pt idx="12430">
                  <c:v>24.3</c:v>
                </c:pt>
                <c:pt idx="12431">
                  <c:v>24.31</c:v>
                </c:pt>
                <c:pt idx="12432">
                  <c:v>24.32</c:v>
                </c:pt>
                <c:pt idx="12433">
                  <c:v>24.33</c:v>
                </c:pt>
                <c:pt idx="12434">
                  <c:v>24.34</c:v>
                </c:pt>
                <c:pt idx="12435">
                  <c:v>24.35</c:v>
                </c:pt>
                <c:pt idx="12436">
                  <c:v>24.36</c:v>
                </c:pt>
                <c:pt idx="12437">
                  <c:v>24.37</c:v>
                </c:pt>
                <c:pt idx="12438">
                  <c:v>24.38</c:v>
                </c:pt>
                <c:pt idx="12439">
                  <c:v>24.39</c:v>
                </c:pt>
                <c:pt idx="12440">
                  <c:v>24.4</c:v>
                </c:pt>
                <c:pt idx="12441">
                  <c:v>24.41</c:v>
                </c:pt>
                <c:pt idx="12442">
                  <c:v>24.42</c:v>
                </c:pt>
                <c:pt idx="12443">
                  <c:v>24.43</c:v>
                </c:pt>
                <c:pt idx="12444">
                  <c:v>24.44</c:v>
                </c:pt>
                <c:pt idx="12445">
                  <c:v>24.45</c:v>
                </c:pt>
                <c:pt idx="12446">
                  <c:v>24.46</c:v>
                </c:pt>
                <c:pt idx="12447">
                  <c:v>24.47</c:v>
                </c:pt>
                <c:pt idx="12448">
                  <c:v>24.48</c:v>
                </c:pt>
                <c:pt idx="12449">
                  <c:v>24.49</c:v>
                </c:pt>
                <c:pt idx="12450">
                  <c:v>24.5</c:v>
                </c:pt>
                <c:pt idx="12451">
                  <c:v>24.51</c:v>
                </c:pt>
                <c:pt idx="12452">
                  <c:v>24.52</c:v>
                </c:pt>
                <c:pt idx="12453">
                  <c:v>24.53</c:v>
                </c:pt>
                <c:pt idx="12454">
                  <c:v>24.54</c:v>
                </c:pt>
                <c:pt idx="12455">
                  <c:v>24.55</c:v>
                </c:pt>
                <c:pt idx="12456">
                  <c:v>24.56</c:v>
                </c:pt>
                <c:pt idx="12457">
                  <c:v>24.57</c:v>
                </c:pt>
                <c:pt idx="12458">
                  <c:v>24.58</c:v>
                </c:pt>
                <c:pt idx="12459">
                  <c:v>24.59</c:v>
                </c:pt>
                <c:pt idx="12460">
                  <c:v>24.6</c:v>
                </c:pt>
                <c:pt idx="12461">
                  <c:v>24.61</c:v>
                </c:pt>
                <c:pt idx="12462">
                  <c:v>24.62</c:v>
                </c:pt>
                <c:pt idx="12463">
                  <c:v>24.63</c:v>
                </c:pt>
                <c:pt idx="12464">
                  <c:v>24.64</c:v>
                </c:pt>
                <c:pt idx="12465">
                  <c:v>24.65</c:v>
                </c:pt>
                <c:pt idx="12466">
                  <c:v>24.66</c:v>
                </c:pt>
                <c:pt idx="12467">
                  <c:v>24.67</c:v>
                </c:pt>
                <c:pt idx="12468">
                  <c:v>24.68</c:v>
                </c:pt>
                <c:pt idx="12469">
                  <c:v>24.69</c:v>
                </c:pt>
                <c:pt idx="12470">
                  <c:v>24.7</c:v>
                </c:pt>
                <c:pt idx="12471">
                  <c:v>24.71</c:v>
                </c:pt>
                <c:pt idx="12472">
                  <c:v>24.72</c:v>
                </c:pt>
                <c:pt idx="12473">
                  <c:v>24.73</c:v>
                </c:pt>
                <c:pt idx="12474">
                  <c:v>24.74</c:v>
                </c:pt>
                <c:pt idx="12475">
                  <c:v>24.75</c:v>
                </c:pt>
                <c:pt idx="12476">
                  <c:v>24.76</c:v>
                </c:pt>
                <c:pt idx="12477">
                  <c:v>24.77</c:v>
                </c:pt>
                <c:pt idx="12478">
                  <c:v>24.78</c:v>
                </c:pt>
                <c:pt idx="12479">
                  <c:v>24.79</c:v>
                </c:pt>
                <c:pt idx="12480">
                  <c:v>24.8</c:v>
                </c:pt>
                <c:pt idx="12481">
                  <c:v>24.81</c:v>
                </c:pt>
                <c:pt idx="12482">
                  <c:v>24.82</c:v>
                </c:pt>
                <c:pt idx="12483">
                  <c:v>24.83</c:v>
                </c:pt>
                <c:pt idx="12484">
                  <c:v>24.84</c:v>
                </c:pt>
                <c:pt idx="12485">
                  <c:v>24.85</c:v>
                </c:pt>
                <c:pt idx="12486">
                  <c:v>24.86</c:v>
                </c:pt>
                <c:pt idx="12487">
                  <c:v>24.87</c:v>
                </c:pt>
                <c:pt idx="12488">
                  <c:v>24.88</c:v>
                </c:pt>
                <c:pt idx="12489">
                  <c:v>24.89</c:v>
                </c:pt>
                <c:pt idx="12490">
                  <c:v>24.9</c:v>
                </c:pt>
                <c:pt idx="12491">
                  <c:v>24.91</c:v>
                </c:pt>
                <c:pt idx="12492">
                  <c:v>24.92</c:v>
                </c:pt>
                <c:pt idx="12493">
                  <c:v>24.93</c:v>
                </c:pt>
                <c:pt idx="12494">
                  <c:v>24.94</c:v>
                </c:pt>
                <c:pt idx="12495">
                  <c:v>24.95</c:v>
                </c:pt>
                <c:pt idx="12496">
                  <c:v>24.96</c:v>
                </c:pt>
                <c:pt idx="12497">
                  <c:v>24.97</c:v>
                </c:pt>
                <c:pt idx="12498">
                  <c:v>24.98</c:v>
                </c:pt>
                <c:pt idx="12499">
                  <c:v>24.99</c:v>
                </c:pt>
                <c:pt idx="12500">
                  <c:v>25.0</c:v>
                </c:pt>
                <c:pt idx="12501">
                  <c:v>25.01</c:v>
                </c:pt>
                <c:pt idx="12502">
                  <c:v>25.02</c:v>
                </c:pt>
                <c:pt idx="12503">
                  <c:v>25.03</c:v>
                </c:pt>
                <c:pt idx="12504">
                  <c:v>25.04</c:v>
                </c:pt>
                <c:pt idx="12505">
                  <c:v>25.05</c:v>
                </c:pt>
                <c:pt idx="12506">
                  <c:v>25.06</c:v>
                </c:pt>
                <c:pt idx="12507">
                  <c:v>25.07</c:v>
                </c:pt>
                <c:pt idx="12508">
                  <c:v>25.08</c:v>
                </c:pt>
                <c:pt idx="12509">
                  <c:v>25.09</c:v>
                </c:pt>
                <c:pt idx="12510">
                  <c:v>25.1</c:v>
                </c:pt>
                <c:pt idx="12511">
                  <c:v>25.11</c:v>
                </c:pt>
                <c:pt idx="12512">
                  <c:v>25.12</c:v>
                </c:pt>
                <c:pt idx="12513">
                  <c:v>25.13</c:v>
                </c:pt>
                <c:pt idx="12514">
                  <c:v>25.14</c:v>
                </c:pt>
                <c:pt idx="12515">
                  <c:v>25.15</c:v>
                </c:pt>
                <c:pt idx="12516">
                  <c:v>25.16</c:v>
                </c:pt>
                <c:pt idx="12517">
                  <c:v>25.17</c:v>
                </c:pt>
                <c:pt idx="12518">
                  <c:v>25.18</c:v>
                </c:pt>
                <c:pt idx="12519">
                  <c:v>25.19</c:v>
                </c:pt>
                <c:pt idx="12520">
                  <c:v>25.2</c:v>
                </c:pt>
                <c:pt idx="12521">
                  <c:v>25.21</c:v>
                </c:pt>
                <c:pt idx="12522">
                  <c:v>25.22</c:v>
                </c:pt>
                <c:pt idx="12523">
                  <c:v>25.23</c:v>
                </c:pt>
                <c:pt idx="12524">
                  <c:v>25.24</c:v>
                </c:pt>
                <c:pt idx="12525">
                  <c:v>25.25</c:v>
                </c:pt>
                <c:pt idx="12526">
                  <c:v>25.26</c:v>
                </c:pt>
                <c:pt idx="12527">
                  <c:v>25.27</c:v>
                </c:pt>
                <c:pt idx="12528">
                  <c:v>25.28</c:v>
                </c:pt>
                <c:pt idx="12529">
                  <c:v>25.29</c:v>
                </c:pt>
                <c:pt idx="12530">
                  <c:v>25.3</c:v>
                </c:pt>
                <c:pt idx="12531">
                  <c:v>25.31</c:v>
                </c:pt>
                <c:pt idx="12532">
                  <c:v>25.32</c:v>
                </c:pt>
                <c:pt idx="12533">
                  <c:v>25.33</c:v>
                </c:pt>
                <c:pt idx="12534">
                  <c:v>25.34</c:v>
                </c:pt>
                <c:pt idx="12535">
                  <c:v>25.35</c:v>
                </c:pt>
                <c:pt idx="12536">
                  <c:v>25.36</c:v>
                </c:pt>
                <c:pt idx="12537">
                  <c:v>25.37</c:v>
                </c:pt>
                <c:pt idx="12538">
                  <c:v>25.38</c:v>
                </c:pt>
                <c:pt idx="12539">
                  <c:v>25.39</c:v>
                </c:pt>
                <c:pt idx="12540">
                  <c:v>25.4</c:v>
                </c:pt>
                <c:pt idx="12541">
                  <c:v>25.41</c:v>
                </c:pt>
                <c:pt idx="12542">
                  <c:v>25.42</c:v>
                </c:pt>
                <c:pt idx="12543">
                  <c:v>25.43</c:v>
                </c:pt>
                <c:pt idx="12544">
                  <c:v>25.44</c:v>
                </c:pt>
                <c:pt idx="12545">
                  <c:v>25.45</c:v>
                </c:pt>
                <c:pt idx="12546">
                  <c:v>25.46</c:v>
                </c:pt>
                <c:pt idx="12547">
                  <c:v>25.47</c:v>
                </c:pt>
                <c:pt idx="12548">
                  <c:v>25.48</c:v>
                </c:pt>
                <c:pt idx="12549">
                  <c:v>25.49</c:v>
                </c:pt>
                <c:pt idx="12550">
                  <c:v>25.5</c:v>
                </c:pt>
                <c:pt idx="12551">
                  <c:v>25.51</c:v>
                </c:pt>
                <c:pt idx="12552">
                  <c:v>25.52</c:v>
                </c:pt>
                <c:pt idx="12553">
                  <c:v>25.53</c:v>
                </c:pt>
                <c:pt idx="12554">
                  <c:v>25.54</c:v>
                </c:pt>
                <c:pt idx="12555">
                  <c:v>25.55</c:v>
                </c:pt>
                <c:pt idx="12556">
                  <c:v>25.56</c:v>
                </c:pt>
                <c:pt idx="12557">
                  <c:v>25.57</c:v>
                </c:pt>
                <c:pt idx="12558">
                  <c:v>25.58</c:v>
                </c:pt>
                <c:pt idx="12559">
                  <c:v>25.59</c:v>
                </c:pt>
                <c:pt idx="12560">
                  <c:v>25.6</c:v>
                </c:pt>
                <c:pt idx="12561">
                  <c:v>25.61</c:v>
                </c:pt>
                <c:pt idx="12562">
                  <c:v>25.62</c:v>
                </c:pt>
                <c:pt idx="12563">
                  <c:v>25.63</c:v>
                </c:pt>
                <c:pt idx="12564">
                  <c:v>25.64</c:v>
                </c:pt>
                <c:pt idx="12565">
                  <c:v>25.65</c:v>
                </c:pt>
                <c:pt idx="12566">
                  <c:v>25.66</c:v>
                </c:pt>
                <c:pt idx="12567">
                  <c:v>25.67</c:v>
                </c:pt>
                <c:pt idx="12568">
                  <c:v>25.68</c:v>
                </c:pt>
                <c:pt idx="12569">
                  <c:v>25.69</c:v>
                </c:pt>
                <c:pt idx="12570">
                  <c:v>25.7</c:v>
                </c:pt>
                <c:pt idx="12571">
                  <c:v>25.71</c:v>
                </c:pt>
                <c:pt idx="12572">
                  <c:v>25.72</c:v>
                </c:pt>
                <c:pt idx="12573">
                  <c:v>25.73</c:v>
                </c:pt>
                <c:pt idx="12574">
                  <c:v>25.74</c:v>
                </c:pt>
                <c:pt idx="12575">
                  <c:v>25.75</c:v>
                </c:pt>
                <c:pt idx="12576">
                  <c:v>25.76</c:v>
                </c:pt>
                <c:pt idx="12577">
                  <c:v>25.77</c:v>
                </c:pt>
                <c:pt idx="12578">
                  <c:v>25.78</c:v>
                </c:pt>
                <c:pt idx="12579">
                  <c:v>25.79</c:v>
                </c:pt>
                <c:pt idx="12580">
                  <c:v>25.8</c:v>
                </c:pt>
                <c:pt idx="12581">
                  <c:v>25.81</c:v>
                </c:pt>
                <c:pt idx="12582">
                  <c:v>25.82</c:v>
                </c:pt>
                <c:pt idx="12583">
                  <c:v>25.83</c:v>
                </c:pt>
                <c:pt idx="12584">
                  <c:v>25.84</c:v>
                </c:pt>
                <c:pt idx="12585">
                  <c:v>25.85</c:v>
                </c:pt>
                <c:pt idx="12586">
                  <c:v>25.86</c:v>
                </c:pt>
                <c:pt idx="12587">
                  <c:v>25.87</c:v>
                </c:pt>
                <c:pt idx="12588">
                  <c:v>25.88</c:v>
                </c:pt>
                <c:pt idx="12589">
                  <c:v>25.89</c:v>
                </c:pt>
                <c:pt idx="12590">
                  <c:v>25.9</c:v>
                </c:pt>
                <c:pt idx="12591">
                  <c:v>25.91</c:v>
                </c:pt>
                <c:pt idx="12592">
                  <c:v>25.92</c:v>
                </c:pt>
                <c:pt idx="12593">
                  <c:v>25.93</c:v>
                </c:pt>
                <c:pt idx="12594">
                  <c:v>25.94</c:v>
                </c:pt>
                <c:pt idx="12595">
                  <c:v>25.95</c:v>
                </c:pt>
                <c:pt idx="12596">
                  <c:v>25.96</c:v>
                </c:pt>
                <c:pt idx="12597">
                  <c:v>25.97</c:v>
                </c:pt>
                <c:pt idx="12598">
                  <c:v>25.98</c:v>
                </c:pt>
                <c:pt idx="12599">
                  <c:v>25.99</c:v>
                </c:pt>
                <c:pt idx="12600">
                  <c:v>26.0</c:v>
                </c:pt>
                <c:pt idx="12601">
                  <c:v>26.01</c:v>
                </c:pt>
                <c:pt idx="12602">
                  <c:v>26.02</c:v>
                </c:pt>
                <c:pt idx="12603">
                  <c:v>26.03</c:v>
                </c:pt>
                <c:pt idx="12604">
                  <c:v>26.04</c:v>
                </c:pt>
                <c:pt idx="12605">
                  <c:v>26.05</c:v>
                </c:pt>
                <c:pt idx="12606">
                  <c:v>26.06</c:v>
                </c:pt>
                <c:pt idx="12607">
                  <c:v>26.07</c:v>
                </c:pt>
                <c:pt idx="12608">
                  <c:v>26.08</c:v>
                </c:pt>
                <c:pt idx="12609">
                  <c:v>26.09</c:v>
                </c:pt>
                <c:pt idx="12610">
                  <c:v>26.1</c:v>
                </c:pt>
                <c:pt idx="12611">
                  <c:v>26.11</c:v>
                </c:pt>
                <c:pt idx="12612">
                  <c:v>26.12</c:v>
                </c:pt>
                <c:pt idx="12613">
                  <c:v>26.13</c:v>
                </c:pt>
                <c:pt idx="12614">
                  <c:v>26.14</c:v>
                </c:pt>
                <c:pt idx="12615">
                  <c:v>26.15</c:v>
                </c:pt>
                <c:pt idx="12616">
                  <c:v>26.16</c:v>
                </c:pt>
                <c:pt idx="12617">
                  <c:v>26.17</c:v>
                </c:pt>
                <c:pt idx="12618">
                  <c:v>26.18</c:v>
                </c:pt>
                <c:pt idx="12619">
                  <c:v>26.19</c:v>
                </c:pt>
                <c:pt idx="12620">
                  <c:v>26.2</c:v>
                </c:pt>
                <c:pt idx="12621">
                  <c:v>26.21</c:v>
                </c:pt>
                <c:pt idx="12622">
                  <c:v>26.22</c:v>
                </c:pt>
                <c:pt idx="12623">
                  <c:v>26.23</c:v>
                </c:pt>
                <c:pt idx="12624">
                  <c:v>26.24</c:v>
                </c:pt>
                <c:pt idx="12625">
                  <c:v>26.25</c:v>
                </c:pt>
                <c:pt idx="12626">
                  <c:v>26.26</c:v>
                </c:pt>
                <c:pt idx="12627">
                  <c:v>26.27</c:v>
                </c:pt>
                <c:pt idx="12628">
                  <c:v>26.28</c:v>
                </c:pt>
                <c:pt idx="12629">
                  <c:v>26.29</c:v>
                </c:pt>
                <c:pt idx="12630">
                  <c:v>26.3</c:v>
                </c:pt>
                <c:pt idx="12631">
                  <c:v>26.31</c:v>
                </c:pt>
                <c:pt idx="12632">
                  <c:v>26.32</c:v>
                </c:pt>
                <c:pt idx="12633">
                  <c:v>26.33</c:v>
                </c:pt>
                <c:pt idx="12634">
                  <c:v>26.34</c:v>
                </c:pt>
                <c:pt idx="12635">
                  <c:v>26.35</c:v>
                </c:pt>
                <c:pt idx="12636">
                  <c:v>26.36</c:v>
                </c:pt>
                <c:pt idx="12637">
                  <c:v>26.37</c:v>
                </c:pt>
                <c:pt idx="12638">
                  <c:v>26.38</c:v>
                </c:pt>
                <c:pt idx="12639">
                  <c:v>26.39</c:v>
                </c:pt>
                <c:pt idx="12640">
                  <c:v>26.4</c:v>
                </c:pt>
                <c:pt idx="12641">
                  <c:v>26.41</c:v>
                </c:pt>
                <c:pt idx="12642">
                  <c:v>26.42</c:v>
                </c:pt>
                <c:pt idx="12643">
                  <c:v>26.43</c:v>
                </c:pt>
                <c:pt idx="12644">
                  <c:v>26.44</c:v>
                </c:pt>
                <c:pt idx="12645">
                  <c:v>26.45</c:v>
                </c:pt>
                <c:pt idx="12646">
                  <c:v>26.46</c:v>
                </c:pt>
                <c:pt idx="12647">
                  <c:v>26.47</c:v>
                </c:pt>
                <c:pt idx="12648">
                  <c:v>26.48</c:v>
                </c:pt>
                <c:pt idx="12649">
                  <c:v>26.49</c:v>
                </c:pt>
                <c:pt idx="12650">
                  <c:v>26.5</c:v>
                </c:pt>
                <c:pt idx="12651">
                  <c:v>26.51</c:v>
                </c:pt>
                <c:pt idx="12652">
                  <c:v>26.52</c:v>
                </c:pt>
                <c:pt idx="12653">
                  <c:v>26.53</c:v>
                </c:pt>
                <c:pt idx="12654">
                  <c:v>26.54</c:v>
                </c:pt>
                <c:pt idx="12655">
                  <c:v>26.55</c:v>
                </c:pt>
                <c:pt idx="12656">
                  <c:v>26.56</c:v>
                </c:pt>
                <c:pt idx="12657">
                  <c:v>26.57</c:v>
                </c:pt>
                <c:pt idx="12658">
                  <c:v>26.58</c:v>
                </c:pt>
                <c:pt idx="12659">
                  <c:v>26.59</c:v>
                </c:pt>
                <c:pt idx="12660">
                  <c:v>26.6</c:v>
                </c:pt>
                <c:pt idx="12661">
                  <c:v>26.61</c:v>
                </c:pt>
                <c:pt idx="12662">
                  <c:v>26.62</c:v>
                </c:pt>
                <c:pt idx="12663">
                  <c:v>26.63</c:v>
                </c:pt>
                <c:pt idx="12664">
                  <c:v>26.64</c:v>
                </c:pt>
                <c:pt idx="12665">
                  <c:v>26.65</c:v>
                </c:pt>
                <c:pt idx="12666">
                  <c:v>26.66</c:v>
                </c:pt>
                <c:pt idx="12667">
                  <c:v>26.67</c:v>
                </c:pt>
                <c:pt idx="12668">
                  <c:v>26.68</c:v>
                </c:pt>
                <c:pt idx="12669">
                  <c:v>26.69</c:v>
                </c:pt>
                <c:pt idx="12670">
                  <c:v>26.7</c:v>
                </c:pt>
                <c:pt idx="12671">
                  <c:v>26.71</c:v>
                </c:pt>
                <c:pt idx="12672">
                  <c:v>26.72</c:v>
                </c:pt>
                <c:pt idx="12673">
                  <c:v>26.73</c:v>
                </c:pt>
                <c:pt idx="12674">
                  <c:v>26.74</c:v>
                </c:pt>
                <c:pt idx="12675">
                  <c:v>26.75</c:v>
                </c:pt>
                <c:pt idx="12676">
                  <c:v>26.76</c:v>
                </c:pt>
                <c:pt idx="12677">
                  <c:v>26.77</c:v>
                </c:pt>
                <c:pt idx="12678">
                  <c:v>26.78</c:v>
                </c:pt>
                <c:pt idx="12679">
                  <c:v>26.79</c:v>
                </c:pt>
                <c:pt idx="12680">
                  <c:v>26.8</c:v>
                </c:pt>
                <c:pt idx="12681">
                  <c:v>26.81</c:v>
                </c:pt>
                <c:pt idx="12682">
                  <c:v>26.82</c:v>
                </c:pt>
                <c:pt idx="12683">
                  <c:v>26.83</c:v>
                </c:pt>
                <c:pt idx="12684">
                  <c:v>26.84</c:v>
                </c:pt>
                <c:pt idx="12685">
                  <c:v>26.85</c:v>
                </c:pt>
                <c:pt idx="12686">
                  <c:v>26.86</c:v>
                </c:pt>
                <c:pt idx="12687">
                  <c:v>26.87</c:v>
                </c:pt>
                <c:pt idx="12688">
                  <c:v>26.88</c:v>
                </c:pt>
                <c:pt idx="12689">
                  <c:v>26.89</c:v>
                </c:pt>
                <c:pt idx="12690">
                  <c:v>26.9</c:v>
                </c:pt>
                <c:pt idx="12691">
                  <c:v>26.91</c:v>
                </c:pt>
                <c:pt idx="12692">
                  <c:v>26.92</c:v>
                </c:pt>
                <c:pt idx="12693">
                  <c:v>26.93</c:v>
                </c:pt>
                <c:pt idx="12694">
                  <c:v>26.94</c:v>
                </c:pt>
                <c:pt idx="12695">
                  <c:v>26.95</c:v>
                </c:pt>
                <c:pt idx="12696">
                  <c:v>26.96</c:v>
                </c:pt>
                <c:pt idx="12697">
                  <c:v>26.97</c:v>
                </c:pt>
                <c:pt idx="12698">
                  <c:v>26.98</c:v>
                </c:pt>
                <c:pt idx="12699">
                  <c:v>26.99</c:v>
                </c:pt>
                <c:pt idx="12700">
                  <c:v>27.0</c:v>
                </c:pt>
                <c:pt idx="12701">
                  <c:v>27.01</c:v>
                </c:pt>
                <c:pt idx="12702">
                  <c:v>27.02</c:v>
                </c:pt>
                <c:pt idx="12703">
                  <c:v>27.03</c:v>
                </c:pt>
                <c:pt idx="12704">
                  <c:v>27.04</c:v>
                </c:pt>
                <c:pt idx="12705">
                  <c:v>27.05</c:v>
                </c:pt>
                <c:pt idx="12706">
                  <c:v>27.06</c:v>
                </c:pt>
                <c:pt idx="12707">
                  <c:v>27.07</c:v>
                </c:pt>
                <c:pt idx="12708">
                  <c:v>27.08</c:v>
                </c:pt>
                <c:pt idx="12709">
                  <c:v>27.09</c:v>
                </c:pt>
                <c:pt idx="12710">
                  <c:v>27.1</c:v>
                </c:pt>
                <c:pt idx="12711">
                  <c:v>27.11</c:v>
                </c:pt>
                <c:pt idx="12712">
                  <c:v>27.12</c:v>
                </c:pt>
                <c:pt idx="12713">
                  <c:v>27.13</c:v>
                </c:pt>
                <c:pt idx="12714">
                  <c:v>27.14</c:v>
                </c:pt>
                <c:pt idx="12715">
                  <c:v>27.15</c:v>
                </c:pt>
                <c:pt idx="12716">
                  <c:v>27.16</c:v>
                </c:pt>
                <c:pt idx="12717">
                  <c:v>27.17</c:v>
                </c:pt>
                <c:pt idx="12718">
                  <c:v>27.18</c:v>
                </c:pt>
                <c:pt idx="12719">
                  <c:v>27.19</c:v>
                </c:pt>
                <c:pt idx="12720">
                  <c:v>27.2</c:v>
                </c:pt>
                <c:pt idx="12721">
                  <c:v>27.21</c:v>
                </c:pt>
                <c:pt idx="12722">
                  <c:v>27.22</c:v>
                </c:pt>
                <c:pt idx="12723">
                  <c:v>27.23</c:v>
                </c:pt>
                <c:pt idx="12724">
                  <c:v>27.24</c:v>
                </c:pt>
                <c:pt idx="12725">
                  <c:v>27.25</c:v>
                </c:pt>
                <c:pt idx="12726">
                  <c:v>27.26</c:v>
                </c:pt>
                <c:pt idx="12727">
                  <c:v>27.27</c:v>
                </c:pt>
                <c:pt idx="12728">
                  <c:v>27.28</c:v>
                </c:pt>
                <c:pt idx="12729">
                  <c:v>27.29</c:v>
                </c:pt>
                <c:pt idx="12730">
                  <c:v>27.3</c:v>
                </c:pt>
                <c:pt idx="12731">
                  <c:v>27.31</c:v>
                </c:pt>
                <c:pt idx="12732">
                  <c:v>27.32</c:v>
                </c:pt>
                <c:pt idx="12733">
                  <c:v>27.33</c:v>
                </c:pt>
                <c:pt idx="12734">
                  <c:v>27.34</c:v>
                </c:pt>
                <c:pt idx="12735">
                  <c:v>27.35</c:v>
                </c:pt>
                <c:pt idx="12736">
                  <c:v>27.36</c:v>
                </c:pt>
                <c:pt idx="12737">
                  <c:v>27.37</c:v>
                </c:pt>
                <c:pt idx="12738">
                  <c:v>27.38</c:v>
                </c:pt>
                <c:pt idx="12739">
                  <c:v>27.39</c:v>
                </c:pt>
                <c:pt idx="12740">
                  <c:v>27.4</c:v>
                </c:pt>
                <c:pt idx="12741">
                  <c:v>27.41</c:v>
                </c:pt>
                <c:pt idx="12742">
                  <c:v>27.42</c:v>
                </c:pt>
                <c:pt idx="12743">
                  <c:v>27.43</c:v>
                </c:pt>
                <c:pt idx="12744">
                  <c:v>27.44</c:v>
                </c:pt>
                <c:pt idx="12745">
                  <c:v>27.45</c:v>
                </c:pt>
                <c:pt idx="12746">
                  <c:v>27.46</c:v>
                </c:pt>
                <c:pt idx="12747">
                  <c:v>27.47</c:v>
                </c:pt>
                <c:pt idx="12748">
                  <c:v>27.48</c:v>
                </c:pt>
                <c:pt idx="12749">
                  <c:v>27.49</c:v>
                </c:pt>
                <c:pt idx="12750">
                  <c:v>27.5</c:v>
                </c:pt>
                <c:pt idx="12751">
                  <c:v>27.51</c:v>
                </c:pt>
                <c:pt idx="12752">
                  <c:v>27.52</c:v>
                </c:pt>
                <c:pt idx="12753">
                  <c:v>27.53</c:v>
                </c:pt>
                <c:pt idx="12754">
                  <c:v>27.54</c:v>
                </c:pt>
                <c:pt idx="12755">
                  <c:v>27.55</c:v>
                </c:pt>
                <c:pt idx="12756">
                  <c:v>27.56</c:v>
                </c:pt>
                <c:pt idx="12757">
                  <c:v>27.57</c:v>
                </c:pt>
                <c:pt idx="12758">
                  <c:v>27.58</c:v>
                </c:pt>
                <c:pt idx="12759">
                  <c:v>27.59</c:v>
                </c:pt>
                <c:pt idx="12760">
                  <c:v>27.6</c:v>
                </c:pt>
                <c:pt idx="12761">
                  <c:v>27.61</c:v>
                </c:pt>
                <c:pt idx="12762">
                  <c:v>27.62</c:v>
                </c:pt>
                <c:pt idx="12763">
                  <c:v>27.63</c:v>
                </c:pt>
                <c:pt idx="12764">
                  <c:v>27.64</c:v>
                </c:pt>
                <c:pt idx="12765">
                  <c:v>27.65</c:v>
                </c:pt>
                <c:pt idx="12766">
                  <c:v>27.66</c:v>
                </c:pt>
                <c:pt idx="12767">
                  <c:v>27.67</c:v>
                </c:pt>
                <c:pt idx="12768">
                  <c:v>27.68</c:v>
                </c:pt>
                <c:pt idx="12769">
                  <c:v>27.69</c:v>
                </c:pt>
                <c:pt idx="12770">
                  <c:v>27.7</c:v>
                </c:pt>
                <c:pt idx="12771">
                  <c:v>27.71</c:v>
                </c:pt>
                <c:pt idx="12772">
                  <c:v>27.72</c:v>
                </c:pt>
                <c:pt idx="12773">
                  <c:v>27.73</c:v>
                </c:pt>
                <c:pt idx="12774">
                  <c:v>27.74</c:v>
                </c:pt>
                <c:pt idx="12775">
                  <c:v>27.75</c:v>
                </c:pt>
                <c:pt idx="12776">
                  <c:v>27.76</c:v>
                </c:pt>
                <c:pt idx="12777">
                  <c:v>27.77</c:v>
                </c:pt>
                <c:pt idx="12778">
                  <c:v>27.78</c:v>
                </c:pt>
                <c:pt idx="12779">
                  <c:v>27.79</c:v>
                </c:pt>
                <c:pt idx="12780">
                  <c:v>27.8</c:v>
                </c:pt>
                <c:pt idx="12781">
                  <c:v>27.81</c:v>
                </c:pt>
                <c:pt idx="12782">
                  <c:v>27.82</c:v>
                </c:pt>
                <c:pt idx="12783">
                  <c:v>27.83</c:v>
                </c:pt>
                <c:pt idx="12784">
                  <c:v>27.84</c:v>
                </c:pt>
                <c:pt idx="12785">
                  <c:v>27.85</c:v>
                </c:pt>
                <c:pt idx="12786">
                  <c:v>27.86</c:v>
                </c:pt>
                <c:pt idx="12787">
                  <c:v>27.87</c:v>
                </c:pt>
                <c:pt idx="12788">
                  <c:v>27.88</c:v>
                </c:pt>
                <c:pt idx="12789">
                  <c:v>27.89</c:v>
                </c:pt>
                <c:pt idx="12790">
                  <c:v>27.9</c:v>
                </c:pt>
                <c:pt idx="12791">
                  <c:v>27.91</c:v>
                </c:pt>
                <c:pt idx="12792">
                  <c:v>27.92</c:v>
                </c:pt>
                <c:pt idx="12793">
                  <c:v>27.93</c:v>
                </c:pt>
                <c:pt idx="12794">
                  <c:v>27.94</c:v>
                </c:pt>
                <c:pt idx="12795">
                  <c:v>27.95</c:v>
                </c:pt>
                <c:pt idx="12796">
                  <c:v>27.96</c:v>
                </c:pt>
                <c:pt idx="12797">
                  <c:v>27.97</c:v>
                </c:pt>
                <c:pt idx="12798">
                  <c:v>27.98</c:v>
                </c:pt>
                <c:pt idx="12799">
                  <c:v>27.99</c:v>
                </c:pt>
                <c:pt idx="12800">
                  <c:v>28.0</c:v>
                </c:pt>
                <c:pt idx="12801">
                  <c:v>28.01</c:v>
                </c:pt>
                <c:pt idx="12802">
                  <c:v>28.02</c:v>
                </c:pt>
                <c:pt idx="12803">
                  <c:v>28.03</c:v>
                </c:pt>
                <c:pt idx="12804">
                  <c:v>28.04</c:v>
                </c:pt>
                <c:pt idx="12805">
                  <c:v>28.05</c:v>
                </c:pt>
                <c:pt idx="12806">
                  <c:v>28.06</c:v>
                </c:pt>
                <c:pt idx="12807">
                  <c:v>28.07</c:v>
                </c:pt>
                <c:pt idx="12808">
                  <c:v>28.08</c:v>
                </c:pt>
                <c:pt idx="12809">
                  <c:v>28.09</c:v>
                </c:pt>
                <c:pt idx="12810">
                  <c:v>28.1</c:v>
                </c:pt>
                <c:pt idx="12811">
                  <c:v>28.11</c:v>
                </c:pt>
                <c:pt idx="12812">
                  <c:v>28.12</c:v>
                </c:pt>
                <c:pt idx="12813">
                  <c:v>28.13</c:v>
                </c:pt>
                <c:pt idx="12814">
                  <c:v>28.14</c:v>
                </c:pt>
                <c:pt idx="12815">
                  <c:v>28.15</c:v>
                </c:pt>
                <c:pt idx="12816">
                  <c:v>28.16</c:v>
                </c:pt>
                <c:pt idx="12817">
                  <c:v>28.17</c:v>
                </c:pt>
                <c:pt idx="12818">
                  <c:v>28.18</c:v>
                </c:pt>
                <c:pt idx="12819">
                  <c:v>28.19</c:v>
                </c:pt>
                <c:pt idx="12820">
                  <c:v>28.2</c:v>
                </c:pt>
                <c:pt idx="12821">
                  <c:v>28.21</c:v>
                </c:pt>
                <c:pt idx="12822">
                  <c:v>28.22</c:v>
                </c:pt>
                <c:pt idx="12823">
                  <c:v>28.23</c:v>
                </c:pt>
                <c:pt idx="12824">
                  <c:v>28.24</c:v>
                </c:pt>
                <c:pt idx="12825">
                  <c:v>28.25</c:v>
                </c:pt>
                <c:pt idx="12826">
                  <c:v>28.26</c:v>
                </c:pt>
                <c:pt idx="12827">
                  <c:v>28.27</c:v>
                </c:pt>
                <c:pt idx="12828">
                  <c:v>28.28</c:v>
                </c:pt>
                <c:pt idx="12829">
                  <c:v>28.29</c:v>
                </c:pt>
                <c:pt idx="12830">
                  <c:v>28.3</c:v>
                </c:pt>
                <c:pt idx="12831">
                  <c:v>28.31</c:v>
                </c:pt>
                <c:pt idx="12832">
                  <c:v>28.32</c:v>
                </c:pt>
                <c:pt idx="12833">
                  <c:v>28.33</c:v>
                </c:pt>
                <c:pt idx="12834">
                  <c:v>28.34</c:v>
                </c:pt>
                <c:pt idx="12835">
                  <c:v>28.35</c:v>
                </c:pt>
                <c:pt idx="12836">
                  <c:v>28.36</c:v>
                </c:pt>
                <c:pt idx="12837">
                  <c:v>28.37</c:v>
                </c:pt>
                <c:pt idx="12838">
                  <c:v>28.38</c:v>
                </c:pt>
                <c:pt idx="12839">
                  <c:v>28.39</c:v>
                </c:pt>
                <c:pt idx="12840">
                  <c:v>28.4</c:v>
                </c:pt>
                <c:pt idx="12841">
                  <c:v>28.41</c:v>
                </c:pt>
                <c:pt idx="12842">
                  <c:v>28.42</c:v>
                </c:pt>
                <c:pt idx="12843">
                  <c:v>28.43</c:v>
                </c:pt>
                <c:pt idx="12844">
                  <c:v>28.44</c:v>
                </c:pt>
                <c:pt idx="12845">
                  <c:v>28.45</c:v>
                </c:pt>
                <c:pt idx="12846">
                  <c:v>28.46</c:v>
                </c:pt>
                <c:pt idx="12847">
                  <c:v>28.47</c:v>
                </c:pt>
                <c:pt idx="12848">
                  <c:v>28.48</c:v>
                </c:pt>
                <c:pt idx="12849">
                  <c:v>28.49</c:v>
                </c:pt>
                <c:pt idx="12850">
                  <c:v>28.5</c:v>
                </c:pt>
                <c:pt idx="12851">
                  <c:v>28.51</c:v>
                </c:pt>
                <c:pt idx="12852">
                  <c:v>28.52</c:v>
                </c:pt>
                <c:pt idx="12853">
                  <c:v>28.53</c:v>
                </c:pt>
                <c:pt idx="12854">
                  <c:v>28.54</c:v>
                </c:pt>
                <c:pt idx="12855">
                  <c:v>28.55</c:v>
                </c:pt>
                <c:pt idx="12856">
                  <c:v>28.56</c:v>
                </c:pt>
                <c:pt idx="12857">
                  <c:v>28.57</c:v>
                </c:pt>
                <c:pt idx="12858">
                  <c:v>28.58</c:v>
                </c:pt>
                <c:pt idx="12859">
                  <c:v>28.59</c:v>
                </c:pt>
                <c:pt idx="12860">
                  <c:v>28.6</c:v>
                </c:pt>
                <c:pt idx="12861">
                  <c:v>28.61</c:v>
                </c:pt>
                <c:pt idx="12862">
                  <c:v>28.62</c:v>
                </c:pt>
                <c:pt idx="12863">
                  <c:v>28.63</c:v>
                </c:pt>
                <c:pt idx="12864">
                  <c:v>28.64</c:v>
                </c:pt>
                <c:pt idx="12865">
                  <c:v>28.65</c:v>
                </c:pt>
                <c:pt idx="12866">
                  <c:v>28.66</c:v>
                </c:pt>
                <c:pt idx="12867">
                  <c:v>28.67</c:v>
                </c:pt>
                <c:pt idx="12868">
                  <c:v>28.68</c:v>
                </c:pt>
                <c:pt idx="12869">
                  <c:v>28.69</c:v>
                </c:pt>
                <c:pt idx="12870">
                  <c:v>28.7</c:v>
                </c:pt>
                <c:pt idx="12871">
                  <c:v>28.71</c:v>
                </c:pt>
                <c:pt idx="12872">
                  <c:v>28.72</c:v>
                </c:pt>
                <c:pt idx="12873">
                  <c:v>28.73</c:v>
                </c:pt>
                <c:pt idx="12874">
                  <c:v>28.74</c:v>
                </c:pt>
                <c:pt idx="12875">
                  <c:v>28.75</c:v>
                </c:pt>
                <c:pt idx="12876">
                  <c:v>28.76</c:v>
                </c:pt>
                <c:pt idx="12877">
                  <c:v>28.77</c:v>
                </c:pt>
                <c:pt idx="12878">
                  <c:v>28.78</c:v>
                </c:pt>
                <c:pt idx="12879">
                  <c:v>28.79</c:v>
                </c:pt>
                <c:pt idx="12880">
                  <c:v>28.8</c:v>
                </c:pt>
                <c:pt idx="12881">
                  <c:v>28.81</c:v>
                </c:pt>
                <c:pt idx="12882">
                  <c:v>28.82</c:v>
                </c:pt>
                <c:pt idx="12883">
                  <c:v>28.83</c:v>
                </c:pt>
                <c:pt idx="12884">
                  <c:v>28.84</c:v>
                </c:pt>
                <c:pt idx="12885">
                  <c:v>28.85</c:v>
                </c:pt>
                <c:pt idx="12886">
                  <c:v>28.86</c:v>
                </c:pt>
                <c:pt idx="12887">
                  <c:v>28.87</c:v>
                </c:pt>
                <c:pt idx="12888">
                  <c:v>28.88</c:v>
                </c:pt>
                <c:pt idx="12889">
                  <c:v>28.89</c:v>
                </c:pt>
                <c:pt idx="12890">
                  <c:v>28.9</c:v>
                </c:pt>
                <c:pt idx="12891">
                  <c:v>28.91</c:v>
                </c:pt>
                <c:pt idx="12892">
                  <c:v>28.92</c:v>
                </c:pt>
                <c:pt idx="12893">
                  <c:v>28.93</c:v>
                </c:pt>
                <c:pt idx="12894">
                  <c:v>28.94</c:v>
                </c:pt>
                <c:pt idx="12895">
                  <c:v>28.95</c:v>
                </c:pt>
                <c:pt idx="12896">
                  <c:v>28.96</c:v>
                </c:pt>
                <c:pt idx="12897">
                  <c:v>28.97</c:v>
                </c:pt>
                <c:pt idx="12898">
                  <c:v>28.98</c:v>
                </c:pt>
                <c:pt idx="12899">
                  <c:v>28.99</c:v>
                </c:pt>
                <c:pt idx="12900">
                  <c:v>29.0</c:v>
                </c:pt>
                <c:pt idx="12901">
                  <c:v>29.01</c:v>
                </c:pt>
                <c:pt idx="12902">
                  <c:v>29.02</c:v>
                </c:pt>
                <c:pt idx="12903">
                  <c:v>29.03</c:v>
                </c:pt>
                <c:pt idx="12904">
                  <c:v>29.04</c:v>
                </c:pt>
                <c:pt idx="12905">
                  <c:v>29.05</c:v>
                </c:pt>
                <c:pt idx="12906">
                  <c:v>29.06</c:v>
                </c:pt>
                <c:pt idx="12907">
                  <c:v>29.07</c:v>
                </c:pt>
                <c:pt idx="12908">
                  <c:v>29.08</c:v>
                </c:pt>
                <c:pt idx="12909">
                  <c:v>29.09</c:v>
                </c:pt>
                <c:pt idx="12910">
                  <c:v>29.1</c:v>
                </c:pt>
                <c:pt idx="12911">
                  <c:v>29.11</c:v>
                </c:pt>
                <c:pt idx="12912">
                  <c:v>29.12</c:v>
                </c:pt>
                <c:pt idx="12913">
                  <c:v>29.13</c:v>
                </c:pt>
                <c:pt idx="12914">
                  <c:v>29.14</c:v>
                </c:pt>
                <c:pt idx="12915">
                  <c:v>29.15</c:v>
                </c:pt>
                <c:pt idx="12916">
                  <c:v>29.16</c:v>
                </c:pt>
                <c:pt idx="12917">
                  <c:v>29.17</c:v>
                </c:pt>
                <c:pt idx="12918">
                  <c:v>29.18</c:v>
                </c:pt>
                <c:pt idx="12919">
                  <c:v>29.19</c:v>
                </c:pt>
                <c:pt idx="12920">
                  <c:v>29.2</c:v>
                </c:pt>
                <c:pt idx="12921">
                  <c:v>29.21</c:v>
                </c:pt>
                <c:pt idx="12922">
                  <c:v>29.22</c:v>
                </c:pt>
                <c:pt idx="12923">
                  <c:v>29.23</c:v>
                </c:pt>
                <c:pt idx="12924">
                  <c:v>29.24</c:v>
                </c:pt>
                <c:pt idx="12925">
                  <c:v>29.25</c:v>
                </c:pt>
                <c:pt idx="12926">
                  <c:v>29.26</c:v>
                </c:pt>
                <c:pt idx="12927">
                  <c:v>29.27</c:v>
                </c:pt>
                <c:pt idx="12928">
                  <c:v>29.28</c:v>
                </c:pt>
                <c:pt idx="12929">
                  <c:v>29.29</c:v>
                </c:pt>
                <c:pt idx="12930">
                  <c:v>29.3</c:v>
                </c:pt>
                <c:pt idx="12931">
                  <c:v>29.31</c:v>
                </c:pt>
                <c:pt idx="12932">
                  <c:v>29.32</c:v>
                </c:pt>
                <c:pt idx="12933">
                  <c:v>29.33</c:v>
                </c:pt>
                <c:pt idx="12934">
                  <c:v>29.34</c:v>
                </c:pt>
                <c:pt idx="12935">
                  <c:v>29.35</c:v>
                </c:pt>
                <c:pt idx="12936">
                  <c:v>29.36</c:v>
                </c:pt>
                <c:pt idx="12937">
                  <c:v>29.37</c:v>
                </c:pt>
                <c:pt idx="12938">
                  <c:v>29.38</c:v>
                </c:pt>
                <c:pt idx="12939">
                  <c:v>29.39</c:v>
                </c:pt>
                <c:pt idx="12940">
                  <c:v>29.4</c:v>
                </c:pt>
                <c:pt idx="12941">
                  <c:v>29.41</c:v>
                </c:pt>
                <c:pt idx="12942">
                  <c:v>29.42</c:v>
                </c:pt>
                <c:pt idx="12943">
                  <c:v>29.43</c:v>
                </c:pt>
                <c:pt idx="12944">
                  <c:v>29.44</c:v>
                </c:pt>
                <c:pt idx="12945">
                  <c:v>29.45</c:v>
                </c:pt>
                <c:pt idx="12946">
                  <c:v>29.46</c:v>
                </c:pt>
                <c:pt idx="12947">
                  <c:v>29.47</c:v>
                </c:pt>
                <c:pt idx="12948">
                  <c:v>29.48</c:v>
                </c:pt>
                <c:pt idx="12949">
                  <c:v>29.49</c:v>
                </c:pt>
                <c:pt idx="12950">
                  <c:v>29.5</c:v>
                </c:pt>
                <c:pt idx="12951">
                  <c:v>29.51</c:v>
                </c:pt>
                <c:pt idx="12952">
                  <c:v>29.52</c:v>
                </c:pt>
                <c:pt idx="12953">
                  <c:v>29.53</c:v>
                </c:pt>
                <c:pt idx="12954">
                  <c:v>29.54</c:v>
                </c:pt>
                <c:pt idx="12955">
                  <c:v>29.55</c:v>
                </c:pt>
                <c:pt idx="12956">
                  <c:v>29.56</c:v>
                </c:pt>
                <c:pt idx="12957">
                  <c:v>29.57</c:v>
                </c:pt>
                <c:pt idx="12958">
                  <c:v>29.58</c:v>
                </c:pt>
                <c:pt idx="12959">
                  <c:v>29.59</c:v>
                </c:pt>
                <c:pt idx="12960">
                  <c:v>29.6</c:v>
                </c:pt>
                <c:pt idx="12961">
                  <c:v>29.61</c:v>
                </c:pt>
                <c:pt idx="12962">
                  <c:v>29.62</c:v>
                </c:pt>
                <c:pt idx="12963">
                  <c:v>29.63</c:v>
                </c:pt>
                <c:pt idx="12964">
                  <c:v>29.64</c:v>
                </c:pt>
                <c:pt idx="12965">
                  <c:v>29.65</c:v>
                </c:pt>
                <c:pt idx="12966">
                  <c:v>29.66</c:v>
                </c:pt>
                <c:pt idx="12967">
                  <c:v>29.67</c:v>
                </c:pt>
                <c:pt idx="12968">
                  <c:v>29.68</c:v>
                </c:pt>
                <c:pt idx="12969">
                  <c:v>29.69</c:v>
                </c:pt>
                <c:pt idx="12970">
                  <c:v>29.7</c:v>
                </c:pt>
                <c:pt idx="12971">
                  <c:v>29.71</c:v>
                </c:pt>
                <c:pt idx="12972">
                  <c:v>29.72</c:v>
                </c:pt>
                <c:pt idx="12973">
                  <c:v>29.73</c:v>
                </c:pt>
                <c:pt idx="12974">
                  <c:v>29.74</c:v>
                </c:pt>
                <c:pt idx="12975">
                  <c:v>29.75</c:v>
                </c:pt>
                <c:pt idx="12976">
                  <c:v>29.76</c:v>
                </c:pt>
                <c:pt idx="12977">
                  <c:v>29.77</c:v>
                </c:pt>
                <c:pt idx="12978">
                  <c:v>29.78</c:v>
                </c:pt>
                <c:pt idx="12979">
                  <c:v>29.79</c:v>
                </c:pt>
                <c:pt idx="12980">
                  <c:v>29.8</c:v>
                </c:pt>
                <c:pt idx="12981">
                  <c:v>29.81</c:v>
                </c:pt>
                <c:pt idx="12982">
                  <c:v>29.82</c:v>
                </c:pt>
                <c:pt idx="12983">
                  <c:v>29.83</c:v>
                </c:pt>
                <c:pt idx="12984">
                  <c:v>29.84</c:v>
                </c:pt>
                <c:pt idx="12985">
                  <c:v>29.85</c:v>
                </c:pt>
                <c:pt idx="12986">
                  <c:v>29.86</c:v>
                </c:pt>
                <c:pt idx="12987">
                  <c:v>29.87</c:v>
                </c:pt>
                <c:pt idx="12988">
                  <c:v>29.88</c:v>
                </c:pt>
                <c:pt idx="12989">
                  <c:v>29.89</c:v>
                </c:pt>
                <c:pt idx="12990">
                  <c:v>29.9</c:v>
                </c:pt>
                <c:pt idx="12991">
                  <c:v>29.91</c:v>
                </c:pt>
                <c:pt idx="12992">
                  <c:v>29.92</c:v>
                </c:pt>
                <c:pt idx="12993">
                  <c:v>29.93</c:v>
                </c:pt>
                <c:pt idx="12994">
                  <c:v>29.94</c:v>
                </c:pt>
                <c:pt idx="12995">
                  <c:v>29.95</c:v>
                </c:pt>
                <c:pt idx="12996">
                  <c:v>29.96</c:v>
                </c:pt>
                <c:pt idx="12997">
                  <c:v>29.97</c:v>
                </c:pt>
                <c:pt idx="12998">
                  <c:v>29.98</c:v>
                </c:pt>
                <c:pt idx="12999">
                  <c:v>29.99</c:v>
                </c:pt>
                <c:pt idx="13000">
                  <c:v>30.0</c:v>
                </c:pt>
                <c:pt idx="13001">
                  <c:v>30.01</c:v>
                </c:pt>
                <c:pt idx="13002">
                  <c:v>30.02</c:v>
                </c:pt>
                <c:pt idx="13003">
                  <c:v>30.03</c:v>
                </c:pt>
                <c:pt idx="13004">
                  <c:v>30.04</c:v>
                </c:pt>
                <c:pt idx="13005">
                  <c:v>30.05</c:v>
                </c:pt>
                <c:pt idx="13006">
                  <c:v>30.06</c:v>
                </c:pt>
                <c:pt idx="13007">
                  <c:v>30.07</c:v>
                </c:pt>
                <c:pt idx="13008">
                  <c:v>30.08</c:v>
                </c:pt>
                <c:pt idx="13009">
                  <c:v>30.09</c:v>
                </c:pt>
                <c:pt idx="13010">
                  <c:v>30.1</c:v>
                </c:pt>
                <c:pt idx="13011">
                  <c:v>30.11</c:v>
                </c:pt>
                <c:pt idx="13012">
                  <c:v>30.12</c:v>
                </c:pt>
                <c:pt idx="13013">
                  <c:v>30.13</c:v>
                </c:pt>
                <c:pt idx="13014">
                  <c:v>30.14</c:v>
                </c:pt>
                <c:pt idx="13015">
                  <c:v>30.15</c:v>
                </c:pt>
                <c:pt idx="13016">
                  <c:v>30.16</c:v>
                </c:pt>
                <c:pt idx="13017">
                  <c:v>30.17</c:v>
                </c:pt>
                <c:pt idx="13018">
                  <c:v>30.18</c:v>
                </c:pt>
                <c:pt idx="13019">
                  <c:v>30.19</c:v>
                </c:pt>
                <c:pt idx="13020">
                  <c:v>30.2</c:v>
                </c:pt>
                <c:pt idx="13021">
                  <c:v>30.21</c:v>
                </c:pt>
                <c:pt idx="13022">
                  <c:v>30.22</c:v>
                </c:pt>
                <c:pt idx="13023">
                  <c:v>30.23</c:v>
                </c:pt>
                <c:pt idx="13024">
                  <c:v>30.24</c:v>
                </c:pt>
                <c:pt idx="13025">
                  <c:v>30.25</c:v>
                </c:pt>
                <c:pt idx="13026">
                  <c:v>30.26</c:v>
                </c:pt>
                <c:pt idx="13027">
                  <c:v>30.27</c:v>
                </c:pt>
                <c:pt idx="13028">
                  <c:v>30.28</c:v>
                </c:pt>
                <c:pt idx="13029">
                  <c:v>30.29</c:v>
                </c:pt>
                <c:pt idx="13030">
                  <c:v>30.3</c:v>
                </c:pt>
                <c:pt idx="13031">
                  <c:v>30.31</c:v>
                </c:pt>
                <c:pt idx="13032">
                  <c:v>30.32</c:v>
                </c:pt>
                <c:pt idx="13033">
                  <c:v>30.33</c:v>
                </c:pt>
                <c:pt idx="13034">
                  <c:v>30.34</c:v>
                </c:pt>
                <c:pt idx="13035">
                  <c:v>30.35</c:v>
                </c:pt>
                <c:pt idx="13036">
                  <c:v>30.36</c:v>
                </c:pt>
                <c:pt idx="13037">
                  <c:v>30.37</c:v>
                </c:pt>
                <c:pt idx="13038">
                  <c:v>30.38</c:v>
                </c:pt>
                <c:pt idx="13039">
                  <c:v>30.39</c:v>
                </c:pt>
                <c:pt idx="13040">
                  <c:v>30.4</c:v>
                </c:pt>
                <c:pt idx="13041">
                  <c:v>30.41</c:v>
                </c:pt>
                <c:pt idx="13042">
                  <c:v>30.42</c:v>
                </c:pt>
                <c:pt idx="13043">
                  <c:v>30.43</c:v>
                </c:pt>
                <c:pt idx="13044">
                  <c:v>30.44</c:v>
                </c:pt>
                <c:pt idx="13045">
                  <c:v>30.45</c:v>
                </c:pt>
                <c:pt idx="13046">
                  <c:v>30.46</c:v>
                </c:pt>
                <c:pt idx="13047">
                  <c:v>30.47</c:v>
                </c:pt>
                <c:pt idx="13048">
                  <c:v>30.48</c:v>
                </c:pt>
                <c:pt idx="13049">
                  <c:v>30.49</c:v>
                </c:pt>
                <c:pt idx="13050">
                  <c:v>30.5</c:v>
                </c:pt>
                <c:pt idx="13051">
                  <c:v>30.51</c:v>
                </c:pt>
                <c:pt idx="13052">
                  <c:v>30.52</c:v>
                </c:pt>
                <c:pt idx="13053">
                  <c:v>30.53</c:v>
                </c:pt>
                <c:pt idx="13054">
                  <c:v>30.54</c:v>
                </c:pt>
                <c:pt idx="13055">
                  <c:v>30.55</c:v>
                </c:pt>
                <c:pt idx="13056">
                  <c:v>30.56</c:v>
                </c:pt>
                <c:pt idx="13057">
                  <c:v>30.57</c:v>
                </c:pt>
                <c:pt idx="13058">
                  <c:v>30.58</c:v>
                </c:pt>
                <c:pt idx="13059">
                  <c:v>30.59</c:v>
                </c:pt>
                <c:pt idx="13060">
                  <c:v>30.6</c:v>
                </c:pt>
                <c:pt idx="13061">
                  <c:v>30.61</c:v>
                </c:pt>
                <c:pt idx="13062">
                  <c:v>30.62</c:v>
                </c:pt>
                <c:pt idx="13063">
                  <c:v>30.63</c:v>
                </c:pt>
                <c:pt idx="13064">
                  <c:v>30.64</c:v>
                </c:pt>
                <c:pt idx="13065">
                  <c:v>30.65</c:v>
                </c:pt>
                <c:pt idx="13066">
                  <c:v>30.66</c:v>
                </c:pt>
                <c:pt idx="13067">
                  <c:v>30.67</c:v>
                </c:pt>
                <c:pt idx="13068">
                  <c:v>30.68</c:v>
                </c:pt>
                <c:pt idx="13069">
                  <c:v>30.69</c:v>
                </c:pt>
                <c:pt idx="13070">
                  <c:v>30.7</c:v>
                </c:pt>
                <c:pt idx="13071">
                  <c:v>30.71</c:v>
                </c:pt>
                <c:pt idx="13072">
                  <c:v>30.72</c:v>
                </c:pt>
                <c:pt idx="13073">
                  <c:v>30.73</c:v>
                </c:pt>
                <c:pt idx="13074">
                  <c:v>30.74</c:v>
                </c:pt>
                <c:pt idx="13075">
                  <c:v>30.75</c:v>
                </c:pt>
                <c:pt idx="13076">
                  <c:v>30.76</c:v>
                </c:pt>
                <c:pt idx="13077">
                  <c:v>30.77</c:v>
                </c:pt>
                <c:pt idx="13078">
                  <c:v>30.78</c:v>
                </c:pt>
                <c:pt idx="13079">
                  <c:v>30.79</c:v>
                </c:pt>
                <c:pt idx="13080">
                  <c:v>30.8</c:v>
                </c:pt>
                <c:pt idx="13081">
                  <c:v>30.81</c:v>
                </c:pt>
                <c:pt idx="13082">
                  <c:v>30.82</c:v>
                </c:pt>
                <c:pt idx="13083">
                  <c:v>30.83</c:v>
                </c:pt>
                <c:pt idx="13084">
                  <c:v>30.84</c:v>
                </c:pt>
                <c:pt idx="13085">
                  <c:v>30.85</c:v>
                </c:pt>
                <c:pt idx="13086">
                  <c:v>30.86</c:v>
                </c:pt>
                <c:pt idx="13087">
                  <c:v>30.87</c:v>
                </c:pt>
                <c:pt idx="13088">
                  <c:v>30.88</c:v>
                </c:pt>
                <c:pt idx="13089">
                  <c:v>30.89</c:v>
                </c:pt>
                <c:pt idx="13090">
                  <c:v>30.9</c:v>
                </c:pt>
                <c:pt idx="13091">
                  <c:v>30.91</c:v>
                </c:pt>
                <c:pt idx="13092">
                  <c:v>30.92</c:v>
                </c:pt>
                <c:pt idx="13093">
                  <c:v>30.93</c:v>
                </c:pt>
                <c:pt idx="13094">
                  <c:v>30.94</c:v>
                </c:pt>
                <c:pt idx="13095">
                  <c:v>30.95</c:v>
                </c:pt>
                <c:pt idx="13096">
                  <c:v>30.96</c:v>
                </c:pt>
                <c:pt idx="13097">
                  <c:v>30.97</c:v>
                </c:pt>
                <c:pt idx="13098">
                  <c:v>30.98</c:v>
                </c:pt>
                <c:pt idx="13099">
                  <c:v>30.99</c:v>
                </c:pt>
                <c:pt idx="13100">
                  <c:v>31.0</c:v>
                </c:pt>
                <c:pt idx="13101">
                  <c:v>31.01</c:v>
                </c:pt>
                <c:pt idx="13102">
                  <c:v>31.02</c:v>
                </c:pt>
                <c:pt idx="13103">
                  <c:v>31.03</c:v>
                </c:pt>
                <c:pt idx="13104">
                  <c:v>31.04</c:v>
                </c:pt>
                <c:pt idx="13105">
                  <c:v>31.05</c:v>
                </c:pt>
                <c:pt idx="13106">
                  <c:v>31.06</c:v>
                </c:pt>
                <c:pt idx="13107">
                  <c:v>31.07</c:v>
                </c:pt>
                <c:pt idx="13108">
                  <c:v>31.08</c:v>
                </c:pt>
                <c:pt idx="13109">
                  <c:v>31.09</c:v>
                </c:pt>
                <c:pt idx="13110">
                  <c:v>31.1</c:v>
                </c:pt>
                <c:pt idx="13111">
                  <c:v>31.11</c:v>
                </c:pt>
                <c:pt idx="13112">
                  <c:v>31.12</c:v>
                </c:pt>
                <c:pt idx="13113">
                  <c:v>31.13</c:v>
                </c:pt>
                <c:pt idx="13114">
                  <c:v>31.14</c:v>
                </c:pt>
                <c:pt idx="13115">
                  <c:v>31.15</c:v>
                </c:pt>
                <c:pt idx="13116">
                  <c:v>31.16</c:v>
                </c:pt>
                <c:pt idx="13117">
                  <c:v>31.17</c:v>
                </c:pt>
                <c:pt idx="13118">
                  <c:v>31.18</c:v>
                </c:pt>
                <c:pt idx="13119">
                  <c:v>31.19</c:v>
                </c:pt>
                <c:pt idx="13120">
                  <c:v>31.2</c:v>
                </c:pt>
                <c:pt idx="13121">
                  <c:v>31.21</c:v>
                </c:pt>
                <c:pt idx="13122">
                  <c:v>31.22</c:v>
                </c:pt>
                <c:pt idx="13123">
                  <c:v>31.23</c:v>
                </c:pt>
                <c:pt idx="13124">
                  <c:v>31.24</c:v>
                </c:pt>
                <c:pt idx="13125">
                  <c:v>31.25</c:v>
                </c:pt>
                <c:pt idx="13126">
                  <c:v>31.26</c:v>
                </c:pt>
                <c:pt idx="13127">
                  <c:v>31.27</c:v>
                </c:pt>
                <c:pt idx="13128">
                  <c:v>31.28</c:v>
                </c:pt>
                <c:pt idx="13129">
                  <c:v>31.29</c:v>
                </c:pt>
                <c:pt idx="13130">
                  <c:v>31.3</c:v>
                </c:pt>
                <c:pt idx="13131">
                  <c:v>31.31</c:v>
                </c:pt>
                <c:pt idx="13132">
                  <c:v>31.32</c:v>
                </c:pt>
                <c:pt idx="13133">
                  <c:v>31.33</c:v>
                </c:pt>
                <c:pt idx="13134">
                  <c:v>31.34</c:v>
                </c:pt>
                <c:pt idx="13135">
                  <c:v>31.35</c:v>
                </c:pt>
                <c:pt idx="13136">
                  <c:v>31.36</c:v>
                </c:pt>
                <c:pt idx="13137">
                  <c:v>31.37</c:v>
                </c:pt>
                <c:pt idx="13138">
                  <c:v>31.38</c:v>
                </c:pt>
                <c:pt idx="13139">
                  <c:v>31.39</c:v>
                </c:pt>
                <c:pt idx="13140">
                  <c:v>31.4</c:v>
                </c:pt>
                <c:pt idx="13141">
                  <c:v>31.41</c:v>
                </c:pt>
                <c:pt idx="13142">
                  <c:v>31.42</c:v>
                </c:pt>
                <c:pt idx="13143">
                  <c:v>31.43</c:v>
                </c:pt>
                <c:pt idx="13144">
                  <c:v>31.44</c:v>
                </c:pt>
                <c:pt idx="13145">
                  <c:v>31.45</c:v>
                </c:pt>
                <c:pt idx="13146">
                  <c:v>31.46</c:v>
                </c:pt>
                <c:pt idx="13147">
                  <c:v>31.47</c:v>
                </c:pt>
                <c:pt idx="13148">
                  <c:v>31.48</c:v>
                </c:pt>
                <c:pt idx="13149">
                  <c:v>31.49</c:v>
                </c:pt>
                <c:pt idx="13150">
                  <c:v>31.5</c:v>
                </c:pt>
                <c:pt idx="13151">
                  <c:v>31.51</c:v>
                </c:pt>
                <c:pt idx="13152">
                  <c:v>31.52</c:v>
                </c:pt>
                <c:pt idx="13153">
                  <c:v>31.53</c:v>
                </c:pt>
                <c:pt idx="13154">
                  <c:v>31.54</c:v>
                </c:pt>
                <c:pt idx="13155">
                  <c:v>31.55</c:v>
                </c:pt>
                <c:pt idx="13156">
                  <c:v>31.56</c:v>
                </c:pt>
                <c:pt idx="13157">
                  <c:v>31.57</c:v>
                </c:pt>
                <c:pt idx="13158">
                  <c:v>31.58</c:v>
                </c:pt>
                <c:pt idx="13159">
                  <c:v>31.59</c:v>
                </c:pt>
                <c:pt idx="13160">
                  <c:v>31.6</c:v>
                </c:pt>
                <c:pt idx="13161">
                  <c:v>31.61</c:v>
                </c:pt>
                <c:pt idx="13162">
                  <c:v>31.62</c:v>
                </c:pt>
                <c:pt idx="13163">
                  <c:v>31.63</c:v>
                </c:pt>
                <c:pt idx="13164">
                  <c:v>31.64</c:v>
                </c:pt>
                <c:pt idx="13165">
                  <c:v>31.65</c:v>
                </c:pt>
                <c:pt idx="13166">
                  <c:v>31.66</c:v>
                </c:pt>
                <c:pt idx="13167">
                  <c:v>31.67</c:v>
                </c:pt>
                <c:pt idx="13168">
                  <c:v>31.68</c:v>
                </c:pt>
                <c:pt idx="13169">
                  <c:v>31.69</c:v>
                </c:pt>
                <c:pt idx="13170">
                  <c:v>31.7</c:v>
                </c:pt>
                <c:pt idx="13171">
                  <c:v>31.71</c:v>
                </c:pt>
                <c:pt idx="13172">
                  <c:v>31.72</c:v>
                </c:pt>
                <c:pt idx="13173">
                  <c:v>31.73</c:v>
                </c:pt>
                <c:pt idx="13174">
                  <c:v>31.74</c:v>
                </c:pt>
                <c:pt idx="13175">
                  <c:v>31.75</c:v>
                </c:pt>
                <c:pt idx="13176">
                  <c:v>31.76</c:v>
                </c:pt>
                <c:pt idx="13177">
                  <c:v>31.77</c:v>
                </c:pt>
                <c:pt idx="13178">
                  <c:v>31.78</c:v>
                </c:pt>
                <c:pt idx="13179">
                  <c:v>31.79</c:v>
                </c:pt>
                <c:pt idx="13180">
                  <c:v>31.8</c:v>
                </c:pt>
                <c:pt idx="13181">
                  <c:v>31.81</c:v>
                </c:pt>
                <c:pt idx="13182">
                  <c:v>31.82</c:v>
                </c:pt>
                <c:pt idx="13183">
                  <c:v>31.83</c:v>
                </c:pt>
                <c:pt idx="13184">
                  <c:v>31.84</c:v>
                </c:pt>
                <c:pt idx="13185">
                  <c:v>31.85</c:v>
                </c:pt>
                <c:pt idx="13186">
                  <c:v>31.86</c:v>
                </c:pt>
                <c:pt idx="13187">
                  <c:v>31.87</c:v>
                </c:pt>
                <c:pt idx="13188">
                  <c:v>31.88</c:v>
                </c:pt>
                <c:pt idx="13189">
                  <c:v>31.89</c:v>
                </c:pt>
                <c:pt idx="13190">
                  <c:v>31.9</c:v>
                </c:pt>
                <c:pt idx="13191">
                  <c:v>31.91</c:v>
                </c:pt>
                <c:pt idx="13192">
                  <c:v>31.92</c:v>
                </c:pt>
                <c:pt idx="13193">
                  <c:v>31.93</c:v>
                </c:pt>
                <c:pt idx="13194">
                  <c:v>31.94</c:v>
                </c:pt>
                <c:pt idx="13195">
                  <c:v>31.95</c:v>
                </c:pt>
                <c:pt idx="13196">
                  <c:v>31.96</c:v>
                </c:pt>
                <c:pt idx="13197">
                  <c:v>31.97</c:v>
                </c:pt>
                <c:pt idx="13198">
                  <c:v>31.98</c:v>
                </c:pt>
                <c:pt idx="13199">
                  <c:v>31.99</c:v>
                </c:pt>
                <c:pt idx="13200">
                  <c:v>32.0</c:v>
                </c:pt>
                <c:pt idx="13201">
                  <c:v>32.01</c:v>
                </c:pt>
                <c:pt idx="13202">
                  <c:v>32.02</c:v>
                </c:pt>
                <c:pt idx="13203">
                  <c:v>32.03</c:v>
                </c:pt>
                <c:pt idx="13204">
                  <c:v>32.04</c:v>
                </c:pt>
                <c:pt idx="13205">
                  <c:v>32.05</c:v>
                </c:pt>
                <c:pt idx="13206">
                  <c:v>32.06</c:v>
                </c:pt>
                <c:pt idx="13207">
                  <c:v>32.07</c:v>
                </c:pt>
                <c:pt idx="13208">
                  <c:v>32.08</c:v>
                </c:pt>
                <c:pt idx="13209">
                  <c:v>32.09</c:v>
                </c:pt>
                <c:pt idx="13210">
                  <c:v>32.1</c:v>
                </c:pt>
                <c:pt idx="13211">
                  <c:v>32.11</c:v>
                </c:pt>
                <c:pt idx="13212">
                  <c:v>32.12</c:v>
                </c:pt>
                <c:pt idx="13213">
                  <c:v>32.13</c:v>
                </c:pt>
                <c:pt idx="13214">
                  <c:v>32.14</c:v>
                </c:pt>
                <c:pt idx="13215">
                  <c:v>32.15</c:v>
                </c:pt>
                <c:pt idx="13216">
                  <c:v>32.16</c:v>
                </c:pt>
                <c:pt idx="13217">
                  <c:v>32.17</c:v>
                </c:pt>
                <c:pt idx="13218">
                  <c:v>32.18</c:v>
                </c:pt>
                <c:pt idx="13219">
                  <c:v>32.19</c:v>
                </c:pt>
                <c:pt idx="13220">
                  <c:v>32.2</c:v>
                </c:pt>
                <c:pt idx="13221">
                  <c:v>32.21</c:v>
                </c:pt>
                <c:pt idx="13222">
                  <c:v>32.22</c:v>
                </c:pt>
                <c:pt idx="13223">
                  <c:v>32.23</c:v>
                </c:pt>
                <c:pt idx="13224">
                  <c:v>32.24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32.27</c:v>
                </c:pt>
                <c:pt idx="13228">
                  <c:v>32.28</c:v>
                </c:pt>
                <c:pt idx="13229">
                  <c:v>32.29</c:v>
                </c:pt>
                <c:pt idx="13230">
                  <c:v>32.3</c:v>
                </c:pt>
                <c:pt idx="13231">
                  <c:v>32.31</c:v>
                </c:pt>
                <c:pt idx="13232">
                  <c:v>32.32</c:v>
                </c:pt>
                <c:pt idx="13233">
                  <c:v>32.33</c:v>
                </c:pt>
                <c:pt idx="13234">
                  <c:v>32.34</c:v>
                </c:pt>
                <c:pt idx="13235">
                  <c:v>32.35</c:v>
                </c:pt>
                <c:pt idx="13236">
                  <c:v>32.36</c:v>
                </c:pt>
                <c:pt idx="13237">
                  <c:v>32.37</c:v>
                </c:pt>
                <c:pt idx="13238">
                  <c:v>32.38</c:v>
                </c:pt>
                <c:pt idx="13239">
                  <c:v>32.39</c:v>
                </c:pt>
                <c:pt idx="13240">
                  <c:v>32.4</c:v>
                </c:pt>
                <c:pt idx="13241">
                  <c:v>32.41</c:v>
                </c:pt>
                <c:pt idx="13242">
                  <c:v>32.42</c:v>
                </c:pt>
                <c:pt idx="13243">
                  <c:v>32.43</c:v>
                </c:pt>
                <c:pt idx="13244">
                  <c:v>32.44</c:v>
                </c:pt>
                <c:pt idx="13245">
                  <c:v>32.45</c:v>
                </c:pt>
                <c:pt idx="13246">
                  <c:v>32.46</c:v>
                </c:pt>
                <c:pt idx="13247">
                  <c:v>32.47</c:v>
                </c:pt>
                <c:pt idx="13248">
                  <c:v>32.48</c:v>
                </c:pt>
                <c:pt idx="13249">
                  <c:v>32.49</c:v>
                </c:pt>
                <c:pt idx="13250">
                  <c:v>32.5</c:v>
                </c:pt>
                <c:pt idx="13251">
                  <c:v>32.51</c:v>
                </c:pt>
                <c:pt idx="13252">
                  <c:v>32.52</c:v>
                </c:pt>
                <c:pt idx="13253">
                  <c:v>32.53</c:v>
                </c:pt>
                <c:pt idx="13254">
                  <c:v>32.54</c:v>
                </c:pt>
                <c:pt idx="13255">
                  <c:v>32.55</c:v>
                </c:pt>
                <c:pt idx="13256">
                  <c:v>32.56</c:v>
                </c:pt>
                <c:pt idx="13257">
                  <c:v>32.57</c:v>
                </c:pt>
                <c:pt idx="13258">
                  <c:v>32.58</c:v>
                </c:pt>
                <c:pt idx="13259">
                  <c:v>32.59</c:v>
                </c:pt>
                <c:pt idx="13260">
                  <c:v>32.6</c:v>
                </c:pt>
                <c:pt idx="13261">
                  <c:v>32.61</c:v>
                </c:pt>
                <c:pt idx="13262">
                  <c:v>32.62</c:v>
                </c:pt>
                <c:pt idx="13263">
                  <c:v>32.63</c:v>
                </c:pt>
                <c:pt idx="13264">
                  <c:v>32.64</c:v>
                </c:pt>
                <c:pt idx="13265">
                  <c:v>32.65</c:v>
                </c:pt>
                <c:pt idx="13266">
                  <c:v>32.66</c:v>
                </c:pt>
                <c:pt idx="13267">
                  <c:v>32.67</c:v>
                </c:pt>
                <c:pt idx="13268">
                  <c:v>32.68</c:v>
                </c:pt>
                <c:pt idx="13269">
                  <c:v>32.69</c:v>
                </c:pt>
                <c:pt idx="13270">
                  <c:v>32.7</c:v>
                </c:pt>
                <c:pt idx="13271">
                  <c:v>32.71</c:v>
                </c:pt>
                <c:pt idx="13272">
                  <c:v>32.72</c:v>
                </c:pt>
                <c:pt idx="13273">
                  <c:v>32.73</c:v>
                </c:pt>
                <c:pt idx="13274">
                  <c:v>32.74</c:v>
                </c:pt>
                <c:pt idx="13275">
                  <c:v>32.75</c:v>
                </c:pt>
                <c:pt idx="13276">
                  <c:v>32.76</c:v>
                </c:pt>
                <c:pt idx="13277">
                  <c:v>32.77</c:v>
                </c:pt>
                <c:pt idx="13278">
                  <c:v>32.78</c:v>
                </c:pt>
                <c:pt idx="13279">
                  <c:v>32.79</c:v>
                </c:pt>
                <c:pt idx="13280">
                  <c:v>32.8</c:v>
                </c:pt>
                <c:pt idx="13281">
                  <c:v>32.81</c:v>
                </c:pt>
                <c:pt idx="13282">
                  <c:v>32.82</c:v>
                </c:pt>
                <c:pt idx="13283">
                  <c:v>32.83</c:v>
                </c:pt>
                <c:pt idx="13284">
                  <c:v>32.84</c:v>
                </c:pt>
                <c:pt idx="13285">
                  <c:v>32.85</c:v>
                </c:pt>
                <c:pt idx="13286">
                  <c:v>32.86</c:v>
                </c:pt>
                <c:pt idx="13287">
                  <c:v>32.87</c:v>
                </c:pt>
                <c:pt idx="13288">
                  <c:v>32.88</c:v>
                </c:pt>
                <c:pt idx="13289">
                  <c:v>32.89</c:v>
                </c:pt>
                <c:pt idx="13290">
                  <c:v>32.9</c:v>
                </c:pt>
                <c:pt idx="13291">
                  <c:v>32.91</c:v>
                </c:pt>
                <c:pt idx="13292">
                  <c:v>32.92</c:v>
                </c:pt>
                <c:pt idx="13293">
                  <c:v>32.93</c:v>
                </c:pt>
                <c:pt idx="13294">
                  <c:v>32.94</c:v>
                </c:pt>
                <c:pt idx="13295">
                  <c:v>32.95</c:v>
                </c:pt>
                <c:pt idx="13296">
                  <c:v>32.96</c:v>
                </c:pt>
                <c:pt idx="13297">
                  <c:v>32.97</c:v>
                </c:pt>
                <c:pt idx="13298">
                  <c:v>32.98</c:v>
                </c:pt>
                <c:pt idx="13299">
                  <c:v>32.99</c:v>
                </c:pt>
                <c:pt idx="13300">
                  <c:v>33.0</c:v>
                </c:pt>
                <c:pt idx="13301">
                  <c:v>33.01</c:v>
                </c:pt>
                <c:pt idx="13302">
                  <c:v>33.02</c:v>
                </c:pt>
                <c:pt idx="13303">
                  <c:v>33.03</c:v>
                </c:pt>
                <c:pt idx="13304">
                  <c:v>33.04</c:v>
                </c:pt>
                <c:pt idx="13305">
                  <c:v>33.05</c:v>
                </c:pt>
                <c:pt idx="13306">
                  <c:v>33.06</c:v>
                </c:pt>
                <c:pt idx="13307">
                  <c:v>33.07</c:v>
                </c:pt>
                <c:pt idx="13308">
                  <c:v>33.08</c:v>
                </c:pt>
                <c:pt idx="13309">
                  <c:v>33.09</c:v>
                </c:pt>
                <c:pt idx="13310">
                  <c:v>33.1</c:v>
                </c:pt>
                <c:pt idx="13311">
                  <c:v>33.11</c:v>
                </c:pt>
                <c:pt idx="13312">
                  <c:v>33.12</c:v>
                </c:pt>
                <c:pt idx="13313">
                  <c:v>33.13</c:v>
                </c:pt>
                <c:pt idx="13314">
                  <c:v>33.14</c:v>
                </c:pt>
                <c:pt idx="13315">
                  <c:v>33.15</c:v>
                </c:pt>
                <c:pt idx="13316">
                  <c:v>33.16</c:v>
                </c:pt>
                <c:pt idx="13317">
                  <c:v>33.17</c:v>
                </c:pt>
                <c:pt idx="13318">
                  <c:v>33.18</c:v>
                </c:pt>
                <c:pt idx="13319">
                  <c:v>33.19</c:v>
                </c:pt>
                <c:pt idx="13320">
                  <c:v>33.2</c:v>
                </c:pt>
                <c:pt idx="13321">
                  <c:v>33.21</c:v>
                </c:pt>
                <c:pt idx="13322">
                  <c:v>33.22</c:v>
                </c:pt>
                <c:pt idx="13323">
                  <c:v>33.23</c:v>
                </c:pt>
                <c:pt idx="13324">
                  <c:v>33.24</c:v>
                </c:pt>
                <c:pt idx="13325">
                  <c:v>33.25</c:v>
                </c:pt>
                <c:pt idx="13326">
                  <c:v>33.26</c:v>
                </c:pt>
                <c:pt idx="13327">
                  <c:v>33.27</c:v>
                </c:pt>
                <c:pt idx="13328">
                  <c:v>33.28</c:v>
                </c:pt>
                <c:pt idx="13329">
                  <c:v>33.29</c:v>
                </c:pt>
                <c:pt idx="13330">
                  <c:v>33.3</c:v>
                </c:pt>
                <c:pt idx="13331">
                  <c:v>33.31</c:v>
                </c:pt>
                <c:pt idx="13332">
                  <c:v>33.32</c:v>
                </c:pt>
                <c:pt idx="13333">
                  <c:v>33.33</c:v>
                </c:pt>
                <c:pt idx="13334">
                  <c:v>33.34</c:v>
                </c:pt>
                <c:pt idx="13335">
                  <c:v>33.35</c:v>
                </c:pt>
                <c:pt idx="13336">
                  <c:v>33.36</c:v>
                </c:pt>
                <c:pt idx="13337">
                  <c:v>33.37</c:v>
                </c:pt>
                <c:pt idx="13338">
                  <c:v>33.38</c:v>
                </c:pt>
                <c:pt idx="13339">
                  <c:v>33.39</c:v>
                </c:pt>
                <c:pt idx="13340">
                  <c:v>33.4</c:v>
                </c:pt>
                <c:pt idx="13341">
                  <c:v>33.41</c:v>
                </c:pt>
                <c:pt idx="13342">
                  <c:v>33.42</c:v>
                </c:pt>
                <c:pt idx="13343">
                  <c:v>33.43</c:v>
                </c:pt>
                <c:pt idx="13344">
                  <c:v>33.44</c:v>
                </c:pt>
                <c:pt idx="13345">
                  <c:v>33.45</c:v>
                </c:pt>
                <c:pt idx="13346">
                  <c:v>33.46</c:v>
                </c:pt>
                <c:pt idx="13347">
                  <c:v>33.47</c:v>
                </c:pt>
                <c:pt idx="13348">
                  <c:v>33.48</c:v>
                </c:pt>
                <c:pt idx="13349">
                  <c:v>33.49</c:v>
                </c:pt>
                <c:pt idx="13350">
                  <c:v>33.5</c:v>
                </c:pt>
                <c:pt idx="13351">
                  <c:v>33.51</c:v>
                </c:pt>
                <c:pt idx="13352">
                  <c:v>33.52</c:v>
                </c:pt>
                <c:pt idx="13353">
                  <c:v>33.53</c:v>
                </c:pt>
                <c:pt idx="13354">
                  <c:v>33.54</c:v>
                </c:pt>
                <c:pt idx="13355">
                  <c:v>33.55</c:v>
                </c:pt>
                <c:pt idx="13356">
                  <c:v>33.56</c:v>
                </c:pt>
                <c:pt idx="13357">
                  <c:v>33.57</c:v>
                </c:pt>
                <c:pt idx="13358">
                  <c:v>33.58</c:v>
                </c:pt>
                <c:pt idx="13359">
                  <c:v>33.59</c:v>
                </c:pt>
                <c:pt idx="13360">
                  <c:v>33.6</c:v>
                </c:pt>
                <c:pt idx="13361">
                  <c:v>33.61</c:v>
                </c:pt>
                <c:pt idx="13362">
                  <c:v>33.62</c:v>
                </c:pt>
                <c:pt idx="13363">
                  <c:v>33.63</c:v>
                </c:pt>
                <c:pt idx="13364">
                  <c:v>33.64</c:v>
                </c:pt>
                <c:pt idx="13365">
                  <c:v>33.65</c:v>
                </c:pt>
                <c:pt idx="13366">
                  <c:v>33.66</c:v>
                </c:pt>
                <c:pt idx="13367">
                  <c:v>33.67</c:v>
                </c:pt>
                <c:pt idx="13368">
                  <c:v>33.68</c:v>
                </c:pt>
                <c:pt idx="13369">
                  <c:v>33.69</c:v>
                </c:pt>
                <c:pt idx="13370">
                  <c:v>33.7</c:v>
                </c:pt>
                <c:pt idx="13371">
                  <c:v>33.71</c:v>
                </c:pt>
                <c:pt idx="13372">
                  <c:v>33.72</c:v>
                </c:pt>
                <c:pt idx="13373">
                  <c:v>33.73</c:v>
                </c:pt>
                <c:pt idx="13374">
                  <c:v>33.74</c:v>
                </c:pt>
                <c:pt idx="13375">
                  <c:v>33.75</c:v>
                </c:pt>
                <c:pt idx="13376">
                  <c:v>33.76</c:v>
                </c:pt>
                <c:pt idx="13377">
                  <c:v>33.77</c:v>
                </c:pt>
                <c:pt idx="13378">
                  <c:v>33.78</c:v>
                </c:pt>
                <c:pt idx="13379">
                  <c:v>33.79</c:v>
                </c:pt>
                <c:pt idx="13380">
                  <c:v>33.8</c:v>
                </c:pt>
                <c:pt idx="13381">
                  <c:v>33.81</c:v>
                </c:pt>
                <c:pt idx="13382">
                  <c:v>33.82</c:v>
                </c:pt>
                <c:pt idx="13383">
                  <c:v>33.83</c:v>
                </c:pt>
                <c:pt idx="13384">
                  <c:v>33.84</c:v>
                </c:pt>
                <c:pt idx="13385">
                  <c:v>33.85</c:v>
                </c:pt>
                <c:pt idx="13386">
                  <c:v>33.86</c:v>
                </c:pt>
                <c:pt idx="13387">
                  <c:v>33.87</c:v>
                </c:pt>
                <c:pt idx="13388">
                  <c:v>33.88</c:v>
                </c:pt>
                <c:pt idx="13389">
                  <c:v>33.89</c:v>
                </c:pt>
                <c:pt idx="13390">
                  <c:v>33.9</c:v>
                </c:pt>
                <c:pt idx="13391">
                  <c:v>33.91</c:v>
                </c:pt>
                <c:pt idx="13392">
                  <c:v>33.92</c:v>
                </c:pt>
                <c:pt idx="13393">
                  <c:v>33.93</c:v>
                </c:pt>
                <c:pt idx="13394">
                  <c:v>33.94</c:v>
                </c:pt>
                <c:pt idx="13395">
                  <c:v>33.95</c:v>
                </c:pt>
                <c:pt idx="13396">
                  <c:v>33.96</c:v>
                </c:pt>
                <c:pt idx="13397">
                  <c:v>33.97</c:v>
                </c:pt>
                <c:pt idx="13398">
                  <c:v>33.98</c:v>
                </c:pt>
                <c:pt idx="13399">
                  <c:v>33.99</c:v>
                </c:pt>
                <c:pt idx="13400">
                  <c:v>34.0</c:v>
                </c:pt>
                <c:pt idx="13401">
                  <c:v>34.01</c:v>
                </c:pt>
                <c:pt idx="13402">
                  <c:v>34.02</c:v>
                </c:pt>
                <c:pt idx="13403">
                  <c:v>34.03</c:v>
                </c:pt>
                <c:pt idx="13404">
                  <c:v>34.04</c:v>
                </c:pt>
                <c:pt idx="13405">
                  <c:v>34.05</c:v>
                </c:pt>
                <c:pt idx="13406">
                  <c:v>34.06</c:v>
                </c:pt>
                <c:pt idx="13407">
                  <c:v>34.07</c:v>
                </c:pt>
                <c:pt idx="13408">
                  <c:v>34.08</c:v>
                </c:pt>
                <c:pt idx="13409">
                  <c:v>34.09</c:v>
                </c:pt>
                <c:pt idx="13410">
                  <c:v>34.1</c:v>
                </c:pt>
                <c:pt idx="13411">
                  <c:v>34.11</c:v>
                </c:pt>
                <c:pt idx="13412">
                  <c:v>34.12</c:v>
                </c:pt>
                <c:pt idx="13413">
                  <c:v>34.13</c:v>
                </c:pt>
                <c:pt idx="13414">
                  <c:v>34.14</c:v>
                </c:pt>
                <c:pt idx="13415">
                  <c:v>34.15</c:v>
                </c:pt>
                <c:pt idx="13416">
                  <c:v>34.16</c:v>
                </c:pt>
                <c:pt idx="13417">
                  <c:v>34.17</c:v>
                </c:pt>
                <c:pt idx="13418">
                  <c:v>34.18</c:v>
                </c:pt>
                <c:pt idx="13419">
                  <c:v>34.19</c:v>
                </c:pt>
                <c:pt idx="13420">
                  <c:v>34.2</c:v>
                </c:pt>
                <c:pt idx="13421">
                  <c:v>34.21</c:v>
                </c:pt>
                <c:pt idx="13422">
                  <c:v>34.22</c:v>
                </c:pt>
                <c:pt idx="13423">
                  <c:v>34.23</c:v>
                </c:pt>
                <c:pt idx="13424">
                  <c:v>34.24</c:v>
                </c:pt>
                <c:pt idx="13425">
                  <c:v>34.25</c:v>
                </c:pt>
                <c:pt idx="13426">
                  <c:v>34.26</c:v>
                </c:pt>
                <c:pt idx="13427">
                  <c:v>34.27</c:v>
                </c:pt>
                <c:pt idx="13428">
                  <c:v>34.28</c:v>
                </c:pt>
                <c:pt idx="13429">
                  <c:v>34.29</c:v>
                </c:pt>
                <c:pt idx="13430">
                  <c:v>34.3</c:v>
                </c:pt>
                <c:pt idx="13431">
                  <c:v>34.31</c:v>
                </c:pt>
                <c:pt idx="13432">
                  <c:v>34.32</c:v>
                </c:pt>
                <c:pt idx="13433">
                  <c:v>34.33</c:v>
                </c:pt>
                <c:pt idx="13434">
                  <c:v>34.34</c:v>
                </c:pt>
                <c:pt idx="13435">
                  <c:v>34.35</c:v>
                </c:pt>
                <c:pt idx="13436">
                  <c:v>34.36</c:v>
                </c:pt>
                <c:pt idx="13437">
                  <c:v>34.37</c:v>
                </c:pt>
                <c:pt idx="13438">
                  <c:v>34.38</c:v>
                </c:pt>
                <c:pt idx="13439">
                  <c:v>34.39</c:v>
                </c:pt>
                <c:pt idx="13440">
                  <c:v>34.4</c:v>
                </c:pt>
                <c:pt idx="13441">
                  <c:v>34.41</c:v>
                </c:pt>
                <c:pt idx="13442">
                  <c:v>34.42</c:v>
                </c:pt>
                <c:pt idx="13443">
                  <c:v>34.43</c:v>
                </c:pt>
                <c:pt idx="13444">
                  <c:v>34.44</c:v>
                </c:pt>
                <c:pt idx="13445">
                  <c:v>34.45</c:v>
                </c:pt>
                <c:pt idx="13446">
                  <c:v>34.46</c:v>
                </c:pt>
                <c:pt idx="13447">
                  <c:v>34.47</c:v>
                </c:pt>
                <c:pt idx="13448">
                  <c:v>34.48</c:v>
                </c:pt>
                <c:pt idx="13449">
                  <c:v>34.49</c:v>
                </c:pt>
                <c:pt idx="13450">
                  <c:v>34.5</c:v>
                </c:pt>
                <c:pt idx="13451">
                  <c:v>34.51</c:v>
                </c:pt>
                <c:pt idx="13452">
                  <c:v>34.52</c:v>
                </c:pt>
                <c:pt idx="13453">
                  <c:v>34.53</c:v>
                </c:pt>
                <c:pt idx="13454">
                  <c:v>34.54</c:v>
                </c:pt>
                <c:pt idx="13455">
                  <c:v>34.55</c:v>
                </c:pt>
                <c:pt idx="13456">
                  <c:v>34.56</c:v>
                </c:pt>
                <c:pt idx="13457">
                  <c:v>34.57</c:v>
                </c:pt>
                <c:pt idx="13458">
                  <c:v>34.58</c:v>
                </c:pt>
                <c:pt idx="13459">
                  <c:v>34.59</c:v>
                </c:pt>
                <c:pt idx="13460">
                  <c:v>34.6</c:v>
                </c:pt>
                <c:pt idx="13461">
                  <c:v>34.61</c:v>
                </c:pt>
                <c:pt idx="13462">
                  <c:v>34.62</c:v>
                </c:pt>
                <c:pt idx="13463">
                  <c:v>34.63</c:v>
                </c:pt>
                <c:pt idx="13464">
                  <c:v>34.64</c:v>
                </c:pt>
                <c:pt idx="13465">
                  <c:v>34.65</c:v>
                </c:pt>
                <c:pt idx="13466">
                  <c:v>34.66</c:v>
                </c:pt>
                <c:pt idx="13467">
                  <c:v>34.67</c:v>
                </c:pt>
                <c:pt idx="13468">
                  <c:v>34.68</c:v>
                </c:pt>
                <c:pt idx="13469">
                  <c:v>34.69</c:v>
                </c:pt>
                <c:pt idx="13470">
                  <c:v>34.7</c:v>
                </c:pt>
                <c:pt idx="13471">
                  <c:v>34.71</c:v>
                </c:pt>
                <c:pt idx="13472">
                  <c:v>34.72</c:v>
                </c:pt>
                <c:pt idx="13473">
                  <c:v>34.73</c:v>
                </c:pt>
                <c:pt idx="13474">
                  <c:v>34.74</c:v>
                </c:pt>
                <c:pt idx="13475">
                  <c:v>34.75</c:v>
                </c:pt>
                <c:pt idx="13476">
                  <c:v>34.76</c:v>
                </c:pt>
                <c:pt idx="13477">
                  <c:v>34.77</c:v>
                </c:pt>
                <c:pt idx="13478">
                  <c:v>34.78</c:v>
                </c:pt>
                <c:pt idx="13479">
                  <c:v>34.79</c:v>
                </c:pt>
                <c:pt idx="13480">
                  <c:v>34.8</c:v>
                </c:pt>
                <c:pt idx="13481">
                  <c:v>34.81</c:v>
                </c:pt>
                <c:pt idx="13482">
                  <c:v>34.82</c:v>
                </c:pt>
                <c:pt idx="13483">
                  <c:v>34.83</c:v>
                </c:pt>
                <c:pt idx="13484">
                  <c:v>34.84</c:v>
                </c:pt>
                <c:pt idx="13485">
                  <c:v>34.85</c:v>
                </c:pt>
                <c:pt idx="13486">
                  <c:v>34.86</c:v>
                </c:pt>
                <c:pt idx="13487">
                  <c:v>34.87</c:v>
                </c:pt>
                <c:pt idx="13488">
                  <c:v>34.88</c:v>
                </c:pt>
                <c:pt idx="13489">
                  <c:v>34.89</c:v>
                </c:pt>
                <c:pt idx="13490">
                  <c:v>34.9</c:v>
                </c:pt>
                <c:pt idx="13491">
                  <c:v>34.91</c:v>
                </c:pt>
                <c:pt idx="13492">
                  <c:v>34.92</c:v>
                </c:pt>
                <c:pt idx="13493">
                  <c:v>34.93</c:v>
                </c:pt>
                <c:pt idx="13494">
                  <c:v>34.94</c:v>
                </c:pt>
                <c:pt idx="13495">
                  <c:v>34.95</c:v>
                </c:pt>
                <c:pt idx="13496">
                  <c:v>34.96</c:v>
                </c:pt>
                <c:pt idx="13497">
                  <c:v>34.97</c:v>
                </c:pt>
                <c:pt idx="13498">
                  <c:v>34.98</c:v>
                </c:pt>
                <c:pt idx="13499">
                  <c:v>34.99</c:v>
                </c:pt>
                <c:pt idx="13500">
                  <c:v>35.0</c:v>
                </c:pt>
                <c:pt idx="13501">
                  <c:v>35.01</c:v>
                </c:pt>
                <c:pt idx="13502">
                  <c:v>35.02</c:v>
                </c:pt>
                <c:pt idx="13503">
                  <c:v>35.03</c:v>
                </c:pt>
                <c:pt idx="13504">
                  <c:v>35.04</c:v>
                </c:pt>
                <c:pt idx="13505">
                  <c:v>35.05</c:v>
                </c:pt>
                <c:pt idx="13506">
                  <c:v>35.06</c:v>
                </c:pt>
                <c:pt idx="13507">
                  <c:v>35.07</c:v>
                </c:pt>
                <c:pt idx="13508">
                  <c:v>35.08</c:v>
                </c:pt>
                <c:pt idx="13509">
                  <c:v>35.09</c:v>
                </c:pt>
                <c:pt idx="13510">
                  <c:v>35.1</c:v>
                </c:pt>
                <c:pt idx="13511">
                  <c:v>35.11</c:v>
                </c:pt>
                <c:pt idx="13512">
                  <c:v>35.12</c:v>
                </c:pt>
                <c:pt idx="13513">
                  <c:v>35.13</c:v>
                </c:pt>
                <c:pt idx="13514">
                  <c:v>35.14</c:v>
                </c:pt>
                <c:pt idx="13515">
                  <c:v>35.15</c:v>
                </c:pt>
                <c:pt idx="13516">
                  <c:v>35.16</c:v>
                </c:pt>
                <c:pt idx="13517">
                  <c:v>35.17</c:v>
                </c:pt>
                <c:pt idx="13518">
                  <c:v>35.18</c:v>
                </c:pt>
                <c:pt idx="13519">
                  <c:v>35.19</c:v>
                </c:pt>
                <c:pt idx="13520">
                  <c:v>35.2</c:v>
                </c:pt>
                <c:pt idx="13521">
                  <c:v>35.21</c:v>
                </c:pt>
                <c:pt idx="13522">
                  <c:v>35.22</c:v>
                </c:pt>
                <c:pt idx="13523">
                  <c:v>35.23</c:v>
                </c:pt>
                <c:pt idx="13524">
                  <c:v>35.24</c:v>
                </c:pt>
                <c:pt idx="13525">
                  <c:v>35.25</c:v>
                </c:pt>
                <c:pt idx="13526">
                  <c:v>35.26</c:v>
                </c:pt>
                <c:pt idx="13527">
                  <c:v>35.27</c:v>
                </c:pt>
                <c:pt idx="13528">
                  <c:v>35.28</c:v>
                </c:pt>
                <c:pt idx="13529">
                  <c:v>35.29</c:v>
                </c:pt>
                <c:pt idx="13530">
                  <c:v>35.3</c:v>
                </c:pt>
                <c:pt idx="13531">
                  <c:v>35.31</c:v>
                </c:pt>
                <c:pt idx="13532">
                  <c:v>35.32</c:v>
                </c:pt>
                <c:pt idx="13533">
                  <c:v>35.33</c:v>
                </c:pt>
                <c:pt idx="13534">
                  <c:v>35.34</c:v>
                </c:pt>
                <c:pt idx="13535">
                  <c:v>35.35</c:v>
                </c:pt>
                <c:pt idx="13536">
                  <c:v>35.36</c:v>
                </c:pt>
                <c:pt idx="13537">
                  <c:v>35.37</c:v>
                </c:pt>
                <c:pt idx="13538">
                  <c:v>35.38</c:v>
                </c:pt>
                <c:pt idx="13539">
                  <c:v>35.39</c:v>
                </c:pt>
                <c:pt idx="13540">
                  <c:v>35.4</c:v>
                </c:pt>
                <c:pt idx="13541">
                  <c:v>35.41</c:v>
                </c:pt>
                <c:pt idx="13542">
                  <c:v>35.42</c:v>
                </c:pt>
                <c:pt idx="13543">
                  <c:v>35.43</c:v>
                </c:pt>
                <c:pt idx="13544">
                  <c:v>35.44</c:v>
                </c:pt>
                <c:pt idx="13545">
                  <c:v>35.45</c:v>
                </c:pt>
                <c:pt idx="13546">
                  <c:v>35.46</c:v>
                </c:pt>
                <c:pt idx="13547">
                  <c:v>35.47</c:v>
                </c:pt>
                <c:pt idx="13548">
                  <c:v>35.48</c:v>
                </c:pt>
                <c:pt idx="13549">
                  <c:v>35.49</c:v>
                </c:pt>
                <c:pt idx="13550">
                  <c:v>35.5</c:v>
                </c:pt>
                <c:pt idx="13551">
                  <c:v>35.51</c:v>
                </c:pt>
                <c:pt idx="13552">
                  <c:v>35.52</c:v>
                </c:pt>
                <c:pt idx="13553">
                  <c:v>35.53</c:v>
                </c:pt>
                <c:pt idx="13554">
                  <c:v>35.54</c:v>
                </c:pt>
                <c:pt idx="13555">
                  <c:v>35.55</c:v>
                </c:pt>
                <c:pt idx="13556">
                  <c:v>35.56</c:v>
                </c:pt>
                <c:pt idx="13557">
                  <c:v>35.57</c:v>
                </c:pt>
                <c:pt idx="13558">
                  <c:v>35.58</c:v>
                </c:pt>
                <c:pt idx="13559">
                  <c:v>35.59</c:v>
                </c:pt>
                <c:pt idx="13560">
                  <c:v>35.6</c:v>
                </c:pt>
                <c:pt idx="13561">
                  <c:v>35.61</c:v>
                </c:pt>
                <c:pt idx="13562">
                  <c:v>35.62</c:v>
                </c:pt>
                <c:pt idx="13563">
                  <c:v>35.63</c:v>
                </c:pt>
                <c:pt idx="13564">
                  <c:v>35.64</c:v>
                </c:pt>
                <c:pt idx="13565">
                  <c:v>35.65</c:v>
                </c:pt>
                <c:pt idx="13566">
                  <c:v>35.66</c:v>
                </c:pt>
                <c:pt idx="13567">
                  <c:v>35.67</c:v>
                </c:pt>
                <c:pt idx="13568">
                  <c:v>35.68</c:v>
                </c:pt>
                <c:pt idx="13569">
                  <c:v>35.69</c:v>
                </c:pt>
                <c:pt idx="13570">
                  <c:v>35.7</c:v>
                </c:pt>
                <c:pt idx="13571">
                  <c:v>35.71</c:v>
                </c:pt>
                <c:pt idx="13572">
                  <c:v>35.72</c:v>
                </c:pt>
                <c:pt idx="13573">
                  <c:v>35.73</c:v>
                </c:pt>
                <c:pt idx="13574">
                  <c:v>35.74</c:v>
                </c:pt>
                <c:pt idx="13575">
                  <c:v>35.75</c:v>
                </c:pt>
                <c:pt idx="13576">
                  <c:v>35.76</c:v>
                </c:pt>
                <c:pt idx="13577">
                  <c:v>35.77</c:v>
                </c:pt>
                <c:pt idx="13578">
                  <c:v>35.78</c:v>
                </c:pt>
                <c:pt idx="13579">
                  <c:v>35.79</c:v>
                </c:pt>
                <c:pt idx="13580">
                  <c:v>35.8</c:v>
                </c:pt>
                <c:pt idx="13581">
                  <c:v>35.81</c:v>
                </c:pt>
                <c:pt idx="13582">
                  <c:v>35.82</c:v>
                </c:pt>
                <c:pt idx="13583">
                  <c:v>35.83</c:v>
                </c:pt>
                <c:pt idx="13584">
                  <c:v>35.84</c:v>
                </c:pt>
                <c:pt idx="13585">
                  <c:v>35.85</c:v>
                </c:pt>
                <c:pt idx="13586">
                  <c:v>35.86</c:v>
                </c:pt>
                <c:pt idx="13587">
                  <c:v>35.87</c:v>
                </c:pt>
                <c:pt idx="13588">
                  <c:v>35.88</c:v>
                </c:pt>
                <c:pt idx="13589">
                  <c:v>35.89</c:v>
                </c:pt>
                <c:pt idx="13590">
                  <c:v>35.9</c:v>
                </c:pt>
                <c:pt idx="13591">
                  <c:v>35.91</c:v>
                </c:pt>
                <c:pt idx="13592">
                  <c:v>35.92</c:v>
                </c:pt>
                <c:pt idx="13593">
                  <c:v>35.93</c:v>
                </c:pt>
                <c:pt idx="13594">
                  <c:v>35.94</c:v>
                </c:pt>
                <c:pt idx="13595">
                  <c:v>35.95</c:v>
                </c:pt>
                <c:pt idx="13596">
                  <c:v>35.96</c:v>
                </c:pt>
                <c:pt idx="13597">
                  <c:v>35.97</c:v>
                </c:pt>
                <c:pt idx="13598">
                  <c:v>35.98</c:v>
                </c:pt>
                <c:pt idx="13599">
                  <c:v>35.99</c:v>
                </c:pt>
                <c:pt idx="13600">
                  <c:v>36.0</c:v>
                </c:pt>
                <c:pt idx="13601">
                  <c:v>36.01</c:v>
                </c:pt>
                <c:pt idx="13602">
                  <c:v>36.02</c:v>
                </c:pt>
                <c:pt idx="13603">
                  <c:v>36.03</c:v>
                </c:pt>
                <c:pt idx="13604">
                  <c:v>36.04</c:v>
                </c:pt>
                <c:pt idx="13605">
                  <c:v>36.05</c:v>
                </c:pt>
                <c:pt idx="13606">
                  <c:v>36.06</c:v>
                </c:pt>
                <c:pt idx="13607">
                  <c:v>36.07</c:v>
                </c:pt>
                <c:pt idx="13608">
                  <c:v>36.08</c:v>
                </c:pt>
                <c:pt idx="13609">
                  <c:v>36.09</c:v>
                </c:pt>
                <c:pt idx="13610">
                  <c:v>36.1</c:v>
                </c:pt>
                <c:pt idx="13611">
                  <c:v>36.11</c:v>
                </c:pt>
                <c:pt idx="13612">
                  <c:v>36.12</c:v>
                </c:pt>
                <c:pt idx="13613">
                  <c:v>36.13</c:v>
                </c:pt>
                <c:pt idx="13614">
                  <c:v>36.14</c:v>
                </c:pt>
                <c:pt idx="13615">
                  <c:v>36.15</c:v>
                </c:pt>
                <c:pt idx="13616">
                  <c:v>36.16</c:v>
                </c:pt>
                <c:pt idx="13617">
                  <c:v>36.17</c:v>
                </c:pt>
                <c:pt idx="13618">
                  <c:v>36.18</c:v>
                </c:pt>
                <c:pt idx="13619">
                  <c:v>36.19</c:v>
                </c:pt>
                <c:pt idx="13620">
                  <c:v>36.2</c:v>
                </c:pt>
                <c:pt idx="13621">
                  <c:v>36.21</c:v>
                </c:pt>
                <c:pt idx="13622">
                  <c:v>36.22</c:v>
                </c:pt>
                <c:pt idx="13623">
                  <c:v>36.23</c:v>
                </c:pt>
                <c:pt idx="13624">
                  <c:v>36.24</c:v>
                </c:pt>
                <c:pt idx="13625">
                  <c:v>36.25</c:v>
                </c:pt>
                <c:pt idx="13626">
                  <c:v>36.26</c:v>
                </c:pt>
                <c:pt idx="13627">
                  <c:v>36.27</c:v>
                </c:pt>
                <c:pt idx="13628">
                  <c:v>36.28</c:v>
                </c:pt>
                <c:pt idx="13629">
                  <c:v>36.29</c:v>
                </c:pt>
                <c:pt idx="13630">
                  <c:v>36.3</c:v>
                </c:pt>
                <c:pt idx="13631">
                  <c:v>36.31</c:v>
                </c:pt>
                <c:pt idx="13632">
                  <c:v>36.32</c:v>
                </c:pt>
                <c:pt idx="13633">
                  <c:v>36.33</c:v>
                </c:pt>
                <c:pt idx="13634">
                  <c:v>36.34</c:v>
                </c:pt>
                <c:pt idx="13635">
                  <c:v>36.35</c:v>
                </c:pt>
                <c:pt idx="13636">
                  <c:v>36.36</c:v>
                </c:pt>
                <c:pt idx="13637">
                  <c:v>36.37</c:v>
                </c:pt>
                <c:pt idx="13638">
                  <c:v>36.38</c:v>
                </c:pt>
                <c:pt idx="13639">
                  <c:v>36.39</c:v>
                </c:pt>
                <c:pt idx="13640">
                  <c:v>36.4</c:v>
                </c:pt>
                <c:pt idx="13641">
                  <c:v>36.41</c:v>
                </c:pt>
                <c:pt idx="13642">
                  <c:v>36.42</c:v>
                </c:pt>
                <c:pt idx="13643">
                  <c:v>36.43</c:v>
                </c:pt>
                <c:pt idx="13644">
                  <c:v>36.44</c:v>
                </c:pt>
                <c:pt idx="13645">
                  <c:v>36.45</c:v>
                </c:pt>
                <c:pt idx="13646">
                  <c:v>36.46</c:v>
                </c:pt>
                <c:pt idx="13647">
                  <c:v>36.47</c:v>
                </c:pt>
                <c:pt idx="13648">
                  <c:v>36.48</c:v>
                </c:pt>
                <c:pt idx="13649">
                  <c:v>36.49</c:v>
                </c:pt>
                <c:pt idx="13650">
                  <c:v>36.5</c:v>
                </c:pt>
                <c:pt idx="13651">
                  <c:v>36.51</c:v>
                </c:pt>
                <c:pt idx="13652">
                  <c:v>36.52</c:v>
                </c:pt>
                <c:pt idx="13653">
                  <c:v>36.53</c:v>
                </c:pt>
                <c:pt idx="13654">
                  <c:v>36.54</c:v>
                </c:pt>
                <c:pt idx="13655">
                  <c:v>36.55</c:v>
                </c:pt>
                <c:pt idx="13656">
                  <c:v>36.56</c:v>
                </c:pt>
                <c:pt idx="13657">
                  <c:v>36.57</c:v>
                </c:pt>
                <c:pt idx="13658">
                  <c:v>36.58</c:v>
                </c:pt>
                <c:pt idx="13659">
                  <c:v>36.59</c:v>
                </c:pt>
                <c:pt idx="13660">
                  <c:v>36.6</c:v>
                </c:pt>
                <c:pt idx="13661">
                  <c:v>36.61</c:v>
                </c:pt>
                <c:pt idx="13662">
                  <c:v>36.62</c:v>
                </c:pt>
                <c:pt idx="13663">
                  <c:v>36.63</c:v>
                </c:pt>
                <c:pt idx="13664">
                  <c:v>36.64</c:v>
                </c:pt>
                <c:pt idx="13665">
                  <c:v>36.65</c:v>
                </c:pt>
                <c:pt idx="13666">
                  <c:v>36.66</c:v>
                </c:pt>
                <c:pt idx="13667">
                  <c:v>36.67</c:v>
                </c:pt>
                <c:pt idx="13668">
                  <c:v>36.68</c:v>
                </c:pt>
                <c:pt idx="13669">
                  <c:v>36.69</c:v>
                </c:pt>
                <c:pt idx="13670">
                  <c:v>36.7</c:v>
                </c:pt>
                <c:pt idx="13671">
                  <c:v>36.71</c:v>
                </c:pt>
                <c:pt idx="13672">
                  <c:v>36.72</c:v>
                </c:pt>
                <c:pt idx="13673">
                  <c:v>36.73</c:v>
                </c:pt>
                <c:pt idx="13674">
                  <c:v>36.74</c:v>
                </c:pt>
                <c:pt idx="13675">
                  <c:v>36.75</c:v>
                </c:pt>
                <c:pt idx="13676">
                  <c:v>36.76</c:v>
                </c:pt>
                <c:pt idx="13677">
                  <c:v>36.77</c:v>
                </c:pt>
                <c:pt idx="13678">
                  <c:v>36.78</c:v>
                </c:pt>
                <c:pt idx="13679">
                  <c:v>36.79</c:v>
                </c:pt>
                <c:pt idx="13680">
                  <c:v>36.8</c:v>
                </c:pt>
                <c:pt idx="13681">
                  <c:v>36.81</c:v>
                </c:pt>
                <c:pt idx="13682">
                  <c:v>36.82</c:v>
                </c:pt>
                <c:pt idx="13683">
                  <c:v>36.83</c:v>
                </c:pt>
                <c:pt idx="13684">
                  <c:v>36.84</c:v>
                </c:pt>
                <c:pt idx="13685">
                  <c:v>36.85</c:v>
                </c:pt>
                <c:pt idx="13686">
                  <c:v>36.86</c:v>
                </c:pt>
                <c:pt idx="13687">
                  <c:v>36.87</c:v>
                </c:pt>
                <c:pt idx="13688">
                  <c:v>36.88</c:v>
                </c:pt>
                <c:pt idx="13689">
                  <c:v>36.89</c:v>
                </c:pt>
                <c:pt idx="13690">
                  <c:v>36.9</c:v>
                </c:pt>
                <c:pt idx="13691">
                  <c:v>36.91</c:v>
                </c:pt>
                <c:pt idx="13692">
                  <c:v>36.92</c:v>
                </c:pt>
                <c:pt idx="13693">
                  <c:v>36.93</c:v>
                </c:pt>
                <c:pt idx="13694">
                  <c:v>36.94</c:v>
                </c:pt>
                <c:pt idx="13695">
                  <c:v>36.95</c:v>
                </c:pt>
                <c:pt idx="13696">
                  <c:v>36.96</c:v>
                </c:pt>
                <c:pt idx="13697">
                  <c:v>36.97</c:v>
                </c:pt>
                <c:pt idx="13698">
                  <c:v>36.98</c:v>
                </c:pt>
                <c:pt idx="13699">
                  <c:v>36.99</c:v>
                </c:pt>
                <c:pt idx="13700">
                  <c:v>37.0</c:v>
                </c:pt>
                <c:pt idx="13701">
                  <c:v>37.01</c:v>
                </c:pt>
                <c:pt idx="13702">
                  <c:v>37.02</c:v>
                </c:pt>
                <c:pt idx="13703">
                  <c:v>37.03</c:v>
                </c:pt>
                <c:pt idx="13704">
                  <c:v>37.04</c:v>
                </c:pt>
                <c:pt idx="13705">
                  <c:v>37.05</c:v>
                </c:pt>
                <c:pt idx="13706">
                  <c:v>37.06</c:v>
                </c:pt>
                <c:pt idx="13707">
                  <c:v>37.07</c:v>
                </c:pt>
                <c:pt idx="13708">
                  <c:v>37.08</c:v>
                </c:pt>
                <c:pt idx="13709">
                  <c:v>37.09</c:v>
                </c:pt>
                <c:pt idx="13710">
                  <c:v>37.1</c:v>
                </c:pt>
                <c:pt idx="13711">
                  <c:v>37.11</c:v>
                </c:pt>
                <c:pt idx="13712">
                  <c:v>37.12</c:v>
                </c:pt>
                <c:pt idx="13713">
                  <c:v>37.13</c:v>
                </c:pt>
                <c:pt idx="13714">
                  <c:v>37.14</c:v>
                </c:pt>
                <c:pt idx="13715">
                  <c:v>37.15</c:v>
                </c:pt>
                <c:pt idx="13716">
                  <c:v>37.16</c:v>
                </c:pt>
                <c:pt idx="13717">
                  <c:v>37.17</c:v>
                </c:pt>
                <c:pt idx="13718">
                  <c:v>37.18</c:v>
                </c:pt>
                <c:pt idx="13719">
                  <c:v>37.19</c:v>
                </c:pt>
                <c:pt idx="13720">
                  <c:v>37.2</c:v>
                </c:pt>
                <c:pt idx="13721">
                  <c:v>37.21</c:v>
                </c:pt>
                <c:pt idx="13722">
                  <c:v>37.22</c:v>
                </c:pt>
                <c:pt idx="13723">
                  <c:v>37.23</c:v>
                </c:pt>
                <c:pt idx="13724">
                  <c:v>37.24</c:v>
                </c:pt>
                <c:pt idx="13725">
                  <c:v>37.25</c:v>
                </c:pt>
                <c:pt idx="13726">
                  <c:v>37.26</c:v>
                </c:pt>
                <c:pt idx="13727">
                  <c:v>37.27</c:v>
                </c:pt>
                <c:pt idx="13728">
                  <c:v>37.28</c:v>
                </c:pt>
                <c:pt idx="13729">
                  <c:v>37.29</c:v>
                </c:pt>
                <c:pt idx="13730">
                  <c:v>37.3</c:v>
                </c:pt>
                <c:pt idx="13731">
                  <c:v>37.31</c:v>
                </c:pt>
                <c:pt idx="13732">
                  <c:v>37.32</c:v>
                </c:pt>
                <c:pt idx="13733">
                  <c:v>37.33</c:v>
                </c:pt>
                <c:pt idx="13734">
                  <c:v>37.34</c:v>
                </c:pt>
                <c:pt idx="13735">
                  <c:v>37.35</c:v>
                </c:pt>
                <c:pt idx="13736">
                  <c:v>37.36</c:v>
                </c:pt>
                <c:pt idx="13737">
                  <c:v>37.37</c:v>
                </c:pt>
                <c:pt idx="13738">
                  <c:v>37.38</c:v>
                </c:pt>
                <c:pt idx="13739">
                  <c:v>37.39</c:v>
                </c:pt>
                <c:pt idx="13740">
                  <c:v>37.4</c:v>
                </c:pt>
                <c:pt idx="13741">
                  <c:v>37.41</c:v>
                </c:pt>
                <c:pt idx="13742">
                  <c:v>37.42</c:v>
                </c:pt>
                <c:pt idx="13743">
                  <c:v>37.43</c:v>
                </c:pt>
                <c:pt idx="13744">
                  <c:v>37.44</c:v>
                </c:pt>
                <c:pt idx="13745">
                  <c:v>37.45</c:v>
                </c:pt>
                <c:pt idx="13746">
                  <c:v>37.46</c:v>
                </c:pt>
                <c:pt idx="13747">
                  <c:v>37.47</c:v>
                </c:pt>
                <c:pt idx="13748">
                  <c:v>37.48</c:v>
                </c:pt>
                <c:pt idx="13749">
                  <c:v>37.49</c:v>
                </c:pt>
                <c:pt idx="13750">
                  <c:v>37.5</c:v>
                </c:pt>
                <c:pt idx="13751">
                  <c:v>37.51</c:v>
                </c:pt>
                <c:pt idx="13752">
                  <c:v>37.52</c:v>
                </c:pt>
                <c:pt idx="13753">
                  <c:v>37.53</c:v>
                </c:pt>
                <c:pt idx="13754">
                  <c:v>37.54</c:v>
                </c:pt>
                <c:pt idx="13755">
                  <c:v>37.55</c:v>
                </c:pt>
                <c:pt idx="13756">
                  <c:v>37.56</c:v>
                </c:pt>
                <c:pt idx="13757">
                  <c:v>37.57</c:v>
                </c:pt>
                <c:pt idx="13758">
                  <c:v>37.58</c:v>
                </c:pt>
                <c:pt idx="13759">
                  <c:v>37.59</c:v>
                </c:pt>
                <c:pt idx="13760">
                  <c:v>37.6</c:v>
                </c:pt>
                <c:pt idx="13761">
                  <c:v>37.61</c:v>
                </c:pt>
                <c:pt idx="13762">
                  <c:v>37.62</c:v>
                </c:pt>
                <c:pt idx="13763">
                  <c:v>37.63</c:v>
                </c:pt>
                <c:pt idx="13764">
                  <c:v>37.64</c:v>
                </c:pt>
                <c:pt idx="13765">
                  <c:v>37.65</c:v>
                </c:pt>
                <c:pt idx="13766">
                  <c:v>37.66</c:v>
                </c:pt>
                <c:pt idx="13767">
                  <c:v>37.67</c:v>
                </c:pt>
                <c:pt idx="13768">
                  <c:v>37.68</c:v>
                </c:pt>
                <c:pt idx="13769">
                  <c:v>37.69</c:v>
                </c:pt>
                <c:pt idx="13770">
                  <c:v>37.7</c:v>
                </c:pt>
                <c:pt idx="13771">
                  <c:v>37.71</c:v>
                </c:pt>
                <c:pt idx="13772">
                  <c:v>37.72</c:v>
                </c:pt>
                <c:pt idx="13773">
                  <c:v>37.73</c:v>
                </c:pt>
                <c:pt idx="13774">
                  <c:v>37.74</c:v>
                </c:pt>
                <c:pt idx="13775">
                  <c:v>37.75</c:v>
                </c:pt>
                <c:pt idx="13776">
                  <c:v>37.76</c:v>
                </c:pt>
                <c:pt idx="13777">
                  <c:v>37.77</c:v>
                </c:pt>
                <c:pt idx="13778">
                  <c:v>37.78</c:v>
                </c:pt>
                <c:pt idx="13779">
                  <c:v>37.79</c:v>
                </c:pt>
                <c:pt idx="13780">
                  <c:v>37.8</c:v>
                </c:pt>
                <c:pt idx="13781">
                  <c:v>37.81</c:v>
                </c:pt>
                <c:pt idx="13782">
                  <c:v>37.82</c:v>
                </c:pt>
                <c:pt idx="13783">
                  <c:v>37.83</c:v>
                </c:pt>
                <c:pt idx="13784">
                  <c:v>37.84</c:v>
                </c:pt>
                <c:pt idx="13785">
                  <c:v>37.85</c:v>
                </c:pt>
                <c:pt idx="13786">
                  <c:v>37.86</c:v>
                </c:pt>
                <c:pt idx="13787">
                  <c:v>37.87</c:v>
                </c:pt>
                <c:pt idx="13788">
                  <c:v>37.88</c:v>
                </c:pt>
                <c:pt idx="13789">
                  <c:v>37.89</c:v>
                </c:pt>
                <c:pt idx="13790">
                  <c:v>37.9</c:v>
                </c:pt>
                <c:pt idx="13791">
                  <c:v>37.91</c:v>
                </c:pt>
                <c:pt idx="13792">
                  <c:v>37.92</c:v>
                </c:pt>
                <c:pt idx="13793">
                  <c:v>37.93</c:v>
                </c:pt>
                <c:pt idx="13794">
                  <c:v>37.94</c:v>
                </c:pt>
                <c:pt idx="13795">
                  <c:v>37.95</c:v>
                </c:pt>
                <c:pt idx="13796">
                  <c:v>37.96</c:v>
                </c:pt>
                <c:pt idx="13797">
                  <c:v>37.97</c:v>
                </c:pt>
                <c:pt idx="13798">
                  <c:v>37.98</c:v>
                </c:pt>
                <c:pt idx="13799">
                  <c:v>37.99</c:v>
                </c:pt>
                <c:pt idx="13800">
                  <c:v>38.0</c:v>
                </c:pt>
                <c:pt idx="13801">
                  <c:v>38.01</c:v>
                </c:pt>
                <c:pt idx="13802">
                  <c:v>38.02</c:v>
                </c:pt>
                <c:pt idx="13803">
                  <c:v>38.03</c:v>
                </c:pt>
                <c:pt idx="13804">
                  <c:v>38.04</c:v>
                </c:pt>
                <c:pt idx="13805">
                  <c:v>38.05</c:v>
                </c:pt>
                <c:pt idx="13806">
                  <c:v>38.06</c:v>
                </c:pt>
                <c:pt idx="13807">
                  <c:v>38.07</c:v>
                </c:pt>
                <c:pt idx="13808">
                  <c:v>38.08</c:v>
                </c:pt>
                <c:pt idx="13809">
                  <c:v>38.09</c:v>
                </c:pt>
                <c:pt idx="13810">
                  <c:v>38.1</c:v>
                </c:pt>
                <c:pt idx="13811">
                  <c:v>38.11</c:v>
                </c:pt>
                <c:pt idx="13812">
                  <c:v>38.12</c:v>
                </c:pt>
                <c:pt idx="13813">
                  <c:v>38.13</c:v>
                </c:pt>
                <c:pt idx="13814">
                  <c:v>38.14</c:v>
                </c:pt>
                <c:pt idx="13815">
                  <c:v>38.15</c:v>
                </c:pt>
                <c:pt idx="13816">
                  <c:v>38.16</c:v>
                </c:pt>
                <c:pt idx="13817">
                  <c:v>38.17</c:v>
                </c:pt>
                <c:pt idx="13818">
                  <c:v>38.18</c:v>
                </c:pt>
                <c:pt idx="13819">
                  <c:v>38.19</c:v>
                </c:pt>
                <c:pt idx="13820">
                  <c:v>38.2</c:v>
                </c:pt>
                <c:pt idx="13821">
                  <c:v>38.21</c:v>
                </c:pt>
                <c:pt idx="13822">
                  <c:v>38.22</c:v>
                </c:pt>
                <c:pt idx="13823">
                  <c:v>38.23</c:v>
                </c:pt>
                <c:pt idx="13824">
                  <c:v>38.24</c:v>
                </c:pt>
                <c:pt idx="13825">
                  <c:v>38.25</c:v>
                </c:pt>
                <c:pt idx="13826">
                  <c:v>38.26</c:v>
                </c:pt>
                <c:pt idx="13827">
                  <c:v>38.27</c:v>
                </c:pt>
                <c:pt idx="13828">
                  <c:v>38.28</c:v>
                </c:pt>
                <c:pt idx="13829">
                  <c:v>38.29</c:v>
                </c:pt>
                <c:pt idx="13830">
                  <c:v>38.3</c:v>
                </c:pt>
                <c:pt idx="13831">
                  <c:v>38.31</c:v>
                </c:pt>
                <c:pt idx="13832">
                  <c:v>38.32</c:v>
                </c:pt>
                <c:pt idx="13833">
                  <c:v>38.33</c:v>
                </c:pt>
                <c:pt idx="13834">
                  <c:v>38.34</c:v>
                </c:pt>
                <c:pt idx="13835">
                  <c:v>38.35</c:v>
                </c:pt>
                <c:pt idx="13836">
                  <c:v>38.36</c:v>
                </c:pt>
                <c:pt idx="13837">
                  <c:v>38.37</c:v>
                </c:pt>
                <c:pt idx="13838">
                  <c:v>38.38</c:v>
                </c:pt>
                <c:pt idx="13839">
                  <c:v>38.39</c:v>
                </c:pt>
                <c:pt idx="13840">
                  <c:v>38.4</c:v>
                </c:pt>
                <c:pt idx="13841">
                  <c:v>38.41</c:v>
                </c:pt>
                <c:pt idx="13842">
                  <c:v>38.42</c:v>
                </c:pt>
                <c:pt idx="13843">
                  <c:v>38.43</c:v>
                </c:pt>
                <c:pt idx="13844">
                  <c:v>38.44</c:v>
                </c:pt>
                <c:pt idx="13845">
                  <c:v>38.45</c:v>
                </c:pt>
                <c:pt idx="13846">
                  <c:v>38.46</c:v>
                </c:pt>
                <c:pt idx="13847">
                  <c:v>38.47</c:v>
                </c:pt>
                <c:pt idx="13848">
                  <c:v>38.48</c:v>
                </c:pt>
                <c:pt idx="13849">
                  <c:v>38.49</c:v>
                </c:pt>
                <c:pt idx="13850">
                  <c:v>38.5</c:v>
                </c:pt>
                <c:pt idx="13851">
                  <c:v>38.51</c:v>
                </c:pt>
                <c:pt idx="13852">
                  <c:v>38.52</c:v>
                </c:pt>
                <c:pt idx="13853">
                  <c:v>38.53</c:v>
                </c:pt>
                <c:pt idx="13854">
                  <c:v>38.54</c:v>
                </c:pt>
                <c:pt idx="13855">
                  <c:v>38.55</c:v>
                </c:pt>
                <c:pt idx="13856">
                  <c:v>38.56</c:v>
                </c:pt>
                <c:pt idx="13857">
                  <c:v>38.57</c:v>
                </c:pt>
                <c:pt idx="13858">
                  <c:v>38.58</c:v>
                </c:pt>
                <c:pt idx="13859">
                  <c:v>38.59</c:v>
                </c:pt>
                <c:pt idx="13860">
                  <c:v>38.6</c:v>
                </c:pt>
                <c:pt idx="13861">
                  <c:v>38.61</c:v>
                </c:pt>
                <c:pt idx="13862">
                  <c:v>38.62</c:v>
                </c:pt>
                <c:pt idx="13863">
                  <c:v>38.63</c:v>
                </c:pt>
                <c:pt idx="13864">
                  <c:v>38.64</c:v>
                </c:pt>
                <c:pt idx="13865">
                  <c:v>38.65</c:v>
                </c:pt>
                <c:pt idx="13866">
                  <c:v>38.66</c:v>
                </c:pt>
                <c:pt idx="13867">
                  <c:v>38.67</c:v>
                </c:pt>
                <c:pt idx="13868">
                  <c:v>38.68</c:v>
                </c:pt>
                <c:pt idx="13869">
                  <c:v>38.69</c:v>
                </c:pt>
                <c:pt idx="13870">
                  <c:v>38.7</c:v>
                </c:pt>
                <c:pt idx="13871">
                  <c:v>38.71</c:v>
                </c:pt>
                <c:pt idx="13872">
                  <c:v>38.72</c:v>
                </c:pt>
                <c:pt idx="13873">
                  <c:v>38.73</c:v>
                </c:pt>
                <c:pt idx="13874">
                  <c:v>38.74</c:v>
                </c:pt>
                <c:pt idx="13875">
                  <c:v>38.75</c:v>
                </c:pt>
                <c:pt idx="13876">
                  <c:v>38.76</c:v>
                </c:pt>
                <c:pt idx="13877">
                  <c:v>38.77</c:v>
                </c:pt>
                <c:pt idx="13878">
                  <c:v>38.78</c:v>
                </c:pt>
                <c:pt idx="13879">
                  <c:v>38.79</c:v>
                </c:pt>
                <c:pt idx="13880">
                  <c:v>38.8</c:v>
                </c:pt>
                <c:pt idx="13881">
                  <c:v>38.81</c:v>
                </c:pt>
                <c:pt idx="13882">
                  <c:v>38.82</c:v>
                </c:pt>
                <c:pt idx="13883">
                  <c:v>38.83</c:v>
                </c:pt>
                <c:pt idx="13884">
                  <c:v>38.84</c:v>
                </c:pt>
                <c:pt idx="13885">
                  <c:v>38.85</c:v>
                </c:pt>
                <c:pt idx="13886">
                  <c:v>38.86</c:v>
                </c:pt>
                <c:pt idx="13887">
                  <c:v>38.87</c:v>
                </c:pt>
                <c:pt idx="13888">
                  <c:v>38.88</c:v>
                </c:pt>
                <c:pt idx="13889">
                  <c:v>38.89</c:v>
                </c:pt>
                <c:pt idx="13890">
                  <c:v>38.9</c:v>
                </c:pt>
                <c:pt idx="13891">
                  <c:v>38.91</c:v>
                </c:pt>
                <c:pt idx="13892">
                  <c:v>38.92</c:v>
                </c:pt>
                <c:pt idx="13893">
                  <c:v>38.93</c:v>
                </c:pt>
                <c:pt idx="13894">
                  <c:v>38.94</c:v>
                </c:pt>
                <c:pt idx="13895">
                  <c:v>38.95</c:v>
                </c:pt>
                <c:pt idx="13896">
                  <c:v>38.96</c:v>
                </c:pt>
                <c:pt idx="13897">
                  <c:v>38.97</c:v>
                </c:pt>
                <c:pt idx="13898">
                  <c:v>38.98</c:v>
                </c:pt>
                <c:pt idx="13899">
                  <c:v>38.99</c:v>
                </c:pt>
                <c:pt idx="13900">
                  <c:v>39.0</c:v>
                </c:pt>
                <c:pt idx="13901">
                  <c:v>39.01</c:v>
                </c:pt>
                <c:pt idx="13902">
                  <c:v>39.02</c:v>
                </c:pt>
                <c:pt idx="13903">
                  <c:v>39.03</c:v>
                </c:pt>
                <c:pt idx="13904">
                  <c:v>39.04</c:v>
                </c:pt>
                <c:pt idx="13905">
                  <c:v>39.05</c:v>
                </c:pt>
                <c:pt idx="13906">
                  <c:v>39.06</c:v>
                </c:pt>
                <c:pt idx="13907">
                  <c:v>39.07</c:v>
                </c:pt>
                <c:pt idx="13908">
                  <c:v>39.08</c:v>
                </c:pt>
                <c:pt idx="13909">
                  <c:v>39.09</c:v>
                </c:pt>
                <c:pt idx="13910">
                  <c:v>39.1</c:v>
                </c:pt>
                <c:pt idx="13911">
                  <c:v>39.11</c:v>
                </c:pt>
                <c:pt idx="13912">
                  <c:v>39.12</c:v>
                </c:pt>
                <c:pt idx="13913">
                  <c:v>39.13</c:v>
                </c:pt>
                <c:pt idx="13914">
                  <c:v>39.14</c:v>
                </c:pt>
                <c:pt idx="13915">
                  <c:v>39.15</c:v>
                </c:pt>
                <c:pt idx="13916">
                  <c:v>39.16</c:v>
                </c:pt>
                <c:pt idx="13917">
                  <c:v>39.17</c:v>
                </c:pt>
                <c:pt idx="13918">
                  <c:v>39.18</c:v>
                </c:pt>
                <c:pt idx="13919">
                  <c:v>39.19</c:v>
                </c:pt>
                <c:pt idx="13920">
                  <c:v>39.2</c:v>
                </c:pt>
                <c:pt idx="13921">
                  <c:v>39.21</c:v>
                </c:pt>
                <c:pt idx="13922">
                  <c:v>39.22</c:v>
                </c:pt>
                <c:pt idx="13923">
                  <c:v>39.23</c:v>
                </c:pt>
                <c:pt idx="13924">
                  <c:v>39.24</c:v>
                </c:pt>
                <c:pt idx="13925">
                  <c:v>39.25</c:v>
                </c:pt>
                <c:pt idx="13926">
                  <c:v>39.26</c:v>
                </c:pt>
                <c:pt idx="13927">
                  <c:v>39.27</c:v>
                </c:pt>
                <c:pt idx="13928">
                  <c:v>39.28</c:v>
                </c:pt>
                <c:pt idx="13929">
                  <c:v>39.29</c:v>
                </c:pt>
                <c:pt idx="13930">
                  <c:v>39.3</c:v>
                </c:pt>
                <c:pt idx="13931">
                  <c:v>39.31</c:v>
                </c:pt>
                <c:pt idx="13932">
                  <c:v>39.32</c:v>
                </c:pt>
                <c:pt idx="13933">
                  <c:v>39.33</c:v>
                </c:pt>
                <c:pt idx="13934">
                  <c:v>39.34</c:v>
                </c:pt>
                <c:pt idx="13935">
                  <c:v>39.35</c:v>
                </c:pt>
                <c:pt idx="13936">
                  <c:v>39.36</c:v>
                </c:pt>
                <c:pt idx="13937">
                  <c:v>39.37</c:v>
                </c:pt>
                <c:pt idx="13938">
                  <c:v>39.38</c:v>
                </c:pt>
                <c:pt idx="13939">
                  <c:v>39.39</c:v>
                </c:pt>
                <c:pt idx="13940">
                  <c:v>39.4</c:v>
                </c:pt>
                <c:pt idx="13941">
                  <c:v>39.41</c:v>
                </c:pt>
                <c:pt idx="13942">
                  <c:v>39.42</c:v>
                </c:pt>
                <c:pt idx="13943">
                  <c:v>39.43</c:v>
                </c:pt>
                <c:pt idx="13944">
                  <c:v>39.44</c:v>
                </c:pt>
                <c:pt idx="13945">
                  <c:v>39.45</c:v>
                </c:pt>
                <c:pt idx="13946">
                  <c:v>39.46</c:v>
                </c:pt>
                <c:pt idx="13947">
                  <c:v>39.47</c:v>
                </c:pt>
                <c:pt idx="13948">
                  <c:v>39.48</c:v>
                </c:pt>
                <c:pt idx="13949">
                  <c:v>39.49</c:v>
                </c:pt>
                <c:pt idx="13950">
                  <c:v>39.5</c:v>
                </c:pt>
                <c:pt idx="13951">
                  <c:v>39.51</c:v>
                </c:pt>
                <c:pt idx="13952">
                  <c:v>39.52</c:v>
                </c:pt>
                <c:pt idx="13953">
                  <c:v>39.53</c:v>
                </c:pt>
                <c:pt idx="13954">
                  <c:v>39.54</c:v>
                </c:pt>
                <c:pt idx="13955">
                  <c:v>39.55</c:v>
                </c:pt>
                <c:pt idx="13956">
                  <c:v>39.56</c:v>
                </c:pt>
                <c:pt idx="13957">
                  <c:v>39.57</c:v>
                </c:pt>
                <c:pt idx="13958">
                  <c:v>39.58</c:v>
                </c:pt>
                <c:pt idx="13959">
                  <c:v>39.59</c:v>
                </c:pt>
                <c:pt idx="13960">
                  <c:v>39.6</c:v>
                </c:pt>
                <c:pt idx="13961">
                  <c:v>39.61</c:v>
                </c:pt>
                <c:pt idx="13962">
                  <c:v>39.62</c:v>
                </c:pt>
                <c:pt idx="13963">
                  <c:v>39.63</c:v>
                </c:pt>
                <c:pt idx="13964">
                  <c:v>39.64</c:v>
                </c:pt>
                <c:pt idx="13965">
                  <c:v>39.65</c:v>
                </c:pt>
                <c:pt idx="13966">
                  <c:v>39.66</c:v>
                </c:pt>
                <c:pt idx="13967">
                  <c:v>39.67</c:v>
                </c:pt>
                <c:pt idx="13968">
                  <c:v>39.68</c:v>
                </c:pt>
                <c:pt idx="13969">
                  <c:v>39.69</c:v>
                </c:pt>
                <c:pt idx="13970">
                  <c:v>39.7</c:v>
                </c:pt>
                <c:pt idx="13971">
                  <c:v>39.71</c:v>
                </c:pt>
                <c:pt idx="13972">
                  <c:v>39.72</c:v>
                </c:pt>
                <c:pt idx="13973">
                  <c:v>39.73</c:v>
                </c:pt>
                <c:pt idx="13974">
                  <c:v>39.74</c:v>
                </c:pt>
                <c:pt idx="13975">
                  <c:v>39.75</c:v>
                </c:pt>
                <c:pt idx="13976">
                  <c:v>39.76</c:v>
                </c:pt>
                <c:pt idx="13977">
                  <c:v>39.77</c:v>
                </c:pt>
                <c:pt idx="13978">
                  <c:v>39.78</c:v>
                </c:pt>
                <c:pt idx="13979">
                  <c:v>39.79</c:v>
                </c:pt>
                <c:pt idx="13980">
                  <c:v>39.8</c:v>
                </c:pt>
                <c:pt idx="13981">
                  <c:v>39.81</c:v>
                </c:pt>
                <c:pt idx="13982">
                  <c:v>39.82</c:v>
                </c:pt>
                <c:pt idx="13983">
                  <c:v>39.83</c:v>
                </c:pt>
                <c:pt idx="13984">
                  <c:v>39.84</c:v>
                </c:pt>
                <c:pt idx="13985">
                  <c:v>39.85</c:v>
                </c:pt>
                <c:pt idx="13986">
                  <c:v>39.86</c:v>
                </c:pt>
                <c:pt idx="13987">
                  <c:v>39.87</c:v>
                </c:pt>
                <c:pt idx="13988">
                  <c:v>39.88</c:v>
                </c:pt>
                <c:pt idx="13989">
                  <c:v>39.89</c:v>
                </c:pt>
                <c:pt idx="13990">
                  <c:v>39.9</c:v>
                </c:pt>
                <c:pt idx="13991">
                  <c:v>39.91</c:v>
                </c:pt>
                <c:pt idx="13992">
                  <c:v>39.92</c:v>
                </c:pt>
                <c:pt idx="13993">
                  <c:v>39.93</c:v>
                </c:pt>
                <c:pt idx="13994">
                  <c:v>39.94</c:v>
                </c:pt>
                <c:pt idx="13995">
                  <c:v>39.95</c:v>
                </c:pt>
                <c:pt idx="13996">
                  <c:v>39.96</c:v>
                </c:pt>
                <c:pt idx="13997">
                  <c:v>39.97</c:v>
                </c:pt>
                <c:pt idx="13998">
                  <c:v>39.98</c:v>
                </c:pt>
                <c:pt idx="13999">
                  <c:v>39.99</c:v>
                </c:pt>
                <c:pt idx="14000">
                  <c:v>40.0</c:v>
                </c:pt>
                <c:pt idx="14001">
                  <c:v>40.01</c:v>
                </c:pt>
                <c:pt idx="14002">
                  <c:v>40.02</c:v>
                </c:pt>
                <c:pt idx="14003">
                  <c:v>40.03</c:v>
                </c:pt>
                <c:pt idx="14004">
                  <c:v>40.04</c:v>
                </c:pt>
                <c:pt idx="14005">
                  <c:v>40.05</c:v>
                </c:pt>
                <c:pt idx="14006">
                  <c:v>40.06</c:v>
                </c:pt>
                <c:pt idx="14007">
                  <c:v>40.07</c:v>
                </c:pt>
                <c:pt idx="14008">
                  <c:v>40.08</c:v>
                </c:pt>
                <c:pt idx="14009">
                  <c:v>40.09</c:v>
                </c:pt>
                <c:pt idx="14010">
                  <c:v>40.1</c:v>
                </c:pt>
                <c:pt idx="14011">
                  <c:v>40.11</c:v>
                </c:pt>
                <c:pt idx="14012">
                  <c:v>40.12</c:v>
                </c:pt>
                <c:pt idx="14013">
                  <c:v>40.13</c:v>
                </c:pt>
                <c:pt idx="14014">
                  <c:v>40.14</c:v>
                </c:pt>
                <c:pt idx="14015">
                  <c:v>40.15</c:v>
                </c:pt>
                <c:pt idx="14016">
                  <c:v>40.16</c:v>
                </c:pt>
                <c:pt idx="14017">
                  <c:v>40.17</c:v>
                </c:pt>
                <c:pt idx="14018">
                  <c:v>40.18</c:v>
                </c:pt>
                <c:pt idx="14019">
                  <c:v>40.19</c:v>
                </c:pt>
                <c:pt idx="14020">
                  <c:v>40.2</c:v>
                </c:pt>
                <c:pt idx="14021">
                  <c:v>40.21</c:v>
                </c:pt>
                <c:pt idx="14022">
                  <c:v>40.22</c:v>
                </c:pt>
                <c:pt idx="14023">
                  <c:v>40.23</c:v>
                </c:pt>
                <c:pt idx="14024">
                  <c:v>40.24</c:v>
                </c:pt>
                <c:pt idx="14025">
                  <c:v>40.25</c:v>
                </c:pt>
                <c:pt idx="14026">
                  <c:v>40.26</c:v>
                </c:pt>
                <c:pt idx="14027">
                  <c:v>40.27</c:v>
                </c:pt>
                <c:pt idx="14028">
                  <c:v>40.28</c:v>
                </c:pt>
                <c:pt idx="14029">
                  <c:v>40.29</c:v>
                </c:pt>
                <c:pt idx="14030">
                  <c:v>40.3</c:v>
                </c:pt>
                <c:pt idx="14031">
                  <c:v>40.31</c:v>
                </c:pt>
                <c:pt idx="14032">
                  <c:v>40.32</c:v>
                </c:pt>
                <c:pt idx="14033">
                  <c:v>40.33</c:v>
                </c:pt>
                <c:pt idx="14034">
                  <c:v>40.34</c:v>
                </c:pt>
                <c:pt idx="14035">
                  <c:v>40.35</c:v>
                </c:pt>
                <c:pt idx="14036">
                  <c:v>40.36</c:v>
                </c:pt>
                <c:pt idx="14037">
                  <c:v>40.37</c:v>
                </c:pt>
                <c:pt idx="14038">
                  <c:v>40.38</c:v>
                </c:pt>
                <c:pt idx="14039">
                  <c:v>40.39</c:v>
                </c:pt>
                <c:pt idx="14040">
                  <c:v>40.4</c:v>
                </c:pt>
                <c:pt idx="14041">
                  <c:v>40.41</c:v>
                </c:pt>
                <c:pt idx="14042">
                  <c:v>40.42</c:v>
                </c:pt>
                <c:pt idx="14043">
                  <c:v>40.43</c:v>
                </c:pt>
                <c:pt idx="14044">
                  <c:v>40.44</c:v>
                </c:pt>
                <c:pt idx="14045">
                  <c:v>40.45</c:v>
                </c:pt>
                <c:pt idx="14046">
                  <c:v>40.46</c:v>
                </c:pt>
                <c:pt idx="14047">
                  <c:v>40.47</c:v>
                </c:pt>
                <c:pt idx="14048">
                  <c:v>40.48</c:v>
                </c:pt>
                <c:pt idx="14049">
                  <c:v>40.49</c:v>
                </c:pt>
                <c:pt idx="14050">
                  <c:v>40.5</c:v>
                </c:pt>
                <c:pt idx="14051">
                  <c:v>40.51</c:v>
                </c:pt>
                <c:pt idx="14052">
                  <c:v>40.52</c:v>
                </c:pt>
                <c:pt idx="14053">
                  <c:v>40.53</c:v>
                </c:pt>
                <c:pt idx="14054">
                  <c:v>40.54</c:v>
                </c:pt>
                <c:pt idx="14055">
                  <c:v>40.55</c:v>
                </c:pt>
                <c:pt idx="14056">
                  <c:v>40.56</c:v>
                </c:pt>
                <c:pt idx="14057">
                  <c:v>40.57</c:v>
                </c:pt>
                <c:pt idx="14058">
                  <c:v>40.58</c:v>
                </c:pt>
                <c:pt idx="14059">
                  <c:v>40.59</c:v>
                </c:pt>
                <c:pt idx="14060">
                  <c:v>40.6</c:v>
                </c:pt>
                <c:pt idx="14061">
                  <c:v>40.61</c:v>
                </c:pt>
                <c:pt idx="14062">
                  <c:v>40.62</c:v>
                </c:pt>
                <c:pt idx="14063">
                  <c:v>40.63</c:v>
                </c:pt>
                <c:pt idx="14064">
                  <c:v>40.64</c:v>
                </c:pt>
                <c:pt idx="14065">
                  <c:v>40.65</c:v>
                </c:pt>
                <c:pt idx="14066">
                  <c:v>40.66</c:v>
                </c:pt>
                <c:pt idx="14067">
                  <c:v>40.67</c:v>
                </c:pt>
                <c:pt idx="14068">
                  <c:v>40.68</c:v>
                </c:pt>
                <c:pt idx="14069">
                  <c:v>40.69</c:v>
                </c:pt>
                <c:pt idx="14070">
                  <c:v>40.7</c:v>
                </c:pt>
                <c:pt idx="14071">
                  <c:v>40.71</c:v>
                </c:pt>
                <c:pt idx="14072">
                  <c:v>40.72</c:v>
                </c:pt>
                <c:pt idx="14073">
                  <c:v>40.73</c:v>
                </c:pt>
                <c:pt idx="14074">
                  <c:v>40.74</c:v>
                </c:pt>
                <c:pt idx="14075">
                  <c:v>40.75</c:v>
                </c:pt>
                <c:pt idx="14076">
                  <c:v>40.76</c:v>
                </c:pt>
                <c:pt idx="14077">
                  <c:v>40.77</c:v>
                </c:pt>
                <c:pt idx="14078">
                  <c:v>40.78</c:v>
                </c:pt>
                <c:pt idx="14079">
                  <c:v>40.79</c:v>
                </c:pt>
                <c:pt idx="14080">
                  <c:v>40.8</c:v>
                </c:pt>
                <c:pt idx="14081">
                  <c:v>40.81</c:v>
                </c:pt>
                <c:pt idx="14082">
                  <c:v>40.82</c:v>
                </c:pt>
                <c:pt idx="14083">
                  <c:v>40.83</c:v>
                </c:pt>
                <c:pt idx="14084">
                  <c:v>40.84</c:v>
                </c:pt>
                <c:pt idx="14085">
                  <c:v>40.85</c:v>
                </c:pt>
                <c:pt idx="14086">
                  <c:v>40.86</c:v>
                </c:pt>
                <c:pt idx="14087">
                  <c:v>40.87</c:v>
                </c:pt>
                <c:pt idx="14088">
                  <c:v>40.88</c:v>
                </c:pt>
                <c:pt idx="14089">
                  <c:v>40.89</c:v>
                </c:pt>
                <c:pt idx="14090">
                  <c:v>40.9</c:v>
                </c:pt>
                <c:pt idx="14091">
                  <c:v>40.91</c:v>
                </c:pt>
                <c:pt idx="14092">
                  <c:v>40.92</c:v>
                </c:pt>
                <c:pt idx="14093">
                  <c:v>40.93</c:v>
                </c:pt>
                <c:pt idx="14094">
                  <c:v>40.94</c:v>
                </c:pt>
                <c:pt idx="14095">
                  <c:v>40.95</c:v>
                </c:pt>
                <c:pt idx="14096">
                  <c:v>40.96</c:v>
                </c:pt>
                <c:pt idx="14097">
                  <c:v>40.97</c:v>
                </c:pt>
                <c:pt idx="14098">
                  <c:v>40.98</c:v>
                </c:pt>
                <c:pt idx="14099">
                  <c:v>40.99</c:v>
                </c:pt>
                <c:pt idx="14100">
                  <c:v>41.0</c:v>
                </c:pt>
                <c:pt idx="14101">
                  <c:v>41.01</c:v>
                </c:pt>
                <c:pt idx="14102">
                  <c:v>41.02</c:v>
                </c:pt>
                <c:pt idx="14103">
                  <c:v>41.03</c:v>
                </c:pt>
                <c:pt idx="14104">
                  <c:v>41.04</c:v>
                </c:pt>
                <c:pt idx="14105">
                  <c:v>41.05</c:v>
                </c:pt>
                <c:pt idx="14106">
                  <c:v>41.06</c:v>
                </c:pt>
                <c:pt idx="14107">
                  <c:v>41.07</c:v>
                </c:pt>
                <c:pt idx="14108">
                  <c:v>41.08</c:v>
                </c:pt>
                <c:pt idx="14109">
                  <c:v>41.09</c:v>
                </c:pt>
                <c:pt idx="14110">
                  <c:v>41.1</c:v>
                </c:pt>
                <c:pt idx="14111">
                  <c:v>41.11</c:v>
                </c:pt>
                <c:pt idx="14112">
                  <c:v>41.12</c:v>
                </c:pt>
                <c:pt idx="14113">
                  <c:v>41.13</c:v>
                </c:pt>
                <c:pt idx="14114">
                  <c:v>41.14</c:v>
                </c:pt>
                <c:pt idx="14115">
                  <c:v>41.15</c:v>
                </c:pt>
                <c:pt idx="14116">
                  <c:v>41.16</c:v>
                </c:pt>
                <c:pt idx="14117">
                  <c:v>41.17</c:v>
                </c:pt>
                <c:pt idx="14118">
                  <c:v>41.18</c:v>
                </c:pt>
                <c:pt idx="14119">
                  <c:v>41.19</c:v>
                </c:pt>
                <c:pt idx="14120">
                  <c:v>41.2</c:v>
                </c:pt>
                <c:pt idx="14121">
                  <c:v>41.21</c:v>
                </c:pt>
                <c:pt idx="14122">
                  <c:v>41.22</c:v>
                </c:pt>
                <c:pt idx="14123">
                  <c:v>41.23</c:v>
                </c:pt>
                <c:pt idx="14124">
                  <c:v>41.24</c:v>
                </c:pt>
                <c:pt idx="14125">
                  <c:v>41.25</c:v>
                </c:pt>
                <c:pt idx="14126">
                  <c:v>41.26</c:v>
                </c:pt>
                <c:pt idx="14127">
                  <c:v>41.27</c:v>
                </c:pt>
                <c:pt idx="14128">
                  <c:v>41.28</c:v>
                </c:pt>
                <c:pt idx="14129">
                  <c:v>41.29</c:v>
                </c:pt>
                <c:pt idx="14130">
                  <c:v>41.3</c:v>
                </c:pt>
                <c:pt idx="14131">
                  <c:v>41.31</c:v>
                </c:pt>
                <c:pt idx="14132">
                  <c:v>41.32</c:v>
                </c:pt>
                <c:pt idx="14133">
                  <c:v>41.33</c:v>
                </c:pt>
                <c:pt idx="14134">
                  <c:v>41.34</c:v>
                </c:pt>
                <c:pt idx="14135">
                  <c:v>41.35</c:v>
                </c:pt>
                <c:pt idx="14136">
                  <c:v>41.36</c:v>
                </c:pt>
                <c:pt idx="14137">
                  <c:v>41.37</c:v>
                </c:pt>
                <c:pt idx="14138">
                  <c:v>41.38</c:v>
                </c:pt>
                <c:pt idx="14139">
                  <c:v>41.39</c:v>
                </c:pt>
                <c:pt idx="14140">
                  <c:v>41.4</c:v>
                </c:pt>
                <c:pt idx="14141">
                  <c:v>41.41</c:v>
                </c:pt>
                <c:pt idx="14142">
                  <c:v>41.42</c:v>
                </c:pt>
                <c:pt idx="14143">
                  <c:v>41.43</c:v>
                </c:pt>
                <c:pt idx="14144">
                  <c:v>41.44</c:v>
                </c:pt>
                <c:pt idx="14145">
                  <c:v>41.45</c:v>
                </c:pt>
                <c:pt idx="14146">
                  <c:v>41.46</c:v>
                </c:pt>
                <c:pt idx="14147">
                  <c:v>41.47</c:v>
                </c:pt>
                <c:pt idx="14148">
                  <c:v>41.48</c:v>
                </c:pt>
                <c:pt idx="14149">
                  <c:v>41.49</c:v>
                </c:pt>
                <c:pt idx="14150">
                  <c:v>41.5</c:v>
                </c:pt>
                <c:pt idx="14151">
                  <c:v>41.51</c:v>
                </c:pt>
                <c:pt idx="14152">
                  <c:v>41.52</c:v>
                </c:pt>
                <c:pt idx="14153">
                  <c:v>41.53</c:v>
                </c:pt>
                <c:pt idx="14154">
                  <c:v>41.54</c:v>
                </c:pt>
                <c:pt idx="14155">
                  <c:v>41.55</c:v>
                </c:pt>
                <c:pt idx="14156">
                  <c:v>41.56</c:v>
                </c:pt>
                <c:pt idx="14157">
                  <c:v>41.57</c:v>
                </c:pt>
                <c:pt idx="14158">
                  <c:v>41.58</c:v>
                </c:pt>
                <c:pt idx="14159">
                  <c:v>41.59</c:v>
                </c:pt>
                <c:pt idx="14160">
                  <c:v>41.6</c:v>
                </c:pt>
                <c:pt idx="14161">
                  <c:v>41.61</c:v>
                </c:pt>
                <c:pt idx="14162">
                  <c:v>41.62</c:v>
                </c:pt>
                <c:pt idx="14163">
                  <c:v>41.63</c:v>
                </c:pt>
                <c:pt idx="14164">
                  <c:v>41.64</c:v>
                </c:pt>
                <c:pt idx="14165">
                  <c:v>41.65</c:v>
                </c:pt>
                <c:pt idx="14166">
                  <c:v>41.66</c:v>
                </c:pt>
                <c:pt idx="14167">
                  <c:v>41.67</c:v>
                </c:pt>
                <c:pt idx="14168">
                  <c:v>41.68</c:v>
                </c:pt>
                <c:pt idx="14169">
                  <c:v>41.69</c:v>
                </c:pt>
                <c:pt idx="14170">
                  <c:v>41.7</c:v>
                </c:pt>
                <c:pt idx="14171">
                  <c:v>41.71</c:v>
                </c:pt>
                <c:pt idx="14172">
                  <c:v>41.72</c:v>
                </c:pt>
                <c:pt idx="14173">
                  <c:v>41.73</c:v>
                </c:pt>
                <c:pt idx="14174">
                  <c:v>41.74</c:v>
                </c:pt>
                <c:pt idx="14175">
                  <c:v>41.75</c:v>
                </c:pt>
                <c:pt idx="14176">
                  <c:v>41.76</c:v>
                </c:pt>
                <c:pt idx="14177">
                  <c:v>41.77</c:v>
                </c:pt>
                <c:pt idx="14178">
                  <c:v>41.78</c:v>
                </c:pt>
                <c:pt idx="14179">
                  <c:v>41.79</c:v>
                </c:pt>
                <c:pt idx="14180">
                  <c:v>41.8</c:v>
                </c:pt>
                <c:pt idx="14181">
                  <c:v>41.81</c:v>
                </c:pt>
                <c:pt idx="14182">
                  <c:v>41.82</c:v>
                </c:pt>
                <c:pt idx="14183">
                  <c:v>41.83</c:v>
                </c:pt>
                <c:pt idx="14184">
                  <c:v>41.84</c:v>
                </c:pt>
                <c:pt idx="14185">
                  <c:v>41.85</c:v>
                </c:pt>
                <c:pt idx="14186">
                  <c:v>41.86</c:v>
                </c:pt>
                <c:pt idx="14187">
                  <c:v>41.87</c:v>
                </c:pt>
                <c:pt idx="14188">
                  <c:v>41.88</c:v>
                </c:pt>
                <c:pt idx="14189">
                  <c:v>41.89</c:v>
                </c:pt>
                <c:pt idx="14190">
                  <c:v>41.9</c:v>
                </c:pt>
                <c:pt idx="14191">
                  <c:v>41.91</c:v>
                </c:pt>
                <c:pt idx="14192">
                  <c:v>41.92</c:v>
                </c:pt>
                <c:pt idx="14193">
                  <c:v>41.93</c:v>
                </c:pt>
                <c:pt idx="14194">
                  <c:v>41.94</c:v>
                </c:pt>
                <c:pt idx="14195">
                  <c:v>41.95</c:v>
                </c:pt>
                <c:pt idx="14196">
                  <c:v>41.96</c:v>
                </c:pt>
                <c:pt idx="14197">
                  <c:v>41.97</c:v>
                </c:pt>
                <c:pt idx="14198">
                  <c:v>41.98</c:v>
                </c:pt>
                <c:pt idx="14199">
                  <c:v>41.99</c:v>
                </c:pt>
                <c:pt idx="14200">
                  <c:v>42.0</c:v>
                </c:pt>
                <c:pt idx="14201">
                  <c:v>42.01</c:v>
                </c:pt>
                <c:pt idx="14202">
                  <c:v>42.02</c:v>
                </c:pt>
                <c:pt idx="14203">
                  <c:v>42.03</c:v>
                </c:pt>
                <c:pt idx="14204">
                  <c:v>42.04</c:v>
                </c:pt>
                <c:pt idx="14205">
                  <c:v>42.05</c:v>
                </c:pt>
                <c:pt idx="14206">
                  <c:v>42.06</c:v>
                </c:pt>
                <c:pt idx="14207">
                  <c:v>42.07</c:v>
                </c:pt>
                <c:pt idx="14208">
                  <c:v>42.08</c:v>
                </c:pt>
                <c:pt idx="14209">
                  <c:v>42.09</c:v>
                </c:pt>
                <c:pt idx="14210">
                  <c:v>42.1</c:v>
                </c:pt>
                <c:pt idx="14211">
                  <c:v>42.11</c:v>
                </c:pt>
                <c:pt idx="14212">
                  <c:v>42.12</c:v>
                </c:pt>
                <c:pt idx="14213">
                  <c:v>42.13</c:v>
                </c:pt>
                <c:pt idx="14214">
                  <c:v>42.14</c:v>
                </c:pt>
                <c:pt idx="14215">
                  <c:v>42.15</c:v>
                </c:pt>
                <c:pt idx="14216">
                  <c:v>42.16</c:v>
                </c:pt>
                <c:pt idx="14217">
                  <c:v>42.17</c:v>
                </c:pt>
                <c:pt idx="14218">
                  <c:v>42.18</c:v>
                </c:pt>
                <c:pt idx="14219">
                  <c:v>42.19</c:v>
                </c:pt>
                <c:pt idx="14220">
                  <c:v>42.2</c:v>
                </c:pt>
                <c:pt idx="14221">
                  <c:v>42.21</c:v>
                </c:pt>
                <c:pt idx="14222">
                  <c:v>42.22</c:v>
                </c:pt>
                <c:pt idx="14223">
                  <c:v>42.23</c:v>
                </c:pt>
                <c:pt idx="14224">
                  <c:v>42.24</c:v>
                </c:pt>
                <c:pt idx="14225">
                  <c:v>42.25</c:v>
                </c:pt>
                <c:pt idx="14226">
                  <c:v>42.26</c:v>
                </c:pt>
                <c:pt idx="14227">
                  <c:v>42.27</c:v>
                </c:pt>
                <c:pt idx="14228">
                  <c:v>42.28</c:v>
                </c:pt>
                <c:pt idx="14229">
                  <c:v>42.29</c:v>
                </c:pt>
                <c:pt idx="14230">
                  <c:v>42.3</c:v>
                </c:pt>
                <c:pt idx="14231">
                  <c:v>42.31</c:v>
                </c:pt>
                <c:pt idx="14232">
                  <c:v>42.32</c:v>
                </c:pt>
                <c:pt idx="14233">
                  <c:v>42.33</c:v>
                </c:pt>
                <c:pt idx="14234">
                  <c:v>42.34</c:v>
                </c:pt>
                <c:pt idx="14235">
                  <c:v>42.35</c:v>
                </c:pt>
                <c:pt idx="14236">
                  <c:v>42.36</c:v>
                </c:pt>
                <c:pt idx="14237">
                  <c:v>42.37</c:v>
                </c:pt>
                <c:pt idx="14238">
                  <c:v>42.38</c:v>
                </c:pt>
                <c:pt idx="14239">
                  <c:v>42.39</c:v>
                </c:pt>
                <c:pt idx="14240">
                  <c:v>42.4</c:v>
                </c:pt>
                <c:pt idx="14241">
                  <c:v>42.41</c:v>
                </c:pt>
                <c:pt idx="14242">
                  <c:v>42.42</c:v>
                </c:pt>
                <c:pt idx="14243">
                  <c:v>42.43</c:v>
                </c:pt>
                <c:pt idx="14244">
                  <c:v>42.44</c:v>
                </c:pt>
                <c:pt idx="14245">
                  <c:v>42.45</c:v>
                </c:pt>
                <c:pt idx="14246">
                  <c:v>42.46</c:v>
                </c:pt>
                <c:pt idx="14247">
                  <c:v>42.47</c:v>
                </c:pt>
                <c:pt idx="14248">
                  <c:v>42.48</c:v>
                </c:pt>
                <c:pt idx="14249">
                  <c:v>42.49</c:v>
                </c:pt>
                <c:pt idx="14250">
                  <c:v>42.5</c:v>
                </c:pt>
                <c:pt idx="14251">
                  <c:v>42.51</c:v>
                </c:pt>
                <c:pt idx="14252">
                  <c:v>42.52</c:v>
                </c:pt>
                <c:pt idx="14253">
                  <c:v>42.53</c:v>
                </c:pt>
                <c:pt idx="14254">
                  <c:v>42.54</c:v>
                </c:pt>
                <c:pt idx="14255">
                  <c:v>42.55</c:v>
                </c:pt>
                <c:pt idx="14256">
                  <c:v>42.56</c:v>
                </c:pt>
                <c:pt idx="14257">
                  <c:v>42.57</c:v>
                </c:pt>
                <c:pt idx="14258">
                  <c:v>42.58</c:v>
                </c:pt>
                <c:pt idx="14259">
                  <c:v>42.59</c:v>
                </c:pt>
                <c:pt idx="14260">
                  <c:v>42.6</c:v>
                </c:pt>
                <c:pt idx="14261">
                  <c:v>42.61</c:v>
                </c:pt>
                <c:pt idx="14262">
                  <c:v>42.62</c:v>
                </c:pt>
                <c:pt idx="14263">
                  <c:v>42.63</c:v>
                </c:pt>
                <c:pt idx="14264">
                  <c:v>42.64</c:v>
                </c:pt>
                <c:pt idx="14265">
                  <c:v>42.65</c:v>
                </c:pt>
                <c:pt idx="14266">
                  <c:v>42.66</c:v>
                </c:pt>
                <c:pt idx="14267">
                  <c:v>42.67</c:v>
                </c:pt>
                <c:pt idx="14268">
                  <c:v>42.68</c:v>
                </c:pt>
                <c:pt idx="14269">
                  <c:v>42.69</c:v>
                </c:pt>
                <c:pt idx="14270">
                  <c:v>42.7</c:v>
                </c:pt>
                <c:pt idx="14271">
                  <c:v>42.71</c:v>
                </c:pt>
                <c:pt idx="14272">
                  <c:v>42.72</c:v>
                </c:pt>
                <c:pt idx="14273">
                  <c:v>42.73</c:v>
                </c:pt>
                <c:pt idx="14274">
                  <c:v>42.74</c:v>
                </c:pt>
                <c:pt idx="14275">
                  <c:v>42.75</c:v>
                </c:pt>
                <c:pt idx="14276">
                  <c:v>42.76</c:v>
                </c:pt>
                <c:pt idx="14277">
                  <c:v>42.77</c:v>
                </c:pt>
                <c:pt idx="14278">
                  <c:v>42.78</c:v>
                </c:pt>
                <c:pt idx="14279">
                  <c:v>42.79</c:v>
                </c:pt>
                <c:pt idx="14280">
                  <c:v>42.8</c:v>
                </c:pt>
                <c:pt idx="14281">
                  <c:v>42.81</c:v>
                </c:pt>
                <c:pt idx="14282">
                  <c:v>42.82</c:v>
                </c:pt>
                <c:pt idx="14283">
                  <c:v>42.83</c:v>
                </c:pt>
                <c:pt idx="14284">
                  <c:v>42.84</c:v>
                </c:pt>
                <c:pt idx="14285">
                  <c:v>42.85</c:v>
                </c:pt>
                <c:pt idx="14286">
                  <c:v>42.86</c:v>
                </c:pt>
                <c:pt idx="14287">
                  <c:v>42.87</c:v>
                </c:pt>
                <c:pt idx="14288">
                  <c:v>42.88</c:v>
                </c:pt>
                <c:pt idx="14289">
                  <c:v>42.89</c:v>
                </c:pt>
                <c:pt idx="14290">
                  <c:v>42.9</c:v>
                </c:pt>
                <c:pt idx="14291">
                  <c:v>42.91</c:v>
                </c:pt>
                <c:pt idx="14292">
                  <c:v>42.92</c:v>
                </c:pt>
                <c:pt idx="14293">
                  <c:v>42.93</c:v>
                </c:pt>
                <c:pt idx="14294">
                  <c:v>42.94</c:v>
                </c:pt>
                <c:pt idx="14295">
                  <c:v>42.95</c:v>
                </c:pt>
                <c:pt idx="14296">
                  <c:v>42.96</c:v>
                </c:pt>
                <c:pt idx="14297">
                  <c:v>42.97</c:v>
                </c:pt>
                <c:pt idx="14298">
                  <c:v>42.98</c:v>
                </c:pt>
                <c:pt idx="14299">
                  <c:v>42.99</c:v>
                </c:pt>
                <c:pt idx="14300">
                  <c:v>43.0</c:v>
                </c:pt>
                <c:pt idx="14301">
                  <c:v>43.01</c:v>
                </c:pt>
                <c:pt idx="14302">
                  <c:v>43.02</c:v>
                </c:pt>
                <c:pt idx="14303">
                  <c:v>43.03</c:v>
                </c:pt>
                <c:pt idx="14304">
                  <c:v>43.04</c:v>
                </c:pt>
                <c:pt idx="14305">
                  <c:v>43.05</c:v>
                </c:pt>
                <c:pt idx="14306">
                  <c:v>43.06</c:v>
                </c:pt>
                <c:pt idx="14307">
                  <c:v>43.07</c:v>
                </c:pt>
                <c:pt idx="14308">
                  <c:v>43.08</c:v>
                </c:pt>
                <c:pt idx="14309">
                  <c:v>43.09</c:v>
                </c:pt>
                <c:pt idx="14310">
                  <c:v>43.1</c:v>
                </c:pt>
                <c:pt idx="14311">
                  <c:v>43.11</c:v>
                </c:pt>
                <c:pt idx="14312">
                  <c:v>43.12</c:v>
                </c:pt>
                <c:pt idx="14313">
                  <c:v>43.13</c:v>
                </c:pt>
                <c:pt idx="14314">
                  <c:v>43.14</c:v>
                </c:pt>
                <c:pt idx="14315">
                  <c:v>43.15</c:v>
                </c:pt>
                <c:pt idx="14316">
                  <c:v>43.16</c:v>
                </c:pt>
                <c:pt idx="14317">
                  <c:v>43.17</c:v>
                </c:pt>
                <c:pt idx="14318">
                  <c:v>43.18</c:v>
                </c:pt>
                <c:pt idx="14319">
                  <c:v>43.19</c:v>
                </c:pt>
                <c:pt idx="14320">
                  <c:v>43.2</c:v>
                </c:pt>
                <c:pt idx="14321">
                  <c:v>43.21</c:v>
                </c:pt>
                <c:pt idx="14322">
                  <c:v>43.22</c:v>
                </c:pt>
                <c:pt idx="14323">
                  <c:v>43.23</c:v>
                </c:pt>
                <c:pt idx="14324">
                  <c:v>43.24</c:v>
                </c:pt>
                <c:pt idx="14325">
                  <c:v>43.25</c:v>
                </c:pt>
                <c:pt idx="14326">
                  <c:v>43.26</c:v>
                </c:pt>
                <c:pt idx="14327">
                  <c:v>43.27</c:v>
                </c:pt>
                <c:pt idx="14328">
                  <c:v>43.28</c:v>
                </c:pt>
                <c:pt idx="14329">
                  <c:v>43.29</c:v>
                </c:pt>
                <c:pt idx="14330">
                  <c:v>43.3</c:v>
                </c:pt>
                <c:pt idx="14331">
                  <c:v>43.31</c:v>
                </c:pt>
                <c:pt idx="14332">
                  <c:v>43.32</c:v>
                </c:pt>
                <c:pt idx="14333">
                  <c:v>43.33</c:v>
                </c:pt>
                <c:pt idx="14334">
                  <c:v>43.34</c:v>
                </c:pt>
                <c:pt idx="14335">
                  <c:v>43.35</c:v>
                </c:pt>
                <c:pt idx="14336">
                  <c:v>43.36</c:v>
                </c:pt>
                <c:pt idx="14337">
                  <c:v>43.37</c:v>
                </c:pt>
                <c:pt idx="14338">
                  <c:v>43.38</c:v>
                </c:pt>
                <c:pt idx="14339">
                  <c:v>43.39</c:v>
                </c:pt>
                <c:pt idx="14340">
                  <c:v>43.4</c:v>
                </c:pt>
                <c:pt idx="14341">
                  <c:v>43.41</c:v>
                </c:pt>
                <c:pt idx="14342">
                  <c:v>43.42</c:v>
                </c:pt>
                <c:pt idx="14343">
                  <c:v>43.43</c:v>
                </c:pt>
                <c:pt idx="14344">
                  <c:v>43.44</c:v>
                </c:pt>
                <c:pt idx="14345">
                  <c:v>43.45</c:v>
                </c:pt>
                <c:pt idx="14346">
                  <c:v>43.46</c:v>
                </c:pt>
                <c:pt idx="14347">
                  <c:v>43.47</c:v>
                </c:pt>
                <c:pt idx="14348">
                  <c:v>43.48</c:v>
                </c:pt>
                <c:pt idx="14349">
                  <c:v>43.49</c:v>
                </c:pt>
                <c:pt idx="14350">
                  <c:v>43.5</c:v>
                </c:pt>
                <c:pt idx="14351">
                  <c:v>43.51</c:v>
                </c:pt>
                <c:pt idx="14352">
                  <c:v>43.52</c:v>
                </c:pt>
                <c:pt idx="14353">
                  <c:v>43.53</c:v>
                </c:pt>
                <c:pt idx="14354">
                  <c:v>43.54</c:v>
                </c:pt>
                <c:pt idx="14355">
                  <c:v>43.55</c:v>
                </c:pt>
                <c:pt idx="14356">
                  <c:v>43.56</c:v>
                </c:pt>
                <c:pt idx="14357">
                  <c:v>43.57</c:v>
                </c:pt>
                <c:pt idx="14358">
                  <c:v>43.58</c:v>
                </c:pt>
                <c:pt idx="14359">
                  <c:v>43.59</c:v>
                </c:pt>
                <c:pt idx="14360">
                  <c:v>43.6</c:v>
                </c:pt>
                <c:pt idx="14361">
                  <c:v>43.61</c:v>
                </c:pt>
                <c:pt idx="14362">
                  <c:v>43.62</c:v>
                </c:pt>
                <c:pt idx="14363">
                  <c:v>43.63</c:v>
                </c:pt>
                <c:pt idx="14364">
                  <c:v>43.64</c:v>
                </c:pt>
                <c:pt idx="14365">
                  <c:v>43.65</c:v>
                </c:pt>
                <c:pt idx="14366">
                  <c:v>43.66</c:v>
                </c:pt>
                <c:pt idx="14367">
                  <c:v>43.67</c:v>
                </c:pt>
                <c:pt idx="14368">
                  <c:v>43.68</c:v>
                </c:pt>
                <c:pt idx="14369">
                  <c:v>43.69</c:v>
                </c:pt>
                <c:pt idx="14370">
                  <c:v>43.7</c:v>
                </c:pt>
                <c:pt idx="14371">
                  <c:v>43.71</c:v>
                </c:pt>
                <c:pt idx="14372">
                  <c:v>43.72</c:v>
                </c:pt>
                <c:pt idx="14373">
                  <c:v>43.73</c:v>
                </c:pt>
                <c:pt idx="14374">
                  <c:v>43.74</c:v>
                </c:pt>
                <c:pt idx="14375">
                  <c:v>43.75</c:v>
                </c:pt>
                <c:pt idx="14376">
                  <c:v>43.76</c:v>
                </c:pt>
                <c:pt idx="14377">
                  <c:v>43.77</c:v>
                </c:pt>
                <c:pt idx="14378">
                  <c:v>43.78</c:v>
                </c:pt>
                <c:pt idx="14379">
                  <c:v>43.79</c:v>
                </c:pt>
                <c:pt idx="14380">
                  <c:v>43.8</c:v>
                </c:pt>
                <c:pt idx="14381">
                  <c:v>43.81</c:v>
                </c:pt>
                <c:pt idx="14382">
                  <c:v>43.82</c:v>
                </c:pt>
                <c:pt idx="14383">
                  <c:v>43.83</c:v>
                </c:pt>
                <c:pt idx="14384">
                  <c:v>43.84</c:v>
                </c:pt>
                <c:pt idx="14385">
                  <c:v>43.85</c:v>
                </c:pt>
                <c:pt idx="14386">
                  <c:v>43.86</c:v>
                </c:pt>
                <c:pt idx="14387">
                  <c:v>43.87</c:v>
                </c:pt>
                <c:pt idx="14388">
                  <c:v>43.88</c:v>
                </c:pt>
                <c:pt idx="14389">
                  <c:v>43.89</c:v>
                </c:pt>
                <c:pt idx="14390">
                  <c:v>43.9</c:v>
                </c:pt>
                <c:pt idx="14391">
                  <c:v>43.91</c:v>
                </c:pt>
                <c:pt idx="14392">
                  <c:v>43.92</c:v>
                </c:pt>
                <c:pt idx="14393">
                  <c:v>43.93</c:v>
                </c:pt>
                <c:pt idx="14394">
                  <c:v>43.94</c:v>
                </c:pt>
                <c:pt idx="14395">
                  <c:v>43.95</c:v>
                </c:pt>
                <c:pt idx="14396">
                  <c:v>43.96</c:v>
                </c:pt>
                <c:pt idx="14397">
                  <c:v>43.97</c:v>
                </c:pt>
                <c:pt idx="14398">
                  <c:v>43.98</c:v>
                </c:pt>
                <c:pt idx="14399">
                  <c:v>43.99</c:v>
                </c:pt>
                <c:pt idx="14400">
                  <c:v>44.0</c:v>
                </c:pt>
                <c:pt idx="14401">
                  <c:v>44.01</c:v>
                </c:pt>
                <c:pt idx="14402">
                  <c:v>44.02</c:v>
                </c:pt>
                <c:pt idx="14403">
                  <c:v>44.03</c:v>
                </c:pt>
                <c:pt idx="14404">
                  <c:v>44.04</c:v>
                </c:pt>
                <c:pt idx="14405">
                  <c:v>44.05</c:v>
                </c:pt>
                <c:pt idx="14406">
                  <c:v>44.06</c:v>
                </c:pt>
                <c:pt idx="14407">
                  <c:v>44.07</c:v>
                </c:pt>
                <c:pt idx="14408">
                  <c:v>44.08</c:v>
                </c:pt>
                <c:pt idx="14409">
                  <c:v>44.09</c:v>
                </c:pt>
                <c:pt idx="14410">
                  <c:v>44.1</c:v>
                </c:pt>
                <c:pt idx="14411">
                  <c:v>44.11</c:v>
                </c:pt>
                <c:pt idx="14412">
                  <c:v>44.12</c:v>
                </c:pt>
                <c:pt idx="14413">
                  <c:v>44.13</c:v>
                </c:pt>
                <c:pt idx="14414">
                  <c:v>44.14</c:v>
                </c:pt>
                <c:pt idx="14415">
                  <c:v>44.15</c:v>
                </c:pt>
                <c:pt idx="14416">
                  <c:v>44.16</c:v>
                </c:pt>
                <c:pt idx="14417">
                  <c:v>44.17</c:v>
                </c:pt>
                <c:pt idx="14418">
                  <c:v>44.18</c:v>
                </c:pt>
                <c:pt idx="14419">
                  <c:v>44.19</c:v>
                </c:pt>
                <c:pt idx="14420">
                  <c:v>44.2</c:v>
                </c:pt>
                <c:pt idx="14421">
                  <c:v>44.21</c:v>
                </c:pt>
                <c:pt idx="14422">
                  <c:v>44.22</c:v>
                </c:pt>
                <c:pt idx="14423">
                  <c:v>44.23</c:v>
                </c:pt>
                <c:pt idx="14424">
                  <c:v>44.24</c:v>
                </c:pt>
                <c:pt idx="14425">
                  <c:v>44.25</c:v>
                </c:pt>
                <c:pt idx="14426">
                  <c:v>44.26</c:v>
                </c:pt>
                <c:pt idx="14427">
                  <c:v>44.27</c:v>
                </c:pt>
                <c:pt idx="14428">
                  <c:v>44.28</c:v>
                </c:pt>
                <c:pt idx="14429">
                  <c:v>44.29</c:v>
                </c:pt>
                <c:pt idx="14430">
                  <c:v>44.3</c:v>
                </c:pt>
                <c:pt idx="14431">
                  <c:v>44.31</c:v>
                </c:pt>
                <c:pt idx="14432">
                  <c:v>44.32</c:v>
                </c:pt>
                <c:pt idx="14433">
                  <c:v>44.33</c:v>
                </c:pt>
                <c:pt idx="14434">
                  <c:v>44.34</c:v>
                </c:pt>
                <c:pt idx="14435">
                  <c:v>44.35</c:v>
                </c:pt>
                <c:pt idx="14436">
                  <c:v>44.36</c:v>
                </c:pt>
                <c:pt idx="14437">
                  <c:v>44.37</c:v>
                </c:pt>
                <c:pt idx="14438">
                  <c:v>44.38</c:v>
                </c:pt>
                <c:pt idx="14439">
                  <c:v>44.39</c:v>
                </c:pt>
                <c:pt idx="14440">
                  <c:v>44.4</c:v>
                </c:pt>
                <c:pt idx="14441">
                  <c:v>44.41</c:v>
                </c:pt>
                <c:pt idx="14442">
                  <c:v>44.42</c:v>
                </c:pt>
                <c:pt idx="14443">
                  <c:v>44.43</c:v>
                </c:pt>
                <c:pt idx="14444">
                  <c:v>44.44</c:v>
                </c:pt>
                <c:pt idx="14445">
                  <c:v>44.45</c:v>
                </c:pt>
                <c:pt idx="14446">
                  <c:v>44.46</c:v>
                </c:pt>
                <c:pt idx="14447">
                  <c:v>44.47</c:v>
                </c:pt>
                <c:pt idx="14448">
                  <c:v>44.48</c:v>
                </c:pt>
                <c:pt idx="14449">
                  <c:v>44.49</c:v>
                </c:pt>
                <c:pt idx="14450">
                  <c:v>44.5</c:v>
                </c:pt>
                <c:pt idx="14451">
                  <c:v>44.51</c:v>
                </c:pt>
                <c:pt idx="14452">
                  <c:v>44.52</c:v>
                </c:pt>
                <c:pt idx="14453">
                  <c:v>44.53</c:v>
                </c:pt>
                <c:pt idx="14454">
                  <c:v>44.54</c:v>
                </c:pt>
                <c:pt idx="14455">
                  <c:v>44.55</c:v>
                </c:pt>
                <c:pt idx="14456">
                  <c:v>44.56</c:v>
                </c:pt>
                <c:pt idx="14457">
                  <c:v>44.57</c:v>
                </c:pt>
                <c:pt idx="14458">
                  <c:v>44.58</c:v>
                </c:pt>
                <c:pt idx="14459">
                  <c:v>44.59</c:v>
                </c:pt>
                <c:pt idx="14460">
                  <c:v>44.6</c:v>
                </c:pt>
                <c:pt idx="14461">
                  <c:v>44.61</c:v>
                </c:pt>
                <c:pt idx="14462">
                  <c:v>44.62</c:v>
                </c:pt>
                <c:pt idx="14463">
                  <c:v>44.63</c:v>
                </c:pt>
                <c:pt idx="14464">
                  <c:v>44.64</c:v>
                </c:pt>
                <c:pt idx="14465">
                  <c:v>44.65</c:v>
                </c:pt>
                <c:pt idx="14466">
                  <c:v>44.66</c:v>
                </c:pt>
                <c:pt idx="14467">
                  <c:v>44.67</c:v>
                </c:pt>
                <c:pt idx="14468">
                  <c:v>44.68</c:v>
                </c:pt>
                <c:pt idx="14469">
                  <c:v>44.69</c:v>
                </c:pt>
                <c:pt idx="14470">
                  <c:v>44.7</c:v>
                </c:pt>
                <c:pt idx="14471">
                  <c:v>44.71</c:v>
                </c:pt>
                <c:pt idx="14472">
                  <c:v>44.72</c:v>
                </c:pt>
                <c:pt idx="14473">
                  <c:v>44.73</c:v>
                </c:pt>
                <c:pt idx="14474">
                  <c:v>44.74</c:v>
                </c:pt>
                <c:pt idx="14475">
                  <c:v>44.75</c:v>
                </c:pt>
                <c:pt idx="14476">
                  <c:v>44.76</c:v>
                </c:pt>
                <c:pt idx="14477">
                  <c:v>44.77</c:v>
                </c:pt>
                <c:pt idx="14478">
                  <c:v>44.78</c:v>
                </c:pt>
                <c:pt idx="14479">
                  <c:v>44.79</c:v>
                </c:pt>
                <c:pt idx="14480">
                  <c:v>44.8</c:v>
                </c:pt>
                <c:pt idx="14481">
                  <c:v>44.81</c:v>
                </c:pt>
                <c:pt idx="14482">
                  <c:v>44.82</c:v>
                </c:pt>
                <c:pt idx="14483">
                  <c:v>44.83</c:v>
                </c:pt>
                <c:pt idx="14484">
                  <c:v>44.84</c:v>
                </c:pt>
                <c:pt idx="14485">
                  <c:v>44.85</c:v>
                </c:pt>
                <c:pt idx="14486">
                  <c:v>44.86</c:v>
                </c:pt>
                <c:pt idx="14487">
                  <c:v>44.87</c:v>
                </c:pt>
                <c:pt idx="14488">
                  <c:v>44.88</c:v>
                </c:pt>
                <c:pt idx="14489">
                  <c:v>44.89</c:v>
                </c:pt>
                <c:pt idx="14490">
                  <c:v>44.9</c:v>
                </c:pt>
                <c:pt idx="14491">
                  <c:v>44.91</c:v>
                </c:pt>
                <c:pt idx="14492">
                  <c:v>44.92</c:v>
                </c:pt>
                <c:pt idx="14493">
                  <c:v>44.93</c:v>
                </c:pt>
                <c:pt idx="14494">
                  <c:v>44.94</c:v>
                </c:pt>
                <c:pt idx="14495">
                  <c:v>44.95</c:v>
                </c:pt>
                <c:pt idx="14496">
                  <c:v>44.96</c:v>
                </c:pt>
                <c:pt idx="14497">
                  <c:v>44.97</c:v>
                </c:pt>
                <c:pt idx="14498">
                  <c:v>44.98</c:v>
                </c:pt>
                <c:pt idx="14499">
                  <c:v>44.99</c:v>
                </c:pt>
                <c:pt idx="14500">
                  <c:v>45.0</c:v>
                </c:pt>
                <c:pt idx="14501">
                  <c:v>45.01</c:v>
                </c:pt>
                <c:pt idx="14502">
                  <c:v>45.02</c:v>
                </c:pt>
                <c:pt idx="14503">
                  <c:v>45.03</c:v>
                </c:pt>
                <c:pt idx="14504">
                  <c:v>45.04</c:v>
                </c:pt>
                <c:pt idx="14505">
                  <c:v>45.05</c:v>
                </c:pt>
                <c:pt idx="14506">
                  <c:v>45.06</c:v>
                </c:pt>
                <c:pt idx="14507">
                  <c:v>45.07</c:v>
                </c:pt>
                <c:pt idx="14508">
                  <c:v>45.08</c:v>
                </c:pt>
                <c:pt idx="14509">
                  <c:v>45.09</c:v>
                </c:pt>
                <c:pt idx="14510">
                  <c:v>45.1</c:v>
                </c:pt>
                <c:pt idx="14511">
                  <c:v>45.11</c:v>
                </c:pt>
                <c:pt idx="14512">
                  <c:v>45.12</c:v>
                </c:pt>
                <c:pt idx="14513">
                  <c:v>45.13</c:v>
                </c:pt>
                <c:pt idx="14514">
                  <c:v>45.14</c:v>
                </c:pt>
                <c:pt idx="14515">
                  <c:v>45.15</c:v>
                </c:pt>
                <c:pt idx="14516">
                  <c:v>45.16</c:v>
                </c:pt>
                <c:pt idx="14517">
                  <c:v>45.17</c:v>
                </c:pt>
                <c:pt idx="14518">
                  <c:v>45.18</c:v>
                </c:pt>
                <c:pt idx="14519">
                  <c:v>45.19</c:v>
                </c:pt>
                <c:pt idx="14520">
                  <c:v>45.2</c:v>
                </c:pt>
                <c:pt idx="14521">
                  <c:v>45.21</c:v>
                </c:pt>
                <c:pt idx="14522">
                  <c:v>45.22</c:v>
                </c:pt>
                <c:pt idx="14523">
                  <c:v>45.23</c:v>
                </c:pt>
                <c:pt idx="14524">
                  <c:v>45.24</c:v>
                </c:pt>
                <c:pt idx="14525">
                  <c:v>45.25</c:v>
                </c:pt>
                <c:pt idx="14526">
                  <c:v>45.26</c:v>
                </c:pt>
                <c:pt idx="14527">
                  <c:v>45.27</c:v>
                </c:pt>
                <c:pt idx="14528">
                  <c:v>45.28</c:v>
                </c:pt>
                <c:pt idx="14529">
                  <c:v>45.29</c:v>
                </c:pt>
                <c:pt idx="14530">
                  <c:v>45.3</c:v>
                </c:pt>
                <c:pt idx="14531">
                  <c:v>45.31</c:v>
                </c:pt>
                <c:pt idx="14532">
                  <c:v>45.32</c:v>
                </c:pt>
                <c:pt idx="14533">
                  <c:v>45.33</c:v>
                </c:pt>
                <c:pt idx="14534">
                  <c:v>45.34</c:v>
                </c:pt>
                <c:pt idx="14535">
                  <c:v>45.35</c:v>
                </c:pt>
                <c:pt idx="14536">
                  <c:v>45.36</c:v>
                </c:pt>
                <c:pt idx="14537">
                  <c:v>45.37</c:v>
                </c:pt>
                <c:pt idx="14538">
                  <c:v>45.38</c:v>
                </c:pt>
                <c:pt idx="14539">
                  <c:v>45.39</c:v>
                </c:pt>
                <c:pt idx="14540">
                  <c:v>45.4</c:v>
                </c:pt>
                <c:pt idx="14541">
                  <c:v>45.41</c:v>
                </c:pt>
                <c:pt idx="14542">
                  <c:v>45.42</c:v>
                </c:pt>
                <c:pt idx="14543">
                  <c:v>45.43</c:v>
                </c:pt>
                <c:pt idx="14544">
                  <c:v>45.44</c:v>
                </c:pt>
                <c:pt idx="14545">
                  <c:v>45.45</c:v>
                </c:pt>
                <c:pt idx="14546">
                  <c:v>45.46</c:v>
                </c:pt>
                <c:pt idx="14547">
                  <c:v>45.47</c:v>
                </c:pt>
                <c:pt idx="14548">
                  <c:v>45.48</c:v>
                </c:pt>
                <c:pt idx="14549">
                  <c:v>45.49</c:v>
                </c:pt>
                <c:pt idx="14550">
                  <c:v>45.5</c:v>
                </c:pt>
                <c:pt idx="14551">
                  <c:v>45.51</c:v>
                </c:pt>
                <c:pt idx="14552">
                  <c:v>45.52</c:v>
                </c:pt>
                <c:pt idx="14553">
                  <c:v>45.53</c:v>
                </c:pt>
                <c:pt idx="14554">
                  <c:v>45.54</c:v>
                </c:pt>
                <c:pt idx="14555">
                  <c:v>45.55</c:v>
                </c:pt>
                <c:pt idx="14556">
                  <c:v>45.56</c:v>
                </c:pt>
                <c:pt idx="14557">
                  <c:v>45.57</c:v>
                </c:pt>
                <c:pt idx="14558">
                  <c:v>45.58</c:v>
                </c:pt>
                <c:pt idx="14559">
                  <c:v>45.59</c:v>
                </c:pt>
                <c:pt idx="14560">
                  <c:v>45.6</c:v>
                </c:pt>
                <c:pt idx="14561">
                  <c:v>45.61</c:v>
                </c:pt>
                <c:pt idx="14562">
                  <c:v>45.62</c:v>
                </c:pt>
                <c:pt idx="14563">
                  <c:v>45.63</c:v>
                </c:pt>
                <c:pt idx="14564">
                  <c:v>45.64</c:v>
                </c:pt>
                <c:pt idx="14565">
                  <c:v>45.65</c:v>
                </c:pt>
                <c:pt idx="14566">
                  <c:v>45.66</c:v>
                </c:pt>
                <c:pt idx="14567">
                  <c:v>45.67</c:v>
                </c:pt>
                <c:pt idx="14568">
                  <c:v>45.68</c:v>
                </c:pt>
                <c:pt idx="14569">
                  <c:v>45.69</c:v>
                </c:pt>
                <c:pt idx="14570">
                  <c:v>45.7</c:v>
                </c:pt>
                <c:pt idx="14571">
                  <c:v>45.71</c:v>
                </c:pt>
                <c:pt idx="14572">
                  <c:v>45.72</c:v>
                </c:pt>
                <c:pt idx="14573">
                  <c:v>45.73</c:v>
                </c:pt>
                <c:pt idx="14574">
                  <c:v>45.74</c:v>
                </c:pt>
                <c:pt idx="14575">
                  <c:v>45.75</c:v>
                </c:pt>
                <c:pt idx="14576">
                  <c:v>45.76</c:v>
                </c:pt>
                <c:pt idx="14577">
                  <c:v>45.77</c:v>
                </c:pt>
                <c:pt idx="14578">
                  <c:v>45.78</c:v>
                </c:pt>
                <c:pt idx="14579">
                  <c:v>45.79</c:v>
                </c:pt>
                <c:pt idx="14580">
                  <c:v>45.8</c:v>
                </c:pt>
                <c:pt idx="14581">
                  <c:v>45.81</c:v>
                </c:pt>
                <c:pt idx="14582">
                  <c:v>45.82</c:v>
                </c:pt>
                <c:pt idx="14583">
                  <c:v>45.83</c:v>
                </c:pt>
                <c:pt idx="14584">
                  <c:v>45.84</c:v>
                </c:pt>
                <c:pt idx="14585">
                  <c:v>45.85</c:v>
                </c:pt>
                <c:pt idx="14586">
                  <c:v>45.86</c:v>
                </c:pt>
                <c:pt idx="14587">
                  <c:v>45.87</c:v>
                </c:pt>
                <c:pt idx="14588">
                  <c:v>45.88</c:v>
                </c:pt>
                <c:pt idx="14589">
                  <c:v>45.89</c:v>
                </c:pt>
                <c:pt idx="14590">
                  <c:v>45.9</c:v>
                </c:pt>
                <c:pt idx="14591">
                  <c:v>45.91</c:v>
                </c:pt>
                <c:pt idx="14592">
                  <c:v>45.92</c:v>
                </c:pt>
                <c:pt idx="14593">
                  <c:v>45.93</c:v>
                </c:pt>
                <c:pt idx="14594">
                  <c:v>45.94</c:v>
                </c:pt>
                <c:pt idx="14595">
                  <c:v>45.95</c:v>
                </c:pt>
                <c:pt idx="14596">
                  <c:v>45.96</c:v>
                </c:pt>
                <c:pt idx="14597">
                  <c:v>45.97</c:v>
                </c:pt>
                <c:pt idx="14598">
                  <c:v>45.98</c:v>
                </c:pt>
                <c:pt idx="14599">
                  <c:v>45.99</c:v>
                </c:pt>
                <c:pt idx="14600">
                  <c:v>46.0</c:v>
                </c:pt>
                <c:pt idx="14601">
                  <c:v>46.01</c:v>
                </c:pt>
                <c:pt idx="14602">
                  <c:v>46.02</c:v>
                </c:pt>
                <c:pt idx="14603">
                  <c:v>46.03</c:v>
                </c:pt>
                <c:pt idx="14604">
                  <c:v>46.04</c:v>
                </c:pt>
                <c:pt idx="14605">
                  <c:v>46.05</c:v>
                </c:pt>
                <c:pt idx="14606">
                  <c:v>46.06</c:v>
                </c:pt>
                <c:pt idx="14607">
                  <c:v>46.07</c:v>
                </c:pt>
                <c:pt idx="14608">
                  <c:v>46.08</c:v>
                </c:pt>
                <c:pt idx="14609">
                  <c:v>46.09</c:v>
                </c:pt>
                <c:pt idx="14610">
                  <c:v>46.1</c:v>
                </c:pt>
                <c:pt idx="14611">
                  <c:v>46.11</c:v>
                </c:pt>
                <c:pt idx="14612">
                  <c:v>46.12</c:v>
                </c:pt>
                <c:pt idx="14613">
                  <c:v>46.13</c:v>
                </c:pt>
                <c:pt idx="14614">
                  <c:v>46.14</c:v>
                </c:pt>
                <c:pt idx="14615">
                  <c:v>46.15</c:v>
                </c:pt>
                <c:pt idx="14616">
                  <c:v>46.16</c:v>
                </c:pt>
                <c:pt idx="14617">
                  <c:v>46.17</c:v>
                </c:pt>
                <c:pt idx="14618">
                  <c:v>46.18</c:v>
                </c:pt>
                <c:pt idx="14619">
                  <c:v>46.19</c:v>
                </c:pt>
                <c:pt idx="14620">
                  <c:v>46.2</c:v>
                </c:pt>
                <c:pt idx="14621">
                  <c:v>46.21</c:v>
                </c:pt>
                <c:pt idx="14622">
                  <c:v>46.22</c:v>
                </c:pt>
                <c:pt idx="14623">
                  <c:v>46.23</c:v>
                </c:pt>
                <c:pt idx="14624">
                  <c:v>46.24</c:v>
                </c:pt>
                <c:pt idx="14625">
                  <c:v>46.25</c:v>
                </c:pt>
                <c:pt idx="14626">
                  <c:v>46.26</c:v>
                </c:pt>
                <c:pt idx="14627">
                  <c:v>46.27</c:v>
                </c:pt>
                <c:pt idx="14628">
                  <c:v>46.28</c:v>
                </c:pt>
                <c:pt idx="14629">
                  <c:v>46.29</c:v>
                </c:pt>
                <c:pt idx="14630">
                  <c:v>46.3</c:v>
                </c:pt>
                <c:pt idx="14631">
                  <c:v>46.31</c:v>
                </c:pt>
                <c:pt idx="14632">
                  <c:v>46.32</c:v>
                </c:pt>
                <c:pt idx="14633">
                  <c:v>46.33</c:v>
                </c:pt>
                <c:pt idx="14634">
                  <c:v>46.34</c:v>
                </c:pt>
                <c:pt idx="14635">
                  <c:v>46.35</c:v>
                </c:pt>
                <c:pt idx="14636">
                  <c:v>46.36</c:v>
                </c:pt>
                <c:pt idx="14637">
                  <c:v>46.37</c:v>
                </c:pt>
                <c:pt idx="14638">
                  <c:v>46.38</c:v>
                </c:pt>
                <c:pt idx="14639">
                  <c:v>46.39</c:v>
                </c:pt>
                <c:pt idx="14640">
                  <c:v>46.4</c:v>
                </c:pt>
                <c:pt idx="14641">
                  <c:v>46.41</c:v>
                </c:pt>
                <c:pt idx="14642">
                  <c:v>46.42</c:v>
                </c:pt>
                <c:pt idx="14643">
                  <c:v>46.43</c:v>
                </c:pt>
                <c:pt idx="14644">
                  <c:v>46.44</c:v>
                </c:pt>
                <c:pt idx="14645">
                  <c:v>46.45</c:v>
                </c:pt>
                <c:pt idx="14646">
                  <c:v>46.46</c:v>
                </c:pt>
                <c:pt idx="14647">
                  <c:v>46.47</c:v>
                </c:pt>
                <c:pt idx="14648">
                  <c:v>46.48</c:v>
                </c:pt>
                <c:pt idx="14649">
                  <c:v>46.49</c:v>
                </c:pt>
                <c:pt idx="14650">
                  <c:v>46.5</c:v>
                </c:pt>
                <c:pt idx="14651">
                  <c:v>46.51</c:v>
                </c:pt>
                <c:pt idx="14652">
                  <c:v>46.52</c:v>
                </c:pt>
                <c:pt idx="14653">
                  <c:v>46.53</c:v>
                </c:pt>
                <c:pt idx="14654">
                  <c:v>46.54</c:v>
                </c:pt>
                <c:pt idx="14655">
                  <c:v>46.55</c:v>
                </c:pt>
                <c:pt idx="14656">
                  <c:v>46.56</c:v>
                </c:pt>
                <c:pt idx="14657">
                  <c:v>46.57</c:v>
                </c:pt>
                <c:pt idx="14658">
                  <c:v>46.58</c:v>
                </c:pt>
                <c:pt idx="14659">
                  <c:v>46.59</c:v>
                </c:pt>
                <c:pt idx="14660">
                  <c:v>46.6</c:v>
                </c:pt>
                <c:pt idx="14661">
                  <c:v>46.61</c:v>
                </c:pt>
                <c:pt idx="14662">
                  <c:v>46.62</c:v>
                </c:pt>
                <c:pt idx="14663">
                  <c:v>46.63</c:v>
                </c:pt>
                <c:pt idx="14664">
                  <c:v>46.64</c:v>
                </c:pt>
                <c:pt idx="14665">
                  <c:v>46.65</c:v>
                </c:pt>
                <c:pt idx="14666">
                  <c:v>46.66</c:v>
                </c:pt>
                <c:pt idx="14667">
                  <c:v>46.67</c:v>
                </c:pt>
                <c:pt idx="14668">
                  <c:v>46.68</c:v>
                </c:pt>
                <c:pt idx="14669">
                  <c:v>46.69</c:v>
                </c:pt>
                <c:pt idx="14670">
                  <c:v>46.7</c:v>
                </c:pt>
                <c:pt idx="14671">
                  <c:v>46.71</c:v>
                </c:pt>
                <c:pt idx="14672">
                  <c:v>46.72</c:v>
                </c:pt>
                <c:pt idx="14673">
                  <c:v>46.73</c:v>
                </c:pt>
                <c:pt idx="14674">
                  <c:v>46.74</c:v>
                </c:pt>
                <c:pt idx="14675">
                  <c:v>46.75</c:v>
                </c:pt>
                <c:pt idx="14676">
                  <c:v>46.76</c:v>
                </c:pt>
                <c:pt idx="14677">
                  <c:v>46.77</c:v>
                </c:pt>
                <c:pt idx="14678">
                  <c:v>46.78</c:v>
                </c:pt>
                <c:pt idx="14679">
                  <c:v>46.79</c:v>
                </c:pt>
                <c:pt idx="14680">
                  <c:v>46.8</c:v>
                </c:pt>
                <c:pt idx="14681">
                  <c:v>46.81</c:v>
                </c:pt>
                <c:pt idx="14682">
                  <c:v>46.82</c:v>
                </c:pt>
                <c:pt idx="14683">
                  <c:v>46.83</c:v>
                </c:pt>
                <c:pt idx="14684">
                  <c:v>46.84</c:v>
                </c:pt>
                <c:pt idx="14685">
                  <c:v>46.85</c:v>
                </c:pt>
                <c:pt idx="14686">
                  <c:v>46.86</c:v>
                </c:pt>
                <c:pt idx="14687">
                  <c:v>46.87</c:v>
                </c:pt>
                <c:pt idx="14688">
                  <c:v>46.88</c:v>
                </c:pt>
                <c:pt idx="14689">
                  <c:v>46.89</c:v>
                </c:pt>
                <c:pt idx="14690">
                  <c:v>46.9</c:v>
                </c:pt>
                <c:pt idx="14691">
                  <c:v>46.91</c:v>
                </c:pt>
                <c:pt idx="14692">
                  <c:v>46.92</c:v>
                </c:pt>
                <c:pt idx="14693">
                  <c:v>46.93</c:v>
                </c:pt>
                <c:pt idx="14694">
                  <c:v>46.94</c:v>
                </c:pt>
                <c:pt idx="14695">
                  <c:v>46.95</c:v>
                </c:pt>
                <c:pt idx="14696">
                  <c:v>46.96</c:v>
                </c:pt>
                <c:pt idx="14697">
                  <c:v>46.97</c:v>
                </c:pt>
                <c:pt idx="14698">
                  <c:v>46.98</c:v>
                </c:pt>
                <c:pt idx="14699">
                  <c:v>46.99</c:v>
                </c:pt>
                <c:pt idx="14700">
                  <c:v>47.0</c:v>
                </c:pt>
                <c:pt idx="14701">
                  <c:v>47.01</c:v>
                </c:pt>
                <c:pt idx="14702">
                  <c:v>47.02</c:v>
                </c:pt>
                <c:pt idx="14703">
                  <c:v>47.03</c:v>
                </c:pt>
                <c:pt idx="14704">
                  <c:v>47.04</c:v>
                </c:pt>
                <c:pt idx="14705">
                  <c:v>47.05</c:v>
                </c:pt>
                <c:pt idx="14706">
                  <c:v>47.06</c:v>
                </c:pt>
                <c:pt idx="14707">
                  <c:v>47.07</c:v>
                </c:pt>
                <c:pt idx="14708">
                  <c:v>47.08</c:v>
                </c:pt>
                <c:pt idx="14709">
                  <c:v>47.09</c:v>
                </c:pt>
                <c:pt idx="14710">
                  <c:v>47.1</c:v>
                </c:pt>
                <c:pt idx="14711">
                  <c:v>47.11</c:v>
                </c:pt>
                <c:pt idx="14712">
                  <c:v>47.12</c:v>
                </c:pt>
                <c:pt idx="14713">
                  <c:v>47.13</c:v>
                </c:pt>
                <c:pt idx="14714">
                  <c:v>47.14</c:v>
                </c:pt>
                <c:pt idx="14715">
                  <c:v>47.15</c:v>
                </c:pt>
                <c:pt idx="14716">
                  <c:v>47.16</c:v>
                </c:pt>
                <c:pt idx="14717">
                  <c:v>47.17</c:v>
                </c:pt>
                <c:pt idx="14718">
                  <c:v>47.18</c:v>
                </c:pt>
                <c:pt idx="14719">
                  <c:v>47.19</c:v>
                </c:pt>
                <c:pt idx="14720">
                  <c:v>47.2</c:v>
                </c:pt>
                <c:pt idx="14721">
                  <c:v>47.21</c:v>
                </c:pt>
                <c:pt idx="14722">
                  <c:v>47.22</c:v>
                </c:pt>
                <c:pt idx="14723">
                  <c:v>47.23</c:v>
                </c:pt>
                <c:pt idx="14724">
                  <c:v>47.24</c:v>
                </c:pt>
                <c:pt idx="14725">
                  <c:v>47.25</c:v>
                </c:pt>
                <c:pt idx="14726">
                  <c:v>47.26</c:v>
                </c:pt>
                <c:pt idx="14727">
                  <c:v>47.27</c:v>
                </c:pt>
                <c:pt idx="14728">
                  <c:v>47.28</c:v>
                </c:pt>
                <c:pt idx="14729">
                  <c:v>47.29</c:v>
                </c:pt>
                <c:pt idx="14730">
                  <c:v>47.3</c:v>
                </c:pt>
                <c:pt idx="14731">
                  <c:v>47.31</c:v>
                </c:pt>
                <c:pt idx="14732">
                  <c:v>47.32</c:v>
                </c:pt>
                <c:pt idx="14733">
                  <c:v>47.33</c:v>
                </c:pt>
                <c:pt idx="14734">
                  <c:v>47.34</c:v>
                </c:pt>
                <c:pt idx="14735">
                  <c:v>47.35</c:v>
                </c:pt>
                <c:pt idx="14736">
                  <c:v>47.36</c:v>
                </c:pt>
                <c:pt idx="14737">
                  <c:v>47.37</c:v>
                </c:pt>
                <c:pt idx="14738">
                  <c:v>47.38</c:v>
                </c:pt>
                <c:pt idx="14739">
                  <c:v>47.39</c:v>
                </c:pt>
                <c:pt idx="14740">
                  <c:v>47.4</c:v>
                </c:pt>
                <c:pt idx="14741">
                  <c:v>47.41</c:v>
                </c:pt>
                <c:pt idx="14742">
                  <c:v>47.42</c:v>
                </c:pt>
                <c:pt idx="14743">
                  <c:v>47.43</c:v>
                </c:pt>
                <c:pt idx="14744">
                  <c:v>47.44</c:v>
                </c:pt>
                <c:pt idx="14745">
                  <c:v>47.45</c:v>
                </c:pt>
                <c:pt idx="14746">
                  <c:v>47.46</c:v>
                </c:pt>
                <c:pt idx="14747">
                  <c:v>47.47</c:v>
                </c:pt>
                <c:pt idx="14748">
                  <c:v>47.48</c:v>
                </c:pt>
                <c:pt idx="14749">
                  <c:v>47.49</c:v>
                </c:pt>
                <c:pt idx="14750">
                  <c:v>47.5</c:v>
                </c:pt>
                <c:pt idx="14751">
                  <c:v>47.51</c:v>
                </c:pt>
                <c:pt idx="14752">
                  <c:v>47.52</c:v>
                </c:pt>
                <c:pt idx="14753">
                  <c:v>47.53</c:v>
                </c:pt>
                <c:pt idx="14754">
                  <c:v>47.54</c:v>
                </c:pt>
                <c:pt idx="14755">
                  <c:v>47.55</c:v>
                </c:pt>
                <c:pt idx="14756">
                  <c:v>47.56</c:v>
                </c:pt>
                <c:pt idx="14757">
                  <c:v>47.57</c:v>
                </c:pt>
                <c:pt idx="14758">
                  <c:v>47.58</c:v>
                </c:pt>
                <c:pt idx="14759">
                  <c:v>47.59</c:v>
                </c:pt>
                <c:pt idx="14760">
                  <c:v>47.6</c:v>
                </c:pt>
                <c:pt idx="14761">
                  <c:v>47.61</c:v>
                </c:pt>
                <c:pt idx="14762">
                  <c:v>47.62</c:v>
                </c:pt>
                <c:pt idx="14763">
                  <c:v>47.63</c:v>
                </c:pt>
                <c:pt idx="14764">
                  <c:v>47.64</c:v>
                </c:pt>
                <c:pt idx="14765">
                  <c:v>47.65</c:v>
                </c:pt>
                <c:pt idx="14766">
                  <c:v>47.66</c:v>
                </c:pt>
                <c:pt idx="14767">
                  <c:v>47.67</c:v>
                </c:pt>
                <c:pt idx="14768">
                  <c:v>47.68</c:v>
                </c:pt>
                <c:pt idx="14769">
                  <c:v>47.69</c:v>
                </c:pt>
                <c:pt idx="14770">
                  <c:v>47.7</c:v>
                </c:pt>
                <c:pt idx="14771">
                  <c:v>47.71</c:v>
                </c:pt>
                <c:pt idx="14772">
                  <c:v>47.72</c:v>
                </c:pt>
                <c:pt idx="14773">
                  <c:v>47.73</c:v>
                </c:pt>
                <c:pt idx="14774">
                  <c:v>47.74</c:v>
                </c:pt>
                <c:pt idx="14775">
                  <c:v>47.75</c:v>
                </c:pt>
                <c:pt idx="14776">
                  <c:v>47.76</c:v>
                </c:pt>
                <c:pt idx="14777">
                  <c:v>47.77</c:v>
                </c:pt>
                <c:pt idx="14778">
                  <c:v>47.78</c:v>
                </c:pt>
                <c:pt idx="14779">
                  <c:v>47.79</c:v>
                </c:pt>
                <c:pt idx="14780">
                  <c:v>47.8</c:v>
                </c:pt>
                <c:pt idx="14781">
                  <c:v>47.81</c:v>
                </c:pt>
                <c:pt idx="14782">
                  <c:v>47.82</c:v>
                </c:pt>
                <c:pt idx="14783">
                  <c:v>47.83</c:v>
                </c:pt>
                <c:pt idx="14784">
                  <c:v>47.84</c:v>
                </c:pt>
                <c:pt idx="14785">
                  <c:v>47.85</c:v>
                </c:pt>
                <c:pt idx="14786">
                  <c:v>47.86</c:v>
                </c:pt>
                <c:pt idx="14787">
                  <c:v>47.87</c:v>
                </c:pt>
                <c:pt idx="14788">
                  <c:v>47.88</c:v>
                </c:pt>
                <c:pt idx="14789">
                  <c:v>47.89</c:v>
                </c:pt>
                <c:pt idx="14790">
                  <c:v>47.9</c:v>
                </c:pt>
                <c:pt idx="14791">
                  <c:v>47.91</c:v>
                </c:pt>
                <c:pt idx="14792">
                  <c:v>47.92</c:v>
                </c:pt>
                <c:pt idx="14793">
                  <c:v>47.93</c:v>
                </c:pt>
                <c:pt idx="14794">
                  <c:v>47.94</c:v>
                </c:pt>
                <c:pt idx="14795">
                  <c:v>47.95</c:v>
                </c:pt>
                <c:pt idx="14796">
                  <c:v>47.96</c:v>
                </c:pt>
                <c:pt idx="14797">
                  <c:v>47.97</c:v>
                </c:pt>
                <c:pt idx="14798">
                  <c:v>47.98</c:v>
                </c:pt>
                <c:pt idx="14799">
                  <c:v>47.99</c:v>
                </c:pt>
                <c:pt idx="14800">
                  <c:v>48.0</c:v>
                </c:pt>
                <c:pt idx="14801">
                  <c:v>48.01</c:v>
                </c:pt>
                <c:pt idx="14802">
                  <c:v>48.02</c:v>
                </c:pt>
                <c:pt idx="14803">
                  <c:v>48.03</c:v>
                </c:pt>
                <c:pt idx="14804">
                  <c:v>48.04</c:v>
                </c:pt>
                <c:pt idx="14805">
                  <c:v>48.05</c:v>
                </c:pt>
                <c:pt idx="14806">
                  <c:v>48.06</c:v>
                </c:pt>
                <c:pt idx="14807">
                  <c:v>48.07</c:v>
                </c:pt>
                <c:pt idx="14808">
                  <c:v>48.08</c:v>
                </c:pt>
                <c:pt idx="14809">
                  <c:v>48.09</c:v>
                </c:pt>
                <c:pt idx="14810">
                  <c:v>48.1</c:v>
                </c:pt>
                <c:pt idx="14811">
                  <c:v>48.11</c:v>
                </c:pt>
                <c:pt idx="14812">
                  <c:v>48.12</c:v>
                </c:pt>
                <c:pt idx="14813">
                  <c:v>48.13</c:v>
                </c:pt>
                <c:pt idx="14814">
                  <c:v>48.14</c:v>
                </c:pt>
                <c:pt idx="14815">
                  <c:v>48.15</c:v>
                </c:pt>
                <c:pt idx="14816">
                  <c:v>48.16</c:v>
                </c:pt>
                <c:pt idx="14817">
                  <c:v>48.17</c:v>
                </c:pt>
                <c:pt idx="14818">
                  <c:v>48.18</c:v>
                </c:pt>
                <c:pt idx="14819">
                  <c:v>48.19</c:v>
                </c:pt>
                <c:pt idx="14820">
                  <c:v>48.2</c:v>
                </c:pt>
                <c:pt idx="14821">
                  <c:v>48.21</c:v>
                </c:pt>
                <c:pt idx="14822">
                  <c:v>48.22</c:v>
                </c:pt>
                <c:pt idx="14823">
                  <c:v>48.23</c:v>
                </c:pt>
                <c:pt idx="14824">
                  <c:v>48.24</c:v>
                </c:pt>
                <c:pt idx="14825">
                  <c:v>48.25</c:v>
                </c:pt>
                <c:pt idx="14826">
                  <c:v>48.26</c:v>
                </c:pt>
                <c:pt idx="14827">
                  <c:v>48.27</c:v>
                </c:pt>
                <c:pt idx="14828">
                  <c:v>48.28</c:v>
                </c:pt>
                <c:pt idx="14829">
                  <c:v>48.29</c:v>
                </c:pt>
                <c:pt idx="14830">
                  <c:v>48.3</c:v>
                </c:pt>
                <c:pt idx="14831">
                  <c:v>48.31</c:v>
                </c:pt>
                <c:pt idx="14832">
                  <c:v>48.32</c:v>
                </c:pt>
                <c:pt idx="14833">
                  <c:v>48.33</c:v>
                </c:pt>
                <c:pt idx="14834">
                  <c:v>48.34</c:v>
                </c:pt>
                <c:pt idx="14835">
                  <c:v>48.35</c:v>
                </c:pt>
                <c:pt idx="14836">
                  <c:v>48.36</c:v>
                </c:pt>
                <c:pt idx="14837">
                  <c:v>48.37</c:v>
                </c:pt>
                <c:pt idx="14838">
                  <c:v>48.38</c:v>
                </c:pt>
                <c:pt idx="14839">
                  <c:v>48.39</c:v>
                </c:pt>
                <c:pt idx="14840">
                  <c:v>48.4</c:v>
                </c:pt>
                <c:pt idx="14841">
                  <c:v>48.41</c:v>
                </c:pt>
                <c:pt idx="14842">
                  <c:v>48.42</c:v>
                </c:pt>
                <c:pt idx="14843">
                  <c:v>48.43</c:v>
                </c:pt>
                <c:pt idx="14844">
                  <c:v>48.44</c:v>
                </c:pt>
                <c:pt idx="14845">
                  <c:v>48.45</c:v>
                </c:pt>
                <c:pt idx="14846">
                  <c:v>48.46</c:v>
                </c:pt>
                <c:pt idx="14847">
                  <c:v>48.47</c:v>
                </c:pt>
                <c:pt idx="14848">
                  <c:v>48.48</c:v>
                </c:pt>
                <c:pt idx="14849">
                  <c:v>48.49</c:v>
                </c:pt>
                <c:pt idx="14850">
                  <c:v>48.5</c:v>
                </c:pt>
                <c:pt idx="14851">
                  <c:v>48.51</c:v>
                </c:pt>
                <c:pt idx="14852">
                  <c:v>48.52</c:v>
                </c:pt>
                <c:pt idx="14853">
                  <c:v>48.53</c:v>
                </c:pt>
                <c:pt idx="14854">
                  <c:v>48.54</c:v>
                </c:pt>
                <c:pt idx="14855">
                  <c:v>48.55</c:v>
                </c:pt>
                <c:pt idx="14856">
                  <c:v>48.56</c:v>
                </c:pt>
                <c:pt idx="14857">
                  <c:v>48.57</c:v>
                </c:pt>
                <c:pt idx="14858">
                  <c:v>48.58</c:v>
                </c:pt>
                <c:pt idx="14859">
                  <c:v>48.59</c:v>
                </c:pt>
                <c:pt idx="14860">
                  <c:v>48.6</c:v>
                </c:pt>
                <c:pt idx="14861">
                  <c:v>48.61</c:v>
                </c:pt>
                <c:pt idx="14862">
                  <c:v>48.62</c:v>
                </c:pt>
                <c:pt idx="14863">
                  <c:v>48.63</c:v>
                </c:pt>
                <c:pt idx="14864">
                  <c:v>48.64</c:v>
                </c:pt>
                <c:pt idx="14865">
                  <c:v>48.65</c:v>
                </c:pt>
                <c:pt idx="14866">
                  <c:v>48.66</c:v>
                </c:pt>
                <c:pt idx="14867">
                  <c:v>48.67</c:v>
                </c:pt>
                <c:pt idx="14868">
                  <c:v>48.68</c:v>
                </c:pt>
                <c:pt idx="14869">
                  <c:v>48.69</c:v>
                </c:pt>
                <c:pt idx="14870">
                  <c:v>48.7</c:v>
                </c:pt>
                <c:pt idx="14871">
                  <c:v>48.71</c:v>
                </c:pt>
                <c:pt idx="14872">
                  <c:v>48.72</c:v>
                </c:pt>
                <c:pt idx="14873">
                  <c:v>48.73</c:v>
                </c:pt>
                <c:pt idx="14874">
                  <c:v>48.74</c:v>
                </c:pt>
                <c:pt idx="14875">
                  <c:v>48.75</c:v>
                </c:pt>
                <c:pt idx="14876">
                  <c:v>48.76</c:v>
                </c:pt>
                <c:pt idx="14877">
                  <c:v>48.77</c:v>
                </c:pt>
                <c:pt idx="14878">
                  <c:v>48.78</c:v>
                </c:pt>
                <c:pt idx="14879">
                  <c:v>48.79</c:v>
                </c:pt>
                <c:pt idx="14880">
                  <c:v>48.8</c:v>
                </c:pt>
                <c:pt idx="14881">
                  <c:v>48.81</c:v>
                </c:pt>
                <c:pt idx="14882">
                  <c:v>48.82</c:v>
                </c:pt>
                <c:pt idx="14883">
                  <c:v>48.83</c:v>
                </c:pt>
                <c:pt idx="14884">
                  <c:v>48.84</c:v>
                </c:pt>
                <c:pt idx="14885">
                  <c:v>48.85</c:v>
                </c:pt>
                <c:pt idx="14886">
                  <c:v>48.86</c:v>
                </c:pt>
                <c:pt idx="14887">
                  <c:v>48.87</c:v>
                </c:pt>
                <c:pt idx="14888">
                  <c:v>48.88</c:v>
                </c:pt>
                <c:pt idx="14889">
                  <c:v>48.89</c:v>
                </c:pt>
                <c:pt idx="14890">
                  <c:v>48.9</c:v>
                </c:pt>
                <c:pt idx="14891">
                  <c:v>48.91</c:v>
                </c:pt>
                <c:pt idx="14892">
                  <c:v>48.92</c:v>
                </c:pt>
                <c:pt idx="14893">
                  <c:v>48.93</c:v>
                </c:pt>
                <c:pt idx="14894">
                  <c:v>48.94</c:v>
                </c:pt>
                <c:pt idx="14895">
                  <c:v>48.95</c:v>
                </c:pt>
                <c:pt idx="14896">
                  <c:v>48.96</c:v>
                </c:pt>
                <c:pt idx="14897">
                  <c:v>48.97</c:v>
                </c:pt>
                <c:pt idx="14898">
                  <c:v>48.98</c:v>
                </c:pt>
                <c:pt idx="14899">
                  <c:v>48.99</c:v>
                </c:pt>
                <c:pt idx="14900">
                  <c:v>49.0</c:v>
                </c:pt>
                <c:pt idx="14901">
                  <c:v>49.01</c:v>
                </c:pt>
                <c:pt idx="14902">
                  <c:v>49.02</c:v>
                </c:pt>
                <c:pt idx="14903">
                  <c:v>49.03</c:v>
                </c:pt>
                <c:pt idx="14904">
                  <c:v>49.04</c:v>
                </c:pt>
                <c:pt idx="14905">
                  <c:v>49.05</c:v>
                </c:pt>
                <c:pt idx="14906">
                  <c:v>49.06</c:v>
                </c:pt>
                <c:pt idx="14907">
                  <c:v>49.07</c:v>
                </c:pt>
                <c:pt idx="14908">
                  <c:v>49.08</c:v>
                </c:pt>
                <c:pt idx="14909">
                  <c:v>49.09</c:v>
                </c:pt>
                <c:pt idx="14910">
                  <c:v>49.1</c:v>
                </c:pt>
                <c:pt idx="14911">
                  <c:v>49.11</c:v>
                </c:pt>
                <c:pt idx="14912">
                  <c:v>49.12</c:v>
                </c:pt>
                <c:pt idx="14913">
                  <c:v>49.13</c:v>
                </c:pt>
                <c:pt idx="14914">
                  <c:v>49.14</c:v>
                </c:pt>
                <c:pt idx="14915">
                  <c:v>49.15</c:v>
                </c:pt>
                <c:pt idx="14916">
                  <c:v>49.16</c:v>
                </c:pt>
                <c:pt idx="14917">
                  <c:v>49.17</c:v>
                </c:pt>
                <c:pt idx="14918">
                  <c:v>49.18</c:v>
                </c:pt>
                <c:pt idx="14919">
                  <c:v>49.19</c:v>
                </c:pt>
                <c:pt idx="14920">
                  <c:v>49.2</c:v>
                </c:pt>
                <c:pt idx="14921">
                  <c:v>49.21</c:v>
                </c:pt>
                <c:pt idx="14922">
                  <c:v>49.22</c:v>
                </c:pt>
                <c:pt idx="14923">
                  <c:v>49.23</c:v>
                </c:pt>
                <c:pt idx="14924">
                  <c:v>49.24</c:v>
                </c:pt>
                <c:pt idx="14925">
                  <c:v>49.25</c:v>
                </c:pt>
                <c:pt idx="14926">
                  <c:v>49.26</c:v>
                </c:pt>
                <c:pt idx="14927">
                  <c:v>49.27</c:v>
                </c:pt>
                <c:pt idx="14928">
                  <c:v>49.28</c:v>
                </c:pt>
                <c:pt idx="14929">
                  <c:v>49.29</c:v>
                </c:pt>
                <c:pt idx="14930">
                  <c:v>49.3</c:v>
                </c:pt>
                <c:pt idx="14931">
                  <c:v>49.31</c:v>
                </c:pt>
                <c:pt idx="14932">
                  <c:v>49.32</c:v>
                </c:pt>
                <c:pt idx="14933">
                  <c:v>49.33</c:v>
                </c:pt>
                <c:pt idx="14934">
                  <c:v>49.34</c:v>
                </c:pt>
                <c:pt idx="14935">
                  <c:v>49.35</c:v>
                </c:pt>
                <c:pt idx="14936">
                  <c:v>49.36</c:v>
                </c:pt>
                <c:pt idx="14937">
                  <c:v>49.37</c:v>
                </c:pt>
                <c:pt idx="14938">
                  <c:v>49.38</c:v>
                </c:pt>
                <c:pt idx="14939">
                  <c:v>49.39</c:v>
                </c:pt>
                <c:pt idx="14940">
                  <c:v>49.4</c:v>
                </c:pt>
                <c:pt idx="14941">
                  <c:v>49.41</c:v>
                </c:pt>
                <c:pt idx="14942">
                  <c:v>49.42</c:v>
                </c:pt>
                <c:pt idx="14943">
                  <c:v>49.43</c:v>
                </c:pt>
                <c:pt idx="14944">
                  <c:v>49.44</c:v>
                </c:pt>
                <c:pt idx="14945">
                  <c:v>49.45</c:v>
                </c:pt>
                <c:pt idx="14946">
                  <c:v>49.46</c:v>
                </c:pt>
                <c:pt idx="14947">
                  <c:v>49.47</c:v>
                </c:pt>
                <c:pt idx="14948">
                  <c:v>49.48</c:v>
                </c:pt>
                <c:pt idx="14949">
                  <c:v>49.49</c:v>
                </c:pt>
                <c:pt idx="14950">
                  <c:v>49.5</c:v>
                </c:pt>
                <c:pt idx="14951">
                  <c:v>49.51</c:v>
                </c:pt>
                <c:pt idx="14952">
                  <c:v>49.52</c:v>
                </c:pt>
                <c:pt idx="14953">
                  <c:v>49.53</c:v>
                </c:pt>
                <c:pt idx="14954">
                  <c:v>49.54</c:v>
                </c:pt>
                <c:pt idx="14955">
                  <c:v>49.55</c:v>
                </c:pt>
                <c:pt idx="14956">
                  <c:v>49.56</c:v>
                </c:pt>
                <c:pt idx="14957">
                  <c:v>49.57</c:v>
                </c:pt>
                <c:pt idx="14958">
                  <c:v>49.58</c:v>
                </c:pt>
                <c:pt idx="14959">
                  <c:v>49.59</c:v>
                </c:pt>
                <c:pt idx="14960">
                  <c:v>49.6</c:v>
                </c:pt>
                <c:pt idx="14961">
                  <c:v>49.61</c:v>
                </c:pt>
                <c:pt idx="14962">
                  <c:v>49.62</c:v>
                </c:pt>
                <c:pt idx="14963">
                  <c:v>49.63</c:v>
                </c:pt>
                <c:pt idx="14964">
                  <c:v>49.64</c:v>
                </c:pt>
                <c:pt idx="14965">
                  <c:v>49.65</c:v>
                </c:pt>
                <c:pt idx="14966">
                  <c:v>49.66</c:v>
                </c:pt>
                <c:pt idx="14967">
                  <c:v>49.67</c:v>
                </c:pt>
                <c:pt idx="14968">
                  <c:v>49.68</c:v>
                </c:pt>
                <c:pt idx="14969">
                  <c:v>49.69</c:v>
                </c:pt>
                <c:pt idx="14970">
                  <c:v>49.7</c:v>
                </c:pt>
                <c:pt idx="14971">
                  <c:v>49.71</c:v>
                </c:pt>
                <c:pt idx="14972">
                  <c:v>49.72</c:v>
                </c:pt>
                <c:pt idx="14973">
                  <c:v>49.73</c:v>
                </c:pt>
                <c:pt idx="14974">
                  <c:v>49.74</c:v>
                </c:pt>
                <c:pt idx="14975">
                  <c:v>49.75</c:v>
                </c:pt>
                <c:pt idx="14976">
                  <c:v>49.76</c:v>
                </c:pt>
                <c:pt idx="14977">
                  <c:v>49.77</c:v>
                </c:pt>
                <c:pt idx="14978">
                  <c:v>49.78</c:v>
                </c:pt>
                <c:pt idx="14979">
                  <c:v>49.79</c:v>
                </c:pt>
                <c:pt idx="14980">
                  <c:v>49.8</c:v>
                </c:pt>
                <c:pt idx="14981">
                  <c:v>49.81</c:v>
                </c:pt>
                <c:pt idx="14982">
                  <c:v>49.82</c:v>
                </c:pt>
                <c:pt idx="14983">
                  <c:v>49.83</c:v>
                </c:pt>
                <c:pt idx="14984">
                  <c:v>49.84</c:v>
                </c:pt>
                <c:pt idx="14985">
                  <c:v>49.85</c:v>
                </c:pt>
                <c:pt idx="14986">
                  <c:v>49.86</c:v>
                </c:pt>
                <c:pt idx="14987">
                  <c:v>49.87</c:v>
                </c:pt>
                <c:pt idx="14988">
                  <c:v>49.88</c:v>
                </c:pt>
                <c:pt idx="14989">
                  <c:v>49.89</c:v>
                </c:pt>
                <c:pt idx="14990">
                  <c:v>49.9</c:v>
                </c:pt>
                <c:pt idx="14991">
                  <c:v>49.91</c:v>
                </c:pt>
                <c:pt idx="14992">
                  <c:v>49.92</c:v>
                </c:pt>
                <c:pt idx="14993">
                  <c:v>49.93</c:v>
                </c:pt>
                <c:pt idx="14994">
                  <c:v>49.94</c:v>
                </c:pt>
                <c:pt idx="14995">
                  <c:v>49.95</c:v>
                </c:pt>
                <c:pt idx="14996">
                  <c:v>49.96</c:v>
                </c:pt>
                <c:pt idx="14997">
                  <c:v>49.97</c:v>
                </c:pt>
                <c:pt idx="14998">
                  <c:v>49.98</c:v>
                </c:pt>
                <c:pt idx="14999">
                  <c:v>49.99</c:v>
                </c:pt>
                <c:pt idx="15000">
                  <c:v>50.0</c:v>
                </c:pt>
                <c:pt idx="15001">
                  <c:v>50.01</c:v>
                </c:pt>
                <c:pt idx="15002">
                  <c:v>50.02</c:v>
                </c:pt>
                <c:pt idx="15003">
                  <c:v>50.03</c:v>
                </c:pt>
                <c:pt idx="15004">
                  <c:v>50.04</c:v>
                </c:pt>
                <c:pt idx="15005">
                  <c:v>50.05</c:v>
                </c:pt>
                <c:pt idx="15006">
                  <c:v>50.06</c:v>
                </c:pt>
                <c:pt idx="15007">
                  <c:v>50.07</c:v>
                </c:pt>
                <c:pt idx="15008">
                  <c:v>50.08</c:v>
                </c:pt>
                <c:pt idx="15009">
                  <c:v>50.09</c:v>
                </c:pt>
                <c:pt idx="15010">
                  <c:v>50.1</c:v>
                </c:pt>
                <c:pt idx="15011">
                  <c:v>50.11</c:v>
                </c:pt>
                <c:pt idx="15012">
                  <c:v>50.12</c:v>
                </c:pt>
                <c:pt idx="15013">
                  <c:v>50.13</c:v>
                </c:pt>
                <c:pt idx="15014">
                  <c:v>50.14</c:v>
                </c:pt>
                <c:pt idx="15015">
                  <c:v>50.15</c:v>
                </c:pt>
                <c:pt idx="15016">
                  <c:v>50.16</c:v>
                </c:pt>
                <c:pt idx="15017">
                  <c:v>50.17</c:v>
                </c:pt>
                <c:pt idx="15018">
                  <c:v>50.18</c:v>
                </c:pt>
                <c:pt idx="15019">
                  <c:v>50.19</c:v>
                </c:pt>
                <c:pt idx="15020">
                  <c:v>50.2</c:v>
                </c:pt>
                <c:pt idx="15021">
                  <c:v>50.21</c:v>
                </c:pt>
                <c:pt idx="15022">
                  <c:v>50.22</c:v>
                </c:pt>
                <c:pt idx="15023">
                  <c:v>50.23</c:v>
                </c:pt>
                <c:pt idx="15024">
                  <c:v>50.24</c:v>
                </c:pt>
                <c:pt idx="15025">
                  <c:v>50.25</c:v>
                </c:pt>
                <c:pt idx="15026">
                  <c:v>50.26</c:v>
                </c:pt>
                <c:pt idx="15027">
                  <c:v>50.27</c:v>
                </c:pt>
                <c:pt idx="15028">
                  <c:v>50.28</c:v>
                </c:pt>
                <c:pt idx="15029">
                  <c:v>50.29</c:v>
                </c:pt>
                <c:pt idx="15030">
                  <c:v>50.3</c:v>
                </c:pt>
                <c:pt idx="15031">
                  <c:v>50.31</c:v>
                </c:pt>
                <c:pt idx="15032">
                  <c:v>50.32</c:v>
                </c:pt>
                <c:pt idx="15033">
                  <c:v>50.33</c:v>
                </c:pt>
                <c:pt idx="15034">
                  <c:v>50.34</c:v>
                </c:pt>
                <c:pt idx="15035">
                  <c:v>50.35</c:v>
                </c:pt>
                <c:pt idx="15036">
                  <c:v>50.36</c:v>
                </c:pt>
                <c:pt idx="15037">
                  <c:v>50.37</c:v>
                </c:pt>
                <c:pt idx="15038">
                  <c:v>50.38</c:v>
                </c:pt>
                <c:pt idx="15039">
                  <c:v>50.39</c:v>
                </c:pt>
                <c:pt idx="15040">
                  <c:v>50.4</c:v>
                </c:pt>
                <c:pt idx="15041">
                  <c:v>50.41</c:v>
                </c:pt>
                <c:pt idx="15042">
                  <c:v>50.42</c:v>
                </c:pt>
                <c:pt idx="15043">
                  <c:v>50.43</c:v>
                </c:pt>
                <c:pt idx="15044">
                  <c:v>50.44</c:v>
                </c:pt>
                <c:pt idx="15045">
                  <c:v>50.45</c:v>
                </c:pt>
                <c:pt idx="15046">
                  <c:v>50.46</c:v>
                </c:pt>
                <c:pt idx="15047">
                  <c:v>50.47</c:v>
                </c:pt>
                <c:pt idx="15048">
                  <c:v>50.48</c:v>
                </c:pt>
                <c:pt idx="15049">
                  <c:v>50.49</c:v>
                </c:pt>
                <c:pt idx="15050">
                  <c:v>50.5</c:v>
                </c:pt>
                <c:pt idx="15051">
                  <c:v>50.51</c:v>
                </c:pt>
                <c:pt idx="15052">
                  <c:v>50.52</c:v>
                </c:pt>
                <c:pt idx="15053">
                  <c:v>50.53</c:v>
                </c:pt>
                <c:pt idx="15054">
                  <c:v>50.54</c:v>
                </c:pt>
                <c:pt idx="15055">
                  <c:v>50.55</c:v>
                </c:pt>
                <c:pt idx="15056">
                  <c:v>50.56</c:v>
                </c:pt>
                <c:pt idx="15057">
                  <c:v>50.57</c:v>
                </c:pt>
                <c:pt idx="15058">
                  <c:v>50.58</c:v>
                </c:pt>
                <c:pt idx="15059">
                  <c:v>50.59</c:v>
                </c:pt>
                <c:pt idx="15060">
                  <c:v>50.6</c:v>
                </c:pt>
                <c:pt idx="15061">
                  <c:v>50.61</c:v>
                </c:pt>
                <c:pt idx="15062">
                  <c:v>50.62</c:v>
                </c:pt>
                <c:pt idx="15063">
                  <c:v>50.63</c:v>
                </c:pt>
                <c:pt idx="15064">
                  <c:v>50.64</c:v>
                </c:pt>
                <c:pt idx="15065">
                  <c:v>50.65</c:v>
                </c:pt>
                <c:pt idx="15066">
                  <c:v>50.66</c:v>
                </c:pt>
                <c:pt idx="15067">
                  <c:v>50.67</c:v>
                </c:pt>
                <c:pt idx="15068">
                  <c:v>50.68</c:v>
                </c:pt>
                <c:pt idx="15069">
                  <c:v>50.69</c:v>
                </c:pt>
                <c:pt idx="15070">
                  <c:v>50.7</c:v>
                </c:pt>
                <c:pt idx="15071">
                  <c:v>50.71</c:v>
                </c:pt>
                <c:pt idx="15072">
                  <c:v>50.72</c:v>
                </c:pt>
                <c:pt idx="15073">
                  <c:v>50.73</c:v>
                </c:pt>
                <c:pt idx="15074">
                  <c:v>50.74</c:v>
                </c:pt>
                <c:pt idx="15075">
                  <c:v>50.75</c:v>
                </c:pt>
                <c:pt idx="15076">
                  <c:v>50.76</c:v>
                </c:pt>
                <c:pt idx="15077">
                  <c:v>50.77</c:v>
                </c:pt>
                <c:pt idx="15078">
                  <c:v>50.78</c:v>
                </c:pt>
                <c:pt idx="15079">
                  <c:v>50.79</c:v>
                </c:pt>
                <c:pt idx="15080">
                  <c:v>50.8</c:v>
                </c:pt>
                <c:pt idx="15081">
                  <c:v>50.81</c:v>
                </c:pt>
                <c:pt idx="15082">
                  <c:v>50.82</c:v>
                </c:pt>
                <c:pt idx="15083">
                  <c:v>50.83</c:v>
                </c:pt>
                <c:pt idx="15084">
                  <c:v>50.84</c:v>
                </c:pt>
                <c:pt idx="15085">
                  <c:v>50.85</c:v>
                </c:pt>
                <c:pt idx="15086">
                  <c:v>50.86</c:v>
                </c:pt>
                <c:pt idx="15087">
                  <c:v>50.87</c:v>
                </c:pt>
                <c:pt idx="15088">
                  <c:v>50.88</c:v>
                </c:pt>
                <c:pt idx="15089">
                  <c:v>50.89</c:v>
                </c:pt>
                <c:pt idx="15090">
                  <c:v>50.9</c:v>
                </c:pt>
                <c:pt idx="15091">
                  <c:v>50.91</c:v>
                </c:pt>
                <c:pt idx="15092">
                  <c:v>50.92</c:v>
                </c:pt>
                <c:pt idx="15093">
                  <c:v>50.93</c:v>
                </c:pt>
                <c:pt idx="15094">
                  <c:v>50.94</c:v>
                </c:pt>
                <c:pt idx="15095">
                  <c:v>50.95</c:v>
                </c:pt>
                <c:pt idx="15096">
                  <c:v>50.96</c:v>
                </c:pt>
                <c:pt idx="15097">
                  <c:v>50.97</c:v>
                </c:pt>
                <c:pt idx="15098">
                  <c:v>50.98</c:v>
                </c:pt>
                <c:pt idx="15099">
                  <c:v>50.99</c:v>
                </c:pt>
                <c:pt idx="15100">
                  <c:v>51.0</c:v>
                </c:pt>
                <c:pt idx="15101">
                  <c:v>51.01</c:v>
                </c:pt>
                <c:pt idx="15102">
                  <c:v>51.02</c:v>
                </c:pt>
                <c:pt idx="15103">
                  <c:v>51.03</c:v>
                </c:pt>
                <c:pt idx="15104">
                  <c:v>51.04</c:v>
                </c:pt>
                <c:pt idx="15105">
                  <c:v>51.05</c:v>
                </c:pt>
                <c:pt idx="15106">
                  <c:v>51.06</c:v>
                </c:pt>
                <c:pt idx="15107">
                  <c:v>51.07</c:v>
                </c:pt>
                <c:pt idx="15108">
                  <c:v>51.08</c:v>
                </c:pt>
                <c:pt idx="15109">
                  <c:v>51.09</c:v>
                </c:pt>
                <c:pt idx="15110">
                  <c:v>51.1</c:v>
                </c:pt>
                <c:pt idx="15111">
                  <c:v>51.11</c:v>
                </c:pt>
                <c:pt idx="15112">
                  <c:v>51.12</c:v>
                </c:pt>
                <c:pt idx="15113">
                  <c:v>51.13</c:v>
                </c:pt>
                <c:pt idx="15114">
                  <c:v>51.14</c:v>
                </c:pt>
                <c:pt idx="15115">
                  <c:v>51.15</c:v>
                </c:pt>
                <c:pt idx="15116">
                  <c:v>51.16</c:v>
                </c:pt>
                <c:pt idx="15117">
                  <c:v>51.17</c:v>
                </c:pt>
                <c:pt idx="15118">
                  <c:v>51.18</c:v>
                </c:pt>
                <c:pt idx="15119">
                  <c:v>51.19</c:v>
                </c:pt>
                <c:pt idx="15120">
                  <c:v>51.2</c:v>
                </c:pt>
                <c:pt idx="15121">
                  <c:v>51.21</c:v>
                </c:pt>
                <c:pt idx="15122">
                  <c:v>51.22</c:v>
                </c:pt>
                <c:pt idx="15123">
                  <c:v>51.23</c:v>
                </c:pt>
                <c:pt idx="15124">
                  <c:v>51.24</c:v>
                </c:pt>
                <c:pt idx="15125">
                  <c:v>51.25</c:v>
                </c:pt>
                <c:pt idx="15126">
                  <c:v>51.26</c:v>
                </c:pt>
                <c:pt idx="15127">
                  <c:v>51.27</c:v>
                </c:pt>
                <c:pt idx="15128">
                  <c:v>51.28</c:v>
                </c:pt>
                <c:pt idx="15129">
                  <c:v>51.29</c:v>
                </c:pt>
                <c:pt idx="15130">
                  <c:v>51.3</c:v>
                </c:pt>
                <c:pt idx="15131">
                  <c:v>51.31</c:v>
                </c:pt>
                <c:pt idx="15132">
                  <c:v>51.32</c:v>
                </c:pt>
                <c:pt idx="15133">
                  <c:v>51.33</c:v>
                </c:pt>
                <c:pt idx="15134">
                  <c:v>51.34</c:v>
                </c:pt>
                <c:pt idx="15135">
                  <c:v>51.35</c:v>
                </c:pt>
                <c:pt idx="15136">
                  <c:v>51.36</c:v>
                </c:pt>
                <c:pt idx="15137">
                  <c:v>51.37</c:v>
                </c:pt>
                <c:pt idx="15138">
                  <c:v>51.38</c:v>
                </c:pt>
                <c:pt idx="15139">
                  <c:v>51.39</c:v>
                </c:pt>
                <c:pt idx="15140">
                  <c:v>51.4</c:v>
                </c:pt>
                <c:pt idx="15141">
                  <c:v>51.41</c:v>
                </c:pt>
                <c:pt idx="15142">
                  <c:v>51.42</c:v>
                </c:pt>
                <c:pt idx="15143">
                  <c:v>51.43</c:v>
                </c:pt>
                <c:pt idx="15144">
                  <c:v>51.44</c:v>
                </c:pt>
                <c:pt idx="15145">
                  <c:v>51.45</c:v>
                </c:pt>
                <c:pt idx="15146">
                  <c:v>51.46</c:v>
                </c:pt>
                <c:pt idx="15147">
                  <c:v>51.47</c:v>
                </c:pt>
                <c:pt idx="15148">
                  <c:v>51.48</c:v>
                </c:pt>
                <c:pt idx="15149">
                  <c:v>51.49</c:v>
                </c:pt>
                <c:pt idx="15150">
                  <c:v>51.5</c:v>
                </c:pt>
                <c:pt idx="15151">
                  <c:v>51.51</c:v>
                </c:pt>
                <c:pt idx="15152">
                  <c:v>51.52</c:v>
                </c:pt>
                <c:pt idx="15153">
                  <c:v>51.53</c:v>
                </c:pt>
                <c:pt idx="15154">
                  <c:v>51.54</c:v>
                </c:pt>
                <c:pt idx="15155">
                  <c:v>51.55</c:v>
                </c:pt>
                <c:pt idx="15156">
                  <c:v>51.56</c:v>
                </c:pt>
                <c:pt idx="15157">
                  <c:v>51.57</c:v>
                </c:pt>
                <c:pt idx="15158">
                  <c:v>51.58</c:v>
                </c:pt>
                <c:pt idx="15159">
                  <c:v>51.59</c:v>
                </c:pt>
                <c:pt idx="15160">
                  <c:v>51.6</c:v>
                </c:pt>
                <c:pt idx="15161">
                  <c:v>51.61</c:v>
                </c:pt>
                <c:pt idx="15162">
                  <c:v>51.62</c:v>
                </c:pt>
                <c:pt idx="15163">
                  <c:v>51.63</c:v>
                </c:pt>
                <c:pt idx="15164">
                  <c:v>51.64</c:v>
                </c:pt>
                <c:pt idx="15165">
                  <c:v>51.65</c:v>
                </c:pt>
                <c:pt idx="15166">
                  <c:v>51.66</c:v>
                </c:pt>
                <c:pt idx="15167">
                  <c:v>51.67</c:v>
                </c:pt>
                <c:pt idx="15168">
                  <c:v>51.68</c:v>
                </c:pt>
                <c:pt idx="15169">
                  <c:v>51.69</c:v>
                </c:pt>
                <c:pt idx="15170">
                  <c:v>51.7</c:v>
                </c:pt>
                <c:pt idx="15171">
                  <c:v>51.71</c:v>
                </c:pt>
                <c:pt idx="15172">
                  <c:v>51.72</c:v>
                </c:pt>
                <c:pt idx="15173">
                  <c:v>51.73</c:v>
                </c:pt>
                <c:pt idx="15174">
                  <c:v>51.74</c:v>
                </c:pt>
                <c:pt idx="15175">
                  <c:v>51.75</c:v>
                </c:pt>
                <c:pt idx="15176">
                  <c:v>51.76</c:v>
                </c:pt>
                <c:pt idx="15177">
                  <c:v>51.77</c:v>
                </c:pt>
                <c:pt idx="15178">
                  <c:v>51.78</c:v>
                </c:pt>
                <c:pt idx="15179">
                  <c:v>51.79</c:v>
                </c:pt>
                <c:pt idx="15180">
                  <c:v>51.8</c:v>
                </c:pt>
                <c:pt idx="15181">
                  <c:v>51.81</c:v>
                </c:pt>
                <c:pt idx="15182">
                  <c:v>51.82</c:v>
                </c:pt>
                <c:pt idx="15183">
                  <c:v>51.83</c:v>
                </c:pt>
                <c:pt idx="15184">
                  <c:v>51.84</c:v>
                </c:pt>
                <c:pt idx="15185">
                  <c:v>51.85</c:v>
                </c:pt>
                <c:pt idx="15186">
                  <c:v>51.86</c:v>
                </c:pt>
                <c:pt idx="15187">
                  <c:v>51.87</c:v>
                </c:pt>
                <c:pt idx="15188">
                  <c:v>51.88</c:v>
                </c:pt>
                <c:pt idx="15189">
                  <c:v>51.89</c:v>
                </c:pt>
                <c:pt idx="15190">
                  <c:v>51.9</c:v>
                </c:pt>
                <c:pt idx="15191">
                  <c:v>51.91</c:v>
                </c:pt>
                <c:pt idx="15192">
                  <c:v>51.92</c:v>
                </c:pt>
                <c:pt idx="15193">
                  <c:v>51.93</c:v>
                </c:pt>
                <c:pt idx="15194">
                  <c:v>51.94</c:v>
                </c:pt>
                <c:pt idx="15195">
                  <c:v>51.95</c:v>
                </c:pt>
                <c:pt idx="15196">
                  <c:v>51.96</c:v>
                </c:pt>
                <c:pt idx="15197">
                  <c:v>51.97</c:v>
                </c:pt>
                <c:pt idx="15198">
                  <c:v>51.98</c:v>
                </c:pt>
                <c:pt idx="15199">
                  <c:v>51.99</c:v>
                </c:pt>
                <c:pt idx="15200">
                  <c:v>52.0</c:v>
                </c:pt>
                <c:pt idx="15201">
                  <c:v>52.01</c:v>
                </c:pt>
                <c:pt idx="15202">
                  <c:v>52.02</c:v>
                </c:pt>
                <c:pt idx="15203">
                  <c:v>52.03</c:v>
                </c:pt>
                <c:pt idx="15204">
                  <c:v>52.04</c:v>
                </c:pt>
                <c:pt idx="15205">
                  <c:v>52.05</c:v>
                </c:pt>
                <c:pt idx="15206">
                  <c:v>52.06</c:v>
                </c:pt>
                <c:pt idx="15207">
                  <c:v>52.07</c:v>
                </c:pt>
                <c:pt idx="15208">
                  <c:v>52.08</c:v>
                </c:pt>
                <c:pt idx="15209">
                  <c:v>52.09</c:v>
                </c:pt>
                <c:pt idx="15210">
                  <c:v>52.1</c:v>
                </c:pt>
                <c:pt idx="15211">
                  <c:v>52.11</c:v>
                </c:pt>
                <c:pt idx="15212">
                  <c:v>52.12</c:v>
                </c:pt>
                <c:pt idx="15213">
                  <c:v>52.13</c:v>
                </c:pt>
                <c:pt idx="15214">
                  <c:v>52.14</c:v>
                </c:pt>
                <c:pt idx="15215">
                  <c:v>52.15</c:v>
                </c:pt>
                <c:pt idx="15216">
                  <c:v>52.16</c:v>
                </c:pt>
                <c:pt idx="15217">
                  <c:v>52.17</c:v>
                </c:pt>
                <c:pt idx="15218">
                  <c:v>52.18</c:v>
                </c:pt>
                <c:pt idx="15219">
                  <c:v>52.19</c:v>
                </c:pt>
                <c:pt idx="15220">
                  <c:v>52.2</c:v>
                </c:pt>
                <c:pt idx="15221">
                  <c:v>52.21</c:v>
                </c:pt>
                <c:pt idx="15222">
                  <c:v>52.22</c:v>
                </c:pt>
                <c:pt idx="15223">
                  <c:v>52.23</c:v>
                </c:pt>
                <c:pt idx="15224">
                  <c:v>52.24</c:v>
                </c:pt>
                <c:pt idx="15225">
                  <c:v>52.25</c:v>
                </c:pt>
                <c:pt idx="15226">
                  <c:v>52.26</c:v>
                </c:pt>
                <c:pt idx="15227">
                  <c:v>52.27</c:v>
                </c:pt>
                <c:pt idx="15228">
                  <c:v>52.28</c:v>
                </c:pt>
                <c:pt idx="15229">
                  <c:v>52.29</c:v>
                </c:pt>
                <c:pt idx="15230">
                  <c:v>52.3</c:v>
                </c:pt>
                <c:pt idx="15231">
                  <c:v>52.31</c:v>
                </c:pt>
                <c:pt idx="15232">
                  <c:v>52.32</c:v>
                </c:pt>
                <c:pt idx="15233">
                  <c:v>52.33</c:v>
                </c:pt>
                <c:pt idx="15234">
                  <c:v>52.34</c:v>
                </c:pt>
                <c:pt idx="15235">
                  <c:v>52.35</c:v>
                </c:pt>
                <c:pt idx="15236">
                  <c:v>52.36</c:v>
                </c:pt>
                <c:pt idx="15237">
                  <c:v>52.37</c:v>
                </c:pt>
                <c:pt idx="15238">
                  <c:v>52.38</c:v>
                </c:pt>
                <c:pt idx="15239">
                  <c:v>52.39</c:v>
                </c:pt>
                <c:pt idx="15240">
                  <c:v>52.4</c:v>
                </c:pt>
                <c:pt idx="15241">
                  <c:v>52.41</c:v>
                </c:pt>
                <c:pt idx="15242">
                  <c:v>52.42</c:v>
                </c:pt>
                <c:pt idx="15243">
                  <c:v>52.43</c:v>
                </c:pt>
                <c:pt idx="15244">
                  <c:v>52.44</c:v>
                </c:pt>
                <c:pt idx="15245">
                  <c:v>52.45</c:v>
                </c:pt>
                <c:pt idx="15246">
                  <c:v>52.46</c:v>
                </c:pt>
                <c:pt idx="15247">
                  <c:v>52.47</c:v>
                </c:pt>
                <c:pt idx="15248">
                  <c:v>52.48</c:v>
                </c:pt>
                <c:pt idx="15249">
                  <c:v>52.49</c:v>
                </c:pt>
                <c:pt idx="15250">
                  <c:v>52.5</c:v>
                </c:pt>
                <c:pt idx="15251">
                  <c:v>52.51</c:v>
                </c:pt>
                <c:pt idx="15252">
                  <c:v>52.52</c:v>
                </c:pt>
                <c:pt idx="15253">
                  <c:v>52.53</c:v>
                </c:pt>
                <c:pt idx="15254">
                  <c:v>52.54</c:v>
                </c:pt>
                <c:pt idx="15255">
                  <c:v>52.55</c:v>
                </c:pt>
                <c:pt idx="15256">
                  <c:v>52.56</c:v>
                </c:pt>
                <c:pt idx="15257">
                  <c:v>52.57</c:v>
                </c:pt>
                <c:pt idx="15258">
                  <c:v>52.58</c:v>
                </c:pt>
                <c:pt idx="15259">
                  <c:v>52.59</c:v>
                </c:pt>
                <c:pt idx="15260">
                  <c:v>52.6</c:v>
                </c:pt>
                <c:pt idx="15261">
                  <c:v>52.61</c:v>
                </c:pt>
                <c:pt idx="15262">
                  <c:v>52.62</c:v>
                </c:pt>
                <c:pt idx="15263">
                  <c:v>52.63</c:v>
                </c:pt>
                <c:pt idx="15264">
                  <c:v>52.64</c:v>
                </c:pt>
                <c:pt idx="15265">
                  <c:v>52.65</c:v>
                </c:pt>
                <c:pt idx="15266">
                  <c:v>52.66</c:v>
                </c:pt>
                <c:pt idx="15267">
                  <c:v>52.67</c:v>
                </c:pt>
                <c:pt idx="15268">
                  <c:v>52.68</c:v>
                </c:pt>
                <c:pt idx="15269">
                  <c:v>52.69</c:v>
                </c:pt>
                <c:pt idx="15270">
                  <c:v>52.7</c:v>
                </c:pt>
                <c:pt idx="15271">
                  <c:v>52.71</c:v>
                </c:pt>
                <c:pt idx="15272">
                  <c:v>52.72</c:v>
                </c:pt>
                <c:pt idx="15273">
                  <c:v>52.73</c:v>
                </c:pt>
                <c:pt idx="15274">
                  <c:v>52.74</c:v>
                </c:pt>
                <c:pt idx="15275">
                  <c:v>52.75</c:v>
                </c:pt>
                <c:pt idx="15276">
                  <c:v>52.76</c:v>
                </c:pt>
                <c:pt idx="15277">
                  <c:v>52.77</c:v>
                </c:pt>
                <c:pt idx="15278">
                  <c:v>52.78</c:v>
                </c:pt>
                <c:pt idx="15279">
                  <c:v>52.79</c:v>
                </c:pt>
                <c:pt idx="15280">
                  <c:v>52.8</c:v>
                </c:pt>
                <c:pt idx="15281">
                  <c:v>52.81</c:v>
                </c:pt>
                <c:pt idx="15282">
                  <c:v>52.82</c:v>
                </c:pt>
                <c:pt idx="15283">
                  <c:v>52.83</c:v>
                </c:pt>
                <c:pt idx="15284">
                  <c:v>52.84</c:v>
                </c:pt>
                <c:pt idx="15285">
                  <c:v>52.85</c:v>
                </c:pt>
                <c:pt idx="15286">
                  <c:v>52.86</c:v>
                </c:pt>
                <c:pt idx="15287">
                  <c:v>52.87</c:v>
                </c:pt>
                <c:pt idx="15288">
                  <c:v>52.88</c:v>
                </c:pt>
                <c:pt idx="15289">
                  <c:v>52.89</c:v>
                </c:pt>
                <c:pt idx="15290">
                  <c:v>52.9</c:v>
                </c:pt>
                <c:pt idx="15291">
                  <c:v>52.91</c:v>
                </c:pt>
                <c:pt idx="15292">
                  <c:v>52.92</c:v>
                </c:pt>
                <c:pt idx="15293">
                  <c:v>52.93</c:v>
                </c:pt>
                <c:pt idx="15294">
                  <c:v>52.94</c:v>
                </c:pt>
                <c:pt idx="15295">
                  <c:v>52.95</c:v>
                </c:pt>
                <c:pt idx="15296">
                  <c:v>52.96</c:v>
                </c:pt>
                <c:pt idx="15297">
                  <c:v>52.97</c:v>
                </c:pt>
                <c:pt idx="15298">
                  <c:v>52.98</c:v>
                </c:pt>
                <c:pt idx="15299">
                  <c:v>52.99</c:v>
                </c:pt>
                <c:pt idx="15300">
                  <c:v>53.0</c:v>
                </c:pt>
                <c:pt idx="15301">
                  <c:v>53.01</c:v>
                </c:pt>
                <c:pt idx="15302">
                  <c:v>53.02</c:v>
                </c:pt>
                <c:pt idx="15303">
                  <c:v>53.03</c:v>
                </c:pt>
                <c:pt idx="15304">
                  <c:v>53.04</c:v>
                </c:pt>
                <c:pt idx="15305">
                  <c:v>53.05</c:v>
                </c:pt>
                <c:pt idx="15306">
                  <c:v>53.06</c:v>
                </c:pt>
                <c:pt idx="15307">
                  <c:v>53.07</c:v>
                </c:pt>
                <c:pt idx="15308">
                  <c:v>53.08</c:v>
                </c:pt>
                <c:pt idx="15309">
                  <c:v>53.09</c:v>
                </c:pt>
                <c:pt idx="15310">
                  <c:v>53.1</c:v>
                </c:pt>
                <c:pt idx="15311">
                  <c:v>53.11</c:v>
                </c:pt>
                <c:pt idx="15312">
                  <c:v>53.12</c:v>
                </c:pt>
                <c:pt idx="15313">
                  <c:v>53.13</c:v>
                </c:pt>
                <c:pt idx="15314">
                  <c:v>53.14</c:v>
                </c:pt>
                <c:pt idx="15315">
                  <c:v>53.15</c:v>
                </c:pt>
                <c:pt idx="15316">
                  <c:v>53.16</c:v>
                </c:pt>
                <c:pt idx="15317">
                  <c:v>53.17</c:v>
                </c:pt>
                <c:pt idx="15318">
                  <c:v>53.18</c:v>
                </c:pt>
                <c:pt idx="15319">
                  <c:v>53.19</c:v>
                </c:pt>
                <c:pt idx="15320">
                  <c:v>53.2</c:v>
                </c:pt>
                <c:pt idx="15321">
                  <c:v>53.21</c:v>
                </c:pt>
                <c:pt idx="15322">
                  <c:v>53.22</c:v>
                </c:pt>
                <c:pt idx="15323">
                  <c:v>53.23</c:v>
                </c:pt>
                <c:pt idx="15324">
                  <c:v>53.24</c:v>
                </c:pt>
                <c:pt idx="15325">
                  <c:v>53.25</c:v>
                </c:pt>
                <c:pt idx="15326">
                  <c:v>53.26</c:v>
                </c:pt>
                <c:pt idx="15327">
                  <c:v>53.27</c:v>
                </c:pt>
                <c:pt idx="15328">
                  <c:v>53.28</c:v>
                </c:pt>
                <c:pt idx="15329">
                  <c:v>53.29</c:v>
                </c:pt>
                <c:pt idx="15330">
                  <c:v>53.3</c:v>
                </c:pt>
                <c:pt idx="15331">
                  <c:v>53.31</c:v>
                </c:pt>
                <c:pt idx="15332">
                  <c:v>53.32</c:v>
                </c:pt>
                <c:pt idx="15333">
                  <c:v>53.33</c:v>
                </c:pt>
                <c:pt idx="15334">
                  <c:v>53.34</c:v>
                </c:pt>
                <c:pt idx="15335">
                  <c:v>53.35</c:v>
                </c:pt>
                <c:pt idx="15336">
                  <c:v>53.36</c:v>
                </c:pt>
                <c:pt idx="15337">
                  <c:v>53.37</c:v>
                </c:pt>
                <c:pt idx="15338">
                  <c:v>53.38</c:v>
                </c:pt>
                <c:pt idx="15339">
                  <c:v>53.39</c:v>
                </c:pt>
                <c:pt idx="15340">
                  <c:v>53.4</c:v>
                </c:pt>
                <c:pt idx="15341">
                  <c:v>53.41</c:v>
                </c:pt>
                <c:pt idx="15342">
                  <c:v>53.42</c:v>
                </c:pt>
                <c:pt idx="15343">
                  <c:v>53.43</c:v>
                </c:pt>
                <c:pt idx="15344">
                  <c:v>53.44</c:v>
                </c:pt>
                <c:pt idx="15345">
                  <c:v>53.45</c:v>
                </c:pt>
                <c:pt idx="15346">
                  <c:v>53.46</c:v>
                </c:pt>
                <c:pt idx="15347">
                  <c:v>53.47</c:v>
                </c:pt>
                <c:pt idx="15348">
                  <c:v>53.48</c:v>
                </c:pt>
                <c:pt idx="15349">
                  <c:v>53.49</c:v>
                </c:pt>
                <c:pt idx="15350">
                  <c:v>53.5</c:v>
                </c:pt>
                <c:pt idx="15351">
                  <c:v>53.51</c:v>
                </c:pt>
                <c:pt idx="15352">
                  <c:v>53.52</c:v>
                </c:pt>
                <c:pt idx="15353">
                  <c:v>53.53</c:v>
                </c:pt>
                <c:pt idx="15354">
                  <c:v>53.54</c:v>
                </c:pt>
                <c:pt idx="15355">
                  <c:v>53.55</c:v>
                </c:pt>
                <c:pt idx="15356">
                  <c:v>53.56</c:v>
                </c:pt>
                <c:pt idx="15357">
                  <c:v>53.57</c:v>
                </c:pt>
                <c:pt idx="15358">
                  <c:v>53.58</c:v>
                </c:pt>
                <c:pt idx="15359">
                  <c:v>53.59</c:v>
                </c:pt>
                <c:pt idx="15360">
                  <c:v>53.6</c:v>
                </c:pt>
                <c:pt idx="15361">
                  <c:v>53.61</c:v>
                </c:pt>
                <c:pt idx="15362">
                  <c:v>53.62</c:v>
                </c:pt>
                <c:pt idx="15363">
                  <c:v>53.63</c:v>
                </c:pt>
                <c:pt idx="15364">
                  <c:v>53.64</c:v>
                </c:pt>
                <c:pt idx="15365">
                  <c:v>53.65</c:v>
                </c:pt>
                <c:pt idx="15366">
                  <c:v>53.66</c:v>
                </c:pt>
                <c:pt idx="15367">
                  <c:v>53.67</c:v>
                </c:pt>
                <c:pt idx="15368">
                  <c:v>53.68</c:v>
                </c:pt>
                <c:pt idx="15369">
                  <c:v>53.69</c:v>
                </c:pt>
                <c:pt idx="15370">
                  <c:v>53.7</c:v>
                </c:pt>
                <c:pt idx="15371">
                  <c:v>53.71</c:v>
                </c:pt>
                <c:pt idx="15372">
                  <c:v>53.72</c:v>
                </c:pt>
                <c:pt idx="15373">
                  <c:v>53.73</c:v>
                </c:pt>
                <c:pt idx="15374">
                  <c:v>53.74</c:v>
                </c:pt>
                <c:pt idx="15375">
                  <c:v>53.75</c:v>
                </c:pt>
                <c:pt idx="15376">
                  <c:v>53.76</c:v>
                </c:pt>
                <c:pt idx="15377">
                  <c:v>53.77</c:v>
                </c:pt>
                <c:pt idx="15378">
                  <c:v>53.78</c:v>
                </c:pt>
                <c:pt idx="15379">
                  <c:v>53.79</c:v>
                </c:pt>
                <c:pt idx="15380">
                  <c:v>53.8</c:v>
                </c:pt>
                <c:pt idx="15381">
                  <c:v>53.81</c:v>
                </c:pt>
                <c:pt idx="15382">
                  <c:v>53.82</c:v>
                </c:pt>
                <c:pt idx="15383">
                  <c:v>53.83</c:v>
                </c:pt>
                <c:pt idx="15384">
                  <c:v>53.84</c:v>
                </c:pt>
                <c:pt idx="15385">
                  <c:v>53.85</c:v>
                </c:pt>
                <c:pt idx="15386">
                  <c:v>53.86</c:v>
                </c:pt>
                <c:pt idx="15387">
                  <c:v>53.87</c:v>
                </c:pt>
                <c:pt idx="15388">
                  <c:v>53.88</c:v>
                </c:pt>
                <c:pt idx="15389">
                  <c:v>53.89</c:v>
                </c:pt>
                <c:pt idx="15390">
                  <c:v>53.9</c:v>
                </c:pt>
                <c:pt idx="15391">
                  <c:v>53.91</c:v>
                </c:pt>
                <c:pt idx="15392">
                  <c:v>53.92</c:v>
                </c:pt>
                <c:pt idx="15393">
                  <c:v>53.93</c:v>
                </c:pt>
                <c:pt idx="15394">
                  <c:v>53.94</c:v>
                </c:pt>
                <c:pt idx="15395">
                  <c:v>53.95</c:v>
                </c:pt>
                <c:pt idx="15396">
                  <c:v>53.96</c:v>
                </c:pt>
                <c:pt idx="15397">
                  <c:v>53.97</c:v>
                </c:pt>
                <c:pt idx="15398">
                  <c:v>53.98</c:v>
                </c:pt>
                <c:pt idx="15399">
                  <c:v>53.99</c:v>
                </c:pt>
                <c:pt idx="15400">
                  <c:v>54.0</c:v>
                </c:pt>
                <c:pt idx="15401">
                  <c:v>54.01</c:v>
                </c:pt>
                <c:pt idx="15402">
                  <c:v>54.02</c:v>
                </c:pt>
                <c:pt idx="15403">
                  <c:v>54.03</c:v>
                </c:pt>
                <c:pt idx="15404">
                  <c:v>54.04</c:v>
                </c:pt>
                <c:pt idx="15405">
                  <c:v>54.05</c:v>
                </c:pt>
                <c:pt idx="15406">
                  <c:v>54.06</c:v>
                </c:pt>
                <c:pt idx="15407">
                  <c:v>54.07</c:v>
                </c:pt>
                <c:pt idx="15408">
                  <c:v>54.08</c:v>
                </c:pt>
                <c:pt idx="15409">
                  <c:v>54.09</c:v>
                </c:pt>
                <c:pt idx="15410">
                  <c:v>54.1</c:v>
                </c:pt>
                <c:pt idx="15411">
                  <c:v>54.11</c:v>
                </c:pt>
                <c:pt idx="15412">
                  <c:v>54.12</c:v>
                </c:pt>
                <c:pt idx="15413">
                  <c:v>54.13</c:v>
                </c:pt>
                <c:pt idx="15414">
                  <c:v>54.14</c:v>
                </c:pt>
                <c:pt idx="15415">
                  <c:v>54.15</c:v>
                </c:pt>
                <c:pt idx="15416">
                  <c:v>54.16</c:v>
                </c:pt>
                <c:pt idx="15417">
                  <c:v>54.17</c:v>
                </c:pt>
                <c:pt idx="15418">
                  <c:v>54.18</c:v>
                </c:pt>
                <c:pt idx="15419">
                  <c:v>54.19</c:v>
                </c:pt>
                <c:pt idx="15420">
                  <c:v>54.2</c:v>
                </c:pt>
                <c:pt idx="15421">
                  <c:v>54.21</c:v>
                </c:pt>
                <c:pt idx="15422">
                  <c:v>54.22</c:v>
                </c:pt>
                <c:pt idx="15423">
                  <c:v>54.23</c:v>
                </c:pt>
                <c:pt idx="15424">
                  <c:v>54.24</c:v>
                </c:pt>
                <c:pt idx="15425">
                  <c:v>54.25</c:v>
                </c:pt>
                <c:pt idx="15426">
                  <c:v>54.26</c:v>
                </c:pt>
                <c:pt idx="15427">
                  <c:v>54.27</c:v>
                </c:pt>
                <c:pt idx="15428">
                  <c:v>54.28</c:v>
                </c:pt>
                <c:pt idx="15429">
                  <c:v>54.29</c:v>
                </c:pt>
                <c:pt idx="15430">
                  <c:v>54.3</c:v>
                </c:pt>
                <c:pt idx="15431">
                  <c:v>54.31</c:v>
                </c:pt>
                <c:pt idx="15432">
                  <c:v>54.32</c:v>
                </c:pt>
                <c:pt idx="15433">
                  <c:v>54.33</c:v>
                </c:pt>
                <c:pt idx="15434">
                  <c:v>54.34</c:v>
                </c:pt>
                <c:pt idx="15435">
                  <c:v>54.35</c:v>
                </c:pt>
                <c:pt idx="15436">
                  <c:v>54.36</c:v>
                </c:pt>
                <c:pt idx="15437">
                  <c:v>54.37</c:v>
                </c:pt>
                <c:pt idx="15438">
                  <c:v>54.38</c:v>
                </c:pt>
                <c:pt idx="15439">
                  <c:v>54.39</c:v>
                </c:pt>
                <c:pt idx="15440">
                  <c:v>54.4</c:v>
                </c:pt>
                <c:pt idx="15441">
                  <c:v>54.41</c:v>
                </c:pt>
                <c:pt idx="15442">
                  <c:v>54.42</c:v>
                </c:pt>
                <c:pt idx="15443">
                  <c:v>54.43</c:v>
                </c:pt>
                <c:pt idx="15444">
                  <c:v>54.44</c:v>
                </c:pt>
                <c:pt idx="15445">
                  <c:v>54.45</c:v>
                </c:pt>
                <c:pt idx="15446">
                  <c:v>54.46</c:v>
                </c:pt>
                <c:pt idx="15447">
                  <c:v>54.47</c:v>
                </c:pt>
                <c:pt idx="15448">
                  <c:v>54.48</c:v>
                </c:pt>
                <c:pt idx="15449">
                  <c:v>54.49</c:v>
                </c:pt>
                <c:pt idx="15450">
                  <c:v>54.5</c:v>
                </c:pt>
                <c:pt idx="15451">
                  <c:v>54.51</c:v>
                </c:pt>
                <c:pt idx="15452">
                  <c:v>54.52</c:v>
                </c:pt>
                <c:pt idx="15453">
                  <c:v>54.53</c:v>
                </c:pt>
                <c:pt idx="15454">
                  <c:v>54.54</c:v>
                </c:pt>
                <c:pt idx="15455">
                  <c:v>54.55</c:v>
                </c:pt>
                <c:pt idx="15456">
                  <c:v>54.56</c:v>
                </c:pt>
                <c:pt idx="15457">
                  <c:v>54.57</c:v>
                </c:pt>
                <c:pt idx="15458">
                  <c:v>54.58</c:v>
                </c:pt>
                <c:pt idx="15459">
                  <c:v>54.59</c:v>
                </c:pt>
                <c:pt idx="15460">
                  <c:v>54.6</c:v>
                </c:pt>
                <c:pt idx="15461">
                  <c:v>54.61</c:v>
                </c:pt>
                <c:pt idx="15462">
                  <c:v>54.62</c:v>
                </c:pt>
                <c:pt idx="15463">
                  <c:v>54.63</c:v>
                </c:pt>
                <c:pt idx="15464">
                  <c:v>54.64</c:v>
                </c:pt>
                <c:pt idx="15465">
                  <c:v>54.65</c:v>
                </c:pt>
                <c:pt idx="15466">
                  <c:v>54.66</c:v>
                </c:pt>
                <c:pt idx="15467">
                  <c:v>54.67</c:v>
                </c:pt>
                <c:pt idx="15468">
                  <c:v>54.68</c:v>
                </c:pt>
                <c:pt idx="15469">
                  <c:v>54.69</c:v>
                </c:pt>
                <c:pt idx="15470">
                  <c:v>54.7</c:v>
                </c:pt>
                <c:pt idx="15471">
                  <c:v>54.71</c:v>
                </c:pt>
                <c:pt idx="15472">
                  <c:v>54.72</c:v>
                </c:pt>
                <c:pt idx="15473">
                  <c:v>54.73</c:v>
                </c:pt>
                <c:pt idx="15474">
                  <c:v>54.74</c:v>
                </c:pt>
                <c:pt idx="15475">
                  <c:v>54.75</c:v>
                </c:pt>
                <c:pt idx="15476">
                  <c:v>54.76</c:v>
                </c:pt>
                <c:pt idx="15477">
                  <c:v>54.77</c:v>
                </c:pt>
                <c:pt idx="15478">
                  <c:v>54.78</c:v>
                </c:pt>
                <c:pt idx="15479">
                  <c:v>54.79</c:v>
                </c:pt>
                <c:pt idx="15480">
                  <c:v>54.8</c:v>
                </c:pt>
                <c:pt idx="15481">
                  <c:v>54.81</c:v>
                </c:pt>
                <c:pt idx="15482">
                  <c:v>54.82</c:v>
                </c:pt>
                <c:pt idx="15483">
                  <c:v>54.83</c:v>
                </c:pt>
                <c:pt idx="15484">
                  <c:v>54.84</c:v>
                </c:pt>
                <c:pt idx="15485">
                  <c:v>54.85</c:v>
                </c:pt>
                <c:pt idx="15486">
                  <c:v>54.86</c:v>
                </c:pt>
                <c:pt idx="15487">
                  <c:v>54.87</c:v>
                </c:pt>
                <c:pt idx="15488">
                  <c:v>54.88</c:v>
                </c:pt>
                <c:pt idx="15489">
                  <c:v>54.89</c:v>
                </c:pt>
                <c:pt idx="15490">
                  <c:v>54.9</c:v>
                </c:pt>
                <c:pt idx="15491">
                  <c:v>54.91</c:v>
                </c:pt>
                <c:pt idx="15492">
                  <c:v>54.92</c:v>
                </c:pt>
                <c:pt idx="15493">
                  <c:v>54.93</c:v>
                </c:pt>
                <c:pt idx="15494">
                  <c:v>54.94</c:v>
                </c:pt>
                <c:pt idx="15495">
                  <c:v>54.95</c:v>
                </c:pt>
                <c:pt idx="15496">
                  <c:v>54.96</c:v>
                </c:pt>
                <c:pt idx="15497">
                  <c:v>54.97</c:v>
                </c:pt>
                <c:pt idx="15498">
                  <c:v>54.98</c:v>
                </c:pt>
                <c:pt idx="15499">
                  <c:v>54.99</c:v>
                </c:pt>
                <c:pt idx="15500">
                  <c:v>55.0</c:v>
                </c:pt>
                <c:pt idx="15501">
                  <c:v>55.01</c:v>
                </c:pt>
                <c:pt idx="15502">
                  <c:v>55.02</c:v>
                </c:pt>
                <c:pt idx="15503">
                  <c:v>55.03</c:v>
                </c:pt>
                <c:pt idx="15504">
                  <c:v>55.04</c:v>
                </c:pt>
                <c:pt idx="15505">
                  <c:v>55.05</c:v>
                </c:pt>
                <c:pt idx="15506">
                  <c:v>55.06</c:v>
                </c:pt>
                <c:pt idx="15507">
                  <c:v>55.07</c:v>
                </c:pt>
                <c:pt idx="15508">
                  <c:v>55.08</c:v>
                </c:pt>
                <c:pt idx="15509">
                  <c:v>55.09</c:v>
                </c:pt>
                <c:pt idx="15510">
                  <c:v>55.1</c:v>
                </c:pt>
                <c:pt idx="15511">
                  <c:v>55.11</c:v>
                </c:pt>
                <c:pt idx="15512">
                  <c:v>55.12</c:v>
                </c:pt>
                <c:pt idx="15513">
                  <c:v>55.13</c:v>
                </c:pt>
                <c:pt idx="15514">
                  <c:v>55.14</c:v>
                </c:pt>
                <c:pt idx="15515">
                  <c:v>55.15</c:v>
                </c:pt>
                <c:pt idx="15516">
                  <c:v>55.16</c:v>
                </c:pt>
                <c:pt idx="15517">
                  <c:v>55.17</c:v>
                </c:pt>
                <c:pt idx="15518">
                  <c:v>55.18</c:v>
                </c:pt>
                <c:pt idx="15519">
                  <c:v>55.19</c:v>
                </c:pt>
                <c:pt idx="15520">
                  <c:v>55.2</c:v>
                </c:pt>
                <c:pt idx="15521">
                  <c:v>55.21</c:v>
                </c:pt>
                <c:pt idx="15522">
                  <c:v>55.22</c:v>
                </c:pt>
                <c:pt idx="15523">
                  <c:v>55.23</c:v>
                </c:pt>
                <c:pt idx="15524">
                  <c:v>55.24</c:v>
                </c:pt>
                <c:pt idx="15525">
                  <c:v>55.25</c:v>
                </c:pt>
                <c:pt idx="15526">
                  <c:v>55.26</c:v>
                </c:pt>
                <c:pt idx="15527">
                  <c:v>55.27</c:v>
                </c:pt>
                <c:pt idx="15528">
                  <c:v>55.28</c:v>
                </c:pt>
                <c:pt idx="15529">
                  <c:v>55.29</c:v>
                </c:pt>
                <c:pt idx="15530">
                  <c:v>55.3</c:v>
                </c:pt>
                <c:pt idx="15531">
                  <c:v>55.31</c:v>
                </c:pt>
                <c:pt idx="15532">
                  <c:v>55.32</c:v>
                </c:pt>
                <c:pt idx="15533">
                  <c:v>55.33</c:v>
                </c:pt>
                <c:pt idx="15534">
                  <c:v>55.34</c:v>
                </c:pt>
                <c:pt idx="15535">
                  <c:v>55.35</c:v>
                </c:pt>
                <c:pt idx="15536">
                  <c:v>55.36</c:v>
                </c:pt>
                <c:pt idx="15537">
                  <c:v>55.37</c:v>
                </c:pt>
                <c:pt idx="15538">
                  <c:v>55.38</c:v>
                </c:pt>
                <c:pt idx="15539">
                  <c:v>55.39</c:v>
                </c:pt>
                <c:pt idx="15540">
                  <c:v>55.4</c:v>
                </c:pt>
                <c:pt idx="15541">
                  <c:v>55.41</c:v>
                </c:pt>
                <c:pt idx="15542">
                  <c:v>55.42</c:v>
                </c:pt>
                <c:pt idx="15543">
                  <c:v>55.43</c:v>
                </c:pt>
                <c:pt idx="15544">
                  <c:v>55.44</c:v>
                </c:pt>
                <c:pt idx="15545">
                  <c:v>55.45</c:v>
                </c:pt>
                <c:pt idx="15546">
                  <c:v>55.46</c:v>
                </c:pt>
                <c:pt idx="15547">
                  <c:v>55.47</c:v>
                </c:pt>
                <c:pt idx="15548">
                  <c:v>55.48</c:v>
                </c:pt>
                <c:pt idx="15549">
                  <c:v>55.49</c:v>
                </c:pt>
                <c:pt idx="15550">
                  <c:v>55.5</c:v>
                </c:pt>
                <c:pt idx="15551">
                  <c:v>55.51</c:v>
                </c:pt>
                <c:pt idx="15552">
                  <c:v>55.52</c:v>
                </c:pt>
                <c:pt idx="15553">
                  <c:v>55.53</c:v>
                </c:pt>
                <c:pt idx="15554">
                  <c:v>55.54</c:v>
                </c:pt>
                <c:pt idx="15555">
                  <c:v>55.55</c:v>
                </c:pt>
                <c:pt idx="15556">
                  <c:v>55.56</c:v>
                </c:pt>
                <c:pt idx="15557">
                  <c:v>55.57</c:v>
                </c:pt>
                <c:pt idx="15558">
                  <c:v>55.58</c:v>
                </c:pt>
                <c:pt idx="15559">
                  <c:v>55.59</c:v>
                </c:pt>
                <c:pt idx="15560">
                  <c:v>55.6</c:v>
                </c:pt>
                <c:pt idx="15561">
                  <c:v>55.61</c:v>
                </c:pt>
                <c:pt idx="15562">
                  <c:v>55.62</c:v>
                </c:pt>
                <c:pt idx="15563">
                  <c:v>55.63</c:v>
                </c:pt>
                <c:pt idx="15564">
                  <c:v>55.64</c:v>
                </c:pt>
                <c:pt idx="15565">
                  <c:v>55.65</c:v>
                </c:pt>
                <c:pt idx="15566">
                  <c:v>55.66</c:v>
                </c:pt>
                <c:pt idx="15567">
                  <c:v>55.67</c:v>
                </c:pt>
                <c:pt idx="15568">
                  <c:v>55.68</c:v>
                </c:pt>
                <c:pt idx="15569">
                  <c:v>55.69</c:v>
                </c:pt>
                <c:pt idx="15570">
                  <c:v>55.7</c:v>
                </c:pt>
                <c:pt idx="15571">
                  <c:v>55.71</c:v>
                </c:pt>
                <c:pt idx="15572">
                  <c:v>55.72</c:v>
                </c:pt>
                <c:pt idx="15573">
                  <c:v>55.73</c:v>
                </c:pt>
                <c:pt idx="15574">
                  <c:v>55.74</c:v>
                </c:pt>
                <c:pt idx="15575">
                  <c:v>55.75</c:v>
                </c:pt>
                <c:pt idx="15576">
                  <c:v>55.76</c:v>
                </c:pt>
                <c:pt idx="15577">
                  <c:v>55.77</c:v>
                </c:pt>
                <c:pt idx="15578">
                  <c:v>55.78</c:v>
                </c:pt>
                <c:pt idx="15579">
                  <c:v>55.79</c:v>
                </c:pt>
                <c:pt idx="15580">
                  <c:v>55.8</c:v>
                </c:pt>
                <c:pt idx="15581">
                  <c:v>55.81</c:v>
                </c:pt>
                <c:pt idx="15582">
                  <c:v>55.82</c:v>
                </c:pt>
                <c:pt idx="15583">
                  <c:v>55.83</c:v>
                </c:pt>
                <c:pt idx="15584">
                  <c:v>55.84</c:v>
                </c:pt>
                <c:pt idx="15585">
                  <c:v>55.85</c:v>
                </c:pt>
                <c:pt idx="15586">
                  <c:v>55.86</c:v>
                </c:pt>
                <c:pt idx="15587">
                  <c:v>55.87</c:v>
                </c:pt>
                <c:pt idx="15588">
                  <c:v>55.88</c:v>
                </c:pt>
                <c:pt idx="15589">
                  <c:v>55.89</c:v>
                </c:pt>
                <c:pt idx="15590">
                  <c:v>55.9</c:v>
                </c:pt>
                <c:pt idx="15591">
                  <c:v>55.91</c:v>
                </c:pt>
                <c:pt idx="15592">
                  <c:v>55.92</c:v>
                </c:pt>
                <c:pt idx="15593">
                  <c:v>55.93</c:v>
                </c:pt>
                <c:pt idx="15594">
                  <c:v>55.94</c:v>
                </c:pt>
                <c:pt idx="15595">
                  <c:v>55.95</c:v>
                </c:pt>
                <c:pt idx="15596">
                  <c:v>55.96</c:v>
                </c:pt>
                <c:pt idx="15597">
                  <c:v>55.97</c:v>
                </c:pt>
                <c:pt idx="15598">
                  <c:v>55.98</c:v>
                </c:pt>
                <c:pt idx="15599">
                  <c:v>55.99</c:v>
                </c:pt>
                <c:pt idx="15600">
                  <c:v>56.0</c:v>
                </c:pt>
                <c:pt idx="15601">
                  <c:v>56.01</c:v>
                </c:pt>
                <c:pt idx="15602">
                  <c:v>56.02</c:v>
                </c:pt>
                <c:pt idx="15603">
                  <c:v>56.03</c:v>
                </c:pt>
                <c:pt idx="15604">
                  <c:v>56.04</c:v>
                </c:pt>
                <c:pt idx="15605">
                  <c:v>56.05</c:v>
                </c:pt>
                <c:pt idx="15606">
                  <c:v>56.06</c:v>
                </c:pt>
                <c:pt idx="15607">
                  <c:v>56.07</c:v>
                </c:pt>
                <c:pt idx="15608">
                  <c:v>56.08</c:v>
                </c:pt>
                <c:pt idx="15609">
                  <c:v>56.09</c:v>
                </c:pt>
                <c:pt idx="15610">
                  <c:v>56.1</c:v>
                </c:pt>
                <c:pt idx="15611">
                  <c:v>56.11</c:v>
                </c:pt>
                <c:pt idx="15612">
                  <c:v>56.12</c:v>
                </c:pt>
                <c:pt idx="15613">
                  <c:v>56.13</c:v>
                </c:pt>
                <c:pt idx="15614">
                  <c:v>56.14</c:v>
                </c:pt>
                <c:pt idx="15615">
                  <c:v>56.15</c:v>
                </c:pt>
                <c:pt idx="15616">
                  <c:v>56.16</c:v>
                </c:pt>
                <c:pt idx="15617">
                  <c:v>56.17</c:v>
                </c:pt>
                <c:pt idx="15618">
                  <c:v>56.18</c:v>
                </c:pt>
                <c:pt idx="15619">
                  <c:v>56.19</c:v>
                </c:pt>
                <c:pt idx="15620">
                  <c:v>56.2</c:v>
                </c:pt>
                <c:pt idx="15621">
                  <c:v>56.21</c:v>
                </c:pt>
                <c:pt idx="15622">
                  <c:v>56.22</c:v>
                </c:pt>
                <c:pt idx="15623">
                  <c:v>56.23</c:v>
                </c:pt>
                <c:pt idx="15624">
                  <c:v>56.24</c:v>
                </c:pt>
                <c:pt idx="15625">
                  <c:v>56.25</c:v>
                </c:pt>
                <c:pt idx="15626">
                  <c:v>56.26</c:v>
                </c:pt>
                <c:pt idx="15627">
                  <c:v>56.27</c:v>
                </c:pt>
                <c:pt idx="15628">
                  <c:v>56.28</c:v>
                </c:pt>
                <c:pt idx="15629">
                  <c:v>56.29</c:v>
                </c:pt>
                <c:pt idx="15630">
                  <c:v>56.3</c:v>
                </c:pt>
                <c:pt idx="15631">
                  <c:v>56.31</c:v>
                </c:pt>
                <c:pt idx="15632">
                  <c:v>56.32</c:v>
                </c:pt>
                <c:pt idx="15633">
                  <c:v>56.33</c:v>
                </c:pt>
                <c:pt idx="15634">
                  <c:v>56.34</c:v>
                </c:pt>
                <c:pt idx="15635">
                  <c:v>56.35</c:v>
                </c:pt>
                <c:pt idx="15636">
                  <c:v>56.36</c:v>
                </c:pt>
                <c:pt idx="15637">
                  <c:v>56.37</c:v>
                </c:pt>
                <c:pt idx="15638">
                  <c:v>56.38</c:v>
                </c:pt>
                <c:pt idx="15639">
                  <c:v>56.39</c:v>
                </c:pt>
                <c:pt idx="15640">
                  <c:v>56.4</c:v>
                </c:pt>
                <c:pt idx="15641">
                  <c:v>56.41</c:v>
                </c:pt>
                <c:pt idx="15642">
                  <c:v>56.42</c:v>
                </c:pt>
                <c:pt idx="15643">
                  <c:v>56.43</c:v>
                </c:pt>
                <c:pt idx="15644">
                  <c:v>56.44</c:v>
                </c:pt>
                <c:pt idx="15645">
                  <c:v>56.45</c:v>
                </c:pt>
                <c:pt idx="15646">
                  <c:v>56.46</c:v>
                </c:pt>
                <c:pt idx="15647">
                  <c:v>56.47</c:v>
                </c:pt>
                <c:pt idx="15648">
                  <c:v>56.48</c:v>
                </c:pt>
                <c:pt idx="15649">
                  <c:v>56.49</c:v>
                </c:pt>
                <c:pt idx="15650">
                  <c:v>56.5</c:v>
                </c:pt>
                <c:pt idx="15651">
                  <c:v>56.51</c:v>
                </c:pt>
                <c:pt idx="15652">
                  <c:v>56.52</c:v>
                </c:pt>
                <c:pt idx="15653">
                  <c:v>56.53</c:v>
                </c:pt>
                <c:pt idx="15654">
                  <c:v>56.54</c:v>
                </c:pt>
                <c:pt idx="15655">
                  <c:v>56.55</c:v>
                </c:pt>
                <c:pt idx="15656">
                  <c:v>56.56</c:v>
                </c:pt>
                <c:pt idx="15657">
                  <c:v>56.57</c:v>
                </c:pt>
                <c:pt idx="15658">
                  <c:v>56.58</c:v>
                </c:pt>
                <c:pt idx="15659">
                  <c:v>56.59</c:v>
                </c:pt>
                <c:pt idx="15660">
                  <c:v>56.6</c:v>
                </c:pt>
                <c:pt idx="15661">
                  <c:v>56.61</c:v>
                </c:pt>
                <c:pt idx="15662">
                  <c:v>56.62</c:v>
                </c:pt>
                <c:pt idx="15663">
                  <c:v>56.63</c:v>
                </c:pt>
                <c:pt idx="15664">
                  <c:v>56.64</c:v>
                </c:pt>
                <c:pt idx="15665">
                  <c:v>56.65</c:v>
                </c:pt>
                <c:pt idx="15666">
                  <c:v>56.66</c:v>
                </c:pt>
                <c:pt idx="15667">
                  <c:v>56.67</c:v>
                </c:pt>
                <c:pt idx="15668">
                  <c:v>56.68</c:v>
                </c:pt>
                <c:pt idx="15669">
                  <c:v>56.69</c:v>
                </c:pt>
                <c:pt idx="15670">
                  <c:v>56.7</c:v>
                </c:pt>
                <c:pt idx="15671">
                  <c:v>56.71</c:v>
                </c:pt>
                <c:pt idx="15672">
                  <c:v>56.72</c:v>
                </c:pt>
                <c:pt idx="15673">
                  <c:v>56.73</c:v>
                </c:pt>
                <c:pt idx="15674">
                  <c:v>56.74</c:v>
                </c:pt>
                <c:pt idx="15675">
                  <c:v>56.75</c:v>
                </c:pt>
                <c:pt idx="15676">
                  <c:v>56.76</c:v>
                </c:pt>
                <c:pt idx="15677">
                  <c:v>56.77</c:v>
                </c:pt>
                <c:pt idx="15678">
                  <c:v>56.78</c:v>
                </c:pt>
                <c:pt idx="15679">
                  <c:v>56.79</c:v>
                </c:pt>
                <c:pt idx="15680">
                  <c:v>56.8</c:v>
                </c:pt>
                <c:pt idx="15681">
                  <c:v>56.81</c:v>
                </c:pt>
                <c:pt idx="15682">
                  <c:v>56.82</c:v>
                </c:pt>
                <c:pt idx="15683">
                  <c:v>56.83</c:v>
                </c:pt>
                <c:pt idx="15684">
                  <c:v>56.84</c:v>
                </c:pt>
                <c:pt idx="15685">
                  <c:v>56.85</c:v>
                </c:pt>
                <c:pt idx="15686">
                  <c:v>56.86</c:v>
                </c:pt>
                <c:pt idx="15687">
                  <c:v>56.87</c:v>
                </c:pt>
                <c:pt idx="15688">
                  <c:v>56.88</c:v>
                </c:pt>
                <c:pt idx="15689">
                  <c:v>56.89</c:v>
                </c:pt>
                <c:pt idx="15690">
                  <c:v>56.9</c:v>
                </c:pt>
                <c:pt idx="15691">
                  <c:v>56.91</c:v>
                </c:pt>
                <c:pt idx="15692">
                  <c:v>56.92</c:v>
                </c:pt>
                <c:pt idx="15693">
                  <c:v>56.93</c:v>
                </c:pt>
                <c:pt idx="15694">
                  <c:v>56.94</c:v>
                </c:pt>
                <c:pt idx="15695">
                  <c:v>56.95</c:v>
                </c:pt>
                <c:pt idx="15696">
                  <c:v>56.96</c:v>
                </c:pt>
                <c:pt idx="15697">
                  <c:v>56.97</c:v>
                </c:pt>
                <c:pt idx="15698">
                  <c:v>56.98</c:v>
                </c:pt>
                <c:pt idx="15699">
                  <c:v>56.99</c:v>
                </c:pt>
                <c:pt idx="15700">
                  <c:v>57.0</c:v>
                </c:pt>
                <c:pt idx="15701">
                  <c:v>57.01</c:v>
                </c:pt>
                <c:pt idx="15702">
                  <c:v>57.02</c:v>
                </c:pt>
                <c:pt idx="15703">
                  <c:v>57.03</c:v>
                </c:pt>
                <c:pt idx="15704">
                  <c:v>57.04</c:v>
                </c:pt>
                <c:pt idx="15705">
                  <c:v>57.05</c:v>
                </c:pt>
                <c:pt idx="15706">
                  <c:v>57.06</c:v>
                </c:pt>
                <c:pt idx="15707">
                  <c:v>57.07</c:v>
                </c:pt>
                <c:pt idx="15708">
                  <c:v>57.08</c:v>
                </c:pt>
                <c:pt idx="15709">
                  <c:v>57.09</c:v>
                </c:pt>
                <c:pt idx="15710">
                  <c:v>57.1</c:v>
                </c:pt>
                <c:pt idx="15711">
                  <c:v>57.11</c:v>
                </c:pt>
                <c:pt idx="15712">
                  <c:v>57.12</c:v>
                </c:pt>
                <c:pt idx="15713">
                  <c:v>57.13</c:v>
                </c:pt>
                <c:pt idx="15714">
                  <c:v>57.14</c:v>
                </c:pt>
                <c:pt idx="15715">
                  <c:v>57.15</c:v>
                </c:pt>
                <c:pt idx="15716">
                  <c:v>57.16</c:v>
                </c:pt>
                <c:pt idx="15717">
                  <c:v>57.17</c:v>
                </c:pt>
                <c:pt idx="15718">
                  <c:v>57.18</c:v>
                </c:pt>
                <c:pt idx="15719">
                  <c:v>57.19</c:v>
                </c:pt>
                <c:pt idx="15720">
                  <c:v>57.2</c:v>
                </c:pt>
                <c:pt idx="15721">
                  <c:v>57.21</c:v>
                </c:pt>
                <c:pt idx="15722">
                  <c:v>57.22</c:v>
                </c:pt>
                <c:pt idx="15723">
                  <c:v>57.23</c:v>
                </c:pt>
                <c:pt idx="15724">
                  <c:v>57.24</c:v>
                </c:pt>
                <c:pt idx="15725">
                  <c:v>57.25</c:v>
                </c:pt>
                <c:pt idx="15726">
                  <c:v>57.26</c:v>
                </c:pt>
                <c:pt idx="15727">
                  <c:v>57.27</c:v>
                </c:pt>
                <c:pt idx="15728">
                  <c:v>57.28</c:v>
                </c:pt>
                <c:pt idx="15729">
                  <c:v>57.29</c:v>
                </c:pt>
                <c:pt idx="15730">
                  <c:v>57.3</c:v>
                </c:pt>
                <c:pt idx="15731">
                  <c:v>57.31</c:v>
                </c:pt>
                <c:pt idx="15732">
                  <c:v>57.32</c:v>
                </c:pt>
                <c:pt idx="15733">
                  <c:v>57.33</c:v>
                </c:pt>
                <c:pt idx="15734">
                  <c:v>57.34</c:v>
                </c:pt>
                <c:pt idx="15735">
                  <c:v>57.35</c:v>
                </c:pt>
                <c:pt idx="15736">
                  <c:v>57.36</c:v>
                </c:pt>
                <c:pt idx="15737">
                  <c:v>57.37</c:v>
                </c:pt>
                <c:pt idx="15738">
                  <c:v>57.38</c:v>
                </c:pt>
                <c:pt idx="15739">
                  <c:v>57.39</c:v>
                </c:pt>
                <c:pt idx="15740">
                  <c:v>57.4</c:v>
                </c:pt>
                <c:pt idx="15741">
                  <c:v>57.41</c:v>
                </c:pt>
                <c:pt idx="15742">
                  <c:v>57.42</c:v>
                </c:pt>
                <c:pt idx="15743">
                  <c:v>57.43</c:v>
                </c:pt>
                <c:pt idx="15744">
                  <c:v>57.44</c:v>
                </c:pt>
                <c:pt idx="15745">
                  <c:v>57.45</c:v>
                </c:pt>
                <c:pt idx="15746">
                  <c:v>57.46</c:v>
                </c:pt>
                <c:pt idx="15747">
                  <c:v>57.47</c:v>
                </c:pt>
                <c:pt idx="15748">
                  <c:v>57.48</c:v>
                </c:pt>
                <c:pt idx="15749">
                  <c:v>57.49</c:v>
                </c:pt>
                <c:pt idx="15750">
                  <c:v>57.5</c:v>
                </c:pt>
                <c:pt idx="15751">
                  <c:v>57.51</c:v>
                </c:pt>
                <c:pt idx="15752">
                  <c:v>57.52</c:v>
                </c:pt>
                <c:pt idx="15753">
                  <c:v>57.53</c:v>
                </c:pt>
                <c:pt idx="15754">
                  <c:v>57.54</c:v>
                </c:pt>
                <c:pt idx="15755">
                  <c:v>57.55</c:v>
                </c:pt>
                <c:pt idx="15756">
                  <c:v>57.56</c:v>
                </c:pt>
                <c:pt idx="15757">
                  <c:v>57.57</c:v>
                </c:pt>
                <c:pt idx="15758">
                  <c:v>57.58</c:v>
                </c:pt>
                <c:pt idx="15759">
                  <c:v>57.59</c:v>
                </c:pt>
                <c:pt idx="15760">
                  <c:v>57.6</c:v>
                </c:pt>
                <c:pt idx="15761">
                  <c:v>57.61</c:v>
                </c:pt>
                <c:pt idx="15762">
                  <c:v>57.62</c:v>
                </c:pt>
                <c:pt idx="15763">
                  <c:v>57.63</c:v>
                </c:pt>
                <c:pt idx="15764">
                  <c:v>57.64</c:v>
                </c:pt>
                <c:pt idx="15765">
                  <c:v>57.65</c:v>
                </c:pt>
                <c:pt idx="15766">
                  <c:v>57.66</c:v>
                </c:pt>
                <c:pt idx="15767">
                  <c:v>57.67</c:v>
                </c:pt>
                <c:pt idx="15768">
                  <c:v>57.68</c:v>
                </c:pt>
                <c:pt idx="15769">
                  <c:v>57.69</c:v>
                </c:pt>
                <c:pt idx="15770">
                  <c:v>57.7</c:v>
                </c:pt>
                <c:pt idx="15771">
                  <c:v>57.71</c:v>
                </c:pt>
                <c:pt idx="15772">
                  <c:v>57.72</c:v>
                </c:pt>
                <c:pt idx="15773">
                  <c:v>57.73</c:v>
                </c:pt>
                <c:pt idx="15774">
                  <c:v>57.74</c:v>
                </c:pt>
                <c:pt idx="15775">
                  <c:v>57.75</c:v>
                </c:pt>
                <c:pt idx="15776">
                  <c:v>57.76</c:v>
                </c:pt>
                <c:pt idx="15777">
                  <c:v>57.77</c:v>
                </c:pt>
                <c:pt idx="15778">
                  <c:v>57.78</c:v>
                </c:pt>
                <c:pt idx="15779">
                  <c:v>57.79</c:v>
                </c:pt>
                <c:pt idx="15780">
                  <c:v>57.8</c:v>
                </c:pt>
                <c:pt idx="15781">
                  <c:v>57.81</c:v>
                </c:pt>
                <c:pt idx="15782">
                  <c:v>57.82</c:v>
                </c:pt>
                <c:pt idx="15783">
                  <c:v>57.83</c:v>
                </c:pt>
                <c:pt idx="15784">
                  <c:v>57.84</c:v>
                </c:pt>
                <c:pt idx="15785">
                  <c:v>57.85</c:v>
                </c:pt>
                <c:pt idx="15786">
                  <c:v>57.86</c:v>
                </c:pt>
                <c:pt idx="15787">
                  <c:v>57.87</c:v>
                </c:pt>
                <c:pt idx="15788">
                  <c:v>57.88</c:v>
                </c:pt>
                <c:pt idx="15789">
                  <c:v>57.89</c:v>
                </c:pt>
                <c:pt idx="15790">
                  <c:v>57.9</c:v>
                </c:pt>
                <c:pt idx="15791">
                  <c:v>57.91</c:v>
                </c:pt>
                <c:pt idx="15792">
                  <c:v>57.92</c:v>
                </c:pt>
                <c:pt idx="15793">
                  <c:v>57.93</c:v>
                </c:pt>
                <c:pt idx="15794">
                  <c:v>57.94</c:v>
                </c:pt>
                <c:pt idx="15795">
                  <c:v>57.95</c:v>
                </c:pt>
                <c:pt idx="15796">
                  <c:v>57.96</c:v>
                </c:pt>
                <c:pt idx="15797">
                  <c:v>57.97</c:v>
                </c:pt>
                <c:pt idx="15798">
                  <c:v>57.98</c:v>
                </c:pt>
                <c:pt idx="15799">
                  <c:v>57.99</c:v>
                </c:pt>
                <c:pt idx="15800">
                  <c:v>58.0</c:v>
                </c:pt>
                <c:pt idx="15801">
                  <c:v>58.01</c:v>
                </c:pt>
                <c:pt idx="15802">
                  <c:v>58.02</c:v>
                </c:pt>
                <c:pt idx="15803">
                  <c:v>58.03</c:v>
                </c:pt>
                <c:pt idx="15804">
                  <c:v>58.04</c:v>
                </c:pt>
                <c:pt idx="15805">
                  <c:v>58.05</c:v>
                </c:pt>
                <c:pt idx="15806">
                  <c:v>58.06</c:v>
                </c:pt>
                <c:pt idx="15807">
                  <c:v>58.07</c:v>
                </c:pt>
                <c:pt idx="15808">
                  <c:v>58.08</c:v>
                </c:pt>
                <c:pt idx="15809">
                  <c:v>58.09</c:v>
                </c:pt>
                <c:pt idx="15810">
                  <c:v>58.1</c:v>
                </c:pt>
                <c:pt idx="15811">
                  <c:v>58.11</c:v>
                </c:pt>
                <c:pt idx="15812">
                  <c:v>58.12</c:v>
                </c:pt>
                <c:pt idx="15813">
                  <c:v>58.13</c:v>
                </c:pt>
                <c:pt idx="15814">
                  <c:v>58.14</c:v>
                </c:pt>
                <c:pt idx="15815">
                  <c:v>58.15</c:v>
                </c:pt>
                <c:pt idx="15816">
                  <c:v>58.16</c:v>
                </c:pt>
                <c:pt idx="15817">
                  <c:v>58.17</c:v>
                </c:pt>
                <c:pt idx="15818">
                  <c:v>58.18</c:v>
                </c:pt>
                <c:pt idx="15819">
                  <c:v>58.19</c:v>
                </c:pt>
                <c:pt idx="15820">
                  <c:v>58.2</c:v>
                </c:pt>
                <c:pt idx="15821">
                  <c:v>58.21</c:v>
                </c:pt>
                <c:pt idx="15822">
                  <c:v>58.22</c:v>
                </c:pt>
                <c:pt idx="15823">
                  <c:v>58.23</c:v>
                </c:pt>
                <c:pt idx="15824">
                  <c:v>58.24</c:v>
                </c:pt>
                <c:pt idx="15825">
                  <c:v>58.25</c:v>
                </c:pt>
                <c:pt idx="15826">
                  <c:v>58.26</c:v>
                </c:pt>
                <c:pt idx="15827">
                  <c:v>58.27</c:v>
                </c:pt>
                <c:pt idx="15828">
                  <c:v>58.28</c:v>
                </c:pt>
                <c:pt idx="15829">
                  <c:v>58.29</c:v>
                </c:pt>
                <c:pt idx="15830">
                  <c:v>58.3</c:v>
                </c:pt>
                <c:pt idx="15831">
                  <c:v>58.31</c:v>
                </c:pt>
                <c:pt idx="15832">
                  <c:v>58.32</c:v>
                </c:pt>
                <c:pt idx="15833">
                  <c:v>58.33</c:v>
                </c:pt>
                <c:pt idx="15834">
                  <c:v>58.34</c:v>
                </c:pt>
                <c:pt idx="15835">
                  <c:v>58.35</c:v>
                </c:pt>
                <c:pt idx="15836">
                  <c:v>58.36</c:v>
                </c:pt>
                <c:pt idx="15837">
                  <c:v>58.37</c:v>
                </c:pt>
                <c:pt idx="15838">
                  <c:v>58.38</c:v>
                </c:pt>
                <c:pt idx="15839">
                  <c:v>58.39</c:v>
                </c:pt>
                <c:pt idx="15840">
                  <c:v>58.4</c:v>
                </c:pt>
                <c:pt idx="15841">
                  <c:v>58.41</c:v>
                </c:pt>
                <c:pt idx="15842">
                  <c:v>58.42</c:v>
                </c:pt>
                <c:pt idx="15843">
                  <c:v>58.43</c:v>
                </c:pt>
                <c:pt idx="15844">
                  <c:v>58.44</c:v>
                </c:pt>
                <c:pt idx="15845">
                  <c:v>58.45</c:v>
                </c:pt>
                <c:pt idx="15846">
                  <c:v>58.46</c:v>
                </c:pt>
                <c:pt idx="15847">
                  <c:v>58.47</c:v>
                </c:pt>
                <c:pt idx="15848">
                  <c:v>58.48</c:v>
                </c:pt>
                <c:pt idx="15849">
                  <c:v>58.49</c:v>
                </c:pt>
                <c:pt idx="15850">
                  <c:v>58.5</c:v>
                </c:pt>
                <c:pt idx="15851">
                  <c:v>58.51</c:v>
                </c:pt>
                <c:pt idx="15852">
                  <c:v>58.52</c:v>
                </c:pt>
                <c:pt idx="15853">
                  <c:v>58.53</c:v>
                </c:pt>
                <c:pt idx="15854">
                  <c:v>58.54</c:v>
                </c:pt>
                <c:pt idx="15855">
                  <c:v>58.55</c:v>
                </c:pt>
                <c:pt idx="15856">
                  <c:v>58.56</c:v>
                </c:pt>
                <c:pt idx="15857">
                  <c:v>58.57</c:v>
                </c:pt>
                <c:pt idx="15858">
                  <c:v>58.58</c:v>
                </c:pt>
                <c:pt idx="15859">
                  <c:v>58.59</c:v>
                </c:pt>
                <c:pt idx="15860">
                  <c:v>58.6</c:v>
                </c:pt>
                <c:pt idx="15861">
                  <c:v>58.61</c:v>
                </c:pt>
                <c:pt idx="15862">
                  <c:v>58.62</c:v>
                </c:pt>
                <c:pt idx="15863">
                  <c:v>58.63</c:v>
                </c:pt>
                <c:pt idx="15864">
                  <c:v>58.64</c:v>
                </c:pt>
                <c:pt idx="15865">
                  <c:v>58.65</c:v>
                </c:pt>
                <c:pt idx="15866">
                  <c:v>58.66</c:v>
                </c:pt>
                <c:pt idx="15867">
                  <c:v>58.67</c:v>
                </c:pt>
                <c:pt idx="15868">
                  <c:v>58.68</c:v>
                </c:pt>
                <c:pt idx="15869">
                  <c:v>58.69</c:v>
                </c:pt>
                <c:pt idx="15870">
                  <c:v>58.7</c:v>
                </c:pt>
                <c:pt idx="15871">
                  <c:v>58.71</c:v>
                </c:pt>
                <c:pt idx="15872">
                  <c:v>58.72</c:v>
                </c:pt>
                <c:pt idx="15873">
                  <c:v>58.73</c:v>
                </c:pt>
                <c:pt idx="15874">
                  <c:v>58.74</c:v>
                </c:pt>
                <c:pt idx="15875">
                  <c:v>58.75</c:v>
                </c:pt>
                <c:pt idx="15876">
                  <c:v>58.76</c:v>
                </c:pt>
                <c:pt idx="15877">
                  <c:v>58.77</c:v>
                </c:pt>
                <c:pt idx="15878">
                  <c:v>58.78</c:v>
                </c:pt>
                <c:pt idx="15879">
                  <c:v>58.79</c:v>
                </c:pt>
                <c:pt idx="15880">
                  <c:v>58.8</c:v>
                </c:pt>
                <c:pt idx="15881">
                  <c:v>58.81</c:v>
                </c:pt>
                <c:pt idx="15882">
                  <c:v>58.82</c:v>
                </c:pt>
                <c:pt idx="15883">
                  <c:v>58.83</c:v>
                </c:pt>
                <c:pt idx="15884">
                  <c:v>58.84</c:v>
                </c:pt>
                <c:pt idx="15885">
                  <c:v>58.85</c:v>
                </c:pt>
                <c:pt idx="15886">
                  <c:v>58.86</c:v>
                </c:pt>
                <c:pt idx="15887">
                  <c:v>58.87</c:v>
                </c:pt>
                <c:pt idx="15888">
                  <c:v>58.88</c:v>
                </c:pt>
                <c:pt idx="15889">
                  <c:v>58.89</c:v>
                </c:pt>
                <c:pt idx="15890">
                  <c:v>58.9</c:v>
                </c:pt>
                <c:pt idx="15891">
                  <c:v>58.91</c:v>
                </c:pt>
                <c:pt idx="15892">
                  <c:v>58.92</c:v>
                </c:pt>
                <c:pt idx="15893">
                  <c:v>58.93</c:v>
                </c:pt>
                <c:pt idx="15894">
                  <c:v>58.94</c:v>
                </c:pt>
                <c:pt idx="15895">
                  <c:v>58.95</c:v>
                </c:pt>
                <c:pt idx="15896">
                  <c:v>58.96</c:v>
                </c:pt>
                <c:pt idx="15897">
                  <c:v>58.97</c:v>
                </c:pt>
                <c:pt idx="15898">
                  <c:v>58.98</c:v>
                </c:pt>
                <c:pt idx="15899">
                  <c:v>58.99</c:v>
                </c:pt>
                <c:pt idx="15900">
                  <c:v>59.0</c:v>
                </c:pt>
                <c:pt idx="15901">
                  <c:v>59.01</c:v>
                </c:pt>
                <c:pt idx="15902">
                  <c:v>59.02</c:v>
                </c:pt>
                <c:pt idx="15903">
                  <c:v>59.03</c:v>
                </c:pt>
                <c:pt idx="15904">
                  <c:v>59.04</c:v>
                </c:pt>
                <c:pt idx="15905">
                  <c:v>59.05</c:v>
                </c:pt>
                <c:pt idx="15906">
                  <c:v>59.06</c:v>
                </c:pt>
                <c:pt idx="15907">
                  <c:v>59.07</c:v>
                </c:pt>
                <c:pt idx="15908">
                  <c:v>59.08</c:v>
                </c:pt>
                <c:pt idx="15909">
                  <c:v>59.09</c:v>
                </c:pt>
                <c:pt idx="15910">
                  <c:v>59.1</c:v>
                </c:pt>
                <c:pt idx="15911">
                  <c:v>59.11</c:v>
                </c:pt>
                <c:pt idx="15912">
                  <c:v>59.12</c:v>
                </c:pt>
                <c:pt idx="15913">
                  <c:v>59.13</c:v>
                </c:pt>
                <c:pt idx="15914">
                  <c:v>59.14</c:v>
                </c:pt>
                <c:pt idx="15915">
                  <c:v>59.15</c:v>
                </c:pt>
                <c:pt idx="15916">
                  <c:v>59.16</c:v>
                </c:pt>
                <c:pt idx="15917">
                  <c:v>59.17</c:v>
                </c:pt>
                <c:pt idx="15918">
                  <c:v>59.18</c:v>
                </c:pt>
                <c:pt idx="15919">
                  <c:v>59.19</c:v>
                </c:pt>
                <c:pt idx="15920">
                  <c:v>59.2</c:v>
                </c:pt>
                <c:pt idx="15921">
                  <c:v>59.21</c:v>
                </c:pt>
                <c:pt idx="15922">
                  <c:v>59.22</c:v>
                </c:pt>
                <c:pt idx="15923">
                  <c:v>59.23</c:v>
                </c:pt>
                <c:pt idx="15924">
                  <c:v>59.24</c:v>
                </c:pt>
                <c:pt idx="15925">
                  <c:v>59.25</c:v>
                </c:pt>
                <c:pt idx="15926">
                  <c:v>59.26</c:v>
                </c:pt>
                <c:pt idx="15927">
                  <c:v>59.27</c:v>
                </c:pt>
                <c:pt idx="15928">
                  <c:v>59.28</c:v>
                </c:pt>
                <c:pt idx="15929">
                  <c:v>59.29</c:v>
                </c:pt>
                <c:pt idx="15930">
                  <c:v>59.3</c:v>
                </c:pt>
                <c:pt idx="15931">
                  <c:v>59.31</c:v>
                </c:pt>
                <c:pt idx="15932">
                  <c:v>59.32</c:v>
                </c:pt>
                <c:pt idx="15933">
                  <c:v>59.33</c:v>
                </c:pt>
                <c:pt idx="15934">
                  <c:v>59.34</c:v>
                </c:pt>
                <c:pt idx="15935">
                  <c:v>59.35</c:v>
                </c:pt>
                <c:pt idx="15936">
                  <c:v>59.36</c:v>
                </c:pt>
                <c:pt idx="15937">
                  <c:v>59.37</c:v>
                </c:pt>
                <c:pt idx="15938">
                  <c:v>59.38</c:v>
                </c:pt>
                <c:pt idx="15939">
                  <c:v>59.39</c:v>
                </c:pt>
                <c:pt idx="15940">
                  <c:v>59.4</c:v>
                </c:pt>
                <c:pt idx="15941">
                  <c:v>59.41</c:v>
                </c:pt>
                <c:pt idx="15942">
                  <c:v>59.42</c:v>
                </c:pt>
                <c:pt idx="15943">
                  <c:v>59.43</c:v>
                </c:pt>
                <c:pt idx="15944">
                  <c:v>59.44</c:v>
                </c:pt>
                <c:pt idx="15945">
                  <c:v>59.45</c:v>
                </c:pt>
                <c:pt idx="15946">
                  <c:v>59.46</c:v>
                </c:pt>
                <c:pt idx="15947">
                  <c:v>59.47</c:v>
                </c:pt>
                <c:pt idx="15948">
                  <c:v>59.48</c:v>
                </c:pt>
                <c:pt idx="15949">
                  <c:v>59.49</c:v>
                </c:pt>
                <c:pt idx="15950">
                  <c:v>59.5</c:v>
                </c:pt>
                <c:pt idx="15951">
                  <c:v>59.51</c:v>
                </c:pt>
                <c:pt idx="15952">
                  <c:v>59.52</c:v>
                </c:pt>
                <c:pt idx="15953">
                  <c:v>59.53</c:v>
                </c:pt>
                <c:pt idx="15954">
                  <c:v>59.54</c:v>
                </c:pt>
                <c:pt idx="15955">
                  <c:v>59.55</c:v>
                </c:pt>
                <c:pt idx="15956">
                  <c:v>59.56</c:v>
                </c:pt>
                <c:pt idx="15957">
                  <c:v>59.57</c:v>
                </c:pt>
                <c:pt idx="15958">
                  <c:v>59.58</c:v>
                </c:pt>
                <c:pt idx="15959">
                  <c:v>59.59</c:v>
                </c:pt>
                <c:pt idx="15960">
                  <c:v>59.6</c:v>
                </c:pt>
                <c:pt idx="15961">
                  <c:v>59.61</c:v>
                </c:pt>
                <c:pt idx="15962">
                  <c:v>59.62</c:v>
                </c:pt>
                <c:pt idx="15963">
                  <c:v>59.63</c:v>
                </c:pt>
                <c:pt idx="15964">
                  <c:v>59.64</c:v>
                </c:pt>
                <c:pt idx="15965">
                  <c:v>59.65</c:v>
                </c:pt>
                <c:pt idx="15966">
                  <c:v>59.66</c:v>
                </c:pt>
                <c:pt idx="15967">
                  <c:v>59.67</c:v>
                </c:pt>
                <c:pt idx="15968">
                  <c:v>59.68</c:v>
                </c:pt>
                <c:pt idx="15969">
                  <c:v>59.69</c:v>
                </c:pt>
                <c:pt idx="15970">
                  <c:v>59.7</c:v>
                </c:pt>
                <c:pt idx="15971">
                  <c:v>59.71</c:v>
                </c:pt>
                <c:pt idx="15972">
                  <c:v>59.72</c:v>
                </c:pt>
                <c:pt idx="15973">
                  <c:v>59.73</c:v>
                </c:pt>
                <c:pt idx="15974">
                  <c:v>59.74</c:v>
                </c:pt>
                <c:pt idx="15975">
                  <c:v>59.75</c:v>
                </c:pt>
                <c:pt idx="15976">
                  <c:v>59.76</c:v>
                </c:pt>
                <c:pt idx="15977">
                  <c:v>59.77</c:v>
                </c:pt>
                <c:pt idx="15978">
                  <c:v>59.78</c:v>
                </c:pt>
                <c:pt idx="15979">
                  <c:v>59.79</c:v>
                </c:pt>
                <c:pt idx="15980">
                  <c:v>59.8</c:v>
                </c:pt>
                <c:pt idx="15981">
                  <c:v>59.81</c:v>
                </c:pt>
                <c:pt idx="15982">
                  <c:v>59.82</c:v>
                </c:pt>
                <c:pt idx="15983">
                  <c:v>59.83</c:v>
                </c:pt>
                <c:pt idx="15984">
                  <c:v>59.84</c:v>
                </c:pt>
                <c:pt idx="15985">
                  <c:v>59.85</c:v>
                </c:pt>
                <c:pt idx="15986">
                  <c:v>59.86</c:v>
                </c:pt>
                <c:pt idx="15987">
                  <c:v>59.87</c:v>
                </c:pt>
                <c:pt idx="15988">
                  <c:v>59.88</c:v>
                </c:pt>
                <c:pt idx="15989">
                  <c:v>59.89</c:v>
                </c:pt>
                <c:pt idx="15990">
                  <c:v>59.9</c:v>
                </c:pt>
                <c:pt idx="15991">
                  <c:v>59.91</c:v>
                </c:pt>
                <c:pt idx="15992">
                  <c:v>59.92</c:v>
                </c:pt>
                <c:pt idx="15993">
                  <c:v>59.93</c:v>
                </c:pt>
                <c:pt idx="15994">
                  <c:v>59.94</c:v>
                </c:pt>
                <c:pt idx="15995">
                  <c:v>59.95</c:v>
                </c:pt>
                <c:pt idx="15996">
                  <c:v>59.96</c:v>
                </c:pt>
                <c:pt idx="15997">
                  <c:v>59.97</c:v>
                </c:pt>
                <c:pt idx="15998">
                  <c:v>59.98</c:v>
                </c:pt>
                <c:pt idx="15999">
                  <c:v>59.99</c:v>
                </c:pt>
                <c:pt idx="16000">
                  <c:v>60.0</c:v>
                </c:pt>
                <c:pt idx="16001">
                  <c:v>60.01</c:v>
                </c:pt>
                <c:pt idx="16002">
                  <c:v>60.02</c:v>
                </c:pt>
                <c:pt idx="16003">
                  <c:v>60.03</c:v>
                </c:pt>
                <c:pt idx="16004">
                  <c:v>60.04</c:v>
                </c:pt>
                <c:pt idx="16005">
                  <c:v>60.05</c:v>
                </c:pt>
                <c:pt idx="16006">
                  <c:v>60.06</c:v>
                </c:pt>
                <c:pt idx="16007">
                  <c:v>60.07</c:v>
                </c:pt>
                <c:pt idx="16008">
                  <c:v>60.08</c:v>
                </c:pt>
                <c:pt idx="16009">
                  <c:v>60.09</c:v>
                </c:pt>
                <c:pt idx="16010">
                  <c:v>60.1</c:v>
                </c:pt>
                <c:pt idx="16011">
                  <c:v>60.11</c:v>
                </c:pt>
                <c:pt idx="16012">
                  <c:v>60.12</c:v>
                </c:pt>
                <c:pt idx="16013">
                  <c:v>60.13</c:v>
                </c:pt>
                <c:pt idx="16014">
                  <c:v>60.14</c:v>
                </c:pt>
                <c:pt idx="16015">
                  <c:v>60.15</c:v>
                </c:pt>
                <c:pt idx="16016">
                  <c:v>60.16</c:v>
                </c:pt>
                <c:pt idx="16017">
                  <c:v>60.17</c:v>
                </c:pt>
                <c:pt idx="16018">
                  <c:v>60.18</c:v>
                </c:pt>
                <c:pt idx="16019">
                  <c:v>60.19</c:v>
                </c:pt>
                <c:pt idx="16020">
                  <c:v>60.2</c:v>
                </c:pt>
                <c:pt idx="16021">
                  <c:v>60.21</c:v>
                </c:pt>
                <c:pt idx="16022">
                  <c:v>60.22</c:v>
                </c:pt>
                <c:pt idx="16023">
                  <c:v>60.23</c:v>
                </c:pt>
                <c:pt idx="16024">
                  <c:v>60.24</c:v>
                </c:pt>
                <c:pt idx="16025">
                  <c:v>60.25</c:v>
                </c:pt>
                <c:pt idx="16026">
                  <c:v>60.26</c:v>
                </c:pt>
                <c:pt idx="16027">
                  <c:v>60.27</c:v>
                </c:pt>
                <c:pt idx="16028">
                  <c:v>60.28</c:v>
                </c:pt>
                <c:pt idx="16029">
                  <c:v>60.29</c:v>
                </c:pt>
                <c:pt idx="16030">
                  <c:v>60.3</c:v>
                </c:pt>
                <c:pt idx="16031">
                  <c:v>60.31</c:v>
                </c:pt>
                <c:pt idx="16032">
                  <c:v>60.32</c:v>
                </c:pt>
                <c:pt idx="16033">
                  <c:v>60.33</c:v>
                </c:pt>
                <c:pt idx="16034">
                  <c:v>60.34</c:v>
                </c:pt>
                <c:pt idx="16035">
                  <c:v>60.35</c:v>
                </c:pt>
                <c:pt idx="16036">
                  <c:v>60.36</c:v>
                </c:pt>
                <c:pt idx="16037">
                  <c:v>60.37</c:v>
                </c:pt>
                <c:pt idx="16038">
                  <c:v>60.38</c:v>
                </c:pt>
                <c:pt idx="16039">
                  <c:v>60.39</c:v>
                </c:pt>
                <c:pt idx="16040">
                  <c:v>60.4</c:v>
                </c:pt>
                <c:pt idx="16041">
                  <c:v>60.41</c:v>
                </c:pt>
                <c:pt idx="16042">
                  <c:v>60.42</c:v>
                </c:pt>
                <c:pt idx="16043">
                  <c:v>60.43</c:v>
                </c:pt>
                <c:pt idx="16044">
                  <c:v>60.44</c:v>
                </c:pt>
                <c:pt idx="16045">
                  <c:v>60.45</c:v>
                </c:pt>
                <c:pt idx="16046">
                  <c:v>60.46</c:v>
                </c:pt>
                <c:pt idx="16047">
                  <c:v>60.47</c:v>
                </c:pt>
                <c:pt idx="16048">
                  <c:v>60.48</c:v>
                </c:pt>
                <c:pt idx="16049">
                  <c:v>60.49</c:v>
                </c:pt>
                <c:pt idx="16050">
                  <c:v>60.5</c:v>
                </c:pt>
                <c:pt idx="16051">
                  <c:v>60.51</c:v>
                </c:pt>
                <c:pt idx="16052">
                  <c:v>60.52</c:v>
                </c:pt>
                <c:pt idx="16053">
                  <c:v>60.53</c:v>
                </c:pt>
                <c:pt idx="16054">
                  <c:v>60.54</c:v>
                </c:pt>
                <c:pt idx="16055">
                  <c:v>60.55</c:v>
                </c:pt>
                <c:pt idx="16056">
                  <c:v>60.56</c:v>
                </c:pt>
                <c:pt idx="16057">
                  <c:v>60.57</c:v>
                </c:pt>
                <c:pt idx="16058">
                  <c:v>60.58</c:v>
                </c:pt>
                <c:pt idx="16059">
                  <c:v>60.59</c:v>
                </c:pt>
                <c:pt idx="16060">
                  <c:v>60.6</c:v>
                </c:pt>
                <c:pt idx="16061">
                  <c:v>60.61</c:v>
                </c:pt>
                <c:pt idx="16062">
                  <c:v>60.62</c:v>
                </c:pt>
                <c:pt idx="16063">
                  <c:v>60.63</c:v>
                </c:pt>
                <c:pt idx="16064">
                  <c:v>60.64</c:v>
                </c:pt>
                <c:pt idx="16065">
                  <c:v>60.65</c:v>
                </c:pt>
                <c:pt idx="16066">
                  <c:v>60.66</c:v>
                </c:pt>
                <c:pt idx="16067">
                  <c:v>60.67</c:v>
                </c:pt>
                <c:pt idx="16068">
                  <c:v>60.68</c:v>
                </c:pt>
                <c:pt idx="16069">
                  <c:v>60.69</c:v>
                </c:pt>
                <c:pt idx="16070">
                  <c:v>60.7</c:v>
                </c:pt>
                <c:pt idx="16071">
                  <c:v>60.71</c:v>
                </c:pt>
                <c:pt idx="16072">
                  <c:v>60.72</c:v>
                </c:pt>
                <c:pt idx="16073">
                  <c:v>60.73</c:v>
                </c:pt>
                <c:pt idx="16074">
                  <c:v>60.74</c:v>
                </c:pt>
                <c:pt idx="16075">
                  <c:v>60.75</c:v>
                </c:pt>
                <c:pt idx="16076">
                  <c:v>60.76</c:v>
                </c:pt>
                <c:pt idx="16077">
                  <c:v>60.77</c:v>
                </c:pt>
                <c:pt idx="16078">
                  <c:v>60.78</c:v>
                </c:pt>
                <c:pt idx="16079">
                  <c:v>60.79</c:v>
                </c:pt>
                <c:pt idx="16080">
                  <c:v>60.8</c:v>
                </c:pt>
                <c:pt idx="16081">
                  <c:v>60.81</c:v>
                </c:pt>
                <c:pt idx="16082">
                  <c:v>60.82</c:v>
                </c:pt>
                <c:pt idx="16083">
                  <c:v>60.83</c:v>
                </c:pt>
                <c:pt idx="16084">
                  <c:v>60.84</c:v>
                </c:pt>
                <c:pt idx="16085">
                  <c:v>60.85</c:v>
                </c:pt>
                <c:pt idx="16086">
                  <c:v>60.86</c:v>
                </c:pt>
                <c:pt idx="16087">
                  <c:v>60.87</c:v>
                </c:pt>
                <c:pt idx="16088">
                  <c:v>60.88</c:v>
                </c:pt>
                <c:pt idx="16089">
                  <c:v>60.89</c:v>
                </c:pt>
                <c:pt idx="16090">
                  <c:v>60.9</c:v>
                </c:pt>
                <c:pt idx="16091">
                  <c:v>60.91</c:v>
                </c:pt>
                <c:pt idx="16092">
                  <c:v>60.92</c:v>
                </c:pt>
                <c:pt idx="16093">
                  <c:v>60.93</c:v>
                </c:pt>
                <c:pt idx="16094">
                  <c:v>60.94</c:v>
                </c:pt>
                <c:pt idx="16095">
                  <c:v>60.95</c:v>
                </c:pt>
                <c:pt idx="16096">
                  <c:v>60.96</c:v>
                </c:pt>
                <c:pt idx="16097">
                  <c:v>60.97</c:v>
                </c:pt>
                <c:pt idx="16098">
                  <c:v>60.98</c:v>
                </c:pt>
                <c:pt idx="16099">
                  <c:v>60.99</c:v>
                </c:pt>
                <c:pt idx="16100">
                  <c:v>61.0</c:v>
                </c:pt>
                <c:pt idx="16101">
                  <c:v>61.01</c:v>
                </c:pt>
                <c:pt idx="16102">
                  <c:v>61.02</c:v>
                </c:pt>
                <c:pt idx="16103">
                  <c:v>61.03</c:v>
                </c:pt>
                <c:pt idx="16104">
                  <c:v>61.04</c:v>
                </c:pt>
                <c:pt idx="16105">
                  <c:v>61.05</c:v>
                </c:pt>
                <c:pt idx="16106">
                  <c:v>61.06</c:v>
                </c:pt>
                <c:pt idx="16107">
                  <c:v>61.07</c:v>
                </c:pt>
                <c:pt idx="16108">
                  <c:v>61.08</c:v>
                </c:pt>
                <c:pt idx="16109">
                  <c:v>61.09</c:v>
                </c:pt>
                <c:pt idx="16110">
                  <c:v>61.1</c:v>
                </c:pt>
                <c:pt idx="16111">
                  <c:v>61.11</c:v>
                </c:pt>
                <c:pt idx="16112">
                  <c:v>61.12</c:v>
                </c:pt>
                <c:pt idx="16113">
                  <c:v>61.13</c:v>
                </c:pt>
                <c:pt idx="16114">
                  <c:v>61.14</c:v>
                </c:pt>
                <c:pt idx="16115">
                  <c:v>61.15</c:v>
                </c:pt>
                <c:pt idx="16116">
                  <c:v>61.16</c:v>
                </c:pt>
                <c:pt idx="16117">
                  <c:v>61.17</c:v>
                </c:pt>
                <c:pt idx="16118">
                  <c:v>61.18</c:v>
                </c:pt>
                <c:pt idx="16119">
                  <c:v>61.19</c:v>
                </c:pt>
                <c:pt idx="16120">
                  <c:v>61.2</c:v>
                </c:pt>
                <c:pt idx="16121">
                  <c:v>61.21</c:v>
                </c:pt>
                <c:pt idx="16122">
                  <c:v>61.22</c:v>
                </c:pt>
                <c:pt idx="16123">
                  <c:v>61.23</c:v>
                </c:pt>
                <c:pt idx="16124">
                  <c:v>61.24</c:v>
                </c:pt>
                <c:pt idx="16125">
                  <c:v>61.25</c:v>
                </c:pt>
                <c:pt idx="16126">
                  <c:v>61.26</c:v>
                </c:pt>
                <c:pt idx="16127">
                  <c:v>61.27</c:v>
                </c:pt>
                <c:pt idx="16128">
                  <c:v>61.28</c:v>
                </c:pt>
                <c:pt idx="16129">
                  <c:v>61.29</c:v>
                </c:pt>
                <c:pt idx="16130">
                  <c:v>61.3</c:v>
                </c:pt>
                <c:pt idx="16131">
                  <c:v>61.31</c:v>
                </c:pt>
                <c:pt idx="16132">
                  <c:v>61.32</c:v>
                </c:pt>
                <c:pt idx="16133">
                  <c:v>61.33</c:v>
                </c:pt>
                <c:pt idx="16134">
                  <c:v>61.34</c:v>
                </c:pt>
                <c:pt idx="16135">
                  <c:v>61.35</c:v>
                </c:pt>
                <c:pt idx="16136">
                  <c:v>61.36</c:v>
                </c:pt>
                <c:pt idx="16137">
                  <c:v>61.37</c:v>
                </c:pt>
                <c:pt idx="16138">
                  <c:v>61.38</c:v>
                </c:pt>
                <c:pt idx="16139">
                  <c:v>61.39</c:v>
                </c:pt>
                <c:pt idx="16140">
                  <c:v>61.4</c:v>
                </c:pt>
                <c:pt idx="16141">
                  <c:v>61.41</c:v>
                </c:pt>
                <c:pt idx="16142">
                  <c:v>61.42</c:v>
                </c:pt>
                <c:pt idx="16143">
                  <c:v>61.43</c:v>
                </c:pt>
                <c:pt idx="16144">
                  <c:v>61.44</c:v>
                </c:pt>
                <c:pt idx="16145">
                  <c:v>61.45</c:v>
                </c:pt>
                <c:pt idx="16146">
                  <c:v>61.46</c:v>
                </c:pt>
                <c:pt idx="16147">
                  <c:v>61.47</c:v>
                </c:pt>
                <c:pt idx="16148">
                  <c:v>61.48</c:v>
                </c:pt>
                <c:pt idx="16149">
                  <c:v>61.49</c:v>
                </c:pt>
                <c:pt idx="16150">
                  <c:v>61.5</c:v>
                </c:pt>
                <c:pt idx="16151">
                  <c:v>61.51</c:v>
                </c:pt>
                <c:pt idx="16152">
                  <c:v>61.52</c:v>
                </c:pt>
                <c:pt idx="16153">
                  <c:v>61.53</c:v>
                </c:pt>
                <c:pt idx="16154">
                  <c:v>61.54</c:v>
                </c:pt>
                <c:pt idx="16155">
                  <c:v>61.55</c:v>
                </c:pt>
                <c:pt idx="16156">
                  <c:v>61.56</c:v>
                </c:pt>
                <c:pt idx="16157">
                  <c:v>61.57</c:v>
                </c:pt>
                <c:pt idx="16158">
                  <c:v>61.58</c:v>
                </c:pt>
                <c:pt idx="16159">
                  <c:v>61.59</c:v>
                </c:pt>
                <c:pt idx="16160">
                  <c:v>61.6</c:v>
                </c:pt>
                <c:pt idx="16161">
                  <c:v>61.61</c:v>
                </c:pt>
                <c:pt idx="16162">
                  <c:v>61.62</c:v>
                </c:pt>
                <c:pt idx="16163">
                  <c:v>61.63</c:v>
                </c:pt>
                <c:pt idx="16164">
                  <c:v>61.64</c:v>
                </c:pt>
                <c:pt idx="16165">
                  <c:v>61.65</c:v>
                </c:pt>
                <c:pt idx="16166">
                  <c:v>61.66</c:v>
                </c:pt>
                <c:pt idx="16167">
                  <c:v>61.67</c:v>
                </c:pt>
                <c:pt idx="16168">
                  <c:v>61.68</c:v>
                </c:pt>
                <c:pt idx="16169">
                  <c:v>61.69</c:v>
                </c:pt>
                <c:pt idx="16170">
                  <c:v>61.7</c:v>
                </c:pt>
                <c:pt idx="16171">
                  <c:v>61.71</c:v>
                </c:pt>
                <c:pt idx="16172">
                  <c:v>61.72</c:v>
                </c:pt>
                <c:pt idx="16173">
                  <c:v>61.73</c:v>
                </c:pt>
                <c:pt idx="16174">
                  <c:v>61.74</c:v>
                </c:pt>
                <c:pt idx="16175">
                  <c:v>61.75</c:v>
                </c:pt>
                <c:pt idx="16176">
                  <c:v>61.76</c:v>
                </c:pt>
                <c:pt idx="16177">
                  <c:v>61.77</c:v>
                </c:pt>
                <c:pt idx="16178">
                  <c:v>61.78</c:v>
                </c:pt>
                <c:pt idx="16179">
                  <c:v>61.79</c:v>
                </c:pt>
                <c:pt idx="16180">
                  <c:v>61.8</c:v>
                </c:pt>
                <c:pt idx="16181">
                  <c:v>61.81</c:v>
                </c:pt>
                <c:pt idx="16182">
                  <c:v>61.82</c:v>
                </c:pt>
                <c:pt idx="16183">
                  <c:v>61.83</c:v>
                </c:pt>
                <c:pt idx="16184">
                  <c:v>61.84</c:v>
                </c:pt>
                <c:pt idx="16185">
                  <c:v>61.85</c:v>
                </c:pt>
                <c:pt idx="16186">
                  <c:v>61.86</c:v>
                </c:pt>
                <c:pt idx="16187">
                  <c:v>61.87</c:v>
                </c:pt>
                <c:pt idx="16188">
                  <c:v>61.88</c:v>
                </c:pt>
                <c:pt idx="16189">
                  <c:v>61.89</c:v>
                </c:pt>
                <c:pt idx="16190">
                  <c:v>61.9</c:v>
                </c:pt>
                <c:pt idx="16191">
                  <c:v>61.91</c:v>
                </c:pt>
                <c:pt idx="16192">
                  <c:v>61.92</c:v>
                </c:pt>
                <c:pt idx="16193">
                  <c:v>61.93</c:v>
                </c:pt>
                <c:pt idx="16194">
                  <c:v>61.94</c:v>
                </c:pt>
                <c:pt idx="16195">
                  <c:v>61.95</c:v>
                </c:pt>
                <c:pt idx="16196">
                  <c:v>61.96</c:v>
                </c:pt>
                <c:pt idx="16197">
                  <c:v>61.97</c:v>
                </c:pt>
                <c:pt idx="16198">
                  <c:v>61.98</c:v>
                </c:pt>
                <c:pt idx="16199">
                  <c:v>61.99</c:v>
                </c:pt>
                <c:pt idx="16200">
                  <c:v>62.0</c:v>
                </c:pt>
                <c:pt idx="16201">
                  <c:v>62.01</c:v>
                </c:pt>
                <c:pt idx="16202">
                  <c:v>62.02</c:v>
                </c:pt>
                <c:pt idx="16203">
                  <c:v>62.03</c:v>
                </c:pt>
                <c:pt idx="16204">
                  <c:v>62.04</c:v>
                </c:pt>
                <c:pt idx="16205">
                  <c:v>62.05</c:v>
                </c:pt>
                <c:pt idx="16206">
                  <c:v>62.06</c:v>
                </c:pt>
                <c:pt idx="16207">
                  <c:v>62.07</c:v>
                </c:pt>
                <c:pt idx="16208">
                  <c:v>62.08</c:v>
                </c:pt>
                <c:pt idx="16209">
                  <c:v>62.09</c:v>
                </c:pt>
                <c:pt idx="16210">
                  <c:v>62.1</c:v>
                </c:pt>
                <c:pt idx="16211">
                  <c:v>62.11</c:v>
                </c:pt>
                <c:pt idx="16212">
                  <c:v>62.12</c:v>
                </c:pt>
                <c:pt idx="16213">
                  <c:v>62.13</c:v>
                </c:pt>
                <c:pt idx="16214">
                  <c:v>62.14</c:v>
                </c:pt>
                <c:pt idx="16215">
                  <c:v>62.15</c:v>
                </c:pt>
                <c:pt idx="16216">
                  <c:v>62.16</c:v>
                </c:pt>
                <c:pt idx="16217">
                  <c:v>62.17</c:v>
                </c:pt>
                <c:pt idx="16218">
                  <c:v>62.18</c:v>
                </c:pt>
                <c:pt idx="16219">
                  <c:v>62.19</c:v>
                </c:pt>
                <c:pt idx="16220">
                  <c:v>62.2</c:v>
                </c:pt>
                <c:pt idx="16221">
                  <c:v>62.21</c:v>
                </c:pt>
                <c:pt idx="16222">
                  <c:v>62.22</c:v>
                </c:pt>
                <c:pt idx="16223">
                  <c:v>62.23</c:v>
                </c:pt>
                <c:pt idx="16224">
                  <c:v>62.24</c:v>
                </c:pt>
                <c:pt idx="16225">
                  <c:v>62.25</c:v>
                </c:pt>
                <c:pt idx="16226">
                  <c:v>62.26</c:v>
                </c:pt>
                <c:pt idx="16227">
                  <c:v>62.27</c:v>
                </c:pt>
                <c:pt idx="16228">
                  <c:v>62.28</c:v>
                </c:pt>
                <c:pt idx="16229">
                  <c:v>62.29</c:v>
                </c:pt>
                <c:pt idx="16230">
                  <c:v>62.3</c:v>
                </c:pt>
                <c:pt idx="16231">
                  <c:v>62.31</c:v>
                </c:pt>
                <c:pt idx="16232">
                  <c:v>62.32</c:v>
                </c:pt>
                <c:pt idx="16233">
                  <c:v>62.33</c:v>
                </c:pt>
                <c:pt idx="16234">
                  <c:v>62.34</c:v>
                </c:pt>
                <c:pt idx="16235">
                  <c:v>62.35</c:v>
                </c:pt>
                <c:pt idx="16236">
                  <c:v>62.36</c:v>
                </c:pt>
                <c:pt idx="16237">
                  <c:v>62.37</c:v>
                </c:pt>
                <c:pt idx="16238">
                  <c:v>62.38</c:v>
                </c:pt>
                <c:pt idx="16239">
                  <c:v>62.39</c:v>
                </c:pt>
                <c:pt idx="16240">
                  <c:v>62.4</c:v>
                </c:pt>
                <c:pt idx="16241">
                  <c:v>62.41</c:v>
                </c:pt>
                <c:pt idx="16242">
                  <c:v>62.42</c:v>
                </c:pt>
                <c:pt idx="16243">
                  <c:v>62.43</c:v>
                </c:pt>
                <c:pt idx="16244">
                  <c:v>62.44</c:v>
                </c:pt>
                <c:pt idx="16245">
                  <c:v>62.45</c:v>
                </c:pt>
                <c:pt idx="16246">
                  <c:v>62.46</c:v>
                </c:pt>
                <c:pt idx="16247">
                  <c:v>62.47</c:v>
                </c:pt>
                <c:pt idx="16248">
                  <c:v>62.48</c:v>
                </c:pt>
                <c:pt idx="16249">
                  <c:v>62.49</c:v>
                </c:pt>
                <c:pt idx="16250">
                  <c:v>62.5</c:v>
                </c:pt>
                <c:pt idx="16251">
                  <c:v>62.51</c:v>
                </c:pt>
                <c:pt idx="16252">
                  <c:v>62.52</c:v>
                </c:pt>
                <c:pt idx="16253">
                  <c:v>62.53</c:v>
                </c:pt>
                <c:pt idx="16254">
                  <c:v>62.54</c:v>
                </c:pt>
                <c:pt idx="16255">
                  <c:v>62.55</c:v>
                </c:pt>
                <c:pt idx="16256">
                  <c:v>62.56</c:v>
                </c:pt>
                <c:pt idx="16257">
                  <c:v>62.57</c:v>
                </c:pt>
                <c:pt idx="16258">
                  <c:v>62.58</c:v>
                </c:pt>
                <c:pt idx="16259">
                  <c:v>62.59</c:v>
                </c:pt>
                <c:pt idx="16260">
                  <c:v>62.6</c:v>
                </c:pt>
                <c:pt idx="16261">
                  <c:v>62.61</c:v>
                </c:pt>
                <c:pt idx="16262">
                  <c:v>62.62</c:v>
                </c:pt>
                <c:pt idx="16263">
                  <c:v>62.63</c:v>
                </c:pt>
                <c:pt idx="16264">
                  <c:v>62.64</c:v>
                </c:pt>
                <c:pt idx="16265">
                  <c:v>62.65</c:v>
                </c:pt>
                <c:pt idx="16266">
                  <c:v>62.66</c:v>
                </c:pt>
                <c:pt idx="16267">
                  <c:v>62.67</c:v>
                </c:pt>
                <c:pt idx="16268">
                  <c:v>62.68</c:v>
                </c:pt>
                <c:pt idx="16269">
                  <c:v>62.69</c:v>
                </c:pt>
                <c:pt idx="16270">
                  <c:v>62.7</c:v>
                </c:pt>
                <c:pt idx="16271">
                  <c:v>62.71</c:v>
                </c:pt>
                <c:pt idx="16272">
                  <c:v>62.72</c:v>
                </c:pt>
                <c:pt idx="16273">
                  <c:v>62.73</c:v>
                </c:pt>
                <c:pt idx="16274">
                  <c:v>62.74</c:v>
                </c:pt>
                <c:pt idx="16275">
                  <c:v>62.75</c:v>
                </c:pt>
                <c:pt idx="16276">
                  <c:v>62.76</c:v>
                </c:pt>
                <c:pt idx="16277">
                  <c:v>62.77</c:v>
                </c:pt>
                <c:pt idx="16278">
                  <c:v>62.78</c:v>
                </c:pt>
                <c:pt idx="16279">
                  <c:v>62.79</c:v>
                </c:pt>
                <c:pt idx="16280">
                  <c:v>62.8</c:v>
                </c:pt>
                <c:pt idx="16281">
                  <c:v>62.81</c:v>
                </c:pt>
                <c:pt idx="16282">
                  <c:v>62.82</c:v>
                </c:pt>
                <c:pt idx="16283">
                  <c:v>62.83</c:v>
                </c:pt>
                <c:pt idx="16284">
                  <c:v>62.84</c:v>
                </c:pt>
                <c:pt idx="16285">
                  <c:v>62.85</c:v>
                </c:pt>
                <c:pt idx="16286">
                  <c:v>62.86</c:v>
                </c:pt>
                <c:pt idx="16287">
                  <c:v>62.87</c:v>
                </c:pt>
                <c:pt idx="16288">
                  <c:v>62.88</c:v>
                </c:pt>
                <c:pt idx="16289">
                  <c:v>62.89</c:v>
                </c:pt>
                <c:pt idx="16290">
                  <c:v>62.9</c:v>
                </c:pt>
                <c:pt idx="16291">
                  <c:v>62.91</c:v>
                </c:pt>
                <c:pt idx="16292">
                  <c:v>62.92</c:v>
                </c:pt>
                <c:pt idx="16293">
                  <c:v>62.93</c:v>
                </c:pt>
                <c:pt idx="16294">
                  <c:v>62.94</c:v>
                </c:pt>
                <c:pt idx="16295">
                  <c:v>62.95</c:v>
                </c:pt>
                <c:pt idx="16296">
                  <c:v>62.96</c:v>
                </c:pt>
                <c:pt idx="16297">
                  <c:v>62.97</c:v>
                </c:pt>
                <c:pt idx="16298">
                  <c:v>62.98</c:v>
                </c:pt>
                <c:pt idx="16299">
                  <c:v>62.99</c:v>
                </c:pt>
                <c:pt idx="16300">
                  <c:v>63.0</c:v>
                </c:pt>
                <c:pt idx="16301">
                  <c:v>63.01</c:v>
                </c:pt>
                <c:pt idx="16302">
                  <c:v>63.02</c:v>
                </c:pt>
                <c:pt idx="16303">
                  <c:v>63.03</c:v>
                </c:pt>
                <c:pt idx="16304">
                  <c:v>63.04</c:v>
                </c:pt>
                <c:pt idx="16305">
                  <c:v>63.05</c:v>
                </c:pt>
                <c:pt idx="16306">
                  <c:v>63.06</c:v>
                </c:pt>
                <c:pt idx="16307">
                  <c:v>63.07</c:v>
                </c:pt>
                <c:pt idx="16308">
                  <c:v>63.08</c:v>
                </c:pt>
                <c:pt idx="16309">
                  <c:v>63.09</c:v>
                </c:pt>
                <c:pt idx="16310">
                  <c:v>63.1</c:v>
                </c:pt>
                <c:pt idx="16311">
                  <c:v>63.11</c:v>
                </c:pt>
                <c:pt idx="16312">
                  <c:v>63.12</c:v>
                </c:pt>
                <c:pt idx="16313">
                  <c:v>63.13</c:v>
                </c:pt>
                <c:pt idx="16314">
                  <c:v>63.14</c:v>
                </c:pt>
                <c:pt idx="16315">
                  <c:v>63.15</c:v>
                </c:pt>
                <c:pt idx="16316">
                  <c:v>63.16</c:v>
                </c:pt>
                <c:pt idx="16317">
                  <c:v>63.17</c:v>
                </c:pt>
                <c:pt idx="16318">
                  <c:v>63.18</c:v>
                </c:pt>
                <c:pt idx="16319">
                  <c:v>63.19</c:v>
                </c:pt>
                <c:pt idx="16320">
                  <c:v>63.2</c:v>
                </c:pt>
                <c:pt idx="16321">
                  <c:v>63.21</c:v>
                </c:pt>
                <c:pt idx="16322">
                  <c:v>63.22</c:v>
                </c:pt>
                <c:pt idx="16323">
                  <c:v>63.23</c:v>
                </c:pt>
                <c:pt idx="16324">
                  <c:v>63.24</c:v>
                </c:pt>
                <c:pt idx="16325">
                  <c:v>63.25</c:v>
                </c:pt>
                <c:pt idx="16326">
                  <c:v>63.26</c:v>
                </c:pt>
                <c:pt idx="16327">
                  <c:v>63.27</c:v>
                </c:pt>
                <c:pt idx="16328">
                  <c:v>63.28</c:v>
                </c:pt>
                <c:pt idx="16329">
                  <c:v>63.29</c:v>
                </c:pt>
                <c:pt idx="16330">
                  <c:v>63.3</c:v>
                </c:pt>
                <c:pt idx="16331">
                  <c:v>63.31</c:v>
                </c:pt>
                <c:pt idx="16332">
                  <c:v>63.32</c:v>
                </c:pt>
                <c:pt idx="16333">
                  <c:v>63.33</c:v>
                </c:pt>
                <c:pt idx="16334">
                  <c:v>63.34</c:v>
                </c:pt>
                <c:pt idx="16335">
                  <c:v>63.35</c:v>
                </c:pt>
                <c:pt idx="16336">
                  <c:v>63.36</c:v>
                </c:pt>
                <c:pt idx="16337">
                  <c:v>63.37</c:v>
                </c:pt>
                <c:pt idx="16338">
                  <c:v>63.38</c:v>
                </c:pt>
                <c:pt idx="16339">
                  <c:v>63.39</c:v>
                </c:pt>
                <c:pt idx="16340">
                  <c:v>63.4</c:v>
                </c:pt>
                <c:pt idx="16341">
                  <c:v>63.41</c:v>
                </c:pt>
                <c:pt idx="16342">
                  <c:v>63.42</c:v>
                </c:pt>
                <c:pt idx="16343">
                  <c:v>63.43</c:v>
                </c:pt>
                <c:pt idx="16344">
                  <c:v>63.44</c:v>
                </c:pt>
                <c:pt idx="16345">
                  <c:v>63.45</c:v>
                </c:pt>
                <c:pt idx="16346">
                  <c:v>63.46</c:v>
                </c:pt>
                <c:pt idx="16347">
                  <c:v>63.47</c:v>
                </c:pt>
                <c:pt idx="16348">
                  <c:v>63.48</c:v>
                </c:pt>
                <c:pt idx="16349">
                  <c:v>63.49</c:v>
                </c:pt>
                <c:pt idx="16350">
                  <c:v>63.5</c:v>
                </c:pt>
                <c:pt idx="16351">
                  <c:v>63.51</c:v>
                </c:pt>
                <c:pt idx="16352">
                  <c:v>63.52</c:v>
                </c:pt>
                <c:pt idx="16353">
                  <c:v>63.53</c:v>
                </c:pt>
                <c:pt idx="16354">
                  <c:v>63.54</c:v>
                </c:pt>
                <c:pt idx="16355">
                  <c:v>63.55</c:v>
                </c:pt>
                <c:pt idx="16356">
                  <c:v>63.56</c:v>
                </c:pt>
                <c:pt idx="16357">
                  <c:v>63.57</c:v>
                </c:pt>
                <c:pt idx="16358">
                  <c:v>63.58</c:v>
                </c:pt>
                <c:pt idx="16359">
                  <c:v>63.59</c:v>
                </c:pt>
                <c:pt idx="16360">
                  <c:v>63.6</c:v>
                </c:pt>
                <c:pt idx="16361">
                  <c:v>63.61</c:v>
                </c:pt>
                <c:pt idx="16362">
                  <c:v>63.62</c:v>
                </c:pt>
                <c:pt idx="16363">
                  <c:v>63.63</c:v>
                </c:pt>
                <c:pt idx="16364">
                  <c:v>63.64</c:v>
                </c:pt>
                <c:pt idx="16365">
                  <c:v>63.65</c:v>
                </c:pt>
                <c:pt idx="16366">
                  <c:v>63.66</c:v>
                </c:pt>
                <c:pt idx="16367">
                  <c:v>63.67</c:v>
                </c:pt>
                <c:pt idx="16368">
                  <c:v>63.68</c:v>
                </c:pt>
                <c:pt idx="16369">
                  <c:v>63.69</c:v>
                </c:pt>
                <c:pt idx="16370">
                  <c:v>63.7</c:v>
                </c:pt>
                <c:pt idx="16371">
                  <c:v>63.71</c:v>
                </c:pt>
                <c:pt idx="16372">
                  <c:v>63.72</c:v>
                </c:pt>
                <c:pt idx="16373">
                  <c:v>63.73</c:v>
                </c:pt>
                <c:pt idx="16374">
                  <c:v>63.74</c:v>
                </c:pt>
                <c:pt idx="16375">
                  <c:v>63.75</c:v>
                </c:pt>
                <c:pt idx="16376">
                  <c:v>63.76</c:v>
                </c:pt>
                <c:pt idx="16377">
                  <c:v>63.77</c:v>
                </c:pt>
                <c:pt idx="16378">
                  <c:v>63.78</c:v>
                </c:pt>
                <c:pt idx="16379">
                  <c:v>63.79</c:v>
                </c:pt>
                <c:pt idx="16380">
                  <c:v>63.8</c:v>
                </c:pt>
                <c:pt idx="16381">
                  <c:v>63.81</c:v>
                </c:pt>
                <c:pt idx="16382">
                  <c:v>63.82</c:v>
                </c:pt>
                <c:pt idx="16383">
                  <c:v>63.83</c:v>
                </c:pt>
                <c:pt idx="16384">
                  <c:v>63.84</c:v>
                </c:pt>
                <c:pt idx="16385">
                  <c:v>63.85</c:v>
                </c:pt>
                <c:pt idx="16386">
                  <c:v>63.86</c:v>
                </c:pt>
                <c:pt idx="16387">
                  <c:v>63.87</c:v>
                </c:pt>
                <c:pt idx="16388">
                  <c:v>63.88</c:v>
                </c:pt>
                <c:pt idx="16389">
                  <c:v>63.89</c:v>
                </c:pt>
                <c:pt idx="16390">
                  <c:v>63.9</c:v>
                </c:pt>
                <c:pt idx="16391">
                  <c:v>63.91</c:v>
                </c:pt>
                <c:pt idx="16392">
                  <c:v>63.92</c:v>
                </c:pt>
                <c:pt idx="16393">
                  <c:v>63.93</c:v>
                </c:pt>
                <c:pt idx="16394">
                  <c:v>63.94</c:v>
                </c:pt>
                <c:pt idx="16395">
                  <c:v>63.95</c:v>
                </c:pt>
                <c:pt idx="16396">
                  <c:v>63.96</c:v>
                </c:pt>
                <c:pt idx="16397">
                  <c:v>63.97</c:v>
                </c:pt>
                <c:pt idx="16398">
                  <c:v>63.98</c:v>
                </c:pt>
                <c:pt idx="16399">
                  <c:v>63.99</c:v>
                </c:pt>
                <c:pt idx="16400">
                  <c:v>64.0</c:v>
                </c:pt>
                <c:pt idx="16401">
                  <c:v>64.01</c:v>
                </c:pt>
                <c:pt idx="16402">
                  <c:v>64.02</c:v>
                </c:pt>
                <c:pt idx="16403">
                  <c:v>64.03</c:v>
                </c:pt>
                <c:pt idx="16404">
                  <c:v>64.04</c:v>
                </c:pt>
                <c:pt idx="16405">
                  <c:v>64.05</c:v>
                </c:pt>
                <c:pt idx="16406">
                  <c:v>64.06</c:v>
                </c:pt>
                <c:pt idx="16407">
                  <c:v>64.07</c:v>
                </c:pt>
                <c:pt idx="16408">
                  <c:v>64.08</c:v>
                </c:pt>
                <c:pt idx="16409">
                  <c:v>64.09</c:v>
                </c:pt>
                <c:pt idx="16410">
                  <c:v>64.1</c:v>
                </c:pt>
                <c:pt idx="16411">
                  <c:v>64.11</c:v>
                </c:pt>
                <c:pt idx="16412">
                  <c:v>64.12</c:v>
                </c:pt>
                <c:pt idx="16413">
                  <c:v>64.13</c:v>
                </c:pt>
                <c:pt idx="16414">
                  <c:v>64.14</c:v>
                </c:pt>
                <c:pt idx="16415">
                  <c:v>64.15</c:v>
                </c:pt>
                <c:pt idx="16416">
                  <c:v>64.16</c:v>
                </c:pt>
                <c:pt idx="16417">
                  <c:v>64.17</c:v>
                </c:pt>
                <c:pt idx="16418">
                  <c:v>64.18</c:v>
                </c:pt>
                <c:pt idx="16419">
                  <c:v>64.19</c:v>
                </c:pt>
                <c:pt idx="16420">
                  <c:v>64.2</c:v>
                </c:pt>
                <c:pt idx="16421">
                  <c:v>64.21</c:v>
                </c:pt>
                <c:pt idx="16422">
                  <c:v>64.22</c:v>
                </c:pt>
                <c:pt idx="16423">
                  <c:v>64.23</c:v>
                </c:pt>
                <c:pt idx="16424">
                  <c:v>64.24</c:v>
                </c:pt>
                <c:pt idx="16425">
                  <c:v>64.25</c:v>
                </c:pt>
                <c:pt idx="16426">
                  <c:v>64.26</c:v>
                </c:pt>
                <c:pt idx="16427">
                  <c:v>64.27</c:v>
                </c:pt>
                <c:pt idx="16428">
                  <c:v>64.28</c:v>
                </c:pt>
                <c:pt idx="16429">
                  <c:v>64.29</c:v>
                </c:pt>
                <c:pt idx="16430">
                  <c:v>64.3</c:v>
                </c:pt>
                <c:pt idx="16431">
                  <c:v>64.31</c:v>
                </c:pt>
                <c:pt idx="16432">
                  <c:v>64.32</c:v>
                </c:pt>
                <c:pt idx="16433">
                  <c:v>64.33</c:v>
                </c:pt>
                <c:pt idx="16434">
                  <c:v>64.34</c:v>
                </c:pt>
                <c:pt idx="16435">
                  <c:v>64.35</c:v>
                </c:pt>
                <c:pt idx="16436">
                  <c:v>64.36</c:v>
                </c:pt>
                <c:pt idx="16437">
                  <c:v>64.37</c:v>
                </c:pt>
                <c:pt idx="16438">
                  <c:v>64.38</c:v>
                </c:pt>
                <c:pt idx="16439">
                  <c:v>64.39</c:v>
                </c:pt>
                <c:pt idx="16440">
                  <c:v>64.4</c:v>
                </c:pt>
                <c:pt idx="16441">
                  <c:v>64.41</c:v>
                </c:pt>
                <c:pt idx="16442">
                  <c:v>64.42</c:v>
                </c:pt>
                <c:pt idx="16443">
                  <c:v>64.43</c:v>
                </c:pt>
                <c:pt idx="16444">
                  <c:v>64.44</c:v>
                </c:pt>
                <c:pt idx="16445">
                  <c:v>64.45</c:v>
                </c:pt>
                <c:pt idx="16446">
                  <c:v>64.46</c:v>
                </c:pt>
                <c:pt idx="16447">
                  <c:v>64.47</c:v>
                </c:pt>
                <c:pt idx="16448">
                  <c:v>64.48</c:v>
                </c:pt>
                <c:pt idx="16449">
                  <c:v>64.49</c:v>
                </c:pt>
                <c:pt idx="16450">
                  <c:v>64.5</c:v>
                </c:pt>
                <c:pt idx="16451">
                  <c:v>64.51</c:v>
                </c:pt>
                <c:pt idx="16452">
                  <c:v>64.52</c:v>
                </c:pt>
                <c:pt idx="16453">
                  <c:v>64.53</c:v>
                </c:pt>
                <c:pt idx="16454">
                  <c:v>64.54</c:v>
                </c:pt>
                <c:pt idx="16455">
                  <c:v>64.55</c:v>
                </c:pt>
                <c:pt idx="16456">
                  <c:v>64.56</c:v>
                </c:pt>
                <c:pt idx="16457">
                  <c:v>64.57</c:v>
                </c:pt>
                <c:pt idx="16458">
                  <c:v>64.58</c:v>
                </c:pt>
                <c:pt idx="16459">
                  <c:v>64.59</c:v>
                </c:pt>
                <c:pt idx="16460">
                  <c:v>64.6</c:v>
                </c:pt>
                <c:pt idx="16461">
                  <c:v>64.61</c:v>
                </c:pt>
                <c:pt idx="16462">
                  <c:v>64.62</c:v>
                </c:pt>
                <c:pt idx="16463">
                  <c:v>64.63</c:v>
                </c:pt>
                <c:pt idx="16464">
                  <c:v>64.64</c:v>
                </c:pt>
                <c:pt idx="16465">
                  <c:v>64.65</c:v>
                </c:pt>
                <c:pt idx="16466">
                  <c:v>64.66</c:v>
                </c:pt>
                <c:pt idx="16467">
                  <c:v>64.67</c:v>
                </c:pt>
                <c:pt idx="16468">
                  <c:v>64.68</c:v>
                </c:pt>
                <c:pt idx="16469">
                  <c:v>64.69</c:v>
                </c:pt>
                <c:pt idx="16470">
                  <c:v>64.7</c:v>
                </c:pt>
                <c:pt idx="16471">
                  <c:v>64.71</c:v>
                </c:pt>
                <c:pt idx="16472">
                  <c:v>64.72</c:v>
                </c:pt>
                <c:pt idx="16473">
                  <c:v>64.73</c:v>
                </c:pt>
                <c:pt idx="16474">
                  <c:v>64.74</c:v>
                </c:pt>
                <c:pt idx="16475">
                  <c:v>64.75</c:v>
                </c:pt>
                <c:pt idx="16476">
                  <c:v>64.76</c:v>
                </c:pt>
                <c:pt idx="16477">
                  <c:v>64.77</c:v>
                </c:pt>
                <c:pt idx="16478">
                  <c:v>64.78</c:v>
                </c:pt>
                <c:pt idx="16479">
                  <c:v>64.79</c:v>
                </c:pt>
                <c:pt idx="16480">
                  <c:v>64.8</c:v>
                </c:pt>
                <c:pt idx="16481">
                  <c:v>64.81</c:v>
                </c:pt>
                <c:pt idx="16482">
                  <c:v>64.82</c:v>
                </c:pt>
                <c:pt idx="16483">
                  <c:v>64.83</c:v>
                </c:pt>
                <c:pt idx="16484">
                  <c:v>64.84</c:v>
                </c:pt>
                <c:pt idx="16485">
                  <c:v>64.85</c:v>
                </c:pt>
                <c:pt idx="16486">
                  <c:v>64.86</c:v>
                </c:pt>
                <c:pt idx="16487">
                  <c:v>64.87</c:v>
                </c:pt>
                <c:pt idx="16488">
                  <c:v>64.88</c:v>
                </c:pt>
                <c:pt idx="16489">
                  <c:v>64.89</c:v>
                </c:pt>
                <c:pt idx="16490">
                  <c:v>64.9</c:v>
                </c:pt>
                <c:pt idx="16491">
                  <c:v>64.91</c:v>
                </c:pt>
                <c:pt idx="16492">
                  <c:v>64.92</c:v>
                </c:pt>
                <c:pt idx="16493">
                  <c:v>64.93</c:v>
                </c:pt>
                <c:pt idx="16494">
                  <c:v>64.94</c:v>
                </c:pt>
                <c:pt idx="16495">
                  <c:v>64.95</c:v>
                </c:pt>
                <c:pt idx="16496">
                  <c:v>64.96</c:v>
                </c:pt>
                <c:pt idx="16497">
                  <c:v>64.97</c:v>
                </c:pt>
                <c:pt idx="16498">
                  <c:v>64.98</c:v>
                </c:pt>
                <c:pt idx="16499">
                  <c:v>64.99</c:v>
                </c:pt>
                <c:pt idx="16500">
                  <c:v>65.0</c:v>
                </c:pt>
                <c:pt idx="16501">
                  <c:v>65.01</c:v>
                </c:pt>
                <c:pt idx="16502">
                  <c:v>65.02</c:v>
                </c:pt>
                <c:pt idx="16503">
                  <c:v>65.03</c:v>
                </c:pt>
                <c:pt idx="16504">
                  <c:v>65.04</c:v>
                </c:pt>
                <c:pt idx="16505">
                  <c:v>65.05</c:v>
                </c:pt>
                <c:pt idx="16506">
                  <c:v>65.06</c:v>
                </c:pt>
                <c:pt idx="16507">
                  <c:v>65.07</c:v>
                </c:pt>
                <c:pt idx="16508">
                  <c:v>65.08</c:v>
                </c:pt>
                <c:pt idx="16509">
                  <c:v>65.09</c:v>
                </c:pt>
                <c:pt idx="16510">
                  <c:v>65.1</c:v>
                </c:pt>
                <c:pt idx="16511">
                  <c:v>65.11</c:v>
                </c:pt>
                <c:pt idx="16512">
                  <c:v>65.12</c:v>
                </c:pt>
                <c:pt idx="16513">
                  <c:v>65.13</c:v>
                </c:pt>
                <c:pt idx="16514">
                  <c:v>65.14</c:v>
                </c:pt>
                <c:pt idx="16515">
                  <c:v>65.15</c:v>
                </c:pt>
                <c:pt idx="16516">
                  <c:v>65.16</c:v>
                </c:pt>
                <c:pt idx="16517">
                  <c:v>65.17</c:v>
                </c:pt>
                <c:pt idx="16518">
                  <c:v>65.18</c:v>
                </c:pt>
                <c:pt idx="16519">
                  <c:v>65.19</c:v>
                </c:pt>
                <c:pt idx="16520">
                  <c:v>65.2</c:v>
                </c:pt>
                <c:pt idx="16521">
                  <c:v>65.21</c:v>
                </c:pt>
                <c:pt idx="16522">
                  <c:v>65.22</c:v>
                </c:pt>
                <c:pt idx="16523">
                  <c:v>65.23</c:v>
                </c:pt>
                <c:pt idx="16524">
                  <c:v>65.24</c:v>
                </c:pt>
                <c:pt idx="16525">
                  <c:v>65.25</c:v>
                </c:pt>
                <c:pt idx="16526">
                  <c:v>65.26</c:v>
                </c:pt>
                <c:pt idx="16527">
                  <c:v>65.27</c:v>
                </c:pt>
                <c:pt idx="16528">
                  <c:v>65.28</c:v>
                </c:pt>
                <c:pt idx="16529">
                  <c:v>65.29</c:v>
                </c:pt>
                <c:pt idx="16530">
                  <c:v>65.3</c:v>
                </c:pt>
                <c:pt idx="16531">
                  <c:v>65.31</c:v>
                </c:pt>
                <c:pt idx="16532">
                  <c:v>65.32</c:v>
                </c:pt>
                <c:pt idx="16533">
                  <c:v>65.33</c:v>
                </c:pt>
                <c:pt idx="16534">
                  <c:v>65.34</c:v>
                </c:pt>
                <c:pt idx="16535">
                  <c:v>65.35</c:v>
                </c:pt>
                <c:pt idx="16536">
                  <c:v>65.36</c:v>
                </c:pt>
                <c:pt idx="16537">
                  <c:v>65.37</c:v>
                </c:pt>
                <c:pt idx="16538">
                  <c:v>65.38</c:v>
                </c:pt>
                <c:pt idx="16539">
                  <c:v>65.39</c:v>
                </c:pt>
                <c:pt idx="16540">
                  <c:v>65.4</c:v>
                </c:pt>
                <c:pt idx="16541">
                  <c:v>65.41</c:v>
                </c:pt>
                <c:pt idx="16542">
                  <c:v>65.42</c:v>
                </c:pt>
                <c:pt idx="16543">
                  <c:v>65.43</c:v>
                </c:pt>
                <c:pt idx="16544">
                  <c:v>65.44</c:v>
                </c:pt>
                <c:pt idx="16545">
                  <c:v>65.45</c:v>
                </c:pt>
                <c:pt idx="16546">
                  <c:v>65.46</c:v>
                </c:pt>
                <c:pt idx="16547">
                  <c:v>65.47</c:v>
                </c:pt>
                <c:pt idx="16548">
                  <c:v>65.48</c:v>
                </c:pt>
                <c:pt idx="16549">
                  <c:v>65.49</c:v>
                </c:pt>
                <c:pt idx="16550">
                  <c:v>65.5</c:v>
                </c:pt>
                <c:pt idx="16551">
                  <c:v>65.51</c:v>
                </c:pt>
                <c:pt idx="16552">
                  <c:v>65.52</c:v>
                </c:pt>
                <c:pt idx="16553">
                  <c:v>65.53</c:v>
                </c:pt>
                <c:pt idx="16554">
                  <c:v>65.54</c:v>
                </c:pt>
                <c:pt idx="16555">
                  <c:v>65.55</c:v>
                </c:pt>
                <c:pt idx="16556">
                  <c:v>65.56</c:v>
                </c:pt>
                <c:pt idx="16557">
                  <c:v>65.57</c:v>
                </c:pt>
                <c:pt idx="16558">
                  <c:v>65.58</c:v>
                </c:pt>
                <c:pt idx="16559">
                  <c:v>65.59</c:v>
                </c:pt>
                <c:pt idx="16560">
                  <c:v>65.6</c:v>
                </c:pt>
                <c:pt idx="16561">
                  <c:v>65.61</c:v>
                </c:pt>
                <c:pt idx="16562">
                  <c:v>65.62</c:v>
                </c:pt>
                <c:pt idx="16563">
                  <c:v>65.63</c:v>
                </c:pt>
                <c:pt idx="16564">
                  <c:v>65.64</c:v>
                </c:pt>
                <c:pt idx="16565">
                  <c:v>65.65</c:v>
                </c:pt>
                <c:pt idx="16566">
                  <c:v>65.66</c:v>
                </c:pt>
                <c:pt idx="16567">
                  <c:v>65.67</c:v>
                </c:pt>
                <c:pt idx="16568">
                  <c:v>65.68</c:v>
                </c:pt>
                <c:pt idx="16569">
                  <c:v>65.69</c:v>
                </c:pt>
                <c:pt idx="16570">
                  <c:v>65.7</c:v>
                </c:pt>
                <c:pt idx="16571">
                  <c:v>65.71</c:v>
                </c:pt>
                <c:pt idx="16572">
                  <c:v>65.72</c:v>
                </c:pt>
                <c:pt idx="16573">
                  <c:v>65.73</c:v>
                </c:pt>
                <c:pt idx="16574">
                  <c:v>65.74</c:v>
                </c:pt>
                <c:pt idx="16575">
                  <c:v>65.75</c:v>
                </c:pt>
                <c:pt idx="16576">
                  <c:v>65.76</c:v>
                </c:pt>
                <c:pt idx="16577">
                  <c:v>65.77</c:v>
                </c:pt>
                <c:pt idx="16578">
                  <c:v>65.78</c:v>
                </c:pt>
                <c:pt idx="16579">
                  <c:v>65.79</c:v>
                </c:pt>
                <c:pt idx="16580">
                  <c:v>65.8</c:v>
                </c:pt>
                <c:pt idx="16581">
                  <c:v>65.81</c:v>
                </c:pt>
                <c:pt idx="16582">
                  <c:v>65.82</c:v>
                </c:pt>
                <c:pt idx="16583">
                  <c:v>65.83</c:v>
                </c:pt>
                <c:pt idx="16584">
                  <c:v>65.84</c:v>
                </c:pt>
                <c:pt idx="16585">
                  <c:v>65.85</c:v>
                </c:pt>
                <c:pt idx="16586">
                  <c:v>65.86</c:v>
                </c:pt>
                <c:pt idx="16587">
                  <c:v>65.87</c:v>
                </c:pt>
                <c:pt idx="16588">
                  <c:v>65.88</c:v>
                </c:pt>
                <c:pt idx="16589">
                  <c:v>65.89</c:v>
                </c:pt>
                <c:pt idx="16590">
                  <c:v>65.9</c:v>
                </c:pt>
                <c:pt idx="16591">
                  <c:v>65.91</c:v>
                </c:pt>
                <c:pt idx="16592">
                  <c:v>65.92</c:v>
                </c:pt>
                <c:pt idx="16593">
                  <c:v>65.93</c:v>
                </c:pt>
                <c:pt idx="16594">
                  <c:v>65.94</c:v>
                </c:pt>
                <c:pt idx="16595">
                  <c:v>65.95</c:v>
                </c:pt>
                <c:pt idx="16596">
                  <c:v>65.96</c:v>
                </c:pt>
                <c:pt idx="16597">
                  <c:v>65.97</c:v>
                </c:pt>
                <c:pt idx="16598">
                  <c:v>65.98</c:v>
                </c:pt>
                <c:pt idx="16599">
                  <c:v>65.99</c:v>
                </c:pt>
                <c:pt idx="16600">
                  <c:v>66.0</c:v>
                </c:pt>
                <c:pt idx="16601">
                  <c:v>66.01</c:v>
                </c:pt>
                <c:pt idx="16602">
                  <c:v>66.02</c:v>
                </c:pt>
                <c:pt idx="16603">
                  <c:v>66.03</c:v>
                </c:pt>
                <c:pt idx="16604">
                  <c:v>66.04</c:v>
                </c:pt>
                <c:pt idx="16605">
                  <c:v>66.05</c:v>
                </c:pt>
                <c:pt idx="16606">
                  <c:v>66.06</c:v>
                </c:pt>
                <c:pt idx="16607">
                  <c:v>66.07</c:v>
                </c:pt>
                <c:pt idx="16608">
                  <c:v>66.08</c:v>
                </c:pt>
                <c:pt idx="16609">
                  <c:v>66.09</c:v>
                </c:pt>
                <c:pt idx="16610">
                  <c:v>66.1</c:v>
                </c:pt>
                <c:pt idx="16611">
                  <c:v>66.11</c:v>
                </c:pt>
                <c:pt idx="16612">
                  <c:v>66.12</c:v>
                </c:pt>
                <c:pt idx="16613">
                  <c:v>66.13</c:v>
                </c:pt>
                <c:pt idx="16614">
                  <c:v>66.14</c:v>
                </c:pt>
                <c:pt idx="16615">
                  <c:v>66.15</c:v>
                </c:pt>
                <c:pt idx="16616">
                  <c:v>66.16</c:v>
                </c:pt>
                <c:pt idx="16617">
                  <c:v>66.17</c:v>
                </c:pt>
                <c:pt idx="16618">
                  <c:v>66.18</c:v>
                </c:pt>
                <c:pt idx="16619">
                  <c:v>66.19</c:v>
                </c:pt>
                <c:pt idx="16620">
                  <c:v>66.2</c:v>
                </c:pt>
                <c:pt idx="16621">
                  <c:v>66.21</c:v>
                </c:pt>
                <c:pt idx="16622">
                  <c:v>66.22</c:v>
                </c:pt>
                <c:pt idx="16623">
                  <c:v>66.23</c:v>
                </c:pt>
                <c:pt idx="16624">
                  <c:v>66.24</c:v>
                </c:pt>
                <c:pt idx="16625">
                  <c:v>66.25</c:v>
                </c:pt>
                <c:pt idx="16626">
                  <c:v>66.26</c:v>
                </c:pt>
                <c:pt idx="16627">
                  <c:v>66.27</c:v>
                </c:pt>
                <c:pt idx="16628">
                  <c:v>66.28</c:v>
                </c:pt>
                <c:pt idx="16629">
                  <c:v>66.29</c:v>
                </c:pt>
                <c:pt idx="16630">
                  <c:v>66.3</c:v>
                </c:pt>
                <c:pt idx="16631">
                  <c:v>66.31</c:v>
                </c:pt>
                <c:pt idx="16632">
                  <c:v>66.32</c:v>
                </c:pt>
                <c:pt idx="16633">
                  <c:v>66.33</c:v>
                </c:pt>
                <c:pt idx="16634">
                  <c:v>66.34</c:v>
                </c:pt>
                <c:pt idx="16635">
                  <c:v>66.35</c:v>
                </c:pt>
                <c:pt idx="16636">
                  <c:v>66.36</c:v>
                </c:pt>
                <c:pt idx="16637">
                  <c:v>66.37</c:v>
                </c:pt>
                <c:pt idx="16638">
                  <c:v>66.38</c:v>
                </c:pt>
                <c:pt idx="16639">
                  <c:v>66.39</c:v>
                </c:pt>
                <c:pt idx="16640">
                  <c:v>66.4</c:v>
                </c:pt>
                <c:pt idx="16641">
                  <c:v>66.41</c:v>
                </c:pt>
                <c:pt idx="16642">
                  <c:v>66.42</c:v>
                </c:pt>
                <c:pt idx="16643">
                  <c:v>66.43</c:v>
                </c:pt>
                <c:pt idx="16644">
                  <c:v>66.44</c:v>
                </c:pt>
                <c:pt idx="16645">
                  <c:v>66.45</c:v>
                </c:pt>
                <c:pt idx="16646">
                  <c:v>66.46</c:v>
                </c:pt>
                <c:pt idx="16647">
                  <c:v>66.47</c:v>
                </c:pt>
                <c:pt idx="16648">
                  <c:v>66.48</c:v>
                </c:pt>
                <c:pt idx="16649">
                  <c:v>66.49</c:v>
                </c:pt>
                <c:pt idx="16650">
                  <c:v>66.5</c:v>
                </c:pt>
                <c:pt idx="16651">
                  <c:v>66.51</c:v>
                </c:pt>
                <c:pt idx="16652">
                  <c:v>66.52</c:v>
                </c:pt>
                <c:pt idx="16653">
                  <c:v>66.53</c:v>
                </c:pt>
                <c:pt idx="16654">
                  <c:v>66.54</c:v>
                </c:pt>
                <c:pt idx="16655">
                  <c:v>66.55</c:v>
                </c:pt>
                <c:pt idx="16656">
                  <c:v>66.56</c:v>
                </c:pt>
                <c:pt idx="16657">
                  <c:v>66.57</c:v>
                </c:pt>
                <c:pt idx="16658">
                  <c:v>66.58</c:v>
                </c:pt>
                <c:pt idx="16659">
                  <c:v>66.59</c:v>
                </c:pt>
                <c:pt idx="16660">
                  <c:v>66.6</c:v>
                </c:pt>
                <c:pt idx="16661">
                  <c:v>66.61</c:v>
                </c:pt>
                <c:pt idx="16662">
                  <c:v>66.62</c:v>
                </c:pt>
                <c:pt idx="16663">
                  <c:v>66.63</c:v>
                </c:pt>
                <c:pt idx="16664">
                  <c:v>66.64</c:v>
                </c:pt>
                <c:pt idx="16665">
                  <c:v>66.65</c:v>
                </c:pt>
                <c:pt idx="16666">
                  <c:v>66.66</c:v>
                </c:pt>
                <c:pt idx="16667">
                  <c:v>66.67</c:v>
                </c:pt>
                <c:pt idx="16668">
                  <c:v>66.68</c:v>
                </c:pt>
                <c:pt idx="16669">
                  <c:v>66.69</c:v>
                </c:pt>
                <c:pt idx="16670">
                  <c:v>66.7</c:v>
                </c:pt>
                <c:pt idx="16671">
                  <c:v>66.71</c:v>
                </c:pt>
                <c:pt idx="16672">
                  <c:v>66.72</c:v>
                </c:pt>
                <c:pt idx="16673">
                  <c:v>66.73</c:v>
                </c:pt>
                <c:pt idx="16674">
                  <c:v>66.74</c:v>
                </c:pt>
                <c:pt idx="16675">
                  <c:v>66.75</c:v>
                </c:pt>
                <c:pt idx="16676">
                  <c:v>66.76</c:v>
                </c:pt>
                <c:pt idx="16677">
                  <c:v>66.77</c:v>
                </c:pt>
                <c:pt idx="16678">
                  <c:v>66.78</c:v>
                </c:pt>
                <c:pt idx="16679">
                  <c:v>66.79</c:v>
                </c:pt>
                <c:pt idx="16680">
                  <c:v>66.8</c:v>
                </c:pt>
                <c:pt idx="16681">
                  <c:v>66.81</c:v>
                </c:pt>
                <c:pt idx="16682">
                  <c:v>66.82</c:v>
                </c:pt>
                <c:pt idx="16683">
                  <c:v>66.83</c:v>
                </c:pt>
                <c:pt idx="16684">
                  <c:v>66.84</c:v>
                </c:pt>
                <c:pt idx="16685">
                  <c:v>66.85</c:v>
                </c:pt>
                <c:pt idx="16686">
                  <c:v>66.86</c:v>
                </c:pt>
                <c:pt idx="16687">
                  <c:v>66.87</c:v>
                </c:pt>
                <c:pt idx="16688">
                  <c:v>66.88</c:v>
                </c:pt>
                <c:pt idx="16689">
                  <c:v>66.89</c:v>
                </c:pt>
                <c:pt idx="16690">
                  <c:v>66.9</c:v>
                </c:pt>
                <c:pt idx="16691">
                  <c:v>66.91</c:v>
                </c:pt>
                <c:pt idx="16692">
                  <c:v>66.92</c:v>
                </c:pt>
                <c:pt idx="16693">
                  <c:v>66.93</c:v>
                </c:pt>
                <c:pt idx="16694">
                  <c:v>66.94</c:v>
                </c:pt>
                <c:pt idx="16695">
                  <c:v>66.95</c:v>
                </c:pt>
                <c:pt idx="16696">
                  <c:v>66.96</c:v>
                </c:pt>
                <c:pt idx="16697">
                  <c:v>66.97</c:v>
                </c:pt>
                <c:pt idx="16698">
                  <c:v>66.98</c:v>
                </c:pt>
                <c:pt idx="16699">
                  <c:v>66.99</c:v>
                </c:pt>
                <c:pt idx="16700">
                  <c:v>67.0</c:v>
                </c:pt>
                <c:pt idx="16701">
                  <c:v>67.01</c:v>
                </c:pt>
                <c:pt idx="16702">
                  <c:v>67.02</c:v>
                </c:pt>
                <c:pt idx="16703">
                  <c:v>67.03</c:v>
                </c:pt>
                <c:pt idx="16704">
                  <c:v>67.04</c:v>
                </c:pt>
                <c:pt idx="16705">
                  <c:v>67.05</c:v>
                </c:pt>
                <c:pt idx="16706">
                  <c:v>67.06</c:v>
                </c:pt>
                <c:pt idx="16707">
                  <c:v>67.07</c:v>
                </c:pt>
                <c:pt idx="16708">
                  <c:v>67.08</c:v>
                </c:pt>
                <c:pt idx="16709">
                  <c:v>67.09</c:v>
                </c:pt>
                <c:pt idx="16710">
                  <c:v>67.1</c:v>
                </c:pt>
                <c:pt idx="16711">
                  <c:v>67.11</c:v>
                </c:pt>
                <c:pt idx="16712">
                  <c:v>67.12</c:v>
                </c:pt>
                <c:pt idx="16713">
                  <c:v>67.13</c:v>
                </c:pt>
                <c:pt idx="16714">
                  <c:v>67.14</c:v>
                </c:pt>
                <c:pt idx="16715">
                  <c:v>67.15</c:v>
                </c:pt>
                <c:pt idx="16716">
                  <c:v>67.16</c:v>
                </c:pt>
                <c:pt idx="16717">
                  <c:v>67.17</c:v>
                </c:pt>
                <c:pt idx="16718">
                  <c:v>67.18</c:v>
                </c:pt>
                <c:pt idx="16719">
                  <c:v>67.19</c:v>
                </c:pt>
                <c:pt idx="16720">
                  <c:v>67.2</c:v>
                </c:pt>
                <c:pt idx="16721">
                  <c:v>67.21</c:v>
                </c:pt>
                <c:pt idx="16722">
                  <c:v>67.22</c:v>
                </c:pt>
                <c:pt idx="16723">
                  <c:v>67.23</c:v>
                </c:pt>
                <c:pt idx="16724">
                  <c:v>67.24</c:v>
                </c:pt>
                <c:pt idx="16725">
                  <c:v>67.25</c:v>
                </c:pt>
                <c:pt idx="16726">
                  <c:v>67.26</c:v>
                </c:pt>
                <c:pt idx="16727">
                  <c:v>67.27</c:v>
                </c:pt>
                <c:pt idx="16728">
                  <c:v>67.28</c:v>
                </c:pt>
                <c:pt idx="16729">
                  <c:v>67.29</c:v>
                </c:pt>
                <c:pt idx="16730">
                  <c:v>67.3</c:v>
                </c:pt>
                <c:pt idx="16731">
                  <c:v>67.31</c:v>
                </c:pt>
                <c:pt idx="16732">
                  <c:v>67.32</c:v>
                </c:pt>
                <c:pt idx="16733">
                  <c:v>67.33</c:v>
                </c:pt>
                <c:pt idx="16734">
                  <c:v>67.34</c:v>
                </c:pt>
                <c:pt idx="16735">
                  <c:v>67.35</c:v>
                </c:pt>
                <c:pt idx="16736">
                  <c:v>67.36</c:v>
                </c:pt>
                <c:pt idx="16737">
                  <c:v>67.37</c:v>
                </c:pt>
                <c:pt idx="16738">
                  <c:v>67.38</c:v>
                </c:pt>
                <c:pt idx="16739">
                  <c:v>67.39</c:v>
                </c:pt>
                <c:pt idx="16740">
                  <c:v>67.4</c:v>
                </c:pt>
                <c:pt idx="16741">
                  <c:v>67.41</c:v>
                </c:pt>
                <c:pt idx="16742">
                  <c:v>67.42</c:v>
                </c:pt>
                <c:pt idx="16743">
                  <c:v>67.43</c:v>
                </c:pt>
                <c:pt idx="16744">
                  <c:v>67.44</c:v>
                </c:pt>
                <c:pt idx="16745">
                  <c:v>67.45</c:v>
                </c:pt>
                <c:pt idx="16746">
                  <c:v>67.46</c:v>
                </c:pt>
                <c:pt idx="16747">
                  <c:v>67.47</c:v>
                </c:pt>
                <c:pt idx="16748">
                  <c:v>67.48</c:v>
                </c:pt>
                <c:pt idx="16749">
                  <c:v>67.49</c:v>
                </c:pt>
                <c:pt idx="16750">
                  <c:v>67.5</c:v>
                </c:pt>
                <c:pt idx="16751">
                  <c:v>67.51</c:v>
                </c:pt>
                <c:pt idx="16752">
                  <c:v>67.52</c:v>
                </c:pt>
                <c:pt idx="16753">
                  <c:v>67.53</c:v>
                </c:pt>
                <c:pt idx="16754">
                  <c:v>67.54</c:v>
                </c:pt>
                <c:pt idx="16755">
                  <c:v>67.55</c:v>
                </c:pt>
                <c:pt idx="16756">
                  <c:v>67.56</c:v>
                </c:pt>
                <c:pt idx="16757">
                  <c:v>67.57</c:v>
                </c:pt>
                <c:pt idx="16758">
                  <c:v>67.58</c:v>
                </c:pt>
                <c:pt idx="16759">
                  <c:v>67.59</c:v>
                </c:pt>
                <c:pt idx="16760">
                  <c:v>67.6</c:v>
                </c:pt>
                <c:pt idx="16761">
                  <c:v>67.61</c:v>
                </c:pt>
                <c:pt idx="16762">
                  <c:v>67.62</c:v>
                </c:pt>
                <c:pt idx="16763">
                  <c:v>67.63</c:v>
                </c:pt>
                <c:pt idx="16764">
                  <c:v>67.64</c:v>
                </c:pt>
                <c:pt idx="16765">
                  <c:v>67.65</c:v>
                </c:pt>
                <c:pt idx="16766">
                  <c:v>67.66</c:v>
                </c:pt>
                <c:pt idx="16767">
                  <c:v>67.67</c:v>
                </c:pt>
                <c:pt idx="16768">
                  <c:v>67.68</c:v>
                </c:pt>
                <c:pt idx="16769">
                  <c:v>67.69</c:v>
                </c:pt>
                <c:pt idx="16770">
                  <c:v>67.7</c:v>
                </c:pt>
                <c:pt idx="16771">
                  <c:v>67.71</c:v>
                </c:pt>
                <c:pt idx="16772">
                  <c:v>67.72</c:v>
                </c:pt>
                <c:pt idx="16773">
                  <c:v>67.73</c:v>
                </c:pt>
                <c:pt idx="16774">
                  <c:v>67.74</c:v>
                </c:pt>
                <c:pt idx="16775">
                  <c:v>67.75</c:v>
                </c:pt>
                <c:pt idx="16776">
                  <c:v>67.76</c:v>
                </c:pt>
                <c:pt idx="16777">
                  <c:v>67.77</c:v>
                </c:pt>
                <c:pt idx="16778">
                  <c:v>67.78</c:v>
                </c:pt>
                <c:pt idx="16779">
                  <c:v>67.79</c:v>
                </c:pt>
                <c:pt idx="16780">
                  <c:v>67.8</c:v>
                </c:pt>
                <c:pt idx="16781">
                  <c:v>67.81</c:v>
                </c:pt>
                <c:pt idx="16782">
                  <c:v>67.82</c:v>
                </c:pt>
                <c:pt idx="16783">
                  <c:v>67.83</c:v>
                </c:pt>
                <c:pt idx="16784">
                  <c:v>67.84</c:v>
                </c:pt>
                <c:pt idx="16785">
                  <c:v>67.85</c:v>
                </c:pt>
                <c:pt idx="16786">
                  <c:v>67.86</c:v>
                </c:pt>
                <c:pt idx="16787">
                  <c:v>67.87</c:v>
                </c:pt>
                <c:pt idx="16788">
                  <c:v>67.88</c:v>
                </c:pt>
                <c:pt idx="16789">
                  <c:v>67.89</c:v>
                </c:pt>
                <c:pt idx="16790">
                  <c:v>67.9</c:v>
                </c:pt>
                <c:pt idx="16791">
                  <c:v>67.91</c:v>
                </c:pt>
                <c:pt idx="16792">
                  <c:v>67.92</c:v>
                </c:pt>
                <c:pt idx="16793">
                  <c:v>67.93</c:v>
                </c:pt>
                <c:pt idx="16794">
                  <c:v>67.94</c:v>
                </c:pt>
                <c:pt idx="16795">
                  <c:v>67.95</c:v>
                </c:pt>
                <c:pt idx="16796">
                  <c:v>67.96</c:v>
                </c:pt>
                <c:pt idx="16797">
                  <c:v>67.97</c:v>
                </c:pt>
                <c:pt idx="16798">
                  <c:v>67.98</c:v>
                </c:pt>
                <c:pt idx="16799">
                  <c:v>67.99</c:v>
                </c:pt>
                <c:pt idx="16800">
                  <c:v>68.0</c:v>
                </c:pt>
                <c:pt idx="16801">
                  <c:v>68.01</c:v>
                </c:pt>
                <c:pt idx="16802">
                  <c:v>68.02</c:v>
                </c:pt>
                <c:pt idx="16803">
                  <c:v>68.03</c:v>
                </c:pt>
                <c:pt idx="16804">
                  <c:v>68.04</c:v>
                </c:pt>
                <c:pt idx="16805">
                  <c:v>68.05</c:v>
                </c:pt>
                <c:pt idx="16806">
                  <c:v>68.06</c:v>
                </c:pt>
                <c:pt idx="16807">
                  <c:v>68.07</c:v>
                </c:pt>
                <c:pt idx="16808">
                  <c:v>68.08</c:v>
                </c:pt>
                <c:pt idx="16809">
                  <c:v>68.09</c:v>
                </c:pt>
                <c:pt idx="16810">
                  <c:v>68.1</c:v>
                </c:pt>
                <c:pt idx="16811">
                  <c:v>68.11</c:v>
                </c:pt>
                <c:pt idx="16812">
                  <c:v>68.12</c:v>
                </c:pt>
                <c:pt idx="16813">
                  <c:v>68.13</c:v>
                </c:pt>
                <c:pt idx="16814">
                  <c:v>68.14</c:v>
                </c:pt>
                <c:pt idx="16815">
                  <c:v>68.15</c:v>
                </c:pt>
                <c:pt idx="16816">
                  <c:v>68.16</c:v>
                </c:pt>
                <c:pt idx="16817">
                  <c:v>68.17</c:v>
                </c:pt>
                <c:pt idx="16818">
                  <c:v>68.18</c:v>
                </c:pt>
                <c:pt idx="16819">
                  <c:v>68.19</c:v>
                </c:pt>
                <c:pt idx="16820">
                  <c:v>68.2</c:v>
                </c:pt>
                <c:pt idx="16821">
                  <c:v>68.21</c:v>
                </c:pt>
                <c:pt idx="16822">
                  <c:v>68.22</c:v>
                </c:pt>
                <c:pt idx="16823">
                  <c:v>68.23</c:v>
                </c:pt>
                <c:pt idx="16824">
                  <c:v>68.24</c:v>
                </c:pt>
                <c:pt idx="16825">
                  <c:v>68.25</c:v>
                </c:pt>
                <c:pt idx="16826">
                  <c:v>68.26</c:v>
                </c:pt>
                <c:pt idx="16827">
                  <c:v>68.27</c:v>
                </c:pt>
                <c:pt idx="16828">
                  <c:v>68.28</c:v>
                </c:pt>
                <c:pt idx="16829">
                  <c:v>68.29</c:v>
                </c:pt>
                <c:pt idx="16830">
                  <c:v>68.3</c:v>
                </c:pt>
                <c:pt idx="16831">
                  <c:v>68.31</c:v>
                </c:pt>
                <c:pt idx="16832">
                  <c:v>68.32</c:v>
                </c:pt>
                <c:pt idx="16833">
                  <c:v>68.33</c:v>
                </c:pt>
                <c:pt idx="16834">
                  <c:v>68.34</c:v>
                </c:pt>
                <c:pt idx="16835">
                  <c:v>68.35</c:v>
                </c:pt>
                <c:pt idx="16836">
                  <c:v>68.36</c:v>
                </c:pt>
                <c:pt idx="16837">
                  <c:v>68.37</c:v>
                </c:pt>
                <c:pt idx="16838">
                  <c:v>68.38</c:v>
                </c:pt>
                <c:pt idx="16839">
                  <c:v>68.39</c:v>
                </c:pt>
                <c:pt idx="16840">
                  <c:v>68.4</c:v>
                </c:pt>
                <c:pt idx="16841">
                  <c:v>68.41</c:v>
                </c:pt>
                <c:pt idx="16842">
                  <c:v>68.42</c:v>
                </c:pt>
                <c:pt idx="16843">
                  <c:v>68.43</c:v>
                </c:pt>
                <c:pt idx="16844">
                  <c:v>68.44</c:v>
                </c:pt>
                <c:pt idx="16845">
                  <c:v>68.45</c:v>
                </c:pt>
                <c:pt idx="16846">
                  <c:v>68.46</c:v>
                </c:pt>
                <c:pt idx="16847">
                  <c:v>68.47</c:v>
                </c:pt>
                <c:pt idx="16848">
                  <c:v>68.48</c:v>
                </c:pt>
                <c:pt idx="16849">
                  <c:v>68.49</c:v>
                </c:pt>
                <c:pt idx="16850">
                  <c:v>68.5</c:v>
                </c:pt>
                <c:pt idx="16851">
                  <c:v>68.51</c:v>
                </c:pt>
                <c:pt idx="16852">
                  <c:v>68.52</c:v>
                </c:pt>
                <c:pt idx="16853">
                  <c:v>68.53</c:v>
                </c:pt>
                <c:pt idx="16854">
                  <c:v>68.54</c:v>
                </c:pt>
                <c:pt idx="16855">
                  <c:v>68.55</c:v>
                </c:pt>
                <c:pt idx="16856">
                  <c:v>68.56</c:v>
                </c:pt>
                <c:pt idx="16857">
                  <c:v>68.57</c:v>
                </c:pt>
                <c:pt idx="16858">
                  <c:v>68.58</c:v>
                </c:pt>
                <c:pt idx="16859">
                  <c:v>68.59</c:v>
                </c:pt>
                <c:pt idx="16860">
                  <c:v>68.6</c:v>
                </c:pt>
                <c:pt idx="16861">
                  <c:v>68.61</c:v>
                </c:pt>
                <c:pt idx="16862">
                  <c:v>68.62</c:v>
                </c:pt>
                <c:pt idx="16863">
                  <c:v>68.63</c:v>
                </c:pt>
                <c:pt idx="16864">
                  <c:v>68.64</c:v>
                </c:pt>
                <c:pt idx="16865">
                  <c:v>68.65</c:v>
                </c:pt>
                <c:pt idx="16866">
                  <c:v>68.66</c:v>
                </c:pt>
                <c:pt idx="16867">
                  <c:v>68.67</c:v>
                </c:pt>
                <c:pt idx="16868">
                  <c:v>68.68</c:v>
                </c:pt>
                <c:pt idx="16869">
                  <c:v>68.69</c:v>
                </c:pt>
                <c:pt idx="16870">
                  <c:v>68.7</c:v>
                </c:pt>
                <c:pt idx="16871">
                  <c:v>68.71</c:v>
                </c:pt>
                <c:pt idx="16872">
                  <c:v>68.72</c:v>
                </c:pt>
                <c:pt idx="16873">
                  <c:v>68.73</c:v>
                </c:pt>
                <c:pt idx="16874">
                  <c:v>68.74</c:v>
                </c:pt>
                <c:pt idx="16875">
                  <c:v>68.75</c:v>
                </c:pt>
                <c:pt idx="16876">
                  <c:v>68.76</c:v>
                </c:pt>
                <c:pt idx="16877">
                  <c:v>68.77</c:v>
                </c:pt>
                <c:pt idx="16878">
                  <c:v>68.78</c:v>
                </c:pt>
                <c:pt idx="16879">
                  <c:v>68.79</c:v>
                </c:pt>
                <c:pt idx="16880">
                  <c:v>68.8</c:v>
                </c:pt>
                <c:pt idx="16881">
                  <c:v>68.81</c:v>
                </c:pt>
                <c:pt idx="16882">
                  <c:v>68.82</c:v>
                </c:pt>
                <c:pt idx="16883">
                  <c:v>68.83</c:v>
                </c:pt>
                <c:pt idx="16884">
                  <c:v>68.84</c:v>
                </c:pt>
                <c:pt idx="16885">
                  <c:v>68.85</c:v>
                </c:pt>
                <c:pt idx="16886">
                  <c:v>68.86</c:v>
                </c:pt>
                <c:pt idx="16887">
                  <c:v>68.87</c:v>
                </c:pt>
                <c:pt idx="16888">
                  <c:v>68.88</c:v>
                </c:pt>
                <c:pt idx="16889">
                  <c:v>68.89</c:v>
                </c:pt>
                <c:pt idx="16890">
                  <c:v>68.9</c:v>
                </c:pt>
                <c:pt idx="16891">
                  <c:v>68.91</c:v>
                </c:pt>
                <c:pt idx="16892">
                  <c:v>68.92</c:v>
                </c:pt>
                <c:pt idx="16893">
                  <c:v>68.93</c:v>
                </c:pt>
                <c:pt idx="16894">
                  <c:v>68.94</c:v>
                </c:pt>
                <c:pt idx="16895">
                  <c:v>68.95</c:v>
                </c:pt>
                <c:pt idx="16896">
                  <c:v>68.96</c:v>
                </c:pt>
                <c:pt idx="16897">
                  <c:v>68.97</c:v>
                </c:pt>
                <c:pt idx="16898">
                  <c:v>68.98</c:v>
                </c:pt>
                <c:pt idx="16899">
                  <c:v>68.99</c:v>
                </c:pt>
                <c:pt idx="16900">
                  <c:v>69.0</c:v>
                </c:pt>
                <c:pt idx="16901">
                  <c:v>69.01</c:v>
                </c:pt>
                <c:pt idx="16902">
                  <c:v>69.02</c:v>
                </c:pt>
                <c:pt idx="16903">
                  <c:v>69.03</c:v>
                </c:pt>
                <c:pt idx="16904">
                  <c:v>69.04</c:v>
                </c:pt>
                <c:pt idx="16905">
                  <c:v>69.05</c:v>
                </c:pt>
                <c:pt idx="16906">
                  <c:v>69.06</c:v>
                </c:pt>
                <c:pt idx="16907">
                  <c:v>69.07</c:v>
                </c:pt>
                <c:pt idx="16908">
                  <c:v>69.08</c:v>
                </c:pt>
                <c:pt idx="16909">
                  <c:v>69.09</c:v>
                </c:pt>
                <c:pt idx="16910">
                  <c:v>69.1</c:v>
                </c:pt>
                <c:pt idx="16911">
                  <c:v>69.11</c:v>
                </c:pt>
                <c:pt idx="16912">
                  <c:v>69.12</c:v>
                </c:pt>
                <c:pt idx="16913">
                  <c:v>69.13</c:v>
                </c:pt>
                <c:pt idx="16914">
                  <c:v>69.14</c:v>
                </c:pt>
                <c:pt idx="16915">
                  <c:v>69.15</c:v>
                </c:pt>
                <c:pt idx="16916">
                  <c:v>69.16</c:v>
                </c:pt>
                <c:pt idx="16917">
                  <c:v>69.17</c:v>
                </c:pt>
                <c:pt idx="16918">
                  <c:v>69.18</c:v>
                </c:pt>
                <c:pt idx="16919">
                  <c:v>69.19</c:v>
                </c:pt>
                <c:pt idx="16920">
                  <c:v>69.2</c:v>
                </c:pt>
                <c:pt idx="16921">
                  <c:v>69.21</c:v>
                </c:pt>
                <c:pt idx="16922">
                  <c:v>69.22</c:v>
                </c:pt>
                <c:pt idx="16923">
                  <c:v>69.23</c:v>
                </c:pt>
                <c:pt idx="16924">
                  <c:v>69.24</c:v>
                </c:pt>
                <c:pt idx="16925">
                  <c:v>69.25</c:v>
                </c:pt>
                <c:pt idx="16926">
                  <c:v>69.26</c:v>
                </c:pt>
                <c:pt idx="16927">
                  <c:v>69.27</c:v>
                </c:pt>
                <c:pt idx="16928">
                  <c:v>69.28</c:v>
                </c:pt>
                <c:pt idx="16929">
                  <c:v>69.29</c:v>
                </c:pt>
                <c:pt idx="16930">
                  <c:v>69.3</c:v>
                </c:pt>
                <c:pt idx="16931">
                  <c:v>69.31</c:v>
                </c:pt>
                <c:pt idx="16932">
                  <c:v>69.32</c:v>
                </c:pt>
                <c:pt idx="16933">
                  <c:v>69.33</c:v>
                </c:pt>
                <c:pt idx="16934">
                  <c:v>69.34</c:v>
                </c:pt>
                <c:pt idx="16935">
                  <c:v>69.35</c:v>
                </c:pt>
                <c:pt idx="16936">
                  <c:v>69.36</c:v>
                </c:pt>
                <c:pt idx="16937">
                  <c:v>69.37</c:v>
                </c:pt>
                <c:pt idx="16938">
                  <c:v>69.38</c:v>
                </c:pt>
                <c:pt idx="16939">
                  <c:v>69.39</c:v>
                </c:pt>
                <c:pt idx="16940">
                  <c:v>69.4</c:v>
                </c:pt>
                <c:pt idx="16941">
                  <c:v>69.41</c:v>
                </c:pt>
                <c:pt idx="16942">
                  <c:v>69.42</c:v>
                </c:pt>
                <c:pt idx="16943">
                  <c:v>69.43</c:v>
                </c:pt>
                <c:pt idx="16944">
                  <c:v>69.44</c:v>
                </c:pt>
                <c:pt idx="16945">
                  <c:v>69.45</c:v>
                </c:pt>
                <c:pt idx="16946">
                  <c:v>69.46</c:v>
                </c:pt>
                <c:pt idx="16947">
                  <c:v>69.47</c:v>
                </c:pt>
                <c:pt idx="16948">
                  <c:v>69.48</c:v>
                </c:pt>
                <c:pt idx="16949">
                  <c:v>69.49</c:v>
                </c:pt>
                <c:pt idx="16950">
                  <c:v>69.5</c:v>
                </c:pt>
                <c:pt idx="16951">
                  <c:v>69.51</c:v>
                </c:pt>
                <c:pt idx="16952">
                  <c:v>69.52</c:v>
                </c:pt>
                <c:pt idx="16953">
                  <c:v>69.53</c:v>
                </c:pt>
                <c:pt idx="16954">
                  <c:v>69.54</c:v>
                </c:pt>
                <c:pt idx="16955">
                  <c:v>69.55</c:v>
                </c:pt>
                <c:pt idx="16956">
                  <c:v>69.56</c:v>
                </c:pt>
                <c:pt idx="16957">
                  <c:v>69.57</c:v>
                </c:pt>
                <c:pt idx="16958">
                  <c:v>69.58</c:v>
                </c:pt>
                <c:pt idx="16959">
                  <c:v>69.59</c:v>
                </c:pt>
                <c:pt idx="16960">
                  <c:v>69.6</c:v>
                </c:pt>
                <c:pt idx="16961">
                  <c:v>69.61</c:v>
                </c:pt>
                <c:pt idx="16962">
                  <c:v>69.62</c:v>
                </c:pt>
                <c:pt idx="16963">
                  <c:v>69.63</c:v>
                </c:pt>
                <c:pt idx="16964">
                  <c:v>69.64</c:v>
                </c:pt>
                <c:pt idx="16965">
                  <c:v>69.65</c:v>
                </c:pt>
                <c:pt idx="16966">
                  <c:v>69.66</c:v>
                </c:pt>
                <c:pt idx="16967">
                  <c:v>69.67</c:v>
                </c:pt>
                <c:pt idx="16968">
                  <c:v>69.68</c:v>
                </c:pt>
                <c:pt idx="16969">
                  <c:v>69.69</c:v>
                </c:pt>
                <c:pt idx="16970">
                  <c:v>69.7</c:v>
                </c:pt>
                <c:pt idx="16971">
                  <c:v>69.71</c:v>
                </c:pt>
                <c:pt idx="16972">
                  <c:v>69.72</c:v>
                </c:pt>
                <c:pt idx="16973">
                  <c:v>69.73</c:v>
                </c:pt>
                <c:pt idx="16974">
                  <c:v>69.74</c:v>
                </c:pt>
                <c:pt idx="16975">
                  <c:v>69.75</c:v>
                </c:pt>
                <c:pt idx="16976">
                  <c:v>69.76</c:v>
                </c:pt>
                <c:pt idx="16977">
                  <c:v>69.77</c:v>
                </c:pt>
                <c:pt idx="16978">
                  <c:v>69.78</c:v>
                </c:pt>
                <c:pt idx="16979">
                  <c:v>69.79</c:v>
                </c:pt>
                <c:pt idx="16980">
                  <c:v>69.8</c:v>
                </c:pt>
                <c:pt idx="16981">
                  <c:v>69.81</c:v>
                </c:pt>
                <c:pt idx="16982">
                  <c:v>69.82</c:v>
                </c:pt>
                <c:pt idx="16983">
                  <c:v>69.83</c:v>
                </c:pt>
                <c:pt idx="16984">
                  <c:v>69.84</c:v>
                </c:pt>
                <c:pt idx="16985">
                  <c:v>69.85</c:v>
                </c:pt>
                <c:pt idx="16986">
                  <c:v>69.86</c:v>
                </c:pt>
                <c:pt idx="16987">
                  <c:v>69.87</c:v>
                </c:pt>
                <c:pt idx="16988">
                  <c:v>69.88</c:v>
                </c:pt>
                <c:pt idx="16989">
                  <c:v>69.89</c:v>
                </c:pt>
                <c:pt idx="16990">
                  <c:v>69.9</c:v>
                </c:pt>
                <c:pt idx="16991">
                  <c:v>69.91</c:v>
                </c:pt>
                <c:pt idx="16992">
                  <c:v>69.92</c:v>
                </c:pt>
                <c:pt idx="16993">
                  <c:v>69.93</c:v>
                </c:pt>
                <c:pt idx="16994">
                  <c:v>69.94</c:v>
                </c:pt>
                <c:pt idx="16995">
                  <c:v>69.95</c:v>
                </c:pt>
                <c:pt idx="16996">
                  <c:v>69.96</c:v>
                </c:pt>
                <c:pt idx="16997">
                  <c:v>69.97</c:v>
                </c:pt>
                <c:pt idx="16998">
                  <c:v>69.98</c:v>
                </c:pt>
                <c:pt idx="16999">
                  <c:v>69.99</c:v>
                </c:pt>
                <c:pt idx="17000">
                  <c:v>70.0</c:v>
                </c:pt>
                <c:pt idx="17001">
                  <c:v>70.01</c:v>
                </c:pt>
                <c:pt idx="17002">
                  <c:v>70.02</c:v>
                </c:pt>
                <c:pt idx="17003">
                  <c:v>70.03</c:v>
                </c:pt>
                <c:pt idx="17004">
                  <c:v>70.04</c:v>
                </c:pt>
                <c:pt idx="17005">
                  <c:v>70.05</c:v>
                </c:pt>
                <c:pt idx="17006">
                  <c:v>70.06</c:v>
                </c:pt>
                <c:pt idx="17007">
                  <c:v>70.07</c:v>
                </c:pt>
                <c:pt idx="17008">
                  <c:v>70.08</c:v>
                </c:pt>
                <c:pt idx="17009">
                  <c:v>70.09</c:v>
                </c:pt>
                <c:pt idx="17010">
                  <c:v>70.1</c:v>
                </c:pt>
                <c:pt idx="17011">
                  <c:v>70.11</c:v>
                </c:pt>
                <c:pt idx="17012">
                  <c:v>70.12</c:v>
                </c:pt>
                <c:pt idx="17013">
                  <c:v>70.13</c:v>
                </c:pt>
                <c:pt idx="17014">
                  <c:v>70.14</c:v>
                </c:pt>
                <c:pt idx="17015">
                  <c:v>70.15</c:v>
                </c:pt>
                <c:pt idx="17016">
                  <c:v>70.16</c:v>
                </c:pt>
                <c:pt idx="17017">
                  <c:v>70.17</c:v>
                </c:pt>
                <c:pt idx="17018">
                  <c:v>70.18</c:v>
                </c:pt>
                <c:pt idx="17019">
                  <c:v>70.19</c:v>
                </c:pt>
                <c:pt idx="17020">
                  <c:v>70.2</c:v>
                </c:pt>
                <c:pt idx="17021">
                  <c:v>70.21</c:v>
                </c:pt>
                <c:pt idx="17022">
                  <c:v>70.22</c:v>
                </c:pt>
                <c:pt idx="17023">
                  <c:v>70.23</c:v>
                </c:pt>
                <c:pt idx="17024">
                  <c:v>70.24</c:v>
                </c:pt>
                <c:pt idx="17025">
                  <c:v>70.25</c:v>
                </c:pt>
                <c:pt idx="17026">
                  <c:v>70.26</c:v>
                </c:pt>
                <c:pt idx="17027">
                  <c:v>70.27</c:v>
                </c:pt>
                <c:pt idx="17028">
                  <c:v>70.28</c:v>
                </c:pt>
                <c:pt idx="17029">
                  <c:v>70.29</c:v>
                </c:pt>
                <c:pt idx="17030">
                  <c:v>70.3</c:v>
                </c:pt>
                <c:pt idx="17031">
                  <c:v>70.31</c:v>
                </c:pt>
                <c:pt idx="17032">
                  <c:v>70.32</c:v>
                </c:pt>
                <c:pt idx="17033">
                  <c:v>70.33</c:v>
                </c:pt>
                <c:pt idx="17034">
                  <c:v>70.34</c:v>
                </c:pt>
                <c:pt idx="17035">
                  <c:v>70.35</c:v>
                </c:pt>
                <c:pt idx="17036">
                  <c:v>70.36</c:v>
                </c:pt>
                <c:pt idx="17037">
                  <c:v>70.37</c:v>
                </c:pt>
                <c:pt idx="17038">
                  <c:v>70.38</c:v>
                </c:pt>
                <c:pt idx="17039">
                  <c:v>70.39</c:v>
                </c:pt>
                <c:pt idx="17040">
                  <c:v>70.4</c:v>
                </c:pt>
                <c:pt idx="17041">
                  <c:v>70.41</c:v>
                </c:pt>
                <c:pt idx="17042">
                  <c:v>70.42</c:v>
                </c:pt>
                <c:pt idx="17043">
                  <c:v>70.43</c:v>
                </c:pt>
                <c:pt idx="17044">
                  <c:v>70.44</c:v>
                </c:pt>
                <c:pt idx="17045">
                  <c:v>70.45</c:v>
                </c:pt>
                <c:pt idx="17046">
                  <c:v>70.46</c:v>
                </c:pt>
                <c:pt idx="17047">
                  <c:v>70.47</c:v>
                </c:pt>
                <c:pt idx="17048">
                  <c:v>70.48</c:v>
                </c:pt>
                <c:pt idx="17049">
                  <c:v>70.49</c:v>
                </c:pt>
                <c:pt idx="17050">
                  <c:v>70.5</c:v>
                </c:pt>
                <c:pt idx="17051">
                  <c:v>70.51</c:v>
                </c:pt>
                <c:pt idx="17052">
                  <c:v>70.52</c:v>
                </c:pt>
                <c:pt idx="17053">
                  <c:v>70.53</c:v>
                </c:pt>
                <c:pt idx="17054">
                  <c:v>70.54</c:v>
                </c:pt>
                <c:pt idx="17055">
                  <c:v>70.55</c:v>
                </c:pt>
                <c:pt idx="17056">
                  <c:v>70.56</c:v>
                </c:pt>
                <c:pt idx="17057">
                  <c:v>70.57</c:v>
                </c:pt>
                <c:pt idx="17058">
                  <c:v>70.58</c:v>
                </c:pt>
                <c:pt idx="17059">
                  <c:v>70.59</c:v>
                </c:pt>
                <c:pt idx="17060">
                  <c:v>70.6</c:v>
                </c:pt>
                <c:pt idx="17061">
                  <c:v>70.61</c:v>
                </c:pt>
                <c:pt idx="17062">
                  <c:v>70.62</c:v>
                </c:pt>
                <c:pt idx="17063">
                  <c:v>70.63</c:v>
                </c:pt>
                <c:pt idx="17064">
                  <c:v>70.64</c:v>
                </c:pt>
                <c:pt idx="17065">
                  <c:v>70.65</c:v>
                </c:pt>
                <c:pt idx="17066">
                  <c:v>70.66</c:v>
                </c:pt>
                <c:pt idx="17067">
                  <c:v>70.67</c:v>
                </c:pt>
                <c:pt idx="17068">
                  <c:v>70.68</c:v>
                </c:pt>
                <c:pt idx="17069">
                  <c:v>70.69</c:v>
                </c:pt>
                <c:pt idx="17070">
                  <c:v>70.7</c:v>
                </c:pt>
                <c:pt idx="17071">
                  <c:v>70.71</c:v>
                </c:pt>
                <c:pt idx="17072">
                  <c:v>70.72</c:v>
                </c:pt>
                <c:pt idx="17073">
                  <c:v>70.73</c:v>
                </c:pt>
                <c:pt idx="17074">
                  <c:v>70.74</c:v>
                </c:pt>
                <c:pt idx="17075">
                  <c:v>70.75</c:v>
                </c:pt>
                <c:pt idx="17076">
                  <c:v>70.76</c:v>
                </c:pt>
                <c:pt idx="17077">
                  <c:v>70.77</c:v>
                </c:pt>
                <c:pt idx="17078">
                  <c:v>70.78</c:v>
                </c:pt>
                <c:pt idx="17079">
                  <c:v>70.79</c:v>
                </c:pt>
                <c:pt idx="17080">
                  <c:v>70.8</c:v>
                </c:pt>
                <c:pt idx="17081">
                  <c:v>70.81</c:v>
                </c:pt>
                <c:pt idx="17082">
                  <c:v>70.82</c:v>
                </c:pt>
                <c:pt idx="17083">
                  <c:v>70.83</c:v>
                </c:pt>
                <c:pt idx="17084">
                  <c:v>70.84</c:v>
                </c:pt>
                <c:pt idx="17085">
                  <c:v>70.85</c:v>
                </c:pt>
                <c:pt idx="17086">
                  <c:v>70.86</c:v>
                </c:pt>
                <c:pt idx="17087">
                  <c:v>70.87</c:v>
                </c:pt>
                <c:pt idx="17088">
                  <c:v>70.88</c:v>
                </c:pt>
                <c:pt idx="17089">
                  <c:v>70.89</c:v>
                </c:pt>
                <c:pt idx="17090">
                  <c:v>70.9</c:v>
                </c:pt>
                <c:pt idx="17091">
                  <c:v>70.91</c:v>
                </c:pt>
                <c:pt idx="17092">
                  <c:v>70.92</c:v>
                </c:pt>
                <c:pt idx="17093">
                  <c:v>70.93</c:v>
                </c:pt>
                <c:pt idx="17094">
                  <c:v>70.94</c:v>
                </c:pt>
                <c:pt idx="17095">
                  <c:v>70.95</c:v>
                </c:pt>
                <c:pt idx="17096">
                  <c:v>70.96</c:v>
                </c:pt>
                <c:pt idx="17097">
                  <c:v>70.97</c:v>
                </c:pt>
                <c:pt idx="17098">
                  <c:v>70.98</c:v>
                </c:pt>
                <c:pt idx="17099">
                  <c:v>70.99</c:v>
                </c:pt>
                <c:pt idx="17100">
                  <c:v>71.0</c:v>
                </c:pt>
                <c:pt idx="17101">
                  <c:v>71.01</c:v>
                </c:pt>
                <c:pt idx="17102">
                  <c:v>71.02</c:v>
                </c:pt>
                <c:pt idx="17103">
                  <c:v>71.03</c:v>
                </c:pt>
                <c:pt idx="17104">
                  <c:v>71.04</c:v>
                </c:pt>
                <c:pt idx="17105">
                  <c:v>71.05</c:v>
                </c:pt>
                <c:pt idx="17106">
                  <c:v>71.06</c:v>
                </c:pt>
                <c:pt idx="17107">
                  <c:v>71.07</c:v>
                </c:pt>
                <c:pt idx="17108">
                  <c:v>71.08</c:v>
                </c:pt>
                <c:pt idx="17109">
                  <c:v>71.09</c:v>
                </c:pt>
                <c:pt idx="17110">
                  <c:v>71.1</c:v>
                </c:pt>
                <c:pt idx="17111">
                  <c:v>71.11</c:v>
                </c:pt>
                <c:pt idx="17112">
                  <c:v>71.12</c:v>
                </c:pt>
                <c:pt idx="17113">
                  <c:v>71.13</c:v>
                </c:pt>
                <c:pt idx="17114">
                  <c:v>71.14</c:v>
                </c:pt>
                <c:pt idx="17115">
                  <c:v>71.15</c:v>
                </c:pt>
                <c:pt idx="17116">
                  <c:v>71.16</c:v>
                </c:pt>
                <c:pt idx="17117">
                  <c:v>71.17</c:v>
                </c:pt>
                <c:pt idx="17118">
                  <c:v>71.18</c:v>
                </c:pt>
                <c:pt idx="17119">
                  <c:v>71.19</c:v>
                </c:pt>
                <c:pt idx="17120">
                  <c:v>71.2</c:v>
                </c:pt>
                <c:pt idx="17121">
                  <c:v>71.21</c:v>
                </c:pt>
                <c:pt idx="17122">
                  <c:v>71.22</c:v>
                </c:pt>
                <c:pt idx="17123">
                  <c:v>71.23</c:v>
                </c:pt>
                <c:pt idx="17124">
                  <c:v>71.24</c:v>
                </c:pt>
                <c:pt idx="17125">
                  <c:v>71.25</c:v>
                </c:pt>
                <c:pt idx="17126">
                  <c:v>71.26</c:v>
                </c:pt>
                <c:pt idx="17127">
                  <c:v>71.27</c:v>
                </c:pt>
                <c:pt idx="17128">
                  <c:v>71.28</c:v>
                </c:pt>
                <c:pt idx="17129">
                  <c:v>71.29</c:v>
                </c:pt>
                <c:pt idx="17130">
                  <c:v>71.3</c:v>
                </c:pt>
                <c:pt idx="17131">
                  <c:v>71.31</c:v>
                </c:pt>
                <c:pt idx="17132">
                  <c:v>71.32</c:v>
                </c:pt>
                <c:pt idx="17133">
                  <c:v>71.33</c:v>
                </c:pt>
                <c:pt idx="17134">
                  <c:v>71.34</c:v>
                </c:pt>
                <c:pt idx="17135">
                  <c:v>71.35</c:v>
                </c:pt>
                <c:pt idx="17136">
                  <c:v>71.36</c:v>
                </c:pt>
                <c:pt idx="17137">
                  <c:v>71.37</c:v>
                </c:pt>
                <c:pt idx="17138">
                  <c:v>71.38</c:v>
                </c:pt>
                <c:pt idx="17139">
                  <c:v>71.39</c:v>
                </c:pt>
                <c:pt idx="17140">
                  <c:v>71.4</c:v>
                </c:pt>
                <c:pt idx="17141">
                  <c:v>71.41</c:v>
                </c:pt>
                <c:pt idx="17142">
                  <c:v>71.42</c:v>
                </c:pt>
                <c:pt idx="17143">
                  <c:v>71.43</c:v>
                </c:pt>
                <c:pt idx="17144">
                  <c:v>71.44</c:v>
                </c:pt>
                <c:pt idx="17145">
                  <c:v>71.45</c:v>
                </c:pt>
                <c:pt idx="17146">
                  <c:v>71.46</c:v>
                </c:pt>
                <c:pt idx="17147">
                  <c:v>71.47</c:v>
                </c:pt>
                <c:pt idx="17148">
                  <c:v>71.48</c:v>
                </c:pt>
                <c:pt idx="17149">
                  <c:v>71.49</c:v>
                </c:pt>
                <c:pt idx="17150">
                  <c:v>71.5</c:v>
                </c:pt>
                <c:pt idx="17151">
                  <c:v>71.51</c:v>
                </c:pt>
                <c:pt idx="17152">
                  <c:v>71.52</c:v>
                </c:pt>
                <c:pt idx="17153">
                  <c:v>71.53</c:v>
                </c:pt>
                <c:pt idx="17154">
                  <c:v>71.54</c:v>
                </c:pt>
                <c:pt idx="17155">
                  <c:v>71.55</c:v>
                </c:pt>
                <c:pt idx="17156">
                  <c:v>71.56</c:v>
                </c:pt>
                <c:pt idx="17157">
                  <c:v>71.57</c:v>
                </c:pt>
                <c:pt idx="17158">
                  <c:v>71.58</c:v>
                </c:pt>
                <c:pt idx="17159">
                  <c:v>71.59</c:v>
                </c:pt>
                <c:pt idx="17160">
                  <c:v>71.6</c:v>
                </c:pt>
                <c:pt idx="17161">
                  <c:v>71.61</c:v>
                </c:pt>
                <c:pt idx="17162">
                  <c:v>71.62</c:v>
                </c:pt>
                <c:pt idx="17163">
                  <c:v>71.63</c:v>
                </c:pt>
                <c:pt idx="17164">
                  <c:v>71.64</c:v>
                </c:pt>
                <c:pt idx="17165">
                  <c:v>71.65</c:v>
                </c:pt>
                <c:pt idx="17166">
                  <c:v>71.66</c:v>
                </c:pt>
                <c:pt idx="17167">
                  <c:v>71.67</c:v>
                </c:pt>
                <c:pt idx="17168">
                  <c:v>71.68</c:v>
                </c:pt>
                <c:pt idx="17169">
                  <c:v>71.69</c:v>
                </c:pt>
                <c:pt idx="17170">
                  <c:v>71.7</c:v>
                </c:pt>
                <c:pt idx="17171">
                  <c:v>71.71</c:v>
                </c:pt>
                <c:pt idx="17172">
                  <c:v>71.72</c:v>
                </c:pt>
                <c:pt idx="17173">
                  <c:v>71.73</c:v>
                </c:pt>
                <c:pt idx="17174">
                  <c:v>71.74</c:v>
                </c:pt>
                <c:pt idx="17175">
                  <c:v>71.75</c:v>
                </c:pt>
                <c:pt idx="17176">
                  <c:v>71.76</c:v>
                </c:pt>
                <c:pt idx="17177">
                  <c:v>71.77</c:v>
                </c:pt>
                <c:pt idx="17178">
                  <c:v>71.78</c:v>
                </c:pt>
                <c:pt idx="17179">
                  <c:v>71.79</c:v>
                </c:pt>
                <c:pt idx="17180">
                  <c:v>71.8</c:v>
                </c:pt>
                <c:pt idx="17181">
                  <c:v>71.81</c:v>
                </c:pt>
                <c:pt idx="17182">
                  <c:v>71.82</c:v>
                </c:pt>
                <c:pt idx="17183">
                  <c:v>71.83</c:v>
                </c:pt>
                <c:pt idx="17184">
                  <c:v>71.84</c:v>
                </c:pt>
                <c:pt idx="17185">
                  <c:v>71.85</c:v>
                </c:pt>
                <c:pt idx="17186">
                  <c:v>71.86</c:v>
                </c:pt>
                <c:pt idx="17187">
                  <c:v>71.87</c:v>
                </c:pt>
                <c:pt idx="17188">
                  <c:v>71.88</c:v>
                </c:pt>
                <c:pt idx="17189">
                  <c:v>71.89</c:v>
                </c:pt>
                <c:pt idx="17190">
                  <c:v>71.9</c:v>
                </c:pt>
                <c:pt idx="17191">
                  <c:v>71.91</c:v>
                </c:pt>
                <c:pt idx="17192">
                  <c:v>71.92</c:v>
                </c:pt>
                <c:pt idx="17193">
                  <c:v>71.93</c:v>
                </c:pt>
                <c:pt idx="17194">
                  <c:v>71.94</c:v>
                </c:pt>
                <c:pt idx="17195">
                  <c:v>71.95</c:v>
                </c:pt>
                <c:pt idx="17196">
                  <c:v>71.96</c:v>
                </c:pt>
                <c:pt idx="17197">
                  <c:v>71.97</c:v>
                </c:pt>
                <c:pt idx="17198">
                  <c:v>71.98</c:v>
                </c:pt>
                <c:pt idx="17199">
                  <c:v>71.99</c:v>
                </c:pt>
                <c:pt idx="17200">
                  <c:v>72.0</c:v>
                </c:pt>
                <c:pt idx="17201">
                  <c:v>72.01</c:v>
                </c:pt>
                <c:pt idx="17202">
                  <c:v>72.02</c:v>
                </c:pt>
                <c:pt idx="17203">
                  <c:v>72.03</c:v>
                </c:pt>
                <c:pt idx="17204">
                  <c:v>72.04</c:v>
                </c:pt>
                <c:pt idx="17205">
                  <c:v>72.05</c:v>
                </c:pt>
                <c:pt idx="17206">
                  <c:v>72.06</c:v>
                </c:pt>
                <c:pt idx="17207">
                  <c:v>72.07</c:v>
                </c:pt>
                <c:pt idx="17208">
                  <c:v>72.08</c:v>
                </c:pt>
                <c:pt idx="17209">
                  <c:v>72.09</c:v>
                </c:pt>
                <c:pt idx="17210">
                  <c:v>72.1</c:v>
                </c:pt>
                <c:pt idx="17211">
                  <c:v>72.11</c:v>
                </c:pt>
                <c:pt idx="17212">
                  <c:v>72.12</c:v>
                </c:pt>
                <c:pt idx="17213">
                  <c:v>72.13</c:v>
                </c:pt>
                <c:pt idx="17214">
                  <c:v>72.14</c:v>
                </c:pt>
                <c:pt idx="17215">
                  <c:v>72.15</c:v>
                </c:pt>
                <c:pt idx="17216">
                  <c:v>72.16</c:v>
                </c:pt>
                <c:pt idx="17217">
                  <c:v>72.17</c:v>
                </c:pt>
                <c:pt idx="17218">
                  <c:v>72.18</c:v>
                </c:pt>
                <c:pt idx="17219">
                  <c:v>72.19</c:v>
                </c:pt>
                <c:pt idx="17220">
                  <c:v>72.2</c:v>
                </c:pt>
                <c:pt idx="17221">
                  <c:v>72.21</c:v>
                </c:pt>
                <c:pt idx="17222">
                  <c:v>72.22</c:v>
                </c:pt>
                <c:pt idx="17223">
                  <c:v>72.23</c:v>
                </c:pt>
                <c:pt idx="17224">
                  <c:v>72.24</c:v>
                </c:pt>
                <c:pt idx="17225">
                  <c:v>72.25</c:v>
                </c:pt>
                <c:pt idx="17226">
                  <c:v>72.26</c:v>
                </c:pt>
                <c:pt idx="17227">
                  <c:v>72.27</c:v>
                </c:pt>
                <c:pt idx="17228">
                  <c:v>72.28</c:v>
                </c:pt>
                <c:pt idx="17229">
                  <c:v>72.29</c:v>
                </c:pt>
                <c:pt idx="17230">
                  <c:v>72.3</c:v>
                </c:pt>
                <c:pt idx="17231">
                  <c:v>72.31</c:v>
                </c:pt>
                <c:pt idx="17232">
                  <c:v>72.32</c:v>
                </c:pt>
                <c:pt idx="17233">
                  <c:v>72.33</c:v>
                </c:pt>
                <c:pt idx="17234">
                  <c:v>72.34</c:v>
                </c:pt>
                <c:pt idx="17235">
                  <c:v>72.35</c:v>
                </c:pt>
                <c:pt idx="17236">
                  <c:v>72.36</c:v>
                </c:pt>
                <c:pt idx="17237">
                  <c:v>72.37</c:v>
                </c:pt>
                <c:pt idx="17238">
                  <c:v>72.38</c:v>
                </c:pt>
                <c:pt idx="17239">
                  <c:v>72.39</c:v>
                </c:pt>
                <c:pt idx="17240">
                  <c:v>72.4</c:v>
                </c:pt>
                <c:pt idx="17241">
                  <c:v>72.41</c:v>
                </c:pt>
                <c:pt idx="17242">
                  <c:v>72.42</c:v>
                </c:pt>
                <c:pt idx="17243">
                  <c:v>72.43</c:v>
                </c:pt>
                <c:pt idx="17244">
                  <c:v>72.44</c:v>
                </c:pt>
                <c:pt idx="17245">
                  <c:v>72.45</c:v>
                </c:pt>
                <c:pt idx="17246">
                  <c:v>72.46</c:v>
                </c:pt>
                <c:pt idx="17247">
                  <c:v>72.47</c:v>
                </c:pt>
                <c:pt idx="17248">
                  <c:v>72.48</c:v>
                </c:pt>
                <c:pt idx="17249">
                  <c:v>72.49</c:v>
                </c:pt>
                <c:pt idx="17250">
                  <c:v>72.5</c:v>
                </c:pt>
                <c:pt idx="17251">
                  <c:v>72.51</c:v>
                </c:pt>
                <c:pt idx="17252">
                  <c:v>72.52</c:v>
                </c:pt>
                <c:pt idx="17253">
                  <c:v>72.53</c:v>
                </c:pt>
                <c:pt idx="17254">
                  <c:v>72.54</c:v>
                </c:pt>
                <c:pt idx="17255">
                  <c:v>72.55</c:v>
                </c:pt>
                <c:pt idx="17256">
                  <c:v>72.56</c:v>
                </c:pt>
                <c:pt idx="17257">
                  <c:v>72.57</c:v>
                </c:pt>
                <c:pt idx="17258">
                  <c:v>72.58</c:v>
                </c:pt>
                <c:pt idx="17259">
                  <c:v>72.59</c:v>
                </c:pt>
                <c:pt idx="17260">
                  <c:v>72.6</c:v>
                </c:pt>
                <c:pt idx="17261">
                  <c:v>72.61</c:v>
                </c:pt>
                <c:pt idx="17262">
                  <c:v>72.62</c:v>
                </c:pt>
                <c:pt idx="17263">
                  <c:v>72.63</c:v>
                </c:pt>
                <c:pt idx="17264">
                  <c:v>72.64</c:v>
                </c:pt>
                <c:pt idx="17265">
                  <c:v>72.65</c:v>
                </c:pt>
                <c:pt idx="17266">
                  <c:v>72.66</c:v>
                </c:pt>
                <c:pt idx="17267">
                  <c:v>72.67</c:v>
                </c:pt>
                <c:pt idx="17268">
                  <c:v>72.68</c:v>
                </c:pt>
                <c:pt idx="17269">
                  <c:v>72.69</c:v>
                </c:pt>
                <c:pt idx="17270">
                  <c:v>72.7</c:v>
                </c:pt>
                <c:pt idx="17271">
                  <c:v>72.71</c:v>
                </c:pt>
                <c:pt idx="17272">
                  <c:v>72.72</c:v>
                </c:pt>
                <c:pt idx="17273">
                  <c:v>72.73</c:v>
                </c:pt>
                <c:pt idx="17274">
                  <c:v>72.74</c:v>
                </c:pt>
                <c:pt idx="17275">
                  <c:v>72.75</c:v>
                </c:pt>
                <c:pt idx="17276">
                  <c:v>72.76</c:v>
                </c:pt>
                <c:pt idx="17277">
                  <c:v>72.77</c:v>
                </c:pt>
                <c:pt idx="17278">
                  <c:v>72.78</c:v>
                </c:pt>
                <c:pt idx="17279">
                  <c:v>72.79</c:v>
                </c:pt>
                <c:pt idx="17280">
                  <c:v>72.8</c:v>
                </c:pt>
                <c:pt idx="17281">
                  <c:v>72.81</c:v>
                </c:pt>
                <c:pt idx="17282">
                  <c:v>72.82</c:v>
                </c:pt>
                <c:pt idx="17283">
                  <c:v>72.83</c:v>
                </c:pt>
                <c:pt idx="17284">
                  <c:v>72.84</c:v>
                </c:pt>
                <c:pt idx="17285">
                  <c:v>72.85</c:v>
                </c:pt>
                <c:pt idx="17286">
                  <c:v>72.86</c:v>
                </c:pt>
                <c:pt idx="17287">
                  <c:v>72.87</c:v>
                </c:pt>
                <c:pt idx="17288">
                  <c:v>72.88</c:v>
                </c:pt>
                <c:pt idx="17289">
                  <c:v>72.89</c:v>
                </c:pt>
                <c:pt idx="17290">
                  <c:v>72.9</c:v>
                </c:pt>
                <c:pt idx="17291">
                  <c:v>72.91</c:v>
                </c:pt>
                <c:pt idx="17292">
                  <c:v>72.92</c:v>
                </c:pt>
                <c:pt idx="17293">
                  <c:v>72.93</c:v>
                </c:pt>
                <c:pt idx="17294">
                  <c:v>72.94</c:v>
                </c:pt>
                <c:pt idx="17295">
                  <c:v>72.95</c:v>
                </c:pt>
                <c:pt idx="17296">
                  <c:v>72.96</c:v>
                </c:pt>
                <c:pt idx="17297">
                  <c:v>72.97</c:v>
                </c:pt>
                <c:pt idx="17298">
                  <c:v>72.98</c:v>
                </c:pt>
                <c:pt idx="17299">
                  <c:v>72.99</c:v>
                </c:pt>
                <c:pt idx="17300">
                  <c:v>73.0</c:v>
                </c:pt>
                <c:pt idx="17301">
                  <c:v>73.01</c:v>
                </c:pt>
                <c:pt idx="17302">
                  <c:v>73.02</c:v>
                </c:pt>
                <c:pt idx="17303">
                  <c:v>73.03</c:v>
                </c:pt>
                <c:pt idx="17304">
                  <c:v>73.04</c:v>
                </c:pt>
                <c:pt idx="17305">
                  <c:v>73.05</c:v>
                </c:pt>
                <c:pt idx="17306">
                  <c:v>73.06</c:v>
                </c:pt>
                <c:pt idx="17307">
                  <c:v>73.07</c:v>
                </c:pt>
                <c:pt idx="17308">
                  <c:v>73.08</c:v>
                </c:pt>
                <c:pt idx="17309">
                  <c:v>73.09</c:v>
                </c:pt>
                <c:pt idx="17310">
                  <c:v>73.1</c:v>
                </c:pt>
                <c:pt idx="17311">
                  <c:v>73.11</c:v>
                </c:pt>
                <c:pt idx="17312">
                  <c:v>73.12</c:v>
                </c:pt>
                <c:pt idx="17313">
                  <c:v>73.13</c:v>
                </c:pt>
                <c:pt idx="17314">
                  <c:v>73.14</c:v>
                </c:pt>
                <c:pt idx="17315">
                  <c:v>73.15</c:v>
                </c:pt>
                <c:pt idx="17316">
                  <c:v>73.16</c:v>
                </c:pt>
                <c:pt idx="17317">
                  <c:v>73.17</c:v>
                </c:pt>
                <c:pt idx="17318">
                  <c:v>73.18</c:v>
                </c:pt>
                <c:pt idx="17319">
                  <c:v>73.19</c:v>
                </c:pt>
                <c:pt idx="17320">
                  <c:v>73.2</c:v>
                </c:pt>
                <c:pt idx="17321">
                  <c:v>73.21</c:v>
                </c:pt>
                <c:pt idx="17322">
                  <c:v>73.22</c:v>
                </c:pt>
                <c:pt idx="17323">
                  <c:v>73.23</c:v>
                </c:pt>
                <c:pt idx="17324">
                  <c:v>73.24</c:v>
                </c:pt>
                <c:pt idx="17325">
                  <c:v>73.25</c:v>
                </c:pt>
                <c:pt idx="17326">
                  <c:v>73.26</c:v>
                </c:pt>
                <c:pt idx="17327">
                  <c:v>73.27</c:v>
                </c:pt>
                <c:pt idx="17328">
                  <c:v>73.28</c:v>
                </c:pt>
                <c:pt idx="17329">
                  <c:v>73.29</c:v>
                </c:pt>
                <c:pt idx="17330">
                  <c:v>73.3</c:v>
                </c:pt>
                <c:pt idx="17331">
                  <c:v>73.31</c:v>
                </c:pt>
                <c:pt idx="17332">
                  <c:v>73.32</c:v>
                </c:pt>
                <c:pt idx="17333">
                  <c:v>73.33</c:v>
                </c:pt>
                <c:pt idx="17334">
                  <c:v>73.34</c:v>
                </c:pt>
                <c:pt idx="17335">
                  <c:v>73.35</c:v>
                </c:pt>
                <c:pt idx="17336">
                  <c:v>73.36</c:v>
                </c:pt>
                <c:pt idx="17337">
                  <c:v>73.37</c:v>
                </c:pt>
                <c:pt idx="17338">
                  <c:v>73.38</c:v>
                </c:pt>
                <c:pt idx="17339">
                  <c:v>73.39</c:v>
                </c:pt>
                <c:pt idx="17340">
                  <c:v>73.4</c:v>
                </c:pt>
                <c:pt idx="17341">
                  <c:v>73.41</c:v>
                </c:pt>
                <c:pt idx="17342">
                  <c:v>73.42</c:v>
                </c:pt>
                <c:pt idx="17343">
                  <c:v>73.43</c:v>
                </c:pt>
                <c:pt idx="17344">
                  <c:v>73.44</c:v>
                </c:pt>
                <c:pt idx="17345">
                  <c:v>73.45</c:v>
                </c:pt>
                <c:pt idx="17346">
                  <c:v>73.46</c:v>
                </c:pt>
                <c:pt idx="17347">
                  <c:v>73.47</c:v>
                </c:pt>
                <c:pt idx="17348">
                  <c:v>73.48</c:v>
                </c:pt>
                <c:pt idx="17349">
                  <c:v>73.49</c:v>
                </c:pt>
                <c:pt idx="17350">
                  <c:v>73.5</c:v>
                </c:pt>
                <c:pt idx="17351">
                  <c:v>73.51</c:v>
                </c:pt>
                <c:pt idx="17352">
                  <c:v>73.52</c:v>
                </c:pt>
                <c:pt idx="17353">
                  <c:v>73.53</c:v>
                </c:pt>
                <c:pt idx="17354">
                  <c:v>73.54</c:v>
                </c:pt>
                <c:pt idx="17355">
                  <c:v>73.55</c:v>
                </c:pt>
                <c:pt idx="17356">
                  <c:v>73.56</c:v>
                </c:pt>
                <c:pt idx="17357">
                  <c:v>73.57</c:v>
                </c:pt>
                <c:pt idx="17358">
                  <c:v>73.58</c:v>
                </c:pt>
                <c:pt idx="17359">
                  <c:v>73.59</c:v>
                </c:pt>
                <c:pt idx="17360">
                  <c:v>73.6</c:v>
                </c:pt>
                <c:pt idx="17361">
                  <c:v>73.61</c:v>
                </c:pt>
                <c:pt idx="17362">
                  <c:v>73.62</c:v>
                </c:pt>
                <c:pt idx="17363">
                  <c:v>73.63</c:v>
                </c:pt>
                <c:pt idx="17364">
                  <c:v>73.64</c:v>
                </c:pt>
                <c:pt idx="17365">
                  <c:v>73.65</c:v>
                </c:pt>
                <c:pt idx="17366">
                  <c:v>73.66</c:v>
                </c:pt>
                <c:pt idx="17367">
                  <c:v>73.67</c:v>
                </c:pt>
                <c:pt idx="17368">
                  <c:v>73.68</c:v>
                </c:pt>
                <c:pt idx="17369">
                  <c:v>73.69</c:v>
                </c:pt>
                <c:pt idx="17370">
                  <c:v>73.7</c:v>
                </c:pt>
                <c:pt idx="17371">
                  <c:v>73.71</c:v>
                </c:pt>
                <c:pt idx="17372">
                  <c:v>73.72</c:v>
                </c:pt>
                <c:pt idx="17373">
                  <c:v>73.73</c:v>
                </c:pt>
                <c:pt idx="17374">
                  <c:v>73.74</c:v>
                </c:pt>
                <c:pt idx="17375">
                  <c:v>73.75</c:v>
                </c:pt>
                <c:pt idx="17376">
                  <c:v>73.76</c:v>
                </c:pt>
                <c:pt idx="17377">
                  <c:v>73.77</c:v>
                </c:pt>
                <c:pt idx="17378">
                  <c:v>73.78</c:v>
                </c:pt>
                <c:pt idx="17379">
                  <c:v>73.79</c:v>
                </c:pt>
                <c:pt idx="17380">
                  <c:v>73.8</c:v>
                </c:pt>
                <c:pt idx="17381">
                  <c:v>73.81</c:v>
                </c:pt>
                <c:pt idx="17382">
                  <c:v>73.82</c:v>
                </c:pt>
                <c:pt idx="17383">
                  <c:v>73.83</c:v>
                </c:pt>
                <c:pt idx="17384">
                  <c:v>73.84</c:v>
                </c:pt>
                <c:pt idx="17385">
                  <c:v>73.85</c:v>
                </c:pt>
                <c:pt idx="17386">
                  <c:v>73.86</c:v>
                </c:pt>
                <c:pt idx="17387">
                  <c:v>73.87</c:v>
                </c:pt>
                <c:pt idx="17388">
                  <c:v>73.88</c:v>
                </c:pt>
                <c:pt idx="17389">
                  <c:v>73.89</c:v>
                </c:pt>
                <c:pt idx="17390">
                  <c:v>73.9</c:v>
                </c:pt>
                <c:pt idx="17391">
                  <c:v>73.91</c:v>
                </c:pt>
                <c:pt idx="17392">
                  <c:v>73.92</c:v>
                </c:pt>
                <c:pt idx="17393">
                  <c:v>73.93</c:v>
                </c:pt>
                <c:pt idx="17394">
                  <c:v>73.94</c:v>
                </c:pt>
                <c:pt idx="17395">
                  <c:v>73.95</c:v>
                </c:pt>
                <c:pt idx="17396">
                  <c:v>73.96</c:v>
                </c:pt>
                <c:pt idx="17397">
                  <c:v>73.97</c:v>
                </c:pt>
                <c:pt idx="17398">
                  <c:v>73.98</c:v>
                </c:pt>
                <c:pt idx="17399">
                  <c:v>73.99</c:v>
                </c:pt>
                <c:pt idx="17400">
                  <c:v>74.0</c:v>
                </c:pt>
                <c:pt idx="17401">
                  <c:v>74.01</c:v>
                </c:pt>
                <c:pt idx="17402">
                  <c:v>74.02</c:v>
                </c:pt>
                <c:pt idx="17403">
                  <c:v>74.03</c:v>
                </c:pt>
                <c:pt idx="17404">
                  <c:v>74.04</c:v>
                </c:pt>
                <c:pt idx="17405">
                  <c:v>74.05</c:v>
                </c:pt>
                <c:pt idx="17406">
                  <c:v>74.06</c:v>
                </c:pt>
                <c:pt idx="17407">
                  <c:v>74.07</c:v>
                </c:pt>
                <c:pt idx="17408">
                  <c:v>74.08</c:v>
                </c:pt>
                <c:pt idx="17409">
                  <c:v>74.09</c:v>
                </c:pt>
                <c:pt idx="17410">
                  <c:v>74.1</c:v>
                </c:pt>
                <c:pt idx="17411">
                  <c:v>74.11</c:v>
                </c:pt>
                <c:pt idx="17412">
                  <c:v>74.12</c:v>
                </c:pt>
                <c:pt idx="17413">
                  <c:v>74.13</c:v>
                </c:pt>
                <c:pt idx="17414">
                  <c:v>74.14</c:v>
                </c:pt>
                <c:pt idx="17415">
                  <c:v>74.15</c:v>
                </c:pt>
                <c:pt idx="17416">
                  <c:v>74.16</c:v>
                </c:pt>
                <c:pt idx="17417">
                  <c:v>74.17</c:v>
                </c:pt>
                <c:pt idx="17418">
                  <c:v>74.18</c:v>
                </c:pt>
                <c:pt idx="17419">
                  <c:v>74.19</c:v>
                </c:pt>
                <c:pt idx="17420">
                  <c:v>74.2</c:v>
                </c:pt>
                <c:pt idx="17421">
                  <c:v>74.21</c:v>
                </c:pt>
                <c:pt idx="17422">
                  <c:v>74.22</c:v>
                </c:pt>
                <c:pt idx="17423">
                  <c:v>74.23</c:v>
                </c:pt>
                <c:pt idx="17424">
                  <c:v>74.24</c:v>
                </c:pt>
                <c:pt idx="17425">
                  <c:v>74.25</c:v>
                </c:pt>
                <c:pt idx="17426">
                  <c:v>74.26</c:v>
                </c:pt>
                <c:pt idx="17427">
                  <c:v>74.27</c:v>
                </c:pt>
                <c:pt idx="17428">
                  <c:v>74.28</c:v>
                </c:pt>
                <c:pt idx="17429">
                  <c:v>74.29</c:v>
                </c:pt>
                <c:pt idx="17430">
                  <c:v>74.3</c:v>
                </c:pt>
                <c:pt idx="17431">
                  <c:v>74.31</c:v>
                </c:pt>
                <c:pt idx="17432">
                  <c:v>74.32</c:v>
                </c:pt>
                <c:pt idx="17433">
                  <c:v>74.33</c:v>
                </c:pt>
                <c:pt idx="17434">
                  <c:v>74.34</c:v>
                </c:pt>
                <c:pt idx="17435">
                  <c:v>74.35</c:v>
                </c:pt>
                <c:pt idx="17436">
                  <c:v>74.36</c:v>
                </c:pt>
                <c:pt idx="17437">
                  <c:v>74.37</c:v>
                </c:pt>
                <c:pt idx="17438">
                  <c:v>74.38</c:v>
                </c:pt>
                <c:pt idx="17439">
                  <c:v>74.39</c:v>
                </c:pt>
                <c:pt idx="17440">
                  <c:v>74.4</c:v>
                </c:pt>
                <c:pt idx="17441">
                  <c:v>74.41</c:v>
                </c:pt>
                <c:pt idx="17442">
                  <c:v>74.42</c:v>
                </c:pt>
                <c:pt idx="17443">
                  <c:v>74.43</c:v>
                </c:pt>
                <c:pt idx="17444">
                  <c:v>74.44</c:v>
                </c:pt>
                <c:pt idx="17445">
                  <c:v>74.45</c:v>
                </c:pt>
                <c:pt idx="17446">
                  <c:v>74.46</c:v>
                </c:pt>
                <c:pt idx="17447">
                  <c:v>74.47</c:v>
                </c:pt>
                <c:pt idx="17448">
                  <c:v>74.48</c:v>
                </c:pt>
                <c:pt idx="17449">
                  <c:v>74.49</c:v>
                </c:pt>
                <c:pt idx="17450">
                  <c:v>74.5</c:v>
                </c:pt>
                <c:pt idx="17451">
                  <c:v>74.51</c:v>
                </c:pt>
                <c:pt idx="17452">
                  <c:v>74.52</c:v>
                </c:pt>
                <c:pt idx="17453">
                  <c:v>74.53</c:v>
                </c:pt>
                <c:pt idx="17454">
                  <c:v>74.54</c:v>
                </c:pt>
                <c:pt idx="17455">
                  <c:v>74.55</c:v>
                </c:pt>
                <c:pt idx="17456">
                  <c:v>74.56</c:v>
                </c:pt>
                <c:pt idx="17457">
                  <c:v>74.57</c:v>
                </c:pt>
                <c:pt idx="17458">
                  <c:v>74.58</c:v>
                </c:pt>
                <c:pt idx="17459">
                  <c:v>74.59</c:v>
                </c:pt>
                <c:pt idx="17460">
                  <c:v>74.6</c:v>
                </c:pt>
                <c:pt idx="17461">
                  <c:v>74.61</c:v>
                </c:pt>
                <c:pt idx="17462">
                  <c:v>74.62</c:v>
                </c:pt>
                <c:pt idx="17463">
                  <c:v>74.63</c:v>
                </c:pt>
                <c:pt idx="17464">
                  <c:v>74.64</c:v>
                </c:pt>
                <c:pt idx="17465">
                  <c:v>74.65</c:v>
                </c:pt>
                <c:pt idx="17466">
                  <c:v>74.66</c:v>
                </c:pt>
                <c:pt idx="17467">
                  <c:v>74.67</c:v>
                </c:pt>
                <c:pt idx="17468">
                  <c:v>74.68</c:v>
                </c:pt>
                <c:pt idx="17469">
                  <c:v>74.69</c:v>
                </c:pt>
                <c:pt idx="17470">
                  <c:v>74.7</c:v>
                </c:pt>
                <c:pt idx="17471">
                  <c:v>74.71</c:v>
                </c:pt>
                <c:pt idx="17472">
                  <c:v>74.72</c:v>
                </c:pt>
                <c:pt idx="17473">
                  <c:v>74.73</c:v>
                </c:pt>
                <c:pt idx="17474">
                  <c:v>74.74</c:v>
                </c:pt>
                <c:pt idx="17475">
                  <c:v>74.75</c:v>
                </c:pt>
                <c:pt idx="17476">
                  <c:v>74.76</c:v>
                </c:pt>
                <c:pt idx="17477">
                  <c:v>74.77</c:v>
                </c:pt>
                <c:pt idx="17478">
                  <c:v>74.78</c:v>
                </c:pt>
                <c:pt idx="17479">
                  <c:v>74.79</c:v>
                </c:pt>
                <c:pt idx="17480">
                  <c:v>74.8</c:v>
                </c:pt>
                <c:pt idx="17481">
                  <c:v>74.81</c:v>
                </c:pt>
                <c:pt idx="17482">
                  <c:v>74.82</c:v>
                </c:pt>
                <c:pt idx="17483">
                  <c:v>74.83</c:v>
                </c:pt>
                <c:pt idx="17484">
                  <c:v>74.84</c:v>
                </c:pt>
                <c:pt idx="17485">
                  <c:v>74.85</c:v>
                </c:pt>
                <c:pt idx="17486">
                  <c:v>74.86</c:v>
                </c:pt>
                <c:pt idx="17487">
                  <c:v>74.87</c:v>
                </c:pt>
                <c:pt idx="17488">
                  <c:v>74.88</c:v>
                </c:pt>
                <c:pt idx="17489">
                  <c:v>74.89</c:v>
                </c:pt>
                <c:pt idx="17490">
                  <c:v>74.9</c:v>
                </c:pt>
                <c:pt idx="17491">
                  <c:v>74.91</c:v>
                </c:pt>
                <c:pt idx="17492">
                  <c:v>74.92</c:v>
                </c:pt>
                <c:pt idx="17493">
                  <c:v>74.93</c:v>
                </c:pt>
                <c:pt idx="17494">
                  <c:v>74.94</c:v>
                </c:pt>
                <c:pt idx="17495">
                  <c:v>74.95</c:v>
                </c:pt>
                <c:pt idx="17496">
                  <c:v>74.96</c:v>
                </c:pt>
                <c:pt idx="17497">
                  <c:v>74.97</c:v>
                </c:pt>
                <c:pt idx="17498">
                  <c:v>74.98</c:v>
                </c:pt>
                <c:pt idx="17499">
                  <c:v>74.99</c:v>
                </c:pt>
                <c:pt idx="17500">
                  <c:v>75.0</c:v>
                </c:pt>
                <c:pt idx="17501">
                  <c:v>75.01</c:v>
                </c:pt>
                <c:pt idx="17502">
                  <c:v>75.02</c:v>
                </c:pt>
                <c:pt idx="17503">
                  <c:v>75.03</c:v>
                </c:pt>
                <c:pt idx="17504">
                  <c:v>75.04</c:v>
                </c:pt>
                <c:pt idx="17505">
                  <c:v>75.05</c:v>
                </c:pt>
                <c:pt idx="17506">
                  <c:v>75.06</c:v>
                </c:pt>
                <c:pt idx="17507">
                  <c:v>75.07</c:v>
                </c:pt>
                <c:pt idx="17508">
                  <c:v>75.08</c:v>
                </c:pt>
                <c:pt idx="17509">
                  <c:v>75.09</c:v>
                </c:pt>
                <c:pt idx="17510">
                  <c:v>75.1</c:v>
                </c:pt>
                <c:pt idx="17511">
                  <c:v>75.11</c:v>
                </c:pt>
                <c:pt idx="17512">
                  <c:v>75.12</c:v>
                </c:pt>
                <c:pt idx="17513">
                  <c:v>75.13</c:v>
                </c:pt>
                <c:pt idx="17514">
                  <c:v>75.14</c:v>
                </c:pt>
                <c:pt idx="17515">
                  <c:v>75.15</c:v>
                </c:pt>
                <c:pt idx="17516">
                  <c:v>75.16</c:v>
                </c:pt>
                <c:pt idx="17517">
                  <c:v>75.17</c:v>
                </c:pt>
                <c:pt idx="17518">
                  <c:v>75.18</c:v>
                </c:pt>
                <c:pt idx="17519">
                  <c:v>75.19</c:v>
                </c:pt>
                <c:pt idx="17520">
                  <c:v>75.2</c:v>
                </c:pt>
                <c:pt idx="17521">
                  <c:v>75.21</c:v>
                </c:pt>
                <c:pt idx="17522">
                  <c:v>75.22</c:v>
                </c:pt>
                <c:pt idx="17523">
                  <c:v>75.23</c:v>
                </c:pt>
                <c:pt idx="17524">
                  <c:v>75.24</c:v>
                </c:pt>
                <c:pt idx="17525">
                  <c:v>75.25</c:v>
                </c:pt>
                <c:pt idx="17526">
                  <c:v>75.26</c:v>
                </c:pt>
                <c:pt idx="17527">
                  <c:v>75.27</c:v>
                </c:pt>
                <c:pt idx="17528">
                  <c:v>75.28</c:v>
                </c:pt>
                <c:pt idx="17529">
                  <c:v>75.29</c:v>
                </c:pt>
                <c:pt idx="17530">
                  <c:v>75.3</c:v>
                </c:pt>
                <c:pt idx="17531">
                  <c:v>75.31</c:v>
                </c:pt>
                <c:pt idx="17532">
                  <c:v>75.32</c:v>
                </c:pt>
                <c:pt idx="17533">
                  <c:v>75.33</c:v>
                </c:pt>
                <c:pt idx="17534">
                  <c:v>75.34</c:v>
                </c:pt>
                <c:pt idx="17535">
                  <c:v>75.35</c:v>
                </c:pt>
                <c:pt idx="17536">
                  <c:v>75.36</c:v>
                </c:pt>
                <c:pt idx="17537">
                  <c:v>75.37</c:v>
                </c:pt>
                <c:pt idx="17538">
                  <c:v>75.38</c:v>
                </c:pt>
                <c:pt idx="17539">
                  <c:v>75.39</c:v>
                </c:pt>
                <c:pt idx="17540">
                  <c:v>75.4</c:v>
                </c:pt>
                <c:pt idx="17541">
                  <c:v>75.41</c:v>
                </c:pt>
                <c:pt idx="17542">
                  <c:v>75.42</c:v>
                </c:pt>
                <c:pt idx="17543">
                  <c:v>75.43</c:v>
                </c:pt>
                <c:pt idx="17544">
                  <c:v>75.44</c:v>
                </c:pt>
                <c:pt idx="17545">
                  <c:v>75.45</c:v>
                </c:pt>
                <c:pt idx="17546">
                  <c:v>75.46</c:v>
                </c:pt>
                <c:pt idx="17547">
                  <c:v>75.47</c:v>
                </c:pt>
                <c:pt idx="17548">
                  <c:v>75.48</c:v>
                </c:pt>
                <c:pt idx="17549">
                  <c:v>75.49</c:v>
                </c:pt>
                <c:pt idx="17550">
                  <c:v>75.5</c:v>
                </c:pt>
                <c:pt idx="17551">
                  <c:v>75.51</c:v>
                </c:pt>
                <c:pt idx="17552">
                  <c:v>75.52</c:v>
                </c:pt>
                <c:pt idx="17553">
                  <c:v>75.53</c:v>
                </c:pt>
                <c:pt idx="17554">
                  <c:v>75.54</c:v>
                </c:pt>
                <c:pt idx="17555">
                  <c:v>75.55</c:v>
                </c:pt>
                <c:pt idx="17556">
                  <c:v>75.56</c:v>
                </c:pt>
                <c:pt idx="17557">
                  <c:v>75.57</c:v>
                </c:pt>
                <c:pt idx="17558">
                  <c:v>75.58</c:v>
                </c:pt>
                <c:pt idx="17559">
                  <c:v>75.59</c:v>
                </c:pt>
                <c:pt idx="17560">
                  <c:v>75.6</c:v>
                </c:pt>
                <c:pt idx="17561">
                  <c:v>75.61</c:v>
                </c:pt>
                <c:pt idx="17562">
                  <c:v>75.62</c:v>
                </c:pt>
                <c:pt idx="17563">
                  <c:v>75.63</c:v>
                </c:pt>
                <c:pt idx="17564">
                  <c:v>75.64</c:v>
                </c:pt>
                <c:pt idx="17565">
                  <c:v>75.65</c:v>
                </c:pt>
                <c:pt idx="17566">
                  <c:v>75.66</c:v>
                </c:pt>
                <c:pt idx="17567">
                  <c:v>75.67</c:v>
                </c:pt>
                <c:pt idx="17568">
                  <c:v>75.68</c:v>
                </c:pt>
                <c:pt idx="17569">
                  <c:v>75.69</c:v>
                </c:pt>
                <c:pt idx="17570">
                  <c:v>75.7</c:v>
                </c:pt>
                <c:pt idx="17571">
                  <c:v>75.71</c:v>
                </c:pt>
                <c:pt idx="17572">
                  <c:v>75.72</c:v>
                </c:pt>
                <c:pt idx="17573">
                  <c:v>75.73</c:v>
                </c:pt>
                <c:pt idx="17574">
                  <c:v>75.74</c:v>
                </c:pt>
                <c:pt idx="17575">
                  <c:v>75.75</c:v>
                </c:pt>
                <c:pt idx="17576">
                  <c:v>75.76</c:v>
                </c:pt>
                <c:pt idx="17577">
                  <c:v>75.77</c:v>
                </c:pt>
                <c:pt idx="17578">
                  <c:v>75.78</c:v>
                </c:pt>
                <c:pt idx="17579">
                  <c:v>75.79</c:v>
                </c:pt>
                <c:pt idx="17580">
                  <c:v>75.8</c:v>
                </c:pt>
                <c:pt idx="17581">
                  <c:v>75.81</c:v>
                </c:pt>
                <c:pt idx="17582">
                  <c:v>75.82</c:v>
                </c:pt>
                <c:pt idx="17583">
                  <c:v>75.83</c:v>
                </c:pt>
                <c:pt idx="17584">
                  <c:v>75.84</c:v>
                </c:pt>
                <c:pt idx="17585">
                  <c:v>75.85</c:v>
                </c:pt>
                <c:pt idx="17586">
                  <c:v>75.86</c:v>
                </c:pt>
                <c:pt idx="17587">
                  <c:v>75.87</c:v>
                </c:pt>
                <c:pt idx="17588">
                  <c:v>75.88</c:v>
                </c:pt>
                <c:pt idx="17589">
                  <c:v>75.89</c:v>
                </c:pt>
                <c:pt idx="17590">
                  <c:v>75.9</c:v>
                </c:pt>
                <c:pt idx="17591">
                  <c:v>75.91</c:v>
                </c:pt>
                <c:pt idx="17592">
                  <c:v>75.92</c:v>
                </c:pt>
                <c:pt idx="17593">
                  <c:v>75.93</c:v>
                </c:pt>
                <c:pt idx="17594">
                  <c:v>75.94</c:v>
                </c:pt>
                <c:pt idx="17595">
                  <c:v>75.95</c:v>
                </c:pt>
                <c:pt idx="17596">
                  <c:v>75.96</c:v>
                </c:pt>
                <c:pt idx="17597">
                  <c:v>75.97</c:v>
                </c:pt>
                <c:pt idx="17598">
                  <c:v>75.98</c:v>
                </c:pt>
                <c:pt idx="17599">
                  <c:v>75.99</c:v>
                </c:pt>
                <c:pt idx="17600">
                  <c:v>76.0</c:v>
                </c:pt>
                <c:pt idx="17601">
                  <c:v>76.01</c:v>
                </c:pt>
                <c:pt idx="17602">
                  <c:v>76.02</c:v>
                </c:pt>
                <c:pt idx="17603">
                  <c:v>76.03</c:v>
                </c:pt>
                <c:pt idx="17604">
                  <c:v>76.04</c:v>
                </c:pt>
                <c:pt idx="17605">
                  <c:v>76.05</c:v>
                </c:pt>
                <c:pt idx="17606">
                  <c:v>76.06</c:v>
                </c:pt>
                <c:pt idx="17607">
                  <c:v>76.07</c:v>
                </c:pt>
                <c:pt idx="17608">
                  <c:v>76.08</c:v>
                </c:pt>
                <c:pt idx="17609">
                  <c:v>76.09</c:v>
                </c:pt>
                <c:pt idx="17610">
                  <c:v>76.1</c:v>
                </c:pt>
                <c:pt idx="17611">
                  <c:v>76.11</c:v>
                </c:pt>
                <c:pt idx="17612">
                  <c:v>76.12</c:v>
                </c:pt>
                <c:pt idx="17613">
                  <c:v>76.13</c:v>
                </c:pt>
                <c:pt idx="17614">
                  <c:v>76.14</c:v>
                </c:pt>
                <c:pt idx="17615">
                  <c:v>76.15</c:v>
                </c:pt>
                <c:pt idx="17616">
                  <c:v>76.16</c:v>
                </c:pt>
                <c:pt idx="17617">
                  <c:v>76.17</c:v>
                </c:pt>
                <c:pt idx="17618">
                  <c:v>76.18</c:v>
                </c:pt>
                <c:pt idx="17619">
                  <c:v>76.19</c:v>
                </c:pt>
                <c:pt idx="17620">
                  <c:v>76.2</c:v>
                </c:pt>
                <c:pt idx="17621">
                  <c:v>76.21</c:v>
                </c:pt>
                <c:pt idx="17622">
                  <c:v>76.22</c:v>
                </c:pt>
                <c:pt idx="17623">
                  <c:v>76.23</c:v>
                </c:pt>
                <c:pt idx="17624">
                  <c:v>76.24</c:v>
                </c:pt>
                <c:pt idx="17625">
                  <c:v>76.25</c:v>
                </c:pt>
                <c:pt idx="17626">
                  <c:v>76.26</c:v>
                </c:pt>
                <c:pt idx="17627">
                  <c:v>76.27</c:v>
                </c:pt>
                <c:pt idx="17628">
                  <c:v>76.28</c:v>
                </c:pt>
                <c:pt idx="17629">
                  <c:v>76.29</c:v>
                </c:pt>
                <c:pt idx="17630">
                  <c:v>76.3</c:v>
                </c:pt>
                <c:pt idx="17631">
                  <c:v>76.31</c:v>
                </c:pt>
                <c:pt idx="17632">
                  <c:v>76.32</c:v>
                </c:pt>
                <c:pt idx="17633">
                  <c:v>76.33</c:v>
                </c:pt>
                <c:pt idx="17634">
                  <c:v>76.34</c:v>
                </c:pt>
                <c:pt idx="17635">
                  <c:v>76.35</c:v>
                </c:pt>
                <c:pt idx="17636">
                  <c:v>76.36</c:v>
                </c:pt>
                <c:pt idx="17637">
                  <c:v>76.37</c:v>
                </c:pt>
                <c:pt idx="17638">
                  <c:v>76.38</c:v>
                </c:pt>
                <c:pt idx="17639">
                  <c:v>76.39</c:v>
                </c:pt>
                <c:pt idx="17640">
                  <c:v>76.4</c:v>
                </c:pt>
                <c:pt idx="17641">
                  <c:v>76.41</c:v>
                </c:pt>
                <c:pt idx="17642">
                  <c:v>76.42</c:v>
                </c:pt>
                <c:pt idx="17643">
                  <c:v>76.43</c:v>
                </c:pt>
                <c:pt idx="17644">
                  <c:v>76.44</c:v>
                </c:pt>
                <c:pt idx="17645">
                  <c:v>76.45</c:v>
                </c:pt>
                <c:pt idx="17646">
                  <c:v>76.46</c:v>
                </c:pt>
                <c:pt idx="17647">
                  <c:v>76.47</c:v>
                </c:pt>
                <c:pt idx="17648">
                  <c:v>76.48</c:v>
                </c:pt>
                <c:pt idx="17649">
                  <c:v>76.49</c:v>
                </c:pt>
                <c:pt idx="17650">
                  <c:v>76.5</c:v>
                </c:pt>
                <c:pt idx="17651">
                  <c:v>76.51</c:v>
                </c:pt>
                <c:pt idx="17652">
                  <c:v>76.52</c:v>
                </c:pt>
                <c:pt idx="17653">
                  <c:v>76.53</c:v>
                </c:pt>
                <c:pt idx="17654">
                  <c:v>76.54</c:v>
                </c:pt>
                <c:pt idx="17655">
                  <c:v>76.55</c:v>
                </c:pt>
                <c:pt idx="17656">
                  <c:v>76.56</c:v>
                </c:pt>
                <c:pt idx="17657">
                  <c:v>76.57</c:v>
                </c:pt>
                <c:pt idx="17658">
                  <c:v>76.58</c:v>
                </c:pt>
                <c:pt idx="17659">
                  <c:v>76.59</c:v>
                </c:pt>
                <c:pt idx="17660">
                  <c:v>76.6</c:v>
                </c:pt>
                <c:pt idx="17661">
                  <c:v>76.61</c:v>
                </c:pt>
                <c:pt idx="17662">
                  <c:v>76.62</c:v>
                </c:pt>
                <c:pt idx="17663">
                  <c:v>76.63</c:v>
                </c:pt>
                <c:pt idx="17664">
                  <c:v>76.64</c:v>
                </c:pt>
                <c:pt idx="17665">
                  <c:v>76.65</c:v>
                </c:pt>
                <c:pt idx="17666">
                  <c:v>76.66</c:v>
                </c:pt>
                <c:pt idx="17667">
                  <c:v>76.67</c:v>
                </c:pt>
                <c:pt idx="17668">
                  <c:v>76.68</c:v>
                </c:pt>
                <c:pt idx="17669">
                  <c:v>76.69</c:v>
                </c:pt>
                <c:pt idx="17670">
                  <c:v>76.7</c:v>
                </c:pt>
                <c:pt idx="17671">
                  <c:v>76.71</c:v>
                </c:pt>
                <c:pt idx="17672">
                  <c:v>76.72</c:v>
                </c:pt>
                <c:pt idx="17673">
                  <c:v>76.73</c:v>
                </c:pt>
                <c:pt idx="17674">
                  <c:v>76.74</c:v>
                </c:pt>
                <c:pt idx="17675">
                  <c:v>76.75</c:v>
                </c:pt>
                <c:pt idx="17676">
                  <c:v>76.76</c:v>
                </c:pt>
                <c:pt idx="17677">
                  <c:v>76.77</c:v>
                </c:pt>
                <c:pt idx="17678">
                  <c:v>76.78</c:v>
                </c:pt>
                <c:pt idx="17679">
                  <c:v>76.79</c:v>
                </c:pt>
                <c:pt idx="17680">
                  <c:v>76.8</c:v>
                </c:pt>
                <c:pt idx="17681">
                  <c:v>76.81</c:v>
                </c:pt>
                <c:pt idx="17682">
                  <c:v>76.82</c:v>
                </c:pt>
                <c:pt idx="17683">
                  <c:v>76.83</c:v>
                </c:pt>
                <c:pt idx="17684">
                  <c:v>76.84</c:v>
                </c:pt>
                <c:pt idx="17685">
                  <c:v>76.85</c:v>
                </c:pt>
                <c:pt idx="17686">
                  <c:v>76.86</c:v>
                </c:pt>
                <c:pt idx="17687">
                  <c:v>76.87</c:v>
                </c:pt>
                <c:pt idx="17688">
                  <c:v>76.88</c:v>
                </c:pt>
                <c:pt idx="17689">
                  <c:v>76.89</c:v>
                </c:pt>
                <c:pt idx="17690">
                  <c:v>76.9</c:v>
                </c:pt>
                <c:pt idx="17691">
                  <c:v>76.91</c:v>
                </c:pt>
                <c:pt idx="17692">
                  <c:v>76.92</c:v>
                </c:pt>
                <c:pt idx="17693">
                  <c:v>76.93</c:v>
                </c:pt>
                <c:pt idx="17694">
                  <c:v>76.94</c:v>
                </c:pt>
                <c:pt idx="17695">
                  <c:v>76.95</c:v>
                </c:pt>
                <c:pt idx="17696">
                  <c:v>76.96</c:v>
                </c:pt>
                <c:pt idx="17697">
                  <c:v>76.97</c:v>
                </c:pt>
                <c:pt idx="17698">
                  <c:v>76.98</c:v>
                </c:pt>
                <c:pt idx="17699">
                  <c:v>76.99</c:v>
                </c:pt>
                <c:pt idx="17700">
                  <c:v>77.0</c:v>
                </c:pt>
                <c:pt idx="17701">
                  <c:v>77.01</c:v>
                </c:pt>
                <c:pt idx="17702">
                  <c:v>77.02</c:v>
                </c:pt>
                <c:pt idx="17703">
                  <c:v>77.03</c:v>
                </c:pt>
                <c:pt idx="17704">
                  <c:v>77.04</c:v>
                </c:pt>
                <c:pt idx="17705">
                  <c:v>77.05</c:v>
                </c:pt>
                <c:pt idx="17706">
                  <c:v>77.06</c:v>
                </c:pt>
                <c:pt idx="17707">
                  <c:v>77.07</c:v>
                </c:pt>
                <c:pt idx="17708">
                  <c:v>77.08</c:v>
                </c:pt>
                <c:pt idx="17709">
                  <c:v>77.09</c:v>
                </c:pt>
                <c:pt idx="17710">
                  <c:v>77.1</c:v>
                </c:pt>
                <c:pt idx="17711">
                  <c:v>77.11</c:v>
                </c:pt>
                <c:pt idx="17712">
                  <c:v>77.12</c:v>
                </c:pt>
                <c:pt idx="17713">
                  <c:v>77.13</c:v>
                </c:pt>
                <c:pt idx="17714">
                  <c:v>77.14</c:v>
                </c:pt>
                <c:pt idx="17715">
                  <c:v>77.15</c:v>
                </c:pt>
                <c:pt idx="17716">
                  <c:v>77.16</c:v>
                </c:pt>
                <c:pt idx="17717">
                  <c:v>77.17</c:v>
                </c:pt>
                <c:pt idx="17718">
                  <c:v>77.18</c:v>
                </c:pt>
                <c:pt idx="17719">
                  <c:v>77.19</c:v>
                </c:pt>
                <c:pt idx="17720">
                  <c:v>77.2</c:v>
                </c:pt>
                <c:pt idx="17721">
                  <c:v>77.21</c:v>
                </c:pt>
                <c:pt idx="17722">
                  <c:v>77.22</c:v>
                </c:pt>
                <c:pt idx="17723">
                  <c:v>77.23</c:v>
                </c:pt>
                <c:pt idx="17724">
                  <c:v>77.24</c:v>
                </c:pt>
                <c:pt idx="17725">
                  <c:v>77.25</c:v>
                </c:pt>
                <c:pt idx="17726">
                  <c:v>77.26</c:v>
                </c:pt>
                <c:pt idx="17727">
                  <c:v>77.27</c:v>
                </c:pt>
                <c:pt idx="17728">
                  <c:v>77.28</c:v>
                </c:pt>
                <c:pt idx="17729">
                  <c:v>77.29</c:v>
                </c:pt>
                <c:pt idx="17730">
                  <c:v>77.3</c:v>
                </c:pt>
                <c:pt idx="17731">
                  <c:v>77.31</c:v>
                </c:pt>
                <c:pt idx="17732">
                  <c:v>77.32</c:v>
                </c:pt>
                <c:pt idx="17733">
                  <c:v>77.33</c:v>
                </c:pt>
                <c:pt idx="17734">
                  <c:v>77.34</c:v>
                </c:pt>
                <c:pt idx="17735">
                  <c:v>77.35</c:v>
                </c:pt>
                <c:pt idx="17736">
                  <c:v>77.36</c:v>
                </c:pt>
                <c:pt idx="17737">
                  <c:v>77.37</c:v>
                </c:pt>
                <c:pt idx="17738">
                  <c:v>77.38</c:v>
                </c:pt>
                <c:pt idx="17739">
                  <c:v>77.39</c:v>
                </c:pt>
                <c:pt idx="17740">
                  <c:v>77.4</c:v>
                </c:pt>
                <c:pt idx="17741">
                  <c:v>77.41</c:v>
                </c:pt>
                <c:pt idx="17742">
                  <c:v>77.42</c:v>
                </c:pt>
                <c:pt idx="17743">
                  <c:v>77.43</c:v>
                </c:pt>
                <c:pt idx="17744">
                  <c:v>77.44</c:v>
                </c:pt>
                <c:pt idx="17745">
                  <c:v>77.45</c:v>
                </c:pt>
                <c:pt idx="17746">
                  <c:v>77.46</c:v>
                </c:pt>
                <c:pt idx="17747">
                  <c:v>77.47</c:v>
                </c:pt>
                <c:pt idx="17748">
                  <c:v>77.48</c:v>
                </c:pt>
                <c:pt idx="17749">
                  <c:v>77.49</c:v>
                </c:pt>
                <c:pt idx="17750">
                  <c:v>77.5</c:v>
                </c:pt>
                <c:pt idx="17751">
                  <c:v>77.51</c:v>
                </c:pt>
                <c:pt idx="17752">
                  <c:v>77.52</c:v>
                </c:pt>
                <c:pt idx="17753">
                  <c:v>77.53</c:v>
                </c:pt>
                <c:pt idx="17754">
                  <c:v>77.54</c:v>
                </c:pt>
                <c:pt idx="17755">
                  <c:v>77.55</c:v>
                </c:pt>
                <c:pt idx="17756">
                  <c:v>77.56</c:v>
                </c:pt>
                <c:pt idx="17757">
                  <c:v>77.57</c:v>
                </c:pt>
                <c:pt idx="17758">
                  <c:v>77.58</c:v>
                </c:pt>
                <c:pt idx="17759">
                  <c:v>77.59</c:v>
                </c:pt>
                <c:pt idx="17760">
                  <c:v>77.6</c:v>
                </c:pt>
                <c:pt idx="17761">
                  <c:v>77.61</c:v>
                </c:pt>
                <c:pt idx="17762">
                  <c:v>77.62</c:v>
                </c:pt>
                <c:pt idx="17763">
                  <c:v>77.63</c:v>
                </c:pt>
                <c:pt idx="17764">
                  <c:v>77.64</c:v>
                </c:pt>
                <c:pt idx="17765">
                  <c:v>77.65</c:v>
                </c:pt>
                <c:pt idx="17766">
                  <c:v>77.66</c:v>
                </c:pt>
                <c:pt idx="17767">
                  <c:v>77.67</c:v>
                </c:pt>
                <c:pt idx="17768">
                  <c:v>77.68</c:v>
                </c:pt>
                <c:pt idx="17769">
                  <c:v>77.69</c:v>
                </c:pt>
                <c:pt idx="17770">
                  <c:v>77.7</c:v>
                </c:pt>
                <c:pt idx="17771">
                  <c:v>77.71</c:v>
                </c:pt>
                <c:pt idx="17772">
                  <c:v>77.72</c:v>
                </c:pt>
                <c:pt idx="17773">
                  <c:v>77.73</c:v>
                </c:pt>
                <c:pt idx="17774">
                  <c:v>77.74</c:v>
                </c:pt>
                <c:pt idx="17775">
                  <c:v>77.75</c:v>
                </c:pt>
                <c:pt idx="17776">
                  <c:v>77.76</c:v>
                </c:pt>
                <c:pt idx="17777">
                  <c:v>77.77</c:v>
                </c:pt>
                <c:pt idx="17778">
                  <c:v>77.78</c:v>
                </c:pt>
                <c:pt idx="17779">
                  <c:v>77.79</c:v>
                </c:pt>
                <c:pt idx="17780">
                  <c:v>77.8</c:v>
                </c:pt>
                <c:pt idx="17781">
                  <c:v>77.81</c:v>
                </c:pt>
                <c:pt idx="17782">
                  <c:v>77.82</c:v>
                </c:pt>
                <c:pt idx="17783">
                  <c:v>77.83</c:v>
                </c:pt>
                <c:pt idx="17784">
                  <c:v>77.84</c:v>
                </c:pt>
                <c:pt idx="17785">
                  <c:v>77.85</c:v>
                </c:pt>
                <c:pt idx="17786">
                  <c:v>77.86</c:v>
                </c:pt>
                <c:pt idx="17787">
                  <c:v>77.87</c:v>
                </c:pt>
                <c:pt idx="17788">
                  <c:v>77.88</c:v>
                </c:pt>
                <c:pt idx="17789">
                  <c:v>77.89</c:v>
                </c:pt>
                <c:pt idx="17790">
                  <c:v>77.9</c:v>
                </c:pt>
                <c:pt idx="17791">
                  <c:v>77.91</c:v>
                </c:pt>
                <c:pt idx="17792">
                  <c:v>77.92</c:v>
                </c:pt>
                <c:pt idx="17793">
                  <c:v>77.93</c:v>
                </c:pt>
                <c:pt idx="17794">
                  <c:v>77.94</c:v>
                </c:pt>
                <c:pt idx="17795">
                  <c:v>77.95</c:v>
                </c:pt>
                <c:pt idx="17796">
                  <c:v>77.96</c:v>
                </c:pt>
                <c:pt idx="17797">
                  <c:v>77.97</c:v>
                </c:pt>
                <c:pt idx="17798">
                  <c:v>77.98</c:v>
                </c:pt>
                <c:pt idx="17799">
                  <c:v>77.99</c:v>
                </c:pt>
                <c:pt idx="17800">
                  <c:v>78.0</c:v>
                </c:pt>
                <c:pt idx="17801">
                  <c:v>78.01</c:v>
                </c:pt>
                <c:pt idx="17802">
                  <c:v>78.02</c:v>
                </c:pt>
                <c:pt idx="17803">
                  <c:v>78.03</c:v>
                </c:pt>
                <c:pt idx="17804">
                  <c:v>78.04</c:v>
                </c:pt>
                <c:pt idx="17805">
                  <c:v>78.05</c:v>
                </c:pt>
                <c:pt idx="17806">
                  <c:v>78.06</c:v>
                </c:pt>
                <c:pt idx="17807">
                  <c:v>78.07</c:v>
                </c:pt>
                <c:pt idx="17808">
                  <c:v>78.08</c:v>
                </c:pt>
                <c:pt idx="17809">
                  <c:v>78.09</c:v>
                </c:pt>
                <c:pt idx="17810">
                  <c:v>78.1</c:v>
                </c:pt>
                <c:pt idx="17811">
                  <c:v>78.11</c:v>
                </c:pt>
                <c:pt idx="17812">
                  <c:v>78.12</c:v>
                </c:pt>
                <c:pt idx="17813">
                  <c:v>78.13</c:v>
                </c:pt>
                <c:pt idx="17814">
                  <c:v>78.14</c:v>
                </c:pt>
                <c:pt idx="17815">
                  <c:v>78.15</c:v>
                </c:pt>
                <c:pt idx="17816">
                  <c:v>78.16</c:v>
                </c:pt>
                <c:pt idx="17817">
                  <c:v>78.17</c:v>
                </c:pt>
                <c:pt idx="17818">
                  <c:v>78.18</c:v>
                </c:pt>
                <c:pt idx="17819">
                  <c:v>78.19</c:v>
                </c:pt>
                <c:pt idx="17820">
                  <c:v>78.2</c:v>
                </c:pt>
                <c:pt idx="17821">
                  <c:v>78.21</c:v>
                </c:pt>
                <c:pt idx="17822">
                  <c:v>78.22</c:v>
                </c:pt>
                <c:pt idx="17823">
                  <c:v>78.23</c:v>
                </c:pt>
                <c:pt idx="17824">
                  <c:v>78.24</c:v>
                </c:pt>
                <c:pt idx="17825">
                  <c:v>78.25</c:v>
                </c:pt>
                <c:pt idx="17826">
                  <c:v>78.26</c:v>
                </c:pt>
                <c:pt idx="17827">
                  <c:v>78.27</c:v>
                </c:pt>
                <c:pt idx="17828">
                  <c:v>78.28</c:v>
                </c:pt>
                <c:pt idx="17829">
                  <c:v>78.29</c:v>
                </c:pt>
                <c:pt idx="17830">
                  <c:v>78.3</c:v>
                </c:pt>
                <c:pt idx="17831">
                  <c:v>78.31</c:v>
                </c:pt>
                <c:pt idx="17832">
                  <c:v>78.32</c:v>
                </c:pt>
                <c:pt idx="17833">
                  <c:v>78.33</c:v>
                </c:pt>
                <c:pt idx="17834">
                  <c:v>78.34</c:v>
                </c:pt>
                <c:pt idx="17835">
                  <c:v>78.35</c:v>
                </c:pt>
                <c:pt idx="17836">
                  <c:v>78.36</c:v>
                </c:pt>
                <c:pt idx="17837">
                  <c:v>78.37</c:v>
                </c:pt>
                <c:pt idx="17838">
                  <c:v>78.38</c:v>
                </c:pt>
                <c:pt idx="17839">
                  <c:v>78.39</c:v>
                </c:pt>
                <c:pt idx="17840">
                  <c:v>78.4</c:v>
                </c:pt>
                <c:pt idx="17841">
                  <c:v>78.41</c:v>
                </c:pt>
                <c:pt idx="17842">
                  <c:v>78.42</c:v>
                </c:pt>
                <c:pt idx="17843">
                  <c:v>78.43</c:v>
                </c:pt>
                <c:pt idx="17844">
                  <c:v>78.44</c:v>
                </c:pt>
                <c:pt idx="17845">
                  <c:v>78.45</c:v>
                </c:pt>
                <c:pt idx="17846">
                  <c:v>78.46</c:v>
                </c:pt>
                <c:pt idx="17847">
                  <c:v>78.47</c:v>
                </c:pt>
                <c:pt idx="17848">
                  <c:v>78.48</c:v>
                </c:pt>
                <c:pt idx="17849">
                  <c:v>78.49</c:v>
                </c:pt>
                <c:pt idx="17850">
                  <c:v>78.5</c:v>
                </c:pt>
                <c:pt idx="17851">
                  <c:v>78.51</c:v>
                </c:pt>
                <c:pt idx="17852">
                  <c:v>78.52</c:v>
                </c:pt>
                <c:pt idx="17853">
                  <c:v>78.53</c:v>
                </c:pt>
                <c:pt idx="17854">
                  <c:v>78.54</c:v>
                </c:pt>
                <c:pt idx="17855">
                  <c:v>78.55</c:v>
                </c:pt>
                <c:pt idx="17856">
                  <c:v>78.56</c:v>
                </c:pt>
                <c:pt idx="17857">
                  <c:v>78.57</c:v>
                </c:pt>
                <c:pt idx="17858">
                  <c:v>78.58</c:v>
                </c:pt>
                <c:pt idx="17859">
                  <c:v>78.59</c:v>
                </c:pt>
                <c:pt idx="17860">
                  <c:v>78.6</c:v>
                </c:pt>
                <c:pt idx="17861">
                  <c:v>78.61</c:v>
                </c:pt>
                <c:pt idx="17862">
                  <c:v>78.62</c:v>
                </c:pt>
                <c:pt idx="17863">
                  <c:v>78.63</c:v>
                </c:pt>
                <c:pt idx="17864">
                  <c:v>78.64</c:v>
                </c:pt>
                <c:pt idx="17865">
                  <c:v>78.65</c:v>
                </c:pt>
                <c:pt idx="17866">
                  <c:v>78.66</c:v>
                </c:pt>
                <c:pt idx="17867">
                  <c:v>78.67</c:v>
                </c:pt>
                <c:pt idx="17868">
                  <c:v>78.68</c:v>
                </c:pt>
                <c:pt idx="17869">
                  <c:v>78.69</c:v>
                </c:pt>
                <c:pt idx="17870">
                  <c:v>78.7</c:v>
                </c:pt>
                <c:pt idx="17871">
                  <c:v>78.71</c:v>
                </c:pt>
                <c:pt idx="17872">
                  <c:v>78.72</c:v>
                </c:pt>
                <c:pt idx="17873">
                  <c:v>78.73</c:v>
                </c:pt>
                <c:pt idx="17874">
                  <c:v>78.74</c:v>
                </c:pt>
                <c:pt idx="17875">
                  <c:v>78.75</c:v>
                </c:pt>
                <c:pt idx="17876">
                  <c:v>78.76</c:v>
                </c:pt>
                <c:pt idx="17877">
                  <c:v>78.77</c:v>
                </c:pt>
                <c:pt idx="17878">
                  <c:v>78.78</c:v>
                </c:pt>
                <c:pt idx="17879">
                  <c:v>78.79</c:v>
                </c:pt>
                <c:pt idx="17880">
                  <c:v>78.8</c:v>
                </c:pt>
                <c:pt idx="17881">
                  <c:v>78.81</c:v>
                </c:pt>
                <c:pt idx="17882">
                  <c:v>78.82</c:v>
                </c:pt>
                <c:pt idx="17883">
                  <c:v>78.83</c:v>
                </c:pt>
                <c:pt idx="17884">
                  <c:v>78.84</c:v>
                </c:pt>
                <c:pt idx="17885">
                  <c:v>78.85</c:v>
                </c:pt>
                <c:pt idx="17886">
                  <c:v>78.86</c:v>
                </c:pt>
                <c:pt idx="17887">
                  <c:v>78.87</c:v>
                </c:pt>
                <c:pt idx="17888">
                  <c:v>78.88</c:v>
                </c:pt>
                <c:pt idx="17889">
                  <c:v>78.89</c:v>
                </c:pt>
                <c:pt idx="17890">
                  <c:v>78.9</c:v>
                </c:pt>
                <c:pt idx="17891">
                  <c:v>78.91</c:v>
                </c:pt>
                <c:pt idx="17892">
                  <c:v>78.92</c:v>
                </c:pt>
                <c:pt idx="17893">
                  <c:v>78.93</c:v>
                </c:pt>
                <c:pt idx="17894">
                  <c:v>78.94</c:v>
                </c:pt>
                <c:pt idx="17895">
                  <c:v>78.95</c:v>
                </c:pt>
                <c:pt idx="17896">
                  <c:v>78.96</c:v>
                </c:pt>
                <c:pt idx="17897">
                  <c:v>78.97</c:v>
                </c:pt>
                <c:pt idx="17898">
                  <c:v>78.98</c:v>
                </c:pt>
                <c:pt idx="17899">
                  <c:v>78.99</c:v>
                </c:pt>
                <c:pt idx="17900">
                  <c:v>79.0</c:v>
                </c:pt>
                <c:pt idx="17901">
                  <c:v>79.01</c:v>
                </c:pt>
                <c:pt idx="17902">
                  <c:v>79.02</c:v>
                </c:pt>
                <c:pt idx="17903">
                  <c:v>79.03</c:v>
                </c:pt>
                <c:pt idx="17904">
                  <c:v>79.04</c:v>
                </c:pt>
                <c:pt idx="17905">
                  <c:v>79.05</c:v>
                </c:pt>
                <c:pt idx="17906">
                  <c:v>79.06</c:v>
                </c:pt>
                <c:pt idx="17907">
                  <c:v>79.07</c:v>
                </c:pt>
                <c:pt idx="17908">
                  <c:v>79.08</c:v>
                </c:pt>
                <c:pt idx="17909">
                  <c:v>79.09</c:v>
                </c:pt>
                <c:pt idx="17910">
                  <c:v>79.1</c:v>
                </c:pt>
                <c:pt idx="17911">
                  <c:v>79.11</c:v>
                </c:pt>
                <c:pt idx="17912">
                  <c:v>79.12</c:v>
                </c:pt>
                <c:pt idx="17913">
                  <c:v>79.13</c:v>
                </c:pt>
                <c:pt idx="17914">
                  <c:v>79.14</c:v>
                </c:pt>
                <c:pt idx="17915">
                  <c:v>79.15</c:v>
                </c:pt>
                <c:pt idx="17916">
                  <c:v>79.16</c:v>
                </c:pt>
                <c:pt idx="17917">
                  <c:v>79.17</c:v>
                </c:pt>
                <c:pt idx="17918">
                  <c:v>79.18</c:v>
                </c:pt>
                <c:pt idx="17919">
                  <c:v>79.19</c:v>
                </c:pt>
                <c:pt idx="17920">
                  <c:v>79.2</c:v>
                </c:pt>
                <c:pt idx="17921">
                  <c:v>79.21</c:v>
                </c:pt>
                <c:pt idx="17922">
                  <c:v>79.22</c:v>
                </c:pt>
                <c:pt idx="17923">
                  <c:v>79.23</c:v>
                </c:pt>
                <c:pt idx="17924">
                  <c:v>79.24</c:v>
                </c:pt>
                <c:pt idx="17925">
                  <c:v>79.25</c:v>
                </c:pt>
                <c:pt idx="17926">
                  <c:v>79.26</c:v>
                </c:pt>
                <c:pt idx="17927">
                  <c:v>79.27</c:v>
                </c:pt>
                <c:pt idx="17928">
                  <c:v>79.28</c:v>
                </c:pt>
                <c:pt idx="17929">
                  <c:v>79.29</c:v>
                </c:pt>
                <c:pt idx="17930">
                  <c:v>79.3</c:v>
                </c:pt>
                <c:pt idx="17931">
                  <c:v>79.31</c:v>
                </c:pt>
                <c:pt idx="17932">
                  <c:v>79.32</c:v>
                </c:pt>
                <c:pt idx="17933">
                  <c:v>79.33</c:v>
                </c:pt>
                <c:pt idx="17934">
                  <c:v>79.34</c:v>
                </c:pt>
                <c:pt idx="17935">
                  <c:v>79.35</c:v>
                </c:pt>
                <c:pt idx="17936">
                  <c:v>79.36</c:v>
                </c:pt>
                <c:pt idx="17937">
                  <c:v>79.37</c:v>
                </c:pt>
                <c:pt idx="17938">
                  <c:v>79.38</c:v>
                </c:pt>
                <c:pt idx="17939">
                  <c:v>79.39</c:v>
                </c:pt>
                <c:pt idx="17940">
                  <c:v>79.4</c:v>
                </c:pt>
                <c:pt idx="17941">
                  <c:v>79.41</c:v>
                </c:pt>
                <c:pt idx="17942">
                  <c:v>79.42</c:v>
                </c:pt>
                <c:pt idx="17943">
                  <c:v>79.43</c:v>
                </c:pt>
                <c:pt idx="17944">
                  <c:v>79.44</c:v>
                </c:pt>
                <c:pt idx="17945">
                  <c:v>79.45</c:v>
                </c:pt>
                <c:pt idx="17946">
                  <c:v>79.46</c:v>
                </c:pt>
                <c:pt idx="17947">
                  <c:v>79.47</c:v>
                </c:pt>
                <c:pt idx="17948">
                  <c:v>79.48</c:v>
                </c:pt>
                <c:pt idx="17949">
                  <c:v>79.49</c:v>
                </c:pt>
                <c:pt idx="17950">
                  <c:v>79.5</c:v>
                </c:pt>
                <c:pt idx="17951">
                  <c:v>79.51</c:v>
                </c:pt>
                <c:pt idx="17952">
                  <c:v>79.52</c:v>
                </c:pt>
                <c:pt idx="17953">
                  <c:v>79.53</c:v>
                </c:pt>
                <c:pt idx="17954">
                  <c:v>79.54</c:v>
                </c:pt>
                <c:pt idx="17955">
                  <c:v>79.55</c:v>
                </c:pt>
                <c:pt idx="17956">
                  <c:v>79.56</c:v>
                </c:pt>
                <c:pt idx="17957">
                  <c:v>79.57</c:v>
                </c:pt>
                <c:pt idx="17958">
                  <c:v>79.58</c:v>
                </c:pt>
                <c:pt idx="17959">
                  <c:v>79.59</c:v>
                </c:pt>
                <c:pt idx="17960">
                  <c:v>79.6</c:v>
                </c:pt>
                <c:pt idx="17961">
                  <c:v>79.61</c:v>
                </c:pt>
                <c:pt idx="17962">
                  <c:v>79.62</c:v>
                </c:pt>
                <c:pt idx="17963">
                  <c:v>79.63</c:v>
                </c:pt>
                <c:pt idx="17964">
                  <c:v>79.64</c:v>
                </c:pt>
                <c:pt idx="17965">
                  <c:v>79.65</c:v>
                </c:pt>
                <c:pt idx="17966">
                  <c:v>79.66</c:v>
                </c:pt>
                <c:pt idx="17967">
                  <c:v>79.67</c:v>
                </c:pt>
                <c:pt idx="17968">
                  <c:v>79.68</c:v>
                </c:pt>
                <c:pt idx="17969">
                  <c:v>79.69</c:v>
                </c:pt>
                <c:pt idx="17970">
                  <c:v>79.7</c:v>
                </c:pt>
                <c:pt idx="17971">
                  <c:v>79.71</c:v>
                </c:pt>
                <c:pt idx="17972">
                  <c:v>79.72</c:v>
                </c:pt>
                <c:pt idx="17973">
                  <c:v>79.73</c:v>
                </c:pt>
                <c:pt idx="17974">
                  <c:v>79.74</c:v>
                </c:pt>
                <c:pt idx="17975">
                  <c:v>79.75</c:v>
                </c:pt>
                <c:pt idx="17976">
                  <c:v>79.76</c:v>
                </c:pt>
                <c:pt idx="17977">
                  <c:v>79.77</c:v>
                </c:pt>
                <c:pt idx="17978">
                  <c:v>79.78</c:v>
                </c:pt>
                <c:pt idx="17979">
                  <c:v>79.79</c:v>
                </c:pt>
                <c:pt idx="17980">
                  <c:v>79.8</c:v>
                </c:pt>
                <c:pt idx="17981">
                  <c:v>79.81</c:v>
                </c:pt>
                <c:pt idx="17982">
                  <c:v>79.82</c:v>
                </c:pt>
                <c:pt idx="17983">
                  <c:v>79.83</c:v>
                </c:pt>
                <c:pt idx="17984">
                  <c:v>79.84</c:v>
                </c:pt>
                <c:pt idx="17985">
                  <c:v>79.85</c:v>
                </c:pt>
                <c:pt idx="17986">
                  <c:v>79.86</c:v>
                </c:pt>
                <c:pt idx="17987">
                  <c:v>79.87</c:v>
                </c:pt>
                <c:pt idx="17988">
                  <c:v>79.88</c:v>
                </c:pt>
                <c:pt idx="17989">
                  <c:v>79.89</c:v>
                </c:pt>
                <c:pt idx="17990">
                  <c:v>79.9</c:v>
                </c:pt>
                <c:pt idx="17991">
                  <c:v>79.91</c:v>
                </c:pt>
                <c:pt idx="17992">
                  <c:v>79.92</c:v>
                </c:pt>
                <c:pt idx="17993">
                  <c:v>79.93</c:v>
                </c:pt>
                <c:pt idx="17994">
                  <c:v>79.94</c:v>
                </c:pt>
                <c:pt idx="17995">
                  <c:v>79.95</c:v>
                </c:pt>
                <c:pt idx="17996">
                  <c:v>79.96</c:v>
                </c:pt>
                <c:pt idx="17997">
                  <c:v>79.97</c:v>
                </c:pt>
                <c:pt idx="17998">
                  <c:v>79.98</c:v>
                </c:pt>
                <c:pt idx="17999">
                  <c:v>79.99</c:v>
                </c:pt>
                <c:pt idx="18000">
                  <c:v>80.0</c:v>
                </c:pt>
                <c:pt idx="18001">
                  <c:v>80.01</c:v>
                </c:pt>
                <c:pt idx="18002">
                  <c:v>80.02</c:v>
                </c:pt>
                <c:pt idx="18003">
                  <c:v>80.03</c:v>
                </c:pt>
                <c:pt idx="18004">
                  <c:v>80.04</c:v>
                </c:pt>
                <c:pt idx="18005">
                  <c:v>80.05</c:v>
                </c:pt>
                <c:pt idx="18006">
                  <c:v>80.06</c:v>
                </c:pt>
                <c:pt idx="18007">
                  <c:v>80.07</c:v>
                </c:pt>
                <c:pt idx="18008">
                  <c:v>80.08</c:v>
                </c:pt>
                <c:pt idx="18009">
                  <c:v>80.09</c:v>
                </c:pt>
                <c:pt idx="18010">
                  <c:v>80.1</c:v>
                </c:pt>
                <c:pt idx="18011">
                  <c:v>80.11</c:v>
                </c:pt>
                <c:pt idx="18012">
                  <c:v>80.12</c:v>
                </c:pt>
                <c:pt idx="18013">
                  <c:v>80.13</c:v>
                </c:pt>
                <c:pt idx="18014">
                  <c:v>80.14</c:v>
                </c:pt>
                <c:pt idx="18015">
                  <c:v>80.15</c:v>
                </c:pt>
                <c:pt idx="18016">
                  <c:v>80.16</c:v>
                </c:pt>
                <c:pt idx="18017">
                  <c:v>80.17</c:v>
                </c:pt>
                <c:pt idx="18018">
                  <c:v>80.18</c:v>
                </c:pt>
                <c:pt idx="18019">
                  <c:v>80.19</c:v>
                </c:pt>
                <c:pt idx="18020">
                  <c:v>80.2</c:v>
                </c:pt>
                <c:pt idx="18021">
                  <c:v>80.21</c:v>
                </c:pt>
                <c:pt idx="18022">
                  <c:v>80.22</c:v>
                </c:pt>
                <c:pt idx="18023">
                  <c:v>80.23</c:v>
                </c:pt>
                <c:pt idx="18024">
                  <c:v>80.24</c:v>
                </c:pt>
                <c:pt idx="18025">
                  <c:v>80.25</c:v>
                </c:pt>
                <c:pt idx="18026">
                  <c:v>80.26</c:v>
                </c:pt>
                <c:pt idx="18027">
                  <c:v>80.27</c:v>
                </c:pt>
                <c:pt idx="18028">
                  <c:v>80.28</c:v>
                </c:pt>
                <c:pt idx="18029">
                  <c:v>80.29</c:v>
                </c:pt>
                <c:pt idx="18030">
                  <c:v>80.3</c:v>
                </c:pt>
                <c:pt idx="18031">
                  <c:v>80.31</c:v>
                </c:pt>
                <c:pt idx="18032">
                  <c:v>80.32</c:v>
                </c:pt>
                <c:pt idx="18033">
                  <c:v>80.33</c:v>
                </c:pt>
                <c:pt idx="18034">
                  <c:v>80.34</c:v>
                </c:pt>
                <c:pt idx="18035">
                  <c:v>80.35</c:v>
                </c:pt>
                <c:pt idx="18036">
                  <c:v>80.36</c:v>
                </c:pt>
                <c:pt idx="18037">
                  <c:v>80.37</c:v>
                </c:pt>
                <c:pt idx="18038">
                  <c:v>80.38</c:v>
                </c:pt>
                <c:pt idx="18039">
                  <c:v>80.39</c:v>
                </c:pt>
                <c:pt idx="18040">
                  <c:v>80.4</c:v>
                </c:pt>
                <c:pt idx="18041">
                  <c:v>80.41</c:v>
                </c:pt>
                <c:pt idx="18042">
                  <c:v>80.42</c:v>
                </c:pt>
                <c:pt idx="18043">
                  <c:v>80.43</c:v>
                </c:pt>
                <c:pt idx="18044">
                  <c:v>80.44</c:v>
                </c:pt>
                <c:pt idx="18045">
                  <c:v>80.45</c:v>
                </c:pt>
                <c:pt idx="18046">
                  <c:v>80.46</c:v>
                </c:pt>
                <c:pt idx="18047">
                  <c:v>80.47</c:v>
                </c:pt>
                <c:pt idx="18048">
                  <c:v>80.48</c:v>
                </c:pt>
                <c:pt idx="18049">
                  <c:v>80.49</c:v>
                </c:pt>
                <c:pt idx="18050">
                  <c:v>80.5</c:v>
                </c:pt>
                <c:pt idx="18051">
                  <c:v>80.51</c:v>
                </c:pt>
                <c:pt idx="18052">
                  <c:v>80.52</c:v>
                </c:pt>
                <c:pt idx="18053">
                  <c:v>80.53</c:v>
                </c:pt>
                <c:pt idx="18054">
                  <c:v>80.54</c:v>
                </c:pt>
                <c:pt idx="18055">
                  <c:v>80.55</c:v>
                </c:pt>
                <c:pt idx="18056">
                  <c:v>80.56</c:v>
                </c:pt>
                <c:pt idx="18057">
                  <c:v>80.57</c:v>
                </c:pt>
                <c:pt idx="18058">
                  <c:v>80.58</c:v>
                </c:pt>
                <c:pt idx="18059">
                  <c:v>80.59</c:v>
                </c:pt>
                <c:pt idx="18060">
                  <c:v>80.6</c:v>
                </c:pt>
                <c:pt idx="18061">
                  <c:v>80.61</c:v>
                </c:pt>
                <c:pt idx="18062">
                  <c:v>80.62</c:v>
                </c:pt>
                <c:pt idx="18063">
                  <c:v>80.63</c:v>
                </c:pt>
                <c:pt idx="18064">
                  <c:v>80.64</c:v>
                </c:pt>
                <c:pt idx="18065">
                  <c:v>80.65</c:v>
                </c:pt>
                <c:pt idx="18066">
                  <c:v>80.66</c:v>
                </c:pt>
                <c:pt idx="18067">
                  <c:v>80.67</c:v>
                </c:pt>
                <c:pt idx="18068">
                  <c:v>80.68</c:v>
                </c:pt>
                <c:pt idx="18069">
                  <c:v>80.69</c:v>
                </c:pt>
                <c:pt idx="18070">
                  <c:v>80.7</c:v>
                </c:pt>
                <c:pt idx="18071">
                  <c:v>80.71</c:v>
                </c:pt>
                <c:pt idx="18072">
                  <c:v>80.72</c:v>
                </c:pt>
                <c:pt idx="18073">
                  <c:v>80.73</c:v>
                </c:pt>
                <c:pt idx="18074">
                  <c:v>80.74</c:v>
                </c:pt>
                <c:pt idx="18075">
                  <c:v>80.75</c:v>
                </c:pt>
                <c:pt idx="18076">
                  <c:v>80.76</c:v>
                </c:pt>
                <c:pt idx="18077">
                  <c:v>80.77</c:v>
                </c:pt>
                <c:pt idx="18078">
                  <c:v>80.78</c:v>
                </c:pt>
                <c:pt idx="18079">
                  <c:v>80.79</c:v>
                </c:pt>
                <c:pt idx="18080">
                  <c:v>80.8</c:v>
                </c:pt>
                <c:pt idx="18081">
                  <c:v>80.81</c:v>
                </c:pt>
                <c:pt idx="18082">
                  <c:v>80.82</c:v>
                </c:pt>
                <c:pt idx="18083">
                  <c:v>80.83</c:v>
                </c:pt>
                <c:pt idx="18084">
                  <c:v>80.84</c:v>
                </c:pt>
                <c:pt idx="18085">
                  <c:v>80.85</c:v>
                </c:pt>
                <c:pt idx="18086">
                  <c:v>80.86</c:v>
                </c:pt>
                <c:pt idx="18087">
                  <c:v>80.87</c:v>
                </c:pt>
                <c:pt idx="18088">
                  <c:v>80.88</c:v>
                </c:pt>
                <c:pt idx="18089">
                  <c:v>80.89</c:v>
                </c:pt>
                <c:pt idx="18090">
                  <c:v>80.9</c:v>
                </c:pt>
                <c:pt idx="18091">
                  <c:v>80.91</c:v>
                </c:pt>
                <c:pt idx="18092">
                  <c:v>80.92</c:v>
                </c:pt>
                <c:pt idx="18093">
                  <c:v>80.93</c:v>
                </c:pt>
                <c:pt idx="18094">
                  <c:v>80.94</c:v>
                </c:pt>
                <c:pt idx="18095">
                  <c:v>80.95</c:v>
                </c:pt>
                <c:pt idx="18096">
                  <c:v>80.96</c:v>
                </c:pt>
                <c:pt idx="18097">
                  <c:v>80.97</c:v>
                </c:pt>
                <c:pt idx="18098">
                  <c:v>80.98</c:v>
                </c:pt>
                <c:pt idx="18099">
                  <c:v>80.99</c:v>
                </c:pt>
                <c:pt idx="18100">
                  <c:v>81.0</c:v>
                </c:pt>
                <c:pt idx="18101">
                  <c:v>81.01</c:v>
                </c:pt>
                <c:pt idx="18102">
                  <c:v>81.02</c:v>
                </c:pt>
                <c:pt idx="18103">
                  <c:v>81.03</c:v>
                </c:pt>
                <c:pt idx="18104">
                  <c:v>81.04</c:v>
                </c:pt>
                <c:pt idx="18105">
                  <c:v>81.05</c:v>
                </c:pt>
                <c:pt idx="18106">
                  <c:v>81.06</c:v>
                </c:pt>
                <c:pt idx="18107">
                  <c:v>81.07</c:v>
                </c:pt>
                <c:pt idx="18108">
                  <c:v>81.08</c:v>
                </c:pt>
                <c:pt idx="18109">
                  <c:v>81.09</c:v>
                </c:pt>
                <c:pt idx="18110">
                  <c:v>81.1</c:v>
                </c:pt>
                <c:pt idx="18111">
                  <c:v>81.11</c:v>
                </c:pt>
                <c:pt idx="18112">
                  <c:v>81.12</c:v>
                </c:pt>
                <c:pt idx="18113">
                  <c:v>81.13</c:v>
                </c:pt>
                <c:pt idx="18114">
                  <c:v>81.14</c:v>
                </c:pt>
                <c:pt idx="18115">
                  <c:v>81.15</c:v>
                </c:pt>
                <c:pt idx="18116">
                  <c:v>81.16</c:v>
                </c:pt>
                <c:pt idx="18117">
                  <c:v>81.17</c:v>
                </c:pt>
                <c:pt idx="18118">
                  <c:v>81.18</c:v>
                </c:pt>
                <c:pt idx="18119">
                  <c:v>81.19</c:v>
                </c:pt>
                <c:pt idx="18120">
                  <c:v>81.2</c:v>
                </c:pt>
                <c:pt idx="18121">
                  <c:v>81.21</c:v>
                </c:pt>
                <c:pt idx="18122">
                  <c:v>81.22</c:v>
                </c:pt>
                <c:pt idx="18123">
                  <c:v>81.23</c:v>
                </c:pt>
                <c:pt idx="18124">
                  <c:v>81.24</c:v>
                </c:pt>
                <c:pt idx="18125">
                  <c:v>81.25</c:v>
                </c:pt>
                <c:pt idx="18126">
                  <c:v>81.26</c:v>
                </c:pt>
                <c:pt idx="18127">
                  <c:v>81.27</c:v>
                </c:pt>
                <c:pt idx="18128">
                  <c:v>81.28</c:v>
                </c:pt>
                <c:pt idx="18129">
                  <c:v>81.29</c:v>
                </c:pt>
                <c:pt idx="18130">
                  <c:v>81.3</c:v>
                </c:pt>
                <c:pt idx="18131">
                  <c:v>81.31</c:v>
                </c:pt>
                <c:pt idx="18132">
                  <c:v>81.32</c:v>
                </c:pt>
                <c:pt idx="18133">
                  <c:v>81.33</c:v>
                </c:pt>
                <c:pt idx="18134">
                  <c:v>81.34</c:v>
                </c:pt>
                <c:pt idx="18135">
                  <c:v>81.35</c:v>
                </c:pt>
                <c:pt idx="18136">
                  <c:v>81.36</c:v>
                </c:pt>
                <c:pt idx="18137">
                  <c:v>81.37</c:v>
                </c:pt>
                <c:pt idx="18138">
                  <c:v>81.38</c:v>
                </c:pt>
                <c:pt idx="18139">
                  <c:v>81.39</c:v>
                </c:pt>
                <c:pt idx="18140">
                  <c:v>81.4</c:v>
                </c:pt>
                <c:pt idx="18141">
                  <c:v>81.41</c:v>
                </c:pt>
                <c:pt idx="18142">
                  <c:v>81.42</c:v>
                </c:pt>
                <c:pt idx="18143">
                  <c:v>81.43</c:v>
                </c:pt>
                <c:pt idx="18144">
                  <c:v>81.44</c:v>
                </c:pt>
                <c:pt idx="18145">
                  <c:v>81.45</c:v>
                </c:pt>
                <c:pt idx="18146">
                  <c:v>81.46</c:v>
                </c:pt>
                <c:pt idx="18147">
                  <c:v>81.47</c:v>
                </c:pt>
                <c:pt idx="18148">
                  <c:v>81.48</c:v>
                </c:pt>
                <c:pt idx="18149">
                  <c:v>81.49</c:v>
                </c:pt>
                <c:pt idx="18150">
                  <c:v>81.5</c:v>
                </c:pt>
                <c:pt idx="18151">
                  <c:v>81.51</c:v>
                </c:pt>
                <c:pt idx="18152">
                  <c:v>81.52</c:v>
                </c:pt>
                <c:pt idx="18153">
                  <c:v>81.53</c:v>
                </c:pt>
                <c:pt idx="18154">
                  <c:v>81.54</c:v>
                </c:pt>
                <c:pt idx="18155">
                  <c:v>81.55</c:v>
                </c:pt>
                <c:pt idx="18156">
                  <c:v>81.56</c:v>
                </c:pt>
                <c:pt idx="18157">
                  <c:v>81.57</c:v>
                </c:pt>
                <c:pt idx="18158">
                  <c:v>81.58</c:v>
                </c:pt>
                <c:pt idx="18159">
                  <c:v>81.59</c:v>
                </c:pt>
                <c:pt idx="18160">
                  <c:v>81.6</c:v>
                </c:pt>
                <c:pt idx="18161">
                  <c:v>81.61</c:v>
                </c:pt>
                <c:pt idx="18162">
                  <c:v>81.62</c:v>
                </c:pt>
                <c:pt idx="18163">
                  <c:v>81.63</c:v>
                </c:pt>
                <c:pt idx="18164">
                  <c:v>81.64</c:v>
                </c:pt>
                <c:pt idx="18165">
                  <c:v>81.65</c:v>
                </c:pt>
                <c:pt idx="18166">
                  <c:v>81.66</c:v>
                </c:pt>
                <c:pt idx="18167">
                  <c:v>81.67</c:v>
                </c:pt>
                <c:pt idx="18168">
                  <c:v>81.68</c:v>
                </c:pt>
                <c:pt idx="18169">
                  <c:v>81.69</c:v>
                </c:pt>
                <c:pt idx="18170">
                  <c:v>81.7</c:v>
                </c:pt>
                <c:pt idx="18171">
                  <c:v>81.71</c:v>
                </c:pt>
                <c:pt idx="18172">
                  <c:v>81.72</c:v>
                </c:pt>
                <c:pt idx="18173">
                  <c:v>81.73</c:v>
                </c:pt>
                <c:pt idx="18174">
                  <c:v>81.74</c:v>
                </c:pt>
                <c:pt idx="18175">
                  <c:v>81.75</c:v>
                </c:pt>
                <c:pt idx="18176">
                  <c:v>81.76</c:v>
                </c:pt>
                <c:pt idx="18177">
                  <c:v>81.77</c:v>
                </c:pt>
                <c:pt idx="18178">
                  <c:v>81.78</c:v>
                </c:pt>
                <c:pt idx="18179">
                  <c:v>81.79</c:v>
                </c:pt>
                <c:pt idx="18180">
                  <c:v>81.8</c:v>
                </c:pt>
                <c:pt idx="18181">
                  <c:v>81.81</c:v>
                </c:pt>
                <c:pt idx="18182">
                  <c:v>81.82</c:v>
                </c:pt>
                <c:pt idx="18183">
                  <c:v>81.83</c:v>
                </c:pt>
                <c:pt idx="18184">
                  <c:v>81.84</c:v>
                </c:pt>
                <c:pt idx="18185">
                  <c:v>81.85</c:v>
                </c:pt>
                <c:pt idx="18186">
                  <c:v>81.86</c:v>
                </c:pt>
                <c:pt idx="18187">
                  <c:v>81.87</c:v>
                </c:pt>
                <c:pt idx="18188">
                  <c:v>81.88</c:v>
                </c:pt>
                <c:pt idx="18189">
                  <c:v>81.89</c:v>
                </c:pt>
                <c:pt idx="18190">
                  <c:v>81.9</c:v>
                </c:pt>
                <c:pt idx="18191">
                  <c:v>81.91</c:v>
                </c:pt>
                <c:pt idx="18192">
                  <c:v>81.92</c:v>
                </c:pt>
                <c:pt idx="18193">
                  <c:v>81.93</c:v>
                </c:pt>
                <c:pt idx="18194">
                  <c:v>81.94</c:v>
                </c:pt>
                <c:pt idx="18195">
                  <c:v>81.95</c:v>
                </c:pt>
                <c:pt idx="18196">
                  <c:v>81.96</c:v>
                </c:pt>
                <c:pt idx="18197">
                  <c:v>81.97</c:v>
                </c:pt>
                <c:pt idx="18198">
                  <c:v>81.98</c:v>
                </c:pt>
                <c:pt idx="18199">
                  <c:v>81.99</c:v>
                </c:pt>
                <c:pt idx="18200">
                  <c:v>82.0</c:v>
                </c:pt>
                <c:pt idx="18201">
                  <c:v>82.01</c:v>
                </c:pt>
                <c:pt idx="18202">
                  <c:v>82.02</c:v>
                </c:pt>
                <c:pt idx="18203">
                  <c:v>82.03</c:v>
                </c:pt>
                <c:pt idx="18204">
                  <c:v>82.04</c:v>
                </c:pt>
                <c:pt idx="18205">
                  <c:v>82.05</c:v>
                </c:pt>
                <c:pt idx="18206">
                  <c:v>82.06</c:v>
                </c:pt>
                <c:pt idx="18207">
                  <c:v>82.07</c:v>
                </c:pt>
                <c:pt idx="18208">
                  <c:v>82.08</c:v>
                </c:pt>
                <c:pt idx="18209">
                  <c:v>82.09</c:v>
                </c:pt>
                <c:pt idx="18210">
                  <c:v>82.1</c:v>
                </c:pt>
                <c:pt idx="18211">
                  <c:v>82.11</c:v>
                </c:pt>
                <c:pt idx="18212">
                  <c:v>82.12</c:v>
                </c:pt>
                <c:pt idx="18213">
                  <c:v>82.13</c:v>
                </c:pt>
                <c:pt idx="18214">
                  <c:v>82.14</c:v>
                </c:pt>
                <c:pt idx="18215">
                  <c:v>82.15</c:v>
                </c:pt>
                <c:pt idx="18216">
                  <c:v>82.16</c:v>
                </c:pt>
                <c:pt idx="18217">
                  <c:v>82.17</c:v>
                </c:pt>
                <c:pt idx="18218">
                  <c:v>82.18</c:v>
                </c:pt>
                <c:pt idx="18219">
                  <c:v>82.19</c:v>
                </c:pt>
                <c:pt idx="18220">
                  <c:v>82.2</c:v>
                </c:pt>
                <c:pt idx="18221">
                  <c:v>82.21</c:v>
                </c:pt>
                <c:pt idx="18222">
                  <c:v>82.22</c:v>
                </c:pt>
                <c:pt idx="18223">
                  <c:v>82.23</c:v>
                </c:pt>
                <c:pt idx="18224">
                  <c:v>82.24</c:v>
                </c:pt>
                <c:pt idx="18225">
                  <c:v>82.25</c:v>
                </c:pt>
                <c:pt idx="18226">
                  <c:v>82.26</c:v>
                </c:pt>
                <c:pt idx="18227">
                  <c:v>82.27</c:v>
                </c:pt>
                <c:pt idx="18228">
                  <c:v>82.28</c:v>
                </c:pt>
                <c:pt idx="18229">
                  <c:v>82.29</c:v>
                </c:pt>
                <c:pt idx="18230">
                  <c:v>82.3</c:v>
                </c:pt>
                <c:pt idx="18231">
                  <c:v>82.31</c:v>
                </c:pt>
                <c:pt idx="18232">
                  <c:v>82.32</c:v>
                </c:pt>
                <c:pt idx="18233">
                  <c:v>82.33</c:v>
                </c:pt>
                <c:pt idx="18234">
                  <c:v>82.34</c:v>
                </c:pt>
                <c:pt idx="18235">
                  <c:v>82.35</c:v>
                </c:pt>
                <c:pt idx="18236">
                  <c:v>82.36</c:v>
                </c:pt>
                <c:pt idx="18237">
                  <c:v>82.37</c:v>
                </c:pt>
                <c:pt idx="18238">
                  <c:v>82.38</c:v>
                </c:pt>
                <c:pt idx="18239">
                  <c:v>82.39</c:v>
                </c:pt>
                <c:pt idx="18240">
                  <c:v>82.4</c:v>
                </c:pt>
                <c:pt idx="18241">
                  <c:v>82.41</c:v>
                </c:pt>
                <c:pt idx="18242">
                  <c:v>82.42</c:v>
                </c:pt>
                <c:pt idx="18243">
                  <c:v>82.43</c:v>
                </c:pt>
                <c:pt idx="18244">
                  <c:v>82.44</c:v>
                </c:pt>
                <c:pt idx="18245">
                  <c:v>82.45</c:v>
                </c:pt>
                <c:pt idx="18246">
                  <c:v>82.46</c:v>
                </c:pt>
                <c:pt idx="18247">
                  <c:v>82.47</c:v>
                </c:pt>
                <c:pt idx="18248">
                  <c:v>82.48</c:v>
                </c:pt>
                <c:pt idx="18249">
                  <c:v>82.49</c:v>
                </c:pt>
                <c:pt idx="18250">
                  <c:v>82.5</c:v>
                </c:pt>
                <c:pt idx="18251">
                  <c:v>82.51</c:v>
                </c:pt>
                <c:pt idx="18252">
                  <c:v>82.52</c:v>
                </c:pt>
                <c:pt idx="18253">
                  <c:v>82.53</c:v>
                </c:pt>
                <c:pt idx="18254">
                  <c:v>82.54</c:v>
                </c:pt>
                <c:pt idx="18255">
                  <c:v>82.55</c:v>
                </c:pt>
                <c:pt idx="18256">
                  <c:v>82.56</c:v>
                </c:pt>
                <c:pt idx="18257">
                  <c:v>82.57</c:v>
                </c:pt>
                <c:pt idx="18258">
                  <c:v>82.58</c:v>
                </c:pt>
                <c:pt idx="18259">
                  <c:v>82.59</c:v>
                </c:pt>
                <c:pt idx="18260">
                  <c:v>82.6</c:v>
                </c:pt>
                <c:pt idx="18261">
                  <c:v>82.61</c:v>
                </c:pt>
                <c:pt idx="18262">
                  <c:v>82.62</c:v>
                </c:pt>
                <c:pt idx="18263">
                  <c:v>82.63</c:v>
                </c:pt>
                <c:pt idx="18264">
                  <c:v>82.64</c:v>
                </c:pt>
                <c:pt idx="18265">
                  <c:v>82.65</c:v>
                </c:pt>
                <c:pt idx="18266">
                  <c:v>82.66</c:v>
                </c:pt>
                <c:pt idx="18267">
                  <c:v>82.67</c:v>
                </c:pt>
                <c:pt idx="18268">
                  <c:v>82.68</c:v>
                </c:pt>
                <c:pt idx="18269">
                  <c:v>82.69</c:v>
                </c:pt>
                <c:pt idx="18270">
                  <c:v>82.7</c:v>
                </c:pt>
                <c:pt idx="18271">
                  <c:v>82.71</c:v>
                </c:pt>
                <c:pt idx="18272">
                  <c:v>82.72</c:v>
                </c:pt>
                <c:pt idx="18273">
                  <c:v>82.73</c:v>
                </c:pt>
                <c:pt idx="18274">
                  <c:v>82.74</c:v>
                </c:pt>
                <c:pt idx="18275">
                  <c:v>82.75</c:v>
                </c:pt>
                <c:pt idx="18276">
                  <c:v>82.76</c:v>
                </c:pt>
                <c:pt idx="18277">
                  <c:v>82.77</c:v>
                </c:pt>
                <c:pt idx="18278">
                  <c:v>82.78</c:v>
                </c:pt>
                <c:pt idx="18279">
                  <c:v>82.79</c:v>
                </c:pt>
                <c:pt idx="18280">
                  <c:v>82.8</c:v>
                </c:pt>
                <c:pt idx="18281">
                  <c:v>82.81</c:v>
                </c:pt>
                <c:pt idx="18282">
                  <c:v>82.82</c:v>
                </c:pt>
                <c:pt idx="18283">
                  <c:v>82.83</c:v>
                </c:pt>
                <c:pt idx="18284">
                  <c:v>82.84</c:v>
                </c:pt>
                <c:pt idx="18285">
                  <c:v>82.85</c:v>
                </c:pt>
                <c:pt idx="18286">
                  <c:v>82.86</c:v>
                </c:pt>
                <c:pt idx="18287">
                  <c:v>82.87</c:v>
                </c:pt>
                <c:pt idx="18288">
                  <c:v>82.88</c:v>
                </c:pt>
                <c:pt idx="18289">
                  <c:v>82.89</c:v>
                </c:pt>
                <c:pt idx="18290">
                  <c:v>82.9</c:v>
                </c:pt>
                <c:pt idx="18291">
                  <c:v>82.91</c:v>
                </c:pt>
                <c:pt idx="18292">
                  <c:v>82.92</c:v>
                </c:pt>
                <c:pt idx="18293">
                  <c:v>82.93</c:v>
                </c:pt>
                <c:pt idx="18294">
                  <c:v>82.94</c:v>
                </c:pt>
                <c:pt idx="18295">
                  <c:v>82.95</c:v>
                </c:pt>
                <c:pt idx="18296">
                  <c:v>82.96</c:v>
                </c:pt>
                <c:pt idx="18297">
                  <c:v>82.97</c:v>
                </c:pt>
                <c:pt idx="18298">
                  <c:v>82.98</c:v>
                </c:pt>
                <c:pt idx="18299">
                  <c:v>82.99</c:v>
                </c:pt>
                <c:pt idx="18300">
                  <c:v>83.0</c:v>
                </c:pt>
                <c:pt idx="18301">
                  <c:v>83.01</c:v>
                </c:pt>
                <c:pt idx="18302">
                  <c:v>83.02</c:v>
                </c:pt>
                <c:pt idx="18303">
                  <c:v>83.03</c:v>
                </c:pt>
                <c:pt idx="18304">
                  <c:v>83.04</c:v>
                </c:pt>
                <c:pt idx="18305">
                  <c:v>83.05</c:v>
                </c:pt>
                <c:pt idx="18306">
                  <c:v>83.06</c:v>
                </c:pt>
                <c:pt idx="18307">
                  <c:v>83.07</c:v>
                </c:pt>
                <c:pt idx="18308">
                  <c:v>83.08</c:v>
                </c:pt>
                <c:pt idx="18309">
                  <c:v>83.09</c:v>
                </c:pt>
                <c:pt idx="18310">
                  <c:v>83.1</c:v>
                </c:pt>
                <c:pt idx="18311">
                  <c:v>83.11</c:v>
                </c:pt>
                <c:pt idx="18312">
                  <c:v>83.12</c:v>
                </c:pt>
                <c:pt idx="18313">
                  <c:v>83.13</c:v>
                </c:pt>
                <c:pt idx="18314">
                  <c:v>83.14</c:v>
                </c:pt>
                <c:pt idx="18315">
                  <c:v>83.15</c:v>
                </c:pt>
                <c:pt idx="18316">
                  <c:v>83.16</c:v>
                </c:pt>
                <c:pt idx="18317">
                  <c:v>83.17</c:v>
                </c:pt>
                <c:pt idx="18318">
                  <c:v>83.18</c:v>
                </c:pt>
                <c:pt idx="18319">
                  <c:v>83.19</c:v>
                </c:pt>
                <c:pt idx="18320">
                  <c:v>83.2</c:v>
                </c:pt>
                <c:pt idx="18321">
                  <c:v>83.21</c:v>
                </c:pt>
                <c:pt idx="18322">
                  <c:v>83.22</c:v>
                </c:pt>
                <c:pt idx="18323">
                  <c:v>83.23</c:v>
                </c:pt>
                <c:pt idx="18324">
                  <c:v>83.24</c:v>
                </c:pt>
                <c:pt idx="18325">
                  <c:v>83.25</c:v>
                </c:pt>
                <c:pt idx="18326">
                  <c:v>83.26</c:v>
                </c:pt>
                <c:pt idx="18327">
                  <c:v>83.27</c:v>
                </c:pt>
                <c:pt idx="18328">
                  <c:v>83.28</c:v>
                </c:pt>
                <c:pt idx="18329">
                  <c:v>83.29</c:v>
                </c:pt>
                <c:pt idx="18330">
                  <c:v>83.3</c:v>
                </c:pt>
                <c:pt idx="18331">
                  <c:v>83.31</c:v>
                </c:pt>
                <c:pt idx="18332">
                  <c:v>83.32</c:v>
                </c:pt>
                <c:pt idx="18333">
                  <c:v>83.33</c:v>
                </c:pt>
                <c:pt idx="18334">
                  <c:v>83.34</c:v>
                </c:pt>
                <c:pt idx="18335">
                  <c:v>83.35</c:v>
                </c:pt>
                <c:pt idx="18336">
                  <c:v>83.36</c:v>
                </c:pt>
                <c:pt idx="18337">
                  <c:v>83.37</c:v>
                </c:pt>
                <c:pt idx="18338">
                  <c:v>83.38</c:v>
                </c:pt>
                <c:pt idx="18339">
                  <c:v>83.39</c:v>
                </c:pt>
                <c:pt idx="18340">
                  <c:v>83.4</c:v>
                </c:pt>
                <c:pt idx="18341">
                  <c:v>83.41</c:v>
                </c:pt>
                <c:pt idx="18342">
                  <c:v>83.42</c:v>
                </c:pt>
                <c:pt idx="18343">
                  <c:v>83.43</c:v>
                </c:pt>
                <c:pt idx="18344">
                  <c:v>83.44</c:v>
                </c:pt>
                <c:pt idx="18345">
                  <c:v>83.45</c:v>
                </c:pt>
                <c:pt idx="18346">
                  <c:v>83.46</c:v>
                </c:pt>
                <c:pt idx="18347">
                  <c:v>83.47</c:v>
                </c:pt>
                <c:pt idx="18348">
                  <c:v>83.48</c:v>
                </c:pt>
                <c:pt idx="18349">
                  <c:v>83.49</c:v>
                </c:pt>
                <c:pt idx="18350">
                  <c:v>83.5</c:v>
                </c:pt>
                <c:pt idx="18351">
                  <c:v>83.51</c:v>
                </c:pt>
                <c:pt idx="18352">
                  <c:v>83.52</c:v>
                </c:pt>
                <c:pt idx="18353">
                  <c:v>83.53</c:v>
                </c:pt>
                <c:pt idx="18354">
                  <c:v>83.54</c:v>
                </c:pt>
                <c:pt idx="18355">
                  <c:v>83.55</c:v>
                </c:pt>
                <c:pt idx="18356">
                  <c:v>83.56</c:v>
                </c:pt>
                <c:pt idx="18357">
                  <c:v>83.57</c:v>
                </c:pt>
                <c:pt idx="18358">
                  <c:v>83.58</c:v>
                </c:pt>
                <c:pt idx="18359">
                  <c:v>83.59</c:v>
                </c:pt>
                <c:pt idx="18360">
                  <c:v>83.6</c:v>
                </c:pt>
                <c:pt idx="18361">
                  <c:v>83.61</c:v>
                </c:pt>
                <c:pt idx="18362">
                  <c:v>83.62</c:v>
                </c:pt>
                <c:pt idx="18363">
                  <c:v>83.63</c:v>
                </c:pt>
                <c:pt idx="18364">
                  <c:v>83.64</c:v>
                </c:pt>
                <c:pt idx="18365">
                  <c:v>83.65</c:v>
                </c:pt>
                <c:pt idx="18366">
                  <c:v>83.66</c:v>
                </c:pt>
                <c:pt idx="18367">
                  <c:v>83.67</c:v>
                </c:pt>
                <c:pt idx="18368">
                  <c:v>83.68</c:v>
                </c:pt>
                <c:pt idx="18369">
                  <c:v>83.69</c:v>
                </c:pt>
                <c:pt idx="18370">
                  <c:v>83.7</c:v>
                </c:pt>
                <c:pt idx="18371">
                  <c:v>83.71</c:v>
                </c:pt>
                <c:pt idx="18372">
                  <c:v>83.72</c:v>
                </c:pt>
                <c:pt idx="18373">
                  <c:v>83.73</c:v>
                </c:pt>
                <c:pt idx="18374">
                  <c:v>83.74</c:v>
                </c:pt>
                <c:pt idx="18375">
                  <c:v>83.75</c:v>
                </c:pt>
                <c:pt idx="18376">
                  <c:v>83.76</c:v>
                </c:pt>
                <c:pt idx="18377">
                  <c:v>83.77</c:v>
                </c:pt>
                <c:pt idx="18378">
                  <c:v>83.78</c:v>
                </c:pt>
                <c:pt idx="18379">
                  <c:v>83.79</c:v>
                </c:pt>
                <c:pt idx="18380">
                  <c:v>83.8</c:v>
                </c:pt>
                <c:pt idx="18381">
                  <c:v>83.81</c:v>
                </c:pt>
                <c:pt idx="18382">
                  <c:v>83.82</c:v>
                </c:pt>
                <c:pt idx="18383">
                  <c:v>83.83</c:v>
                </c:pt>
                <c:pt idx="18384">
                  <c:v>83.84</c:v>
                </c:pt>
                <c:pt idx="18385">
                  <c:v>83.85</c:v>
                </c:pt>
                <c:pt idx="18386">
                  <c:v>83.86</c:v>
                </c:pt>
                <c:pt idx="18387">
                  <c:v>83.87</c:v>
                </c:pt>
                <c:pt idx="18388">
                  <c:v>83.88</c:v>
                </c:pt>
                <c:pt idx="18389">
                  <c:v>83.89</c:v>
                </c:pt>
                <c:pt idx="18390">
                  <c:v>83.9</c:v>
                </c:pt>
                <c:pt idx="18391">
                  <c:v>83.91</c:v>
                </c:pt>
                <c:pt idx="18392">
                  <c:v>83.92</c:v>
                </c:pt>
                <c:pt idx="18393">
                  <c:v>83.93</c:v>
                </c:pt>
                <c:pt idx="18394">
                  <c:v>83.94</c:v>
                </c:pt>
                <c:pt idx="18395">
                  <c:v>83.95</c:v>
                </c:pt>
                <c:pt idx="18396">
                  <c:v>83.96</c:v>
                </c:pt>
                <c:pt idx="18397">
                  <c:v>83.97</c:v>
                </c:pt>
                <c:pt idx="18398">
                  <c:v>83.98</c:v>
                </c:pt>
                <c:pt idx="18399">
                  <c:v>83.99</c:v>
                </c:pt>
                <c:pt idx="18400">
                  <c:v>84.0</c:v>
                </c:pt>
                <c:pt idx="18401">
                  <c:v>84.01</c:v>
                </c:pt>
                <c:pt idx="18402">
                  <c:v>84.02</c:v>
                </c:pt>
                <c:pt idx="18403">
                  <c:v>84.03</c:v>
                </c:pt>
                <c:pt idx="18404">
                  <c:v>84.04</c:v>
                </c:pt>
                <c:pt idx="18405">
                  <c:v>84.05</c:v>
                </c:pt>
                <c:pt idx="18406">
                  <c:v>84.06</c:v>
                </c:pt>
                <c:pt idx="18407">
                  <c:v>84.07</c:v>
                </c:pt>
                <c:pt idx="18408">
                  <c:v>84.08</c:v>
                </c:pt>
                <c:pt idx="18409">
                  <c:v>84.09</c:v>
                </c:pt>
                <c:pt idx="18410">
                  <c:v>84.1</c:v>
                </c:pt>
                <c:pt idx="18411">
                  <c:v>84.11</c:v>
                </c:pt>
                <c:pt idx="18412">
                  <c:v>84.12</c:v>
                </c:pt>
                <c:pt idx="18413">
                  <c:v>84.13</c:v>
                </c:pt>
                <c:pt idx="18414">
                  <c:v>84.14</c:v>
                </c:pt>
                <c:pt idx="18415">
                  <c:v>84.15</c:v>
                </c:pt>
                <c:pt idx="18416">
                  <c:v>84.16</c:v>
                </c:pt>
                <c:pt idx="18417">
                  <c:v>84.17</c:v>
                </c:pt>
                <c:pt idx="18418">
                  <c:v>84.18</c:v>
                </c:pt>
                <c:pt idx="18419">
                  <c:v>84.19</c:v>
                </c:pt>
                <c:pt idx="18420">
                  <c:v>84.2</c:v>
                </c:pt>
                <c:pt idx="18421">
                  <c:v>84.21</c:v>
                </c:pt>
                <c:pt idx="18422">
                  <c:v>84.22</c:v>
                </c:pt>
                <c:pt idx="18423">
                  <c:v>84.23</c:v>
                </c:pt>
                <c:pt idx="18424">
                  <c:v>84.24</c:v>
                </c:pt>
                <c:pt idx="18425">
                  <c:v>84.25</c:v>
                </c:pt>
                <c:pt idx="18426">
                  <c:v>84.26</c:v>
                </c:pt>
                <c:pt idx="18427">
                  <c:v>84.27</c:v>
                </c:pt>
                <c:pt idx="18428">
                  <c:v>84.28</c:v>
                </c:pt>
                <c:pt idx="18429">
                  <c:v>84.29</c:v>
                </c:pt>
                <c:pt idx="18430">
                  <c:v>84.3</c:v>
                </c:pt>
                <c:pt idx="18431">
                  <c:v>84.31</c:v>
                </c:pt>
                <c:pt idx="18432">
                  <c:v>84.32</c:v>
                </c:pt>
                <c:pt idx="18433">
                  <c:v>84.33</c:v>
                </c:pt>
                <c:pt idx="18434">
                  <c:v>84.34</c:v>
                </c:pt>
                <c:pt idx="18435">
                  <c:v>84.35</c:v>
                </c:pt>
                <c:pt idx="18436">
                  <c:v>84.36</c:v>
                </c:pt>
                <c:pt idx="18437">
                  <c:v>84.37</c:v>
                </c:pt>
                <c:pt idx="18438">
                  <c:v>84.38</c:v>
                </c:pt>
                <c:pt idx="18439">
                  <c:v>84.39</c:v>
                </c:pt>
                <c:pt idx="18440">
                  <c:v>84.4</c:v>
                </c:pt>
                <c:pt idx="18441">
                  <c:v>84.41</c:v>
                </c:pt>
                <c:pt idx="18442">
                  <c:v>84.42</c:v>
                </c:pt>
                <c:pt idx="18443">
                  <c:v>84.43</c:v>
                </c:pt>
                <c:pt idx="18444">
                  <c:v>84.44</c:v>
                </c:pt>
                <c:pt idx="18445">
                  <c:v>84.45</c:v>
                </c:pt>
                <c:pt idx="18446">
                  <c:v>84.46</c:v>
                </c:pt>
                <c:pt idx="18447">
                  <c:v>84.47</c:v>
                </c:pt>
                <c:pt idx="18448">
                  <c:v>84.48</c:v>
                </c:pt>
                <c:pt idx="18449">
                  <c:v>84.49</c:v>
                </c:pt>
                <c:pt idx="18450">
                  <c:v>84.5</c:v>
                </c:pt>
                <c:pt idx="18451">
                  <c:v>84.51</c:v>
                </c:pt>
                <c:pt idx="18452">
                  <c:v>84.52</c:v>
                </c:pt>
                <c:pt idx="18453">
                  <c:v>84.53</c:v>
                </c:pt>
                <c:pt idx="18454">
                  <c:v>84.54</c:v>
                </c:pt>
                <c:pt idx="18455">
                  <c:v>84.55</c:v>
                </c:pt>
                <c:pt idx="18456">
                  <c:v>84.56</c:v>
                </c:pt>
                <c:pt idx="18457">
                  <c:v>84.57</c:v>
                </c:pt>
                <c:pt idx="18458">
                  <c:v>84.58</c:v>
                </c:pt>
                <c:pt idx="18459">
                  <c:v>84.59</c:v>
                </c:pt>
                <c:pt idx="18460">
                  <c:v>84.6</c:v>
                </c:pt>
                <c:pt idx="18461">
                  <c:v>84.61</c:v>
                </c:pt>
                <c:pt idx="18462">
                  <c:v>84.62</c:v>
                </c:pt>
                <c:pt idx="18463">
                  <c:v>84.63</c:v>
                </c:pt>
                <c:pt idx="18464">
                  <c:v>84.64</c:v>
                </c:pt>
                <c:pt idx="18465">
                  <c:v>84.65</c:v>
                </c:pt>
                <c:pt idx="18466">
                  <c:v>84.66</c:v>
                </c:pt>
                <c:pt idx="18467">
                  <c:v>84.67</c:v>
                </c:pt>
                <c:pt idx="18468">
                  <c:v>84.68</c:v>
                </c:pt>
                <c:pt idx="18469">
                  <c:v>84.69</c:v>
                </c:pt>
                <c:pt idx="18470">
                  <c:v>84.7</c:v>
                </c:pt>
                <c:pt idx="18471">
                  <c:v>84.71</c:v>
                </c:pt>
                <c:pt idx="18472">
                  <c:v>84.72</c:v>
                </c:pt>
                <c:pt idx="18473">
                  <c:v>84.73</c:v>
                </c:pt>
                <c:pt idx="18474">
                  <c:v>84.74</c:v>
                </c:pt>
                <c:pt idx="18475">
                  <c:v>84.75</c:v>
                </c:pt>
                <c:pt idx="18476">
                  <c:v>84.76</c:v>
                </c:pt>
                <c:pt idx="18477">
                  <c:v>84.77</c:v>
                </c:pt>
                <c:pt idx="18478">
                  <c:v>84.78</c:v>
                </c:pt>
                <c:pt idx="18479">
                  <c:v>84.79</c:v>
                </c:pt>
                <c:pt idx="18480">
                  <c:v>84.8</c:v>
                </c:pt>
                <c:pt idx="18481">
                  <c:v>84.81</c:v>
                </c:pt>
                <c:pt idx="18482">
                  <c:v>84.82</c:v>
                </c:pt>
                <c:pt idx="18483">
                  <c:v>84.83</c:v>
                </c:pt>
                <c:pt idx="18484">
                  <c:v>84.84</c:v>
                </c:pt>
                <c:pt idx="18485">
                  <c:v>84.85</c:v>
                </c:pt>
                <c:pt idx="18486">
                  <c:v>84.86</c:v>
                </c:pt>
                <c:pt idx="18487">
                  <c:v>84.87</c:v>
                </c:pt>
                <c:pt idx="18488">
                  <c:v>84.88</c:v>
                </c:pt>
                <c:pt idx="18489">
                  <c:v>84.89</c:v>
                </c:pt>
                <c:pt idx="18490">
                  <c:v>84.9</c:v>
                </c:pt>
                <c:pt idx="18491">
                  <c:v>84.91</c:v>
                </c:pt>
                <c:pt idx="18492">
                  <c:v>84.92</c:v>
                </c:pt>
                <c:pt idx="18493">
                  <c:v>84.93</c:v>
                </c:pt>
                <c:pt idx="18494">
                  <c:v>84.94</c:v>
                </c:pt>
                <c:pt idx="18495">
                  <c:v>84.95</c:v>
                </c:pt>
                <c:pt idx="18496">
                  <c:v>84.96</c:v>
                </c:pt>
                <c:pt idx="18497">
                  <c:v>84.97</c:v>
                </c:pt>
                <c:pt idx="18498">
                  <c:v>84.98</c:v>
                </c:pt>
                <c:pt idx="18499">
                  <c:v>84.99</c:v>
                </c:pt>
                <c:pt idx="18500">
                  <c:v>85.0</c:v>
                </c:pt>
                <c:pt idx="18501">
                  <c:v>85.01</c:v>
                </c:pt>
                <c:pt idx="18502">
                  <c:v>85.02</c:v>
                </c:pt>
                <c:pt idx="18503">
                  <c:v>85.03</c:v>
                </c:pt>
                <c:pt idx="18504">
                  <c:v>85.04</c:v>
                </c:pt>
                <c:pt idx="18505">
                  <c:v>85.05</c:v>
                </c:pt>
                <c:pt idx="18506">
                  <c:v>85.06</c:v>
                </c:pt>
                <c:pt idx="18507">
                  <c:v>85.07</c:v>
                </c:pt>
                <c:pt idx="18508">
                  <c:v>85.08</c:v>
                </c:pt>
                <c:pt idx="18509">
                  <c:v>85.09</c:v>
                </c:pt>
                <c:pt idx="18510">
                  <c:v>85.1</c:v>
                </c:pt>
                <c:pt idx="18511">
                  <c:v>85.11</c:v>
                </c:pt>
                <c:pt idx="18512">
                  <c:v>85.12</c:v>
                </c:pt>
                <c:pt idx="18513">
                  <c:v>85.13</c:v>
                </c:pt>
                <c:pt idx="18514">
                  <c:v>85.14</c:v>
                </c:pt>
                <c:pt idx="18515">
                  <c:v>85.15</c:v>
                </c:pt>
                <c:pt idx="18516">
                  <c:v>85.16</c:v>
                </c:pt>
                <c:pt idx="18517">
                  <c:v>85.17</c:v>
                </c:pt>
                <c:pt idx="18518">
                  <c:v>85.18</c:v>
                </c:pt>
                <c:pt idx="18519">
                  <c:v>85.19</c:v>
                </c:pt>
                <c:pt idx="18520">
                  <c:v>85.2</c:v>
                </c:pt>
                <c:pt idx="18521">
                  <c:v>85.21</c:v>
                </c:pt>
                <c:pt idx="18522">
                  <c:v>85.22</c:v>
                </c:pt>
                <c:pt idx="18523">
                  <c:v>85.23</c:v>
                </c:pt>
                <c:pt idx="18524">
                  <c:v>85.24</c:v>
                </c:pt>
                <c:pt idx="18525">
                  <c:v>85.25</c:v>
                </c:pt>
                <c:pt idx="18526">
                  <c:v>85.26</c:v>
                </c:pt>
                <c:pt idx="18527">
                  <c:v>85.27</c:v>
                </c:pt>
                <c:pt idx="18528">
                  <c:v>85.28</c:v>
                </c:pt>
                <c:pt idx="18529">
                  <c:v>85.29</c:v>
                </c:pt>
                <c:pt idx="18530">
                  <c:v>85.3</c:v>
                </c:pt>
                <c:pt idx="18531">
                  <c:v>85.31</c:v>
                </c:pt>
                <c:pt idx="18532">
                  <c:v>85.32</c:v>
                </c:pt>
                <c:pt idx="18533">
                  <c:v>85.33</c:v>
                </c:pt>
                <c:pt idx="18534">
                  <c:v>85.34</c:v>
                </c:pt>
                <c:pt idx="18535">
                  <c:v>85.35</c:v>
                </c:pt>
                <c:pt idx="18536">
                  <c:v>85.36</c:v>
                </c:pt>
                <c:pt idx="18537">
                  <c:v>85.37</c:v>
                </c:pt>
                <c:pt idx="18538">
                  <c:v>85.38</c:v>
                </c:pt>
                <c:pt idx="18539">
                  <c:v>85.39</c:v>
                </c:pt>
                <c:pt idx="18540">
                  <c:v>85.4</c:v>
                </c:pt>
                <c:pt idx="18541">
                  <c:v>85.41</c:v>
                </c:pt>
                <c:pt idx="18542">
                  <c:v>85.42</c:v>
                </c:pt>
                <c:pt idx="18543">
                  <c:v>85.43</c:v>
                </c:pt>
                <c:pt idx="18544">
                  <c:v>85.44</c:v>
                </c:pt>
                <c:pt idx="18545">
                  <c:v>85.45</c:v>
                </c:pt>
                <c:pt idx="18546">
                  <c:v>85.46</c:v>
                </c:pt>
                <c:pt idx="18547">
                  <c:v>85.47</c:v>
                </c:pt>
                <c:pt idx="18548">
                  <c:v>85.48</c:v>
                </c:pt>
                <c:pt idx="18549">
                  <c:v>85.49</c:v>
                </c:pt>
                <c:pt idx="18550">
                  <c:v>85.5</c:v>
                </c:pt>
                <c:pt idx="18551">
                  <c:v>85.51</c:v>
                </c:pt>
                <c:pt idx="18552">
                  <c:v>85.52</c:v>
                </c:pt>
                <c:pt idx="18553">
                  <c:v>85.53</c:v>
                </c:pt>
                <c:pt idx="18554">
                  <c:v>85.54</c:v>
                </c:pt>
                <c:pt idx="18555">
                  <c:v>85.55</c:v>
                </c:pt>
                <c:pt idx="18556">
                  <c:v>85.56</c:v>
                </c:pt>
                <c:pt idx="18557">
                  <c:v>85.57</c:v>
                </c:pt>
                <c:pt idx="18558">
                  <c:v>85.58</c:v>
                </c:pt>
                <c:pt idx="18559">
                  <c:v>85.59</c:v>
                </c:pt>
                <c:pt idx="18560">
                  <c:v>85.6</c:v>
                </c:pt>
                <c:pt idx="18561">
                  <c:v>85.61</c:v>
                </c:pt>
                <c:pt idx="18562">
                  <c:v>85.62</c:v>
                </c:pt>
                <c:pt idx="18563">
                  <c:v>85.63</c:v>
                </c:pt>
                <c:pt idx="18564">
                  <c:v>85.64</c:v>
                </c:pt>
                <c:pt idx="18565">
                  <c:v>85.65</c:v>
                </c:pt>
                <c:pt idx="18566">
                  <c:v>85.66</c:v>
                </c:pt>
                <c:pt idx="18567">
                  <c:v>85.67</c:v>
                </c:pt>
                <c:pt idx="18568">
                  <c:v>85.68</c:v>
                </c:pt>
                <c:pt idx="18569">
                  <c:v>85.69</c:v>
                </c:pt>
                <c:pt idx="18570">
                  <c:v>85.7</c:v>
                </c:pt>
                <c:pt idx="18571">
                  <c:v>85.71</c:v>
                </c:pt>
                <c:pt idx="18572">
                  <c:v>85.72</c:v>
                </c:pt>
                <c:pt idx="18573">
                  <c:v>85.73</c:v>
                </c:pt>
                <c:pt idx="18574">
                  <c:v>85.74</c:v>
                </c:pt>
                <c:pt idx="18575">
                  <c:v>85.75</c:v>
                </c:pt>
                <c:pt idx="18576">
                  <c:v>85.76</c:v>
                </c:pt>
                <c:pt idx="18577">
                  <c:v>85.77</c:v>
                </c:pt>
                <c:pt idx="18578">
                  <c:v>85.78</c:v>
                </c:pt>
                <c:pt idx="18579">
                  <c:v>85.79</c:v>
                </c:pt>
                <c:pt idx="18580">
                  <c:v>85.8</c:v>
                </c:pt>
                <c:pt idx="18581">
                  <c:v>85.81</c:v>
                </c:pt>
                <c:pt idx="18582">
                  <c:v>85.82</c:v>
                </c:pt>
                <c:pt idx="18583">
                  <c:v>85.83</c:v>
                </c:pt>
                <c:pt idx="18584">
                  <c:v>85.84</c:v>
                </c:pt>
                <c:pt idx="18585">
                  <c:v>85.85</c:v>
                </c:pt>
                <c:pt idx="18586">
                  <c:v>85.86</c:v>
                </c:pt>
                <c:pt idx="18587">
                  <c:v>85.87</c:v>
                </c:pt>
                <c:pt idx="18588">
                  <c:v>85.88</c:v>
                </c:pt>
                <c:pt idx="18589">
                  <c:v>85.89</c:v>
                </c:pt>
                <c:pt idx="18590">
                  <c:v>85.9</c:v>
                </c:pt>
                <c:pt idx="18591">
                  <c:v>85.91</c:v>
                </c:pt>
                <c:pt idx="18592">
                  <c:v>85.92</c:v>
                </c:pt>
                <c:pt idx="18593">
                  <c:v>85.93</c:v>
                </c:pt>
                <c:pt idx="18594">
                  <c:v>85.94</c:v>
                </c:pt>
                <c:pt idx="18595">
                  <c:v>85.95</c:v>
                </c:pt>
                <c:pt idx="18596">
                  <c:v>85.96</c:v>
                </c:pt>
                <c:pt idx="18597">
                  <c:v>85.97</c:v>
                </c:pt>
                <c:pt idx="18598">
                  <c:v>85.98</c:v>
                </c:pt>
                <c:pt idx="18599">
                  <c:v>85.99</c:v>
                </c:pt>
                <c:pt idx="18600">
                  <c:v>86.0</c:v>
                </c:pt>
                <c:pt idx="18601">
                  <c:v>86.01</c:v>
                </c:pt>
                <c:pt idx="18602">
                  <c:v>86.02</c:v>
                </c:pt>
                <c:pt idx="18603">
                  <c:v>86.03</c:v>
                </c:pt>
                <c:pt idx="18604">
                  <c:v>86.04</c:v>
                </c:pt>
                <c:pt idx="18605">
                  <c:v>86.05</c:v>
                </c:pt>
                <c:pt idx="18606">
                  <c:v>86.06</c:v>
                </c:pt>
                <c:pt idx="18607">
                  <c:v>86.07</c:v>
                </c:pt>
                <c:pt idx="18608">
                  <c:v>86.08</c:v>
                </c:pt>
                <c:pt idx="18609">
                  <c:v>86.09</c:v>
                </c:pt>
                <c:pt idx="18610">
                  <c:v>86.1</c:v>
                </c:pt>
                <c:pt idx="18611">
                  <c:v>86.11</c:v>
                </c:pt>
                <c:pt idx="18612">
                  <c:v>86.12</c:v>
                </c:pt>
                <c:pt idx="18613">
                  <c:v>86.13</c:v>
                </c:pt>
                <c:pt idx="18614">
                  <c:v>86.14</c:v>
                </c:pt>
                <c:pt idx="18615">
                  <c:v>86.15</c:v>
                </c:pt>
                <c:pt idx="18616">
                  <c:v>86.16</c:v>
                </c:pt>
                <c:pt idx="18617">
                  <c:v>86.17</c:v>
                </c:pt>
                <c:pt idx="18618">
                  <c:v>86.18</c:v>
                </c:pt>
                <c:pt idx="18619">
                  <c:v>86.19</c:v>
                </c:pt>
                <c:pt idx="18620">
                  <c:v>86.2</c:v>
                </c:pt>
                <c:pt idx="18621">
                  <c:v>86.21</c:v>
                </c:pt>
                <c:pt idx="18622">
                  <c:v>86.22</c:v>
                </c:pt>
                <c:pt idx="18623">
                  <c:v>86.23</c:v>
                </c:pt>
                <c:pt idx="18624">
                  <c:v>86.24</c:v>
                </c:pt>
                <c:pt idx="18625">
                  <c:v>86.25</c:v>
                </c:pt>
                <c:pt idx="18626">
                  <c:v>86.26</c:v>
                </c:pt>
                <c:pt idx="18627">
                  <c:v>86.27</c:v>
                </c:pt>
                <c:pt idx="18628">
                  <c:v>86.28</c:v>
                </c:pt>
                <c:pt idx="18629">
                  <c:v>86.29</c:v>
                </c:pt>
                <c:pt idx="18630">
                  <c:v>86.3</c:v>
                </c:pt>
                <c:pt idx="18631">
                  <c:v>86.31</c:v>
                </c:pt>
                <c:pt idx="18632">
                  <c:v>86.32</c:v>
                </c:pt>
                <c:pt idx="18633">
                  <c:v>86.33</c:v>
                </c:pt>
                <c:pt idx="18634">
                  <c:v>86.34</c:v>
                </c:pt>
                <c:pt idx="18635">
                  <c:v>86.35</c:v>
                </c:pt>
                <c:pt idx="18636">
                  <c:v>86.36</c:v>
                </c:pt>
                <c:pt idx="18637">
                  <c:v>86.37</c:v>
                </c:pt>
                <c:pt idx="18638">
                  <c:v>86.38</c:v>
                </c:pt>
                <c:pt idx="18639">
                  <c:v>86.39</c:v>
                </c:pt>
                <c:pt idx="18640">
                  <c:v>86.4</c:v>
                </c:pt>
                <c:pt idx="18641">
                  <c:v>86.41</c:v>
                </c:pt>
                <c:pt idx="18642">
                  <c:v>86.42</c:v>
                </c:pt>
                <c:pt idx="18643">
                  <c:v>86.43</c:v>
                </c:pt>
                <c:pt idx="18644">
                  <c:v>86.44</c:v>
                </c:pt>
                <c:pt idx="18645">
                  <c:v>86.45</c:v>
                </c:pt>
                <c:pt idx="18646">
                  <c:v>86.46</c:v>
                </c:pt>
                <c:pt idx="18647">
                  <c:v>86.47</c:v>
                </c:pt>
                <c:pt idx="18648">
                  <c:v>86.48</c:v>
                </c:pt>
                <c:pt idx="18649">
                  <c:v>86.49</c:v>
                </c:pt>
                <c:pt idx="18650">
                  <c:v>86.5</c:v>
                </c:pt>
                <c:pt idx="18651">
                  <c:v>86.51</c:v>
                </c:pt>
                <c:pt idx="18652">
                  <c:v>86.52</c:v>
                </c:pt>
                <c:pt idx="18653">
                  <c:v>86.53</c:v>
                </c:pt>
                <c:pt idx="18654">
                  <c:v>86.54</c:v>
                </c:pt>
                <c:pt idx="18655">
                  <c:v>86.55</c:v>
                </c:pt>
                <c:pt idx="18656">
                  <c:v>86.56</c:v>
                </c:pt>
                <c:pt idx="18657">
                  <c:v>86.57</c:v>
                </c:pt>
                <c:pt idx="18658">
                  <c:v>86.58</c:v>
                </c:pt>
                <c:pt idx="18659">
                  <c:v>86.59</c:v>
                </c:pt>
                <c:pt idx="18660">
                  <c:v>86.6</c:v>
                </c:pt>
                <c:pt idx="18661">
                  <c:v>86.61</c:v>
                </c:pt>
                <c:pt idx="18662">
                  <c:v>86.62</c:v>
                </c:pt>
                <c:pt idx="18663">
                  <c:v>86.63</c:v>
                </c:pt>
                <c:pt idx="18664">
                  <c:v>86.64</c:v>
                </c:pt>
                <c:pt idx="18665">
                  <c:v>86.65</c:v>
                </c:pt>
                <c:pt idx="18666">
                  <c:v>86.66</c:v>
                </c:pt>
                <c:pt idx="18667">
                  <c:v>86.67</c:v>
                </c:pt>
                <c:pt idx="18668">
                  <c:v>86.68</c:v>
                </c:pt>
                <c:pt idx="18669">
                  <c:v>86.69</c:v>
                </c:pt>
                <c:pt idx="18670">
                  <c:v>86.7</c:v>
                </c:pt>
                <c:pt idx="18671">
                  <c:v>86.71</c:v>
                </c:pt>
                <c:pt idx="18672">
                  <c:v>86.72</c:v>
                </c:pt>
                <c:pt idx="18673">
                  <c:v>86.73</c:v>
                </c:pt>
                <c:pt idx="18674">
                  <c:v>86.74</c:v>
                </c:pt>
                <c:pt idx="18675">
                  <c:v>86.75</c:v>
                </c:pt>
                <c:pt idx="18676">
                  <c:v>86.76</c:v>
                </c:pt>
                <c:pt idx="18677">
                  <c:v>86.77</c:v>
                </c:pt>
                <c:pt idx="18678">
                  <c:v>86.78</c:v>
                </c:pt>
                <c:pt idx="18679">
                  <c:v>86.79</c:v>
                </c:pt>
                <c:pt idx="18680">
                  <c:v>86.8</c:v>
                </c:pt>
                <c:pt idx="18681">
                  <c:v>86.81</c:v>
                </c:pt>
                <c:pt idx="18682">
                  <c:v>86.82</c:v>
                </c:pt>
                <c:pt idx="18683">
                  <c:v>86.83</c:v>
                </c:pt>
                <c:pt idx="18684">
                  <c:v>86.84</c:v>
                </c:pt>
                <c:pt idx="18685">
                  <c:v>86.85</c:v>
                </c:pt>
                <c:pt idx="18686">
                  <c:v>86.86</c:v>
                </c:pt>
                <c:pt idx="18687">
                  <c:v>86.87</c:v>
                </c:pt>
                <c:pt idx="18688">
                  <c:v>86.88</c:v>
                </c:pt>
                <c:pt idx="18689">
                  <c:v>86.89</c:v>
                </c:pt>
                <c:pt idx="18690">
                  <c:v>86.9</c:v>
                </c:pt>
                <c:pt idx="18691">
                  <c:v>86.91</c:v>
                </c:pt>
                <c:pt idx="18692">
                  <c:v>86.92</c:v>
                </c:pt>
                <c:pt idx="18693">
                  <c:v>86.93</c:v>
                </c:pt>
                <c:pt idx="18694">
                  <c:v>86.94</c:v>
                </c:pt>
                <c:pt idx="18695">
                  <c:v>86.95</c:v>
                </c:pt>
                <c:pt idx="18696">
                  <c:v>86.96</c:v>
                </c:pt>
                <c:pt idx="18697">
                  <c:v>86.97</c:v>
                </c:pt>
                <c:pt idx="18698">
                  <c:v>86.98</c:v>
                </c:pt>
                <c:pt idx="18699">
                  <c:v>86.99</c:v>
                </c:pt>
                <c:pt idx="18700">
                  <c:v>87.0</c:v>
                </c:pt>
                <c:pt idx="18701">
                  <c:v>87.01</c:v>
                </c:pt>
                <c:pt idx="18702">
                  <c:v>87.02</c:v>
                </c:pt>
                <c:pt idx="18703">
                  <c:v>87.03</c:v>
                </c:pt>
                <c:pt idx="18704">
                  <c:v>87.04</c:v>
                </c:pt>
                <c:pt idx="18705">
                  <c:v>87.05</c:v>
                </c:pt>
                <c:pt idx="18706">
                  <c:v>87.06</c:v>
                </c:pt>
                <c:pt idx="18707">
                  <c:v>87.07</c:v>
                </c:pt>
                <c:pt idx="18708">
                  <c:v>87.08</c:v>
                </c:pt>
                <c:pt idx="18709">
                  <c:v>87.09</c:v>
                </c:pt>
                <c:pt idx="18710">
                  <c:v>87.1</c:v>
                </c:pt>
                <c:pt idx="18711">
                  <c:v>87.11</c:v>
                </c:pt>
                <c:pt idx="18712">
                  <c:v>87.12</c:v>
                </c:pt>
                <c:pt idx="18713">
                  <c:v>87.13</c:v>
                </c:pt>
                <c:pt idx="18714">
                  <c:v>87.14</c:v>
                </c:pt>
                <c:pt idx="18715">
                  <c:v>87.15</c:v>
                </c:pt>
                <c:pt idx="18716">
                  <c:v>87.16</c:v>
                </c:pt>
                <c:pt idx="18717">
                  <c:v>87.17</c:v>
                </c:pt>
                <c:pt idx="18718">
                  <c:v>87.18</c:v>
                </c:pt>
                <c:pt idx="18719">
                  <c:v>87.19</c:v>
                </c:pt>
                <c:pt idx="18720">
                  <c:v>87.2</c:v>
                </c:pt>
                <c:pt idx="18721">
                  <c:v>87.21</c:v>
                </c:pt>
                <c:pt idx="18722">
                  <c:v>87.22</c:v>
                </c:pt>
                <c:pt idx="18723">
                  <c:v>87.23</c:v>
                </c:pt>
                <c:pt idx="18724">
                  <c:v>87.24</c:v>
                </c:pt>
                <c:pt idx="18725">
                  <c:v>87.25</c:v>
                </c:pt>
                <c:pt idx="18726">
                  <c:v>87.26</c:v>
                </c:pt>
                <c:pt idx="18727">
                  <c:v>87.27</c:v>
                </c:pt>
                <c:pt idx="18728">
                  <c:v>87.28</c:v>
                </c:pt>
                <c:pt idx="18729">
                  <c:v>87.29</c:v>
                </c:pt>
                <c:pt idx="18730">
                  <c:v>87.3</c:v>
                </c:pt>
                <c:pt idx="18731">
                  <c:v>87.31</c:v>
                </c:pt>
                <c:pt idx="18732">
                  <c:v>87.32</c:v>
                </c:pt>
                <c:pt idx="18733">
                  <c:v>87.33</c:v>
                </c:pt>
                <c:pt idx="18734">
                  <c:v>87.34</c:v>
                </c:pt>
                <c:pt idx="18735">
                  <c:v>87.35</c:v>
                </c:pt>
                <c:pt idx="18736">
                  <c:v>87.36</c:v>
                </c:pt>
                <c:pt idx="18737">
                  <c:v>87.37</c:v>
                </c:pt>
                <c:pt idx="18738">
                  <c:v>87.38</c:v>
                </c:pt>
                <c:pt idx="18739">
                  <c:v>87.39</c:v>
                </c:pt>
                <c:pt idx="18740">
                  <c:v>87.4</c:v>
                </c:pt>
                <c:pt idx="18741">
                  <c:v>87.41</c:v>
                </c:pt>
                <c:pt idx="18742">
                  <c:v>87.42</c:v>
                </c:pt>
                <c:pt idx="18743">
                  <c:v>87.43</c:v>
                </c:pt>
                <c:pt idx="18744">
                  <c:v>87.44</c:v>
                </c:pt>
                <c:pt idx="18745">
                  <c:v>87.45</c:v>
                </c:pt>
                <c:pt idx="18746">
                  <c:v>87.46</c:v>
                </c:pt>
                <c:pt idx="18747">
                  <c:v>87.47</c:v>
                </c:pt>
                <c:pt idx="18748">
                  <c:v>87.48</c:v>
                </c:pt>
                <c:pt idx="18749">
                  <c:v>87.49</c:v>
                </c:pt>
                <c:pt idx="18750">
                  <c:v>87.5</c:v>
                </c:pt>
                <c:pt idx="18751">
                  <c:v>87.51</c:v>
                </c:pt>
                <c:pt idx="18752">
                  <c:v>87.52</c:v>
                </c:pt>
                <c:pt idx="18753">
                  <c:v>87.53</c:v>
                </c:pt>
                <c:pt idx="18754">
                  <c:v>87.54</c:v>
                </c:pt>
                <c:pt idx="18755">
                  <c:v>87.55</c:v>
                </c:pt>
                <c:pt idx="18756">
                  <c:v>87.56</c:v>
                </c:pt>
                <c:pt idx="18757">
                  <c:v>87.57</c:v>
                </c:pt>
                <c:pt idx="18758">
                  <c:v>87.58</c:v>
                </c:pt>
                <c:pt idx="18759">
                  <c:v>87.59</c:v>
                </c:pt>
                <c:pt idx="18760">
                  <c:v>87.6</c:v>
                </c:pt>
                <c:pt idx="18761">
                  <c:v>87.61</c:v>
                </c:pt>
                <c:pt idx="18762">
                  <c:v>87.62</c:v>
                </c:pt>
                <c:pt idx="18763">
                  <c:v>87.63</c:v>
                </c:pt>
                <c:pt idx="18764">
                  <c:v>87.64</c:v>
                </c:pt>
                <c:pt idx="18765">
                  <c:v>87.65</c:v>
                </c:pt>
                <c:pt idx="18766">
                  <c:v>87.66</c:v>
                </c:pt>
                <c:pt idx="18767">
                  <c:v>87.67</c:v>
                </c:pt>
                <c:pt idx="18768">
                  <c:v>87.68</c:v>
                </c:pt>
                <c:pt idx="18769">
                  <c:v>87.69</c:v>
                </c:pt>
                <c:pt idx="18770">
                  <c:v>87.7</c:v>
                </c:pt>
                <c:pt idx="18771">
                  <c:v>87.71</c:v>
                </c:pt>
                <c:pt idx="18772">
                  <c:v>87.72</c:v>
                </c:pt>
                <c:pt idx="18773">
                  <c:v>87.73</c:v>
                </c:pt>
                <c:pt idx="18774">
                  <c:v>87.74</c:v>
                </c:pt>
                <c:pt idx="18775">
                  <c:v>87.75</c:v>
                </c:pt>
                <c:pt idx="18776">
                  <c:v>87.76</c:v>
                </c:pt>
                <c:pt idx="18777">
                  <c:v>87.77</c:v>
                </c:pt>
                <c:pt idx="18778">
                  <c:v>87.78</c:v>
                </c:pt>
                <c:pt idx="18779">
                  <c:v>87.79</c:v>
                </c:pt>
                <c:pt idx="18780">
                  <c:v>87.8</c:v>
                </c:pt>
                <c:pt idx="18781">
                  <c:v>87.81</c:v>
                </c:pt>
                <c:pt idx="18782">
                  <c:v>87.82</c:v>
                </c:pt>
                <c:pt idx="18783">
                  <c:v>87.83</c:v>
                </c:pt>
                <c:pt idx="18784">
                  <c:v>87.84</c:v>
                </c:pt>
                <c:pt idx="18785">
                  <c:v>87.85</c:v>
                </c:pt>
                <c:pt idx="18786">
                  <c:v>87.86</c:v>
                </c:pt>
                <c:pt idx="18787">
                  <c:v>87.87</c:v>
                </c:pt>
                <c:pt idx="18788">
                  <c:v>87.88</c:v>
                </c:pt>
                <c:pt idx="18789">
                  <c:v>87.89</c:v>
                </c:pt>
                <c:pt idx="18790">
                  <c:v>87.9</c:v>
                </c:pt>
                <c:pt idx="18791">
                  <c:v>87.91</c:v>
                </c:pt>
                <c:pt idx="18792">
                  <c:v>87.92</c:v>
                </c:pt>
                <c:pt idx="18793">
                  <c:v>87.93</c:v>
                </c:pt>
                <c:pt idx="18794">
                  <c:v>87.94</c:v>
                </c:pt>
                <c:pt idx="18795">
                  <c:v>87.95</c:v>
                </c:pt>
                <c:pt idx="18796">
                  <c:v>87.96</c:v>
                </c:pt>
                <c:pt idx="18797">
                  <c:v>87.97</c:v>
                </c:pt>
                <c:pt idx="18798">
                  <c:v>87.98</c:v>
                </c:pt>
                <c:pt idx="18799">
                  <c:v>87.99</c:v>
                </c:pt>
                <c:pt idx="18800">
                  <c:v>88.0</c:v>
                </c:pt>
                <c:pt idx="18801">
                  <c:v>88.01</c:v>
                </c:pt>
                <c:pt idx="18802">
                  <c:v>88.02</c:v>
                </c:pt>
                <c:pt idx="18803">
                  <c:v>88.03</c:v>
                </c:pt>
                <c:pt idx="18804">
                  <c:v>88.04</c:v>
                </c:pt>
                <c:pt idx="18805">
                  <c:v>88.05</c:v>
                </c:pt>
                <c:pt idx="18806">
                  <c:v>88.06</c:v>
                </c:pt>
                <c:pt idx="18807">
                  <c:v>88.07</c:v>
                </c:pt>
                <c:pt idx="18808">
                  <c:v>88.08</c:v>
                </c:pt>
                <c:pt idx="18809">
                  <c:v>88.09</c:v>
                </c:pt>
                <c:pt idx="18810">
                  <c:v>88.1</c:v>
                </c:pt>
                <c:pt idx="18811">
                  <c:v>88.11</c:v>
                </c:pt>
                <c:pt idx="18812">
                  <c:v>88.12</c:v>
                </c:pt>
                <c:pt idx="18813">
                  <c:v>88.13</c:v>
                </c:pt>
                <c:pt idx="18814">
                  <c:v>88.14</c:v>
                </c:pt>
                <c:pt idx="18815">
                  <c:v>88.15</c:v>
                </c:pt>
                <c:pt idx="18816">
                  <c:v>88.16</c:v>
                </c:pt>
                <c:pt idx="18817">
                  <c:v>88.17</c:v>
                </c:pt>
                <c:pt idx="18818">
                  <c:v>88.18</c:v>
                </c:pt>
                <c:pt idx="18819">
                  <c:v>88.19</c:v>
                </c:pt>
                <c:pt idx="18820">
                  <c:v>88.2</c:v>
                </c:pt>
                <c:pt idx="18821">
                  <c:v>88.21</c:v>
                </c:pt>
                <c:pt idx="18822">
                  <c:v>88.22</c:v>
                </c:pt>
                <c:pt idx="18823">
                  <c:v>88.23</c:v>
                </c:pt>
                <c:pt idx="18824">
                  <c:v>88.24</c:v>
                </c:pt>
                <c:pt idx="18825">
                  <c:v>88.25</c:v>
                </c:pt>
                <c:pt idx="18826">
                  <c:v>88.26</c:v>
                </c:pt>
                <c:pt idx="18827">
                  <c:v>88.27</c:v>
                </c:pt>
                <c:pt idx="18828">
                  <c:v>88.28</c:v>
                </c:pt>
                <c:pt idx="18829">
                  <c:v>88.29</c:v>
                </c:pt>
                <c:pt idx="18830">
                  <c:v>88.3</c:v>
                </c:pt>
                <c:pt idx="18831">
                  <c:v>88.31</c:v>
                </c:pt>
                <c:pt idx="18832">
                  <c:v>88.32</c:v>
                </c:pt>
                <c:pt idx="18833">
                  <c:v>88.33</c:v>
                </c:pt>
                <c:pt idx="18834">
                  <c:v>88.34</c:v>
                </c:pt>
                <c:pt idx="18835">
                  <c:v>88.35</c:v>
                </c:pt>
                <c:pt idx="18836">
                  <c:v>88.36</c:v>
                </c:pt>
                <c:pt idx="18837">
                  <c:v>88.37</c:v>
                </c:pt>
                <c:pt idx="18838">
                  <c:v>88.38</c:v>
                </c:pt>
                <c:pt idx="18839">
                  <c:v>88.39</c:v>
                </c:pt>
                <c:pt idx="18840">
                  <c:v>88.4</c:v>
                </c:pt>
                <c:pt idx="18841">
                  <c:v>88.41</c:v>
                </c:pt>
                <c:pt idx="18842">
                  <c:v>88.42</c:v>
                </c:pt>
                <c:pt idx="18843">
                  <c:v>88.43</c:v>
                </c:pt>
                <c:pt idx="18844">
                  <c:v>88.44</c:v>
                </c:pt>
                <c:pt idx="18845">
                  <c:v>88.45</c:v>
                </c:pt>
                <c:pt idx="18846">
                  <c:v>88.46</c:v>
                </c:pt>
                <c:pt idx="18847">
                  <c:v>88.47</c:v>
                </c:pt>
                <c:pt idx="18848">
                  <c:v>88.48</c:v>
                </c:pt>
                <c:pt idx="18849">
                  <c:v>88.49</c:v>
                </c:pt>
                <c:pt idx="18850">
                  <c:v>88.5</c:v>
                </c:pt>
                <c:pt idx="18851">
                  <c:v>88.51</c:v>
                </c:pt>
                <c:pt idx="18852">
                  <c:v>88.52</c:v>
                </c:pt>
                <c:pt idx="18853">
                  <c:v>88.53</c:v>
                </c:pt>
                <c:pt idx="18854">
                  <c:v>88.54</c:v>
                </c:pt>
                <c:pt idx="18855">
                  <c:v>88.55</c:v>
                </c:pt>
                <c:pt idx="18856">
                  <c:v>88.56</c:v>
                </c:pt>
                <c:pt idx="18857">
                  <c:v>88.57</c:v>
                </c:pt>
                <c:pt idx="18858">
                  <c:v>88.58</c:v>
                </c:pt>
                <c:pt idx="18859">
                  <c:v>88.59</c:v>
                </c:pt>
                <c:pt idx="18860">
                  <c:v>88.6</c:v>
                </c:pt>
                <c:pt idx="18861">
                  <c:v>88.61</c:v>
                </c:pt>
                <c:pt idx="18862">
                  <c:v>88.62</c:v>
                </c:pt>
                <c:pt idx="18863">
                  <c:v>88.63</c:v>
                </c:pt>
                <c:pt idx="18864">
                  <c:v>88.64</c:v>
                </c:pt>
                <c:pt idx="18865">
                  <c:v>88.65</c:v>
                </c:pt>
                <c:pt idx="18866">
                  <c:v>88.66</c:v>
                </c:pt>
                <c:pt idx="18867">
                  <c:v>88.67</c:v>
                </c:pt>
                <c:pt idx="18868">
                  <c:v>88.68</c:v>
                </c:pt>
                <c:pt idx="18869">
                  <c:v>88.69</c:v>
                </c:pt>
                <c:pt idx="18870">
                  <c:v>88.7</c:v>
                </c:pt>
                <c:pt idx="18871">
                  <c:v>88.71</c:v>
                </c:pt>
                <c:pt idx="18872">
                  <c:v>88.72</c:v>
                </c:pt>
                <c:pt idx="18873">
                  <c:v>88.73</c:v>
                </c:pt>
                <c:pt idx="18874">
                  <c:v>88.74</c:v>
                </c:pt>
                <c:pt idx="18875">
                  <c:v>88.75</c:v>
                </c:pt>
                <c:pt idx="18876">
                  <c:v>88.76</c:v>
                </c:pt>
                <c:pt idx="18877">
                  <c:v>88.77</c:v>
                </c:pt>
                <c:pt idx="18878">
                  <c:v>88.78</c:v>
                </c:pt>
                <c:pt idx="18879">
                  <c:v>88.79</c:v>
                </c:pt>
                <c:pt idx="18880">
                  <c:v>88.8</c:v>
                </c:pt>
                <c:pt idx="18881">
                  <c:v>88.81</c:v>
                </c:pt>
                <c:pt idx="18882">
                  <c:v>88.82</c:v>
                </c:pt>
                <c:pt idx="18883">
                  <c:v>88.83</c:v>
                </c:pt>
                <c:pt idx="18884">
                  <c:v>88.84</c:v>
                </c:pt>
                <c:pt idx="18885">
                  <c:v>88.85</c:v>
                </c:pt>
                <c:pt idx="18886">
                  <c:v>88.86</c:v>
                </c:pt>
                <c:pt idx="18887">
                  <c:v>88.87</c:v>
                </c:pt>
                <c:pt idx="18888">
                  <c:v>88.88</c:v>
                </c:pt>
                <c:pt idx="18889">
                  <c:v>88.89</c:v>
                </c:pt>
                <c:pt idx="18890">
                  <c:v>88.9</c:v>
                </c:pt>
                <c:pt idx="18891">
                  <c:v>88.91</c:v>
                </c:pt>
                <c:pt idx="18892">
                  <c:v>88.92</c:v>
                </c:pt>
                <c:pt idx="18893">
                  <c:v>88.93</c:v>
                </c:pt>
                <c:pt idx="18894">
                  <c:v>88.94</c:v>
                </c:pt>
                <c:pt idx="18895">
                  <c:v>88.95</c:v>
                </c:pt>
                <c:pt idx="18896">
                  <c:v>88.96</c:v>
                </c:pt>
                <c:pt idx="18897">
                  <c:v>88.97</c:v>
                </c:pt>
                <c:pt idx="18898">
                  <c:v>88.98</c:v>
                </c:pt>
                <c:pt idx="18899">
                  <c:v>88.99</c:v>
                </c:pt>
                <c:pt idx="18900">
                  <c:v>89.0</c:v>
                </c:pt>
                <c:pt idx="18901">
                  <c:v>89.01</c:v>
                </c:pt>
                <c:pt idx="18902">
                  <c:v>89.02</c:v>
                </c:pt>
                <c:pt idx="18903">
                  <c:v>89.03</c:v>
                </c:pt>
                <c:pt idx="18904">
                  <c:v>89.04</c:v>
                </c:pt>
                <c:pt idx="18905">
                  <c:v>89.05</c:v>
                </c:pt>
                <c:pt idx="18906">
                  <c:v>89.06</c:v>
                </c:pt>
                <c:pt idx="18907">
                  <c:v>89.07</c:v>
                </c:pt>
                <c:pt idx="18908">
                  <c:v>89.08</c:v>
                </c:pt>
                <c:pt idx="18909">
                  <c:v>89.09</c:v>
                </c:pt>
                <c:pt idx="18910">
                  <c:v>89.1</c:v>
                </c:pt>
                <c:pt idx="18911">
                  <c:v>89.11</c:v>
                </c:pt>
                <c:pt idx="18912">
                  <c:v>89.12</c:v>
                </c:pt>
                <c:pt idx="18913">
                  <c:v>89.13</c:v>
                </c:pt>
                <c:pt idx="18914">
                  <c:v>89.14</c:v>
                </c:pt>
                <c:pt idx="18915">
                  <c:v>89.15</c:v>
                </c:pt>
                <c:pt idx="18916">
                  <c:v>89.16</c:v>
                </c:pt>
                <c:pt idx="18917">
                  <c:v>89.17</c:v>
                </c:pt>
                <c:pt idx="18918">
                  <c:v>89.18</c:v>
                </c:pt>
                <c:pt idx="18919">
                  <c:v>89.19</c:v>
                </c:pt>
                <c:pt idx="18920">
                  <c:v>89.2</c:v>
                </c:pt>
                <c:pt idx="18921">
                  <c:v>89.21</c:v>
                </c:pt>
                <c:pt idx="18922">
                  <c:v>89.22</c:v>
                </c:pt>
                <c:pt idx="18923">
                  <c:v>89.23</c:v>
                </c:pt>
                <c:pt idx="18924">
                  <c:v>89.24</c:v>
                </c:pt>
                <c:pt idx="18925">
                  <c:v>89.25</c:v>
                </c:pt>
                <c:pt idx="18926">
                  <c:v>89.26</c:v>
                </c:pt>
                <c:pt idx="18927">
                  <c:v>89.27</c:v>
                </c:pt>
                <c:pt idx="18928">
                  <c:v>89.28</c:v>
                </c:pt>
                <c:pt idx="18929">
                  <c:v>89.29</c:v>
                </c:pt>
                <c:pt idx="18930">
                  <c:v>89.3</c:v>
                </c:pt>
                <c:pt idx="18931">
                  <c:v>89.31</c:v>
                </c:pt>
                <c:pt idx="18932">
                  <c:v>89.32</c:v>
                </c:pt>
                <c:pt idx="18933">
                  <c:v>89.33</c:v>
                </c:pt>
                <c:pt idx="18934">
                  <c:v>89.34</c:v>
                </c:pt>
                <c:pt idx="18935">
                  <c:v>89.35</c:v>
                </c:pt>
                <c:pt idx="18936">
                  <c:v>89.36</c:v>
                </c:pt>
                <c:pt idx="18937">
                  <c:v>89.37</c:v>
                </c:pt>
                <c:pt idx="18938">
                  <c:v>89.38</c:v>
                </c:pt>
                <c:pt idx="18939">
                  <c:v>89.39</c:v>
                </c:pt>
                <c:pt idx="18940">
                  <c:v>89.4</c:v>
                </c:pt>
                <c:pt idx="18941">
                  <c:v>89.41</c:v>
                </c:pt>
                <c:pt idx="18942">
                  <c:v>89.42</c:v>
                </c:pt>
                <c:pt idx="18943">
                  <c:v>89.43</c:v>
                </c:pt>
                <c:pt idx="18944">
                  <c:v>89.44</c:v>
                </c:pt>
                <c:pt idx="18945">
                  <c:v>89.45</c:v>
                </c:pt>
                <c:pt idx="18946">
                  <c:v>89.46</c:v>
                </c:pt>
                <c:pt idx="18947">
                  <c:v>89.47</c:v>
                </c:pt>
                <c:pt idx="18948">
                  <c:v>89.48</c:v>
                </c:pt>
                <c:pt idx="18949">
                  <c:v>89.49</c:v>
                </c:pt>
                <c:pt idx="18950">
                  <c:v>89.5</c:v>
                </c:pt>
                <c:pt idx="18951">
                  <c:v>89.51</c:v>
                </c:pt>
                <c:pt idx="18952">
                  <c:v>89.52</c:v>
                </c:pt>
                <c:pt idx="18953">
                  <c:v>89.53</c:v>
                </c:pt>
                <c:pt idx="18954">
                  <c:v>89.54</c:v>
                </c:pt>
                <c:pt idx="18955">
                  <c:v>89.55</c:v>
                </c:pt>
                <c:pt idx="18956">
                  <c:v>89.56</c:v>
                </c:pt>
                <c:pt idx="18957">
                  <c:v>89.57</c:v>
                </c:pt>
                <c:pt idx="18958">
                  <c:v>89.58</c:v>
                </c:pt>
                <c:pt idx="18959">
                  <c:v>89.59</c:v>
                </c:pt>
                <c:pt idx="18960">
                  <c:v>89.6</c:v>
                </c:pt>
                <c:pt idx="18961">
                  <c:v>89.61</c:v>
                </c:pt>
                <c:pt idx="18962">
                  <c:v>89.62</c:v>
                </c:pt>
                <c:pt idx="18963">
                  <c:v>89.63</c:v>
                </c:pt>
                <c:pt idx="18964">
                  <c:v>89.64</c:v>
                </c:pt>
                <c:pt idx="18965">
                  <c:v>89.65</c:v>
                </c:pt>
                <c:pt idx="18966">
                  <c:v>89.66</c:v>
                </c:pt>
                <c:pt idx="18967">
                  <c:v>89.67</c:v>
                </c:pt>
                <c:pt idx="18968">
                  <c:v>89.68</c:v>
                </c:pt>
                <c:pt idx="18969">
                  <c:v>89.69</c:v>
                </c:pt>
                <c:pt idx="18970">
                  <c:v>89.7</c:v>
                </c:pt>
                <c:pt idx="18971">
                  <c:v>89.71</c:v>
                </c:pt>
                <c:pt idx="18972">
                  <c:v>89.72</c:v>
                </c:pt>
                <c:pt idx="18973">
                  <c:v>89.73</c:v>
                </c:pt>
                <c:pt idx="18974">
                  <c:v>89.74</c:v>
                </c:pt>
                <c:pt idx="18975">
                  <c:v>89.75</c:v>
                </c:pt>
                <c:pt idx="18976">
                  <c:v>89.76</c:v>
                </c:pt>
                <c:pt idx="18977">
                  <c:v>89.77</c:v>
                </c:pt>
                <c:pt idx="18978">
                  <c:v>89.78</c:v>
                </c:pt>
                <c:pt idx="18979">
                  <c:v>89.79</c:v>
                </c:pt>
                <c:pt idx="18980">
                  <c:v>89.8</c:v>
                </c:pt>
                <c:pt idx="18981">
                  <c:v>89.81</c:v>
                </c:pt>
                <c:pt idx="18982">
                  <c:v>89.82</c:v>
                </c:pt>
                <c:pt idx="18983">
                  <c:v>89.83</c:v>
                </c:pt>
                <c:pt idx="18984">
                  <c:v>89.84</c:v>
                </c:pt>
                <c:pt idx="18985">
                  <c:v>89.85</c:v>
                </c:pt>
                <c:pt idx="18986">
                  <c:v>89.86</c:v>
                </c:pt>
                <c:pt idx="18987">
                  <c:v>89.87</c:v>
                </c:pt>
                <c:pt idx="18988">
                  <c:v>89.88</c:v>
                </c:pt>
                <c:pt idx="18989">
                  <c:v>89.89</c:v>
                </c:pt>
                <c:pt idx="18990">
                  <c:v>89.9</c:v>
                </c:pt>
                <c:pt idx="18991">
                  <c:v>89.91</c:v>
                </c:pt>
                <c:pt idx="18992">
                  <c:v>89.92</c:v>
                </c:pt>
                <c:pt idx="18993">
                  <c:v>89.93</c:v>
                </c:pt>
                <c:pt idx="18994">
                  <c:v>89.94</c:v>
                </c:pt>
                <c:pt idx="18995">
                  <c:v>89.95</c:v>
                </c:pt>
                <c:pt idx="18996">
                  <c:v>89.96</c:v>
                </c:pt>
                <c:pt idx="18997">
                  <c:v>89.97</c:v>
                </c:pt>
                <c:pt idx="18998">
                  <c:v>89.98</c:v>
                </c:pt>
                <c:pt idx="18999">
                  <c:v>89.99</c:v>
                </c:pt>
                <c:pt idx="19000">
                  <c:v>90.0</c:v>
                </c:pt>
                <c:pt idx="19001">
                  <c:v>90.01</c:v>
                </c:pt>
                <c:pt idx="19002">
                  <c:v>90.02</c:v>
                </c:pt>
                <c:pt idx="19003">
                  <c:v>90.03</c:v>
                </c:pt>
                <c:pt idx="19004">
                  <c:v>90.04</c:v>
                </c:pt>
                <c:pt idx="19005">
                  <c:v>90.05</c:v>
                </c:pt>
                <c:pt idx="19006">
                  <c:v>90.06</c:v>
                </c:pt>
                <c:pt idx="19007">
                  <c:v>90.07</c:v>
                </c:pt>
                <c:pt idx="19008">
                  <c:v>90.08</c:v>
                </c:pt>
                <c:pt idx="19009">
                  <c:v>90.09</c:v>
                </c:pt>
                <c:pt idx="19010">
                  <c:v>90.1</c:v>
                </c:pt>
                <c:pt idx="19011">
                  <c:v>90.11</c:v>
                </c:pt>
                <c:pt idx="19012">
                  <c:v>90.12</c:v>
                </c:pt>
                <c:pt idx="19013">
                  <c:v>90.13</c:v>
                </c:pt>
                <c:pt idx="19014">
                  <c:v>90.14</c:v>
                </c:pt>
                <c:pt idx="19015">
                  <c:v>90.15</c:v>
                </c:pt>
                <c:pt idx="19016">
                  <c:v>90.16</c:v>
                </c:pt>
                <c:pt idx="19017">
                  <c:v>90.17</c:v>
                </c:pt>
                <c:pt idx="19018">
                  <c:v>90.18</c:v>
                </c:pt>
                <c:pt idx="19019">
                  <c:v>90.19</c:v>
                </c:pt>
                <c:pt idx="19020">
                  <c:v>90.2</c:v>
                </c:pt>
                <c:pt idx="19021">
                  <c:v>90.21</c:v>
                </c:pt>
                <c:pt idx="19022">
                  <c:v>90.22</c:v>
                </c:pt>
                <c:pt idx="19023">
                  <c:v>90.23</c:v>
                </c:pt>
                <c:pt idx="19024">
                  <c:v>90.24</c:v>
                </c:pt>
                <c:pt idx="19025">
                  <c:v>90.25</c:v>
                </c:pt>
                <c:pt idx="19026">
                  <c:v>90.26</c:v>
                </c:pt>
                <c:pt idx="19027">
                  <c:v>90.27</c:v>
                </c:pt>
                <c:pt idx="19028">
                  <c:v>90.28</c:v>
                </c:pt>
                <c:pt idx="19029">
                  <c:v>90.29</c:v>
                </c:pt>
                <c:pt idx="19030">
                  <c:v>90.3</c:v>
                </c:pt>
                <c:pt idx="19031">
                  <c:v>90.31</c:v>
                </c:pt>
                <c:pt idx="19032">
                  <c:v>90.32</c:v>
                </c:pt>
                <c:pt idx="19033">
                  <c:v>90.33</c:v>
                </c:pt>
                <c:pt idx="19034">
                  <c:v>90.34</c:v>
                </c:pt>
                <c:pt idx="19035">
                  <c:v>90.35</c:v>
                </c:pt>
                <c:pt idx="19036">
                  <c:v>90.36</c:v>
                </c:pt>
                <c:pt idx="19037">
                  <c:v>90.37</c:v>
                </c:pt>
                <c:pt idx="19038">
                  <c:v>90.38</c:v>
                </c:pt>
                <c:pt idx="19039">
                  <c:v>90.39</c:v>
                </c:pt>
                <c:pt idx="19040">
                  <c:v>90.4</c:v>
                </c:pt>
                <c:pt idx="19041">
                  <c:v>90.41</c:v>
                </c:pt>
                <c:pt idx="19042">
                  <c:v>90.42</c:v>
                </c:pt>
                <c:pt idx="19043">
                  <c:v>90.43</c:v>
                </c:pt>
                <c:pt idx="19044">
                  <c:v>90.44</c:v>
                </c:pt>
                <c:pt idx="19045">
                  <c:v>90.45</c:v>
                </c:pt>
                <c:pt idx="19046">
                  <c:v>90.46</c:v>
                </c:pt>
                <c:pt idx="19047">
                  <c:v>90.47</c:v>
                </c:pt>
                <c:pt idx="19048">
                  <c:v>90.48</c:v>
                </c:pt>
                <c:pt idx="19049">
                  <c:v>90.49</c:v>
                </c:pt>
                <c:pt idx="19050">
                  <c:v>90.5</c:v>
                </c:pt>
                <c:pt idx="19051">
                  <c:v>90.51</c:v>
                </c:pt>
                <c:pt idx="19052">
                  <c:v>90.52</c:v>
                </c:pt>
                <c:pt idx="19053">
                  <c:v>90.53</c:v>
                </c:pt>
                <c:pt idx="19054">
                  <c:v>90.54</c:v>
                </c:pt>
                <c:pt idx="19055">
                  <c:v>90.55</c:v>
                </c:pt>
                <c:pt idx="19056">
                  <c:v>90.56</c:v>
                </c:pt>
                <c:pt idx="19057">
                  <c:v>90.57</c:v>
                </c:pt>
                <c:pt idx="19058">
                  <c:v>90.58</c:v>
                </c:pt>
                <c:pt idx="19059">
                  <c:v>90.59</c:v>
                </c:pt>
                <c:pt idx="19060">
                  <c:v>90.6</c:v>
                </c:pt>
                <c:pt idx="19061">
                  <c:v>90.61</c:v>
                </c:pt>
                <c:pt idx="19062">
                  <c:v>90.62</c:v>
                </c:pt>
                <c:pt idx="19063">
                  <c:v>90.63</c:v>
                </c:pt>
                <c:pt idx="19064">
                  <c:v>90.64</c:v>
                </c:pt>
                <c:pt idx="19065">
                  <c:v>90.65</c:v>
                </c:pt>
                <c:pt idx="19066">
                  <c:v>90.66</c:v>
                </c:pt>
                <c:pt idx="19067">
                  <c:v>90.67</c:v>
                </c:pt>
                <c:pt idx="19068">
                  <c:v>90.68</c:v>
                </c:pt>
                <c:pt idx="19069">
                  <c:v>90.69</c:v>
                </c:pt>
                <c:pt idx="19070">
                  <c:v>90.7</c:v>
                </c:pt>
                <c:pt idx="19071">
                  <c:v>90.71</c:v>
                </c:pt>
                <c:pt idx="19072">
                  <c:v>90.72</c:v>
                </c:pt>
                <c:pt idx="19073">
                  <c:v>90.73</c:v>
                </c:pt>
                <c:pt idx="19074">
                  <c:v>90.74</c:v>
                </c:pt>
                <c:pt idx="19075">
                  <c:v>90.75</c:v>
                </c:pt>
                <c:pt idx="19076">
                  <c:v>90.76</c:v>
                </c:pt>
                <c:pt idx="19077">
                  <c:v>90.77</c:v>
                </c:pt>
                <c:pt idx="19078">
                  <c:v>90.78</c:v>
                </c:pt>
                <c:pt idx="19079">
                  <c:v>90.79</c:v>
                </c:pt>
                <c:pt idx="19080">
                  <c:v>90.8</c:v>
                </c:pt>
                <c:pt idx="19081">
                  <c:v>90.81</c:v>
                </c:pt>
                <c:pt idx="19082">
                  <c:v>90.82</c:v>
                </c:pt>
                <c:pt idx="19083">
                  <c:v>90.83</c:v>
                </c:pt>
                <c:pt idx="19084">
                  <c:v>90.84</c:v>
                </c:pt>
                <c:pt idx="19085">
                  <c:v>90.85</c:v>
                </c:pt>
                <c:pt idx="19086">
                  <c:v>90.86</c:v>
                </c:pt>
                <c:pt idx="19087">
                  <c:v>90.87</c:v>
                </c:pt>
                <c:pt idx="19088">
                  <c:v>90.88</c:v>
                </c:pt>
                <c:pt idx="19089">
                  <c:v>90.89</c:v>
                </c:pt>
                <c:pt idx="19090">
                  <c:v>90.9</c:v>
                </c:pt>
                <c:pt idx="19091">
                  <c:v>90.91</c:v>
                </c:pt>
                <c:pt idx="19092">
                  <c:v>90.92</c:v>
                </c:pt>
                <c:pt idx="19093">
                  <c:v>90.93</c:v>
                </c:pt>
                <c:pt idx="19094">
                  <c:v>90.94</c:v>
                </c:pt>
                <c:pt idx="19095">
                  <c:v>90.95</c:v>
                </c:pt>
                <c:pt idx="19096">
                  <c:v>90.96</c:v>
                </c:pt>
                <c:pt idx="19097">
                  <c:v>90.97</c:v>
                </c:pt>
                <c:pt idx="19098">
                  <c:v>90.98</c:v>
                </c:pt>
                <c:pt idx="19099">
                  <c:v>90.99</c:v>
                </c:pt>
                <c:pt idx="19100">
                  <c:v>91.0</c:v>
                </c:pt>
                <c:pt idx="19101">
                  <c:v>91.01</c:v>
                </c:pt>
                <c:pt idx="19102">
                  <c:v>91.02</c:v>
                </c:pt>
                <c:pt idx="19103">
                  <c:v>91.03</c:v>
                </c:pt>
                <c:pt idx="19104">
                  <c:v>91.04</c:v>
                </c:pt>
                <c:pt idx="19105">
                  <c:v>91.05</c:v>
                </c:pt>
                <c:pt idx="19106">
                  <c:v>91.06</c:v>
                </c:pt>
                <c:pt idx="19107">
                  <c:v>91.07</c:v>
                </c:pt>
                <c:pt idx="19108">
                  <c:v>91.08</c:v>
                </c:pt>
                <c:pt idx="19109">
                  <c:v>91.09</c:v>
                </c:pt>
                <c:pt idx="19110">
                  <c:v>91.1</c:v>
                </c:pt>
                <c:pt idx="19111">
                  <c:v>91.11</c:v>
                </c:pt>
                <c:pt idx="19112">
                  <c:v>91.12</c:v>
                </c:pt>
                <c:pt idx="19113">
                  <c:v>91.13</c:v>
                </c:pt>
                <c:pt idx="19114">
                  <c:v>91.14</c:v>
                </c:pt>
                <c:pt idx="19115">
                  <c:v>91.15</c:v>
                </c:pt>
                <c:pt idx="19116">
                  <c:v>91.16</c:v>
                </c:pt>
                <c:pt idx="19117">
                  <c:v>91.17</c:v>
                </c:pt>
                <c:pt idx="19118">
                  <c:v>91.18</c:v>
                </c:pt>
                <c:pt idx="19119">
                  <c:v>91.19</c:v>
                </c:pt>
                <c:pt idx="19120">
                  <c:v>91.2</c:v>
                </c:pt>
                <c:pt idx="19121">
                  <c:v>91.21</c:v>
                </c:pt>
                <c:pt idx="19122">
                  <c:v>91.22</c:v>
                </c:pt>
                <c:pt idx="19123">
                  <c:v>91.23</c:v>
                </c:pt>
                <c:pt idx="19124">
                  <c:v>91.24</c:v>
                </c:pt>
                <c:pt idx="19125">
                  <c:v>91.25</c:v>
                </c:pt>
                <c:pt idx="19126">
                  <c:v>91.26</c:v>
                </c:pt>
                <c:pt idx="19127">
                  <c:v>91.27</c:v>
                </c:pt>
                <c:pt idx="19128">
                  <c:v>91.28</c:v>
                </c:pt>
                <c:pt idx="19129">
                  <c:v>91.29</c:v>
                </c:pt>
                <c:pt idx="19130">
                  <c:v>91.3</c:v>
                </c:pt>
                <c:pt idx="19131">
                  <c:v>91.31</c:v>
                </c:pt>
                <c:pt idx="19132">
                  <c:v>91.32</c:v>
                </c:pt>
                <c:pt idx="19133">
                  <c:v>91.33</c:v>
                </c:pt>
                <c:pt idx="19134">
                  <c:v>91.34</c:v>
                </c:pt>
                <c:pt idx="19135">
                  <c:v>91.35</c:v>
                </c:pt>
                <c:pt idx="19136">
                  <c:v>91.36</c:v>
                </c:pt>
                <c:pt idx="19137">
                  <c:v>91.37</c:v>
                </c:pt>
                <c:pt idx="19138">
                  <c:v>91.38</c:v>
                </c:pt>
                <c:pt idx="19139">
                  <c:v>91.39</c:v>
                </c:pt>
                <c:pt idx="19140">
                  <c:v>91.4</c:v>
                </c:pt>
                <c:pt idx="19141">
                  <c:v>91.41</c:v>
                </c:pt>
                <c:pt idx="19142">
                  <c:v>91.42</c:v>
                </c:pt>
                <c:pt idx="19143">
                  <c:v>91.43</c:v>
                </c:pt>
                <c:pt idx="19144">
                  <c:v>91.44</c:v>
                </c:pt>
                <c:pt idx="19145">
                  <c:v>91.45</c:v>
                </c:pt>
                <c:pt idx="19146">
                  <c:v>91.46</c:v>
                </c:pt>
                <c:pt idx="19147">
                  <c:v>91.47</c:v>
                </c:pt>
                <c:pt idx="19148">
                  <c:v>91.48</c:v>
                </c:pt>
                <c:pt idx="19149">
                  <c:v>91.49</c:v>
                </c:pt>
                <c:pt idx="19150">
                  <c:v>91.5</c:v>
                </c:pt>
                <c:pt idx="19151">
                  <c:v>91.51</c:v>
                </c:pt>
                <c:pt idx="19152">
                  <c:v>91.52</c:v>
                </c:pt>
                <c:pt idx="19153">
                  <c:v>91.53</c:v>
                </c:pt>
                <c:pt idx="19154">
                  <c:v>91.54</c:v>
                </c:pt>
                <c:pt idx="19155">
                  <c:v>91.55</c:v>
                </c:pt>
                <c:pt idx="19156">
                  <c:v>91.56</c:v>
                </c:pt>
                <c:pt idx="19157">
                  <c:v>91.57</c:v>
                </c:pt>
                <c:pt idx="19158">
                  <c:v>91.58</c:v>
                </c:pt>
                <c:pt idx="19159">
                  <c:v>91.59</c:v>
                </c:pt>
                <c:pt idx="19160">
                  <c:v>91.6</c:v>
                </c:pt>
                <c:pt idx="19161">
                  <c:v>91.61</c:v>
                </c:pt>
                <c:pt idx="19162">
                  <c:v>91.62</c:v>
                </c:pt>
                <c:pt idx="19163">
                  <c:v>91.63</c:v>
                </c:pt>
                <c:pt idx="19164">
                  <c:v>91.64</c:v>
                </c:pt>
                <c:pt idx="19165">
                  <c:v>91.65</c:v>
                </c:pt>
                <c:pt idx="19166">
                  <c:v>91.66</c:v>
                </c:pt>
                <c:pt idx="19167">
                  <c:v>91.67</c:v>
                </c:pt>
                <c:pt idx="19168">
                  <c:v>91.68</c:v>
                </c:pt>
                <c:pt idx="19169">
                  <c:v>91.69</c:v>
                </c:pt>
                <c:pt idx="19170">
                  <c:v>91.7</c:v>
                </c:pt>
                <c:pt idx="19171">
                  <c:v>91.71</c:v>
                </c:pt>
                <c:pt idx="19172">
                  <c:v>91.72</c:v>
                </c:pt>
                <c:pt idx="19173">
                  <c:v>91.73</c:v>
                </c:pt>
                <c:pt idx="19174">
                  <c:v>91.74</c:v>
                </c:pt>
                <c:pt idx="19175">
                  <c:v>91.75</c:v>
                </c:pt>
                <c:pt idx="19176">
                  <c:v>91.76</c:v>
                </c:pt>
                <c:pt idx="19177">
                  <c:v>91.77</c:v>
                </c:pt>
                <c:pt idx="19178">
                  <c:v>91.78</c:v>
                </c:pt>
                <c:pt idx="19179">
                  <c:v>91.79</c:v>
                </c:pt>
                <c:pt idx="19180">
                  <c:v>91.8</c:v>
                </c:pt>
                <c:pt idx="19181">
                  <c:v>91.81</c:v>
                </c:pt>
                <c:pt idx="19182">
                  <c:v>91.82</c:v>
                </c:pt>
                <c:pt idx="19183">
                  <c:v>91.83</c:v>
                </c:pt>
                <c:pt idx="19184">
                  <c:v>91.84</c:v>
                </c:pt>
                <c:pt idx="19185">
                  <c:v>91.85</c:v>
                </c:pt>
                <c:pt idx="19186">
                  <c:v>91.86</c:v>
                </c:pt>
                <c:pt idx="19187">
                  <c:v>91.87</c:v>
                </c:pt>
                <c:pt idx="19188">
                  <c:v>91.88</c:v>
                </c:pt>
                <c:pt idx="19189">
                  <c:v>91.89</c:v>
                </c:pt>
                <c:pt idx="19190">
                  <c:v>91.9</c:v>
                </c:pt>
                <c:pt idx="19191">
                  <c:v>91.91</c:v>
                </c:pt>
                <c:pt idx="19192">
                  <c:v>91.92</c:v>
                </c:pt>
                <c:pt idx="19193">
                  <c:v>91.93</c:v>
                </c:pt>
                <c:pt idx="19194">
                  <c:v>91.94</c:v>
                </c:pt>
                <c:pt idx="19195">
                  <c:v>91.95</c:v>
                </c:pt>
                <c:pt idx="19196">
                  <c:v>91.96</c:v>
                </c:pt>
                <c:pt idx="19197">
                  <c:v>91.97</c:v>
                </c:pt>
                <c:pt idx="19198">
                  <c:v>91.98</c:v>
                </c:pt>
                <c:pt idx="19199">
                  <c:v>91.99</c:v>
                </c:pt>
                <c:pt idx="19200">
                  <c:v>92.0</c:v>
                </c:pt>
                <c:pt idx="19201">
                  <c:v>92.01</c:v>
                </c:pt>
                <c:pt idx="19202">
                  <c:v>92.02</c:v>
                </c:pt>
                <c:pt idx="19203">
                  <c:v>92.03</c:v>
                </c:pt>
                <c:pt idx="19204">
                  <c:v>92.04</c:v>
                </c:pt>
                <c:pt idx="19205">
                  <c:v>92.05</c:v>
                </c:pt>
                <c:pt idx="19206">
                  <c:v>92.06</c:v>
                </c:pt>
                <c:pt idx="19207">
                  <c:v>92.07</c:v>
                </c:pt>
                <c:pt idx="19208">
                  <c:v>92.08</c:v>
                </c:pt>
                <c:pt idx="19209">
                  <c:v>92.09</c:v>
                </c:pt>
                <c:pt idx="19210">
                  <c:v>92.1</c:v>
                </c:pt>
                <c:pt idx="19211">
                  <c:v>92.11</c:v>
                </c:pt>
                <c:pt idx="19212">
                  <c:v>92.12</c:v>
                </c:pt>
                <c:pt idx="19213">
                  <c:v>92.13</c:v>
                </c:pt>
                <c:pt idx="19214">
                  <c:v>92.14</c:v>
                </c:pt>
                <c:pt idx="19215">
                  <c:v>92.15</c:v>
                </c:pt>
                <c:pt idx="19216">
                  <c:v>92.16</c:v>
                </c:pt>
                <c:pt idx="19217">
                  <c:v>92.17</c:v>
                </c:pt>
                <c:pt idx="19218">
                  <c:v>92.18</c:v>
                </c:pt>
                <c:pt idx="19219">
                  <c:v>92.19</c:v>
                </c:pt>
                <c:pt idx="19220">
                  <c:v>92.2</c:v>
                </c:pt>
                <c:pt idx="19221">
                  <c:v>92.21</c:v>
                </c:pt>
                <c:pt idx="19222">
                  <c:v>92.22</c:v>
                </c:pt>
                <c:pt idx="19223">
                  <c:v>92.23</c:v>
                </c:pt>
                <c:pt idx="19224">
                  <c:v>92.24</c:v>
                </c:pt>
                <c:pt idx="19225">
                  <c:v>92.25</c:v>
                </c:pt>
                <c:pt idx="19226">
                  <c:v>92.26</c:v>
                </c:pt>
                <c:pt idx="19227">
                  <c:v>92.27</c:v>
                </c:pt>
                <c:pt idx="19228">
                  <c:v>92.28</c:v>
                </c:pt>
                <c:pt idx="19229">
                  <c:v>92.29</c:v>
                </c:pt>
                <c:pt idx="19230">
                  <c:v>92.3</c:v>
                </c:pt>
                <c:pt idx="19231">
                  <c:v>92.31</c:v>
                </c:pt>
                <c:pt idx="19232">
                  <c:v>92.32</c:v>
                </c:pt>
                <c:pt idx="19233">
                  <c:v>92.33</c:v>
                </c:pt>
                <c:pt idx="19234">
                  <c:v>92.34</c:v>
                </c:pt>
                <c:pt idx="19235">
                  <c:v>92.35</c:v>
                </c:pt>
                <c:pt idx="19236">
                  <c:v>92.36</c:v>
                </c:pt>
                <c:pt idx="19237">
                  <c:v>92.37</c:v>
                </c:pt>
                <c:pt idx="19238">
                  <c:v>92.38</c:v>
                </c:pt>
                <c:pt idx="19239">
                  <c:v>92.39</c:v>
                </c:pt>
                <c:pt idx="19240">
                  <c:v>92.4</c:v>
                </c:pt>
                <c:pt idx="19241">
                  <c:v>92.41</c:v>
                </c:pt>
                <c:pt idx="19242">
                  <c:v>92.42</c:v>
                </c:pt>
                <c:pt idx="19243">
                  <c:v>92.43</c:v>
                </c:pt>
                <c:pt idx="19244">
                  <c:v>92.44</c:v>
                </c:pt>
                <c:pt idx="19245">
                  <c:v>92.45</c:v>
                </c:pt>
                <c:pt idx="19246">
                  <c:v>92.46</c:v>
                </c:pt>
                <c:pt idx="19247">
                  <c:v>92.47</c:v>
                </c:pt>
                <c:pt idx="19248">
                  <c:v>92.48</c:v>
                </c:pt>
                <c:pt idx="19249">
                  <c:v>92.49</c:v>
                </c:pt>
                <c:pt idx="19250">
                  <c:v>92.5</c:v>
                </c:pt>
                <c:pt idx="19251">
                  <c:v>92.51</c:v>
                </c:pt>
                <c:pt idx="19252">
                  <c:v>92.52</c:v>
                </c:pt>
                <c:pt idx="19253">
                  <c:v>92.53</c:v>
                </c:pt>
                <c:pt idx="19254">
                  <c:v>92.54</c:v>
                </c:pt>
                <c:pt idx="19255">
                  <c:v>92.55</c:v>
                </c:pt>
                <c:pt idx="19256">
                  <c:v>92.56</c:v>
                </c:pt>
                <c:pt idx="19257">
                  <c:v>92.57</c:v>
                </c:pt>
                <c:pt idx="19258">
                  <c:v>92.58</c:v>
                </c:pt>
                <c:pt idx="19259">
                  <c:v>92.59</c:v>
                </c:pt>
                <c:pt idx="19260">
                  <c:v>92.6</c:v>
                </c:pt>
                <c:pt idx="19261">
                  <c:v>92.61</c:v>
                </c:pt>
                <c:pt idx="19262">
                  <c:v>92.62</c:v>
                </c:pt>
                <c:pt idx="19263">
                  <c:v>92.63</c:v>
                </c:pt>
                <c:pt idx="19264">
                  <c:v>92.64</c:v>
                </c:pt>
                <c:pt idx="19265">
                  <c:v>92.65</c:v>
                </c:pt>
                <c:pt idx="19266">
                  <c:v>92.66</c:v>
                </c:pt>
                <c:pt idx="19267">
                  <c:v>92.67</c:v>
                </c:pt>
                <c:pt idx="19268">
                  <c:v>92.68</c:v>
                </c:pt>
                <c:pt idx="19269">
                  <c:v>92.69</c:v>
                </c:pt>
                <c:pt idx="19270">
                  <c:v>92.7</c:v>
                </c:pt>
                <c:pt idx="19271">
                  <c:v>92.71</c:v>
                </c:pt>
                <c:pt idx="19272">
                  <c:v>92.72</c:v>
                </c:pt>
                <c:pt idx="19273">
                  <c:v>92.73</c:v>
                </c:pt>
                <c:pt idx="19274">
                  <c:v>92.74</c:v>
                </c:pt>
                <c:pt idx="19275">
                  <c:v>92.75</c:v>
                </c:pt>
                <c:pt idx="19276">
                  <c:v>92.76</c:v>
                </c:pt>
                <c:pt idx="19277">
                  <c:v>92.77</c:v>
                </c:pt>
                <c:pt idx="19278">
                  <c:v>92.78</c:v>
                </c:pt>
                <c:pt idx="19279">
                  <c:v>92.79</c:v>
                </c:pt>
                <c:pt idx="19280">
                  <c:v>92.8</c:v>
                </c:pt>
                <c:pt idx="19281">
                  <c:v>92.81</c:v>
                </c:pt>
                <c:pt idx="19282">
                  <c:v>92.82</c:v>
                </c:pt>
                <c:pt idx="19283">
                  <c:v>92.83</c:v>
                </c:pt>
                <c:pt idx="19284">
                  <c:v>92.84</c:v>
                </c:pt>
                <c:pt idx="19285">
                  <c:v>92.85</c:v>
                </c:pt>
                <c:pt idx="19286">
                  <c:v>92.86</c:v>
                </c:pt>
                <c:pt idx="19287">
                  <c:v>92.87</c:v>
                </c:pt>
                <c:pt idx="19288">
                  <c:v>92.88</c:v>
                </c:pt>
                <c:pt idx="19289">
                  <c:v>92.89</c:v>
                </c:pt>
                <c:pt idx="19290">
                  <c:v>92.9</c:v>
                </c:pt>
                <c:pt idx="19291">
                  <c:v>92.91</c:v>
                </c:pt>
                <c:pt idx="19292">
                  <c:v>92.92</c:v>
                </c:pt>
                <c:pt idx="19293">
                  <c:v>92.93</c:v>
                </c:pt>
                <c:pt idx="19294">
                  <c:v>92.94</c:v>
                </c:pt>
                <c:pt idx="19295">
                  <c:v>92.95</c:v>
                </c:pt>
                <c:pt idx="19296">
                  <c:v>92.96</c:v>
                </c:pt>
                <c:pt idx="19297">
                  <c:v>92.97</c:v>
                </c:pt>
                <c:pt idx="19298">
                  <c:v>92.98</c:v>
                </c:pt>
                <c:pt idx="19299">
                  <c:v>92.99</c:v>
                </c:pt>
                <c:pt idx="19300">
                  <c:v>93.0</c:v>
                </c:pt>
                <c:pt idx="19301">
                  <c:v>93.01</c:v>
                </c:pt>
                <c:pt idx="19302">
                  <c:v>93.02</c:v>
                </c:pt>
                <c:pt idx="19303">
                  <c:v>93.03</c:v>
                </c:pt>
                <c:pt idx="19304">
                  <c:v>93.04</c:v>
                </c:pt>
                <c:pt idx="19305">
                  <c:v>93.05</c:v>
                </c:pt>
                <c:pt idx="19306">
                  <c:v>93.06</c:v>
                </c:pt>
                <c:pt idx="19307">
                  <c:v>93.07</c:v>
                </c:pt>
                <c:pt idx="19308">
                  <c:v>93.08</c:v>
                </c:pt>
                <c:pt idx="19309">
                  <c:v>93.09</c:v>
                </c:pt>
                <c:pt idx="19310">
                  <c:v>93.1</c:v>
                </c:pt>
                <c:pt idx="19311">
                  <c:v>93.11</c:v>
                </c:pt>
                <c:pt idx="19312">
                  <c:v>93.12</c:v>
                </c:pt>
                <c:pt idx="19313">
                  <c:v>93.13</c:v>
                </c:pt>
                <c:pt idx="19314">
                  <c:v>93.14</c:v>
                </c:pt>
                <c:pt idx="19315">
                  <c:v>93.15</c:v>
                </c:pt>
                <c:pt idx="19316">
                  <c:v>93.16</c:v>
                </c:pt>
                <c:pt idx="19317">
                  <c:v>93.17</c:v>
                </c:pt>
                <c:pt idx="19318">
                  <c:v>93.18</c:v>
                </c:pt>
                <c:pt idx="19319">
                  <c:v>93.19</c:v>
                </c:pt>
                <c:pt idx="19320">
                  <c:v>93.2</c:v>
                </c:pt>
                <c:pt idx="19321">
                  <c:v>93.21</c:v>
                </c:pt>
                <c:pt idx="19322">
                  <c:v>93.22</c:v>
                </c:pt>
                <c:pt idx="19323">
                  <c:v>93.23</c:v>
                </c:pt>
                <c:pt idx="19324">
                  <c:v>93.24</c:v>
                </c:pt>
                <c:pt idx="19325">
                  <c:v>93.25</c:v>
                </c:pt>
                <c:pt idx="19326">
                  <c:v>93.26</c:v>
                </c:pt>
                <c:pt idx="19327">
                  <c:v>93.27</c:v>
                </c:pt>
                <c:pt idx="19328">
                  <c:v>93.28</c:v>
                </c:pt>
                <c:pt idx="19329">
                  <c:v>93.29</c:v>
                </c:pt>
                <c:pt idx="19330">
                  <c:v>93.3</c:v>
                </c:pt>
                <c:pt idx="19331">
                  <c:v>93.31</c:v>
                </c:pt>
                <c:pt idx="19332">
                  <c:v>93.32</c:v>
                </c:pt>
                <c:pt idx="19333">
                  <c:v>93.33</c:v>
                </c:pt>
                <c:pt idx="19334">
                  <c:v>93.34</c:v>
                </c:pt>
                <c:pt idx="19335">
                  <c:v>93.35</c:v>
                </c:pt>
                <c:pt idx="19336">
                  <c:v>93.36</c:v>
                </c:pt>
                <c:pt idx="19337">
                  <c:v>93.37</c:v>
                </c:pt>
                <c:pt idx="19338">
                  <c:v>93.38</c:v>
                </c:pt>
                <c:pt idx="19339">
                  <c:v>93.39</c:v>
                </c:pt>
                <c:pt idx="19340">
                  <c:v>93.4</c:v>
                </c:pt>
                <c:pt idx="19341">
                  <c:v>93.41</c:v>
                </c:pt>
                <c:pt idx="19342">
                  <c:v>93.42</c:v>
                </c:pt>
                <c:pt idx="19343">
                  <c:v>93.43</c:v>
                </c:pt>
                <c:pt idx="19344">
                  <c:v>93.44</c:v>
                </c:pt>
                <c:pt idx="19345">
                  <c:v>93.45</c:v>
                </c:pt>
                <c:pt idx="19346">
                  <c:v>93.46</c:v>
                </c:pt>
                <c:pt idx="19347">
                  <c:v>93.47</c:v>
                </c:pt>
                <c:pt idx="19348">
                  <c:v>93.48</c:v>
                </c:pt>
                <c:pt idx="19349">
                  <c:v>93.49</c:v>
                </c:pt>
                <c:pt idx="19350">
                  <c:v>93.5</c:v>
                </c:pt>
                <c:pt idx="19351">
                  <c:v>93.51</c:v>
                </c:pt>
                <c:pt idx="19352">
                  <c:v>93.52</c:v>
                </c:pt>
                <c:pt idx="19353">
                  <c:v>93.53</c:v>
                </c:pt>
                <c:pt idx="19354">
                  <c:v>93.54</c:v>
                </c:pt>
                <c:pt idx="19355">
                  <c:v>93.55</c:v>
                </c:pt>
                <c:pt idx="19356">
                  <c:v>93.56</c:v>
                </c:pt>
                <c:pt idx="19357">
                  <c:v>93.57</c:v>
                </c:pt>
                <c:pt idx="19358">
                  <c:v>93.58</c:v>
                </c:pt>
                <c:pt idx="19359">
                  <c:v>93.59</c:v>
                </c:pt>
                <c:pt idx="19360">
                  <c:v>93.6</c:v>
                </c:pt>
                <c:pt idx="19361">
                  <c:v>93.61</c:v>
                </c:pt>
                <c:pt idx="19362">
                  <c:v>93.62</c:v>
                </c:pt>
                <c:pt idx="19363">
                  <c:v>93.63</c:v>
                </c:pt>
                <c:pt idx="19364">
                  <c:v>93.64</c:v>
                </c:pt>
                <c:pt idx="19365">
                  <c:v>93.65</c:v>
                </c:pt>
                <c:pt idx="19366">
                  <c:v>93.66</c:v>
                </c:pt>
                <c:pt idx="19367">
                  <c:v>93.67</c:v>
                </c:pt>
                <c:pt idx="19368">
                  <c:v>93.68</c:v>
                </c:pt>
                <c:pt idx="19369">
                  <c:v>93.69</c:v>
                </c:pt>
                <c:pt idx="19370">
                  <c:v>93.7</c:v>
                </c:pt>
                <c:pt idx="19371">
                  <c:v>93.71</c:v>
                </c:pt>
                <c:pt idx="19372">
                  <c:v>93.72</c:v>
                </c:pt>
                <c:pt idx="19373">
                  <c:v>93.73</c:v>
                </c:pt>
                <c:pt idx="19374">
                  <c:v>93.74</c:v>
                </c:pt>
                <c:pt idx="19375">
                  <c:v>93.75</c:v>
                </c:pt>
                <c:pt idx="19376">
                  <c:v>93.76</c:v>
                </c:pt>
                <c:pt idx="19377">
                  <c:v>93.77</c:v>
                </c:pt>
                <c:pt idx="19378">
                  <c:v>93.78</c:v>
                </c:pt>
                <c:pt idx="19379">
                  <c:v>93.79</c:v>
                </c:pt>
                <c:pt idx="19380">
                  <c:v>93.8</c:v>
                </c:pt>
                <c:pt idx="19381">
                  <c:v>93.81</c:v>
                </c:pt>
                <c:pt idx="19382">
                  <c:v>93.82</c:v>
                </c:pt>
                <c:pt idx="19383">
                  <c:v>93.83</c:v>
                </c:pt>
                <c:pt idx="19384">
                  <c:v>93.84</c:v>
                </c:pt>
                <c:pt idx="19385">
                  <c:v>93.85</c:v>
                </c:pt>
                <c:pt idx="19386">
                  <c:v>93.86</c:v>
                </c:pt>
                <c:pt idx="19387">
                  <c:v>93.87</c:v>
                </c:pt>
                <c:pt idx="19388">
                  <c:v>93.88</c:v>
                </c:pt>
                <c:pt idx="19389">
                  <c:v>93.89</c:v>
                </c:pt>
                <c:pt idx="19390">
                  <c:v>93.9</c:v>
                </c:pt>
                <c:pt idx="19391">
                  <c:v>93.91</c:v>
                </c:pt>
                <c:pt idx="19392">
                  <c:v>93.92</c:v>
                </c:pt>
                <c:pt idx="19393">
                  <c:v>93.93</c:v>
                </c:pt>
                <c:pt idx="19394">
                  <c:v>93.94</c:v>
                </c:pt>
                <c:pt idx="19395">
                  <c:v>93.95</c:v>
                </c:pt>
                <c:pt idx="19396">
                  <c:v>93.96</c:v>
                </c:pt>
                <c:pt idx="19397">
                  <c:v>93.97</c:v>
                </c:pt>
                <c:pt idx="19398">
                  <c:v>93.98</c:v>
                </c:pt>
                <c:pt idx="19399">
                  <c:v>93.99</c:v>
                </c:pt>
                <c:pt idx="19400">
                  <c:v>94.0</c:v>
                </c:pt>
                <c:pt idx="19401">
                  <c:v>94.01</c:v>
                </c:pt>
                <c:pt idx="19402">
                  <c:v>94.02</c:v>
                </c:pt>
                <c:pt idx="19403">
                  <c:v>94.03</c:v>
                </c:pt>
                <c:pt idx="19404">
                  <c:v>94.04</c:v>
                </c:pt>
                <c:pt idx="19405">
                  <c:v>94.05</c:v>
                </c:pt>
                <c:pt idx="19406">
                  <c:v>94.06</c:v>
                </c:pt>
                <c:pt idx="19407">
                  <c:v>94.07</c:v>
                </c:pt>
                <c:pt idx="19408">
                  <c:v>94.08</c:v>
                </c:pt>
                <c:pt idx="19409">
                  <c:v>94.09</c:v>
                </c:pt>
                <c:pt idx="19410">
                  <c:v>94.1</c:v>
                </c:pt>
                <c:pt idx="19411">
                  <c:v>94.11</c:v>
                </c:pt>
                <c:pt idx="19412">
                  <c:v>94.12</c:v>
                </c:pt>
                <c:pt idx="19413">
                  <c:v>94.13</c:v>
                </c:pt>
                <c:pt idx="19414">
                  <c:v>94.14</c:v>
                </c:pt>
                <c:pt idx="19415">
                  <c:v>94.15</c:v>
                </c:pt>
                <c:pt idx="19416">
                  <c:v>94.16</c:v>
                </c:pt>
                <c:pt idx="19417">
                  <c:v>94.17</c:v>
                </c:pt>
                <c:pt idx="19418">
                  <c:v>94.18</c:v>
                </c:pt>
                <c:pt idx="19419">
                  <c:v>94.19</c:v>
                </c:pt>
                <c:pt idx="19420">
                  <c:v>94.2</c:v>
                </c:pt>
                <c:pt idx="19421">
                  <c:v>94.21</c:v>
                </c:pt>
                <c:pt idx="19422">
                  <c:v>94.22</c:v>
                </c:pt>
                <c:pt idx="19423">
                  <c:v>94.23</c:v>
                </c:pt>
                <c:pt idx="19424">
                  <c:v>94.24</c:v>
                </c:pt>
                <c:pt idx="19425">
                  <c:v>94.25</c:v>
                </c:pt>
                <c:pt idx="19426">
                  <c:v>94.26</c:v>
                </c:pt>
                <c:pt idx="19427">
                  <c:v>94.27</c:v>
                </c:pt>
                <c:pt idx="19428">
                  <c:v>94.28</c:v>
                </c:pt>
                <c:pt idx="19429">
                  <c:v>94.29</c:v>
                </c:pt>
                <c:pt idx="19430">
                  <c:v>94.3</c:v>
                </c:pt>
                <c:pt idx="19431">
                  <c:v>94.31</c:v>
                </c:pt>
                <c:pt idx="19432">
                  <c:v>94.32</c:v>
                </c:pt>
                <c:pt idx="19433">
                  <c:v>94.33</c:v>
                </c:pt>
                <c:pt idx="19434">
                  <c:v>94.34</c:v>
                </c:pt>
                <c:pt idx="19435">
                  <c:v>94.35</c:v>
                </c:pt>
                <c:pt idx="19436">
                  <c:v>94.36</c:v>
                </c:pt>
                <c:pt idx="19437">
                  <c:v>94.37</c:v>
                </c:pt>
                <c:pt idx="19438">
                  <c:v>94.38</c:v>
                </c:pt>
                <c:pt idx="19439">
                  <c:v>94.39</c:v>
                </c:pt>
                <c:pt idx="19440">
                  <c:v>94.4</c:v>
                </c:pt>
                <c:pt idx="19441">
                  <c:v>94.41</c:v>
                </c:pt>
                <c:pt idx="19442">
                  <c:v>94.42</c:v>
                </c:pt>
                <c:pt idx="19443">
                  <c:v>94.43</c:v>
                </c:pt>
                <c:pt idx="19444">
                  <c:v>94.44</c:v>
                </c:pt>
                <c:pt idx="19445">
                  <c:v>94.45</c:v>
                </c:pt>
                <c:pt idx="19446">
                  <c:v>94.46</c:v>
                </c:pt>
                <c:pt idx="19447">
                  <c:v>94.47</c:v>
                </c:pt>
                <c:pt idx="19448">
                  <c:v>94.48</c:v>
                </c:pt>
                <c:pt idx="19449">
                  <c:v>94.49</c:v>
                </c:pt>
                <c:pt idx="19450">
                  <c:v>94.5</c:v>
                </c:pt>
                <c:pt idx="19451">
                  <c:v>94.51</c:v>
                </c:pt>
                <c:pt idx="19452">
                  <c:v>94.52</c:v>
                </c:pt>
                <c:pt idx="19453">
                  <c:v>94.53</c:v>
                </c:pt>
                <c:pt idx="19454">
                  <c:v>94.54</c:v>
                </c:pt>
                <c:pt idx="19455">
                  <c:v>94.55</c:v>
                </c:pt>
                <c:pt idx="19456">
                  <c:v>94.56</c:v>
                </c:pt>
                <c:pt idx="19457">
                  <c:v>94.57</c:v>
                </c:pt>
                <c:pt idx="19458">
                  <c:v>94.58</c:v>
                </c:pt>
                <c:pt idx="19459">
                  <c:v>94.59</c:v>
                </c:pt>
                <c:pt idx="19460">
                  <c:v>94.6</c:v>
                </c:pt>
                <c:pt idx="19461">
                  <c:v>94.61</c:v>
                </c:pt>
                <c:pt idx="19462">
                  <c:v>94.62</c:v>
                </c:pt>
                <c:pt idx="19463">
                  <c:v>94.63</c:v>
                </c:pt>
                <c:pt idx="19464">
                  <c:v>94.64</c:v>
                </c:pt>
                <c:pt idx="19465">
                  <c:v>94.65</c:v>
                </c:pt>
                <c:pt idx="19466">
                  <c:v>94.66</c:v>
                </c:pt>
                <c:pt idx="19467">
                  <c:v>94.67</c:v>
                </c:pt>
                <c:pt idx="19468">
                  <c:v>94.68</c:v>
                </c:pt>
                <c:pt idx="19469">
                  <c:v>94.69</c:v>
                </c:pt>
                <c:pt idx="19470">
                  <c:v>94.7</c:v>
                </c:pt>
                <c:pt idx="19471">
                  <c:v>94.71</c:v>
                </c:pt>
                <c:pt idx="19472">
                  <c:v>94.72</c:v>
                </c:pt>
                <c:pt idx="19473">
                  <c:v>94.73</c:v>
                </c:pt>
                <c:pt idx="19474">
                  <c:v>94.74</c:v>
                </c:pt>
                <c:pt idx="19475">
                  <c:v>94.75</c:v>
                </c:pt>
                <c:pt idx="19476">
                  <c:v>94.76</c:v>
                </c:pt>
                <c:pt idx="19477">
                  <c:v>94.77</c:v>
                </c:pt>
                <c:pt idx="19478">
                  <c:v>94.78</c:v>
                </c:pt>
                <c:pt idx="19479">
                  <c:v>94.79</c:v>
                </c:pt>
                <c:pt idx="19480">
                  <c:v>94.8</c:v>
                </c:pt>
                <c:pt idx="19481">
                  <c:v>94.81</c:v>
                </c:pt>
                <c:pt idx="19482">
                  <c:v>94.82</c:v>
                </c:pt>
                <c:pt idx="19483">
                  <c:v>94.83</c:v>
                </c:pt>
                <c:pt idx="19484">
                  <c:v>94.84</c:v>
                </c:pt>
                <c:pt idx="19485">
                  <c:v>94.85</c:v>
                </c:pt>
                <c:pt idx="19486">
                  <c:v>94.86</c:v>
                </c:pt>
                <c:pt idx="19487">
                  <c:v>94.87</c:v>
                </c:pt>
                <c:pt idx="19488">
                  <c:v>94.88</c:v>
                </c:pt>
                <c:pt idx="19489">
                  <c:v>94.89</c:v>
                </c:pt>
                <c:pt idx="19490">
                  <c:v>94.9</c:v>
                </c:pt>
                <c:pt idx="19491">
                  <c:v>94.91</c:v>
                </c:pt>
                <c:pt idx="19492">
                  <c:v>94.92</c:v>
                </c:pt>
                <c:pt idx="19493">
                  <c:v>94.93</c:v>
                </c:pt>
                <c:pt idx="19494">
                  <c:v>94.94</c:v>
                </c:pt>
                <c:pt idx="19495">
                  <c:v>94.95</c:v>
                </c:pt>
                <c:pt idx="19496">
                  <c:v>94.96</c:v>
                </c:pt>
                <c:pt idx="19497">
                  <c:v>94.97</c:v>
                </c:pt>
                <c:pt idx="19498">
                  <c:v>94.98</c:v>
                </c:pt>
                <c:pt idx="19499">
                  <c:v>94.99</c:v>
                </c:pt>
                <c:pt idx="19500">
                  <c:v>95.0</c:v>
                </c:pt>
                <c:pt idx="19501">
                  <c:v>95.01</c:v>
                </c:pt>
                <c:pt idx="19502">
                  <c:v>95.02</c:v>
                </c:pt>
                <c:pt idx="19503">
                  <c:v>95.03</c:v>
                </c:pt>
                <c:pt idx="19504">
                  <c:v>95.04</c:v>
                </c:pt>
                <c:pt idx="19505">
                  <c:v>95.05</c:v>
                </c:pt>
                <c:pt idx="19506">
                  <c:v>95.06</c:v>
                </c:pt>
                <c:pt idx="19507">
                  <c:v>95.07</c:v>
                </c:pt>
                <c:pt idx="19508">
                  <c:v>95.08</c:v>
                </c:pt>
                <c:pt idx="19509">
                  <c:v>95.09</c:v>
                </c:pt>
                <c:pt idx="19510">
                  <c:v>95.1</c:v>
                </c:pt>
                <c:pt idx="19511">
                  <c:v>95.11</c:v>
                </c:pt>
                <c:pt idx="19512">
                  <c:v>95.12</c:v>
                </c:pt>
                <c:pt idx="19513">
                  <c:v>95.13</c:v>
                </c:pt>
                <c:pt idx="19514">
                  <c:v>95.14</c:v>
                </c:pt>
                <c:pt idx="19515">
                  <c:v>95.15</c:v>
                </c:pt>
                <c:pt idx="19516">
                  <c:v>95.16</c:v>
                </c:pt>
                <c:pt idx="19517">
                  <c:v>95.17</c:v>
                </c:pt>
                <c:pt idx="19518">
                  <c:v>95.18</c:v>
                </c:pt>
                <c:pt idx="19519">
                  <c:v>95.19</c:v>
                </c:pt>
                <c:pt idx="19520">
                  <c:v>95.2</c:v>
                </c:pt>
                <c:pt idx="19521">
                  <c:v>95.21</c:v>
                </c:pt>
                <c:pt idx="19522">
                  <c:v>95.22</c:v>
                </c:pt>
                <c:pt idx="19523">
                  <c:v>95.23</c:v>
                </c:pt>
                <c:pt idx="19524">
                  <c:v>95.24</c:v>
                </c:pt>
                <c:pt idx="19525">
                  <c:v>95.25</c:v>
                </c:pt>
                <c:pt idx="19526">
                  <c:v>95.26</c:v>
                </c:pt>
                <c:pt idx="19527">
                  <c:v>95.27</c:v>
                </c:pt>
                <c:pt idx="19528">
                  <c:v>95.28</c:v>
                </c:pt>
                <c:pt idx="19529">
                  <c:v>95.29</c:v>
                </c:pt>
                <c:pt idx="19530">
                  <c:v>95.3</c:v>
                </c:pt>
                <c:pt idx="19531">
                  <c:v>95.31</c:v>
                </c:pt>
                <c:pt idx="19532">
                  <c:v>95.32</c:v>
                </c:pt>
                <c:pt idx="19533">
                  <c:v>95.33</c:v>
                </c:pt>
                <c:pt idx="19534">
                  <c:v>95.34</c:v>
                </c:pt>
                <c:pt idx="19535">
                  <c:v>95.35</c:v>
                </c:pt>
                <c:pt idx="19536">
                  <c:v>95.36</c:v>
                </c:pt>
                <c:pt idx="19537">
                  <c:v>95.37</c:v>
                </c:pt>
                <c:pt idx="19538">
                  <c:v>95.38</c:v>
                </c:pt>
                <c:pt idx="19539">
                  <c:v>95.39</c:v>
                </c:pt>
                <c:pt idx="19540">
                  <c:v>95.4</c:v>
                </c:pt>
                <c:pt idx="19541">
                  <c:v>95.41</c:v>
                </c:pt>
                <c:pt idx="19542">
                  <c:v>95.42</c:v>
                </c:pt>
                <c:pt idx="19543">
                  <c:v>95.43</c:v>
                </c:pt>
                <c:pt idx="19544">
                  <c:v>95.44</c:v>
                </c:pt>
                <c:pt idx="19545">
                  <c:v>95.45</c:v>
                </c:pt>
                <c:pt idx="19546">
                  <c:v>95.46</c:v>
                </c:pt>
                <c:pt idx="19547">
                  <c:v>95.47</c:v>
                </c:pt>
                <c:pt idx="19548">
                  <c:v>95.48</c:v>
                </c:pt>
                <c:pt idx="19549">
                  <c:v>95.49</c:v>
                </c:pt>
                <c:pt idx="19550">
                  <c:v>95.5</c:v>
                </c:pt>
                <c:pt idx="19551">
                  <c:v>95.51</c:v>
                </c:pt>
                <c:pt idx="19552">
                  <c:v>95.52</c:v>
                </c:pt>
                <c:pt idx="19553">
                  <c:v>95.53</c:v>
                </c:pt>
                <c:pt idx="19554">
                  <c:v>95.54</c:v>
                </c:pt>
                <c:pt idx="19555">
                  <c:v>95.55</c:v>
                </c:pt>
                <c:pt idx="19556">
                  <c:v>95.56</c:v>
                </c:pt>
                <c:pt idx="19557">
                  <c:v>95.57</c:v>
                </c:pt>
                <c:pt idx="19558">
                  <c:v>95.58</c:v>
                </c:pt>
                <c:pt idx="19559">
                  <c:v>95.59</c:v>
                </c:pt>
                <c:pt idx="19560">
                  <c:v>95.6</c:v>
                </c:pt>
                <c:pt idx="19561">
                  <c:v>95.61</c:v>
                </c:pt>
                <c:pt idx="19562">
                  <c:v>95.62</c:v>
                </c:pt>
                <c:pt idx="19563">
                  <c:v>95.63</c:v>
                </c:pt>
                <c:pt idx="19564">
                  <c:v>95.64</c:v>
                </c:pt>
                <c:pt idx="19565">
                  <c:v>95.65</c:v>
                </c:pt>
                <c:pt idx="19566">
                  <c:v>95.66</c:v>
                </c:pt>
                <c:pt idx="19567">
                  <c:v>95.67</c:v>
                </c:pt>
                <c:pt idx="19568">
                  <c:v>95.68</c:v>
                </c:pt>
                <c:pt idx="19569">
                  <c:v>95.69</c:v>
                </c:pt>
                <c:pt idx="19570">
                  <c:v>95.7</c:v>
                </c:pt>
                <c:pt idx="19571">
                  <c:v>95.71</c:v>
                </c:pt>
                <c:pt idx="19572">
                  <c:v>95.72</c:v>
                </c:pt>
                <c:pt idx="19573">
                  <c:v>95.73</c:v>
                </c:pt>
                <c:pt idx="19574">
                  <c:v>95.74</c:v>
                </c:pt>
                <c:pt idx="19575">
                  <c:v>95.75</c:v>
                </c:pt>
                <c:pt idx="19576">
                  <c:v>95.76</c:v>
                </c:pt>
                <c:pt idx="19577">
                  <c:v>95.77</c:v>
                </c:pt>
                <c:pt idx="19578">
                  <c:v>95.78</c:v>
                </c:pt>
                <c:pt idx="19579">
                  <c:v>95.79</c:v>
                </c:pt>
                <c:pt idx="19580">
                  <c:v>95.8</c:v>
                </c:pt>
                <c:pt idx="19581">
                  <c:v>95.81</c:v>
                </c:pt>
                <c:pt idx="19582">
                  <c:v>95.82</c:v>
                </c:pt>
                <c:pt idx="19583">
                  <c:v>95.83</c:v>
                </c:pt>
                <c:pt idx="19584">
                  <c:v>95.84</c:v>
                </c:pt>
                <c:pt idx="19585">
                  <c:v>95.85</c:v>
                </c:pt>
                <c:pt idx="19586">
                  <c:v>95.86</c:v>
                </c:pt>
                <c:pt idx="19587">
                  <c:v>95.87</c:v>
                </c:pt>
                <c:pt idx="19588">
                  <c:v>95.88</c:v>
                </c:pt>
                <c:pt idx="19589">
                  <c:v>95.89</c:v>
                </c:pt>
                <c:pt idx="19590">
                  <c:v>95.9</c:v>
                </c:pt>
                <c:pt idx="19591">
                  <c:v>95.91</c:v>
                </c:pt>
                <c:pt idx="19592">
                  <c:v>95.92</c:v>
                </c:pt>
                <c:pt idx="19593">
                  <c:v>95.93</c:v>
                </c:pt>
                <c:pt idx="19594">
                  <c:v>95.94</c:v>
                </c:pt>
                <c:pt idx="19595">
                  <c:v>95.95</c:v>
                </c:pt>
                <c:pt idx="19596">
                  <c:v>95.96</c:v>
                </c:pt>
                <c:pt idx="19597">
                  <c:v>95.97</c:v>
                </c:pt>
                <c:pt idx="19598">
                  <c:v>95.98</c:v>
                </c:pt>
                <c:pt idx="19599">
                  <c:v>95.99</c:v>
                </c:pt>
                <c:pt idx="19600">
                  <c:v>96.0</c:v>
                </c:pt>
                <c:pt idx="19601">
                  <c:v>96.01</c:v>
                </c:pt>
                <c:pt idx="19602">
                  <c:v>96.02</c:v>
                </c:pt>
                <c:pt idx="19603">
                  <c:v>96.03</c:v>
                </c:pt>
                <c:pt idx="19604">
                  <c:v>96.04</c:v>
                </c:pt>
                <c:pt idx="19605">
                  <c:v>96.05</c:v>
                </c:pt>
                <c:pt idx="19606">
                  <c:v>96.06</c:v>
                </c:pt>
                <c:pt idx="19607">
                  <c:v>96.07</c:v>
                </c:pt>
                <c:pt idx="19608">
                  <c:v>96.08</c:v>
                </c:pt>
                <c:pt idx="19609">
                  <c:v>96.09</c:v>
                </c:pt>
                <c:pt idx="19610">
                  <c:v>96.1</c:v>
                </c:pt>
                <c:pt idx="19611">
                  <c:v>96.11</c:v>
                </c:pt>
                <c:pt idx="19612">
                  <c:v>96.12</c:v>
                </c:pt>
                <c:pt idx="19613">
                  <c:v>96.13</c:v>
                </c:pt>
                <c:pt idx="19614">
                  <c:v>96.14</c:v>
                </c:pt>
                <c:pt idx="19615">
                  <c:v>96.15</c:v>
                </c:pt>
                <c:pt idx="19616">
                  <c:v>96.16</c:v>
                </c:pt>
                <c:pt idx="19617">
                  <c:v>96.17</c:v>
                </c:pt>
                <c:pt idx="19618">
                  <c:v>96.18</c:v>
                </c:pt>
                <c:pt idx="19619">
                  <c:v>96.19</c:v>
                </c:pt>
                <c:pt idx="19620">
                  <c:v>96.2</c:v>
                </c:pt>
                <c:pt idx="19621">
                  <c:v>96.21</c:v>
                </c:pt>
                <c:pt idx="19622">
                  <c:v>96.22</c:v>
                </c:pt>
                <c:pt idx="19623">
                  <c:v>96.23</c:v>
                </c:pt>
                <c:pt idx="19624">
                  <c:v>96.24</c:v>
                </c:pt>
                <c:pt idx="19625">
                  <c:v>96.25</c:v>
                </c:pt>
                <c:pt idx="19626">
                  <c:v>96.26</c:v>
                </c:pt>
                <c:pt idx="19627">
                  <c:v>96.27</c:v>
                </c:pt>
                <c:pt idx="19628">
                  <c:v>96.28</c:v>
                </c:pt>
                <c:pt idx="19629">
                  <c:v>96.29</c:v>
                </c:pt>
                <c:pt idx="19630">
                  <c:v>96.3</c:v>
                </c:pt>
                <c:pt idx="19631">
                  <c:v>96.31</c:v>
                </c:pt>
                <c:pt idx="19632">
                  <c:v>96.32</c:v>
                </c:pt>
                <c:pt idx="19633">
                  <c:v>96.33</c:v>
                </c:pt>
                <c:pt idx="19634">
                  <c:v>96.34</c:v>
                </c:pt>
                <c:pt idx="19635">
                  <c:v>96.35</c:v>
                </c:pt>
                <c:pt idx="19636">
                  <c:v>96.36</c:v>
                </c:pt>
                <c:pt idx="19637">
                  <c:v>96.37</c:v>
                </c:pt>
                <c:pt idx="19638">
                  <c:v>96.38</c:v>
                </c:pt>
                <c:pt idx="19639">
                  <c:v>96.39</c:v>
                </c:pt>
                <c:pt idx="19640">
                  <c:v>96.4</c:v>
                </c:pt>
                <c:pt idx="19641">
                  <c:v>96.41</c:v>
                </c:pt>
                <c:pt idx="19642">
                  <c:v>96.42</c:v>
                </c:pt>
                <c:pt idx="19643">
                  <c:v>96.43</c:v>
                </c:pt>
                <c:pt idx="19644">
                  <c:v>96.44</c:v>
                </c:pt>
                <c:pt idx="19645">
                  <c:v>96.45</c:v>
                </c:pt>
                <c:pt idx="19646">
                  <c:v>96.46</c:v>
                </c:pt>
                <c:pt idx="19647">
                  <c:v>96.47</c:v>
                </c:pt>
                <c:pt idx="19648">
                  <c:v>96.48</c:v>
                </c:pt>
                <c:pt idx="19649">
                  <c:v>96.49</c:v>
                </c:pt>
                <c:pt idx="19650">
                  <c:v>96.5</c:v>
                </c:pt>
                <c:pt idx="19651">
                  <c:v>96.51</c:v>
                </c:pt>
                <c:pt idx="19652">
                  <c:v>96.52</c:v>
                </c:pt>
                <c:pt idx="19653">
                  <c:v>96.53</c:v>
                </c:pt>
                <c:pt idx="19654">
                  <c:v>96.54</c:v>
                </c:pt>
                <c:pt idx="19655">
                  <c:v>96.55</c:v>
                </c:pt>
                <c:pt idx="19656">
                  <c:v>96.56</c:v>
                </c:pt>
                <c:pt idx="19657">
                  <c:v>96.57</c:v>
                </c:pt>
                <c:pt idx="19658">
                  <c:v>96.58</c:v>
                </c:pt>
                <c:pt idx="19659">
                  <c:v>96.59</c:v>
                </c:pt>
                <c:pt idx="19660">
                  <c:v>96.6</c:v>
                </c:pt>
                <c:pt idx="19661">
                  <c:v>96.61</c:v>
                </c:pt>
                <c:pt idx="19662">
                  <c:v>96.62</c:v>
                </c:pt>
                <c:pt idx="19663">
                  <c:v>96.63</c:v>
                </c:pt>
                <c:pt idx="19664">
                  <c:v>96.64</c:v>
                </c:pt>
                <c:pt idx="19665">
                  <c:v>96.65</c:v>
                </c:pt>
                <c:pt idx="19666">
                  <c:v>96.66</c:v>
                </c:pt>
                <c:pt idx="19667">
                  <c:v>96.67</c:v>
                </c:pt>
                <c:pt idx="19668">
                  <c:v>96.68</c:v>
                </c:pt>
                <c:pt idx="19669">
                  <c:v>96.69</c:v>
                </c:pt>
                <c:pt idx="19670">
                  <c:v>96.7</c:v>
                </c:pt>
                <c:pt idx="19671">
                  <c:v>96.71</c:v>
                </c:pt>
                <c:pt idx="19672">
                  <c:v>96.72</c:v>
                </c:pt>
                <c:pt idx="19673">
                  <c:v>96.73</c:v>
                </c:pt>
                <c:pt idx="19674">
                  <c:v>96.74</c:v>
                </c:pt>
                <c:pt idx="19675">
                  <c:v>96.75</c:v>
                </c:pt>
                <c:pt idx="19676">
                  <c:v>96.76</c:v>
                </c:pt>
                <c:pt idx="19677">
                  <c:v>96.77</c:v>
                </c:pt>
                <c:pt idx="19678">
                  <c:v>96.78</c:v>
                </c:pt>
                <c:pt idx="19679">
                  <c:v>96.79</c:v>
                </c:pt>
                <c:pt idx="19680">
                  <c:v>96.8</c:v>
                </c:pt>
                <c:pt idx="19681">
                  <c:v>96.81</c:v>
                </c:pt>
                <c:pt idx="19682">
                  <c:v>96.82</c:v>
                </c:pt>
                <c:pt idx="19683">
                  <c:v>96.83</c:v>
                </c:pt>
                <c:pt idx="19684">
                  <c:v>96.84</c:v>
                </c:pt>
                <c:pt idx="19685">
                  <c:v>96.85</c:v>
                </c:pt>
                <c:pt idx="19686">
                  <c:v>96.86</c:v>
                </c:pt>
                <c:pt idx="19687">
                  <c:v>96.87</c:v>
                </c:pt>
                <c:pt idx="19688">
                  <c:v>96.88</c:v>
                </c:pt>
                <c:pt idx="19689">
                  <c:v>96.89</c:v>
                </c:pt>
                <c:pt idx="19690">
                  <c:v>96.9</c:v>
                </c:pt>
                <c:pt idx="19691">
                  <c:v>96.91</c:v>
                </c:pt>
                <c:pt idx="19692">
                  <c:v>96.92</c:v>
                </c:pt>
                <c:pt idx="19693">
                  <c:v>96.93</c:v>
                </c:pt>
                <c:pt idx="19694">
                  <c:v>96.94</c:v>
                </c:pt>
                <c:pt idx="19695">
                  <c:v>96.95</c:v>
                </c:pt>
                <c:pt idx="19696">
                  <c:v>96.96</c:v>
                </c:pt>
                <c:pt idx="19697">
                  <c:v>96.97</c:v>
                </c:pt>
                <c:pt idx="19698">
                  <c:v>96.98</c:v>
                </c:pt>
                <c:pt idx="19699">
                  <c:v>96.99</c:v>
                </c:pt>
                <c:pt idx="19700">
                  <c:v>97.0</c:v>
                </c:pt>
                <c:pt idx="19701">
                  <c:v>97.01</c:v>
                </c:pt>
                <c:pt idx="19702">
                  <c:v>97.02</c:v>
                </c:pt>
                <c:pt idx="19703">
                  <c:v>97.03</c:v>
                </c:pt>
                <c:pt idx="19704">
                  <c:v>97.04</c:v>
                </c:pt>
                <c:pt idx="19705">
                  <c:v>97.05</c:v>
                </c:pt>
                <c:pt idx="19706">
                  <c:v>97.06</c:v>
                </c:pt>
                <c:pt idx="19707">
                  <c:v>97.07</c:v>
                </c:pt>
                <c:pt idx="19708">
                  <c:v>97.08</c:v>
                </c:pt>
                <c:pt idx="19709">
                  <c:v>97.09</c:v>
                </c:pt>
                <c:pt idx="19710">
                  <c:v>97.1</c:v>
                </c:pt>
                <c:pt idx="19711">
                  <c:v>97.11</c:v>
                </c:pt>
                <c:pt idx="19712">
                  <c:v>97.12</c:v>
                </c:pt>
                <c:pt idx="19713">
                  <c:v>97.13</c:v>
                </c:pt>
                <c:pt idx="19714">
                  <c:v>97.14</c:v>
                </c:pt>
                <c:pt idx="19715">
                  <c:v>97.15</c:v>
                </c:pt>
                <c:pt idx="19716">
                  <c:v>97.16</c:v>
                </c:pt>
                <c:pt idx="19717">
                  <c:v>97.17</c:v>
                </c:pt>
                <c:pt idx="19718">
                  <c:v>97.18</c:v>
                </c:pt>
                <c:pt idx="19719">
                  <c:v>97.19</c:v>
                </c:pt>
                <c:pt idx="19720">
                  <c:v>97.2</c:v>
                </c:pt>
                <c:pt idx="19721">
                  <c:v>97.21</c:v>
                </c:pt>
                <c:pt idx="19722">
                  <c:v>97.22</c:v>
                </c:pt>
                <c:pt idx="19723">
                  <c:v>97.23</c:v>
                </c:pt>
                <c:pt idx="19724">
                  <c:v>97.24</c:v>
                </c:pt>
                <c:pt idx="19725">
                  <c:v>97.25</c:v>
                </c:pt>
                <c:pt idx="19726">
                  <c:v>97.26</c:v>
                </c:pt>
                <c:pt idx="19727">
                  <c:v>97.27</c:v>
                </c:pt>
                <c:pt idx="19728">
                  <c:v>97.28</c:v>
                </c:pt>
                <c:pt idx="19729">
                  <c:v>97.29</c:v>
                </c:pt>
                <c:pt idx="19730">
                  <c:v>97.3</c:v>
                </c:pt>
                <c:pt idx="19731">
                  <c:v>97.31</c:v>
                </c:pt>
                <c:pt idx="19732">
                  <c:v>97.32</c:v>
                </c:pt>
                <c:pt idx="19733">
                  <c:v>97.33</c:v>
                </c:pt>
                <c:pt idx="19734">
                  <c:v>97.34</c:v>
                </c:pt>
                <c:pt idx="19735">
                  <c:v>97.35</c:v>
                </c:pt>
                <c:pt idx="19736">
                  <c:v>97.36</c:v>
                </c:pt>
                <c:pt idx="19737">
                  <c:v>97.37</c:v>
                </c:pt>
                <c:pt idx="19738">
                  <c:v>97.38</c:v>
                </c:pt>
                <c:pt idx="19739">
                  <c:v>97.39</c:v>
                </c:pt>
                <c:pt idx="19740">
                  <c:v>97.4</c:v>
                </c:pt>
                <c:pt idx="19741">
                  <c:v>97.41</c:v>
                </c:pt>
                <c:pt idx="19742">
                  <c:v>97.42</c:v>
                </c:pt>
                <c:pt idx="19743">
                  <c:v>97.43</c:v>
                </c:pt>
                <c:pt idx="19744">
                  <c:v>97.44</c:v>
                </c:pt>
                <c:pt idx="19745">
                  <c:v>97.45</c:v>
                </c:pt>
                <c:pt idx="19746">
                  <c:v>97.46</c:v>
                </c:pt>
                <c:pt idx="19747">
                  <c:v>97.47</c:v>
                </c:pt>
                <c:pt idx="19748">
                  <c:v>97.48</c:v>
                </c:pt>
                <c:pt idx="19749">
                  <c:v>97.49</c:v>
                </c:pt>
                <c:pt idx="19750">
                  <c:v>97.5</c:v>
                </c:pt>
                <c:pt idx="19751">
                  <c:v>97.51</c:v>
                </c:pt>
                <c:pt idx="19752">
                  <c:v>97.52</c:v>
                </c:pt>
                <c:pt idx="19753">
                  <c:v>97.53</c:v>
                </c:pt>
                <c:pt idx="19754">
                  <c:v>97.54</c:v>
                </c:pt>
                <c:pt idx="19755">
                  <c:v>97.55</c:v>
                </c:pt>
                <c:pt idx="19756">
                  <c:v>97.56</c:v>
                </c:pt>
                <c:pt idx="19757">
                  <c:v>97.57</c:v>
                </c:pt>
                <c:pt idx="19758">
                  <c:v>97.58</c:v>
                </c:pt>
                <c:pt idx="19759">
                  <c:v>97.59</c:v>
                </c:pt>
                <c:pt idx="19760">
                  <c:v>97.6</c:v>
                </c:pt>
                <c:pt idx="19761">
                  <c:v>97.61</c:v>
                </c:pt>
                <c:pt idx="19762">
                  <c:v>97.62</c:v>
                </c:pt>
                <c:pt idx="19763">
                  <c:v>97.63</c:v>
                </c:pt>
                <c:pt idx="19764">
                  <c:v>97.64</c:v>
                </c:pt>
                <c:pt idx="19765">
                  <c:v>97.65</c:v>
                </c:pt>
                <c:pt idx="19766">
                  <c:v>97.66</c:v>
                </c:pt>
                <c:pt idx="19767">
                  <c:v>97.67</c:v>
                </c:pt>
                <c:pt idx="19768">
                  <c:v>97.68</c:v>
                </c:pt>
                <c:pt idx="19769">
                  <c:v>97.69</c:v>
                </c:pt>
                <c:pt idx="19770">
                  <c:v>97.7</c:v>
                </c:pt>
                <c:pt idx="19771">
                  <c:v>97.71</c:v>
                </c:pt>
                <c:pt idx="19772">
                  <c:v>97.72</c:v>
                </c:pt>
                <c:pt idx="19773">
                  <c:v>97.73</c:v>
                </c:pt>
                <c:pt idx="19774">
                  <c:v>97.74</c:v>
                </c:pt>
                <c:pt idx="19775">
                  <c:v>97.75</c:v>
                </c:pt>
                <c:pt idx="19776">
                  <c:v>97.76</c:v>
                </c:pt>
                <c:pt idx="19777">
                  <c:v>97.77</c:v>
                </c:pt>
                <c:pt idx="19778">
                  <c:v>97.78</c:v>
                </c:pt>
                <c:pt idx="19779">
                  <c:v>97.79</c:v>
                </c:pt>
                <c:pt idx="19780">
                  <c:v>97.8</c:v>
                </c:pt>
                <c:pt idx="19781">
                  <c:v>97.81</c:v>
                </c:pt>
                <c:pt idx="19782">
                  <c:v>97.82</c:v>
                </c:pt>
                <c:pt idx="19783">
                  <c:v>97.83</c:v>
                </c:pt>
                <c:pt idx="19784">
                  <c:v>97.84</c:v>
                </c:pt>
                <c:pt idx="19785">
                  <c:v>97.85</c:v>
                </c:pt>
                <c:pt idx="19786">
                  <c:v>97.86</c:v>
                </c:pt>
                <c:pt idx="19787">
                  <c:v>97.87</c:v>
                </c:pt>
                <c:pt idx="19788">
                  <c:v>97.88</c:v>
                </c:pt>
                <c:pt idx="19789">
                  <c:v>97.89</c:v>
                </c:pt>
                <c:pt idx="19790">
                  <c:v>97.9</c:v>
                </c:pt>
                <c:pt idx="19791">
                  <c:v>97.91</c:v>
                </c:pt>
                <c:pt idx="19792">
                  <c:v>97.92</c:v>
                </c:pt>
                <c:pt idx="19793">
                  <c:v>97.93</c:v>
                </c:pt>
                <c:pt idx="19794">
                  <c:v>97.94</c:v>
                </c:pt>
                <c:pt idx="19795">
                  <c:v>97.95</c:v>
                </c:pt>
                <c:pt idx="19796">
                  <c:v>97.96</c:v>
                </c:pt>
                <c:pt idx="19797">
                  <c:v>97.97</c:v>
                </c:pt>
                <c:pt idx="19798">
                  <c:v>97.98</c:v>
                </c:pt>
                <c:pt idx="19799">
                  <c:v>97.99</c:v>
                </c:pt>
                <c:pt idx="19800">
                  <c:v>98.0</c:v>
                </c:pt>
                <c:pt idx="19801">
                  <c:v>98.01</c:v>
                </c:pt>
                <c:pt idx="19802">
                  <c:v>98.02</c:v>
                </c:pt>
                <c:pt idx="19803">
                  <c:v>98.03</c:v>
                </c:pt>
                <c:pt idx="19804">
                  <c:v>98.04</c:v>
                </c:pt>
                <c:pt idx="19805">
                  <c:v>98.05</c:v>
                </c:pt>
                <c:pt idx="19806">
                  <c:v>98.06</c:v>
                </c:pt>
                <c:pt idx="19807">
                  <c:v>98.07</c:v>
                </c:pt>
                <c:pt idx="19808">
                  <c:v>98.08</c:v>
                </c:pt>
                <c:pt idx="19809">
                  <c:v>98.09</c:v>
                </c:pt>
                <c:pt idx="19810">
                  <c:v>98.1</c:v>
                </c:pt>
                <c:pt idx="19811">
                  <c:v>98.11</c:v>
                </c:pt>
                <c:pt idx="19812">
                  <c:v>98.12</c:v>
                </c:pt>
                <c:pt idx="19813">
                  <c:v>98.13</c:v>
                </c:pt>
                <c:pt idx="19814">
                  <c:v>98.14</c:v>
                </c:pt>
                <c:pt idx="19815">
                  <c:v>98.15</c:v>
                </c:pt>
                <c:pt idx="19816">
                  <c:v>98.16</c:v>
                </c:pt>
                <c:pt idx="19817">
                  <c:v>98.17</c:v>
                </c:pt>
                <c:pt idx="19818">
                  <c:v>98.18</c:v>
                </c:pt>
                <c:pt idx="19819">
                  <c:v>98.19</c:v>
                </c:pt>
                <c:pt idx="19820">
                  <c:v>98.2</c:v>
                </c:pt>
                <c:pt idx="19821">
                  <c:v>98.21</c:v>
                </c:pt>
                <c:pt idx="19822">
                  <c:v>98.22</c:v>
                </c:pt>
                <c:pt idx="19823">
                  <c:v>98.23</c:v>
                </c:pt>
                <c:pt idx="19824">
                  <c:v>98.24</c:v>
                </c:pt>
                <c:pt idx="19825">
                  <c:v>98.25</c:v>
                </c:pt>
                <c:pt idx="19826">
                  <c:v>98.26</c:v>
                </c:pt>
                <c:pt idx="19827">
                  <c:v>98.27</c:v>
                </c:pt>
                <c:pt idx="19828">
                  <c:v>98.28</c:v>
                </c:pt>
                <c:pt idx="19829">
                  <c:v>98.29</c:v>
                </c:pt>
                <c:pt idx="19830">
                  <c:v>98.3</c:v>
                </c:pt>
                <c:pt idx="19831">
                  <c:v>98.31</c:v>
                </c:pt>
                <c:pt idx="19832">
                  <c:v>98.32</c:v>
                </c:pt>
                <c:pt idx="19833">
                  <c:v>98.33</c:v>
                </c:pt>
                <c:pt idx="19834">
                  <c:v>98.34</c:v>
                </c:pt>
                <c:pt idx="19835">
                  <c:v>98.35</c:v>
                </c:pt>
                <c:pt idx="19836">
                  <c:v>98.36</c:v>
                </c:pt>
                <c:pt idx="19837">
                  <c:v>98.37</c:v>
                </c:pt>
                <c:pt idx="19838">
                  <c:v>98.38</c:v>
                </c:pt>
                <c:pt idx="19839">
                  <c:v>98.39</c:v>
                </c:pt>
                <c:pt idx="19840">
                  <c:v>98.4</c:v>
                </c:pt>
                <c:pt idx="19841">
                  <c:v>98.41</c:v>
                </c:pt>
                <c:pt idx="19842">
                  <c:v>98.42</c:v>
                </c:pt>
                <c:pt idx="19843">
                  <c:v>98.43</c:v>
                </c:pt>
                <c:pt idx="19844">
                  <c:v>98.44</c:v>
                </c:pt>
                <c:pt idx="19845">
                  <c:v>98.45</c:v>
                </c:pt>
                <c:pt idx="19846">
                  <c:v>98.46</c:v>
                </c:pt>
                <c:pt idx="19847">
                  <c:v>98.47</c:v>
                </c:pt>
                <c:pt idx="19848">
                  <c:v>98.48</c:v>
                </c:pt>
                <c:pt idx="19849">
                  <c:v>98.49</c:v>
                </c:pt>
                <c:pt idx="19850">
                  <c:v>98.5</c:v>
                </c:pt>
                <c:pt idx="19851">
                  <c:v>98.51</c:v>
                </c:pt>
                <c:pt idx="19852">
                  <c:v>98.52</c:v>
                </c:pt>
                <c:pt idx="19853">
                  <c:v>98.53</c:v>
                </c:pt>
                <c:pt idx="19854">
                  <c:v>98.54</c:v>
                </c:pt>
                <c:pt idx="19855">
                  <c:v>98.55</c:v>
                </c:pt>
                <c:pt idx="19856">
                  <c:v>98.56</c:v>
                </c:pt>
                <c:pt idx="19857">
                  <c:v>98.57</c:v>
                </c:pt>
                <c:pt idx="19858">
                  <c:v>98.58</c:v>
                </c:pt>
                <c:pt idx="19859">
                  <c:v>98.59</c:v>
                </c:pt>
                <c:pt idx="19860">
                  <c:v>98.6</c:v>
                </c:pt>
                <c:pt idx="19861">
                  <c:v>98.61</c:v>
                </c:pt>
                <c:pt idx="19862">
                  <c:v>98.62</c:v>
                </c:pt>
                <c:pt idx="19863">
                  <c:v>98.63</c:v>
                </c:pt>
                <c:pt idx="19864">
                  <c:v>98.64</c:v>
                </c:pt>
                <c:pt idx="19865">
                  <c:v>98.65</c:v>
                </c:pt>
                <c:pt idx="19866">
                  <c:v>98.66</c:v>
                </c:pt>
                <c:pt idx="19867">
                  <c:v>98.67</c:v>
                </c:pt>
                <c:pt idx="19868">
                  <c:v>98.68</c:v>
                </c:pt>
                <c:pt idx="19869">
                  <c:v>98.69</c:v>
                </c:pt>
                <c:pt idx="19870">
                  <c:v>98.7</c:v>
                </c:pt>
                <c:pt idx="19871">
                  <c:v>98.71</c:v>
                </c:pt>
                <c:pt idx="19872">
                  <c:v>98.72</c:v>
                </c:pt>
                <c:pt idx="19873">
                  <c:v>98.73</c:v>
                </c:pt>
                <c:pt idx="19874">
                  <c:v>98.74</c:v>
                </c:pt>
                <c:pt idx="19875">
                  <c:v>98.75</c:v>
                </c:pt>
                <c:pt idx="19876">
                  <c:v>98.76</c:v>
                </c:pt>
                <c:pt idx="19877">
                  <c:v>98.77</c:v>
                </c:pt>
                <c:pt idx="19878">
                  <c:v>98.78</c:v>
                </c:pt>
                <c:pt idx="19879">
                  <c:v>98.79</c:v>
                </c:pt>
                <c:pt idx="19880">
                  <c:v>98.8</c:v>
                </c:pt>
                <c:pt idx="19881">
                  <c:v>98.81</c:v>
                </c:pt>
                <c:pt idx="19882">
                  <c:v>98.82</c:v>
                </c:pt>
                <c:pt idx="19883">
                  <c:v>98.83</c:v>
                </c:pt>
                <c:pt idx="19884">
                  <c:v>98.84</c:v>
                </c:pt>
                <c:pt idx="19885">
                  <c:v>98.85</c:v>
                </c:pt>
                <c:pt idx="19886">
                  <c:v>98.86</c:v>
                </c:pt>
                <c:pt idx="19887">
                  <c:v>98.87</c:v>
                </c:pt>
                <c:pt idx="19888">
                  <c:v>98.88</c:v>
                </c:pt>
                <c:pt idx="19889">
                  <c:v>98.89</c:v>
                </c:pt>
                <c:pt idx="19890">
                  <c:v>98.9</c:v>
                </c:pt>
                <c:pt idx="19891">
                  <c:v>98.91</c:v>
                </c:pt>
                <c:pt idx="19892">
                  <c:v>98.92</c:v>
                </c:pt>
                <c:pt idx="19893">
                  <c:v>98.93</c:v>
                </c:pt>
                <c:pt idx="19894">
                  <c:v>98.94</c:v>
                </c:pt>
                <c:pt idx="19895">
                  <c:v>98.95</c:v>
                </c:pt>
                <c:pt idx="19896">
                  <c:v>98.96</c:v>
                </c:pt>
                <c:pt idx="19897">
                  <c:v>98.97</c:v>
                </c:pt>
                <c:pt idx="19898">
                  <c:v>98.98</c:v>
                </c:pt>
                <c:pt idx="19899">
                  <c:v>98.99</c:v>
                </c:pt>
                <c:pt idx="19900">
                  <c:v>99.0</c:v>
                </c:pt>
                <c:pt idx="19901">
                  <c:v>99.01</c:v>
                </c:pt>
                <c:pt idx="19902">
                  <c:v>99.02</c:v>
                </c:pt>
                <c:pt idx="19903">
                  <c:v>99.03</c:v>
                </c:pt>
                <c:pt idx="19904">
                  <c:v>99.04</c:v>
                </c:pt>
                <c:pt idx="19905">
                  <c:v>99.05</c:v>
                </c:pt>
                <c:pt idx="19906">
                  <c:v>99.06</c:v>
                </c:pt>
                <c:pt idx="19907">
                  <c:v>99.07</c:v>
                </c:pt>
                <c:pt idx="19908">
                  <c:v>99.08</c:v>
                </c:pt>
                <c:pt idx="19909">
                  <c:v>99.09</c:v>
                </c:pt>
                <c:pt idx="19910">
                  <c:v>99.1</c:v>
                </c:pt>
                <c:pt idx="19911">
                  <c:v>99.11</c:v>
                </c:pt>
                <c:pt idx="19912">
                  <c:v>99.12</c:v>
                </c:pt>
                <c:pt idx="19913">
                  <c:v>99.13</c:v>
                </c:pt>
                <c:pt idx="19914">
                  <c:v>99.14</c:v>
                </c:pt>
                <c:pt idx="19915">
                  <c:v>99.15</c:v>
                </c:pt>
                <c:pt idx="19916">
                  <c:v>99.16</c:v>
                </c:pt>
                <c:pt idx="19917">
                  <c:v>99.17</c:v>
                </c:pt>
                <c:pt idx="19918">
                  <c:v>99.18</c:v>
                </c:pt>
                <c:pt idx="19919">
                  <c:v>99.19</c:v>
                </c:pt>
                <c:pt idx="19920">
                  <c:v>99.2</c:v>
                </c:pt>
                <c:pt idx="19921">
                  <c:v>99.21</c:v>
                </c:pt>
                <c:pt idx="19922">
                  <c:v>99.22</c:v>
                </c:pt>
                <c:pt idx="19923">
                  <c:v>99.23</c:v>
                </c:pt>
                <c:pt idx="19924">
                  <c:v>99.24</c:v>
                </c:pt>
                <c:pt idx="19925">
                  <c:v>99.25</c:v>
                </c:pt>
                <c:pt idx="19926">
                  <c:v>99.26</c:v>
                </c:pt>
                <c:pt idx="19927">
                  <c:v>99.27</c:v>
                </c:pt>
                <c:pt idx="19928">
                  <c:v>99.28</c:v>
                </c:pt>
                <c:pt idx="19929">
                  <c:v>99.29</c:v>
                </c:pt>
                <c:pt idx="19930">
                  <c:v>99.3</c:v>
                </c:pt>
                <c:pt idx="19931">
                  <c:v>99.31</c:v>
                </c:pt>
                <c:pt idx="19932">
                  <c:v>99.32</c:v>
                </c:pt>
                <c:pt idx="19933">
                  <c:v>99.33</c:v>
                </c:pt>
                <c:pt idx="19934">
                  <c:v>99.34</c:v>
                </c:pt>
                <c:pt idx="19935">
                  <c:v>99.35</c:v>
                </c:pt>
                <c:pt idx="19936">
                  <c:v>99.36</c:v>
                </c:pt>
                <c:pt idx="19937">
                  <c:v>99.37</c:v>
                </c:pt>
                <c:pt idx="19938">
                  <c:v>99.38</c:v>
                </c:pt>
                <c:pt idx="19939">
                  <c:v>99.39</c:v>
                </c:pt>
                <c:pt idx="19940">
                  <c:v>99.4</c:v>
                </c:pt>
                <c:pt idx="19941">
                  <c:v>99.41</c:v>
                </c:pt>
                <c:pt idx="19942">
                  <c:v>99.42</c:v>
                </c:pt>
                <c:pt idx="19943">
                  <c:v>99.43</c:v>
                </c:pt>
                <c:pt idx="19944">
                  <c:v>99.44</c:v>
                </c:pt>
                <c:pt idx="19945">
                  <c:v>99.45</c:v>
                </c:pt>
                <c:pt idx="19946">
                  <c:v>99.46</c:v>
                </c:pt>
                <c:pt idx="19947">
                  <c:v>99.47</c:v>
                </c:pt>
                <c:pt idx="19948">
                  <c:v>99.48</c:v>
                </c:pt>
                <c:pt idx="19949">
                  <c:v>99.49</c:v>
                </c:pt>
                <c:pt idx="19950">
                  <c:v>99.5</c:v>
                </c:pt>
                <c:pt idx="19951">
                  <c:v>99.51</c:v>
                </c:pt>
                <c:pt idx="19952">
                  <c:v>99.52</c:v>
                </c:pt>
                <c:pt idx="19953">
                  <c:v>99.53</c:v>
                </c:pt>
                <c:pt idx="19954">
                  <c:v>99.54</c:v>
                </c:pt>
                <c:pt idx="19955">
                  <c:v>99.55</c:v>
                </c:pt>
                <c:pt idx="19956">
                  <c:v>99.56</c:v>
                </c:pt>
                <c:pt idx="19957">
                  <c:v>99.57</c:v>
                </c:pt>
                <c:pt idx="19958">
                  <c:v>99.58</c:v>
                </c:pt>
                <c:pt idx="19959">
                  <c:v>99.59</c:v>
                </c:pt>
                <c:pt idx="19960">
                  <c:v>99.6</c:v>
                </c:pt>
                <c:pt idx="19961">
                  <c:v>99.61</c:v>
                </c:pt>
                <c:pt idx="19962">
                  <c:v>99.62</c:v>
                </c:pt>
                <c:pt idx="19963">
                  <c:v>99.63</c:v>
                </c:pt>
                <c:pt idx="19964">
                  <c:v>99.64</c:v>
                </c:pt>
                <c:pt idx="19965">
                  <c:v>99.65</c:v>
                </c:pt>
                <c:pt idx="19966">
                  <c:v>99.66</c:v>
                </c:pt>
                <c:pt idx="19967">
                  <c:v>99.67</c:v>
                </c:pt>
                <c:pt idx="19968">
                  <c:v>99.68</c:v>
                </c:pt>
                <c:pt idx="19969">
                  <c:v>99.69</c:v>
                </c:pt>
                <c:pt idx="19970">
                  <c:v>99.7</c:v>
                </c:pt>
                <c:pt idx="19971">
                  <c:v>99.71</c:v>
                </c:pt>
                <c:pt idx="19972">
                  <c:v>99.72</c:v>
                </c:pt>
                <c:pt idx="19973">
                  <c:v>99.73</c:v>
                </c:pt>
                <c:pt idx="19974">
                  <c:v>99.74</c:v>
                </c:pt>
                <c:pt idx="19975">
                  <c:v>99.75</c:v>
                </c:pt>
                <c:pt idx="19976">
                  <c:v>99.76</c:v>
                </c:pt>
                <c:pt idx="19977">
                  <c:v>99.77</c:v>
                </c:pt>
                <c:pt idx="19978">
                  <c:v>99.78</c:v>
                </c:pt>
                <c:pt idx="19979">
                  <c:v>99.79</c:v>
                </c:pt>
                <c:pt idx="19980">
                  <c:v>99.8</c:v>
                </c:pt>
                <c:pt idx="19981">
                  <c:v>99.81</c:v>
                </c:pt>
                <c:pt idx="19982">
                  <c:v>99.82</c:v>
                </c:pt>
                <c:pt idx="19983">
                  <c:v>99.83</c:v>
                </c:pt>
                <c:pt idx="19984">
                  <c:v>99.84</c:v>
                </c:pt>
                <c:pt idx="19985">
                  <c:v>99.85</c:v>
                </c:pt>
                <c:pt idx="19986">
                  <c:v>99.86</c:v>
                </c:pt>
                <c:pt idx="19987">
                  <c:v>99.87</c:v>
                </c:pt>
                <c:pt idx="19988">
                  <c:v>99.88</c:v>
                </c:pt>
                <c:pt idx="19989">
                  <c:v>99.89</c:v>
                </c:pt>
                <c:pt idx="19990">
                  <c:v>99.9</c:v>
                </c:pt>
                <c:pt idx="19991">
                  <c:v>99.91</c:v>
                </c:pt>
                <c:pt idx="19992">
                  <c:v>99.92</c:v>
                </c:pt>
                <c:pt idx="19993">
                  <c:v>99.93</c:v>
                </c:pt>
                <c:pt idx="19994">
                  <c:v>99.94</c:v>
                </c:pt>
                <c:pt idx="19995">
                  <c:v>99.95</c:v>
                </c:pt>
                <c:pt idx="19996">
                  <c:v>99.96</c:v>
                </c:pt>
                <c:pt idx="19997">
                  <c:v>99.97</c:v>
                </c:pt>
                <c:pt idx="19998">
                  <c:v>99.98</c:v>
                </c:pt>
                <c:pt idx="19999">
                  <c:v>99.99</c:v>
                </c:pt>
              </c:numCache>
            </c:numRef>
          </c:cat>
          <c:val>
            <c:numRef>
              <c:f>'GP plots'!$C$1:$C$20000</c:f>
              <c:numCache>
                <c:ptCount val="20000"/>
                <c:pt idx="0">
                  <c:v>-5020317.0</c:v>
                </c:pt>
                <c:pt idx="1">
                  <c:v>-5018813.120194999</c:v>
                </c:pt>
                <c:pt idx="2">
                  <c:v>-5017309.540760001</c:v>
                </c:pt>
                <c:pt idx="3">
                  <c:v>-5015806.261665</c:v>
                </c:pt>
                <c:pt idx="4">
                  <c:v>-5014303.282879999</c:v>
                </c:pt>
                <c:pt idx="5">
                  <c:v>-5012800.604375</c:v>
                </c:pt>
                <c:pt idx="6">
                  <c:v>-5011298.22612</c:v>
                </c:pt>
                <c:pt idx="7">
                  <c:v>-5009796.148085001</c:v>
                </c:pt>
                <c:pt idx="8">
                  <c:v>-5008294.37024</c:v>
                </c:pt>
                <c:pt idx="9">
                  <c:v>-5006792.892555</c:v>
                </c:pt>
                <c:pt idx="10">
                  <c:v>-5005291.715000001</c:v>
                </c:pt>
                <c:pt idx="11">
                  <c:v>-5003790.837545</c:v>
                </c:pt>
                <c:pt idx="12">
                  <c:v>-5002290.260159999</c:v>
                </c:pt>
                <c:pt idx="13">
                  <c:v>-5000789.982815001</c:v>
                </c:pt>
                <c:pt idx="14">
                  <c:v>-4999290.005480001</c:v>
                </c:pt>
                <c:pt idx="15">
                  <c:v>-4997790.328124999</c:v>
                </c:pt>
                <c:pt idx="16">
                  <c:v>-4996290.950719999</c:v>
                </c:pt>
                <c:pt idx="17">
                  <c:v>-4994791.873234999</c:v>
                </c:pt>
                <c:pt idx="18">
                  <c:v>-4993293.095639999</c:v>
                </c:pt>
                <c:pt idx="19">
                  <c:v>-4991794.617905</c:v>
                </c:pt>
                <c:pt idx="20">
                  <c:v>-4990296.44</c:v>
                </c:pt>
                <c:pt idx="21">
                  <c:v>-4988798.561895002</c:v>
                </c:pt>
                <c:pt idx="22">
                  <c:v>-4987300.983560001</c:v>
                </c:pt>
                <c:pt idx="23">
                  <c:v>-4985803.704964999</c:v>
                </c:pt>
                <c:pt idx="24">
                  <c:v>-4984306.72608</c:v>
                </c:pt>
                <c:pt idx="25">
                  <c:v>-4982810.046875</c:v>
                </c:pt>
                <c:pt idx="26">
                  <c:v>-4981313.667319999</c:v>
                </c:pt>
                <c:pt idx="27">
                  <c:v>-4979817.587385001</c:v>
                </c:pt>
                <c:pt idx="28">
                  <c:v>-4978321.807039999</c:v>
                </c:pt>
                <c:pt idx="29">
                  <c:v>-4976826.326254999</c:v>
                </c:pt>
                <c:pt idx="30">
                  <c:v>-4975331.145</c:v>
                </c:pt>
                <c:pt idx="31">
                  <c:v>-4973836.2632450005</c:v>
                </c:pt>
                <c:pt idx="32">
                  <c:v>-4972341.680960001</c:v>
                </c:pt>
                <c:pt idx="33">
                  <c:v>-4970847.398115</c:v>
                </c:pt>
                <c:pt idx="34">
                  <c:v>-4969353.41468</c:v>
                </c:pt>
                <c:pt idx="35">
                  <c:v>-4967859.730625002</c:v>
                </c:pt>
                <c:pt idx="36">
                  <c:v>-4966366.34592</c:v>
                </c:pt>
                <c:pt idx="37">
                  <c:v>-4964873.260534998</c:v>
                </c:pt>
                <c:pt idx="38">
                  <c:v>-4963380.474440001</c:v>
                </c:pt>
                <c:pt idx="39">
                  <c:v>-4961887.987605</c:v>
                </c:pt>
                <c:pt idx="40">
                  <c:v>-4960395.8</c:v>
                </c:pt>
                <c:pt idx="41">
                  <c:v>-4958903.911595</c:v>
                </c:pt>
                <c:pt idx="42">
                  <c:v>-4957412.322360001</c:v>
                </c:pt>
                <c:pt idx="43">
                  <c:v>-4955921.032264999</c:v>
                </c:pt>
                <c:pt idx="44">
                  <c:v>-4954430.04128</c:v>
                </c:pt>
                <c:pt idx="45">
                  <c:v>-4952939.349375</c:v>
                </c:pt>
                <c:pt idx="46">
                  <c:v>-4951448.956520001</c:v>
                </c:pt>
                <c:pt idx="47">
                  <c:v>-4949958.8626850005</c:v>
                </c:pt>
                <c:pt idx="48">
                  <c:v>-4948469.067839999</c:v>
                </c:pt>
                <c:pt idx="49">
                  <c:v>-4946979.571955001</c:v>
                </c:pt>
                <c:pt idx="50">
                  <c:v>-4945490.375</c:v>
                </c:pt>
                <c:pt idx="51">
                  <c:v>-4944001.476944999</c:v>
                </c:pt>
                <c:pt idx="52">
                  <c:v>-4942512.8777600005</c:v>
                </c:pt>
                <c:pt idx="53">
                  <c:v>-4941024.577415</c:v>
                </c:pt>
                <c:pt idx="54">
                  <c:v>-4939536.575879999</c:v>
                </c:pt>
                <c:pt idx="55">
                  <c:v>-4938048.873125001</c:v>
                </c:pt>
                <c:pt idx="56">
                  <c:v>-4936561.46912</c:v>
                </c:pt>
                <c:pt idx="57">
                  <c:v>-4935074.363835</c:v>
                </c:pt>
                <c:pt idx="58">
                  <c:v>-4933587.55724</c:v>
                </c:pt>
                <c:pt idx="59">
                  <c:v>-4932101.049305</c:v>
                </c:pt>
                <c:pt idx="60">
                  <c:v>-4930614.840000001</c:v>
                </c:pt>
                <c:pt idx="61">
                  <c:v>-4929128.929295</c:v>
                </c:pt>
                <c:pt idx="62">
                  <c:v>-4927643.317159999</c:v>
                </c:pt>
                <c:pt idx="63">
                  <c:v>-4926158.003565001</c:v>
                </c:pt>
                <c:pt idx="64">
                  <c:v>-4924672.98848</c:v>
                </c:pt>
                <c:pt idx="65">
                  <c:v>-4923188.271874999</c:v>
                </c:pt>
                <c:pt idx="66">
                  <c:v>-4921703.85372</c:v>
                </c:pt>
                <c:pt idx="67">
                  <c:v>-4920219.733985</c:v>
                </c:pt>
                <c:pt idx="68">
                  <c:v>-4918735.912639999</c:v>
                </c:pt>
                <c:pt idx="69">
                  <c:v>-4917252.3896550005</c:v>
                </c:pt>
                <c:pt idx="70">
                  <c:v>-4915769.165</c:v>
                </c:pt>
                <c:pt idx="71">
                  <c:v>-4914286.238645001</c:v>
                </c:pt>
                <c:pt idx="72">
                  <c:v>-4912803.61056</c:v>
                </c:pt>
                <c:pt idx="73">
                  <c:v>-4911321.280714999</c:v>
                </c:pt>
                <c:pt idx="74">
                  <c:v>-4909839.249080001</c:v>
                </c:pt>
                <c:pt idx="75">
                  <c:v>-4908357.515625</c:v>
                </c:pt>
                <c:pt idx="76">
                  <c:v>-4906876.080319999</c:v>
                </c:pt>
                <c:pt idx="77">
                  <c:v>-4905394.943135001</c:v>
                </c:pt>
                <c:pt idx="78">
                  <c:v>-4903914.10404</c:v>
                </c:pt>
                <c:pt idx="79">
                  <c:v>-4902433.563004999</c:v>
                </c:pt>
                <c:pt idx="80">
                  <c:v>-4900953.32</c:v>
                </c:pt>
                <c:pt idx="81">
                  <c:v>-4899473.374995</c:v>
                </c:pt>
                <c:pt idx="82">
                  <c:v>-4897993.727960002</c:v>
                </c:pt>
                <c:pt idx="83">
                  <c:v>-4896514.378865</c:v>
                </c:pt>
                <c:pt idx="84">
                  <c:v>-4895035.32768</c:v>
                </c:pt>
                <c:pt idx="85">
                  <c:v>-4893556.574375001</c:v>
                </c:pt>
                <c:pt idx="86">
                  <c:v>-4892078.11892</c:v>
                </c:pt>
                <c:pt idx="87">
                  <c:v>-4890599.961284999</c:v>
                </c:pt>
                <c:pt idx="88">
                  <c:v>-4889122.101440001</c:v>
                </c:pt>
                <c:pt idx="89">
                  <c:v>-4887644.5393550005</c:v>
                </c:pt>
                <c:pt idx="90">
                  <c:v>-4886167.274999999</c:v>
                </c:pt>
                <c:pt idx="91">
                  <c:v>-4884690.308345</c:v>
                </c:pt>
                <c:pt idx="92">
                  <c:v>-4883213.63936</c:v>
                </c:pt>
                <c:pt idx="93">
                  <c:v>-4881737.268014999</c:v>
                </c:pt>
                <c:pt idx="94">
                  <c:v>-4880261.1942799995</c:v>
                </c:pt>
                <c:pt idx="95">
                  <c:v>-4878785.418125</c:v>
                </c:pt>
                <c:pt idx="96">
                  <c:v>-4877309.939520001</c:v>
                </c:pt>
                <c:pt idx="97">
                  <c:v>-4875834.758435</c:v>
                </c:pt>
                <c:pt idx="98">
                  <c:v>-4874359.87484</c:v>
                </c:pt>
                <c:pt idx="99">
                  <c:v>-4872885.288705001</c:v>
                </c:pt>
                <c:pt idx="100">
                  <c:v>-4871411.0</c:v>
                </c:pt>
                <c:pt idx="101">
                  <c:v>-4869937.008694999</c:v>
                </c:pt>
                <c:pt idx="102">
                  <c:v>-4868463.314760001</c:v>
                </c:pt>
                <c:pt idx="103">
                  <c:v>-4866989.918165</c:v>
                </c:pt>
                <c:pt idx="104">
                  <c:v>-4865516.818879999</c:v>
                </c:pt>
                <c:pt idx="105">
                  <c:v>-4864044.016875001</c:v>
                </c:pt>
                <c:pt idx="106">
                  <c:v>-4862571.51212</c:v>
                </c:pt>
                <c:pt idx="107">
                  <c:v>-4861099.304585001</c:v>
                </c:pt>
                <c:pt idx="108">
                  <c:v>-4859627.39424</c:v>
                </c:pt>
                <c:pt idx="109">
                  <c:v>-4858155.781055</c:v>
                </c:pt>
                <c:pt idx="110">
                  <c:v>-4856684.465000001</c:v>
                </c:pt>
                <c:pt idx="111">
                  <c:v>-4855213.446045</c:v>
                </c:pt>
                <c:pt idx="112">
                  <c:v>-4853742.724159999</c:v>
                </c:pt>
                <c:pt idx="113">
                  <c:v>-4852272.299315001</c:v>
                </c:pt>
                <c:pt idx="114">
                  <c:v>-4850802.17148</c:v>
                </c:pt>
                <c:pt idx="115">
                  <c:v>-4849332.340624998</c:v>
                </c:pt>
                <c:pt idx="116">
                  <c:v>-4847862.806720001</c:v>
                </c:pt>
                <c:pt idx="117">
                  <c:v>-4846393.569735001</c:v>
                </c:pt>
                <c:pt idx="118">
                  <c:v>-4844924.629639998</c:v>
                </c:pt>
                <c:pt idx="119">
                  <c:v>-4843455.986405</c:v>
                </c:pt>
                <c:pt idx="120">
                  <c:v>-4841987.64</c:v>
                </c:pt>
                <c:pt idx="121">
                  <c:v>-4840519.590395001</c:v>
                </c:pt>
                <c:pt idx="122">
                  <c:v>-4839051.83756</c:v>
                </c:pt>
                <c:pt idx="123">
                  <c:v>-4837584.381464999</c:v>
                </c:pt>
                <c:pt idx="124">
                  <c:v>-4836117.222080002</c:v>
                </c:pt>
                <c:pt idx="125">
                  <c:v>-4834650.359375</c:v>
                </c:pt>
                <c:pt idx="126">
                  <c:v>-4833183.793319999</c:v>
                </c:pt>
                <c:pt idx="127">
                  <c:v>-4831717.523885001</c:v>
                </c:pt>
                <c:pt idx="128">
                  <c:v>-4830251.55104</c:v>
                </c:pt>
                <c:pt idx="129">
                  <c:v>-4828785.874754999</c:v>
                </c:pt>
                <c:pt idx="130">
                  <c:v>-4827320.495</c:v>
                </c:pt>
                <c:pt idx="131">
                  <c:v>-4825855.411745</c:v>
                </c:pt>
                <c:pt idx="132">
                  <c:v>-4824390.624960001</c:v>
                </c:pt>
                <c:pt idx="133">
                  <c:v>-4822926.134614999</c:v>
                </c:pt>
                <c:pt idx="134">
                  <c:v>-4821461.940679999</c:v>
                </c:pt>
                <c:pt idx="135">
                  <c:v>-4819998.043125001</c:v>
                </c:pt>
                <c:pt idx="136">
                  <c:v>-4818534.44192</c:v>
                </c:pt>
                <c:pt idx="137">
                  <c:v>-4817071.137034999</c:v>
                </c:pt>
                <c:pt idx="138">
                  <c:v>-4815608.128440001</c:v>
                </c:pt>
                <c:pt idx="139">
                  <c:v>-4814145.416105</c:v>
                </c:pt>
                <c:pt idx="140">
                  <c:v>-4812682.999999999</c:v>
                </c:pt>
                <c:pt idx="141">
                  <c:v>-4811220.880095</c:v>
                </c:pt>
                <c:pt idx="142">
                  <c:v>-4809759.05636</c:v>
                </c:pt>
                <c:pt idx="143">
                  <c:v>-4808297.5287649995</c:v>
                </c:pt>
                <c:pt idx="144">
                  <c:v>-4806836.29728</c:v>
                </c:pt>
                <c:pt idx="145">
                  <c:v>-4805375.361875</c:v>
                </c:pt>
                <c:pt idx="146">
                  <c:v>-4803914.72252</c:v>
                </c:pt>
                <c:pt idx="147">
                  <c:v>-4802454.3791849995</c:v>
                </c:pt>
                <c:pt idx="148">
                  <c:v>-4800994.331839999</c:v>
                </c:pt>
                <c:pt idx="149">
                  <c:v>-4799534.5804550005</c:v>
                </c:pt>
                <c:pt idx="150">
                  <c:v>-4798075.125</c:v>
                </c:pt>
                <c:pt idx="151">
                  <c:v>-4796615.965444999</c:v>
                </c:pt>
                <c:pt idx="152">
                  <c:v>-4795157.101760001</c:v>
                </c:pt>
                <c:pt idx="153">
                  <c:v>-4793698.533915</c:v>
                </c:pt>
                <c:pt idx="154">
                  <c:v>-4792240.261879999</c:v>
                </c:pt>
                <c:pt idx="155">
                  <c:v>-4790782.285625</c:v>
                </c:pt>
                <c:pt idx="156">
                  <c:v>-4789324.60512</c:v>
                </c:pt>
                <c:pt idx="157">
                  <c:v>-4787867.220335001</c:v>
                </c:pt>
                <c:pt idx="158">
                  <c:v>-4786410.13124</c:v>
                </c:pt>
                <c:pt idx="159">
                  <c:v>-4784953.337805</c:v>
                </c:pt>
                <c:pt idx="160">
                  <c:v>-4783496.840000002</c:v>
                </c:pt>
                <c:pt idx="161">
                  <c:v>-4782040.637795</c:v>
                </c:pt>
                <c:pt idx="162">
                  <c:v>-4780584.731159999</c:v>
                </c:pt>
                <c:pt idx="163">
                  <c:v>-4779129.120065001</c:v>
                </c:pt>
                <c:pt idx="164">
                  <c:v>-4777673.80448</c:v>
                </c:pt>
                <c:pt idx="165">
                  <c:v>-4776218.784374999</c:v>
                </c:pt>
                <c:pt idx="166">
                  <c:v>-4774764.059719999</c:v>
                </c:pt>
                <c:pt idx="167">
                  <c:v>-4773309.630485</c:v>
                </c:pt>
                <c:pt idx="168">
                  <c:v>-4771855.496639999</c:v>
                </c:pt>
                <c:pt idx="169">
                  <c:v>-4770401.658155</c:v>
                </c:pt>
                <c:pt idx="170">
                  <c:v>-4768948.115</c:v>
                </c:pt>
                <c:pt idx="171">
                  <c:v>-4767494.867145001</c:v>
                </c:pt>
                <c:pt idx="172">
                  <c:v>-4766041.9145599995</c:v>
                </c:pt>
                <c:pt idx="173">
                  <c:v>-4764589.257214999</c:v>
                </c:pt>
                <c:pt idx="174">
                  <c:v>-4763136.895080001</c:v>
                </c:pt>
                <c:pt idx="175">
                  <c:v>-4761684.828125</c:v>
                </c:pt>
                <c:pt idx="176">
                  <c:v>-4760233.056319999</c:v>
                </c:pt>
                <c:pt idx="177">
                  <c:v>-4758781.579635002</c:v>
                </c:pt>
                <c:pt idx="178">
                  <c:v>-4757330.398039999</c:v>
                </c:pt>
                <c:pt idx="179">
                  <c:v>-4755879.511504999</c:v>
                </c:pt>
                <c:pt idx="180">
                  <c:v>-4754428.92</c:v>
                </c:pt>
                <c:pt idx="181">
                  <c:v>-4752978.6234949995</c:v>
                </c:pt>
                <c:pt idx="182">
                  <c:v>-4751528.621960002</c:v>
                </c:pt>
                <c:pt idx="183">
                  <c:v>-4750078.915365</c:v>
                </c:pt>
                <c:pt idx="184">
                  <c:v>-4748629.50368</c:v>
                </c:pt>
                <c:pt idx="185">
                  <c:v>-4747180.386875001</c:v>
                </c:pt>
                <c:pt idx="186">
                  <c:v>-4745731.56492</c:v>
                </c:pt>
                <c:pt idx="187">
                  <c:v>-4744283.037784999</c:v>
                </c:pt>
                <c:pt idx="188">
                  <c:v>-4742834.80544</c:v>
                </c:pt>
                <c:pt idx="189">
                  <c:v>-4741386.867855</c:v>
                </c:pt>
                <c:pt idx="190">
                  <c:v>-4739939.224999999</c:v>
                </c:pt>
                <c:pt idx="191">
                  <c:v>-4738491.876845</c:v>
                </c:pt>
                <c:pt idx="192">
                  <c:v>-4737044.82336</c:v>
                </c:pt>
                <c:pt idx="193">
                  <c:v>-4735598.064514998</c:v>
                </c:pt>
                <c:pt idx="194">
                  <c:v>-4734151.600280001</c:v>
                </c:pt>
                <c:pt idx="195">
                  <c:v>-4732705.430625</c:v>
                </c:pt>
                <c:pt idx="196">
                  <c:v>-4731259.555520001</c:v>
                </c:pt>
                <c:pt idx="197">
                  <c:v>-4729813.974935001</c:v>
                </c:pt>
                <c:pt idx="198">
                  <c:v>-4728368.68884</c:v>
                </c:pt>
                <c:pt idx="199">
                  <c:v>-4726923.697205001</c:v>
                </c:pt>
                <c:pt idx="200">
                  <c:v>-4725479.0</c:v>
                </c:pt>
                <c:pt idx="201">
                  <c:v>-4724034.5971949985</c:v>
                </c:pt>
                <c:pt idx="202">
                  <c:v>-4722590.48876</c:v>
                </c:pt>
                <c:pt idx="203">
                  <c:v>-4721146.674664999</c:v>
                </c:pt>
                <c:pt idx="204">
                  <c:v>-4719703.154879999</c:v>
                </c:pt>
                <c:pt idx="205">
                  <c:v>-4718259.929375</c:v>
                </c:pt>
                <c:pt idx="206">
                  <c:v>-4716816.99812</c:v>
                </c:pt>
                <c:pt idx="207">
                  <c:v>-4715374.361085</c:v>
                </c:pt>
                <c:pt idx="208">
                  <c:v>-4713932.01824</c:v>
                </c:pt>
                <c:pt idx="209">
                  <c:v>-4712489.969555</c:v>
                </c:pt>
                <c:pt idx="210">
                  <c:v>-4711048.215000002</c:v>
                </c:pt>
                <c:pt idx="211">
                  <c:v>-4709606.754544999</c:v>
                </c:pt>
                <c:pt idx="212">
                  <c:v>-4708165.58816</c:v>
                </c:pt>
                <c:pt idx="213">
                  <c:v>-4706724.715815001</c:v>
                </c:pt>
                <c:pt idx="214">
                  <c:v>-4705284.13748</c:v>
                </c:pt>
                <c:pt idx="215">
                  <c:v>-4703843.853124999</c:v>
                </c:pt>
                <c:pt idx="216">
                  <c:v>-4702403.86272</c:v>
                </c:pt>
                <c:pt idx="217">
                  <c:v>-4700964.166235</c:v>
                </c:pt>
                <c:pt idx="218">
                  <c:v>-4699524.76364</c:v>
                </c:pt>
                <c:pt idx="219">
                  <c:v>-4698085.654905</c:v>
                </c:pt>
                <c:pt idx="220">
                  <c:v>-4696646.84</c:v>
                </c:pt>
                <c:pt idx="221">
                  <c:v>-4695208.318895001</c:v>
                </c:pt>
                <c:pt idx="222">
                  <c:v>-4693770.09156</c:v>
                </c:pt>
                <c:pt idx="223">
                  <c:v>-4692332.157964999</c:v>
                </c:pt>
                <c:pt idx="224">
                  <c:v>-4690894.518080001</c:v>
                </c:pt>
                <c:pt idx="225">
                  <c:v>-4689457.171875</c:v>
                </c:pt>
                <c:pt idx="226">
                  <c:v>-4688020.11932</c:v>
                </c:pt>
                <c:pt idx="227">
                  <c:v>-4686583.360385002</c:v>
                </c:pt>
                <c:pt idx="228">
                  <c:v>-4685146.89504</c:v>
                </c:pt>
                <c:pt idx="229">
                  <c:v>-4683710.723254999</c:v>
                </c:pt>
                <c:pt idx="230">
                  <c:v>-4682274.845000001</c:v>
                </c:pt>
                <c:pt idx="231">
                  <c:v>-4680839.260245</c:v>
                </c:pt>
                <c:pt idx="232">
                  <c:v>-4679403.968960001</c:v>
                </c:pt>
                <c:pt idx="233">
                  <c:v>-4677968.971115001</c:v>
                </c:pt>
                <c:pt idx="234">
                  <c:v>-4676534.266679999</c:v>
                </c:pt>
                <c:pt idx="235">
                  <c:v>-4675099.855625001</c:v>
                </c:pt>
                <c:pt idx="236">
                  <c:v>-4673665.73792</c:v>
                </c:pt>
                <c:pt idx="237">
                  <c:v>-4672231.913534999</c:v>
                </c:pt>
                <c:pt idx="238">
                  <c:v>-4670798.382440002</c:v>
                </c:pt>
                <c:pt idx="239">
                  <c:v>-4669365.1446050005</c:v>
                </c:pt>
                <c:pt idx="240">
                  <c:v>-4667932.199999998</c:v>
                </c:pt>
                <c:pt idx="241">
                  <c:v>-4666499.548595</c:v>
                </c:pt>
                <c:pt idx="242">
                  <c:v>-4665067.190359999</c:v>
                </c:pt>
                <c:pt idx="243">
                  <c:v>-4663635.1252649985</c:v>
                </c:pt>
                <c:pt idx="244">
                  <c:v>-4662203.35328</c:v>
                </c:pt>
                <c:pt idx="245">
                  <c:v>-4660771.874375</c:v>
                </c:pt>
                <c:pt idx="246">
                  <c:v>-4659340.68852</c:v>
                </c:pt>
                <c:pt idx="247">
                  <c:v>-4657909.795685</c:v>
                </c:pt>
                <c:pt idx="248">
                  <c:v>-4656479.195839999</c:v>
                </c:pt>
                <c:pt idx="249">
                  <c:v>-4655048.888955001</c:v>
                </c:pt>
                <c:pt idx="250">
                  <c:v>-4653618.875</c:v>
                </c:pt>
                <c:pt idx="251">
                  <c:v>-4652189.153944999</c:v>
                </c:pt>
                <c:pt idx="252">
                  <c:v>-4650759.725760001</c:v>
                </c:pt>
                <c:pt idx="253">
                  <c:v>-4649330.590415</c:v>
                </c:pt>
                <c:pt idx="254">
                  <c:v>-4647901.747879999</c:v>
                </c:pt>
                <c:pt idx="255">
                  <c:v>-4646473.198125</c:v>
                </c:pt>
                <c:pt idx="256">
                  <c:v>-4645044.941120001</c:v>
                </c:pt>
                <c:pt idx="257">
                  <c:v>-4643616.976835001</c:v>
                </c:pt>
                <c:pt idx="258">
                  <c:v>-4642189.305240001</c:v>
                </c:pt>
                <c:pt idx="259">
                  <c:v>-4640761.926305</c:v>
                </c:pt>
                <c:pt idx="260">
                  <c:v>-4639334.840000001</c:v>
                </c:pt>
                <c:pt idx="261">
                  <c:v>-4637908.046295</c:v>
                </c:pt>
                <c:pt idx="262">
                  <c:v>-4636481.545159998</c:v>
                </c:pt>
                <c:pt idx="263">
                  <c:v>-4635055.336565001</c:v>
                </c:pt>
                <c:pt idx="264">
                  <c:v>-4633629.42048</c:v>
                </c:pt>
                <c:pt idx="265">
                  <c:v>-4632203.796874999</c:v>
                </c:pt>
                <c:pt idx="266">
                  <c:v>-4630778.465720001</c:v>
                </c:pt>
                <c:pt idx="267">
                  <c:v>-4629353.426985</c:v>
                </c:pt>
                <c:pt idx="268">
                  <c:v>-4627928.680639999</c:v>
                </c:pt>
                <c:pt idx="269">
                  <c:v>-4626504.226655</c:v>
                </c:pt>
                <c:pt idx="270">
                  <c:v>-4625080.065</c:v>
                </c:pt>
                <c:pt idx="271">
                  <c:v>-4623656.195645001</c:v>
                </c:pt>
                <c:pt idx="272">
                  <c:v>-4622232.61856</c:v>
                </c:pt>
                <c:pt idx="273">
                  <c:v>-4620809.333714999</c:v>
                </c:pt>
                <c:pt idx="274">
                  <c:v>-4619386.341080001</c:v>
                </c:pt>
                <c:pt idx="275">
                  <c:v>-4617963.640625</c:v>
                </c:pt>
                <c:pt idx="276">
                  <c:v>-4616541.2323199995</c:v>
                </c:pt>
                <c:pt idx="277">
                  <c:v>-4615119.116135001</c:v>
                </c:pt>
                <c:pt idx="278">
                  <c:v>-4613697.29204</c:v>
                </c:pt>
                <c:pt idx="279">
                  <c:v>-4612275.760004998</c:v>
                </c:pt>
                <c:pt idx="280">
                  <c:v>-4610854.52</c:v>
                </c:pt>
                <c:pt idx="281">
                  <c:v>-4609433.571995</c:v>
                </c:pt>
                <c:pt idx="282">
                  <c:v>-4608012.915960001</c:v>
                </c:pt>
                <c:pt idx="283">
                  <c:v>-4606592.551865</c:v>
                </c:pt>
                <c:pt idx="284">
                  <c:v>-4605172.47968</c:v>
                </c:pt>
                <c:pt idx="285">
                  <c:v>-4603752.699375001</c:v>
                </c:pt>
                <c:pt idx="286">
                  <c:v>-4602333.2109199995</c:v>
                </c:pt>
                <c:pt idx="287">
                  <c:v>-4600914.014284999</c:v>
                </c:pt>
                <c:pt idx="288">
                  <c:v>-4599495.109440001</c:v>
                </c:pt>
                <c:pt idx="289">
                  <c:v>-4598076.496355</c:v>
                </c:pt>
                <c:pt idx="290">
                  <c:v>-4596658.174999999</c:v>
                </c:pt>
                <c:pt idx="291">
                  <c:v>-4595240.145345001</c:v>
                </c:pt>
                <c:pt idx="292">
                  <c:v>-4593822.40736</c:v>
                </c:pt>
                <c:pt idx="293">
                  <c:v>-4592404.961015</c:v>
                </c:pt>
                <c:pt idx="294">
                  <c:v>-4590987.80628</c:v>
                </c:pt>
                <c:pt idx="295">
                  <c:v>-4589570.943125</c:v>
                </c:pt>
                <c:pt idx="296">
                  <c:v>-4588154.3715200005</c:v>
                </c:pt>
                <c:pt idx="297">
                  <c:v>-4586738.091435</c:v>
                </c:pt>
                <c:pt idx="298">
                  <c:v>-4585322.10284</c:v>
                </c:pt>
                <c:pt idx="299">
                  <c:v>-4583906.405705001</c:v>
                </c:pt>
                <c:pt idx="300">
                  <c:v>-4582491.0</c:v>
                </c:pt>
                <c:pt idx="301">
                  <c:v>-4581075.885694999</c:v>
                </c:pt>
                <c:pt idx="302">
                  <c:v>-4579661.062760001</c:v>
                </c:pt>
                <c:pt idx="303">
                  <c:v>-4578246.531165</c:v>
                </c:pt>
                <c:pt idx="304">
                  <c:v>-4576832.290879998</c:v>
                </c:pt>
                <c:pt idx="305">
                  <c:v>-4575418.341875</c:v>
                </c:pt>
                <c:pt idx="306">
                  <c:v>-4574004.684119999</c:v>
                </c:pt>
                <c:pt idx="307">
                  <c:v>-4572591.317585001</c:v>
                </c:pt>
                <c:pt idx="308">
                  <c:v>-4571178.24224</c:v>
                </c:pt>
                <c:pt idx="309">
                  <c:v>-4569765.458055</c:v>
                </c:pt>
                <c:pt idx="310">
                  <c:v>-4568352.965000001</c:v>
                </c:pt>
                <c:pt idx="311">
                  <c:v>-4566940.763045</c:v>
                </c:pt>
                <c:pt idx="312">
                  <c:v>-4565528.852159999</c:v>
                </c:pt>
                <c:pt idx="313">
                  <c:v>-4564117.232315001</c:v>
                </c:pt>
                <c:pt idx="314">
                  <c:v>-4562705.903480001</c:v>
                </c:pt>
                <c:pt idx="315">
                  <c:v>-4561294.865624999</c:v>
                </c:pt>
                <c:pt idx="316">
                  <c:v>-4559884.11872</c:v>
                </c:pt>
                <c:pt idx="317">
                  <c:v>-4558473.662734999</c:v>
                </c:pt>
                <c:pt idx="318">
                  <c:v>-4557063.497639999</c:v>
                </c:pt>
                <c:pt idx="319">
                  <c:v>-4555653.623405</c:v>
                </c:pt>
                <c:pt idx="320">
                  <c:v>-4554244.040000001</c:v>
                </c:pt>
                <c:pt idx="321">
                  <c:v>-4552834.747395</c:v>
                </c:pt>
                <c:pt idx="322">
                  <c:v>-4551425.74556</c:v>
                </c:pt>
                <c:pt idx="323">
                  <c:v>-4550017.034464998</c:v>
                </c:pt>
                <c:pt idx="324">
                  <c:v>-4548608.614080001</c:v>
                </c:pt>
                <c:pt idx="325">
                  <c:v>-4547200.484375</c:v>
                </c:pt>
                <c:pt idx="326">
                  <c:v>-4545792.645319999</c:v>
                </c:pt>
                <c:pt idx="327">
                  <c:v>-4544385.096885001</c:v>
                </c:pt>
                <c:pt idx="328">
                  <c:v>-4542977.839040001</c:v>
                </c:pt>
                <c:pt idx="329">
                  <c:v>-4541570.871754999</c:v>
                </c:pt>
                <c:pt idx="330">
                  <c:v>-4540164.195</c:v>
                </c:pt>
                <c:pt idx="331">
                  <c:v>-4538757.8087450005</c:v>
                </c:pt>
                <c:pt idx="332">
                  <c:v>-4537351.712960001</c:v>
                </c:pt>
                <c:pt idx="333">
                  <c:v>-4535945.907614999</c:v>
                </c:pt>
                <c:pt idx="334">
                  <c:v>-4534540.3926800005</c:v>
                </c:pt>
                <c:pt idx="335">
                  <c:v>-4533135.168125002</c:v>
                </c:pt>
                <c:pt idx="336">
                  <c:v>-4531730.23392</c:v>
                </c:pt>
                <c:pt idx="337">
                  <c:v>-4530325.590034999</c:v>
                </c:pt>
                <c:pt idx="338">
                  <c:v>-4528921.236440001</c:v>
                </c:pt>
                <c:pt idx="339">
                  <c:v>-4527517.173105</c:v>
                </c:pt>
                <c:pt idx="340">
                  <c:v>-4526113.399999999</c:v>
                </c:pt>
                <c:pt idx="341">
                  <c:v>-4524709.917095</c:v>
                </c:pt>
                <c:pt idx="342">
                  <c:v>-4523306.724359999</c:v>
                </c:pt>
                <c:pt idx="343">
                  <c:v>-4521903.821764998</c:v>
                </c:pt>
                <c:pt idx="344">
                  <c:v>-4520501.20928</c:v>
                </c:pt>
                <c:pt idx="345">
                  <c:v>-4519098.886875</c:v>
                </c:pt>
                <c:pt idx="346">
                  <c:v>-4517696.8545200005</c:v>
                </c:pt>
                <c:pt idx="347">
                  <c:v>-4516295.1121849995</c:v>
                </c:pt>
                <c:pt idx="348">
                  <c:v>-4514893.659839999</c:v>
                </c:pt>
                <c:pt idx="349">
                  <c:v>-4513492.497455001</c:v>
                </c:pt>
                <c:pt idx="350">
                  <c:v>-4512091.625</c:v>
                </c:pt>
                <c:pt idx="351">
                  <c:v>-4510691.042444999</c:v>
                </c:pt>
                <c:pt idx="352">
                  <c:v>-4509290.749760001</c:v>
                </c:pt>
                <c:pt idx="353">
                  <c:v>-4507890.746915</c:v>
                </c:pt>
                <c:pt idx="354">
                  <c:v>-4506491.033879998</c:v>
                </c:pt>
                <c:pt idx="355">
                  <c:v>-4505091.610625</c:v>
                </c:pt>
                <c:pt idx="356">
                  <c:v>-4503692.47712</c:v>
                </c:pt>
                <c:pt idx="357">
                  <c:v>-4502293.633335001</c:v>
                </c:pt>
                <c:pt idx="358">
                  <c:v>-4500895.07924</c:v>
                </c:pt>
                <c:pt idx="359">
                  <c:v>-4499496.814805</c:v>
                </c:pt>
                <c:pt idx="360">
                  <c:v>-4498098.840000001</c:v>
                </c:pt>
                <c:pt idx="361">
                  <c:v>-4496701.154794999</c:v>
                </c:pt>
                <c:pt idx="362">
                  <c:v>-4495303.759159999</c:v>
                </c:pt>
                <c:pt idx="363">
                  <c:v>-4493906.653065001</c:v>
                </c:pt>
                <c:pt idx="364">
                  <c:v>-4492509.83648</c:v>
                </c:pt>
                <c:pt idx="365">
                  <c:v>-4491113.309374998</c:v>
                </c:pt>
                <c:pt idx="366">
                  <c:v>-4489717.071719999</c:v>
                </c:pt>
                <c:pt idx="367">
                  <c:v>-4488321.123485</c:v>
                </c:pt>
                <c:pt idx="368">
                  <c:v>-4486925.464639999</c:v>
                </c:pt>
                <c:pt idx="369">
                  <c:v>-4485530.095155001</c:v>
                </c:pt>
                <c:pt idx="370">
                  <c:v>-4484135.015</c:v>
                </c:pt>
                <c:pt idx="371">
                  <c:v>-4482740.224145001</c:v>
                </c:pt>
                <c:pt idx="372">
                  <c:v>-4481345.72256</c:v>
                </c:pt>
                <c:pt idx="373">
                  <c:v>-4479951.510214998</c:v>
                </c:pt>
                <c:pt idx="374">
                  <c:v>-4478557.587080001</c:v>
                </c:pt>
                <c:pt idx="375">
                  <c:v>-4477163.953125</c:v>
                </c:pt>
                <c:pt idx="376">
                  <c:v>-4475770.608319999</c:v>
                </c:pt>
                <c:pt idx="377">
                  <c:v>-4474377.552635001</c:v>
                </c:pt>
                <c:pt idx="378">
                  <c:v>-4472984.786040001</c:v>
                </c:pt>
                <c:pt idx="379">
                  <c:v>-4471592.308504999</c:v>
                </c:pt>
                <c:pt idx="380">
                  <c:v>-4470200.12</c:v>
                </c:pt>
                <c:pt idx="381">
                  <c:v>-4468808.2204950005</c:v>
                </c:pt>
                <c:pt idx="382">
                  <c:v>-4467416.609960001</c:v>
                </c:pt>
                <c:pt idx="383">
                  <c:v>-4466025.288365</c:v>
                </c:pt>
                <c:pt idx="384">
                  <c:v>-4464634.25568</c:v>
                </c:pt>
                <c:pt idx="385">
                  <c:v>-4463243.511875001</c:v>
                </c:pt>
                <c:pt idx="386">
                  <c:v>-4461853.05692</c:v>
                </c:pt>
                <c:pt idx="387">
                  <c:v>-4460462.890784999</c:v>
                </c:pt>
                <c:pt idx="388">
                  <c:v>-4459073.013440001</c:v>
                </c:pt>
                <c:pt idx="389">
                  <c:v>-4457683.424855</c:v>
                </c:pt>
                <c:pt idx="390">
                  <c:v>-4456294.124999999</c:v>
                </c:pt>
                <c:pt idx="391">
                  <c:v>-4454905.113845</c:v>
                </c:pt>
                <c:pt idx="392">
                  <c:v>-4453516.39136</c:v>
                </c:pt>
                <c:pt idx="393">
                  <c:v>-4452127.9575149985</c:v>
                </c:pt>
                <c:pt idx="394">
                  <c:v>-4450739.812279999</c:v>
                </c:pt>
                <c:pt idx="395">
                  <c:v>-4449351.9556249995</c:v>
                </c:pt>
                <c:pt idx="396">
                  <c:v>-4447964.38752</c:v>
                </c:pt>
                <c:pt idx="397">
                  <c:v>-4446577.107935</c:v>
                </c:pt>
                <c:pt idx="398">
                  <c:v>-4445190.116839999</c:v>
                </c:pt>
                <c:pt idx="399">
                  <c:v>-4443803.414205002</c:v>
                </c:pt>
                <c:pt idx="400">
                  <c:v>-4442417.0</c:v>
                </c:pt>
                <c:pt idx="401">
                  <c:v>-4441030.874194999</c:v>
                </c:pt>
                <c:pt idx="402">
                  <c:v>-4439645.0367600005</c:v>
                </c:pt>
                <c:pt idx="403">
                  <c:v>-4438259.487665</c:v>
                </c:pt>
                <c:pt idx="404">
                  <c:v>-4436874.226879999</c:v>
                </c:pt>
                <c:pt idx="405">
                  <c:v>-4435489.254375</c:v>
                </c:pt>
                <c:pt idx="406">
                  <c:v>-4434104.57012</c:v>
                </c:pt>
                <c:pt idx="407">
                  <c:v>-4432720.174085001</c:v>
                </c:pt>
                <c:pt idx="408">
                  <c:v>-4431336.066240001</c:v>
                </c:pt>
                <c:pt idx="409">
                  <c:v>-4429952.246555001</c:v>
                </c:pt>
                <c:pt idx="410">
                  <c:v>-4428568.715000001</c:v>
                </c:pt>
                <c:pt idx="411">
                  <c:v>-4427185.471545</c:v>
                </c:pt>
                <c:pt idx="412">
                  <c:v>-4425802.516159999</c:v>
                </c:pt>
                <c:pt idx="413">
                  <c:v>-4424419.848815002</c:v>
                </c:pt>
                <c:pt idx="414">
                  <c:v>-4423037.4694799995</c:v>
                </c:pt>
                <c:pt idx="415">
                  <c:v>-4421655.378124999</c:v>
                </c:pt>
                <c:pt idx="416">
                  <c:v>-4420273.57472</c:v>
                </c:pt>
                <c:pt idx="417">
                  <c:v>-4418892.059235</c:v>
                </c:pt>
                <c:pt idx="418">
                  <c:v>-4417510.831639999</c:v>
                </c:pt>
                <c:pt idx="419">
                  <c:v>-4416129.891905</c:v>
                </c:pt>
                <c:pt idx="420">
                  <c:v>-4414749.24</c:v>
                </c:pt>
                <c:pt idx="421">
                  <c:v>-4413368.875895002</c:v>
                </c:pt>
                <c:pt idx="422">
                  <c:v>-4411988.79956</c:v>
                </c:pt>
                <c:pt idx="423">
                  <c:v>-4410609.010964999</c:v>
                </c:pt>
                <c:pt idx="424">
                  <c:v>-4409229.51008</c:v>
                </c:pt>
                <c:pt idx="425">
                  <c:v>-4407850.296875</c:v>
                </c:pt>
                <c:pt idx="426">
                  <c:v>-4406471.371319999</c:v>
                </c:pt>
                <c:pt idx="427">
                  <c:v>-4405092.733385001</c:v>
                </c:pt>
                <c:pt idx="428">
                  <c:v>-4403714.383040001</c:v>
                </c:pt>
                <c:pt idx="429">
                  <c:v>-4402336.320254999</c:v>
                </c:pt>
                <c:pt idx="430">
                  <c:v>-4400958.545000001</c:v>
                </c:pt>
                <c:pt idx="431">
                  <c:v>-4399581.057245</c:v>
                </c:pt>
                <c:pt idx="432">
                  <c:v>-4398203.8569600005</c:v>
                </c:pt>
                <c:pt idx="433">
                  <c:v>-4396826.944115</c:v>
                </c:pt>
                <c:pt idx="434">
                  <c:v>-4395450.31868</c:v>
                </c:pt>
                <c:pt idx="435">
                  <c:v>-4394073.980625001</c:v>
                </c:pt>
                <c:pt idx="436">
                  <c:v>-4392697.92992</c:v>
                </c:pt>
                <c:pt idx="437">
                  <c:v>-4391322.166534998</c:v>
                </c:pt>
                <c:pt idx="438">
                  <c:v>-4389946.690440001</c:v>
                </c:pt>
                <c:pt idx="439">
                  <c:v>-4388571.501605</c:v>
                </c:pt>
                <c:pt idx="440">
                  <c:v>-4387196.599999999</c:v>
                </c:pt>
                <c:pt idx="441">
                  <c:v>-4385821.985595</c:v>
                </c:pt>
                <c:pt idx="442">
                  <c:v>-4384447.65836</c:v>
                </c:pt>
                <c:pt idx="443">
                  <c:v>-4383073.618264999</c:v>
                </c:pt>
                <c:pt idx="444">
                  <c:v>-4381699.86528</c:v>
                </c:pt>
                <c:pt idx="445">
                  <c:v>-4380326.399375001</c:v>
                </c:pt>
                <c:pt idx="446">
                  <c:v>-4378953.220520002</c:v>
                </c:pt>
                <c:pt idx="447">
                  <c:v>-4377580.328685</c:v>
                </c:pt>
                <c:pt idx="448">
                  <c:v>-4376207.723839999</c:v>
                </c:pt>
                <c:pt idx="449">
                  <c:v>-4374835.405955001</c:v>
                </c:pt>
                <c:pt idx="450">
                  <c:v>-4373463.375</c:v>
                </c:pt>
                <c:pt idx="451">
                  <c:v>-4372091.630944999</c:v>
                </c:pt>
                <c:pt idx="452">
                  <c:v>-4370720.173760001</c:v>
                </c:pt>
                <c:pt idx="453">
                  <c:v>-4369349.003415</c:v>
                </c:pt>
                <c:pt idx="454">
                  <c:v>-4367978.119879999</c:v>
                </c:pt>
                <c:pt idx="455">
                  <c:v>-4366607.523125</c:v>
                </c:pt>
                <c:pt idx="456">
                  <c:v>-4365237.2131199995</c:v>
                </c:pt>
                <c:pt idx="457">
                  <c:v>-4363867.189835001</c:v>
                </c:pt>
                <c:pt idx="458">
                  <c:v>-4362497.453240001</c:v>
                </c:pt>
                <c:pt idx="459">
                  <c:v>-4361128.003304999</c:v>
                </c:pt>
                <c:pt idx="460">
                  <c:v>-4359758.840000001</c:v>
                </c:pt>
                <c:pt idx="461">
                  <c:v>-4358389.963295001</c:v>
                </c:pt>
                <c:pt idx="462">
                  <c:v>-4357021.373159999</c:v>
                </c:pt>
                <c:pt idx="463">
                  <c:v>-4355653.069565001</c:v>
                </c:pt>
                <c:pt idx="464">
                  <c:v>-4354285.05248</c:v>
                </c:pt>
                <c:pt idx="465">
                  <c:v>-4352917.321874999</c:v>
                </c:pt>
                <c:pt idx="466">
                  <c:v>-4351549.87772</c:v>
                </c:pt>
                <c:pt idx="467">
                  <c:v>-4350182.719985</c:v>
                </c:pt>
                <c:pt idx="468">
                  <c:v>-4348815.8486399995</c:v>
                </c:pt>
                <c:pt idx="469">
                  <c:v>-4347449.263655</c:v>
                </c:pt>
                <c:pt idx="470">
                  <c:v>-4346082.965</c:v>
                </c:pt>
                <c:pt idx="471">
                  <c:v>-4344716.952645002</c:v>
                </c:pt>
                <c:pt idx="472">
                  <c:v>-4343351.22656</c:v>
                </c:pt>
                <c:pt idx="473">
                  <c:v>-4341985.786714998</c:v>
                </c:pt>
                <c:pt idx="474">
                  <c:v>-4340620.633080001</c:v>
                </c:pt>
                <c:pt idx="475">
                  <c:v>-4339255.765625</c:v>
                </c:pt>
                <c:pt idx="476">
                  <c:v>-4337891.184319999</c:v>
                </c:pt>
                <c:pt idx="477">
                  <c:v>-4336526.889135001</c:v>
                </c:pt>
                <c:pt idx="478">
                  <c:v>-4335162.88004</c:v>
                </c:pt>
                <c:pt idx="479">
                  <c:v>-4333799.157004999</c:v>
                </c:pt>
                <c:pt idx="480">
                  <c:v>-4332435.72</c:v>
                </c:pt>
                <c:pt idx="481">
                  <c:v>-4331072.568995</c:v>
                </c:pt>
                <c:pt idx="482">
                  <c:v>-4329709.7039600015</c:v>
                </c:pt>
                <c:pt idx="483">
                  <c:v>-4328347.124865</c:v>
                </c:pt>
                <c:pt idx="484">
                  <c:v>-4326984.831680001</c:v>
                </c:pt>
                <c:pt idx="485">
                  <c:v>-4325622.824375001</c:v>
                </c:pt>
                <c:pt idx="486">
                  <c:v>-4324261.1029199995</c:v>
                </c:pt>
                <c:pt idx="487">
                  <c:v>-4322899.667284999</c:v>
                </c:pt>
                <c:pt idx="488">
                  <c:v>-4321538.5174400015</c:v>
                </c:pt>
                <c:pt idx="489">
                  <c:v>-4320177.653355</c:v>
                </c:pt>
                <c:pt idx="490">
                  <c:v>-4318817.074999998</c:v>
                </c:pt>
                <c:pt idx="491">
                  <c:v>-4317456.782345</c:v>
                </c:pt>
                <c:pt idx="492">
                  <c:v>-4316096.77536</c:v>
                </c:pt>
                <c:pt idx="493">
                  <c:v>-4314737.0540149985</c:v>
                </c:pt>
                <c:pt idx="494">
                  <c:v>-4313377.61828</c:v>
                </c:pt>
                <c:pt idx="495">
                  <c:v>-4312018.468125</c:v>
                </c:pt>
                <c:pt idx="496">
                  <c:v>-4310659.603520001</c:v>
                </c:pt>
                <c:pt idx="497">
                  <c:v>-4309301.024435</c:v>
                </c:pt>
                <c:pt idx="498">
                  <c:v>-4307942.730839999</c:v>
                </c:pt>
                <c:pt idx="499">
                  <c:v>-4306584.722705001</c:v>
                </c:pt>
                <c:pt idx="500">
                  <c:v>-4305227.0</c:v>
                </c:pt>
                <c:pt idx="501">
                  <c:v>-4303869.562694999</c:v>
                </c:pt>
                <c:pt idx="502">
                  <c:v>-4302512.410760001</c:v>
                </c:pt>
                <c:pt idx="503">
                  <c:v>-4301155.544165</c:v>
                </c:pt>
                <c:pt idx="504">
                  <c:v>-4299798.96288</c:v>
                </c:pt>
                <c:pt idx="505">
                  <c:v>-4298442.666875</c:v>
                </c:pt>
                <c:pt idx="506">
                  <c:v>-4297086.65612</c:v>
                </c:pt>
                <c:pt idx="507">
                  <c:v>-4295730.930585001</c:v>
                </c:pt>
                <c:pt idx="508">
                  <c:v>-4294375.49024</c:v>
                </c:pt>
                <c:pt idx="509">
                  <c:v>-4293020.335055</c:v>
                </c:pt>
                <c:pt idx="510">
                  <c:v>-4291665.465000001</c:v>
                </c:pt>
                <c:pt idx="511">
                  <c:v>-4290310.880045</c:v>
                </c:pt>
                <c:pt idx="512">
                  <c:v>-4288956.580159999</c:v>
                </c:pt>
                <c:pt idx="513">
                  <c:v>-4287602.565315001</c:v>
                </c:pt>
                <c:pt idx="514">
                  <c:v>-4286248.83548</c:v>
                </c:pt>
                <c:pt idx="515">
                  <c:v>-4284895.390624999</c:v>
                </c:pt>
                <c:pt idx="516">
                  <c:v>-4283542.23072</c:v>
                </c:pt>
                <c:pt idx="517">
                  <c:v>-4282189.355735</c:v>
                </c:pt>
                <c:pt idx="518">
                  <c:v>-4280836.765639999</c:v>
                </c:pt>
                <c:pt idx="519">
                  <c:v>-4279484.4604050005</c:v>
                </c:pt>
                <c:pt idx="520">
                  <c:v>-4278132.4399999995</c:v>
                </c:pt>
                <c:pt idx="521">
                  <c:v>-4276780.704395002</c:v>
                </c:pt>
                <c:pt idx="522">
                  <c:v>-4275429.25356</c:v>
                </c:pt>
                <c:pt idx="523">
                  <c:v>-4274078.0874649985</c:v>
                </c:pt>
                <c:pt idx="524">
                  <c:v>-4272727.206080001</c:v>
                </c:pt>
                <c:pt idx="525">
                  <c:v>-4271376.609375</c:v>
                </c:pt>
                <c:pt idx="526">
                  <c:v>-4270026.297319999</c:v>
                </c:pt>
                <c:pt idx="527">
                  <c:v>-4268676.269885002</c:v>
                </c:pt>
                <c:pt idx="528">
                  <c:v>-4267326.527039999</c:v>
                </c:pt>
                <c:pt idx="529">
                  <c:v>-4265977.068754999</c:v>
                </c:pt>
                <c:pt idx="530">
                  <c:v>-4264627.895</c:v>
                </c:pt>
                <c:pt idx="531">
                  <c:v>-4263279.005744999</c:v>
                </c:pt>
                <c:pt idx="532">
                  <c:v>-4261930.400960001</c:v>
                </c:pt>
                <c:pt idx="533">
                  <c:v>-4260582.080615001</c:v>
                </c:pt>
                <c:pt idx="534">
                  <c:v>-4259234.04468</c:v>
                </c:pt>
                <c:pt idx="535">
                  <c:v>-4257886.293125001</c:v>
                </c:pt>
                <c:pt idx="536">
                  <c:v>-4256538.825920001</c:v>
                </c:pt>
                <c:pt idx="537">
                  <c:v>-4255191.643034999</c:v>
                </c:pt>
                <c:pt idx="538">
                  <c:v>-4253844.7444400005</c:v>
                </c:pt>
                <c:pt idx="539">
                  <c:v>-4252498.130105</c:v>
                </c:pt>
                <c:pt idx="540">
                  <c:v>-4251151.8</c:v>
                </c:pt>
                <c:pt idx="541">
                  <c:v>-4249805.754095</c:v>
                </c:pt>
                <c:pt idx="542">
                  <c:v>-4248459.9923600005</c:v>
                </c:pt>
                <c:pt idx="543">
                  <c:v>-4247114.514764999</c:v>
                </c:pt>
                <c:pt idx="544">
                  <c:v>-4245769.32128</c:v>
                </c:pt>
                <c:pt idx="545">
                  <c:v>-4244424.411875</c:v>
                </c:pt>
                <c:pt idx="546">
                  <c:v>-4243079.7865200015</c:v>
                </c:pt>
                <c:pt idx="547">
                  <c:v>-4241735.445184999</c:v>
                </c:pt>
                <c:pt idx="548">
                  <c:v>-4240391.387839999</c:v>
                </c:pt>
                <c:pt idx="549">
                  <c:v>-4239047.6144550005</c:v>
                </c:pt>
                <c:pt idx="550">
                  <c:v>-4237704.125</c:v>
                </c:pt>
                <c:pt idx="551">
                  <c:v>-4236360.919445</c:v>
                </c:pt>
                <c:pt idx="552">
                  <c:v>-4235017.997760001</c:v>
                </c:pt>
                <c:pt idx="553">
                  <c:v>-4233675.359915</c:v>
                </c:pt>
                <c:pt idx="554">
                  <c:v>-4232333.005879999</c:v>
                </c:pt>
                <c:pt idx="555">
                  <c:v>-4230990.935625001</c:v>
                </c:pt>
                <c:pt idx="556">
                  <c:v>-4229649.14912</c:v>
                </c:pt>
                <c:pt idx="557">
                  <c:v>-4228307.646335001</c:v>
                </c:pt>
                <c:pt idx="558">
                  <c:v>-4226966.427240001</c:v>
                </c:pt>
                <c:pt idx="559">
                  <c:v>-4225625.491805</c:v>
                </c:pt>
                <c:pt idx="560">
                  <c:v>-4224284.840000001</c:v>
                </c:pt>
                <c:pt idx="561">
                  <c:v>-4222944.471795</c:v>
                </c:pt>
                <c:pt idx="562">
                  <c:v>-4221604.3871599985</c:v>
                </c:pt>
                <c:pt idx="563">
                  <c:v>-4220264.586065001</c:v>
                </c:pt>
                <c:pt idx="564">
                  <c:v>-4218925.06848</c:v>
                </c:pt>
                <c:pt idx="565">
                  <c:v>-4217585.834374999</c:v>
                </c:pt>
                <c:pt idx="566">
                  <c:v>-4216246.88372</c:v>
                </c:pt>
                <c:pt idx="567">
                  <c:v>-4214908.216484999</c:v>
                </c:pt>
                <c:pt idx="568">
                  <c:v>-4213569.832639999</c:v>
                </c:pt>
                <c:pt idx="569">
                  <c:v>-4212231.732155</c:v>
                </c:pt>
                <c:pt idx="570">
                  <c:v>-4210893.915</c:v>
                </c:pt>
                <c:pt idx="571">
                  <c:v>-4209556.381145</c:v>
                </c:pt>
                <c:pt idx="572">
                  <c:v>-4208219.13056</c:v>
                </c:pt>
                <c:pt idx="573">
                  <c:v>-4206882.163214999</c:v>
                </c:pt>
                <c:pt idx="574">
                  <c:v>-4205545.479080001</c:v>
                </c:pt>
                <c:pt idx="575">
                  <c:v>-4204209.078125</c:v>
                </c:pt>
                <c:pt idx="576">
                  <c:v>-4202872.960319999</c:v>
                </c:pt>
                <c:pt idx="577">
                  <c:v>-4201537.125635001</c:v>
                </c:pt>
                <c:pt idx="578">
                  <c:v>-4200201.574039999</c:v>
                </c:pt>
                <c:pt idx="579">
                  <c:v>-4198866.305504999</c:v>
                </c:pt>
                <c:pt idx="580">
                  <c:v>-4197531.32</c:v>
                </c:pt>
                <c:pt idx="581">
                  <c:v>-4196196.617494999</c:v>
                </c:pt>
                <c:pt idx="582">
                  <c:v>-4194862.197960001</c:v>
                </c:pt>
                <c:pt idx="583">
                  <c:v>-4193528.061365</c:v>
                </c:pt>
                <c:pt idx="584">
                  <c:v>-4192194.2076799995</c:v>
                </c:pt>
                <c:pt idx="585">
                  <c:v>-4190860.636875001</c:v>
                </c:pt>
                <c:pt idx="586">
                  <c:v>-4189527.3489200003</c:v>
                </c:pt>
                <c:pt idx="587">
                  <c:v>-4188194.3437849996</c:v>
                </c:pt>
                <c:pt idx="588">
                  <c:v>-4186861.621440001</c:v>
                </c:pt>
                <c:pt idx="589">
                  <c:v>-4185529.1818550006</c:v>
                </c:pt>
                <c:pt idx="590">
                  <c:v>-4184197.024999999</c:v>
                </c:pt>
                <c:pt idx="591">
                  <c:v>-4182865.150845</c:v>
                </c:pt>
                <c:pt idx="592">
                  <c:v>-4181533.5593600003</c:v>
                </c:pt>
                <c:pt idx="593">
                  <c:v>-4180202.250514999</c:v>
                </c:pt>
                <c:pt idx="594">
                  <c:v>-4178871.22428</c:v>
                </c:pt>
                <c:pt idx="595">
                  <c:v>-4177540.4806249994</c:v>
                </c:pt>
                <c:pt idx="596">
                  <c:v>-4176210.0195200015</c:v>
                </c:pt>
                <c:pt idx="597">
                  <c:v>-4174879.840935</c:v>
                </c:pt>
                <c:pt idx="598">
                  <c:v>-4173549.9448399995</c:v>
                </c:pt>
                <c:pt idx="599">
                  <c:v>-4172220.331205</c:v>
                </c:pt>
                <c:pt idx="600">
                  <c:v>-4170891.0</c:v>
                </c:pt>
                <c:pt idx="601">
                  <c:v>-4169561.9511949993</c:v>
                </c:pt>
                <c:pt idx="602">
                  <c:v>-4168233.1847600006</c:v>
                </c:pt>
                <c:pt idx="603">
                  <c:v>-4166904.700665</c:v>
                </c:pt>
                <c:pt idx="604">
                  <c:v>-4165576.498879999</c:v>
                </c:pt>
                <c:pt idx="605">
                  <c:v>-4164248.579375</c:v>
                </c:pt>
                <c:pt idx="606">
                  <c:v>-4162920.9421199993</c:v>
                </c:pt>
                <c:pt idx="607">
                  <c:v>-4161593.587085001</c:v>
                </c:pt>
                <c:pt idx="608">
                  <c:v>-4160266.5142400004</c:v>
                </c:pt>
                <c:pt idx="609">
                  <c:v>-4158939.7235549996</c:v>
                </c:pt>
                <c:pt idx="610">
                  <c:v>-4157613.2150000012</c:v>
                </c:pt>
                <c:pt idx="611">
                  <c:v>-4156286.988545</c:v>
                </c:pt>
                <c:pt idx="612">
                  <c:v>-4154961.0441599996</c:v>
                </c:pt>
                <c:pt idx="613">
                  <c:v>-4153635.3818150004</c:v>
                </c:pt>
                <c:pt idx="614">
                  <c:v>-4152310.0014799996</c:v>
                </c:pt>
                <c:pt idx="615">
                  <c:v>-4150984.903124999</c:v>
                </c:pt>
                <c:pt idx="616">
                  <c:v>-4149660.08672</c:v>
                </c:pt>
                <c:pt idx="617">
                  <c:v>-4148335.5522350003</c:v>
                </c:pt>
                <c:pt idx="618">
                  <c:v>-4147011.2996399994</c:v>
                </c:pt>
                <c:pt idx="619">
                  <c:v>-4145687.3289050004</c:v>
                </c:pt>
                <c:pt idx="620">
                  <c:v>-4144363.639999999</c:v>
                </c:pt>
                <c:pt idx="621">
                  <c:v>-4143040.2328950013</c:v>
                </c:pt>
                <c:pt idx="622">
                  <c:v>-4141717.10756</c:v>
                </c:pt>
                <c:pt idx="623">
                  <c:v>-4140394.2639649995</c:v>
                </c:pt>
                <c:pt idx="624">
                  <c:v>-4139071.70208</c:v>
                </c:pt>
                <c:pt idx="625">
                  <c:v>-4137749.421875</c:v>
                </c:pt>
                <c:pt idx="626">
                  <c:v>-4136427.4233199996</c:v>
                </c:pt>
                <c:pt idx="627">
                  <c:v>-4135105.7063850006</c:v>
                </c:pt>
                <c:pt idx="628">
                  <c:v>-4133784.27104</c:v>
                </c:pt>
                <c:pt idx="629">
                  <c:v>-4132463.117254999</c:v>
                </c:pt>
                <c:pt idx="630">
                  <c:v>-4131142.2450000006</c:v>
                </c:pt>
                <c:pt idx="631">
                  <c:v>-4129821.6542449994</c:v>
                </c:pt>
                <c:pt idx="632">
                  <c:v>-4128501.3449600013</c:v>
                </c:pt>
                <c:pt idx="633">
                  <c:v>-4127181.317115</c:v>
                </c:pt>
                <c:pt idx="634">
                  <c:v>-4125861.5706799994</c:v>
                </c:pt>
                <c:pt idx="635">
                  <c:v>-4124542.1056250012</c:v>
                </c:pt>
                <c:pt idx="636">
                  <c:v>-4123222.92192</c:v>
                </c:pt>
                <c:pt idx="637">
                  <c:v>-4121904.0195349995</c:v>
                </c:pt>
                <c:pt idx="638">
                  <c:v>-4120585.39844</c:v>
                </c:pt>
                <c:pt idx="639">
                  <c:v>-4119267.058605</c:v>
                </c:pt>
                <c:pt idx="640">
                  <c:v>-4117948.9999999986</c:v>
                </c:pt>
                <c:pt idx="641">
                  <c:v>-4116631.2225950006</c:v>
                </c:pt>
                <c:pt idx="642">
                  <c:v>-4115313.72636</c:v>
                </c:pt>
                <c:pt idx="643">
                  <c:v>-4113996.5112649994</c:v>
                </c:pt>
                <c:pt idx="644">
                  <c:v>-4112679.577280001</c:v>
                </c:pt>
                <c:pt idx="645">
                  <c:v>-4111362.924375</c:v>
                </c:pt>
                <c:pt idx="646">
                  <c:v>-4110046.5525200013</c:v>
                </c:pt>
                <c:pt idx="647">
                  <c:v>-4108730.4616849995</c:v>
                </c:pt>
                <c:pt idx="648">
                  <c:v>-4107414.65184</c:v>
                </c:pt>
                <c:pt idx="649">
                  <c:v>-4106099.1229550005</c:v>
                </c:pt>
                <c:pt idx="650">
                  <c:v>-4104783.875</c:v>
                </c:pt>
                <c:pt idx="651">
                  <c:v>-4103468.9079449996</c:v>
                </c:pt>
                <c:pt idx="652">
                  <c:v>-4102154.2217600006</c:v>
                </c:pt>
                <c:pt idx="653">
                  <c:v>-4100839.816415</c:v>
                </c:pt>
                <c:pt idx="654">
                  <c:v>-4099525.691879999</c:v>
                </c:pt>
                <c:pt idx="655">
                  <c:v>-4098211.848125001</c:v>
                </c:pt>
                <c:pt idx="656">
                  <c:v>-4096898.285119999</c:v>
                </c:pt>
                <c:pt idx="657">
                  <c:v>-4095585.0028350004</c:v>
                </c:pt>
                <c:pt idx="658">
                  <c:v>-4094272.0012400006</c:v>
                </c:pt>
                <c:pt idx="659">
                  <c:v>-4092959.280304999</c:v>
                </c:pt>
                <c:pt idx="660">
                  <c:v>-4091646.8400000012</c:v>
                </c:pt>
                <c:pt idx="661">
                  <c:v>-4090334.680295</c:v>
                </c:pt>
                <c:pt idx="662">
                  <c:v>-4089022.80116</c:v>
                </c:pt>
                <c:pt idx="663">
                  <c:v>-4087711.202565001</c:v>
                </c:pt>
                <c:pt idx="664">
                  <c:v>-4086399.88448</c:v>
                </c:pt>
                <c:pt idx="665">
                  <c:v>-4085088.846874999</c:v>
                </c:pt>
                <c:pt idx="666">
                  <c:v>-4083778.08972</c:v>
                </c:pt>
                <c:pt idx="667">
                  <c:v>-4082467.612985</c:v>
                </c:pt>
                <c:pt idx="668">
                  <c:v>-4081157.416639999</c:v>
                </c:pt>
                <c:pt idx="669">
                  <c:v>-4079847.500655001</c:v>
                </c:pt>
                <c:pt idx="670">
                  <c:v>-4078537.8649999993</c:v>
                </c:pt>
                <c:pt idx="671">
                  <c:v>-4077228.509645001</c:v>
                </c:pt>
                <c:pt idx="672">
                  <c:v>-4075919.4345600004</c:v>
                </c:pt>
                <c:pt idx="673">
                  <c:v>-4074610.639714999</c:v>
                </c:pt>
                <c:pt idx="674">
                  <c:v>-4073302.1250800006</c:v>
                </c:pt>
                <c:pt idx="675">
                  <c:v>-4071993.890625</c:v>
                </c:pt>
                <c:pt idx="676">
                  <c:v>-4070685.93632</c:v>
                </c:pt>
                <c:pt idx="677">
                  <c:v>-4069378.2621350004</c:v>
                </c:pt>
                <c:pt idx="678">
                  <c:v>-4068070.8680399996</c:v>
                </c:pt>
                <c:pt idx="679">
                  <c:v>-4066763.754004999</c:v>
                </c:pt>
                <c:pt idx="680">
                  <c:v>-4065456.9200000004</c:v>
                </c:pt>
                <c:pt idx="681">
                  <c:v>-4064150.3659949997</c:v>
                </c:pt>
                <c:pt idx="682">
                  <c:v>-4062844.091960001</c:v>
                </c:pt>
                <c:pt idx="683">
                  <c:v>-4061538.097865</c:v>
                </c:pt>
                <c:pt idx="684">
                  <c:v>-4060232.3836799995</c:v>
                </c:pt>
                <c:pt idx="685">
                  <c:v>-4058926.949375001</c:v>
                </c:pt>
                <c:pt idx="686">
                  <c:v>-4057621.7949200002</c:v>
                </c:pt>
                <c:pt idx="687">
                  <c:v>-4056316.9202849995</c:v>
                </c:pt>
                <c:pt idx="688">
                  <c:v>-4055012.3254400007</c:v>
                </c:pt>
                <c:pt idx="689">
                  <c:v>-4053708.010355</c:v>
                </c:pt>
                <c:pt idx="690">
                  <c:v>-4052403.974999999</c:v>
                </c:pt>
                <c:pt idx="691">
                  <c:v>-4051100.2193450006</c:v>
                </c:pt>
                <c:pt idx="692">
                  <c:v>-4049796.74336</c:v>
                </c:pt>
                <c:pt idx="693">
                  <c:v>-4048493.547014999</c:v>
                </c:pt>
                <c:pt idx="694">
                  <c:v>-4047190.6302800006</c:v>
                </c:pt>
                <c:pt idx="695">
                  <c:v>-4045887.993124999</c:v>
                </c:pt>
                <c:pt idx="696">
                  <c:v>-4044585.635520001</c:v>
                </c:pt>
                <c:pt idx="697">
                  <c:v>-4043283.557435</c:v>
                </c:pt>
                <c:pt idx="698">
                  <c:v>-4041981.75884</c:v>
                </c:pt>
                <c:pt idx="699">
                  <c:v>-4040680.239705</c:v>
                </c:pt>
                <c:pt idx="700">
                  <c:v>-4039379.0</c:v>
                </c:pt>
                <c:pt idx="701">
                  <c:v>-4038078.039695</c:v>
                </c:pt>
                <c:pt idx="702">
                  <c:v>-4036777.35876</c:v>
                </c:pt>
                <c:pt idx="703">
                  <c:v>-4035476.957165</c:v>
                </c:pt>
                <c:pt idx="704">
                  <c:v>-4034176.834879999</c:v>
                </c:pt>
                <c:pt idx="705">
                  <c:v>-4032876.9918750003</c:v>
                </c:pt>
                <c:pt idx="706">
                  <c:v>-4031577.4281199994</c:v>
                </c:pt>
                <c:pt idx="707">
                  <c:v>-4030278.143585001</c:v>
                </c:pt>
                <c:pt idx="708">
                  <c:v>-4028979.13824</c:v>
                </c:pt>
                <c:pt idx="709">
                  <c:v>-4027680.4120549993</c:v>
                </c:pt>
                <c:pt idx="710">
                  <c:v>-4026381.965000001</c:v>
                </c:pt>
                <c:pt idx="711">
                  <c:v>-4025083.797045</c:v>
                </c:pt>
                <c:pt idx="712">
                  <c:v>-4023785.9081599996</c:v>
                </c:pt>
                <c:pt idx="713">
                  <c:v>-4022488.2983150003</c:v>
                </c:pt>
                <c:pt idx="714">
                  <c:v>-4021190.96748</c:v>
                </c:pt>
                <c:pt idx="715">
                  <c:v>-4019893.915624999</c:v>
                </c:pt>
                <c:pt idx="716">
                  <c:v>-4018597.142720001</c:v>
                </c:pt>
                <c:pt idx="717">
                  <c:v>-4017300.6487350003</c:v>
                </c:pt>
                <c:pt idx="718">
                  <c:v>-4016004.4336399985</c:v>
                </c:pt>
                <c:pt idx="719">
                  <c:v>-4014708.497405001</c:v>
                </c:pt>
                <c:pt idx="720">
                  <c:v>-4013412.84</c:v>
                </c:pt>
                <c:pt idx="721">
                  <c:v>-4012117.461395001</c:v>
                </c:pt>
                <c:pt idx="722">
                  <c:v>-4010822.36156</c:v>
                </c:pt>
                <c:pt idx="723">
                  <c:v>-4009527.540464999</c:v>
                </c:pt>
                <c:pt idx="724">
                  <c:v>-4008232.9980800007</c:v>
                </c:pt>
                <c:pt idx="725">
                  <c:v>-4006938.734375</c:v>
                </c:pt>
                <c:pt idx="726">
                  <c:v>-4005644.7493199995</c:v>
                </c:pt>
                <c:pt idx="727">
                  <c:v>-4004351.042885001</c:v>
                </c:pt>
                <c:pt idx="728">
                  <c:v>-4003057.6150399996</c:v>
                </c:pt>
                <c:pt idx="729">
                  <c:v>-4001764.465754999</c:v>
                </c:pt>
                <c:pt idx="730">
                  <c:v>-4000471.5950000007</c:v>
                </c:pt>
                <c:pt idx="731">
                  <c:v>-3999179.0027449997</c:v>
                </c:pt>
                <c:pt idx="732">
                  <c:v>-3997886.688960001</c:v>
                </c:pt>
                <c:pt idx="733">
                  <c:v>-3996594.6536149997</c:v>
                </c:pt>
                <c:pt idx="734">
                  <c:v>-3995302.8966799993</c:v>
                </c:pt>
                <c:pt idx="735">
                  <c:v>-3994011.418125001</c:v>
                </c:pt>
                <c:pt idx="736">
                  <c:v>-3992720.21792</c:v>
                </c:pt>
                <c:pt idx="737">
                  <c:v>-3991429.2960349997</c:v>
                </c:pt>
                <c:pt idx="738">
                  <c:v>-3990138.652440001</c:v>
                </c:pt>
                <c:pt idx="739">
                  <c:v>-3988848.287105</c:v>
                </c:pt>
                <c:pt idx="740">
                  <c:v>-3987558.199999999</c:v>
                </c:pt>
                <c:pt idx="741">
                  <c:v>-3986268.391095001</c:v>
                </c:pt>
                <c:pt idx="742">
                  <c:v>-3984978.86036</c:v>
                </c:pt>
                <c:pt idx="743">
                  <c:v>-3983689.6077649994</c:v>
                </c:pt>
                <c:pt idx="744">
                  <c:v>-3982400.6332800006</c:v>
                </c:pt>
                <c:pt idx="745">
                  <c:v>-3981111.936874999</c:v>
                </c:pt>
                <c:pt idx="746">
                  <c:v>-3979823.518520001</c:v>
                </c:pt>
                <c:pt idx="747">
                  <c:v>-3978535.378185</c:v>
                </c:pt>
                <c:pt idx="748">
                  <c:v>-3977247.515839999</c:v>
                </c:pt>
                <c:pt idx="749">
                  <c:v>-3975959.9314550003</c:v>
                </c:pt>
                <c:pt idx="750">
                  <c:v>-3974672.625</c:v>
                </c:pt>
                <c:pt idx="751">
                  <c:v>-3973385.596445</c:v>
                </c:pt>
                <c:pt idx="752">
                  <c:v>-3972098.8457600004</c:v>
                </c:pt>
                <c:pt idx="753">
                  <c:v>-3970812.372915</c:v>
                </c:pt>
                <c:pt idx="754">
                  <c:v>-3969526.177879999</c:v>
                </c:pt>
                <c:pt idx="755">
                  <c:v>-3968240.2606250006</c:v>
                </c:pt>
                <c:pt idx="756">
                  <c:v>-3966954.62112</c:v>
                </c:pt>
                <c:pt idx="757">
                  <c:v>-3965669.259335001</c:v>
                </c:pt>
                <c:pt idx="758">
                  <c:v>-3964384.17524</c:v>
                </c:pt>
                <c:pt idx="759">
                  <c:v>-3963099.3688049996</c:v>
                </c:pt>
                <c:pt idx="760">
                  <c:v>-3961814.840000001</c:v>
                </c:pt>
                <c:pt idx="761">
                  <c:v>-3960530.5887949998</c:v>
                </c:pt>
                <c:pt idx="762">
                  <c:v>-3959246.61516</c:v>
                </c:pt>
                <c:pt idx="763">
                  <c:v>-3957962.919065001</c:v>
                </c:pt>
                <c:pt idx="764">
                  <c:v>-3956679.50048</c:v>
                </c:pt>
                <c:pt idx="765">
                  <c:v>-3955396.359374999</c:v>
                </c:pt>
                <c:pt idx="766">
                  <c:v>-3954113.49572</c:v>
                </c:pt>
                <c:pt idx="767">
                  <c:v>-3952830.909485</c:v>
                </c:pt>
                <c:pt idx="768">
                  <c:v>-3951548.6006399994</c:v>
                </c:pt>
                <c:pt idx="769">
                  <c:v>-3950266.569155</c:v>
                </c:pt>
                <c:pt idx="770">
                  <c:v>-3948984.815</c:v>
                </c:pt>
                <c:pt idx="771">
                  <c:v>-3947703.338145001</c:v>
                </c:pt>
                <c:pt idx="772">
                  <c:v>-3946422.13856</c:v>
                </c:pt>
                <c:pt idx="773">
                  <c:v>-3945141.2162149996</c:v>
                </c:pt>
                <c:pt idx="774">
                  <c:v>-3943860.5710800006</c:v>
                </c:pt>
                <c:pt idx="775">
                  <c:v>-3942580.203125</c:v>
                </c:pt>
                <c:pt idx="776">
                  <c:v>-3941300.11232</c:v>
                </c:pt>
                <c:pt idx="777">
                  <c:v>-3940020.298635001</c:v>
                </c:pt>
                <c:pt idx="778">
                  <c:v>-3938740.76204</c:v>
                </c:pt>
                <c:pt idx="779">
                  <c:v>-3937461.502504999</c:v>
                </c:pt>
                <c:pt idx="780">
                  <c:v>-3936182.5200000005</c:v>
                </c:pt>
                <c:pt idx="781">
                  <c:v>-3934903.8144949996</c:v>
                </c:pt>
                <c:pt idx="782">
                  <c:v>-3933625.385960001</c:v>
                </c:pt>
                <c:pt idx="783">
                  <c:v>-3932347.2343650004</c:v>
                </c:pt>
                <c:pt idx="784">
                  <c:v>-3931069.3596799998</c:v>
                </c:pt>
                <c:pt idx="785">
                  <c:v>-3929791.761875001</c:v>
                </c:pt>
                <c:pt idx="786">
                  <c:v>-3928514.44092</c:v>
                </c:pt>
                <c:pt idx="787">
                  <c:v>-3927237.396785</c:v>
                </c:pt>
                <c:pt idx="788">
                  <c:v>-3925960.6294400003</c:v>
                </c:pt>
                <c:pt idx="789">
                  <c:v>-3924684.1388549996</c:v>
                </c:pt>
                <c:pt idx="790">
                  <c:v>-3923407.9249999993</c:v>
                </c:pt>
                <c:pt idx="791">
                  <c:v>-3922131.987845001</c:v>
                </c:pt>
                <c:pt idx="792">
                  <c:v>-3920856.3273600005</c:v>
                </c:pt>
                <c:pt idx="793">
                  <c:v>-3919580.943514999</c:v>
                </c:pt>
                <c:pt idx="794">
                  <c:v>-3918305.8362800004</c:v>
                </c:pt>
                <c:pt idx="795">
                  <c:v>-3917031.0056249993</c:v>
                </c:pt>
                <c:pt idx="796">
                  <c:v>-3915756.451520001</c:v>
                </c:pt>
                <c:pt idx="797">
                  <c:v>-3914482.173935</c:v>
                </c:pt>
                <c:pt idx="798">
                  <c:v>-3913208.1728399997</c:v>
                </c:pt>
                <c:pt idx="799">
                  <c:v>-3911934.448205</c:v>
                </c:pt>
                <c:pt idx="800">
                  <c:v>-3910661.0</c:v>
                </c:pt>
                <c:pt idx="801">
                  <c:v>-3909387.8281949996</c:v>
                </c:pt>
                <c:pt idx="802">
                  <c:v>-3908114.9327600007</c:v>
                </c:pt>
                <c:pt idx="803">
                  <c:v>-3906842.3136650003</c:v>
                </c:pt>
                <c:pt idx="804">
                  <c:v>-3905569.970879999</c:v>
                </c:pt>
                <c:pt idx="805">
                  <c:v>-3904297.9043750004</c:v>
                </c:pt>
                <c:pt idx="806">
                  <c:v>-3903026.114119999</c:v>
                </c:pt>
                <c:pt idx="807">
                  <c:v>-3901754.600085001</c:v>
                </c:pt>
                <c:pt idx="808">
                  <c:v>-3900483.36224</c:v>
                </c:pt>
                <c:pt idx="809">
                  <c:v>-3899212.4005549992</c:v>
                </c:pt>
                <c:pt idx="810">
                  <c:v>-3897941.7150000012</c:v>
                </c:pt>
                <c:pt idx="811">
                  <c:v>-3896671.305545</c:v>
                </c:pt>
                <c:pt idx="812">
                  <c:v>-3895401.1721599996</c:v>
                </c:pt>
                <c:pt idx="813">
                  <c:v>-3894131.314815</c:v>
                </c:pt>
                <c:pt idx="814">
                  <c:v>-3892861.73348</c:v>
                </c:pt>
                <c:pt idx="815">
                  <c:v>-3891592.428124999</c:v>
                </c:pt>
                <c:pt idx="816">
                  <c:v>-3890323.398720001</c:v>
                </c:pt>
                <c:pt idx="817">
                  <c:v>-3889054.645235</c:v>
                </c:pt>
                <c:pt idx="818">
                  <c:v>-3887786.167639999</c:v>
                </c:pt>
                <c:pt idx="819">
                  <c:v>-3886517.9659050005</c:v>
                </c:pt>
                <c:pt idx="820">
                  <c:v>-3885250.04</c:v>
                </c:pt>
                <c:pt idx="821">
                  <c:v>-3883982.389895001</c:v>
                </c:pt>
                <c:pt idx="822">
                  <c:v>-3882715.0155599997</c:v>
                </c:pt>
                <c:pt idx="823">
                  <c:v>-3881447.9169649994</c:v>
                </c:pt>
                <c:pt idx="824">
                  <c:v>-3880181.0940800007</c:v>
                </c:pt>
                <c:pt idx="825">
                  <c:v>-3878914.546875</c:v>
                </c:pt>
                <c:pt idx="826">
                  <c:v>-3877648.27532</c:v>
                </c:pt>
                <c:pt idx="827">
                  <c:v>-3876382.2793850005</c:v>
                </c:pt>
                <c:pt idx="828">
                  <c:v>-3875116.5590399997</c:v>
                </c:pt>
                <c:pt idx="829">
                  <c:v>-3873851.114254999</c:v>
                </c:pt>
                <c:pt idx="830">
                  <c:v>-3872585.9450000003</c:v>
                </c:pt>
                <c:pt idx="831">
                  <c:v>-3871321.0512449997</c:v>
                </c:pt>
                <c:pt idx="832">
                  <c:v>-3870056.432960001</c:v>
                </c:pt>
                <c:pt idx="833">
                  <c:v>-3868792.090115</c:v>
                </c:pt>
                <c:pt idx="834">
                  <c:v>-3867528.02268</c:v>
                </c:pt>
                <c:pt idx="835">
                  <c:v>-3866264.230625001</c:v>
                </c:pt>
                <c:pt idx="836">
                  <c:v>-3865000.7139200005</c:v>
                </c:pt>
                <c:pt idx="837">
                  <c:v>-3863737.4725349993</c:v>
                </c:pt>
                <c:pt idx="838">
                  <c:v>-3862474.50644</c:v>
                </c:pt>
                <c:pt idx="839">
                  <c:v>-3861211.815605</c:v>
                </c:pt>
                <c:pt idx="840">
                  <c:v>-3859949.3999999994</c:v>
                </c:pt>
                <c:pt idx="841">
                  <c:v>-3858687.259595</c:v>
                </c:pt>
                <c:pt idx="842">
                  <c:v>-3857425.3943600003</c:v>
                </c:pt>
                <c:pt idx="843">
                  <c:v>-3856163.804264999</c:v>
                </c:pt>
                <c:pt idx="844">
                  <c:v>-3854902.4892800003</c:v>
                </c:pt>
                <c:pt idx="845">
                  <c:v>-3853641.449375</c:v>
                </c:pt>
                <c:pt idx="846">
                  <c:v>-3852380.684520001</c:v>
                </c:pt>
                <c:pt idx="847">
                  <c:v>-3851120.194685</c:v>
                </c:pt>
                <c:pt idx="848">
                  <c:v>-3849859.979839999</c:v>
                </c:pt>
                <c:pt idx="849">
                  <c:v>-3848600.0399550004</c:v>
                </c:pt>
                <c:pt idx="850">
                  <c:v>-3847340.375</c:v>
                </c:pt>
                <c:pt idx="851">
                  <c:v>-3846080.984944999</c:v>
                </c:pt>
                <c:pt idx="852">
                  <c:v>-3844821.8697600006</c:v>
                </c:pt>
                <c:pt idx="853">
                  <c:v>-3843563.029415</c:v>
                </c:pt>
                <c:pt idx="854">
                  <c:v>-3842304.4638799992</c:v>
                </c:pt>
                <c:pt idx="855">
                  <c:v>-3841046.1731250007</c:v>
                </c:pt>
                <c:pt idx="856">
                  <c:v>-3839788.157119999</c:v>
                </c:pt>
                <c:pt idx="857">
                  <c:v>-3838530.415835001</c:v>
                </c:pt>
                <c:pt idx="858">
                  <c:v>-3837272.94924</c:v>
                </c:pt>
                <c:pt idx="859">
                  <c:v>-3836015.7573049995</c:v>
                </c:pt>
                <c:pt idx="860">
                  <c:v>-3834758.840000001</c:v>
                </c:pt>
                <c:pt idx="861">
                  <c:v>-3833502.197295</c:v>
                </c:pt>
                <c:pt idx="862">
                  <c:v>-3832245.8291599993</c:v>
                </c:pt>
                <c:pt idx="863">
                  <c:v>-3830989.735565</c:v>
                </c:pt>
                <c:pt idx="864">
                  <c:v>-3829733.9164799997</c:v>
                </c:pt>
                <c:pt idx="865">
                  <c:v>-3828478.3718749993</c:v>
                </c:pt>
                <c:pt idx="866">
                  <c:v>-3827223.1017200006</c:v>
                </c:pt>
                <c:pt idx="867">
                  <c:v>-3825968.105985</c:v>
                </c:pt>
                <c:pt idx="868">
                  <c:v>-3824713.384639999</c:v>
                </c:pt>
                <c:pt idx="869">
                  <c:v>-3823458.9376550005</c:v>
                </c:pt>
                <c:pt idx="870">
                  <c:v>-3822204.7649999997</c:v>
                </c:pt>
                <c:pt idx="871">
                  <c:v>-3820950.8666450004</c:v>
                </c:pt>
                <c:pt idx="872">
                  <c:v>-3819697.24256</c:v>
                </c:pt>
                <c:pt idx="873">
                  <c:v>-3818443.892714999</c:v>
                </c:pt>
                <c:pt idx="874">
                  <c:v>-3817190.81708</c:v>
                </c:pt>
                <c:pt idx="875">
                  <c:v>-3815938.015625</c:v>
                </c:pt>
                <c:pt idx="876">
                  <c:v>-3814685.4883199995</c:v>
                </c:pt>
                <c:pt idx="877">
                  <c:v>-3813433.2351350007</c:v>
                </c:pt>
                <c:pt idx="878">
                  <c:v>-3812181.2560400004</c:v>
                </c:pt>
                <c:pt idx="879">
                  <c:v>-3810929.551004999</c:v>
                </c:pt>
                <c:pt idx="880">
                  <c:v>-3809678.12</c:v>
                </c:pt>
                <c:pt idx="881">
                  <c:v>-3808426.9629949993</c:v>
                </c:pt>
                <c:pt idx="882">
                  <c:v>-3807176.0799600007</c:v>
                </c:pt>
                <c:pt idx="883">
                  <c:v>-3805925.470865</c:v>
                </c:pt>
                <c:pt idx="884">
                  <c:v>-3804675.1356799994</c:v>
                </c:pt>
                <c:pt idx="885">
                  <c:v>-3803425.074375001</c:v>
                </c:pt>
                <c:pt idx="886">
                  <c:v>-3802175.28692</c:v>
                </c:pt>
                <c:pt idx="887">
                  <c:v>-3800925.7732849997</c:v>
                </c:pt>
                <c:pt idx="888">
                  <c:v>-3799676.533440001</c:v>
                </c:pt>
                <c:pt idx="889">
                  <c:v>-3798427.567355</c:v>
                </c:pt>
                <c:pt idx="890">
                  <c:v>-3797178.874999999</c:v>
                </c:pt>
                <c:pt idx="891">
                  <c:v>-3795930.4563450003</c:v>
                </c:pt>
                <c:pt idx="892">
                  <c:v>-3794682.3113599997</c:v>
                </c:pt>
                <c:pt idx="893">
                  <c:v>-3793434.4400149994</c:v>
                </c:pt>
                <c:pt idx="894">
                  <c:v>-3792186.842280001</c:v>
                </c:pt>
                <c:pt idx="895">
                  <c:v>-3790939.5181249995</c:v>
                </c:pt>
                <c:pt idx="896">
                  <c:v>-3789692.467520001</c:v>
                </c:pt>
                <c:pt idx="897">
                  <c:v>-3788445.6904349998</c:v>
                </c:pt>
                <c:pt idx="898">
                  <c:v>-3787199.186839999</c:v>
                </c:pt>
                <c:pt idx="899">
                  <c:v>-3785952.9567050003</c:v>
                </c:pt>
                <c:pt idx="900">
                  <c:v>-3784707.0</c:v>
                </c:pt>
                <c:pt idx="901">
                  <c:v>-3783461.3166949996</c:v>
                </c:pt>
                <c:pt idx="902">
                  <c:v>-3782215.9067600006</c:v>
                </c:pt>
                <c:pt idx="903">
                  <c:v>-3780970.7701649996</c:v>
                </c:pt>
                <c:pt idx="904">
                  <c:v>-3779725.906879999</c:v>
                </c:pt>
                <c:pt idx="905">
                  <c:v>-3778481.3168750005</c:v>
                </c:pt>
                <c:pt idx="906">
                  <c:v>-3777237.0001199995</c:v>
                </c:pt>
                <c:pt idx="907">
                  <c:v>-3775992.956585001</c:v>
                </c:pt>
                <c:pt idx="908">
                  <c:v>-3774749.18624</c:v>
                </c:pt>
                <c:pt idx="909">
                  <c:v>-3773505.6890549995</c:v>
                </c:pt>
                <c:pt idx="910">
                  <c:v>-3772262.465000001</c:v>
                </c:pt>
                <c:pt idx="911">
                  <c:v>-3771019.514045</c:v>
                </c:pt>
                <c:pt idx="912">
                  <c:v>-3769776.836159999</c:v>
                </c:pt>
                <c:pt idx="913">
                  <c:v>-3768534.431315</c:v>
                </c:pt>
                <c:pt idx="914">
                  <c:v>-3767292.29948</c:v>
                </c:pt>
                <c:pt idx="915">
                  <c:v>-3766050.4406249993</c:v>
                </c:pt>
                <c:pt idx="916">
                  <c:v>-3764808.85472</c:v>
                </c:pt>
                <c:pt idx="917">
                  <c:v>-3763567.5417350004</c:v>
                </c:pt>
                <c:pt idx="918">
                  <c:v>-3762326.501639999</c:v>
                </c:pt>
                <c:pt idx="919">
                  <c:v>-3761085.7344050007</c:v>
                </c:pt>
                <c:pt idx="920">
                  <c:v>-3759845.2399999993</c:v>
                </c:pt>
                <c:pt idx="921">
                  <c:v>-3758605.018395001</c:v>
                </c:pt>
                <c:pt idx="922">
                  <c:v>-3757365.0695599997</c:v>
                </c:pt>
                <c:pt idx="923">
                  <c:v>-3756125.3934649993</c:v>
                </c:pt>
                <c:pt idx="924">
                  <c:v>-3754885.9900800004</c:v>
                </c:pt>
                <c:pt idx="925">
                  <c:v>-3753646.859375</c:v>
                </c:pt>
                <c:pt idx="926">
                  <c:v>-3752408.0013199993</c:v>
                </c:pt>
                <c:pt idx="927">
                  <c:v>-3751169.4158850005</c:v>
                </c:pt>
                <c:pt idx="928">
                  <c:v>-3749931.10304</c:v>
                </c:pt>
                <c:pt idx="929">
                  <c:v>-3748693.0627549994</c:v>
                </c:pt>
                <c:pt idx="930">
                  <c:v>-3747455.2950000004</c:v>
                </c:pt>
                <c:pt idx="931">
                  <c:v>-3746217.7997449995</c:v>
                </c:pt>
                <c:pt idx="932">
                  <c:v>-3744980.5769600007</c:v>
                </c:pt>
                <c:pt idx="933">
                  <c:v>-3743743.626615</c:v>
                </c:pt>
                <c:pt idx="934">
                  <c:v>-3742506.9486799994</c:v>
                </c:pt>
                <c:pt idx="935">
                  <c:v>-3741270.5431250012</c:v>
                </c:pt>
                <c:pt idx="936">
                  <c:v>-3740034.40992</c:v>
                </c:pt>
                <c:pt idx="937">
                  <c:v>-3738798.549034999</c:v>
                </c:pt>
                <c:pt idx="938">
                  <c:v>-3737562.9604400005</c:v>
                </c:pt>
                <c:pt idx="939">
                  <c:v>-3736327.6441050004</c:v>
                </c:pt>
                <c:pt idx="940">
                  <c:v>-3735092.599999999</c:v>
                </c:pt>
                <c:pt idx="941">
                  <c:v>-3733857.8280950007</c:v>
                </c:pt>
                <c:pt idx="942">
                  <c:v>-3732623.32836</c:v>
                </c:pt>
                <c:pt idx="943">
                  <c:v>-3731389.1007649987</c:v>
                </c:pt>
                <c:pt idx="944">
                  <c:v>-3730155.1452800008</c:v>
                </c:pt>
                <c:pt idx="945">
                  <c:v>-3728921.4618749996</c:v>
                </c:pt>
                <c:pt idx="946">
                  <c:v>-3727688.050520001</c:v>
                </c:pt>
                <c:pt idx="947">
                  <c:v>-3726454.911185</c:v>
                </c:pt>
                <c:pt idx="948">
                  <c:v>-3725222.0438399995</c:v>
                </c:pt>
                <c:pt idx="949">
                  <c:v>-3723989.4484550003</c:v>
                </c:pt>
                <c:pt idx="950">
                  <c:v>-3722757.125</c:v>
                </c:pt>
                <c:pt idx="951">
                  <c:v>-3721525.0734449993</c:v>
                </c:pt>
                <c:pt idx="952">
                  <c:v>-3720293.29376</c:v>
                </c:pt>
                <c:pt idx="953">
                  <c:v>-3719061.785915</c:v>
                </c:pt>
                <c:pt idx="954">
                  <c:v>-3717830.5498799994</c:v>
                </c:pt>
                <c:pt idx="955">
                  <c:v>-3716599.5856250003</c:v>
                </c:pt>
                <c:pt idx="956">
                  <c:v>-3715368.8931199997</c:v>
                </c:pt>
                <c:pt idx="957">
                  <c:v>-3714138.4723350005</c:v>
                </c:pt>
                <c:pt idx="958">
                  <c:v>-3712908.3232400003</c:v>
                </c:pt>
                <c:pt idx="959">
                  <c:v>-3711678.445804999</c:v>
                </c:pt>
                <c:pt idx="960">
                  <c:v>-3710448.8400000003</c:v>
                </c:pt>
                <c:pt idx="961">
                  <c:v>-3709219.505795</c:v>
                </c:pt>
                <c:pt idx="962">
                  <c:v>-3707990.44316</c:v>
                </c:pt>
                <c:pt idx="963">
                  <c:v>-3706761.652065</c:v>
                </c:pt>
                <c:pt idx="964">
                  <c:v>-3705533.1324799997</c:v>
                </c:pt>
                <c:pt idx="965">
                  <c:v>-3704304.8843749994</c:v>
                </c:pt>
                <c:pt idx="966">
                  <c:v>-3703076.9077200005</c:v>
                </c:pt>
                <c:pt idx="967">
                  <c:v>-3701849.2024850002</c:v>
                </c:pt>
                <c:pt idx="968">
                  <c:v>-3700621.7686399994</c:v>
                </c:pt>
                <c:pt idx="969">
                  <c:v>-3699394.6061550006</c:v>
                </c:pt>
                <c:pt idx="970">
                  <c:v>-3698167.715</c:v>
                </c:pt>
                <c:pt idx="971">
                  <c:v>-3696941.095145001</c:v>
                </c:pt>
                <c:pt idx="972">
                  <c:v>-3695714.74656</c:v>
                </c:pt>
                <c:pt idx="973">
                  <c:v>-3694488.6692149993</c:v>
                </c:pt>
                <c:pt idx="974">
                  <c:v>-3693262.8630800005</c:v>
                </c:pt>
                <c:pt idx="975">
                  <c:v>-3692037.328125</c:v>
                </c:pt>
                <c:pt idx="976">
                  <c:v>-3690812.06432</c:v>
                </c:pt>
                <c:pt idx="977">
                  <c:v>-3689587.0716350004</c:v>
                </c:pt>
                <c:pt idx="978">
                  <c:v>-3688362.3500400004</c:v>
                </c:pt>
                <c:pt idx="979">
                  <c:v>-3687137.899504999</c:v>
                </c:pt>
                <c:pt idx="980">
                  <c:v>-3685913.7200000007</c:v>
                </c:pt>
                <c:pt idx="981">
                  <c:v>-3684689.8114949996</c:v>
                </c:pt>
                <c:pt idx="982">
                  <c:v>-3683466.173960001</c:v>
                </c:pt>
                <c:pt idx="983">
                  <c:v>-3682242.8073649993</c:v>
                </c:pt>
                <c:pt idx="984">
                  <c:v>-3681019.7116799997</c:v>
                </c:pt>
                <c:pt idx="985">
                  <c:v>-3679796.886875001</c:v>
                </c:pt>
                <c:pt idx="986">
                  <c:v>-3678574.33292</c:v>
                </c:pt>
                <c:pt idx="987">
                  <c:v>-3677352.049785</c:v>
                </c:pt>
                <c:pt idx="988">
                  <c:v>-3676130.037440001</c:v>
                </c:pt>
                <c:pt idx="989">
                  <c:v>-3674908.295855</c:v>
                </c:pt>
                <c:pt idx="990">
                  <c:v>-3673686.8249999993</c:v>
                </c:pt>
                <c:pt idx="991">
                  <c:v>-3672465.6248450004</c:v>
                </c:pt>
                <c:pt idx="992">
                  <c:v>-3671244.69536</c:v>
                </c:pt>
                <c:pt idx="993">
                  <c:v>-3670024.036514999</c:v>
                </c:pt>
                <c:pt idx="994">
                  <c:v>-3668803.6482800003</c:v>
                </c:pt>
                <c:pt idx="995">
                  <c:v>-3667583.5306249997</c:v>
                </c:pt>
                <c:pt idx="996">
                  <c:v>-3666363.683520001</c:v>
                </c:pt>
                <c:pt idx="997">
                  <c:v>-3665144.1069349996</c:v>
                </c:pt>
                <c:pt idx="998">
                  <c:v>-3663924.80084</c:v>
                </c:pt>
                <c:pt idx="999">
                  <c:v>-3662705.7652050005</c:v>
                </c:pt>
                <c:pt idx="1000">
                  <c:v>-3661487.0</c:v>
                </c:pt>
                <c:pt idx="1001">
                  <c:v>-3660268.5051949997</c:v>
                </c:pt>
                <c:pt idx="1002">
                  <c:v>-3659050.28076</c:v>
                </c:pt>
                <c:pt idx="1003">
                  <c:v>-3657832.3266649996</c:v>
                </c:pt>
                <c:pt idx="1004">
                  <c:v>-3656614.6428799992</c:v>
                </c:pt>
                <c:pt idx="1005">
                  <c:v>-3655397.229375</c:v>
                </c:pt>
                <c:pt idx="1006">
                  <c:v>-3654180.086119999</c:v>
                </c:pt>
                <c:pt idx="1007">
                  <c:v>-3652963.213085001</c:v>
                </c:pt>
                <c:pt idx="1008">
                  <c:v>-3651746.61024</c:v>
                </c:pt>
                <c:pt idx="1009">
                  <c:v>-3650530.2775549996</c:v>
                </c:pt>
                <c:pt idx="1010">
                  <c:v>-3649314.215000001</c:v>
                </c:pt>
                <c:pt idx="1011">
                  <c:v>-3648098.4225449995</c:v>
                </c:pt>
                <c:pt idx="1012">
                  <c:v>-3646882.9001599997</c:v>
                </c:pt>
                <c:pt idx="1013">
                  <c:v>-3645667.6478150003</c:v>
                </c:pt>
                <c:pt idx="1014">
                  <c:v>-3644452.66548</c:v>
                </c:pt>
                <c:pt idx="1015">
                  <c:v>-3643237.953124999</c:v>
                </c:pt>
                <c:pt idx="1016">
                  <c:v>-3642023.5107200006</c:v>
                </c:pt>
                <c:pt idx="1017">
                  <c:v>-3640809.3382349997</c:v>
                </c:pt>
                <c:pt idx="1018">
                  <c:v>-3639595.4356399993</c:v>
                </c:pt>
                <c:pt idx="1019">
                  <c:v>-3638381.8029050003</c:v>
                </c:pt>
                <c:pt idx="1020">
                  <c:v>-3637168.4399999995</c:v>
                </c:pt>
                <c:pt idx="1021">
                  <c:v>-3635955.346895001</c:v>
                </c:pt>
                <c:pt idx="1022">
                  <c:v>-3634742.52356</c:v>
                </c:pt>
                <c:pt idx="1023">
                  <c:v>-3633529.969965</c:v>
                </c:pt>
                <c:pt idx="1024">
                  <c:v>-3632317.6860800004</c:v>
                </c:pt>
                <c:pt idx="1025">
                  <c:v>-3631105.671875</c:v>
                </c:pt>
                <c:pt idx="1026">
                  <c:v>-3629893.9273199993</c:v>
                </c:pt>
                <c:pt idx="1027">
                  <c:v>-3628682.4523850004</c:v>
                </c:pt>
                <c:pt idx="1028">
                  <c:v>-3627471.2470400003</c:v>
                </c:pt>
                <c:pt idx="1029">
                  <c:v>-3626260.3112549987</c:v>
                </c:pt>
                <c:pt idx="1030">
                  <c:v>-3625049.6450000005</c:v>
                </c:pt>
                <c:pt idx="1031">
                  <c:v>-3623839.2482449994</c:v>
                </c:pt>
                <c:pt idx="1032">
                  <c:v>-3622629.120960001</c:v>
                </c:pt>
                <c:pt idx="1033">
                  <c:v>-3621419.2631149995</c:v>
                </c:pt>
                <c:pt idx="1034">
                  <c:v>-3620209.6746799997</c:v>
                </c:pt>
                <c:pt idx="1035">
                  <c:v>-3619000.355625001</c:v>
                </c:pt>
                <c:pt idx="1036">
                  <c:v>-3617791.30592</c:v>
                </c:pt>
                <c:pt idx="1037">
                  <c:v>-3616582.5255349996</c:v>
                </c:pt>
                <c:pt idx="1038">
                  <c:v>-3615374.0144400005</c:v>
                </c:pt>
                <c:pt idx="1039">
                  <c:v>-3614165.772605</c:v>
                </c:pt>
                <c:pt idx="1040">
                  <c:v>-3612957.799999999</c:v>
                </c:pt>
                <c:pt idx="1041">
                  <c:v>-3611750.096595001</c:v>
                </c:pt>
                <c:pt idx="1042">
                  <c:v>-3610542.6623599995</c:v>
                </c:pt>
                <c:pt idx="1043">
                  <c:v>-3609335.497264999</c:v>
                </c:pt>
                <c:pt idx="1044">
                  <c:v>-3608128.60128</c:v>
                </c:pt>
                <c:pt idx="1045">
                  <c:v>-3606921.9743749993</c:v>
                </c:pt>
                <c:pt idx="1046">
                  <c:v>-3605715.616520001</c:v>
                </c:pt>
                <c:pt idx="1047">
                  <c:v>-3604509.527685</c:v>
                </c:pt>
                <c:pt idx="1048">
                  <c:v>-3603303.70784</c:v>
                </c:pt>
                <c:pt idx="1049">
                  <c:v>-3602098.156955001</c:v>
                </c:pt>
                <c:pt idx="1050">
                  <c:v>-3600892.875</c:v>
                </c:pt>
                <c:pt idx="1051">
                  <c:v>-3599687.8619449995</c:v>
                </c:pt>
                <c:pt idx="1052">
                  <c:v>-3598483.11776</c:v>
                </c:pt>
                <c:pt idx="1053">
                  <c:v>-3597278.642415</c:v>
                </c:pt>
                <c:pt idx="1054">
                  <c:v>-3596074.435879999</c:v>
                </c:pt>
                <c:pt idx="1055">
                  <c:v>-3594870.498125</c:v>
                </c:pt>
                <c:pt idx="1056">
                  <c:v>-3593666.8291199994</c:v>
                </c:pt>
                <c:pt idx="1057">
                  <c:v>-3592463.4288350013</c:v>
                </c:pt>
                <c:pt idx="1058">
                  <c:v>-3591260.2972399998</c:v>
                </c:pt>
                <c:pt idx="1059">
                  <c:v>-3590057.4343049997</c:v>
                </c:pt>
                <c:pt idx="1060">
                  <c:v>-3588854.8400000012</c:v>
                </c:pt>
                <c:pt idx="1061">
                  <c:v>-3587652.514295</c:v>
                </c:pt>
                <c:pt idx="1062">
                  <c:v>-3586450.4571599998</c:v>
                </c:pt>
                <c:pt idx="1063">
                  <c:v>-3585248.6685650004</c:v>
                </c:pt>
                <c:pt idx="1064">
                  <c:v>-3584047.14848</c:v>
                </c:pt>
                <c:pt idx="1065">
                  <c:v>-3582845.896874999</c:v>
                </c:pt>
                <c:pt idx="1066">
                  <c:v>-3581644.9137200005</c:v>
                </c:pt>
                <c:pt idx="1067">
                  <c:v>-3580444.198985</c:v>
                </c:pt>
                <c:pt idx="1068">
                  <c:v>-3579243.752639999</c:v>
                </c:pt>
                <c:pt idx="1069">
                  <c:v>-3578043.574655</c:v>
                </c:pt>
                <c:pt idx="1070">
                  <c:v>-3576843.6649999996</c:v>
                </c:pt>
                <c:pt idx="1071">
                  <c:v>-3575644.023645001</c:v>
                </c:pt>
                <c:pt idx="1072">
                  <c:v>-3574444.6505600004</c:v>
                </c:pt>
                <c:pt idx="1073">
                  <c:v>-3573245.545715</c:v>
                </c:pt>
                <c:pt idx="1074">
                  <c:v>-3572046.70908</c:v>
                </c:pt>
                <c:pt idx="1075">
                  <c:v>-3570848.140625</c:v>
                </c:pt>
                <c:pt idx="1076">
                  <c:v>-3569649.8403199995</c:v>
                </c:pt>
                <c:pt idx="1077">
                  <c:v>-3568451.8081350005</c:v>
                </c:pt>
                <c:pt idx="1078">
                  <c:v>-3567254.04404</c:v>
                </c:pt>
                <c:pt idx="1079">
                  <c:v>-3566056.5480049993</c:v>
                </c:pt>
                <c:pt idx="1080">
                  <c:v>-3564859.3200000003</c:v>
                </c:pt>
                <c:pt idx="1081">
                  <c:v>-3563662.3599949996</c:v>
                </c:pt>
                <c:pt idx="1082">
                  <c:v>-3562465.667960001</c:v>
                </c:pt>
                <c:pt idx="1083">
                  <c:v>-3561269.243865</c:v>
                </c:pt>
                <c:pt idx="1084">
                  <c:v>-3560073.08768</c:v>
                </c:pt>
                <c:pt idx="1085">
                  <c:v>-3558877.1993750003</c:v>
                </c:pt>
                <c:pt idx="1086">
                  <c:v>-3557681.5789199998</c:v>
                </c:pt>
                <c:pt idx="1087">
                  <c:v>-3556486.2262849994</c:v>
                </c:pt>
                <c:pt idx="1088">
                  <c:v>-3555291.141440001</c:v>
                </c:pt>
                <c:pt idx="1089">
                  <c:v>-3554096.324355</c:v>
                </c:pt>
                <c:pt idx="1090">
                  <c:v>-3552901.7749999994</c:v>
                </c:pt>
                <c:pt idx="1091">
                  <c:v>-3551707.493345001</c:v>
                </c:pt>
                <c:pt idx="1092">
                  <c:v>-3550513.47936</c:v>
                </c:pt>
                <c:pt idx="1093">
                  <c:v>-3549319.7330149994</c:v>
                </c:pt>
                <c:pt idx="1094">
                  <c:v>-3548126.2542800005</c:v>
                </c:pt>
                <c:pt idx="1095">
                  <c:v>-3546933.043125</c:v>
                </c:pt>
                <c:pt idx="1096">
                  <c:v>-3545740.099520001</c:v>
                </c:pt>
                <c:pt idx="1097">
                  <c:v>-3544547.4234350002</c:v>
                </c:pt>
                <c:pt idx="1098">
                  <c:v>-3543355.01484</c:v>
                </c:pt>
                <c:pt idx="1099">
                  <c:v>-3542162.873705001</c:v>
                </c:pt>
                <c:pt idx="1100">
                  <c:v>-3540971.0</c:v>
                </c:pt>
                <c:pt idx="1101">
                  <c:v>-3539779.393695</c:v>
                </c:pt>
                <c:pt idx="1102">
                  <c:v>-3538588.0547600007</c:v>
                </c:pt>
                <c:pt idx="1103">
                  <c:v>-3537396.983165</c:v>
                </c:pt>
                <c:pt idx="1104">
                  <c:v>-3536206.178879999</c:v>
                </c:pt>
                <c:pt idx="1105">
                  <c:v>-3535015.641875</c:v>
                </c:pt>
                <c:pt idx="1106">
                  <c:v>-3533825.3721199995</c:v>
                </c:pt>
                <c:pt idx="1107">
                  <c:v>-3532635.369585001</c:v>
                </c:pt>
                <c:pt idx="1108">
                  <c:v>-3531445.63424</c:v>
                </c:pt>
                <c:pt idx="1109">
                  <c:v>-3530256.1660549995</c:v>
                </c:pt>
                <c:pt idx="1110">
                  <c:v>-3529066.965000001</c:v>
                </c:pt>
                <c:pt idx="1111">
                  <c:v>-3527878.031045</c:v>
                </c:pt>
                <c:pt idx="1112">
                  <c:v>-3526689.36416</c:v>
                </c:pt>
                <c:pt idx="1113">
                  <c:v>-3525500.9643150005</c:v>
                </c:pt>
                <c:pt idx="1114">
                  <c:v>-3524312.83148</c:v>
                </c:pt>
                <c:pt idx="1115">
                  <c:v>-3523124.9656249993</c:v>
                </c:pt>
                <c:pt idx="1116">
                  <c:v>-3521937.3667200003</c:v>
                </c:pt>
                <c:pt idx="1117">
                  <c:v>-3520750.034735</c:v>
                </c:pt>
                <c:pt idx="1118">
                  <c:v>-3519562.9696399993</c:v>
                </c:pt>
                <c:pt idx="1119">
                  <c:v>-3518376.1714050006</c:v>
                </c:pt>
                <c:pt idx="1120">
                  <c:v>-3517189.639999999</c:v>
                </c:pt>
                <c:pt idx="1121">
                  <c:v>-3516003.3753950004</c:v>
                </c:pt>
                <c:pt idx="1122">
                  <c:v>-3514817.37756</c:v>
                </c:pt>
                <c:pt idx="1123">
                  <c:v>-3513631.6464649998</c:v>
                </c:pt>
                <c:pt idx="1124">
                  <c:v>-3512446.18208</c:v>
                </c:pt>
                <c:pt idx="1125">
                  <c:v>-3511260.984375</c:v>
                </c:pt>
                <c:pt idx="1126">
                  <c:v>-3510076.0533199995</c:v>
                </c:pt>
                <c:pt idx="1127">
                  <c:v>-3508891.3888850003</c:v>
                </c:pt>
                <c:pt idx="1128">
                  <c:v>-3507706.9910399998</c:v>
                </c:pt>
                <c:pt idx="1129">
                  <c:v>-3506522.859754999</c:v>
                </c:pt>
                <c:pt idx="1130">
                  <c:v>-3505338.9950000006</c:v>
                </c:pt>
                <c:pt idx="1131">
                  <c:v>-3504155.3967449996</c:v>
                </c:pt>
                <c:pt idx="1132">
                  <c:v>-3502972.064960001</c:v>
                </c:pt>
                <c:pt idx="1133">
                  <c:v>-3501788.999615</c:v>
                </c:pt>
                <c:pt idx="1134">
                  <c:v>-3500606.200679999</c:v>
                </c:pt>
                <c:pt idx="1135">
                  <c:v>-3499423.6681250012</c:v>
                </c:pt>
                <c:pt idx="1136">
                  <c:v>-3498241.40192</c:v>
                </c:pt>
                <c:pt idx="1137">
                  <c:v>-3497059.4020349993</c:v>
                </c:pt>
                <c:pt idx="1138">
                  <c:v>-3495877.66844</c:v>
                </c:pt>
                <c:pt idx="1139">
                  <c:v>-3494696.201105</c:v>
                </c:pt>
                <c:pt idx="1140">
                  <c:v>-3493514.999999999</c:v>
                </c:pt>
                <c:pt idx="1141">
                  <c:v>-3492334.0650950004</c:v>
                </c:pt>
                <c:pt idx="1142">
                  <c:v>-3491153.39636</c:v>
                </c:pt>
                <c:pt idx="1143">
                  <c:v>-3489972.993764999</c:v>
                </c:pt>
                <c:pt idx="1144">
                  <c:v>-3488792.8572800006</c:v>
                </c:pt>
                <c:pt idx="1145">
                  <c:v>-3487612.9868749995</c:v>
                </c:pt>
                <c:pt idx="1146">
                  <c:v>-3486433.382520001</c:v>
                </c:pt>
                <c:pt idx="1147">
                  <c:v>-3485254.044185</c:v>
                </c:pt>
                <c:pt idx="1148">
                  <c:v>-3484074.97184</c:v>
                </c:pt>
                <c:pt idx="1149">
                  <c:v>-3482896.1654550005</c:v>
                </c:pt>
                <c:pt idx="1150">
                  <c:v>-3481717.625</c:v>
                </c:pt>
                <c:pt idx="1151">
                  <c:v>-3480539.350445</c:v>
                </c:pt>
                <c:pt idx="1152">
                  <c:v>-3479361.34176</c:v>
                </c:pt>
                <c:pt idx="1153">
                  <c:v>-3478183.598915</c:v>
                </c:pt>
                <c:pt idx="1154">
                  <c:v>-3477006.1218799995</c:v>
                </c:pt>
                <c:pt idx="1155">
                  <c:v>-3475828.9106250005</c:v>
                </c:pt>
                <c:pt idx="1156">
                  <c:v>-3474651.96512</c:v>
                </c:pt>
                <c:pt idx="1157">
                  <c:v>-3473475.2853350006</c:v>
                </c:pt>
                <c:pt idx="1158">
                  <c:v>-3472298.87124</c:v>
                </c:pt>
                <c:pt idx="1159">
                  <c:v>-3471122.7228049994</c:v>
                </c:pt>
                <c:pt idx="1160">
                  <c:v>-3469946.8400000012</c:v>
                </c:pt>
                <c:pt idx="1161">
                  <c:v>-3468771.222795</c:v>
                </c:pt>
                <c:pt idx="1162">
                  <c:v>-3467595.8711599996</c:v>
                </c:pt>
                <c:pt idx="1163">
                  <c:v>-3466420.785065</c:v>
                </c:pt>
                <c:pt idx="1164">
                  <c:v>-3465245.96448</c:v>
                </c:pt>
                <c:pt idx="1165">
                  <c:v>-3464071.409374999</c:v>
                </c:pt>
                <c:pt idx="1166">
                  <c:v>-3462897.1197200003</c:v>
                </c:pt>
                <c:pt idx="1167">
                  <c:v>-3461723.095485</c:v>
                </c:pt>
                <c:pt idx="1168">
                  <c:v>-3460549.3366399994</c:v>
                </c:pt>
                <c:pt idx="1169">
                  <c:v>-3459375.8431550004</c:v>
                </c:pt>
                <c:pt idx="1170">
                  <c:v>-3458202.6149999998</c:v>
                </c:pt>
                <c:pt idx="1171">
                  <c:v>-3457029.6521450006</c:v>
                </c:pt>
                <c:pt idx="1172">
                  <c:v>-3455856.95456</c:v>
                </c:pt>
                <c:pt idx="1173">
                  <c:v>-3454684.5222149994</c:v>
                </c:pt>
                <c:pt idx="1174">
                  <c:v>-3453512.3550800006</c:v>
                </c:pt>
                <c:pt idx="1175">
                  <c:v>-3452340.453125</c:v>
                </c:pt>
                <c:pt idx="1176">
                  <c:v>-3451168.8163199993</c:v>
                </c:pt>
                <c:pt idx="1177">
                  <c:v>-3449997.4446350005</c:v>
                </c:pt>
                <c:pt idx="1178">
                  <c:v>-3448826.33804</c:v>
                </c:pt>
                <c:pt idx="1179">
                  <c:v>-3447655.496504999</c:v>
                </c:pt>
                <c:pt idx="1180">
                  <c:v>-3446484.920000001</c:v>
                </c:pt>
                <c:pt idx="1181">
                  <c:v>-3445314.608495</c:v>
                </c:pt>
                <c:pt idx="1182">
                  <c:v>-3444144.561960001</c:v>
                </c:pt>
                <c:pt idx="1183">
                  <c:v>-3442974.780365</c:v>
                </c:pt>
                <c:pt idx="1184">
                  <c:v>-3441805.2636799994</c:v>
                </c:pt>
                <c:pt idx="1185">
                  <c:v>-3440636.011875001</c:v>
                </c:pt>
                <c:pt idx="1186">
                  <c:v>-3439467.0249199998</c:v>
                </c:pt>
                <c:pt idx="1187">
                  <c:v>-3438298.302785</c:v>
                </c:pt>
                <c:pt idx="1188">
                  <c:v>-3437129.8454400003</c:v>
                </c:pt>
                <c:pt idx="1189">
                  <c:v>-3435961.652855</c:v>
                </c:pt>
                <c:pt idx="1190">
                  <c:v>-3434793.7249999996</c:v>
                </c:pt>
                <c:pt idx="1191">
                  <c:v>-3433626.0618450004</c:v>
                </c:pt>
                <c:pt idx="1192">
                  <c:v>-3432458.6633599997</c:v>
                </c:pt>
                <c:pt idx="1193">
                  <c:v>-3431291.5295149987</c:v>
                </c:pt>
                <c:pt idx="1194">
                  <c:v>-3430124.6602800004</c:v>
                </c:pt>
                <c:pt idx="1195">
                  <c:v>-3428958.0556249996</c:v>
                </c:pt>
                <c:pt idx="1196">
                  <c:v>-3427791.715520001</c:v>
                </c:pt>
                <c:pt idx="1197">
                  <c:v>-3426625.639935</c:v>
                </c:pt>
                <c:pt idx="1198">
                  <c:v>-3425459.8288399996</c:v>
                </c:pt>
                <c:pt idx="1199">
                  <c:v>-3424294.282205001</c:v>
                </c:pt>
                <c:pt idx="1200">
                  <c:v>-3423129.0</c:v>
                </c:pt>
                <c:pt idx="1201">
                  <c:v>-3421963.9821949997</c:v>
                </c:pt>
                <c:pt idx="1202">
                  <c:v>-3420799.2287600003</c:v>
                </c:pt>
                <c:pt idx="1203">
                  <c:v>-3419634.739665</c:v>
                </c:pt>
                <c:pt idx="1204">
                  <c:v>-3418470.514879999</c:v>
                </c:pt>
                <c:pt idx="1205">
                  <c:v>-3417306.5543750003</c:v>
                </c:pt>
                <c:pt idx="1206">
                  <c:v>-3416142.8581199995</c:v>
                </c:pt>
                <c:pt idx="1207">
                  <c:v>-3414979.426085001</c:v>
                </c:pt>
                <c:pt idx="1208">
                  <c:v>-3413816.25824</c:v>
                </c:pt>
                <c:pt idx="1209">
                  <c:v>-3412653.3545549996</c:v>
                </c:pt>
                <c:pt idx="1210">
                  <c:v>-3411490.715000001</c:v>
                </c:pt>
                <c:pt idx="1211">
                  <c:v>-3410328.3395450003</c:v>
                </c:pt>
                <c:pt idx="1212">
                  <c:v>-3409166.22816</c:v>
                </c:pt>
                <c:pt idx="1213">
                  <c:v>-3408004.3808150007</c:v>
                </c:pt>
                <c:pt idx="1214">
                  <c:v>-3406842.79748</c:v>
                </c:pt>
                <c:pt idx="1215">
                  <c:v>-3405681.4781249994</c:v>
                </c:pt>
                <c:pt idx="1216">
                  <c:v>-3404520.42272</c:v>
                </c:pt>
                <c:pt idx="1217">
                  <c:v>-3403359.631235</c:v>
                </c:pt>
                <c:pt idx="1218">
                  <c:v>-3402199.103639999</c:v>
                </c:pt>
                <c:pt idx="1219">
                  <c:v>-3401038.8399050003</c:v>
                </c:pt>
                <c:pt idx="1220">
                  <c:v>-3399878.8399999994</c:v>
                </c:pt>
                <c:pt idx="1221">
                  <c:v>-3398719.103895001</c:v>
                </c:pt>
                <c:pt idx="1222">
                  <c:v>-3397559.63156</c:v>
                </c:pt>
                <c:pt idx="1223">
                  <c:v>-3396400.422965</c:v>
                </c:pt>
                <c:pt idx="1224">
                  <c:v>-3395241.47808</c:v>
                </c:pt>
                <c:pt idx="1225">
                  <c:v>-3394082.796875</c:v>
                </c:pt>
                <c:pt idx="1226">
                  <c:v>-3392924.37932</c:v>
                </c:pt>
                <c:pt idx="1227">
                  <c:v>-3391766.2253850005</c:v>
                </c:pt>
                <c:pt idx="1228">
                  <c:v>-3390608.3350400003</c:v>
                </c:pt>
                <c:pt idx="1229">
                  <c:v>-3389450.7082549995</c:v>
                </c:pt>
                <c:pt idx="1230">
                  <c:v>-3388293.345</c:v>
                </c:pt>
                <c:pt idx="1231">
                  <c:v>-3387136.2452449994</c:v>
                </c:pt>
                <c:pt idx="1232">
                  <c:v>-3385979.4089600006</c:v>
                </c:pt>
                <c:pt idx="1233">
                  <c:v>-3384822.8361150003</c:v>
                </c:pt>
                <c:pt idx="1234">
                  <c:v>-3383666.52668</c:v>
                </c:pt>
                <c:pt idx="1235">
                  <c:v>-3382510.480625001</c:v>
                </c:pt>
                <c:pt idx="1236">
                  <c:v>-3381354.6979199997</c:v>
                </c:pt>
                <c:pt idx="1237">
                  <c:v>-3380199.1785349995</c:v>
                </c:pt>
                <c:pt idx="1238">
                  <c:v>-3379043.922440001</c:v>
                </c:pt>
                <c:pt idx="1239">
                  <c:v>-3377888.929605</c:v>
                </c:pt>
                <c:pt idx="1240">
                  <c:v>-3376734.199999999</c:v>
                </c:pt>
                <c:pt idx="1241">
                  <c:v>-3375579.733595</c:v>
                </c:pt>
                <c:pt idx="1242">
                  <c:v>-3374425.53036</c:v>
                </c:pt>
                <c:pt idx="1243">
                  <c:v>-3373271.5902649993</c:v>
                </c:pt>
                <c:pt idx="1244">
                  <c:v>-3372117.9132800004</c:v>
                </c:pt>
                <c:pt idx="1245">
                  <c:v>-3370964.499374999</c:v>
                </c:pt>
                <c:pt idx="1246">
                  <c:v>-3369811.3485200014</c:v>
                </c:pt>
                <c:pt idx="1247">
                  <c:v>-3368658.4606850003</c:v>
                </c:pt>
                <c:pt idx="1248">
                  <c:v>-3367505.83584</c:v>
                </c:pt>
                <c:pt idx="1249">
                  <c:v>-3366353.4739550008</c:v>
                </c:pt>
                <c:pt idx="1250">
                  <c:v>-3365201.375</c:v>
                </c:pt>
                <c:pt idx="1251">
                  <c:v>-3364049.5389449997</c:v>
                </c:pt>
                <c:pt idx="1252">
                  <c:v>-3362897.96576</c:v>
                </c:pt>
                <c:pt idx="1253">
                  <c:v>-3361746.6554150004</c:v>
                </c:pt>
                <c:pt idx="1254">
                  <c:v>-3360595.6078799996</c:v>
                </c:pt>
                <c:pt idx="1255">
                  <c:v>-3359444.8231250006</c:v>
                </c:pt>
                <c:pt idx="1256">
                  <c:v>-3358294.3011199995</c:v>
                </c:pt>
                <c:pt idx="1257">
                  <c:v>-3357144.041835001</c:v>
                </c:pt>
                <c:pt idx="1258">
                  <c:v>-3355994.04524</c:v>
                </c:pt>
                <c:pt idx="1259">
                  <c:v>-3354844.3113049995</c:v>
                </c:pt>
                <c:pt idx="1260">
                  <c:v>-3353694.8400000012</c:v>
                </c:pt>
                <c:pt idx="1261">
                  <c:v>-3352545.6312949997</c:v>
                </c:pt>
                <c:pt idx="1262">
                  <c:v>-3351396.68516</c:v>
                </c:pt>
                <c:pt idx="1263">
                  <c:v>-3350248.001565</c:v>
                </c:pt>
                <c:pt idx="1264">
                  <c:v>-3349099.58048</c:v>
                </c:pt>
                <c:pt idx="1265">
                  <c:v>-3347951.421874999</c:v>
                </c:pt>
                <c:pt idx="1266">
                  <c:v>-3346803.5257200007</c:v>
                </c:pt>
                <c:pt idx="1267">
                  <c:v>-3345655.8919850006</c:v>
                </c:pt>
                <c:pt idx="1268">
                  <c:v>-3344508.520639999</c:v>
                </c:pt>
                <c:pt idx="1269">
                  <c:v>-3343361.4116550004</c:v>
                </c:pt>
                <c:pt idx="1270">
                  <c:v>-3342214.565</c:v>
                </c:pt>
                <c:pt idx="1271">
                  <c:v>-3341067.980645001</c:v>
                </c:pt>
                <c:pt idx="1272">
                  <c:v>-3339921.65856</c:v>
                </c:pt>
                <c:pt idx="1273">
                  <c:v>-3338775.5987149994</c:v>
                </c:pt>
                <c:pt idx="1274">
                  <c:v>-3337629.80108</c:v>
                </c:pt>
                <c:pt idx="1275">
                  <c:v>-3336484.265625</c:v>
                </c:pt>
                <c:pt idx="1276">
                  <c:v>-3335338.9923199997</c:v>
                </c:pt>
                <c:pt idx="1277">
                  <c:v>-3334193.981135</c:v>
                </c:pt>
                <c:pt idx="1278">
                  <c:v>-3333049.23204</c:v>
                </c:pt>
                <c:pt idx="1279">
                  <c:v>-3331904.7450049995</c:v>
                </c:pt>
                <c:pt idx="1280">
                  <c:v>-3330760.520000001</c:v>
                </c:pt>
                <c:pt idx="1281">
                  <c:v>-3329616.5569949998</c:v>
                </c:pt>
                <c:pt idx="1282">
                  <c:v>-3328472.855960001</c:v>
                </c:pt>
                <c:pt idx="1283">
                  <c:v>-3327329.416865</c:v>
                </c:pt>
                <c:pt idx="1284">
                  <c:v>-3326186.239679999</c:v>
                </c:pt>
                <c:pt idx="1285">
                  <c:v>-3325043.324375001</c:v>
                </c:pt>
                <c:pt idx="1286">
                  <c:v>-3323900.6709200004</c:v>
                </c:pt>
                <c:pt idx="1287">
                  <c:v>-3322758.2792849997</c:v>
                </c:pt>
                <c:pt idx="1288">
                  <c:v>-3321616.1494400008</c:v>
                </c:pt>
                <c:pt idx="1289">
                  <c:v>-3320474.281355</c:v>
                </c:pt>
                <c:pt idx="1290">
                  <c:v>-3319332.674999999</c:v>
                </c:pt>
                <c:pt idx="1291">
                  <c:v>-3318191.330345</c:v>
                </c:pt>
                <c:pt idx="1292">
                  <c:v>-3317050.24736</c:v>
                </c:pt>
                <c:pt idx="1293">
                  <c:v>-3315909.4260149994</c:v>
                </c:pt>
                <c:pt idx="1294">
                  <c:v>-3314768.8662800007</c:v>
                </c:pt>
                <c:pt idx="1295">
                  <c:v>-3313628.5681249993</c:v>
                </c:pt>
                <c:pt idx="1296">
                  <c:v>-3312488.5315200007</c:v>
                </c:pt>
                <c:pt idx="1297">
                  <c:v>-3311348.756435</c:v>
                </c:pt>
                <c:pt idx="1298">
                  <c:v>-3310209.2428399995</c:v>
                </c:pt>
                <c:pt idx="1299">
                  <c:v>-3309069.9907050002</c:v>
                </c:pt>
                <c:pt idx="1300">
                  <c:v>-3307931.0</c:v>
                </c:pt>
                <c:pt idx="1301">
                  <c:v>-3306792.2706949995</c:v>
                </c:pt>
                <c:pt idx="1302">
                  <c:v>-3305653.8027600003</c:v>
                </c:pt>
                <c:pt idx="1303">
                  <c:v>-3304515.596165</c:v>
                </c:pt>
                <c:pt idx="1304">
                  <c:v>-3303377.6508799996</c:v>
                </c:pt>
                <c:pt idx="1305">
                  <c:v>-3302239.9668750004</c:v>
                </c:pt>
                <c:pt idx="1306">
                  <c:v>-3301102.5441199997</c:v>
                </c:pt>
                <c:pt idx="1307">
                  <c:v>-3299965.3825850002</c:v>
                </c:pt>
                <c:pt idx="1308">
                  <c:v>-3298828.48224</c:v>
                </c:pt>
                <c:pt idx="1309">
                  <c:v>-3297691.8430549996</c:v>
                </c:pt>
                <c:pt idx="1310">
                  <c:v>-3296555.465000001</c:v>
                </c:pt>
                <c:pt idx="1311">
                  <c:v>-3295419.348045</c:v>
                </c:pt>
                <c:pt idx="1312">
                  <c:v>-3294283.4921599994</c:v>
                </c:pt>
                <c:pt idx="1313">
                  <c:v>-3293147.8973150006</c:v>
                </c:pt>
                <c:pt idx="1314">
                  <c:v>-3292012.56348</c:v>
                </c:pt>
                <c:pt idx="1315">
                  <c:v>-3290877.4906249996</c:v>
                </c:pt>
                <c:pt idx="1316">
                  <c:v>-3289742.67872</c:v>
                </c:pt>
                <c:pt idx="1317">
                  <c:v>-3288608.127735</c:v>
                </c:pt>
                <c:pt idx="1318">
                  <c:v>-3287473.8376399996</c:v>
                </c:pt>
                <c:pt idx="1319">
                  <c:v>-3286339.8084050007</c:v>
                </c:pt>
                <c:pt idx="1320">
                  <c:v>-3285206.039999999</c:v>
                </c:pt>
                <c:pt idx="1321">
                  <c:v>-3284072.5323950006</c:v>
                </c:pt>
                <c:pt idx="1322">
                  <c:v>-3282939.2855599998</c:v>
                </c:pt>
                <c:pt idx="1323">
                  <c:v>-3281806.299464999</c:v>
                </c:pt>
                <c:pt idx="1324">
                  <c:v>-3280673.57408</c:v>
                </c:pt>
                <c:pt idx="1325">
                  <c:v>-3279541.109375</c:v>
                </c:pt>
                <c:pt idx="1326">
                  <c:v>-3278408.90532</c:v>
                </c:pt>
                <c:pt idx="1327">
                  <c:v>-3277276.9618850006</c:v>
                </c:pt>
                <c:pt idx="1328">
                  <c:v>-3276145.2790400004</c:v>
                </c:pt>
                <c:pt idx="1329">
                  <c:v>-3275013.856754999</c:v>
                </c:pt>
                <c:pt idx="1330">
                  <c:v>-3273882.695</c:v>
                </c:pt>
                <c:pt idx="1331">
                  <c:v>-3272751.7937449994</c:v>
                </c:pt>
                <c:pt idx="1332">
                  <c:v>-3271621.1529600006</c:v>
                </c:pt>
                <c:pt idx="1333">
                  <c:v>-3270490.7726149997</c:v>
                </c:pt>
                <c:pt idx="1334">
                  <c:v>-3269360.6526799994</c:v>
                </c:pt>
                <c:pt idx="1335">
                  <c:v>-3268230.793125001</c:v>
                </c:pt>
                <c:pt idx="1336">
                  <c:v>-3267101.19392</c:v>
                </c:pt>
                <c:pt idx="1337">
                  <c:v>-3265971.855034999</c:v>
                </c:pt>
                <c:pt idx="1338">
                  <c:v>-3264842.77644</c:v>
                </c:pt>
                <c:pt idx="1339">
                  <c:v>-3263713.9581049997</c:v>
                </c:pt>
                <c:pt idx="1340">
                  <c:v>-3262585.399999999</c:v>
                </c:pt>
                <c:pt idx="1341">
                  <c:v>-3261457.102095</c:v>
                </c:pt>
                <c:pt idx="1342">
                  <c:v>-3260329.06436</c:v>
                </c:pt>
                <c:pt idx="1343">
                  <c:v>-3259201.286764999</c:v>
                </c:pt>
                <c:pt idx="1344">
                  <c:v>-3258073.7692800006</c:v>
                </c:pt>
                <c:pt idx="1345">
                  <c:v>-3256946.511875</c:v>
                </c:pt>
                <c:pt idx="1346">
                  <c:v>-3255819.514520001</c:v>
                </c:pt>
                <c:pt idx="1347">
                  <c:v>-3254692.777185</c:v>
                </c:pt>
                <c:pt idx="1348">
                  <c:v>-3253566.2998399995</c:v>
                </c:pt>
                <c:pt idx="1349">
                  <c:v>-3252440.0824550004</c:v>
                </c:pt>
                <c:pt idx="1350">
                  <c:v>-3251314.125</c:v>
                </c:pt>
                <c:pt idx="1351">
                  <c:v>-3250188.427445</c:v>
                </c:pt>
                <c:pt idx="1352">
                  <c:v>-3249062.9897600003</c:v>
                </c:pt>
                <c:pt idx="1353">
                  <c:v>-3247937.811915</c:v>
                </c:pt>
                <c:pt idx="1354">
                  <c:v>-3246812.8938799994</c:v>
                </c:pt>
                <c:pt idx="1355">
                  <c:v>-3245688.235625</c:v>
                </c:pt>
                <c:pt idx="1356">
                  <c:v>-3244563.83712</c:v>
                </c:pt>
                <c:pt idx="1357">
                  <c:v>-3243439.698335001</c:v>
                </c:pt>
                <c:pt idx="1358">
                  <c:v>-3242315.81924</c:v>
                </c:pt>
                <c:pt idx="1359">
                  <c:v>-3241192.1998049994</c:v>
                </c:pt>
                <c:pt idx="1360">
                  <c:v>-3240068.840000001</c:v>
                </c:pt>
                <c:pt idx="1361">
                  <c:v>-3238945.739795</c:v>
                </c:pt>
                <c:pt idx="1362">
                  <c:v>-3237822.899159999</c:v>
                </c:pt>
                <c:pt idx="1363">
                  <c:v>-3236700.318065</c:v>
                </c:pt>
                <c:pt idx="1364">
                  <c:v>-3235577.99648</c:v>
                </c:pt>
                <c:pt idx="1365">
                  <c:v>-3234455.934374999</c:v>
                </c:pt>
                <c:pt idx="1366">
                  <c:v>-3233334.1317200004</c:v>
                </c:pt>
                <c:pt idx="1367">
                  <c:v>-3232212.588485</c:v>
                </c:pt>
                <c:pt idx="1368">
                  <c:v>-3231091.3046399993</c:v>
                </c:pt>
                <c:pt idx="1369">
                  <c:v>-3229970.2801550007</c:v>
                </c:pt>
                <c:pt idx="1370">
                  <c:v>-3228849.514999999</c:v>
                </c:pt>
                <c:pt idx="1371">
                  <c:v>-3227729.009145001</c:v>
                </c:pt>
                <c:pt idx="1372">
                  <c:v>-3226608.76256</c:v>
                </c:pt>
                <c:pt idx="1373">
                  <c:v>-3225488.7752149994</c:v>
                </c:pt>
                <c:pt idx="1374">
                  <c:v>-3224369.04708</c:v>
                </c:pt>
                <c:pt idx="1375">
                  <c:v>-3223249.578125</c:v>
                </c:pt>
                <c:pt idx="1376">
                  <c:v>-3222130.36832</c:v>
                </c:pt>
                <c:pt idx="1377">
                  <c:v>-3221011.417635001</c:v>
                </c:pt>
                <c:pt idx="1378">
                  <c:v>-3219892.72604</c:v>
                </c:pt>
                <c:pt idx="1379">
                  <c:v>-3218774.293504999</c:v>
                </c:pt>
                <c:pt idx="1380">
                  <c:v>-3217656.1200000006</c:v>
                </c:pt>
                <c:pt idx="1381">
                  <c:v>-3216538.205495</c:v>
                </c:pt>
                <c:pt idx="1382">
                  <c:v>-3215420.5499600014</c:v>
                </c:pt>
                <c:pt idx="1383">
                  <c:v>-3214303.153365</c:v>
                </c:pt>
                <c:pt idx="1384">
                  <c:v>-3213186.0156799997</c:v>
                </c:pt>
                <c:pt idx="1385">
                  <c:v>-3212069.136875001</c:v>
                </c:pt>
                <c:pt idx="1386">
                  <c:v>-3210952.5169200003</c:v>
                </c:pt>
                <c:pt idx="1387">
                  <c:v>-3209836.1557849995</c:v>
                </c:pt>
                <c:pt idx="1388">
                  <c:v>-3208720.053440001</c:v>
                </c:pt>
                <c:pt idx="1389">
                  <c:v>-3207604.2098550005</c:v>
                </c:pt>
                <c:pt idx="1390">
                  <c:v>-3206488.624999999</c:v>
                </c:pt>
                <c:pt idx="1391">
                  <c:v>-3205373.2988450006</c:v>
                </c:pt>
                <c:pt idx="1392">
                  <c:v>-3204258.23136</c:v>
                </c:pt>
                <c:pt idx="1393">
                  <c:v>-3203143.4225149993</c:v>
                </c:pt>
                <c:pt idx="1394">
                  <c:v>-3202028.8722800002</c:v>
                </c:pt>
                <c:pt idx="1395">
                  <c:v>-3200914.580625</c:v>
                </c:pt>
                <c:pt idx="1396">
                  <c:v>-3199800.5475200005</c:v>
                </c:pt>
                <c:pt idx="1397">
                  <c:v>-3198686.7729350002</c:v>
                </c:pt>
                <c:pt idx="1398">
                  <c:v>-3197573.25684</c:v>
                </c:pt>
                <c:pt idx="1399">
                  <c:v>-3196459.9992050002</c:v>
                </c:pt>
                <c:pt idx="1400">
                  <c:v>-3195347.0</c:v>
                </c:pt>
                <c:pt idx="1401">
                  <c:v>-3194234.259195</c:v>
                </c:pt>
                <c:pt idx="1402">
                  <c:v>-3193121.7767600003</c:v>
                </c:pt>
                <c:pt idx="1403">
                  <c:v>-3192009.552665</c:v>
                </c:pt>
                <c:pt idx="1404">
                  <c:v>-3190897.5868799994</c:v>
                </c:pt>
                <c:pt idx="1405">
                  <c:v>-3189785.8793750005</c:v>
                </c:pt>
                <c:pt idx="1406">
                  <c:v>-3188674.4301199997</c:v>
                </c:pt>
                <c:pt idx="1407">
                  <c:v>-3187563.239085001</c:v>
                </c:pt>
                <c:pt idx="1408">
                  <c:v>-3186452.30624</c:v>
                </c:pt>
                <c:pt idx="1409">
                  <c:v>-3185341.631555</c:v>
                </c:pt>
                <c:pt idx="1410">
                  <c:v>-3184231.215000001</c:v>
                </c:pt>
                <c:pt idx="1411">
                  <c:v>-3183121.056545</c:v>
                </c:pt>
                <c:pt idx="1412">
                  <c:v>-3182011.15616</c:v>
                </c:pt>
                <c:pt idx="1413">
                  <c:v>-3180901.5138150007</c:v>
                </c:pt>
                <c:pt idx="1414">
                  <c:v>-3179792.12948</c:v>
                </c:pt>
                <c:pt idx="1415">
                  <c:v>-3178683.0031249993</c:v>
                </c:pt>
                <c:pt idx="1416">
                  <c:v>-3177574.1347200004</c:v>
                </c:pt>
                <c:pt idx="1417">
                  <c:v>-3176465.5242350004</c:v>
                </c:pt>
                <c:pt idx="1418">
                  <c:v>-3175357.171639999</c:v>
                </c:pt>
                <c:pt idx="1419">
                  <c:v>-3174249.0769050005</c:v>
                </c:pt>
                <c:pt idx="1420">
                  <c:v>-3173141.2399999993</c:v>
                </c:pt>
                <c:pt idx="1421">
                  <c:v>-3172033.660895001</c:v>
                </c:pt>
                <c:pt idx="1422">
                  <c:v>-3170926.3395599998</c:v>
                </c:pt>
                <c:pt idx="1423">
                  <c:v>-3169819.275965</c:v>
                </c:pt>
                <c:pt idx="1424">
                  <c:v>-3168712.4700800003</c:v>
                </c:pt>
                <c:pt idx="1425">
                  <c:v>-3167605.921875</c:v>
                </c:pt>
                <c:pt idx="1426">
                  <c:v>-3166499.6313199997</c:v>
                </c:pt>
                <c:pt idx="1427">
                  <c:v>-3165393.598385001</c:v>
                </c:pt>
                <c:pt idx="1428">
                  <c:v>-3164287.82304</c:v>
                </c:pt>
                <c:pt idx="1429">
                  <c:v>-3163182.3052549995</c:v>
                </c:pt>
                <c:pt idx="1430">
                  <c:v>-3162077.0450000004</c:v>
                </c:pt>
                <c:pt idx="1431">
                  <c:v>-3160972.0422449997</c:v>
                </c:pt>
                <c:pt idx="1432">
                  <c:v>-3159867.296960001</c:v>
                </c:pt>
                <c:pt idx="1433">
                  <c:v>-3158762.809115</c:v>
                </c:pt>
                <c:pt idx="1434">
                  <c:v>-3157658.5786799993</c:v>
                </c:pt>
                <c:pt idx="1435">
                  <c:v>-3156554.6056250012</c:v>
                </c:pt>
                <c:pt idx="1436">
                  <c:v>-3155450.88992</c:v>
                </c:pt>
                <c:pt idx="1437">
                  <c:v>-3154347.4315349995</c:v>
                </c:pt>
                <c:pt idx="1438">
                  <c:v>-3153244.23044</c:v>
                </c:pt>
                <c:pt idx="1439">
                  <c:v>-3152141.286605</c:v>
                </c:pt>
                <c:pt idx="1440">
                  <c:v>-3151038.599999999</c:v>
                </c:pt>
                <c:pt idx="1441">
                  <c:v>-3149936.1705950005</c:v>
                </c:pt>
                <c:pt idx="1442">
                  <c:v>-3148833.99836</c:v>
                </c:pt>
                <c:pt idx="1443">
                  <c:v>-3147732.0832649996</c:v>
                </c:pt>
                <c:pt idx="1444">
                  <c:v>-3146630.4252800005</c:v>
                </c:pt>
                <c:pt idx="1445">
                  <c:v>-3145529.024375</c:v>
                </c:pt>
                <c:pt idx="1446">
                  <c:v>-3144427.880520001</c:v>
                </c:pt>
                <c:pt idx="1447">
                  <c:v>-3143326.993685</c:v>
                </c:pt>
                <c:pt idx="1448">
                  <c:v>-3142226.36384</c:v>
                </c:pt>
                <c:pt idx="1449">
                  <c:v>-3141125.9909550003</c:v>
                </c:pt>
                <c:pt idx="1450">
                  <c:v>-3140025.875</c:v>
                </c:pt>
                <c:pt idx="1451">
                  <c:v>-3138926.0159449996</c:v>
                </c:pt>
                <c:pt idx="1452">
                  <c:v>-3137826.4137600004</c:v>
                </c:pt>
                <c:pt idx="1453">
                  <c:v>-3136727.068415</c:v>
                </c:pt>
                <c:pt idx="1454">
                  <c:v>-3135627.979879999</c:v>
                </c:pt>
                <c:pt idx="1455">
                  <c:v>-3134529.1481250003</c:v>
                </c:pt>
                <c:pt idx="1456">
                  <c:v>-3133430.57312</c:v>
                </c:pt>
                <c:pt idx="1457">
                  <c:v>-3132332.2548350007</c:v>
                </c:pt>
                <c:pt idx="1458">
                  <c:v>-3131234.19324</c:v>
                </c:pt>
                <c:pt idx="1459">
                  <c:v>-3130136.388305</c:v>
                </c:pt>
                <c:pt idx="1460">
                  <c:v>-3129038.840000001</c:v>
                </c:pt>
                <c:pt idx="1461">
                  <c:v>-3127941.548295</c:v>
                </c:pt>
                <c:pt idx="1462">
                  <c:v>-3126844.5131599996</c:v>
                </c:pt>
                <c:pt idx="1463">
                  <c:v>-3125747.734565</c:v>
                </c:pt>
                <c:pt idx="1464">
                  <c:v>-3124651.21248</c:v>
                </c:pt>
                <c:pt idx="1465">
                  <c:v>-3123554.9468749994</c:v>
                </c:pt>
                <c:pt idx="1466">
                  <c:v>-3122458.9377200003</c:v>
                </c:pt>
                <c:pt idx="1467">
                  <c:v>-3121363.184985</c:v>
                </c:pt>
                <c:pt idx="1468">
                  <c:v>-3120267.6886399994</c:v>
                </c:pt>
                <c:pt idx="1469">
                  <c:v>-3119172.4486550004</c:v>
                </c:pt>
                <c:pt idx="1470">
                  <c:v>-3118077.465</c:v>
                </c:pt>
                <c:pt idx="1471">
                  <c:v>-3116982.7376450007</c:v>
                </c:pt>
                <c:pt idx="1472">
                  <c:v>-3115888.2665600004</c:v>
                </c:pt>
                <c:pt idx="1473">
                  <c:v>-3114794.0517149996</c:v>
                </c:pt>
                <c:pt idx="1474">
                  <c:v>-3113700.09308</c:v>
                </c:pt>
                <c:pt idx="1475">
                  <c:v>-3112606.390625</c:v>
                </c:pt>
                <c:pt idx="1476">
                  <c:v>-3111512.94432</c:v>
                </c:pt>
                <c:pt idx="1477">
                  <c:v>-3110419.754135001</c:v>
                </c:pt>
                <c:pt idx="1478">
                  <c:v>-3109326.8200400006</c:v>
                </c:pt>
                <c:pt idx="1479">
                  <c:v>-3108234.142004999</c:v>
                </c:pt>
                <c:pt idx="1480">
                  <c:v>-3107141.7200000007</c:v>
                </c:pt>
                <c:pt idx="1481">
                  <c:v>-3106049.5539949997</c:v>
                </c:pt>
                <c:pt idx="1482">
                  <c:v>-3104957.643960001</c:v>
                </c:pt>
                <c:pt idx="1483">
                  <c:v>-3103865.989865</c:v>
                </c:pt>
                <c:pt idx="1484">
                  <c:v>-3102774.5916799996</c:v>
                </c:pt>
                <c:pt idx="1485">
                  <c:v>-3101683.449375001</c:v>
                </c:pt>
                <c:pt idx="1486">
                  <c:v>-3100592.56292</c:v>
                </c:pt>
                <c:pt idx="1487">
                  <c:v>-3099501.9322849996</c:v>
                </c:pt>
                <c:pt idx="1488">
                  <c:v>-3098411.5574400006</c:v>
                </c:pt>
                <c:pt idx="1489">
                  <c:v>-3097321.4383549993</c:v>
                </c:pt>
                <c:pt idx="1490">
                  <c:v>-3096231.5749999993</c:v>
                </c:pt>
                <c:pt idx="1491">
                  <c:v>-3095141.9673450007</c:v>
                </c:pt>
                <c:pt idx="1492">
                  <c:v>-3094052.6153599997</c:v>
                </c:pt>
                <c:pt idx="1493">
                  <c:v>-3092963.5190149993</c:v>
                </c:pt>
                <c:pt idx="1494">
                  <c:v>-3091874.6782800006</c:v>
                </c:pt>
                <c:pt idx="1495">
                  <c:v>-3090786.0931249997</c:v>
                </c:pt>
                <c:pt idx="1496">
                  <c:v>-3089697.763520001</c:v>
                </c:pt>
                <c:pt idx="1497">
                  <c:v>-3088609.6894349996</c:v>
                </c:pt>
                <c:pt idx="1498">
                  <c:v>-3087521.8708399995</c:v>
                </c:pt>
                <c:pt idx="1499">
                  <c:v>-3086434.3077050005</c:v>
                </c:pt>
                <c:pt idx="1500">
                  <c:v>-3085347.0</c:v>
                </c:pt>
                <c:pt idx="1501">
                  <c:v>-3084259.9476949996</c:v>
                </c:pt>
                <c:pt idx="1502">
                  <c:v>-3083173.1507600006</c:v>
                </c:pt>
                <c:pt idx="1503">
                  <c:v>-3082086.609165</c:v>
                </c:pt>
                <c:pt idx="1504">
                  <c:v>-3081000.3228799994</c:v>
                </c:pt>
                <c:pt idx="1505">
                  <c:v>-3079914.291875</c:v>
                </c:pt>
                <c:pt idx="1506">
                  <c:v>-3078828.5161199993</c:v>
                </c:pt>
                <c:pt idx="1507">
                  <c:v>-3077742.9955850006</c:v>
                </c:pt>
                <c:pt idx="1508">
                  <c:v>-3076657.73024</c:v>
                </c:pt>
                <c:pt idx="1509">
                  <c:v>-3075572.7200549995</c:v>
                </c:pt>
                <c:pt idx="1510">
                  <c:v>-3074487.965000001</c:v>
                </c:pt>
                <c:pt idx="1511">
                  <c:v>-3073403.465045</c:v>
                </c:pt>
                <c:pt idx="1512">
                  <c:v>-3072319.22016</c:v>
                </c:pt>
                <c:pt idx="1513">
                  <c:v>-3071235.2303150008</c:v>
                </c:pt>
                <c:pt idx="1514">
                  <c:v>-3070151.49548</c:v>
                </c:pt>
                <c:pt idx="1515">
                  <c:v>-3069068.015624999</c:v>
                </c:pt>
                <c:pt idx="1516">
                  <c:v>-3067984.7907200004</c:v>
                </c:pt>
                <c:pt idx="1517">
                  <c:v>-3066901.820735</c:v>
                </c:pt>
                <c:pt idx="1518">
                  <c:v>-3065819.1056399993</c:v>
                </c:pt>
                <c:pt idx="1519">
                  <c:v>-3064736.645405001</c:v>
                </c:pt>
                <c:pt idx="1520">
                  <c:v>-3063654.4399999995</c:v>
                </c:pt>
                <c:pt idx="1521">
                  <c:v>-3062572.489395001</c:v>
                </c:pt>
                <c:pt idx="1522">
                  <c:v>-3061490.79356</c:v>
                </c:pt>
                <c:pt idx="1523">
                  <c:v>-3060409.3524649995</c:v>
                </c:pt>
                <c:pt idx="1524">
                  <c:v>-3059328.16608</c:v>
                </c:pt>
                <c:pt idx="1525">
                  <c:v>-3058247.234375</c:v>
                </c:pt>
                <c:pt idx="1526">
                  <c:v>-3057166.55732</c:v>
                </c:pt>
                <c:pt idx="1527">
                  <c:v>-3056086.134885</c:v>
                </c:pt>
                <c:pt idx="1528">
                  <c:v>-3055005.96704</c:v>
                </c:pt>
                <c:pt idx="1529">
                  <c:v>-3053926.0537549993</c:v>
                </c:pt>
                <c:pt idx="1530">
                  <c:v>-3052846.3950000005</c:v>
                </c:pt>
                <c:pt idx="1531">
                  <c:v>-3051766.990744999</c:v>
                </c:pt>
                <c:pt idx="1532">
                  <c:v>-3050687.840960001</c:v>
                </c:pt>
                <c:pt idx="1533">
                  <c:v>-3049608.9456149996</c:v>
                </c:pt>
                <c:pt idx="1534">
                  <c:v>-3048530.3046799996</c:v>
                </c:pt>
                <c:pt idx="1535">
                  <c:v>-3047451.918125001</c:v>
                </c:pt>
                <c:pt idx="1536">
                  <c:v>-3046373.7859199997</c:v>
                </c:pt>
                <c:pt idx="1537">
                  <c:v>-3045295.9080349994</c:v>
                </c:pt>
                <c:pt idx="1538">
                  <c:v>-3044218.2844400005</c:v>
                </c:pt>
                <c:pt idx="1539">
                  <c:v>-3043140.915105</c:v>
                </c:pt>
                <c:pt idx="1540">
                  <c:v>-3042063.7999999993</c:v>
                </c:pt>
                <c:pt idx="1541">
                  <c:v>-3040986.9390950003</c:v>
                </c:pt>
                <c:pt idx="1542">
                  <c:v>-3039910.3323600003</c:v>
                </c:pt>
                <c:pt idx="1543">
                  <c:v>-3038833.9797649994</c:v>
                </c:pt>
                <c:pt idx="1544">
                  <c:v>-3037757.881280001</c:v>
                </c:pt>
                <c:pt idx="1545">
                  <c:v>-3036682.0368749993</c:v>
                </c:pt>
                <c:pt idx="1546">
                  <c:v>-3035606.446520001</c:v>
                </c:pt>
                <c:pt idx="1547">
                  <c:v>-3034531.1101849996</c:v>
                </c:pt>
                <c:pt idx="1548">
                  <c:v>-3033456.0278399996</c:v>
                </c:pt>
                <c:pt idx="1549">
                  <c:v>-3032381.1994550005</c:v>
                </c:pt>
                <c:pt idx="1550">
                  <c:v>-3031306.625</c:v>
                </c:pt>
                <c:pt idx="1551">
                  <c:v>-3030232.3044449994</c:v>
                </c:pt>
                <c:pt idx="1552">
                  <c:v>-3029158.23776</c:v>
                </c:pt>
                <c:pt idx="1553">
                  <c:v>-3028084.424915</c:v>
                </c:pt>
                <c:pt idx="1554">
                  <c:v>-3027010.865879999</c:v>
                </c:pt>
                <c:pt idx="1555">
                  <c:v>-3025937.5606250004</c:v>
                </c:pt>
                <c:pt idx="1556">
                  <c:v>-3024864.5091199996</c:v>
                </c:pt>
                <c:pt idx="1557">
                  <c:v>-3023791.7113350006</c:v>
                </c:pt>
                <c:pt idx="1558">
                  <c:v>-3022719.16724</c:v>
                </c:pt>
                <c:pt idx="1559">
                  <c:v>-3021646.8768049995</c:v>
                </c:pt>
                <c:pt idx="1560">
                  <c:v>-3020574.8400000012</c:v>
                </c:pt>
                <c:pt idx="1561">
                  <c:v>-3019503.056795</c:v>
                </c:pt>
                <c:pt idx="1562">
                  <c:v>-3018431.5271599996</c:v>
                </c:pt>
                <c:pt idx="1563">
                  <c:v>-3017360.2510650004</c:v>
                </c:pt>
                <c:pt idx="1564">
                  <c:v>-3016289.22848</c:v>
                </c:pt>
                <c:pt idx="1565">
                  <c:v>-3015218.459374999</c:v>
                </c:pt>
                <c:pt idx="1566">
                  <c:v>-3014147.9437200003</c:v>
                </c:pt>
                <c:pt idx="1567">
                  <c:v>-3013077.681485</c:v>
                </c:pt>
                <c:pt idx="1568">
                  <c:v>-3012007.672639999</c:v>
                </c:pt>
                <c:pt idx="1569">
                  <c:v>-3010937.917155001</c:v>
                </c:pt>
                <c:pt idx="1570">
                  <c:v>-3009868.4149999996</c:v>
                </c:pt>
                <c:pt idx="1571">
                  <c:v>-3008799.1661450006</c:v>
                </c:pt>
                <c:pt idx="1572">
                  <c:v>-3007730.17056</c:v>
                </c:pt>
                <c:pt idx="1573">
                  <c:v>-3006661.4282149994</c:v>
                </c:pt>
                <c:pt idx="1574">
                  <c:v>-3005592.9390800004</c:v>
                </c:pt>
                <c:pt idx="1575">
                  <c:v>-3004524.703125</c:v>
                </c:pt>
                <c:pt idx="1576">
                  <c:v>-3003456.7203199994</c:v>
                </c:pt>
                <c:pt idx="1577">
                  <c:v>-3002388.990635</c:v>
                </c:pt>
                <c:pt idx="1578">
                  <c:v>-3001321.51404</c:v>
                </c:pt>
                <c:pt idx="1579">
                  <c:v>-3000254.2905049995</c:v>
                </c:pt>
                <c:pt idx="1580">
                  <c:v>-2999187.3200000003</c:v>
                </c:pt>
                <c:pt idx="1581">
                  <c:v>-2998120.6024949998</c:v>
                </c:pt>
                <c:pt idx="1582">
                  <c:v>-2997054.137960001</c:v>
                </c:pt>
                <c:pt idx="1583">
                  <c:v>-2995987.926365</c:v>
                </c:pt>
                <c:pt idx="1584">
                  <c:v>-2994921.9676799993</c:v>
                </c:pt>
                <c:pt idx="1585">
                  <c:v>-2993856.2618750003</c:v>
                </c:pt>
                <c:pt idx="1586">
                  <c:v>-2992790.8089199997</c:v>
                </c:pt>
                <c:pt idx="1587">
                  <c:v>-2991725.6087849997</c:v>
                </c:pt>
                <c:pt idx="1588">
                  <c:v>-2990660.6614400004</c:v>
                </c:pt>
                <c:pt idx="1589">
                  <c:v>-2989595.966855</c:v>
                </c:pt>
                <c:pt idx="1590">
                  <c:v>-2988531.5249999994</c:v>
                </c:pt>
                <c:pt idx="1591">
                  <c:v>-2987467.3358450006</c:v>
                </c:pt>
                <c:pt idx="1592">
                  <c:v>-2986403.39936</c:v>
                </c:pt>
                <c:pt idx="1593">
                  <c:v>-2985339.7155149993</c:v>
                </c:pt>
                <c:pt idx="1594">
                  <c:v>-2984276.2842800007</c:v>
                </c:pt>
                <c:pt idx="1595">
                  <c:v>-2983213.105625</c:v>
                </c:pt>
                <c:pt idx="1596">
                  <c:v>-2982150.179520001</c:v>
                </c:pt>
                <c:pt idx="1597">
                  <c:v>-2981087.5059350003</c:v>
                </c:pt>
                <c:pt idx="1598">
                  <c:v>-2980025.0848399997</c:v>
                </c:pt>
                <c:pt idx="1599">
                  <c:v>-2978962.916205</c:v>
                </c:pt>
                <c:pt idx="1600">
                  <c:v>-2977901.0</c:v>
                </c:pt>
                <c:pt idx="1601">
                  <c:v>-2976839.3361949995</c:v>
                </c:pt>
                <c:pt idx="1602">
                  <c:v>-2975777.9247600003</c:v>
                </c:pt>
                <c:pt idx="1603">
                  <c:v>-2974716.765665</c:v>
                </c:pt>
                <c:pt idx="1604">
                  <c:v>-2973655.8588799993</c:v>
                </c:pt>
                <c:pt idx="1605">
                  <c:v>-2972595.2043750007</c:v>
                </c:pt>
                <c:pt idx="1606">
                  <c:v>-2971534.8021199997</c:v>
                </c:pt>
                <c:pt idx="1607">
                  <c:v>-2970474.652085001</c:v>
                </c:pt>
                <c:pt idx="1608">
                  <c:v>-2969414.7542399997</c:v>
                </c:pt>
                <c:pt idx="1609">
                  <c:v>-2968355.108555</c:v>
                </c:pt>
                <c:pt idx="1610">
                  <c:v>-2967295.715000001</c:v>
                </c:pt>
                <c:pt idx="1611">
                  <c:v>-2966236.573545</c:v>
                </c:pt>
                <c:pt idx="1612">
                  <c:v>-2965177.6841599997</c:v>
                </c:pt>
                <c:pt idx="1613">
                  <c:v>-2964119.0468150005</c:v>
                </c:pt>
                <c:pt idx="1614">
                  <c:v>-2963060.66148</c:v>
                </c:pt>
                <c:pt idx="1615">
                  <c:v>-2962002.5281249993</c:v>
                </c:pt>
                <c:pt idx="1616">
                  <c:v>-2960944.64672</c:v>
                </c:pt>
                <c:pt idx="1617">
                  <c:v>-2959887.017235</c:v>
                </c:pt>
                <c:pt idx="1618">
                  <c:v>-2958829.6396399993</c:v>
                </c:pt>
                <c:pt idx="1619">
                  <c:v>-2957772.5139050004</c:v>
                </c:pt>
                <c:pt idx="1620">
                  <c:v>-2956715.6399999997</c:v>
                </c:pt>
                <c:pt idx="1621">
                  <c:v>-2955659.017895001</c:v>
                </c:pt>
                <c:pt idx="1622">
                  <c:v>-2954602.64756</c:v>
                </c:pt>
                <c:pt idx="1623">
                  <c:v>-2953546.5289649996</c:v>
                </c:pt>
                <c:pt idx="1624">
                  <c:v>-2952490.66208</c:v>
                </c:pt>
                <c:pt idx="1625">
                  <c:v>-2951435.046875</c:v>
                </c:pt>
                <c:pt idx="1626">
                  <c:v>-2950379.68332</c:v>
                </c:pt>
                <c:pt idx="1627">
                  <c:v>-2949324.5713850004</c:v>
                </c:pt>
                <c:pt idx="1628">
                  <c:v>-2948269.71104</c:v>
                </c:pt>
                <c:pt idx="1629">
                  <c:v>-2947215.102254999</c:v>
                </c:pt>
                <c:pt idx="1630">
                  <c:v>-2946160.745</c:v>
                </c:pt>
                <c:pt idx="1631">
                  <c:v>-2945106.6392449993</c:v>
                </c:pt>
                <c:pt idx="1632">
                  <c:v>-2944052.784960001</c:v>
                </c:pt>
                <c:pt idx="1633">
                  <c:v>-2942999.1821149997</c:v>
                </c:pt>
                <c:pt idx="1634">
                  <c:v>-2941945.83068</c:v>
                </c:pt>
                <c:pt idx="1635">
                  <c:v>-2940892.730625001</c:v>
                </c:pt>
                <c:pt idx="1636">
                  <c:v>-2939839.88192</c:v>
                </c:pt>
                <c:pt idx="1637">
                  <c:v>-2938787.284534999</c:v>
                </c:pt>
                <c:pt idx="1638">
                  <c:v>-2937734.9384400006</c:v>
                </c:pt>
                <c:pt idx="1639">
                  <c:v>-2936682.8436050005</c:v>
                </c:pt>
                <c:pt idx="1640">
                  <c:v>-2935630.999999999</c:v>
                </c:pt>
                <c:pt idx="1641">
                  <c:v>-2934579.407595</c:v>
                </c:pt>
                <c:pt idx="1642">
                  <c:v>-2933528.0663599996</c:v>
                </c:pt>
                <c:pt idx="1643">
                  <c:v>-2932476.9762649992</c:v>
                </c:pt>
                <c:pt idx="1644">
                  <c:v>-2931426.13728</c:v>
                </c:pt>
                <c:pt idx="1645">
                  <c:v>-2930375.5493749995</c:v>
                </c:pt>
                <c:pt idx="1646">
                  <c:v>-2929325.212520001</c:v>
                </c:pt>
                <c:pt idx="1647">
                  <c:v>-2928275.1266850005</c:v>
                </c:pt>
                <c:pt idx="1648">
                  <c:v>-2927225.2918399996</c:v>
                </c:pt>
                <c:pt idx="1649">
                  <c:v>-2926175.7079550005</c:v>
                </c:pt>
                <c:pt idx="1650">
                  <c:v>-2925126.375</c:v>
                </c:pt>
                <c:pt idx="1651">
                  <c:v>-2924077.292945</c:v>
                </c:pt>
                <c:pt idx="1652">
                  <c:v>-2923028.4617600003</c:v>
                </c:pt>
                <c:pt idx="1653">
                  <c:v>-2921979.881415</c:v>
                </c:pt>
                <c:pt idx="1654">
                  <c:v>-2920931.551879999</c:v>
                </c:pt>
                <c:pt idx="1655">
                  <c:v>-2919883.4731250005</c:v>
                </c:pt>
                <c:pt idx="1656">
                  <c:v>-2918835.6451199995</c:v>
                </c:pt>
                <c:pt idx="1657">
                  <c:v>-2917788.067835001</c:v>
                </c:pt>
                <c:pt idx="1658">
                  <c:v>-2916740.7412399994</c:v>
                </c:pt>
                <c:pt idx="1659">
                  <c:v>-2915693.665305</c:v>
                </c:pt>
                <c:pt idx="1660">
                  <c:v>-2914646.840000001</c:v>
                </c:pt>
                <c:pt idx="1661">
                  <c:v>-2913600.265295</c:v>
                </c:pt>
                <c:pt idx="1662">
                  <c:v>-2912553.94116</c:v>
                </c:pt>
                <c:pt idx="1663">
                  <c:v>-2911507.8675650004</c:v>
                </c:pt>
                <c:pt idx="1664">
                  <c:v>-2910462.04448</c:v>
                </c:pt>
                <c:pt idx="1665">
                  <c:v>-2909416.471874999</c:v>
                </c:pt>
                <c:pt idx="1666">
                  <c:v>-2908371.1497200006</c:v>
                </c:pt>
                <c:pt idx="1667">
                  <c:v>-2907326.0779849994</c:v>
                </c:pt>
                <c:pt idx="1668">
                  <c:v>-2906281.2566399993</c:v>
                </c:pt>
                <c:pt idx="1669">
                  <c:v>-2905236.685655</c:v>
                </c:pt>
                <c:pt idx="1670">
                  <c:v>-2904192.3649999993</c:v>
                </c:pt>
                <c:pt idx="1671">
                  <c:v>-2903148.2946450007</c:v>
                </c:pt>
                <c:pt idx="1672">
                  <c:v>-2902104.4745599995</c:v>
                </c:pt>
                <c:pt idx="1673">
                  <c:v>-2901060.904715</c:v>
                </c:pt>
                <c:pt idx="1674">
                  <c:v>-2900017.5850800006</c:v>
                </c:pt>
                <c:pt idx="1675">
                  <c:v>-2898974.515625</c:v>
                </c:pt>
                <c:pt idx="1676">
                  <c:v>-2897931.69632</c:v>
                </c:pt>
                <c:pt idx="1677">
                  <c:v>-2896889.127135</c:v>
                </c:pt>
                <c:pt idx="1678">
                  <c:v>-2895846.80804</c:v>
                </c:pt>
                <c:pt idx="1679">
                  <c:v>-2894804.7390049994</c:v>
                </c:pt>
                <c:pt idx="1680">
                  <c:v>-2893762.92</c:v>
                </c:pt>
                <c:pt idx="1681">
                  <c:v>-2892721.3509949995</c:v>
                </c:pt>
                <c:pt idx="1682">
                  <c:v>-2891680.0319600007</c:v>
                </c:pt>
                <c:pt idx="1683">
                  <c:v>-2890638.9628649997</c:v>
                </c:pt>
                <c:pt idx="1684">
                  <c:v>-2889598.1436799997</c:v>
                </c:pt>
                <c:pt idx="1685">
                  <c:v>-2888557.5743750012</c:v>
                </c:pt>
                <c:pt idx="1686">
                  <c:v>-2887517.2549199997</c:v>
                </c:pt>
                <c:pt idx="1687">
                  <c:v>-2886477.185284999</c:v>
                </c:pt>
                <c:pt idx="1688">
                  <c:v>-2885437.3654400003</c:v>
                </c:pt>
                <c:pt idx="1689">
                  <c:v>-2884397.795355</c:v>
                </c:pt>
                <c:pt idx="1690">
                  <c:v>-2883358.474999999</c:v>
                </c:pt>
                <c:pt idx="1691">
                  <c:v>-2882319.404345</c:v>
                </c:pt>
                <c:pt idx="1692">
                  <c:v>-2881280.58336</c:v>
                </c:pt>
                <c:pt idx="1693">
                  <c:v>-2880242.0120149995</c:v>
                </c:pt>
                <c:pt idx="1694">
                  <c:v>-2879203.69028</c:v>
                </c:pt>
                <c:pt idx="1695">
                  <c:v>-2878165.6181249996</c:v>
                </c:pt>
                <c:pt idx="1696">
                  <c:v>-2877127.7955200006</c:v>
                </c:pt>
                <c:pt idx="1697">
                  <c:v>-2876090.222435</c:v>
                </c:pt>
                <c:pt idx="1698">
                  <c:v>-2875052.8988399995</c:v>
                </c:pt>
                <c:pt idx="1699">
                  <c:v>-2874015.8247050005</c:v>
                </c:pt>
                <c:pt idx="1700">
                  <c:v>-2872979.0</c:v>
                </c:pt>
                <c:pt idx="1701">
                  <c:v>-2871942.4246949996</c:v>
                </c:pt>
                <c:pt idx="1702">
                  <c:v>-2870906.09876</c:v>
                </c:pt>
                <c:pt idx="1703">
                  <c:v>-2869870.022165</c:v>
                </c:pt>
                <c:pt idx="1704">
                  <c:v>-2868834.1948799994</c:v>
                </c:pt>
                <c:pt idx="1705">
                  <c:v>-2867798.6168750003</c:v>
                </c:pt>
                <c:pt idx="1706">
                  <c:v>-2866763.288119999</c:v>
                </c:pt>
                <c:pt idx="1707">
                  <c:v>-2865728.2085850006</c:v>
                </c:pt>
                <c:pt idx="1708">
                  <c:v>-2864693.3782399995</c:v>
                </c:pt>
                <c:pt idx="1709">
                  <c:v>-2863658.7970549995</c:v>
                </c:pt>
                <c:pt idx="1710">
                  <c:v>-2862624.4650000003</c:v>
                </c:pt>
                <c:pt idx="1711">
                  <c:v>-2861590.3820449994</c:v>
                </c:pt>
                <c:pt idx="1712">
                  <c:v>-2860556.54816</c:v>
                </c:pt>
                <c:pt idx="1713">
                  <c:v>-2859522.9633150008</c:v>
                </c:pt>
                <c:pt idx="1714">
                  <c:v>-2858489.62748</c:v>
                </c:pt>
                <c:pt idx="1715">
                  <c:v>-2857456.5406249994</c:v>
                </c:pt>
                <c:pt idx="1716">
                  <c:v>-2856423.7027200004</c:v>
                </c:pt>
                <c:pt idx="1717">
                  <c:v>-2855391.1137350006</c:v>
                </c:pt>
                <c:pt idx="1718">
                  <c:v>-2854358.7736399993</c:v>
                </c:pt>
                <c:pt idx="1719">
                  <c:v>-2853326.6824050006</c:v>
                </c:pt>
                <c:pt idx="1720">
                  <c:v>-2852294.84</c:v>
                </c:pt>
                <c:pt idx="1721">
                  <c:v>-2851263.2463950007</c:v>
                </c:pt>
                <c:pt idx="1722">
                  <c:v>-2850231.90156</c:v>
                </c:pt>
                <c:pt idx="1723">
                  <c:v>-2849200.8054649998</c:v>
                </c:pt>
                <c:pt idx="1724">
                  <c:v>-2848169.9580800007</c:v>
                </c:pt>
                <c:pt idx="1725">
                  <c:v>-2847139.359375</c:v>
                </c:pt>
                <c:pt idx="1726">
                  <c:v>-2846109.0093199997</c:v>
                </c:pt>
                <c:pt idx="1727">
                  <c:v>-2845078.907885</c:v>
                </c:pt>
                <c:pt idx="1728">
                  <c:v>-2844049.05504</c:v>
                </c:pt>
                <c:pt idx="1729">
                  <c:v>-2843019.450754999</c:v>
                </c:pt>
                <c:pt idx="1730">
                  <c:v>-2841990.095</c:v>
                </c:pt>
                <c:pt idx="1731">
                  <c:v>-2840960.9877449996</c:v>
                </c:pt>
                <c:pt idx="1732">
                  <c:v>-2839932.128960001</c:v>
                </c:pt>
                <c:pt idx="1733">
                  <c:v>-2838903.518615</c:v>
                </c:pt>
                <c:pt idx="1734">
                  <c:v>-2837875.156679999</c:v>
                </c:pt>
                <c:pt idx="1735">
                  <c:v>-2836847.0431250003</c:v>
                </c:pt>
                <c:pt idx="1736">
                  <c:v>-2835819.17792</c:v>
                </c:pt>
                <c:pt idx="1737">
                  <c:v>-2834791.5610349993</c:v>
                </c:pt>
                <c:pt idx="1738">
                  <c:v>-2833764.192440001</c:v>
                </c:pt>
                <c:pt idx="1739">
                  <c:v>-2832737.0721050003</c:v>
                </c:pt>
                <c:pt idx="1740">
                  <c:v>-2831710.1999999993</c:v>
                </c:pt>
                <c:pt idx="1741">
                  <c:v>-2830683.5760950004</c:v>
                </c:pt>
                <c:pt idx="1742">
                  <c:v>-2829657.20036</c:v>
                </c:pt>
                <c:pt idx="1743">
                  <c:v>-2828631.0727649997</c:v>
                </c:pt>
                <c:pt idx="1744">
                  <c:v>-2827605.1932800007</c:v>
                </c:pt>
                <c:pt idx="1745">
                  <c:v>-2826579.561874999</c:v>
                </c:pt>
                <c:pt idx="1746">
                  <c:v>-2825554.1785200005</c:v>
                </c:pt>
                <c:pt idx="1747">
                  <c:v>-2824529.0431850003</c:v>
                </c:pt>
                <c:pt idx="1748">
                  <c:v>-2823504.1558399997</c:v>
                </c:pt>
                <c:pt idx="1749">
                  <c:v>-2822479.5164550003</c:v>
                </c:pt>
                <c:pt idx="1750">
                  <c:v>-2821455.125</c:v>
                </c:pt>
                <c:pt idx="1751">
                  <c:v>-2820430.981444999</c:v>
                </c:pt>
                <c:pt idx="1752">
                  <c:v>-2819407.0857600006</c:v>
                </c:pt>
                <c:pt idx="1753">
                  <c:v>-2818383.4379149997</c:v>
                </c:pt>
                <c:pt idx="1754">
                  <c:v>-2817360.0378799997</c:v>
                </c:pt>
                <c:pt idx="1755">
                  <c:v>-2816336.885625</c:v>
                </c:pt>
                <c:pt idx="1756">
                  <c:v>-2815313.9811199997</c:v>
                </c:pt>
                <c:pt idx="1757">
                  <c:v>-2814291.324335001</c:v>
                </c:pt>
                <c:pt idx="1758">
                  <c:v>-2813268.91524</c:v>
                </c:pt>
                <c:pt idx="1759">
                  <c:v>-2812246.7538049994</c:v>
                </c:pt>
                <c:pt idx="1760">
                  <c:v>-2811224.8400000012</c:v>
                </c:pt>
                <c:pt idx="1761">
                  <c:v>-2810203.173795</c:v>
                </c:pt>
                <c:pt idx="1762">
                  <c:v>-2809181.7551599997</c:v>
                </c:pt>
                <c:pt idx="1763">
                  <c:v>-2808160.584065</c:v>
                </c:pt>
                <c:pt idx="1764">
                  <c:v>-2807139.6604799996</c:v>
                </c:pt>
                <c:pt idx="1765">
                  <c:v>-2806118.984374999</c:v>
                </c:pt>
                <c:pt idx="1766">
                  <c:v>-2805098.55572</c:v>
                </c:pt>
                <c:pt idx="1767">
                  <c:v>-2804078.374485</c:v>
                </c:pt>
                <c:pt idx="1768">
                  <c:v>-2803058.440639999</c:v>
                </c:pt>
                <c:pt idx="1769">
                  <c:v>-2802038.7541550007</c:v>
                </c:pt>
                <c:pt idx="1770">
                  <c:v>-2801019.315</c:v>
                </c:pt>
                <c:pt idx="1771">
                  <c:v>-2800000.1231450005</c:v>
                </c:pt>
                <c:pt idx="1772">
                  <c:v>-2798981.17856</c:v>
                </c:pt>
                <c:pt idx="1773">
                  <c:v>-2797962.481215</c:v>
                </c:pt>
                <c:pt idx="1774">
                  <c:v>-2796944.0310800006</c:v>
                </c:pt>
                <c:pt idx="1775">
                  <c:v>-2795925.828125</c:v>
                </c:pt>
                <c:pt idx="1776">
                  <c:v>-2794907.8723199996</c:v>
                </c:pt>
                <c:pt idx="1777">
                  <c:v>-2793890.1636350006</c:v>
                </c:pt>
                <c:pt idx="1778">
                  <c:v>-2792872.7020400004</c:v>
                </c:pt>
                <c:pt idx="1779">
                  <c:v>-2791855.487504999</c:v>
                </c:pt>
                <c:pt idx="1780">
                  <c:v>-2790838.5200000005</c:v>
                </c:pt>
                <c:pt idx="1781">
                  <c:v>-2789821.7994949995</c:v>
                </c:pt>
                <c:pt idx="1782">
                  <c:v>-2788805.3259600005</c:v>
                </c:pt>
                <c:pt idx="1783">
                  <c:v>-2787789.0993649997</c:v>
                </c:pt>
                <c:pt idx="1784">
                  <c:v>-2786773.11968</c:v>
                </c:pt>
                <c:pt idx="1785">
                  <c:v>-2785757.3868750012</c:v>
                </c:pt>
                <c:pt idx="1786">
                  <c:v>-2784741.90092</c:v>
                </c:pt>
                <c:pt idx="1787">
                  <c:v>-2783726.6617849995</c:v>
                </c:pt>
                <c:pt idx="1788">
                  <c:v>-2782711.66944</c:v>
                </c:pt>
                <c:pt idx="1789">
                  <c:v>-2781696.923855</c:v>
                </c:pt>
                <c:pt idx="1790">
                  <c:v>-2780682.424999999</c:v>
                </c:pt>
                <c:pt idx="1791">
                  <c:v>-2779668.1728450004</c:v>
                </c:pt>
                <c:pt idx="1792">
                  <c:v>-2778654.1673600003</c:v>
                </c:pt>
                <c:pt idx="1793">
                  <c:v>-2777640.4085149993</c:v>
                </c:pt>
                <c:pt idx="1794">
                  <c:v>-2776626.89628</c:v>
                </c:pt>
                <c:pt idx="1795">
                  <c:v>-2775613.6306249998</c:v>
                </c:pt>
                <c:pt idx="1796">
                  <c:v>-2774600.6115200003</c:v>
                </c:pt>
                <c:pt idx="1797">
                  <c:v>-2773587.8389350004</c:v>
                </c:pt>
                <c:pt idx="1798">
                  <c:v>-2772575.31284</c:v>
                </c:pt>
                <c:pt idx="1799">
                  <c:v>-2771563.033205</c:v>
                </c:pt>
                <c:pt idx="1800">
                  <c:v>-2770551.0</c:v>
                </c:pt>
                <c:pt idx="1801">
                  <c:v>-2769539.213195</c:v>
                </c:pt>
                <c:pt idx="1802">
                  <c:v>-2768527.6727600005</c:v>
                </c:pt>
                <c:pt idx="1803">
                  <c:v>-2767516.378665</c:v>
                </c:pt>
                <c:pt idx="1804">
                  <c:v>-2766505.3308799993</c:v>
                </c:pt>
                <c:pt idx="1805">
                  <c:v>-2765494.529375001</c:v>
                </c:pt>
                <c:pt idx="1806">
                  <c:v>-2764483.97412</c:v>
                </c:pt>
                <c:pt idx="1807">
                  <c:v>-2763473.665085001</c:v>
                </c:pt>
                <c:pt idx="1808">
                  <c:v>-2762463.6022400004</c:v>
                </c:pt>
                <c:pt idx="1809">
                  <c:v>-2761453.7855549995</c:v>
                </c:pt>
                <c:pt idx="1810">
                  <c:v>-2760444.215000001</c:v>
                </c:pt>
                <c:pt idx="1811">
                  <c:v>-2759434.890545</c:v>
                </c:pt>
                <c:pt idx="1812">
                  <c:v>-2758425.8121599997</c:v>
                </c:pt>
                <c:pt idx="1813">
                  <c:v>-2757416.9798150007</c:v>
                </c:pt>
                <c:pt idx="1814">
                  <c:v>-2756408.39348</c:v>
                </c:pt>
                <c:pt idx="1815">
                  <c:v>-2755400.0531249996</c:v>
                </c:pt>
                <c:pt idx="1816">
                  <c:v>-2754391.9587200005</c:v>
                </c:pt>
                <c:pt idx="1817">
                  <c:v>-2753384.1102349996</c:v>
                </c:pt>
                <c:pt idx="1818">
                  <c:v>-2752376.507639999</c:v>
                </c:pt>
                <c:pt idx="1819">
                  <c:v>-2751369.1509050005</c:v>
                </c:pt>
                <c:pt idx="1820">
                  <c:v>-2750362.0399999996</c:v>
                </c:pt>
                <c:pt idx="1821">
                  <c:v>-2749355.174895001</c:v>
                </c:pt>
                <c:pt idx="1822">
                  <c:v>-2748348.55556</c:v>
                </c:pt>
                <c:pt idx="1823">
                  <c:v>-2747342.1819649995</c:v>
                </c:pt>
                <c:pt idx="1824">
                  <c:v>-2746336.0540800006</c:v>
                </c:pt>
                <c:pt idx="1825">
                  <c:v>-2745330.171875</c:v>
                </c:pt>
                <c:pt idx="1826">
                  <c:v>-2744324.5353200003</c:v>
                </c:pt>
                <c:pt idx="1827">
                  <c:v>-2743319.1443850007</c:v>
                </c:pt>
                <c:pt idx="1828">
                  <c:v>-2742313.99904</c:v>
                </c:pt>
                <c:pt idx="1829">
                  <c:v>-2741309.0992549993</c:v>
                </c:pt>
                <c:pt idx="1830">
                  <c:v>-2740304.4450000003</c:v>
                </c:pt>
                <c:pt idx="1831">
                  <c:v>-2739300.0362449996</c:v>
                </c:pt>
                <c:pt idx="1832">
                  <c:v>-2738295.8729600008</c:v>
                </c:pt>
                <c:pt idx="1833">
                  <c:v>-2737291.9551150003</c:v>
                </c:pt>
                <c:pt idx="1834">
                  <c:v>-2736288.2826799997</c:v>
                </c:pt>
                <c:pt idx="1835">
                  <c:v>-2735284.855625001</c:v>
                </c:pt>
                <c:pt idx="1836">
                  <c:v>-2734281.67392</c:v>
                </c:pt>
                <c:pt idx="1837">
                  <c:v>-2733278.737535</c:v>
                </c:pt>
                <c:pt idx="1838">
                  <c:v>-2732276.0464400006</c:v>
                </c:pt>
                <c:pt idx="1839">
                  <c:v>-2731273.6006050007</c:v>
                </c:pt>
                <c:pt idx="1840">
                  <c:v>-2730271.3999999994</c:v>
                </c:pt>
                <c:pt idx="1841">
                  <c:v>-2729269.4445950002</c:v>
                </c:pt>
                <c:pt idx="1842">
                  <c:v>-2728267.7343600006</c:v>
                </c:pt>
                <c:pt idx="1843">
                  <c:v>-2727266.2692649993</c:v>
                </c:pt>
                <c:pt idx="1844">
                  <c:v>-2726265.04928</c:v>
                </c:pt>
                <c:pt idx="1845">
                  <c:v>-2725264.0743749994</c:v>
                </c:pt>
                <c:pt idx="1846">
                  <c:v>-2724263.344520001</c:v>
                </c:pt>
                <c:pt idx="1847">
                  <c:v>-2723262.8596849996</c:v>
                </c:pt>
                <c:pt idx="1848">
                  <c:v>-2722262.61984</c:v>
                </c:pt>
                <c:pt idx="1849">
                  <c:v>-2721262.6249550004</c:v>
                </c:pt>
                <c:pt idx="1850">
                  <c:v>-2720262.875</c:v>
                </c:pt>
                <c:pt idx="1851">
                  <c:v>-2719263.369945</c:v>
                </c:pt>
                <c:pt idx="1852">
                  <c:v>-2718264.109760001</c:v>
                </c:pt>
                <c:pt idx="1853">
                  <c:v>-2717265.0944149997</c:v>
                </c:pt>
                <c:pt idx="1854">
                  <c:v>-2716266.323879999</c:v>
                </c:pt>
                <c:pt idx="1855">
                  <c:v>-2715267.798125</c:v>
                </c:pt>
                <c:pt idx="1856">
                  <c:v>-2714269.517119999</c:v>
                </c:pt>
                <c:pt idx="1857">
                  <c:v>-2713271.4808350005</c:v>
                </c:pt>
                <c:pt idx="1858">
                  <c:v>-2712273.6892399997</c:v>
                </c:pt>
                <c:pt idx="1859">
                  <c:v>-2711276.1423049998</c:v>
                </c:pt>
                <c:pt idx="1860">
                  <c:v>-2710278.840000001</c:v>
                </c:pt>
                <c:pt idx="1861">
                  <c:v>-2709281.7822950003</c:v>
                </c:pt>
                <c:pt idx="1862">
                  <c:v>-2708284.9691599994</c:v>
                </c:pt>
                <c:pt idx="1863">
                  <c:v>-2707288.4005650003</c:v>
                </c:pt>
                <c:pt idx="1864">
                  <c:v>-2706292.07648</c:v>
                </c:pt>
                <c:pt idx="1865">
                  <c:v>-2705295.9968749997</c:v>
                </c:pt>
                <c:pt idx="1866">
                  <c:v>-2704300.16172</c:v>
                </c:pt>
                <c:pt idx="1867">
                  <c:v>-2703304.570985</c:v>
                </c:pt>
                <c:pt idx="1868">
                  <c:v>-2702309.2246399997</c:v>
                </c:pt>
                <c:pt idx="1869">
                  <c:v>-2701314.1226550005</c:v>
                </c:pt>
                <c:pt idx="1870">
                  <c:v>-2700319.264999999</c:v>
                </c:pt>
                <c:pt idx="1871">
                  <c:v>-2699324.651645001</c:v>
                </c:pt>
                <c:pt idx="1872">
                  <c:v>-2698330.2825600007</c:v>
                </c:pt>
                <c:pt idx="1873">
                  <c:v>-2697336.157715</c:v>
                </c:pt>
                <c:pt idx="1874">
                  <c:v>-2696342.2770800004</c:v>
                </c:pt>
                <c:pt idx="1875">
                  <c:v>-2695348.640625</c:v>
                </c:pt>
                <c:pt idx="1876">
                  <c:v>-2694355.24832</c:v>
                </c:pt>
                <c:pt idx="1877">
                  <c:v>-2693362.1001350004</c:v>
                </c:pt>
                <c:pt idx="1878">
                  <c:v>-2692369.1960400003</c:v>
                </c:pt>
                <c:pt idx="1879">
                  <c:v>-2691376.5360049997</c:v>
                </c:pt>
                <c:pt idx="1880">
                  <c:v>-2690384.1200000006</c:v>
                </c:pt>
                <c:pt idx="1881">
                  <c:v>-2689391.947994999</c:v>
                </c:pt>
                <c:pt idx="1882">
                  <c:v>-2688400.019960001</c:v>
                </c:pt>
                <c:pt idx="1883">
                  <c:v>-2687408.335865</c:v>
                </c:pt>
                <c:pt idx="1884">
                  <c:v>-2686416.8956799996</c:v>
                </c:pt>
                <c:pt idx="1885">
                  <c:v>-2685425.6993750003</c:v>
                </c:pt>
                <c:pt idx="1886">
                  <c:v>-2684434.74692</c:v>
                </c:pt>
                <c:pt idx="1887">
                  <c:v>-2683444.0382849993</c:v>
                </c:pt>
                <c:pt idx="1888">
                  <c:v>-2682453.57344</c:v>
                </c:pt>
                <c:pt idx="1889">
                  <c:v>-2681463.352355</c:v>
                </c:pt>
                <c:pt idx="1890">
                  <c:v>-2680473.374999999</c:v>
                </c:pt>
                <c:pt idx="1891">
                  <c:v>-2679483.641345001</c:v>
                </c:pt>
                <c:pt idx="1892">
                  <c:v>-2678494.1513600005</c:v>
                </c:pt>
                <c:pt idx="1893">
                  <c:v>-2677504.905014999</c:v>
                </c:pt>
                <c:pt idx="1894">
                  <c:v>-2676515.90228</c:v>
                </c:pt>
                <c:pt idx="1895">
                  <c:v>-2675527.143125</c:v>
                </c:pt>
                <c:pt idx="1896">
                  <c:v>-2674538.627520001</c:v>
                </c:pt>
                <c:pt idx="1897">
                  <c:v>-2673550.3554350003</c:v>
                </c:pt>
                <c:pt idx="1898">
                  <c:v>-2672562.3268399998</c:v>
                </c:pt>
                <c:pt idx="1899">
                  <c:v>-2671574.541705</c:v>
                </c:pt>
                <c:pt idx="1900">
                  <c:v>-2670587.0</c:v>
                </c:pt>
                <c:pt idx="1901">
                  <c:v>-2669599.7016949994</c:v>
                </c:pt>
                <c:pt idx="1902">
                  <c:v>-2668612.6467600004</c:v>
                </c:pt>
                <c:pt idx="1903">
                  <c:v>-2667625.835165</c:v>
                </c:pt>
                <c:pt idx="1904">
                  <c:v>-2666639.2668799995</c:v>
                </c:pt>
                <c:pt idx="1905">
                  <c:v>-2665652.9418750005</c:v>
                </c:pt>
                <c:pt idx="1906">
                  <c:v>-2664666.86012</c:v>
                </c:pt>
                <c:pt idx="1907">
                  <c:v>-2663681.0215850007</c:v>
                </c:pt>
                <c:pt idx="1908">
                  <c:v>-2662695.42624</c:v>
                </c:pt>
                <c:pt idx="1909">
                  <c:v>-2661710.0740549993</c:v>
                </c:pt>
                <c:pt idx="1910">
                  <c:v>-2660724.965000001</c:v>
                </c:pt>
                <c:pt idx="1911">
                  <c:v>-2659740.099045</c:v>
                </c:pt>
                <c:pt idx="1912">
                  <c:v>-2658755.4761599996</c:v>
                </c:pt>
                <c:pt idx="1913">
                  <c:v>-2657771.0963150007</c:v>
                </c:pt>
                <c:pt idx="1914">
                  <c:v>-2656786.95948</c:v>
                </c:pt>
                <c:pt idx="1915">
                  <c:v>-2655803.065624999</c:v>
                </c:pt>
                <c:pt idx="1916">
                  <c:v>-2654819.4147200002</c:v>
                </c:pt>
                <c:pt idx="1917">
                  <c:v>-2653836.006735</c:v>
                </c:pt>
                <c:pt idx="1918">
                  <c:v>-2652852.8416399998</c:v>
                </c:pt>
                <c:pt idx="1919">
                  <c:v>-2651869.9194050007</c:v>
                </c:pt>
                <c:pt idx="1920">
                  <c:v>-2650887.2399999993</c:v>
                </c:pt>
                <c:pt idx="1921">
                  <c:v>-2649904.8033950003</c:v>
                </c:pt>
                <c:pt idx="1922">
                  <c:v>-2648922.60956</c:v>
                </c:pt>
                <c:pt idx="1923">
                  <c:v>-2647940.658465</c:v>
                </c:pt>
                <c:pt idx="1924">
                  <c:v>-2646958.9500800003</c:v>
                </c:pt>
                <c:pt idx="1925">
                  <c:v>-2645977.484375</c:v>
                </c:pt>
                <c:pt idx="1926">
                  <c:v>-2644996.2613199996</c:v>
                </c:pt>
                <c:pt idx="1927">
                  <c:v>-2644015.2808850002</c:v>
                </c:pt>
                <c:pt idx="1928">
                  <c:v>-2643034.54304</c:v>
                </c:pt>
                <c:pt idx="1929">
                  <c:v>-2642054.0477549993</c:v>
                </c:pt>
                <c:pt idx="1930">
                  <c:v>-2641073.7950000004</c:v>
                </c:pt>
                <c:pt idx="1931">
                  <c:v>-2640093.784745</c:v>
                </c:pt>
                <c:pt idx="1932">
                  <c:v>-2639114.0169600006</c:v>
                </c:pt>
                <c:pt idx="1933">
                  <c:v>-2638134.491615</c:v>
                </c:pt>
                <c:pt idx="1934">
                  <c:v>-2637155.2086799997</c:v>
                </c:pt>
                <c:pt idx="1935">
                  <c:v>-2636176.168125001</c:v>
                </c:pt>
                <c:pt idx="1936">
                  <c:v>-2635197.36992</c:v>
                </c:pt>
                <c:pt idx="1937">
                  <c:v>-2634218.814035</c:v>
                </c:pt>
                <c:pt idx="1938">
                  <c:v>-2633240.5004400006</c:v>
                </c:pt>
                <c:pt idx="1939">
                  <c:v>-2632262.4291049996</c:v>
                </c:pt>
                <c:pt idx="1940">
                  <c:v>-2631284.599999999</c:v>
                </c:pt>
                <c:pt idx="1941">
                  <c:v>-2630307.0130950003</c:v>
                </c:pt>
                <c:pt idx="1942">
                  <c:v>-2629329.66836</c:v>
                </c:pt>
                <c:pt idx="1943">
                  <c:v>-2628352.5657649995</c:v>
                </c:pt>
                <c:pt idx="1944">
                  <c:v>-2627375.705280001</c:v>
                </c:pt>
                <c:pt idx="1945">
                  <c:v>-2626399.0868749996</c:v>
                </c:pt>
                <c:pt idx="1946">
                  <c:v>-2625422.7105200007</c:v>
                </c:pt>
                <c:pt idx="1947">
                  <c:v>-2624446.5761849997</c:v>
                </c:pt>
                <c:pt idx="1948">
                  <c:v>-2623470.6838399996</c:v>
                </c:pt>
                <c:pt idx="1949">
                  <c:v>-2622495.0334550003</c:v>
                </c:pt>
                <c:pt idx="1950">
                  <c:v>-2621519.625</c:v>
                </c:pt>
                <c:pt idx="1951">
                  <c:v>-2620544.4584449995</c:v>
                </c:pt>
                <c:pt idx="1952">
                  <c:v>-2619569.5337600005</c:v>
                </c:pt>
                <c:pt idx="1953">
                  <c:v>-2618594.8509150003</c:v>
                </c:pt>
                <c:pt idx="1954">
                  <c:v>-2617620.4098799992</c:v>
                </c:pt>
                <c:pt idx="1955">
                  <c:v>-2616646.2106250003</c:v>
                </c:pt>
                <c:pt idx="1956">
                  <c:v>-2615672.2531199995</c:v>
                </c:pt>
                <c:pt idx="1957">
                  <c:v>-2614698.537335001</c:v>
                </c:pt>
                <c:pt idx="1958">
                  <c:v>-2613725.0632399996</c:v>
                </c:pt>
                <c:pt idx="1959">
                  <c:v>-2612751.8308049995</c:v>
                </c:pt>
                <c:pt idx="1960">
                  <c:v>-2611778.8400000003</c:v>
                </c:pt>
                <c:pt idx="1961">
                  <c:v>-2610806.090795</c:v>
                </c:pt>
                <c:pt idx="1962">
                  <c:v>-2609833.5831599995</c:v>
                </c:pt>
                <c:pt idx="1963">
                  <c:v>-2608861.3170650005</c:v>
                </c:pt>
                <c:pt idx="1964">
                  <c:v>-2607889.29248</c:v>
                </c:pt>
                <c:pt idx="1965">
                  <c:v>-2606917.5093749994</c:v>
                </c:pt>
                <c:pt idx="1966">
                  <c:v>-2605945.9677200005</c:v>
                </c:pt>
                <c:pt idx="1967">
                  <c:v>-2604974.6674849996</c:v>
                </c:pt>
                <c:pt idx="1968">
                  <c:v>-2604003.6086399993</c:v>
                </c:pt>
                <c:pt idx="1969">
                  <c:v>-2603032.791155</c:v>
                </c:pt>
                <c:pt idx="1970">
                  <c:v>-2602062.215</c:v>
                </c:pt>
                <c:pt idx="1971">
                  <c:v>-2601091.8801450008</c:v>
                </c:pt>
                <c:pt idx="1972">
                  <c:v>-2600121.78656</c:v>
                </c:pt>
                <c:pt idx="1973">
                  <c:v>-2599151.9342149994</c:v>
                </c:pt>
                <c:pt idx="1974">
                  <c:v>-2598182.3230800005</c:v>
                </c:pt>
                <c:pt idx="1975">
                  <c:v>-2597212.953125</c:v>
                </c:pt>
                <c:pt idx="1976">
                  <c:v>-2596243.82432</c:v>
                </c:pt>
                <c:pt idx="1977">
                  <c:v>-2595274.9366350006</c:v>
                </c:pt>
                <c:pt idx="1978">
                  <c:v>-2594306.29004</c:v>
                </c:pt>
                <c:pt idx="1979">
                  <c:v>-2593337.884504999</c:v>
                </c:pt>
                <c:pt idx="1980">
                  <c:v>-2592369.7200000007</c:v>
                </c:pt>
                <c:pt idx="1981">
                  <c:v>-2591401.7964949994</c:v>
                </c:pt>
                <c:pt idx="1982">
                  <c:v>-2590434.1139600007</c:v>
                </c:pt>
                <c:pt idx="1983">
                  <c:v>-2589466.672365</c:v>
                </c:pt>
                <c:pt idx="1984">
                  <c:v>-2588499.4716799995</c:v>
                </c:pt>
                <c:pt idx="1985">
                  <c:v>-2587532.511875001</c:v>
                </c:pt>
                <c:pt idx="1986">
                  <c:v>-2586565.79292</c:v>
                </c:pt>
                <c:pt idx="1987">
                  <c:v>-2585599.3147849995</c:v>
                </c:pt>
                <c:pt idx="1988">
                  <c:v>-2584633.07744</c:v>
                </c:pt>
                <c:pt idx="1989">
                  <c:v>-2583667.080855</c:v>
                </c:pt>
                <c:pt idx="1990">
                  <c:v>-2582701.3249999993</c:v>
                </c:pt>
                <c:pt idx="1991">
                  <c:v>-2581735.809845</c:v>
                </c:pt>
                <c:pt idx="1992">
                  <c:v>-2580770.5353599996</c:v>
                </c:pt>
                <c:pt idx="1993">
                  <c:v>-2579805.501514999</c:v>
                </c:pt>
                <c:pt idx="1994">
                  <c:v>-2578840.7082800004</c:v>
                </c:pt>
                <c:pt idx="1995">
                  <c:v>-2577876.1556249997</c:v>
                </c:pt>
                <c:pt idx="1996">
                  <c:v>-2576911.8435200006</c:v>
                </c:pt>
                <c:pt idx="1997">
                  <c:v>-2575947.771935</c:v>
                </c:pt>
                <c:pt idx="1998">
                  <c:v>-2574983.9408399994</c:v>
                </c:pt>
                <c:pt idx="1999">
                  <c:v>-2574020.350205</c:v>
                </c:pt>
                <c:pt idx="2000">
                  <c:v>-2573057.0</c:v>
                </c:pt>
                <c:pt idx="2001">
                  <c:v>-2572093.8901949995</c:v>
                </c:pt>
                <c:pt idx="2002">
                  <c:v>-2571131.02076</c:v>
                </c:pt>
                <c:pt idx="2003">
                  <c:v>-2570168.391665</c:v>
                </c:pt>
                <c:pt idx="2004">
                  <c:v>-2569206.002879999</c:v>
                </c:pt>
                <c:pt idx="2005">
                  <c:v>-2568243.8543750006</c:v>
                </c:pt>
                <c:pt idx="2006">
                  <c:v>-2567281.9461199995</c:v>
                </c:pt>
                <c:pt idx="2007">
                  <c:v>-2566320.2780850013</c:v>
                </c:pt>
                <c:pt idx="2008">
                  <c:v>-2565358.85024</c:v>
                </c:pt>
                <c:pt idx="2009">
                  <c:v>-2564397.662555</c:v>
                </c:pt>
                <c:pt idx="2010">
                  <c:v>-2563436.715000001</c:v>
                </c:pt>
                <c:pt idx="2011">
                  <c:v>-2562476.0075450004</c:v>
                </c:pt>
                <c:pt idx="2012">
                  <c:v>-2561515.54016</c:v>
                </c:pt>
                <c:pt idx="2013">
                  <c:v>-2560555.3128150003</c:v>
                </c:pt>
                <c:pt idx="2014">
                  <c:v>-2559595.32548</c:v>
                </c:pt>
                <c:pt idx="2015">
                  <c:v>-2558635.578124999</c:v>
                </c:pt>
                <c:pt idx="2016">
                  <c:v>-2557676.07072</c:v>
                </c:pt>
                <c:pt idx="2017">
                  <c:v>-2556716.803235</c:v>
                </c:pt>
                <c:pt idx="2018">
                  <c:v>-2555757.775639999</c:v>
                </c:pt>
                <c:pt idx="2019">
                  <c:v>-2554798.9879050003</c:v>
                </c:pt>
                <c:pt idx="2020">
                  <c:v>-2553840.44</c:v>
                </c:pt>
                <c:pt idx="2021">
                  <c:v>-2552882.1318950006</c:v>
                </c:pt>
                <c:pt idx="2022">
                  <c:v>-2551924.06356</c:v>
                </c:pt>
                <c:pt idx="2023">
                  <c:v>-2550966.2349649994</c:v>
                </c:pt>
                <c:pt idx="2024">
                  <c:v>-2550008.6460800003</c:v>
                </c:pt>
                <c:pt idx="2025">
                  <c:v>-2549051.296875</c:v>
                </c:pt>
                <c:pt idx="2026">
                  <c:v>-2548094.18732</c:v>
                </c:pt>
                <c:pt idx="2027">
                  <c:v>-2547137.317385</c:v>
                </c:pt>
                <c:pt idx="2028">
                  <c:v>-2546180.6870399998</c:v>
                </c:pt>
                <c:pt idx="2029">
                  <c:v>-2545224.296254999</c:v>
                </c:pt>
                <c:pt idx="2030">
                  <c:v>-2544268.1450000005</c:v>
                </c:pt>
                <c:pt idx="2031">
                  <c:v>-2543312.233245</c:v>
                </c:pt>
                <c:pt idx="2032">
                  <c:v>-2542356.560960001</c:v>
                </c:pt>
                <c:pt idx="2033">
                  <c:v>-2541401.128115</c:v>
                </c:pt>
                <c:pt idx="2034">
                  <c:v>-2540445.9346799995</c:v>
                </c:pt>
                <c:pt idx="2035">
                  <c:v>-2539490.980625001</c:v>
                </c:pt>
                <c:pt idx="2036">
                  <c:v>-2538536.26592</c:v>
                </c:pt>
                <c:pt idx="2037">
                  <c:v>-2537581.7905349997</c:v>
                </c:pt>
                <c:pt idx="2038">
                  <c:v>-2536627.55444</c:v>
                </c:pt>
                <c:pt idx="2039">
                  <c:v>-2535673.5576049997</c:v>
                </c:pt>
                <c:pt idx="2040">
                  <c:v>-2534719.7999999993</c:v>
                </c:pt>
                <c:pt idx="2041">
                  <c:v>-2533766.281595</c:v>
                </c:pt>
                <c:pt idx="2042">
                  <c:v>-2532813.0023600003</c:v>
                </c:pt>
                <c:pt idx="2043">
                  <c:v>-2531859.9622649993</c:v>
                </c:pt>
                <c:pt idx="2044">
                  <c:v>-2530907.1612800006</c:v>
                </c:pt>
                <c:pt idx="2045">
                  <c:v>-2529954.5993749993</c:v>
                </c:pt>
                <c:pt idx="2046">
                  <c:v>-2529002.2765200003</c:v>
                </c:pt>
                <c:pt idx="2047">
                  <c:v>-2528050.1926849997</c:v>
                </c:pt>
                <c:pt idx="2048">
                  <c:v>-2527098.3478399995</c:v>
                </c:pt>
                <c:pt idx="2049">
                  <c:v>-2526146.741955</c:v>
                </c:pt>
                <c:pt idx="2050">
                  <c:v>-2525195.375</c:v>
                </c:pt>
                <c:pt idx="2051">
                  <c:v>-2524244.246945</c:v>
                </c:pt>
                <c:pt idx="2052">
                  <c:v>-2523293.3577600005</c:v>
                </c:pt>
                <c:pt idx="2053">
                  <c:v>-2522342.707415</c:v>
                </c:pt>
                <c:pt idx="2054">
                  <c:v>-2521392.295879999</c:v>
                </c:pt>
                <c:pt idx="2055">
                  <c:v>-2520442.1231250004</c:v>
                </c:pt>
                <c:pt idx="2056">
                  <c:v>-2519492.1891199993</c:v>
                </c:pt>
                <c:pt idx="2057">
                  <c:v>-2518542.493835001</c:v>
                </c:pt>
                <c:pt idx="2058">
                  <c:v>-2517593.0372400004</c:v>
                </c:pt>
                <c:pt idx="2059">
                  <c:v>-2516643.8193049994</c:v>
                </c:pt>
                <c:pt idx="2060">
                  <c:v>-2515694.8400000012</c:v>
                </c:pt>
                <c:pt idx="2061">
                  <c:v>-2514746.099295</c:v>
                </c:pt>
                <c:pt idx="2062">
                  <c:v>-2513797.5971599994</c:v>
                </c:pt>
                <c:pt idx="2063">
                  <c:v>-2512849.3335650004</c:v>
                </c:pt>
                <c:pt idx="2064">
                  <c:v>-2511901.30848</c:v>
                </c:pt>
                <c:pt idx="2065">
                  <c:v>-2510953.5218749996</c:v>
                </c:pt>
                <c:pt idx="2066">
                  <c:v>-2510005.9737200006</c:v>
                </c:pt>
                <c:pt idx="2067">
                  <c:v>-2509058.663985</c:v>
                </c:pt>
                <c:pt idx="2068">
                  <c:v>-2508111.5926399995</c:v>
                </c:pt>
                <c:pt idx="2069">
                  <c:v>-2507164.7596550006</c:v>
                </c:pt>
                <c:pt idx="2070">
                  <c:v>-2506218.1649999996</c:v>
                </c:pt>
                <c:pt idx="2071">
                  <c:v>-2505271.8086450007</c:v>
                </c:pt>
                <c:pt idx="2072">
                  <c:v>-2504325.69056</c:v>
                </c:pt>
                <c:pt idx="2073">
                  <c:v>-2503379.8107149997</c:v>
                </c:pt>
                <c:pt idx="2074">
                  <c:v>-2502434.1690800004</c:v>
                </c:pt>
                <c:pt idx="2075">
                  <c:v>-2501488.765625</c:v>
                </c:pt>
                <c:pt idx="2076">
                  <c:v>-2500543.6003199997</c:v>
                </c:pt>
                <c:pt idx="2077">
                  <c:v>-2499598.6731350007</c:v>
                </c:pt>
                <c:pt idx="2078">
                  <c:v>-2498653.98404</c:v>
                </c:pt>
                <c:pt idx="2079">
                  <c:v>-2497709.5330049996</c:v>
                </c:pt>
                <c:pt idx="2080">
                  <c:v>-2496765.3200000003</c:v>
                </c:pt>
                <c:pt idx="2081">
                  <c:v>-2495821.3449949995</c:v>
                </c:pt>
                <c:pt idx="2082">
                  <c:v>-2494877.6079600006</c:v>
                </c:pt>
                <c:pt idx="2083">
                  <c:v>-2493934.108865</c:v>
                </c:pt>
                <c:pt idx="2084">
                  <c:v>-2492990.8476799997</c:v>
                </c:pt>
                <c:pt idx="2085">
                  <c:v>-2492047.824375001</c:v>
                </c:pt>
                <c:pt idx="2086">
                  <c:v>-2491105.03892</c:v>
                </c:pt>
                <c:pt idx="2087">
                  <c:v>-2490162.4912849995</c:v>
                </c:pt>
                <c:pt idx="2088">
                  <c:v>-2489220.18144</c:v>
                </c:pt>
                <c:pt idx="2089">
                  <c:v>-2488278.1093550003</c:v>
                </c:pt>
                <c:pt idx="2090">
                  <c:v>-2487336.2749999994</c:v>
                </c:pt>
                <c:pt idx="2091">
                  <c:v>-2486394.6783450004</c:v>
                </c:pt>
                <c:pt idx="2092">
                  <c:v>-2485453.31936</c:v>
                </c:pt>
                <c:pt idx="2093">
                  <c:v>-2484512.1980149997</c:v>
                </c:pt>
                <c:pt idx="2094">
                  <c:v>-2483571.31428</c:v>
                </c:pt>
                <c:pt idx="2095">
                  <c:v>-2482630.668125</c:v>
                </c:pt>
                <c:pt idx="2096">
                  <c:v>-2481690.2595200003</c:v>
                </c:pt>
                <c:pt idx="2097">
                  <c:v>-2480750.0884350003</c:v>
                </c:pt>
                <c:pt idx="2098">
                  <c:v>-2479810.1548399995</c:v>
                </c:pt>
                <c:pt idx="2099">
                  <c:v>-2478870.458705</c:v>
                </c:pt>
                <c:pt idx="2100">
                  <c:v>-2477931.0</c:v>
                </c:pt>
                <c:pt idx="2101">
                  <c:v>-2476991.778695</c:v>
                </c:pt>
                <c:pt idx="2102">
                  <c:v>-2476052.7947600004</c:v>
                </c:pt>
                <c:pt idx="2103">
                  <c:v>-2475114.048165</c:v>
                </c:pt>
                <c:pt idx="2104">
                  <c:v>-2474175.5388799994</c:v>
                </c:pt>
                <c:pt idx="2105">
                  <c:v>-2473237.266875</c:v>
                </c:pt>
                <c:pt idx="2106">
                  <c:v>-2472299.2321199994</c:v>
                </c:pt>
                <c:pt idx="2107">
                  <c:v>-2471361.4345850004</c:v>
                </c:pt>
                <c:pt idx="2108">
                  <c:v>-2470423.87424</c:v>
                </c:pt>
                <c:pt idx="2109">
                  <c:v>-2469486.5510549997</c:v>
                </c:pt>
                <c:pt idx="2110">
                  <c:v>-2468549.465000001</c:v>
                </c:pt>
                <c:pt idx="2111">
                  <c:v>-2467612.616045</c:v>
                </c:pt>
                <c:pt idx="2112">
                  <c:v>-2466676.00416</c:v>
                </c:pt>
                <c:pt idx="2113">
                  <c:v>-2465739.629315</c:v>
                </c:pt>
                <c:pt idx="2114">
                  <c:v>-2464803.49148</c:v>
                </c:pt>
                <c:pt idx="2115">
                  <c:v>-2463867.5906249993</c:v>
                </c:pt>
                <c:pt idx="2116">
                  <c:v>-2462931.9267200003</c:v>
                </c:pt>
                <c:pt idx="2117">
                  <c:v>-2461996.499735</c:v>
                </c:pt>
                <c:pt idx="2118">
                  <c:v>-2461061.309639999</c:v>
                </c:pt>
                <c:pt idx="2119">
                  <c:v>-2460126.356405</c:v>
                </c:pt>
                <c:pt idx="2120">
                  <c:v>-2459191.6399999997</c:v>
                </c:pt>
                <c:pt idx="2121">
                  <c:v>-2458257.1603950006</c:v>
                </c:pt>
                <c:pt idx="2122">
                  <c:v>-2457322.91756</c:v>
                </c:pt>
                <c:pt idx="2123">
                  <c:v>-2456388.9114649994</c:v>
                </c:pt>
                <c:pt idx="2124">
                  <c:v>-2455455.14208</c:v>
                </c:pt>
                <c:pt idx="2125">
                  <c:v>-2454521.609375</c:v>
                </c:pt>
                <c:pt idx="2126">
                  <c:v>-2453588.31332</c:v>
                </c:pt>
                <c:pt idx="2127">
                  <c:v>-2452655.2538850005</c:v>
                </c:pt>
                <c:pt idx="2128">
                  <c:v>-2451722.4310399997</c:v>
                </c:pt>
                <c:pt idx="2129">
                  <c:v>-2450789.8447549995</c:v>
                </c:pt>
                <c:pt idx="2130">
                  <c:v>-2449857.495</c:v>
                </c:pt>
                <c:pt idx="2131">
                  <c:v>-2448925.381745</c:v>
                </c:pt>
                <c:pt idx="2132">
                  <c:v>-2447993.5049600005</c:v>
                </c:pt>
                <c:pt idx="2133">
                  <c:v>-2447061.864615</c:v>
                </c:pt>
                <c:pt idx="2134">
                  <c:v>-2446130.4606799996</c:v>
                </c:pt>
                <c:pt idx="2135">
                  <c:v>-2445199.293125001</c:v>
                </c:pt>
                <c:pt idx="2136">
                  <c:v>-2444268.3619199996</c:v>
                </c:pt>
                <c:pt idx="2137">
                  <c:v>-2443337.667035</c:v>
                </c:pt>
                <c:pt idx="2138">
                  <c:v>-2442407.2084400007</c:v>
                </c:pt>
                <c:pt idx="2139">
                  <c:v>-2441476.9861049997</c:v>
                </c:pt>
                <c:pt idx="2140">
                  <c:v>-2440546.999999999</c:v>
                </c:pt>
                <c:pt idx="2141">
                  <c:v>-2439617.2500950005</c:v>
                </c:pt>
                <c:pt idx="2142">
                  <c:v>-2438687.73636</c:v>
                </c:pt>
                <c:pt idx="2143">
                  <c:v>-2437758.4587649996</c:v>
                </c:pt>
                <c:pt idx="2144">
                  <c:v>-2436829.4172800006</c:v>
                </c:pt>
                <c:pt idx="2145">
                  <c:v>-2435900.6118749995</c:v>
                </c:pt>
                <c:pt idx="2146">
                  <c:v>-2434972.042520001</c:v>
                </c:pt>
                <c:pt idx="2147">
                  <c:v>-2434043.709185</c:v>
                </c:pt>
                <c:pt idx="2148">
                  <c:v>-2433115.6118399994</c:v>
                </c:pt>
                <c:pt idx="2149">
                  <c:v>-2432187.750455</c:v>
                </c:pt>
                <c:pt idx="2150">
                  <c:v>-2431260.125</c:v>
                </c:pt>
                <c:pt idx="2151">
                  <c:v>-2430332.7354449998</c:v>
                </c:pt>
                <c:pt idx="2152">
                  <c:v>-2429405.58176</c:v>
                </c:pt>
                <c:pt idx="2153">
                  <c:v>-2428478.663915</c:v>
                </c:pt>
                <c:pt idx="2154">
                  <c:v>-2427551.9818799994</c:v>
                </c:pt>
                <c:pt idx="2155">
                  <c:v>-2426625.5356250005</c:v>
                </c:pt>
                <c:pt idx="2156">
                  <c:v>-2425699.3251199997</c:v>
                </c:pt>
                <c:pt idx="2157">
                  <c:v>-2424773.3503350005</c:v>
                </c:pt>
                <c:pt idx="2158">
                  <c:v>-2423847.61124</c:v>
                </c:pt>
                <c:pt idx="2159">
                  <c:v>-2422922.1078049997</c:v>
                </c:pt>
                <c:pt idx="2160">
                  <c:v>-2421996.840000001</c:v>
                </c:pt>
                <c:pt idx="2161">
                  <c:v>-2421071.807795</c:v>
                </c:pt>
                <c:pt idx="2162">
                  <c:v>-2420147.0111599998</c:v>
                </c:pt>
                <c:pt idx="2163">
                  <c:v>-2419222.4500650004</c:v>
                </c:pt>
                <c:pt idx="2164">
                  <c:v>-2418298.12448</c:v>
                </c:pt>
                <c:pt idx="2165">
                  <c:v>-2417374.0343749993</c:v>
                </c:pt>
                <c:pt idx="2166">
                  <c:v>-2416450.17972</c:v>
                </c:pt>
                <c:pt idx="2167">
                  <c:v>-2415526.5604850003</c:v>
                </c:pt>
                <c:pt idx="2168">
                  <c:v>-2414603.176639999</c:v>
                </c:pt>
                <c:pt idx="2169">
                  <c:v>-2413680.0281550004</c:v>
                </c:pt>
                <c:pt idx="2170">
                  <c:v>-2412757.1149999998</c:v>
                </c:pt>
                <c:pt idx="2171">
                  <c:v>-2411834.437145001</c:v>
                </c:pt>
                <c:pt idx="2172">
                  <c:v>-2410911.99456</c:v>
                </c:pt>
                <c:pt idx="2173">
                  <c:v>-2409989.7872149996</c:v>
                </c:pt>
                <c:pt idx="2174">
                  <c:v>-2409067.81508</c:v>
                </c:pt>
                <c:pt idx="2175">
                  <c:v>-2408146.078125</c:v>
                </c:pt>
                <c:pt idx="2176">
                  <c:v>-2407224.5763199995</c:v>
                </c:pt>
                <c:pt idx="2177">
                  <c:v>-2406303.309635</c:v>
                </c:pt>
                <c:pt idx="2178">
                  <c:v>-2405382.2780400002</c:v>
                </c:pt>
                <c:pt idx="2179">
                  <c:v>-2404461.4815049996</c:v>
                </c:pt>
                <c:pt idx="2180">
                  <c:v>-2403540.9200000004</c:v>
                </c:pt>
                <c:pt idx="2181">
                  <c:v>-2402620.5934949997</c:v>
                </c:pt>
                <c:pt idx="2182">
                  <c:v>-2401700.5019600005</c:v>
                </c:pt>
                <c:pt idx="2183">
                  <c:v>-2400780.6453650002</c:v>
                </c:pt>
                <c:pt idx="2184">
                  <c:v>-2399861.0236799996</c:v>
                </c:pt>
                <c:pt idx="2185">
                  <c:v>-2398941.636875001</c:v>
                </c:pt>
                <c:pt idx="2186">
                  <c:v>-2398022.48492</c:v>
                </c:pt>
                <c:pt idx="2187">
                  <c:v>-2397103.5677849995</c:v>
                </c:pt>
                <c:pt idx="2188">
                  <c:v>-2396184.8854400003</c:v>
                </c:pt>
                <c:pt idx="2189">
                  <c:v>-2395266.437855</c:v>
                </c:pt>
                <c:pt idx="2190">
                  <c:v>-2394348.2249999996</c:v>
                </c:pt>
                <c:pt idx="2191">
                  <c:v>-2393430.2468450004</c:v>
                </c:pt>
                <c:pt idx="2192">
                  <c:v>-2392512.50336</c:v>
                </c:pt>
                <c:pt idx="2193">
                  <c:v>-2391594.9945149994</c:v>
                </c:pt>
                <c:pt idx="2194">
                  <c:v>-2390677.7202800005</c:v>
                </c:pt>
                <c:pt idx="2195">
                  <c:v>-2389760.6806249996</c:v>
                </c:pt>
                <c:pt idx="2196">
                  <c:v>-2388843.8755200007</c:v>
                </c:pt>
                <c:pt idx="2197">
                  <c:v>-2387927.304935</c:v>
                </c:pt>
                <c:pt idx="2198">
                  <c:v>-2387010.9688399998</c:v>
                </c:pt>
                <c:pt idx="2199">
                  <c:v>-2386094.867205</c:v>
                </c:pt>
                <c:pt idx="2200">
                  <c:v>-2385179.0</c:v>
                </c:pt>
                <c:pt idx="2201">
                  <c:v>-2384263.367195</c:v>
                </c:pt>
                <c:pt idx="2202">
                  <c:v>-2383347.96876</c:v>
                </c:pt>
                <c:pt idx="2203">
                  <c:v>-2382432.8046649997</c:v>
                </c:pt>
                <c:pt idx="2204">
                  <c:v>-2381517.8748799996</c:v>
                </c:pt>
                <c:pt idx="2205">
                  <c:v>-2380603.179375</c:v>
                </c:pt>
                <c:pt idx="2206">
                  <c:v>-2379688.71812</c:v>
                </c:pt>
                <c:pt idx="2207">
                  <c:v>-2378774.491085001</c:v>
                </c:pt>
                <c:pt idx="2208">
                  <c:v>-2377860.49824</c:v>
                </c:pt>
                <c:pt idx="2209">
                  <c:v>-2376946.739555</c:v>
                </c:pt>
                <c:pt idx="2210">
                  <c:v>-2376033.2150000003</c:v>
                </c:pt>
                <c:pt idx="2211">
                  <c:v>-2375119.924545</c:v>
                </c:pt>
                <c:pt idx="2212">
                  <c:v>-2374206.8681599996</c:v>
                </c:pt>
                <c:pt idx="2213">
                  <c:v>-2373294.045815</c:v>
                </c:pt>
                <c:pt idx="2214">
                  <c:v>-2372381.45748</c:v>
                </c:pt>
                <c:pt idx="2215">
                  <c:v>-2371469.1031249994</c:v>
                </c:pt>
                <c:pt idx="2216">
                  <c:v>-2370556.9827200007</c:v>
                </c:pt>
                <c:pt idx="2217">
                  <c:v>-2369645.096235</c:v>
                </c:pt>
                <c:pt idx="2218">
                  <c:v>-2368733.4436399997</c:v>
                </c:pt>
                <c:pt idx="2219">
                  <c:v>-2367822.0249050003</c:v>
                </c:pt>
                <c:pt idx="2220">
                  <c:v>-2366910.84</c:v>
                </c:pt>
                <c:pt idx="2221">
                  <c:v>-2365999.888895001</c:v>
                </c:pt>
                <c:pt idx="2222">
                  <c:v>-2365089.1715599997</c:v>
                </c:pt>
                <c:pt idx="2223">
                  <c:v>-2364178.6879649996</c:v>
                </c:pt>
                <c:pt idx="2224">
                  <c:v>-2363268.43808</c:v>
                </c:pt>
                <c:pt idx="2225">
                  <c:v>-2362358.421875</c:v>
                </c:pt>
                <c:pt idx="2226">
                  <c:v>-2361448.6393199996</c:v>
                </c:pt>
                <c:pt idx="2227">
                  <c:v>-2360539.090385</c:v>
                </c:pt>
                <c:pt idx="2228">
                  <c:v>-2359629.77504</c:v>
                </c:pt>
                <c:pt idx="2229">
                  <c:v>-2358720.6932549994</c:v>
                </c:pt>
                <c:pt idx="2230">
                  <c:v>-2357811.8450000007</c:v>
                </c:pt>
                <c:pt idx="2231">
                  <c:v>-2356903.2302449998</c:v>
                </c:pt>
                <c:pt idx="2232">
                  <c:v>-2355994.8489600006</c:v>
                </c:pt>
                <c:pt idx="2233">
                  <c:v>-2355086.7011149996</c:v>
                </c:pt>
                <c:pt idx="2234">
                  <c:v>-2354178.78668</c:v>
                </c:pt>
                <c:pt idx="2235">
                  <c:v>-2353271.105625001</c:v>
                </c:pt>
                <c:pt idx="2236">
                  <c:v>-2352363.65792</c:v>
                </c:pt>
                <c:pt idx="2237">
                  <c:v>-2351456.4435349996</c:v>
                </c:pt>
                <c:pt idx="2238">
                  <c:v>-2350549.4624400004</c:v>
                </c:pt>
                <c:pt idx="2239">
                  <c:v>-2349642.7146050003</c:v>
                </c:pt>
                <c:pt idx="2240">
                  <c:v>-2348736.1999999993</c:v>
                </c:pt>
                <c:pt idx="2241">
                  <c:v>-2347829.918595</c:v>
                </c:pt>
                <c:pt idx="2242">
                  <c:v>-2346923.87036</c:v>
                </c:pt>
                <c:pt idx="2243">
                  <c:v>-2346018.055264999</c:v>
                </c:pt>
                <c:pt idx="2244">
                  <c:v>-2345112.47328</c:v>
                </c:pt>
                <c:pt idx="2245">
                  <c:v>-2344207.1243749997</c:v>
                </c:pt>
                <c:pt idx="2246">
                  <c:v>-2343302.0085200006</c:v>
                </c:pt>
                <c:pt idx="2247">
                  <c:v>-2342397.1256850003</c:v>
                </c:pt>
                <c:pt idx="2248">
                  <c:v>-2341492.47584</c:v>
                </c:pt>
                <c:pt idx="2249">
                  <c:v>-2340588.0589550002</c:v>
                </c:pt>
                <c:pt idx="2250">
                  <c:v>-2339683.875</c:v>
                </c:pt>
                <c:pt idx="2251">
                  <c:v>-2338779.923945</c:v>
                </c:pt>
                <c:pt idx="2252">
                  <c:v>-2337876.2057600003</c:v>
                </c:pt>
                <c:pt idx="2253">
                  <c:v>-2336972.720415</c:v>
                </c:pt>
                <c:pt idx="2254">
                  <c:v>-2336069.467879999</c:v>
                </c:pt>
                <c:pt idx="2255">
                  <c:v>-2335166.448125</c:v>
                </c:pt>
                <c:pt idx="2256">
                  <c:v>-2334263.6611199994</c:v>
                </c:pt>
                <c:pt idx="2257">
                  <c:v>-2333361.1068350007</c:v>
                </c:pt>
                <c:pt idx="2258">
                  <c:v>-2332458.7852399996</c:v>
                </c:pt>
                <c:pt idx="2259">
                  <c:v>-2331556.6963049998</c:v>
                </c:pt>
                <c:pt idx="2260">
                  <c:v>-2330654.840000001</c:v>
                </c:pt>
                <c:pt idx="2261">
                  <c:v>-2329753.2162949997</c:v>
                </c:pt>
                <c:pt idx="2262">
                  <c:v>-2328851.8251599995</c:v>
                </c:pt>
                <c:pt idx="2263">
                  <c:v>-2327950.666565</c:v>
                </c:pt>
                <c:pt idx="2264">
                  <c:v>-2327049.74048</c:v>
                </c:pt>
                <c:pt idx="2265">
                  <c:v>-2326149.0468749995</c:v>
                </c:pt>
                <c:pt idx="2266">
                  <c:v>-2325248.5857200003</c:v>
                </c:pt>
                <c:pt idx="2267">
                  <c:v>-2324348.356985</c:v>
                </c:pt>
                <c:pt idx="2268">
                  <c:v>-2323448.3606399996</c:v>
                </c:pt>
                <c:pt idx="2269">
                  <c:v>-2322548.5966550005</c:v>
                </c:pt>
                <c:pt idx="2270">
                  <c:v>-2321649.065</c:v>
                </c:pt>
                <c:pt idx="2271">
                  <c:v>-2320749.7656450006</c:v>
                </c:pt>
                <c:pt idx="2272">
                  <c:v>-2319850.6985600004</c:v>
                </c:pt>
                <c:pt idx="2273">
                  <c:v>-2318951.863715</c:v>
                </c:pt>
                <c:pt idx="2274">
                  <c:v>-2318053.26108</c:v>
                </c:pt>
                <c:pt idx="2275">
                  <c:v>-2317154.890625</c:v>
                </c:pt>
                <c:pt idx="2276">
                  <c:v>-2316256.7523199995</c:v>
                </c:pt>
                <c:pt idx="2277">
                  <c:v>-2315358.846135</c:v>
                </c:pt>
                <c:pt idx="2278">
                  <c:v>-2314461.17204</c:v>
                </c:pt>
                <c:pt idx="2279">
                  <c:v>-2313563.7300049993</c:v>
                </c:pt>
                <c:pt idx="2280">
                  <c:v>-2312666.5200000005</c:v>
                </c:pt>
                <c:pt idx="2281">
                  <c:v>-2311769.5419949996</c:v>
                </c:pt>
                <c:pt idx="2282">
                  <c:v>-2310872.7959600007</c:v>
                </c:pt>
                <c:pt idx="2283">
                  <c:v>-2309976.281865</c:v>
                </c:pt>
                <c:pt idx="2284">
                  <c:v>-2309079.9996799994</c:v>
                </c:pt>
                <c:pt idx="2285">
                  <c:v>-2308183.949375001</c:v>
                </c:pt>
                <c:pt idx="2286">
                  <c:v>-2307288.13092</c:v>
                </c:pt>
                <c:pt idx="2287">
                  <c:v>-2306392.544285</c:v>
                </c:pt>
                <c:pt idx="2288">
                  <c:v>-2305497.1894400003</c:v>
                </c:pt>
                <c:pt idx="2289">
                  <c:v>-2304602.0663550003</c:v>
                </c:pt>
                <c:pt idx="2290">
                  <c:v>-2303707.174999999</c:v>
                </c:pt>
                <c:pt idx="2291">
                  <c:v>-2302812.5153450007</c:v>
                </c:pt>
                <c:pt idx="2292">
                  <c:v>-2301918.08736</c:v>
                </c:pt>
                <c:pt idx="2293">
                  <c:v>-2301023.8910149997</c:v>
                </c:pt>
                <c:pt idx="2294">
                  <c:v>-2300129.9262800002</c:v>
                </c:pt>
                <c:pt idx="2295">
                  <c:v>-2299236.1931249993</c:v>
                </c:pt>
                <c:pt idx="2296">
                  <c:v>-2298342.6915200003</c:v>
                </c:pt>
                <c:pt idx="2297">
                  <c:v>-2297449.421435</c:v>
                </c:pt>
                <c:pt idx="2298">
                  <c:v>-2296556.3828399996</c:v>
                </c:pt>
                <c:pt idx="2299">
                  <c:v>-2295663.5757050007</c:v>
                </c:pt>
                <c:pt idx="2300">
                  <c:v>-2294771.0</c:v>
                </c:pt>
                <c:pt idx="2301">
                  <c:v>-2293878.6556949997</c:v>
                </c:pt>
                <c:pt idx="2302">
                  <c:v>-2292986.54276</c:v>
                </c:pt>
                <c:pt idx="2303">
                  <c:v>-2292094.661165</c:v>
                </c:pt>
                <c:pt idx="2304">
                  <c:v>-2291203.0108799995</c:v>
                </c:pt>
                <c:pt idx="2305">
                  <c:v>-2290311.5918750004</c:v>
                </c:pt>
                <c:pt idx="2306">
                  <c:v>-2289420.404119999</c:v>
                </c:pt>
                <c:pt idx="2307">
                  <c:v>-2288529.4475850007</c:v>
                </c:pt>
                <c:pt idx="2308">
                  <c:v>-2287638.72224</c:v>
                </c:pt>
                <c:pt idx="2309">
                  <c:v>-2286748.228055</c:v>
                </c:pt>
                <c:pt idx="2310">
                  <c:v>-2285857.965000001</c:v>
                </c:pt>
                <c:pt idx="2311">
                  <c:v>-2284967.933045</c:v>
                </c:pt>
                <c:pt idx="2312">
                  <c:v>-2284078.1321599996</c:v>
                </c:pt>
                <c:pt idx="2313">
                  <c:v>-2283188.562315</c:v>
                </c:pt>
                <c:pt idx="2314">
                  <c:v>-2282299.2234799997</c:v>
                </c:pt>
                <c:pt idx="2315">
                  <c:v>-2281410.115624999</c:v>
                </c:pt>
                <c:pt idx="2316">
                  <c:v>-2280521.2387200003</c:v>
                </c:pt>
                <c:pt idx="2317">
                  <c:v>-2279632.592735</c:v>
                </c:pt>
                <c:pt idx="2318">
                  <c:v>-2278744.177639999</c:v>
                </c:pt>
                <c:pt idx="2319">
                  <c:v>-2277855.9934050003</c:v>
                </c:pt>
                <c:pt idx="2320">
                  <c:v>-2276968.0399999996</c:v>
                </c:pt>
                <c:pt idx="2321">
                  <c:v>-2276080.3173950007</c:v>
                </c:pt>
                <c:pt idx="2322">
                  <c:v>-2275192.8255600003</c:v>
                </c:pt>
                <c:pt idx="2323">
                  <c:v>-2274305.564465</c:v>
                </c:pt>
                <c:pt idx="2324">
                  <c:v>-2273418.53408</c:v>
                </c:pt>
                <c:pt idx="2325">
                  <c:v>-2272531.734375</c:v>
                </c:pt>
                <c:pt idx="2326">
                  <c:v>-2271645.1653199997</c:v>
                </c:pt>
                <c:pt idx="2327">
                  <c:v>-2270758.8268850003</c:v>
                </c:pt>
                <c:pt idx="2328">
                  <c:v>-2269872.71904</c:v>
                </c:pt>
                <c:pt idx="2329">
                  <c:v>-2268986.8417549995</c:v>
                </c:pt>
                <c:pt idx="2330">
                  <c:v>-2268101.1950000003</c:v>
                </c:pt>
                <c:pt idx="2331">
                  <c:v>-2267215.778745</c:v>
                </c:pt>
                <c:pt idx="2332">
                  <c:v>-2266330.5929600005</c:v>
                </c:pt>
                <c:pt idx="2333">
                  <c:v>-2265445.637615</c:v>
                </c:pt>
                <c:pt idx="2334">
                  <c:v>-2264560.91268</c:v>
                </c:pt>
                <c:pt idx="2335">
                  <c:v>-2263676.4181250003</c:v>
                </c:pt>
                <c:pt idx="2336">
                  <c:v>-2262792.15392</c:v>
                </c:pt>
                <c:pt idx="2337">
                  <c:v>-2261908.120035</c:v>
                </c:pt>
                <c:pt idx="2338">
                  <c:v>-2261024.3164400007</c:v>
                </c:pt>
                <c:pt idx="2339">
                  <c:v>-2260140.743105</c:v>
                </c:pt>
                <c:pt idx="2340">
                  <c:v>-2259257.3999999994</c:v>
                </c:pt>
                <c:pt idx="2341">
                  <c:v>-2258374.2870950005</c:v>
                </c:pt>
                <c:pt idx="2342">
                  <c:v>-2257491.40436</c:v>
                </c:pt>
                <c:pt idx="2343">
                  <c:v>-2256608.7517649992</c:v>
                </c:pt>
                <c:pt idx="2344">
                  <c:v>-2255726.3292800006</c:v>
                </c:pt>
                <c:pt idx="2345">
                  <c:v>-2254844.136875</c:v>
                </c:pt>
                <c:pt idx="2346">
                  <c:v>-2253962.174520001</c:v>
                </c:pt>
                <c:pt idx="2347">
                  <c:v>-2253080.442185</c:v>
                </c:pt>
                <c:pt idx="2348">
                  <c:v>-2252198.93984</c:v>
                </c:pt>
                <c:pt idx="2349">
                  <c:v>-2251317.6674550003</c:v>
                </c:pt>
                <c:pt idx="2350">
                  <c:v>-2250436.625</c:v>
                </c:pt>
                <c:pt idx="2351">
                  <c:v>-2249555.812445</c:v>
                </c:pt>
                <c:pt idx="2352">
                  <c:v>-2248675.22976</c:v>
                </c:pt>
                <c:pt idx="2353">
                  <c:v>-2247794.876915</c:v>
                </c:pt>
                <c:pt idx="2354">
                  <c:v>-2246914.7538799993</c:v>
                </c:pt>
                <c:pt idx="2355">
                  <c:v>-2246034.860625</c:v>
                </c:pt>
                <c:pt idx="2356">
                  <c:v>-2245155.1971199997</c:v>
                </c:pt>
                <c:pt idx="2357">
                  <c:v>-2244275.7633350007</c:v>
                </c:pt>
                <c:pt idx="2358">
                  <c:v>-2243396.5592400003</c:v>
                </c:pt>
                <c:pt idx="2359">
                  <c:v>-2242517.5848049996</c:v>
                </c:pt>
                <c:pt idx="2360">
                  <c:v>-2241638.840000001</c:v>
                </c:pt>
                <c:pt idx="2361">
                  <c:v>-2240760.3247950003</c:v>
                </c:pt>
                <c:pt idx="2362">
                  <c:v>-2239882.0391599997</c:v>
                </c:pt>
                <c:pt idx="2363">
                  <c:v>-2239003.9830650003</c:v>
                </c:pt>
                <c:pt idx="2364">
                  <c:v>-2238126.15648</c:v>
                </c:pt>
                <c:pt idx="2365">
                  <c:v>-2237248.5593749993</c:v>
                </c:pt>
                <c:pt idx="2366">
                  <c:v>-2236371.1917200005</c:v>
                </c:pt>
                <c:pt idx="2367">
                  <c:v>-2235494.053485</c:v>
                </c:pt>
                <c:pt idx="2368">
                  <c:v>-2234617.1446399996</c:v>
                </c:pt>
                <c:pt idx="2369">
                  <c:v>-2233740.4651550003</c:v>
                </c:pt>
                <c:pt idx="2370">
                  <c:v>-2232864.014999999</c:v>
                </c:pt>
                <c:pt idx="2371">
                  <c:v>-2231987.7941450006</c:v>
                </c:pt>
                <c:pt idx="2372">
                  <c:v>-2231111.80256</c:v>
                </c:pt>
                <c:pt idx="2373">
                  <c:v>-2230236.040215</c:v>
                </c:pt>
                <c:pt idx="2374">
                  <c:v>-2229360.5070800004</c:v>
                </c:pt>
                <c:pt idx="2375">
                  <c:v>-2228485.203125</c:v>
                </c:pt>
                <c:pt idx="2376">
                  <c:v>-2227610.1283199997</c:v>
                </c:pt>
                <c:pt idx="2377">
                  <c:v>-2226735.2826350005</c:v>
                </c:pt>
                <c:pt idx="2378">
                  <c:v>-2225860.6660399996</c:v>
                </c:pt>
                <c:pt idx="2379">
                  <c:v>-2224986.2785049994</c:v>
                </c:pt>
                <c:pt idx="2380">
                  <c:v>-2224112.12</c:v>
                </c:pt>
                <c:pt idx="2381">
                  <c:v>-2223238.1904949998</c:v>
                </c:pt>
                <c:pt idx="2382">
                  <c:v>-2222364.489960001</c:v>
                </c:pt>
                <c:pt idx="2383">
                  <c:v>-2221491.018365</c:v>
                </c:pt>
                <c:pt idx="2384">
                  <c:v>-2220617.7756799995</c:v>
                </c:pt>
                <c:pt idx="2385">
                  <c:v>-2219744.761875001</c:v>
                </c:pt>
                <c:pt idx="2386">
                  <c:v>-2218871.9769200003</c:v>
                </c:pt>
                <c:pt idx="2387">
                  <c:v>-2217999.4207849996</c:v>
                </c:pt>
                <c:pt idx="2388">
                  <c:v>-2217127.09344</c:v>
                </c:pt>
                <c:pt idx="2389">
                  <c:v>-2216254.9948549997</c:v>
                </c:pt>
                <c:pt idx="2390">
                  <c:v>-2215383.124999999</c:v>
                </c:pt>
                <c:pt idx="2391">
                  <c:v>-2214511.483845</c:v>
                </c:pt>
                <c:pt idx="2392">
                  <c:v>-2213640.07136</c:v>
                </c:pt>
                <c:pt idx="2393">
                  <c:v>-2212768.887514999</c:v>
                </c:pt>
                <c:pt idx="2394">
                  <c:v>-2211897.9322800008</c:v>
                </c:pt>
                <c:pt idx="2395">
                  <c:v>-2211027.2056249995</c:v>
                </c:pt>
                <c:pt idx="2396">
                  <c:v>-2210156.7075200006</c:v>
                </c:pt>
                <c:pt idx="2397">
                  <c:v>-2209286.437935</c:v>
                </c:pt>
                <c:pt idx="2398">
                  <c:v>-2208416.3968399996</c:v>
                </c:pt>
                <c:pt idx="2399">
                  <c:v>-2207546.584205</c:v>
                </c:pt>
                <c:pt idx="2400">
                  <c:v>-2206677.0</c:v>
                </c:pt>
                <c:pt idx="2401">
                  <c:v>-2205807.6441949997</c:v>
                </c:pt>
                <c:pt idx="2402">
                  <c:v>-2204938.5167600005</c:v>
                </c:pt>
                <c:pt idx="2403">
                  <c:v>-2204069.6176650003</c:v>
                </c:pt>
                <c:pt idx="2404">
                  <c:v>-2203200.9468799992</c:v>
                </c:pt>
                <c:pt idx="2405">
                  <c:v>-2202332.5043750005</c:v>
                </c:pt>
                <c:pt idx="2406">
                  <c:v>-2201464.29012</c:v>
                </c:pt>
                <c:pt idx="2407">
                  <c:v>-2200596.3040850004</c:v>
                </c:pt>
                <c:pt idx="2408">
                  <c:v>-2199728.54624</c:v>
                </c:pt>
                <c:pt idx="2409">
                  <c:v>-2198861.0165549996</c:v>
                </c:pt>
                <c:pt idx="2410">
                  <c:v>-2197993.715000001</c:v>
                </c:pt>
                <c:pt idx="2411">
                  <c:v>-2197126.641545</c:v>
                </c:pt>
                <c:pt idx="2412">
                  <c:v>-2196259.7961599994</c:v>
                </c:pt>
                <c:pt idx="2413">
                  <c:v>-2195393.178815</c:v>
                </c:pt>
                <c:pt idx="2414">
                  <c:v>-2194526.78948</c:v>
                </c:pt>
                <c:pt idx="2415">
                  <c:v>-2193660.6281249993</c:v>
                </c:pt>
                <c:pt idx="2416">
                  <c:v>-2192794.6947200005</c:v>
                </c:pt>
                <c:pt idx="2417">
                  <c:v>-2191928.989235</c:v>
                </c:pt>
                <c:pt idx="2418">
                  <c:v>-2191063.5116399997</c:v>
                </c:pt>
                <c:pt idx="2419">
                  <c:v>-2190198.2619050005</c:v>
                </c:pt>
                <c:pt idx="2420">
                  <c:v>-2189333.2399999993</c:v>
                </c:pt>
                <c:pt idx="2421">
                  <c:v>-2188468.4458950004</c:v>
                </c:pt>
                <c:pt idx="2422">
                  <c:v>-2187603.87956</c:v>
                </c:pt>
                <c:pt idx="2423">
                  <c:v>-2186739.5409649997</c:v>
                </c:pt>
                <c:pt idx="2424">
                  <c:v>-2185875.4300800003</c:v>
                </c:pt>
                <c:pt idx="2425">
                  <c:v>-2185011.546875</c:v>
                </c:pt>
                <c:pt idx="2426">
                  <c:v>-2184147.8913199995</c:v>
                </c:pt>
                <c:pt idx="2427">
                  <c:v>-2183284.4633850004</c:v>
                </c:pt>
                <c:pt idx="2428">
                  <c:v>-2182421.26304</c:v>
                </c:pt>
                <c:pt idx="2429">
                  <c:v>-2181558.2902549994</c:v>
                </c:pt>
                <c:pt idx="2430">
                  <c:v>-2180695.5450000004</c:v>
                </c:pt>
                <c:pt idx="2431">
                  <c:v>-2179833.0272449995</c:v>
                </c:pt>
                <c:pt idx="2432">
                  <c:v>-2178970.736960001</c:v>
                </c:pt>
                <c:pt idx="2433">
                  <c:v>-2178108.674115</c:v>
                </c:pt>
                <c:pt idx="2434">
                  <c:v>-2177246.8386799996</c:v>
                </c:pt>
                <c:pt idx="2435">
                  <c:v>-2176385.230625001</c:v>
                </c:pt>
                <c:pt idx="2436">
                  <c:v>-2175523.84992</c:v>
                </c:pt>
                <c:pt idx="2437">
                  <c:v>-2174662.696535</c:v>
                </c:pt>
                <c:pt idx="2438">
                  <c:v>-2173801.77044</c:v>
                </c:pt>
                <c:pt idx="2439">
                  <c:v>-2172941.071605</c:v>
                </c:pt>
                <c:pt idx="2440">
                  <c:v>-2172080.5999999996</c:v>
                </c:pt>
                <c:pt idx="2441">
                  <c:v>-2171220.3555950006</c:v>
                </c:pt>
                <c:pt idx="2442">
                  <c:v>-2170360.33836</c:v>
                </c:pt>
                <c:pt idx="2443">
                  <c:v>-2169500.548264999</c:v>
                </c:pt>
                <c:pt idx="2444">
                  <c:v>-2168640.98528</c:v>
                </c:pt>
                <c:pt idx="2445">
                  <c:v>-2167781.6493749996</c:v>
                </c:pt>
                <c:pt idx="2446">
                  <c:v>-2166922.5405200007</c:v>
                </c:pt>
                <c:pt idx="2447">
                  <c:v>-2166063.6586849997</c:v>
                </c:pt>
                <c:pt idx="2448">
                  <c:v>-2165205.00384</c:v>
                </c:pt>
                <c:pt idx="2449">
                  <c:v>-2164346.5759550002</c:v>
                </c:pt>
                <c:pt idx="2450">
                  <c:v>-2163488.375</c:v>
                </c:pt>
                <c:pt idx="2451">
                  <c:v>-2162630.400945</c:v>
                </c:pt>
                <c:pt idx="2452">
                  <c:v>-2161772.6537600006</c:v>
                </c:pt>
                <c:pt idx="2453">
                  <c:v>-2160915.1334150005</c:v>
                </c:pt>
                <c:pt idx="2454">
                  <c:v>-2160057.8398799994</c:v>
                </c:pt>
                <c:pt idx="2455">
                  <c:v>-2159200.7731250003</c:v>
                </c:pt>
                <c:pt idx="2456">
                  <c:v>-2158343.9331199997</c:v>
                </c:pt>
                <c:pt idx="2457">
                  <c:v>-2157487.3198350007</c:v>
                </c:pt>
                <c:pt idx="2458">
                  <c:v>-2156630.93324</c:v>
                </c:pt>
                <c:pt idx="2459">
                  <c:v>-2155774.7733049993</c:v>
                </c:pt>
                <c:pt idx="2460">
                  <c:v>-2154918.8400000003</c:v>
                </c:pt>
                <c:pt idx="2461">
                  <c:v>-2154063.133295</c:v>
                </c:pt>
                <c:pt idx="2462">
                  <c:v>-2153207.65316</c:v>
                </c:pt>
                <c:pt idx="2463">
                  <c:v>-2152352.399565</c:v>
                </c:pt>
                <c:pt idx="2464">
                  <c:v>-2151497.3724800004</c:v>
                </c:pt>
                <c:pt idx="2465">
                  <c:v>-2150642.5718749994</c:v>
                </c:pt>
                <c:pt idx="2466">
                  <c:v>-2149787.99772</c:v>
                </c:pt>
                <c:pt idx="2467">
                  <c:v>-2148933.649985</c:v>
                </c:pt>
                <c:pt idx="2468">
                  <c:v>-2148079.528639999</c:v>
                </c:pt>
                <c:pt idx="2469">
                  <c:v>-2147225.6336550005</c:v>
                </c:pt>
                <c:pt idx="2470">
                  <c:v>-2146371.965</c:v>
                </c:pt>
                <c:pt idx="2471">
                  <c:v>-2145518.522645001</c:v>
                </c:pt>
                <c:pt idx="2472">
                  <c:v>-2144665.30656</c:v>
                </c:pt>
                <c:pt idx="2473">
                  <c:v>-2143812.3167149997</c:v>
                </c:pt>
                <c:pt idx="2474">
                  <c:v>-2142959.55308</c:v>
                </c:pt>
                <c:pt idx="2475">
                  <c:v>-2142107.015625</c:v>
                </c:pt>
                <c:pt idx="2476">
                  <c:v>-2141254.7043199996</c:v>
                </c:pt>
                <c:pt idx="2477">
                  <c:v>-2140402.6191350003</c:v>
                </c:pt>
                <c:pt idx="2478">
                  <c:v>-2139550.7600399996</c:v>
                </c:pt>
                <c:pt idx="2479">
                  <c:v>-2138699.1270049997</c:v>
                </c:pt>
                <c:pt idx="2480">
                  <c:v>-2137847.72</c:v>
                </c:pt>
                <c:pt idx="2481">
                  <c:v>-2136996.5389949996</c:v>
                </c:pt>
                <c:pt idx="2482">
                  <c:v>-2136145.5839600004</c:v>
                </c:pt>
                <c:pt idx="2483">
                  <c:v>-2135294.854865</c:v>
                </c:pt>
                <c:pt idx="2484">
                  <c:v>-2134444.35168</c:v>
                </c:pt>
                <c:pt idx="2485">
                  <c:v>-2133594.074375001</c:v>
                </c:pt>
                <c:pt idx="2486">
                  <c:v>-2132744.02292</c:v>
                </c:pt>
                <c:pt idx="2487">
                  <c:v>-2131894.1972849993</c:v>
                </c:pt>
                <c:pt idx="2488">
                  <c:v>-2131044.59744</c:v>
                </c:pt>
                <c:pt idx="2489">
                  <c:v>-2130195.223355</c:v>
                </c:pt>
                <c:pt idx="2490">
                  <c:v>-2129346.0749999997</c:v>
                </c:pt>
                <c:pt idx="2491">
                  <c:v>-2128497.1523450003</c:v>
                </c:pt>
                <c:pt idx="2492">
                  <c:v>-2127648.45536</c:v>
                </c:pt>
                <c:pt idx="2493">
                  <c:v>-2126799.9840149996</c:v>
                </c:pt>
                <c:pt idx="2494">
                  <c:v>-2125951.73828</c:v>
                </c:pt>
                <c:pt idx="2495">
                  <c:v>-2125103.7181249997</c:v>
                </c:pt>
                <c:pt idx="2496">
                  <c:v>-2124255.9235200007</c:v>
                </c:pt>
                <c:pt idx="2497">
                  <c:v>-2123408.354435</c:v>
                </c:pt>
                <c:pt idx="2498">
                  <c:v>-2122561.0108399997</c:v>
                </c:pt>
                <c:pt idx="2499">
                  <c:v>-2121713.8927050005</c:v>
                </c:pt>
                <c:pt idx="2500">
                  <c:v>-2120867.0</c:v>
                </c:pt>
                <c:pt idx="2501">
                  <c:v>-2120020.332695</c:v>
                </c:pt>
                <c:pt idx="2502">
                  <c:v>-2119173.8907600003</c:v>
                </c:pt>
                <c:pt idx="2503">
                  <c:v>-2118327.674165</c:v>
                </c:pt>
                <c:pt idx="2504">
                  <c:v>-2117481.6828799997</c:v>
                </c:pt>
                <c:pt idx="2505">
                  <c:v>-2116635.916875</c:v>
                </c:pt>
                <c:pt idx="2506">
                  <c:v>-2115790.3761199997</c:v>
                </c:pt>
                <c:pt idx="2507">
                  <c:v>-2114945.0605850006</c:v>
                </c:pt>
                <c:pt idx="2508">
                  <c:v>-2114099.97024</c:v>
                </c:pt>
                <c:pt idx="2509">
                  <c:v>-2113255.1050549997</c:v>
                </c:pt>
                <c:pt idx="2510">
                  <c:v>-2112410.4650000003</c:v>
                </c:pt>
                <c:pt idx="2511">
                  <c:v>-2111566.050045</c:v>
                </c:pt>
                <c:pt idx="2512">
                  <c:v>-2110721.8601599997</c:v>
                </c:pt>
                <c:pt idx="2513">
                  <c:v>-2109877.8953150003</c:v>
                </c:pt>
                <c:pt idx="2514">
                  <c:v>-2109034.1554799997</c:v>
                </c:pt>
                <c:pt idx="2515">
                  <c:v>-2108190.6406249995</c:v>
                </c:pt>
                <c:pt idx="2516">
                  <c:v>-2107347.3507200005</c:v>
                </c:pt>
                <c:pt idx="2517">
                  <c:v>-2106504.285735</c:v>
                </c:pt>
                <c:pt idx="2518">
                  <c:v>-2105661.445639999</c:v>
                </c:pt>
                <c:pt idx="2519">
                  <c:v>-2104818.830405</c:v>
                </c:pt>
                <c:pt idx="2520">
                  <c:v>-2103976.44</c:v>
                </c:pt>
                <c:pt idx="2521">
                  <c:v>-2103134.2743950007</c:v>
                </c:pt>
                <c:pt idx="2522">
                  <c:v>-2102292.33356</c:v>
                </c:pt>
                <c:pt idx="2523">
                  <c:v>-2101450.6174649997</c:v>
                </c:pt>
                <c:pt idx="2524">
                  <c:v>-2100609.1260800003</c:v>
                </c:pt>
                <c:pt idx="2525">
                  <c:v>-2099767.859375</c:v>
                </c:pt>
                <c:pt idx="2526">
                  <c:v>-2098926.8173199994</c:v>
                </c:pt>
                <c:pt idx="2527">
                  <c:v>-2098085.9998850003</c:v>
                </c:pt>
                <c:pt idx="2528">
                  <c:v>-2097245.40704</c:v>
                </c:pt>
                <c:pt idx="2529">
                  <c:v>-2096405.0387549994</c:v>
                </c:pt>
                <c:pt idx="2530">
                  <c:v>-2095564.8950000003</c:v>
                </c:pt>
                <c:pt idx="2531">
                  <c:v>-2094724.975745</c:v>
                </c:pt>
                <c:pt idx="2532">
                  <c:v>-2093885.2809600006</c:v>
                </c:pt>
                <c:pt idx="2533">
                  <c:v>-2093045.8106150003</c:v>
                </c:pt>
                <c:pt idx="2534">
                  <c:v>-2092206.5646799996</c:v>
                </c:pt>
                <c:pt idx="2535">
                  <c:v>-2091367.5431250005</c:v>
                </c:pt>
                <c:pt idx="2536">
                  <c:v>-2090528.74592</c:v>
                </c:pt>
                <c:pt idx="2537">
                  <c:v>-2089690.1730349995</c:v>
                </c:pt>
                <c:pt idx="2538">
                  <c:v>-2088851.8244400006</c:v>
                </c:pt>
                <c:pt idx="2539">
                  <c:v>-2088013.7001049998</c:v>
                </c:pt>
                <c:pt idx="2540">
                  <c:v>-2087175.7999999998</c:v>
                </c:pt>
                <c:pt idx="2541">
                  <c:v>-2086338.1240950003</c:v>
                </c:pt>
                <c:pt idx="2542">
                  <c:v>-2085500.6723599997</c:v>
                </c:pt>
                <c:pt idx="2543">
                  <c:v>-2084663.4447649992</c:v>
                </c:pt>
                <c:pt idx="2544">
                  <c:v>-2083826.4412800001</c:v>
                </c:pt>
                <c:pt idx="2545">
                  <c:v>-2082989.6618749998</c:v>
                </c:pt>
                <c:pt idx="2546">
                  <c:v>-2082153.1065200006</c:v>
                </c:pt>
                <c:pt idx="2547">
                  <c:v>-2081316.7751850002</c:v>
                </c:pt>
                <c:pt idx="2548">
                  <c:v>-2080480.6678399998</c:v>
                </c:pt>
                <c:pt idx="2549">
                  <c:v>-2079644.7844550004</c:v>
                </c:pt>
                <c:pt idx="2550">
                  <c:v>-2078809.125</c:v>
                </c:pt>
                <c:pt idx="2551">
                  <c:v>-2077973.6894449994</c:v>
                </c:pt>
                <c:pt idx="2552">
                  <c:v>-2077138.4777600002</c:v>
                </c:pt>
                <c:pt idx="2553">
                  <c:v>-2076303.4899149998</c:v>
                </c:pt>
                <c:pt idx="2554">
                  <c:v>-2075468.7258799993</c:v>
                </c:pt>
                <c:pt idx="2555">
                  <c:v>-2074634.1856250002</c:v>
                </c:pt>
                <c:pt idx="2556">
                  <c:v>-2073799.86912</c:v>
                </c:pt>
                <c:pt idx="2557">
                  <c:v>-2072965.7763350008</c:v>
                </c:pt>
                <c:pt idx="2558">
                  <c:v>-2072131.90724</c:v>
                </c:pt>
                <c:pt idx="2559">
                  <c:v>-2071298.2618049996</c:v>
                </c:pt>
                <c:pt idx="2560">
                  <c:v>-2070464.8400000003</c:v>
                </c:pt>
                <c:pt idx="2561">
                  <c:v>-2069631.641795</c:v>
                </c:pt>
                <c:pt idx="2562">
                  <c:v>-2068798.6671599995</c:v>
                </c:pt>
                <c:pt idx="2563">
                  <c:v>-2067965.9160650007</c:v>
                </c:pt>
                <c:pt idx="2564">
                  <c:v>-2067133.38848</c:v>
                </c:pt>
                <c:pt idx="2565">
                  <c:v>-2066301.0843749996</c:v>
                </c:pt>
                <c:pt idx="2566">
                  <c:v>-2065469.0037200004</c:v>
                </c:pt>
                <c:pt idx="2567">
                  <c:v>-2064637.1464849997</c:v>
                </c:pt>
                <c:pt idx="2568">
                  <c:v>-2063805.5126399992</c:v>
                </c:pt>
                <c:pt idx="2569">
                  <c:v>-2062974.102155</c:v>
                </c:pt>
                <c:pt idx="2570">
                  <c:v>-2062142.9149999996</c:v>
                </c:pt>
                <c:pt idx="2571">
                  <c:v>-2061311.9511450008</c:v>
                </c:pt>
                <c:pt idx="2572">
                  <c:v>-2060481.21056</c:v>
                </c:pt>
                <c:pt idx="2573">
                  <c:v>-2059650.6932149997</c:v>
                </c:pt>
                <c:pt idx="2574">
                  <c:v>-2058820.3990800006</c:v>
                </c:pt>
                <c:pt idx="2575">
                  <c:v>-2057990.328125</c:v>
                </c:pt>
                <c:pt idx="2576">
                  <c:v>-2057160.4803199994</c:v>
                </c:pt>
                <c:pt idx="2577">
                  <c:v>-2056330.8556350004</c:v>
                </c:pt>
                <c:pt idx="2578">
                  <c:v>-2055501.4540399997</c:v>
                </c:pt>
                <c:pt idx="2579">
                  <c:v>-2054672.2755049996</c:v>
                </c:pt>
                <c:pt idx="2580">
                  <c:v>-2053843.3200000005</c:v>
                </c:pt>
                <c:pt idx="2581">
                  <c:v>-2053014.5874949999</c:v>
                </c:pt>
                <c:pt idx="2582">
                  <c:v>-2052186.0779600006</c:v>
                </c:pt>
                <c:pt idx="2583">
                  <c:v>-2051357.791365</c:v>
                </c:pt>
                <c:pt idx="2584">
                  <c:v>-2050529.7276799995</c:v>
                </c:pt>
                <c:pt idx="2585">
                  <c:v>-2049701.8868750005</c:v>
                </c:pt>
                <c:pt idx="2586">
                  <c:v>-2048874.26892</c:v>
                </c:pt>
                <c:pt idx="2587">
                  <c:v>-2048046.8737849998</c:v>
                </c:pt>
                <c:pt idx="2588">
                  <c:v>-2047219.7014400004</c:v>
                </c:pt>
                <c:pt idx="2589">
                  <c:v>-2046392.7518550002</c:v>
                </c:pt>
                <c:pt idx="2590">
                  <c:v>-2045566.0249999997</c:v>
                </c:pt>
                <c:pt idx="2591">
                  <c:v>-2044739.5208450004</c:v>
                </c:pt>
                <c:pt idx="2592">
                  <c:v>-2043913.2393599998</c:v>
                </c:pt>
                <c:pt idx="2593">
                  <c:v>-2043087.1805149994</c:v>
                </c:pt>
                <c:pt idx="2594">
                  <c:v>-2042261.3442799998</c:v>
                </c:pt>
                <c:pt idx="2595">
                  <c:v>-2041435.7306249996</c:v>
                </c:pt>
                <c:pt idx="2596">
                  <c:v>-2040610.3395200009</c:v>
                </c:pt>
                <c:pt idx="2597">
                  <c:v>-2039785.170935</c:v>
                </c:pt>
                <c:pt idx="2598">
                  <c:v>-2038960.2248399996</c:v>
                </c:pt>
                <c:pt idx="2599">
                  <c:v>-2038135.5012050006</c:v>
                </c:pt>
                <c:pt idx="2600">
                  <c:v>-2037311.0</c:v>
                </c:pt>
                <c:pt idx="2601">
                  <c:v>-2036486.7211949995</c:v>
                </c:pt>
                <c:pt idx="2602">
                  <c:v>-2035662.6647600005</c:v>
                </c:pt>
                <c:pt idx="2603">
                  <c:v>-2034838.830665</c:v>
                </c:pt>
                <c:pt idx="2604">
                  <c:v>-2034015.2188799996</c:v>
                </c:pt>
                <c:pt idx="2605">
                  <c:v>-2033191.8293750004</c:v>
                </c:pt>
                <c:pt idx="2606">
                  <c:v>-2032368.6621199998</c:v>
                </c:pt>
                <c:pt idx="2607">
                  <c:v>-2031545.7170850006</c:v>
                </c:pt>
                <c:pt idx="2608">
                  <c:v>-2030722.9942400001</c:v>
                </c:pt>
                <c:pt idx="2609">
                  <c:v>-2029900.4935549996</c:v>
                </c:pt>
                <c:pt idx="2610">
                  <c:v>-2029078.2150000005</c:v>
                </c:pt>
                <c:pt idx="2611">
                  <c:v>-2028256.1585450002</c:v>
                </c:pt>
                <c:pt idx="2612">
                  <c:v>-2027434.3241599996</c:v>
                </c:pt>
                <c:pt idx="2613">
                  <c:v>-2026612.7118150005</c:v>
                </c:pt>
                <c:pt idx="2614">
                  <c:v>-2025791.3214800002</c:v>
                </c:pt>
                <c:pt idx="2615">
                  <c:v>-2024970.1531249995</c:v>
                </c:pt>
                <c:pt idx="2616">
                  <c:v>-2024149.2067200004</c:v>
                </c:pt>
                <c:pt idx="2617">
                  <c:v>-2023328.4822349998</c:v>
                </c:pt>
                <c:pt idx="2618">
                  <c:v>-2022507.9796399993</c:v>
                </c:pt>
                <c:pt idx="2619">
                  <c:v>-2021687.698905</c:v>
                </c:pt>
                <c:pt idx="2620">
                  <c:v>-2020867.6399999994</c:v>
                </c:pt>
                <c:pt idx="2621">
                  <c:v>-2020047.8028950007</c:v>
                </c:pt>
                <c:pt idx="2622">
                  <c:v>-2019228.1875600002</c:v>
                </c:pt>
                <c:pt idx="2623">
                  <c:v>-2018408.7939649997</c:v>
                </c:pt>
                <c:pt idx="2624">
                  <c:v>-2017589.6220800006</c:v>
                </c:pt>
                <c:pt idx="2625">
                  <c:v>-2016770.671875</c:v>
                </c:pt>
                <c:pt idx="2626">
                  <c:v>-2015951.9433199994</c:v>
                </c:pt>
                <c:pt idx="2627">
                  <c:v>-2015133.4363850001</c:v>
                </c:pt>
                <c:pt idx="2628">
                  <c:v>-2014315.1510399997</c:v>
                </c:pt>
                <c:pt idx="2629">
                  <c:v>-2013497.0872549994</c:v>
                </c:pt>
                <c:pt idx="2630">
                  <c:v>-2012679.2450000003</c:v>
                </c:pt>
                <c:pt idx="2631">
                  <c:v>-2011861.6242449998</c:v>
                </c:pt>
                <c:pt idx="2632">
                  <c:v>-2011044.2249600005</c:v>
                </c:pt>
                <c:pt idx="2633">
                  <c:v>-2010227.0471150002</c:v>
                </c:pt>
                <c:pt idx="2634">
                  <c:v>-2009410.0906799997</c:v>
                </c:pt>
                <c:pt idx="2635">
                  <c:v>-2008593.3556250005</c:v>
                </c:pt>
                <c:pt idx="2636">
                  <c:v>-2007776.8419199998</c:v>
                </c:pt>
                <c:pt idx="2637">
                  <c:v>-2006960.5495349995</c:v>
                </c:pt>
                <c:pt idx="2638">
                  <c:v>-2006144.4784400004</c:v>
                </c:pt>
                <c:pt idx="2639">
                  <c:v>-2005328.628605</c:v>
                </c:pt>
                <c:pt idx="2640">
                  <c:v>-2004512.9999999998</c:v>
                </c:pt>
                <c:pt idx="2641">
                  <c:v>-2003697.5925950003</c:v>
                </c:pt>
                <c:pt idx="2642">
                  <c:v>-2002882.4063599997</c:v>
                </c:pt>
                <c:pt idx="2643">
                  <c:v>-2002067.4412649996</c:v>
                </c:pt>
                <c:pt idx="2644">
                  <c:v>-2001252.6972800002</c:v>
                </c:pt>
                <c:pt idx="2645">
                  <c:v>-2000438.1743749997</c:v>
                </c:pt>
                <c:pt idx="2646">
                  <c:v>-1999623.8725200004</c:v>
                </c:pt>
                <c:pt idx="2647">
                  <c:v>-1998809.7916850003</c:v>
                </c:pt>
                <c:pt idx="2648">
                  <c:v>-1997995.9318399997</c:v>
                </c:pt>
                <c:pt idx="2649">
                  <c:v>-1997182.2929550007</c:v>
                </c:pt>
                <c:pt idx="2650">
                  <c:v>-1996368.875</c:v>
                </c:pt>
                <c:pt idx="2651">
                  <c:v>-1995555.6779449994</c:v>
                </c:pt>
                <c:pt idx="2652">
                  <c:v>-1994742.70176</c:v>
                </c:pt>
                <c:pt idx="2653">
                  <c:v>-1993929.9464149997</c:v>
                </c:pt>
                <c:pt idx="2654">
                  <c:v>-1993117.4118799993</c:v>
                </c:pt>
                <c:pt idx="2655">
                  <c:v>-1992305.0981250003</c:v>
                </c:pt>
                <c:pt idx="2656">
                  <c:v>-1991493.0051199999</c:v>
                </c:pt>
                <c:pt idx="2657">
                  <c:v>-1990681.1328350005</c:v>
                </c:pt>
                <c:pt idx="2658">
                  <c:v>-1989869.48124</c:v>
                </c:pt>
                <c:pt idx="2659">
                  <c:v>-1989058.0503049996</c:v>
                </c:pt>
                <c:pt idx="2660">
                  <c:v>-1988246.8400000005</c:v>
                </c:pt>
                <c:pt idx="2661">
                  <c:v>-1987435.8502950002</c:v>
                </c:pt>
                <c:pt idx="2662">
                  <c:v>-1986625.0811599996</c:v>
                </c:pt>
                <c:pt idx="2663">
                  <c:v>-1985814.5325650002</c:v>
                </c:pt>
                <c:pt idx="2664">
                  <c:v>-1985004.20448</c:v>
                </c:pt>
                <c:pt idx="2665">
                  <c:v>-1984194.0968749996</c:v>
                </c:pt>
                <c:pt idx="2666">
                  <c:v>-1983384.2097200004</c:v>
                </c:pt>
                <c:pt idx="2667">
                  <c:v>-1982574.542985</c:v>
                </c:pt>
                <c:pt idx="2668">
                  <c:v>-1981765.0966399994</c:v>
                </c:pt>
                <c:pt idx="2669">
                  <c:v>-1980955.8706550002</c:v>
                </c:pt>
                <c:pt idx="2670">
                  <c:v>-1980146.8649999995</c:v>
                </c:pt>
                <c:pt idx="2671">
                  <c:v>-1979338.0796450006</c:v>
                </c:pt>
                <c:pt idx="2672">
                  <c:v>-1978529.51456</c:v>
                </c:pt>
                <c:pt idx="2673">
                  <c:v>-1977721.1697149999</c:v>
                </c:pt>
                <c:pt idx="2674">
                  <c:v>-1976913.0450800005</c:v>
                </c:pt>
                <c:pt idx="2675">
                  <c:v>-1976105.140625</c:v>
                </c:pt>
                <c:pt idx="2676">
                  <c:v>-1975297.4563199996</c:v>
                </c:pt>
                <c:pt idx="2677">
                  <c:v>-1974489.9921350002</c:v>
                </c:pt>
                <c:pt idx="2678">
                  <c:v>-1973682.7480399997</c:v>
                </c:pt>
                <c:pt idx="2679">
                  <c:v>-1972875.7240049995</c:v>
                </c:pt>
                <c:pt idx="2680">
                  <c:v>-1972068.9200000004</c:v>
                </c:pt>
                <c:pt idx="2681">
                  <c:v>-1971262.3359949999</c:v>
                </c:pt>
                <c:pt idx="2682">
                  <c:v>-1970455.9719600005</c:v>
                </c:pt>
                <c:pt idx="2683">
                  <c:v>-1969649.8278650003</c:v>
                </c:pt>
                <c:pt idx="2684">
                  <c:v>-1968843.9036799998</c:v>
                </c:pt>
                <c:pt idx="2685">
                  <c:v>-1968038.1993750003</c:v>
                </c:pt>
                <c:pt idx="2686">
                  <c:v>-1967232.71492</c:v>
                </c:pt>
                <c:pt idx="2687">
                  <c:v>-1966427.4502849996</c:v>
                </c:pt>
                <c:pt idx="2688">
                  <c:v>-1965622.4054400006</c:v>
                </c:pt>
                <c:pt idx="2689">
                  <c:v>-1964817.580355</c:v>
                </c:pt>
                <c:pt idx="2690">
                  <c:v>-1964012.9749999994</c:v>
                </c:pt>
                <c:pt idx="2691">
                  <c:v>-1963208.5893450005</c:v>
                </c:pt>
                <c:pt idx="2692">
                  <c:v>-1962404.4233599997</c:v>
                </c:pt>
                <c:pt idx="2693">
                  <c:v>-1961600.4770149994</c:v>
                </c:pt>
                <c:pt idx="2694">
                  <c:v>-1960796.75028</c:v>
                </c:pt>
                <c:pt idx="2695">
                  <c:v>-1959993.2431249998</c:v>
                </c:pt>
                <c:pt idx="2696">
                  <c:v>-1959189.9555200008</c:v>
                </c:pt>
                <c:pt idx="2697">
                  <c:v>-1958386.8874350002</c:v>
                </c:pt>
                <c:pt idx="2698">
                  <c:v>-1957584.0388399998</c:v>
                </c:pt>
                <c:pt idx="2699">
                  <c:v>-1956781.4097050002</c:v>
                </c:pt>
                <c:pt idx="2700">
                  <c:v>-1955979.0</c:v>
                </c:pt>
                <c:pt idx="2701">
                  <c:v>-1955176.8096949996</c:v>
                </c:pt>
                <c:pt idx="2702">
                  <c:v>-1954374.83876</c:v>
                </c:pt>
                <c:pt idx="2703">
                  <c:v>-1953573.0871649997</c:v>
                </c:pt>
                <c:pt idx="2704">
                  <c:v>-1952771.5548799993</c:v>
                </c:pt>
                <c:pt idx="2705">
                  <c:v>-1951970.2418750003</c:v>
                </c:pt>
                <c:pt idx="2706">
                  <c:v>-1951169.14812</c:v>
                </c:pt>
                <c:pt idx="2707">
                  <c:v>-1950368.2735850008</c:v>
                </c:pt>
                <c:pt idx="2708">
                  <c:v>-1949567.6182400002</c:v>
                </c:pt>
                <c:pt idx="2709">
                  <c:v>-1948767.1820549995</c:v>
                </c:pt>
                <c:pt idx="2710">
                  <c:v>-1947966.9650000005</c:v>
                </c:pt>
                <c:pt idx="2711">
                  <c:v>-1947166.967045</c:v>
                </c:pt>
                <c:pt idx="2712">
                  <c:v>-1946367.1881599997</c:v>
                </c:pt>
                <c:pt idx="2713">
                  <c:v>-1945567.6283150006</c:v>
                </c:pt>
                <c:pt idx="2714">
                  <c:v>-1944768.2874800002</c:v>
                </c:pt>
                <c:pt idx="2715">
                  <c:v>-1943969.1656249997</c:v>
                </c:pt>
                <c:pt idx="2716">
                  <c:v>-1943170.2627200002</c:v>
                </c:pt>
                <c:pt idx="2717">
                  <c:v>-1942371.5787349998</c:v>
                </c:pt>
                <c:pt idx="2718">
                  <c:v>-1941573.1136399994</c:v>
                </c:pt>
                <c:pt idx="2719">
                  <c:v>-1940774.8674050001</c:v>
                </c:pt>
                <c:pt idx="2720">
                  <c:v>-1939976.8399999996</c:v>
                </c:pt>
                <c:pt idx="2721">
                  <c:v>-1939179.0313950006</c:v>
                </c:pt>
                <c:pt idx="2722">
                  <c:v>-1938381.4415600002</c:v>
                </c:pt>
                <c:pt idx="2723">
                  <c:v>-1937584.0704649996</c:v>
                </c:pt>
                <c:pt idx="2724">
                  <c:v>-1936786.9180800007</c:v>
                </c:pt>
                <c:pt idx="2725">
                  <c:v>-1935989.984375</c:v>
                </c:pt>
                <c:pt idx="2726">
                  <c:v>-1935193.2693199995</c:v>
                </c:pt>
                <c:pt idx="2727">
                  <c:v>-1934396.772885</c:v>
                </c:pt>
                <c:pt idx="2728">
                  <c:v>-1933600.49504</c:v>
                </c:pt>
                <c:pt idx="2729">
                  <c:v>-1932804.4357549993</c:v>
                </c:pt>
                <c:pt idx="2730">
                  <c:v>-1932008.5950000004</c:v>
                </c:pt>
                <c:pt idx="2731">
                  <c:v>-1931212.972745</c:v>
                </c:pt>
                <c:pt idx="2732">
                  <c:v>-1930417.5689600008</c:v>
                </c:pt>
                <c:pt idx="2733">
                  <c:v>-1929622.3836150002</c:v>
                </c:pt>
                <c:pt idx="2734">
                  <c:v>-1928827.4166799998</c:v>
                </c:pt>
                <c:pt idx="2735">
                  <c:v>-1928032.6681250003</c:v>
                </c:pt>
                <c:pt idx="2736">
                  <c:v>-1927238.1379200001</c:v>
                </c:pt>
                <c:pt idx="2737">
                  <c:v>-1926443.8260349995</c:v>
                </c:pt>
                <c:pt idx="2738">
                  <c:v>-1925649.7324400004</c:v>
                </c:pt>
                <c:pt idx="2739">
                  <c:v>-1924855.8571050002</c:v>
                </c:pt>
                <c:pt idx="2740">
                  <c:v>-1924062.1999999997</c:v>
                </c:pt>
                <c:pt idx="2741">
                  <c:v>-1923268.7610950002</c:v>
                </c:pt>
                <c:pt idx="2742">
                  <c:v>-1922475.54036</c:v>
                </c:pt>
                <c:pt idx="2743">
                  <c:v>-1921682.5377649993</c:v>
                </c:pt>
                <c:pt idx="2744">
                  <c:v>-1920889.75328</c:v>
                </c:pt>
                <c:pt idx="2745">
                  <c:v>-1920097.1868749997</c:v>
                </c:pt>
                <c:pt idx="2746">
                  <c:v>-1919304.8385200005</c:v>
                </c:pt>
                <c:pt idx="2747">
                  <c:v>-1918512.708185</c:v>
                </c:pt>
                <c:pt idx="2748">
                  <c:v>-1917720.7958399998</c:v>
                </c:pt>
                <c:pt idx="2749">
                  <c:v>-1916929.1014550005</c:v>
                </c:pt>
                <c:pt idx="2750">
                  <c:v>-1916137.625</c:v>
                </c:pt>
                <c:pt idx="2751">
                  <c:v>-1915346.3664449994</c:v>
                </c:pt>
                <c:pt idx="2752">
                  <c:v>-1914555.3257600002</c:v>
                </c:pt>
                <c:pt idx="2753">
                  <c:v>-1913764.5029149998</c:v>
                </c:pt>
                <c:pt idx="2754">
                  <c:v>-1912973.8978799996</c:v>
                </c:pt>
                <c:pt idx="2755">
                  <c:v>-1912183.510625</c:v>
                </c:pt>
                <c:pt idx="2756">
                  <c:v>-1911393.34112</c:v>
                </c:pt>
                <c:pt idx="2757">
                  <c:v>-1910603.3893350007</c:v>
                </c:pt>
                <c:pt idx="2758">
                  <c:v>-1909813.6552400002</c:v>
                </c:pt>
                <c:pt idx="2759">
                  <c:v>-1909024.1388049996</c:v>
                </c:pt>
                <c:pt idx="2760">
                  <c:v>-1908234.8400000005</c:v>
                </c:pt>
                <c:pt idx="2761">
                  <c:v>-1907445.758795</c:v>
                </c:pt>
                <c:pt idx="2762">
                  <c:v>-1906656.8951599994</c:v>
                </c:pt>
                <c:pt idx="2763">
                  <c:v>-1905868.2490650006</c:v>
                </c:pt>
                <c:pt idx="2764">
                  <c:v>-1905079.8204799998</c:v>
                </c:pt>
                <c:pt idx="2765">
                  <c:v>-1904291.6093749995</c:v>
                </c:pt>
                <c:pt idx="2766">
                  <c:v>-1903503.6157200001</c:v>
                </c:pt>
                <c:pt idx="2767">
                  <c:v>-1902715.839485</c:v>
                </c:pt>
                <c:pt idx="2768">
                  <c:v>-1901928.2806399995</c:v>
                </c:pt>
                <c:pt idx="2769">
                  <c:v>-1901140.939155</c:v>
                </c:pt>
                <c:pt idx="2770">
                  <c:v>-1900353.815</c:v>
                </c:pt>
                <c:pt idx="2771">
                  <c:v>-1899566.9081450007</c:v>
                </c:pt>
                <c:pt idx="2772">
                  <c:v>-1898780.21856</c:v>
                </c:pt>
                <c:pt idx="2773">
                  <c:v>-1897993.7462149996</c:v>
                </c:pt>
                <c:pt idx="2774">
                  <c:v>-1897207.4910800005</c:v>
                </c:pt>
                <c:pt idx="2775">
                  <c:v>-1896421.453125</c:v>
                </c:pt>
                <c:pt idx="2776">
                  <c:v>-1895635.6323199996</c:v>
                </c:pt>
                <c:pt idx="2777">
                  <c:v>-1894850.028635</c:v>
                </c:pt>
                <c:pt idx="2778">
                  <c:v>-1894064.6420399998</c:v>
                </c:pt>
                <c:pt idx="2779">
                  <c:v>-1893279.4725049995</c:v>
                </c:pt>
                <c:pt idx="2780">
                  <c:v>-1892494.5200000003</c:v>
                </c:pt>
                <c:pt idx="2781">
                  <c:v>-1891709.7844949998</c:v>
                </c:pt>
                <c:pt idx="2782">
                  <c:v>-1890925.2659600002</c:v>
                </c:pt>
                <c:pt idx="2783">
                  <c:v>-1890140.9643650004</c:v>
                </c:pt>
                <c:pt idx="2784">
                  <c:v>-1889356.8796799995</c:v>
                </c:pt>
                <c:pt idx="2785">
                  <c:v>-1888573.0118750003</c:v>
                </c:pt>
                <c:pt idx="2786">
                  <c:v>-1887789.3609200001</c:v>
                </c:pt>
                <c:pt idx="2787">
                  <c:v>-1887005.9267849994</c:v>
                </c:pt>
                <c:pt idx="2788">
                  <c:v>-1886222.7094400004</c:v>
                </c:pt>
                <c:pt idx="2789">
                  <c:v>-1885439.7088550003</c:v>
                </c:pt>
                <c:pt idx="2790">
                  <c:v>-1884656.9249999998</c:v>
                </c:pt>
                <c:pt idx="2791">
                  <c:v>-1883874.3578450005</c:v>
                </c:pt>
                <c:pt idx="2792">
                  <c:v>-1883092.0073599997</c:v>
                </c:pt>
                <c:pt idx="2793">
                  <c:v>-1882309.8735149994</c:v>
                </c:pt>
                <c:pt idx="2794">
                  <c:v>-1881527.95628</c:v>
                </c:pt>
                <c:pt idx="2795">
                  <c:v>-1880746.2556249998</c:v>
                </c:pt>
                <c:pt idx="2796">
                  <c:v>-1879964.7715200006</c:v>
                </c:pt>
                <c:pt idx="2797">
                  <c:v>-1879183.5039350002</c:v>
                </c:pt>
                <c:pt idx="2798">
                  <c:v>-1878402.45284</c:v>
                </c:pt>
                <c:pt idx="2799">
                  <c:v>-1877621.6182050004</c:v>
                </c:pt>
                <c:pt idx="2800">
                  <c:v>-1876841.0</c:v>
                </c:pt>
                <c:pt idx="2801">
                  <c:v>-1876060.5981949994</c:v>
                </c:pt>
                <c:pt idx="2802">
                  <c:v>-1875280.4127600002</c:v>
                </c:pt>
                <c:pt idx="2803">
                  <c:v>-1874500.443665</c:v>
                </c:pt>
                <c:pt idx="2804">
                  <c:v>-1873720.6908799994</c:v>
                </c:pt>
                <c:pt idx="2805">
                  <c:v>-1872941.1543750004</c:v>
                </c:pt>
                <c:pt idx="2806">
                  <c:v>-1872161.83412</c:v>
                </c:pt>
                <c:pt idx="2807">
                  <c:v>-1871382.7300850004</c:v>
                </c:pt>
                <c:pt idx="2808">
                  <c:v>-1870603.8422400004</c:v>
                </c:pt>
                <c:pt idx="2809">
                  <c:v>-1869825.1705549997</c:v>
                </c:pt>
                <c:pt idx="2810">
                  <c:v>-1869046.7150000003</c:v>
                </c:pt>
                <c:pt idx="2811">
                  <c:v>-1868268.4755449998</c:v>
                </c:pt>
                <c:pt idx="2812">
                  <c:v>-1867490.4521599996</c:v>
                </c:pt>
                <c:pt idx="2813">
                  <c:v>-1866712.6448150005</c:v>
                </c:pt>
                <c:pt idx="2814">
                  <c:v>-1865935.05348</c:v>
                </c:pt>
                <c:pt idx="2815">
                  <c:v>-1865157.6781249996</c:v>
                </c:pt>
                <c:pt idx="2816">
                  <c:v>-1864380.5187200005</c:v>
                </c:pt>
                <c:pt idx="2817">
                  <c:v>-1863603.575235</c:v>
                </c:pt>
                <c:pt idx="2818">
                  <c:v>-1862826.8476399994</c:v>
                </c:pt>
                <c:pt idx="2819">
                  <c:v>-1862050.335905</c:v>
                </c:pt>
                <c:pt idx="2820">
                  <c:v>-1861274.0399999996</c:v>
                </c:pt>
                <c:pt idx="2821">
                  <c:v>-1860497.9598950006</c:v>
                </c:pt>
                <c:pt idx="2822">
                  <c:v>-1859722.09556</c:v>
                </c:pt>
                <c:pt idx="2823">
                  <c:v>-1858946.446965</c:v>
                </c:pt>
                <c:pt idx="2824">
                  <c:v>-1858171.0140800003</c:v>
                </c:pt>
                <c:pt idx="2825">
                  <c:v>-1857395.796875</c:v>
                </c:pt>
                <c:pt idx="2826">
                  <c:v>-1856620.7953199996</c:v>
                </c:pt>
                <c:pt idx="2827">
                  <c:v>-1855846.0093850002</c:v>
                </c:pt>
                <c:pt idx="2828">
                  <c:v>-1855071.43904</c:v>
                </c:pt>
                <c:pt idx="2829">
                  <c:v>-1854297.0842549994</c:v>
                </c:pt>
                <c:pt idx="2830">
                  <c:v>-1853522.9450000003</c:v>
                </c:pt>
                <c:pt idx="2831">
                  <c:v>-1852749.0212449997</c:v>
                </c:pt>
                <c:pt idx="2832">
                  <c:v>-1851975.3129600005</c:v>
                </c:pt>
                <c:pt idx="2833">
                  <c:v>-1851201.820115</c:v>
                </c:pt>
                <c:pt idx="2834">
                  <c:v>-1850428.5426799997</c:v>
                </c:pt>
                <c:pt idx="2835">
                  <c:v>-1849655.4806250003</c:v>
                </c:pt>
                <c:pt idx="2836">
                  <c:v>-1848882.63392</c:v>
                </c:pt>
                <c:pt idx="2837">
                  <c:v>-1848110.0025349995</c:v>
                </c:pt>
                <c:pt idx="2838">
                  <c:v>-1847337.5864400005</c:v>
                </c:pt>
                <c:pt idx="2839">
                  <c:v>-1846565.3856050002</c:v>
                </c:pt>
                <c:pt idx="2840">
                  <c:v>-1845793.4</c:v>
                </c:pt>
                <c:pt idx="2841">
                  <c:v>-1845021.629595</c:v>
                </c:pt>
                <c:pt idx="2842">
                  <c:v>-1844250.0743599997</c:v>
                </c:pt>
                <c:pt idx="2843">
                  <c:v>-1843478.7342649994</c:v>
                </c:pt>
                <c:pt idx="2844">
                  <c:v>-1842707.6092800002</c:v>
                </c:pt>
                <c:pt idx="2845">
                  <c:v>-1841936.6993749996</c:v>
                </c:pt>
                <c:pt idx="2846">
                  <c:v>-1841166.004520001</c:v>
                </c:pt>
                <c:pt idx="2847">
                  <c:v>-1840395.524685</c:v>
                </c:pt>
                <c:pt idx="2848">
                  <c:v>-1839625.2598399997</c:v>
                </c:pt>
                <c:pt idx="2849">
                  <c:v>-1838855.2099550003</c:v>
                </c:pt>
                <c:pt idx="2850">
                  <c:v>-1838085.375</c:v>
                </c:pt>
                <c:pt idx="2851">
                  <c:v>-1837315.7549449997</c:v>
                </c:pt>
                <c:pt idx="2852">
                  <c:v>-1836546.3497600004</c:v>
                </c:pt>
                <c:pt idx="2853">
                  <c:v>-1835777.1594149997</c:v>
                </c:pt>
                <c:pt idx="2854">
                  <c:v>-1835008.1838799992</c:v>
                </c:pt>
                <c:pt idx="2855">
                  <c:v>-1834239.4231250002</c:v>
                </c:pt>
                <c:pt idx="2856">
                  <c:v>-1833470.8771199998</c:v>
                </c:pt>
                <c:pt idx="2857">
                  <c:v>-1832702.5458350007</c:v>
                </c:pt>
                <c:pt idx="2858">
                  <c:v>-1831934.42924</c:v>
                </c:pt>
                <c:pt idx="2859">
                  <c:v>-1831166.5273049998</c:v>
                </c:pt>
                <c:pt idx="2860">
                  <c:v>-1830398.8400000003</c:v>
                </c:pt>
                <c:pt idx="2861">
                  <c:v>-1829631.367295</c:v>
                </c:pt>
                <c:pt idx="2862">
                  <c:v>-1828864.1091599995</c:v>
                </c:pt>
                <c:pt idx="2863">
                  <c:v>-1828097.0655650003</c:v>
                </c:pt>
                <c:pt idx="2864">
                  <c:v>-1827330.2364800002</c:v>
                </c:pt>
                <c:pt idx="2865">
                  <c:v>-1826563.6218749995</c:v>
                </c:pt>
                <c:pt idx="2866">
                  <c:v>-1825797.2217200005</c:v>
                </c:pt>
                <c:pt idx="2867">
                  <c:v>-1825031.0359849997</c:v>
                </c:pt>
                <c:pt idx="2868">
                  <c:v>-1824265.0646399995</c:v>
                </c:pt>
                <c:pt idx="2869">
                  <c:v>-1823499.307655</c:v>
                </c:pt>
                <c:pt idx="2870">
                  <c:v>-1822733.7649999997</c:v>
                </c:pt>
                <c:pt idx="2871">
                  <c:v>-1821968.4366450007</c:v>
                </c:pt>
                <c:pt idx="2872">
                  <c:v>-1821203.3225600002</c:v>
                </c:pt>
                <c:pt idx="2873">
                  <c:v>-1820438.4227149996</c:v>
                </c:pt>
                <c:pt idx="2874">
                  <c:v>-1819673.7370800003</c:v>
                </c:pt>
                <c:pt idx="2875">
                  <c:v>-1818909.265625</c:v>
                </c:pt>
                <c:pt idx="2876">
                  <c:v>-1818145.0083199998</c:v>
                </c:pt>
                <c:pt idx="2877">
                  <c:v>-1817380.9651350002</c:v>
                </c:pt>
                <c:pt idx="2878">
                  <c:v>-1816617.13604</c:v>
                </c:pt>
                <c:pt idx="2879">
                  <c:v>-1815853.5210049995</c:v>
                </c:pt>
                <c:pt idx="2880">
                  <c:v>-1815090.12</c:v>
                </c:pt>
                <c:pt idx="2881">
                  <c:v>-1814326.932995</c:v>
                </c:pt>
                <c:pt idx="2882">
                  <c:v>-1813563.9599600004</c:v>
                </c:pt>
                <c:pt idx="2883">
                  <c:v>-1812801.2008650003</c:v>
                </c:pt>
                <c:pt idx="2884">
                  <c:v>-1812038.6556799999</c:v>
                </c:pt>
                <c:pt idx="2885">
                  <c:v>-1811276.3243750003</c:v>
                </c:pt>
                <c:pt idx="2886">
                  <c:v>-1810514.20692</c:v>
                </c:pt>
                <c:pt idx="2887">
                  <c:v>-1809752.3032849994</c:v>
                </c:pt>
                <c:pt idx="2888">
                  <c:v>-1808990.6134400005</c:v>
                </c:pt>
                <c:pt idx="2889">
                  <c:v>-1808229.137355</c:v>
                </c:pt>
                <c:pt idx="2890">
                  <c:v>-1807467.8749999995</c:v>
                </c:pt>
                <c:pt idx="2891">
                  <c:v>-1806706.8263450004</c:v>
                </c:pt>
                <c:pt idx="2892">
                  <c:v>-1805945.99136</c:v>
                </c:pt>
                <c:pt idx="2893">
                  <c:v>-1805185.3700149995</c:v>
                </c:pt>
                <c:pt idx="2894">
                  <c:v>-1804424.96228</c:v>
                </c:pt>
                <c:pt idx="2895">
                  <c:v>-1803664.7681249997</c:v>
                </c:pt>
                <c:pt idx="2896">
                  <c:v>-1802904.7875200005</c:v>
                </c:pt>
                <c:pt idx="2897">
                  <c:v>-1802145.020435</c:v>
                </c:pt>
                <c:pt idx="2898">
                  <c:v>-1801385.4668399997</c:v>
                </c:pt>
                <c:pt idx="2899">
                  <c:v>-1800626.1267050004</c:v>
                </c:pt>
                <c:pt idx="2900">
                  <c:v>-1799867.0</c:v>
                </c:pt>
                <c:pt idx="2901">
                  <c:v>-1799108.0866949996</c:v>
                </c:pt>
                <c:pt idx="2902">
                  <c:v>-1798349.3867600004</c:v>
                </c:pt>
                <c:pt idx="2903">
                  <c:v>-1797590.9001649998</c:v>
                </c:pt>
                <c:pt idx="2904">
                  <c:v>-1796832.6268799994</c:v>
                </c:pt>
                <c:pt idx="2905">
                  <c:v>-1796074.5668750003</c:v>
                </c:pt>
                <c:pt idx="2906">
                  <c:v>-1795316.72012</c:v>
                </c:pt>
                <c:pt idx="2907">
                  <c:v>-1794559.0865850006</c:v>
                </c:pt>
                <c:pt idx="2908">
                  <c:v>-1793801.66624</c:v>
                </c:pt>
                <c:pt idx="2909">
                  <c:v>-1793044.4590549998</c:v>
                </c:pt>
                <c:pt idx="2910">
                  <c:v>-1792287.4650000005</c:v>
                </c:pt>
                <c:pt idx="2911">
                  <c:v>-1791530.6840450002</c:v>
                </c:pt>
                <c:pt idx="2912">
                  <c:v>-1790774.1161599995</c:v>
                </c:pt>
                <c:pt idx="2913">
                  <c:v>-1790017.7613150005</c:v>
                </c:pt>
                <c:pt idx="2914">
                  <c:v>-1789261.61948</c:v>
                </c:pt>
                <c:pt idx="2915">
                  <c:v>-1788505.6906249998</c:v>
                </c:pt>
                <c:pt idx="2916">
                  <c:v>-1787749.97472</c:v>
                </c:pt>
                <c:pt idx="2917">
                  <c:v>-1786994.471735</c:v>
                </c:pt>
                <c:pt idx="2918">
                  <c:v>-1786239.1816399994</c:v>
                </c:pt>
                <c:pt idx="2919">
                  <c:v>-1785484.104405</c:v>
                </c:pt>
                <c:pt idx="2920">
                  <c:v>-1784729.2399999998</c:v>
                </c:pt>
                <c:pt idx="2921">
                  <c:v>-1783974.5883950004</c:v>
                </c:pt>
                <c:pt idx="2922">
                  <c:v>-1783220.14956</c:v>
                </c:pt>
                <c:pt idx="2923">
                  <c:v>-1782465.9234649998</c:v>
                </c:pt>
                <c:pt idx="2924">
                  <c:v>-1781711.9100800005</c:v>
                </c:pt>
                <c:pt idx="2925">
                  <c:v>-1780958.109375</c:v>
                </c:pt>
                <c:pt idx="2926">
                  <c:v>-1780204.5213199996</c:v>
                </c:pt>
                <c:pt idx="2927">
                  <c:v>-1779451.1458850002</c:v>
                </c:pt>
                <c:pt idx="2928">
                  <c:v>-1778697.9830399998</c:v>
                </c:pt>
                <c:pt idx="2929">
                  <c:v>-1777945.0327549994</c:v>
                </c:pt>
                <c:pt idx="2930">
                  <c:v>-1777192.2950000002</c:v>
                </c:pt>
                <c:pt idx="2931">
                  <c:v>-1776439.769745</c:v>
                </c:pt>
                <c:pt idx="2932">
                  <c:v>-1775687.4569600006</c:v>
                </c:pt>
                <c:pt idx="2933">
                  <c:v>-1774935.3566150002</c:v>
                </c:pt>
                <c:pt idx="2934">
                  <c:v>-1774183.4686799997</c:v>
                </c:pt>
                <c:pt idx="2935">
                  <c:v>-1773431.7931250005</c:v>
                </c:pt>
                <c:pt idx="2936">
                  <c:v>-1772680.32992</c:v>
                </c:pt>
                <c:pt idx="2937">
                  <c:v>-1771929.0790349997</c:v>
                </c:pt>
                <c:pt idx="2938">
                  <c:v>-1771178.0404400004</c:v>
                </c:pt>
                <c:pt idx="2939">
                  <c:v>-1770427.2141049998</c:v>
                </c:pt>
                <c:pt idx="2940">
                  <c:v>-1769676.5999999996</c:v>
                </c:pt>
                <c:pt idx="2941">
                  <c:v>-1768926.1980950006</c:v>
                </c:pt>
                <c:pt idx="2942">
                  <c:v>-1768176.0083599999</c:v>
                </c:pt>
                <c:pt idx="2943">
                  <c:v>-1767426.0307649996</c:v>
                </c:pt>
                <c:pt idx="2944">
                  <c:v>-1766676.2652800002</c:v>
                </c:pt>
                <c:pt idx="2945">
                  <c:v>-1765926.7118749996</c:v>
                </c:pt>
                <c:pt idx="2946">
                  <c:v>-1765177.3705200003</c:v>
                </c:pt>
                <c:pt idx="2947">
                  <c:v>-1764428.2411850002</c:v>
                </c:pt>
                <c:pt idx="2948">
                  <c:v>-1763679.3238399995</c:v>
                </c:pt>
                <c:pt idx="2949">
                  <c:v>-1762930.6184550005</c:v>
                </c:pt>
                <c:pt idx="2950">
                  <c:v>-1762182.125</c:v>
                </c:pt>
                <c:pt idx="2951">
                  <c:v>-1761433.8434449998</c:v>
                </c:pt>
                <c:pt idx="2952">
                  <c:v>-1760685.77376</c:v>
                </c:pt>
                <c:pt idx="2953">
                  <c:v>-1759937.915915</c:v>
                </c:pt>
                <c:pt idx="2954">
                  <c:v>-1759190.2698799996</c:v>
                </c:pt>
                <c:pt idx="2955">
                  <c:v>-1758442.8356250005</c:v>
                </c:pt>
                <c:pt idx="2956">
                  <c:v>-1757695.6131199999</c:v>
                </c:pt>
                <c:pt idx="2957">
                  <c:v>-1756948.6023350004</c:v>
                </c:pt>
                <c:pt idx="2958">
                  <c:v>-1756201.8032400003</c:v>
                </c:pt>
                <c:pt idx="2959">
                  <c:v>-1755455.215805</c:v>
                </c:pt>
                <c:pt idx="2960">
                  <c:v>-1754708.8400000005</c:v>
                </c:pt>
                <c:pt idx="2961">
                  <c:v>-1753962.6757949998</c:v>
                </c:pt>
                <c:pt idx="2962">
                  <c:v>-1753216.7231599994</c:v>
                </c:pt>
                <c:pt idx="2963">
                  <c:v>-1752470.9820650006</c:v>
                </c:pt>
                <c:pt idx="2964">
                  <c:v>-1751725.45248</c:v>
                </c:pt>
                <c:pt idx="2965">
                  <c:v>-1750980.1343749997</c:v>
                </c:pt>
                <c:pt idx="2966">
                  <c:v>-1750235.0277200001</c:v>
                </c:pt>
                <c:pt idx="2967">
                  <c:v>-1749490.1324849997</c:v>
                </c:pt>
                <c:pt idx="2968">
                  <c:v>-1748745.4486399994</c:v>
                </c:pt>
                <c:pt idx="2969">
                  <c:v>-1748000.9761550003</c:v>
                </c:pt>
                <c:pt idx="2970">
                  <c:v>-1747256.7149999996</c:v>
                </c:pt>
                <c:pt idx="2971">
                  <c:v>-1746512.6651450004</c:v>
                </c:pt>
                <c:pt idx="2972">
                  <c:v>-1745768.8265600002</c:v>
                </c:pt>
                <c:pt idx="2973">
                  <c:v>-1745025.1992149998</c:v>
                </c:pt>
                <c:pt idx="2974">
                  <c:v>-1744281.7830800004</c:v>
                </c:pt>
                <c:pt idx="2975">
                  <c:v>-1743538.578125</c:v>
                </c:pt>
                <c:pt idx="2976">
                  <c:v>-1742795.5843199997</c:v>
                </c:pt>
                <c:pt idx="2977">
                  <c:v>-1742052.801635</c:v>
                </c:pt>
                <c:pt idx="2978">
                  <c:v>-1741310.2300399998</c:v>
                </c:pt>
                <c:pt idx="2979">
                  <c:v>-1740567.8695049994</c:v>
                </c:pt>
                <c:pt idx="2980">
                  <c:v>-1739825.7200000004</c:v>
                </c:pt>
                <c:pt idx="2981">
                  <c:v>-1739083.781495</c:v>
                </c:pt>
                <c:pt idx="2982">
                  <c:v>-1738342.0539600006</c:v>
                </c:pt>
                <c:pt idx="2983">
                  <c:v>-1737600.537365</c:v>
                </c:pt>
                <c:pt idx="2984">
                  <c:v>-1736859.2316799995</c:v>
                </c:pt>
                <c:pt idx="2985">
                  <c:v>-1736118.136875</c:v>
                </c:pt>
                <c:pt idx="2986">
                  <c:v>-1735377.25292</c:v>
                </c:pt>
                <c:pt idx="2987">
                  <c:v>-1734636.5797849994</c:v>
                </c:pt>
                <c:pt idx="2988">
                  <c:v>-1733896.1174400006</c:v>
                </c:pt>
                <c:pt idx="2989">
                  <c:v>-1733155.8658549997</c:v>
                </c:pt>
                <c:pt idx="2990">
                  <c:v>-1732415.8249999995</c:v>
                </c:pt>
                <c:pt idx="2991">
                  <c:v>-1731675.994845</c:v>
                </c:pt>
                <c:pt idx="2992">
                  <c:v>-1730936.37536</c:v>
                </c:pt>
                <c:pt idx="2993">
                  <c:v>-1730196.9665149995</c:v>
                </c:pt>
                <c:pt idx="2994">
                  <c:v>-1729457.76828</c:v>
                </c:pt>
                <c:pt idx="2995">
                  <c:v>-1728718.7806249997</c:v>
                </c:pt>
                <c:pt idx="2996">
                  <c:v>-1727980.0035200007</c:v>
                </c:pt>
                <c:pt idx="2997">
                  <c:v>-1727241.4369350004</c:v>
                </c:pt>
                <c:pt idx="2998">
                  <c:v>-1726503.0808399995</c:v>
                </c:pt>
                <c:pt idx="2999">
                  <c:v>-1725764.9352050002</c:v>
                </c:pt>
                <c:pt idx="3000">
                  <c:v>-1725027.0</c:v>
                </c:pt>
                <c:pt idx="3001">
                  <c:v>-1724289.2751949998</c:v>
                </c:pt>
                <c:pt idx="3002">
                  <c:v>-1723551.7607600004</c:v>
                </c:pt>
                <c:pt idx="3003">
                  <c:v>-1722814.456665</c:v>
                </c:pt>
                <c:pt idx="3004">
                  <c:v>-1722077.3628799994</c:v>
                </c:pt>
                <c:pt idx="3005">
                  <c:v>-1721340.4793750003</c:v>
                </c:pt>
                <c:pt idx="3006">
                  <c:v>-1720603.80612</c:v>
                </c:pt>
                <c:pt idx="3007">
                  <c:v>-1719867.3430850005</c:v>
                </c:pt>
                <c:pt idx="3008">
                  <c:v>-1719131.0902400003</c:v>
                </c:pt>
                <c:pt idx="3009">
                  <c:v>-1718395.0475549996</c:v>
                </c:pt>
                <c:pt idx="3010">
                  <c:v>-1717659.2150000005</c:v>
                </c:pt>
                <c:pt idx="3011">
                  <c:v>-1716923.5925450001</c:v>
                </c:pt>
                <c:pt idx="3012">
                  <c:v>-1716188.1801599995</c:v>
                </c:pt>
                <c:pt idx="3013">
                  <c:v>-1715452.9778150006</c:v>
                </c:pt>
                <c:pt idx="3014">
                  <c:v>-1714717.98548</c:v>
                </c:pt>
                <c:pt idx="3015">
                  <c:v>-1713983.2031249993</c:v>
                </c:pt>
                <c:pt idx="3016">
                  <c:v>-1713248.6307200005</c:v>
                </c:pt>
                <c:pt idx="3017">
                  <c:v>-1712514.2682349999</c:v>
                </c:pt>
                <c:pt idx="3018">
                  <c:v>-1711780.1156399993</c:v>
                </c:pt>
                <c:pt idx="3019">
                  <c:v>-1711046.1729050002</c:v>
                </c:pt>
                <c:pt idx="3020">
                  <c:v>-1710312.4399999997</c:v>
                </c:pt>
                <c:pt idx="3021">
                  <c:v>-1709578.9168950005</c:v>
                </c:pt>
                <c:pt idx="3022">
                  <c:v>-1708845.6035600002</c:v>
                </c:pt>
                <c:pt idx="3023">
                  <c:v>-1708112.499965</c:v>
                </c:pt>
                <c:pt idx="3024">
                  <c:v>-1707379.6060800003</c:v>
                </c:pt>
                <c:pt idx="3025">
                  <c:v>-1706646.921875</c:v>
                </c:pt>
                <c:pt idx="3026">
                  <c:v>-1705914.4473199996</c:v>
                </c:pt>
                <c:pt idx="3027">
                  <c:v>-1705182.1823850004</c:v>
                </c:pt>
                <c:pt idx="3028">
                  <c:v>-1704450.12704</c:v>
                </c:pt>
                <c:pt idx="3029">
                  <c:v>-1703718.2812549996</c:v>
                </c:pt>
                <c:pt idx="3030">
                  <c:v>-1702986.6450000003</c:v>
                </c:pt>
                <c:pt idx="3031">
                  <c:v>-1702255.2182449999</c:v>
                </c:pt>
                <c:pt idx="3032">
                  <c:v>-1701524.0009600006</c:v>
                </c:pt>
                <c:pt idx="3033">
                  <c:v>-1700792.993115</c:v>
                </c:pt>
                <c:pt idx="3034">
                  <c:v>-1700062.19468</c:v>
                </c:pt>
                <c:pt idx="3035">
                  <c:v>-1699331.6056250005</c:v>
                </c:pt>
                <c:pt idx="3036">
                  <c:v>-1698601.2259199999</c:v>
                </c:pt>
                <c:pt idx="3037">
                  <c:v>-1697871.0555349996</c:v>
                </c:pt>
                <c:pt idx="3038">
                  <c:v>-1697141.0944400006</c:v>
                </c:pt>
                <c:pt idx="3039">
                  <c:v>-1696411.342605</c:v>
                </c:pt>
                <c:pt idx="3040">
                  <c:v>-1695681.7999999996</c:v>
                </c:pt>
                <c:pt idx="3041">
                  <c:v>-1694952.4665950001</c:v>
                </c:pt>
                <c:pt idx="3042">
                  <c:v>-1694223.34236</c:v>
                </c:pt>
                <c:pt idx="3043">
                  <c:v>-1693494.4272649996</c:v>
                </c:pt>
                <c:pt idx="3044">
                  <c:v>-1692765.7212800002</c:v>
                </c:pt>
                <c:pt idx="3045">
                  <c:v>-1692037.2243749995</c:v>
                </c:pt>
                <c:pt idx="3046">
                  <c:v>-1691308.9365200007</c:v>
                </c:pt>
                <c:pt idx="3047">
                  <c:v>-1690580.8576850004</c:v>
                </c:pt>
                <c:pt idx="3048">
                  <c:v>-1689852.9878399998</c:v>
                </c:pt>
                <c:pt idx="3049">
                  <c:v>-1689125.3269550002</c:v>
                </c:pt>
                <c:pt idx="3050">
                  <c:v>-1688397.875</c:v>
                </c:pt>
                <c:pt idx="3051">
                  <c:v>-1687670.6319449998</c:v>
                </c:pt>
                <c:pt idx="3052">
                  <c:v>-1686943.5977600003</c:v>
                </c:pt>
                <c:pt idx="3053">
                  <c:v>-1686216.7724149998</c:v>
                </c:pt>
                <c:pt idx="3054">
                  <c:v>-1685490.1558799995</c:v>
                </c:pt>
                <c:pt idx="3055">
                  <c:v>-1684763.7481250004</c:v>
                </c:pt>
                <c:pt idx="3056">
                  <c:v>-1684037.5491199996</c:v>
                </c:pt>
                <c:pt idx="3057">
                  <c:v>-1683311.5588350005</c:v>
                </c:pt>
                <c:pt idx="3058">
                  <c:v>-1682585.7772400002</c:v>
                </c:pt>
                <c:pt idx="3059">
                  <c:v>-1681860.2043049997</c:v>
                </c:pt>
                <c:pt idx="3060">
                  <c:v>-1681134.8400000003</c:v>
                </c:pt>
                <c:pt idx="3061">
                  <c:v>-1680409.684295</c:v>
                </c:pt>
                <c:pt idx="3062">
                  <c:v>-1679684.7371599996</c:v>
                </c:pt>
                <c:pt idx="3063">
                  <c:v>-1678959.9985650002</c:v>
                </c:pt>
                <c:pt idx="3064">
                  <c:v>-1678235.46848</c:v>
                </c:pt>
                <c:pt idx="3065">
                  <c:v>-1677511.1468749996</c:v>
                </c:pt>
                <c:pt idx="3066">
                  <c:v>-1676787.0337200004</c:v>
                </c:pt>
                <c:pt idx="3067">
                  <c:v>-1676063.128985</c:v>
                </c:pt>
                <c:pt idx="3068">
                  <c:v>-1675339.4326399995</c:v>
                </c:pt>
                <c:pt idx="3069">
                  <c:v>-1674615.944655</c:v>
                </c:pt>
                <c:pt idx="3070">
                  <c:v>-1673892.6649999998</c:v>
                </c:pt>
                <c:pt idx="3071">
                  <c:v>-1673169.5936450004</c:v>
                </c:pt>
                <c:pt idx="3072">
                  <c:v>-1672446.73056</c:v>
                </c:pt>
                <c:pt idx="3073">
                  <c:v>-1671724.0757149998</c:v>
                </c:pt>
                <c:pt idx="3074">
                  <c:v>-1671001.6290800003</c:v>
                </c:pt>
                <c:pt idx="3075">
                  <c:v>-1670279.390625</c:v>
                </c:pt>
                <c:pt idx="3076">
                  <c:v>-1669557.3603199997</c:v>
                </c:pt>
                <c:pt idx="3077">
                  <c:v>-1668835.538135</c:v>
                </c:pt>
                <c:pt idx="3078">
                  <c:v>-1668113.9240399997</c:v>
                </c:pt>
                <c:pt idx="3079">
                  <c:v>-1667392.5180049995</c:v>
                </c:pt>
                <c:pt idx="3080">
                  <c:v>-1666671.3200000003</c:v>
                </c:pt>
                <c:pt idx="3081">
                  <c:v>-1665950.3299949998</c:v>
                </c:pt>
                <c:pt idx="3082">
                  <c:v>-1665229.5479600006</c:v>
                </c:pt>
                <c:pt idx="3083">
                  <c:v>-1664508.973865</c:v>
                </c:pt>
                <c:pt idx="3084">
                  <c:v>-1663788.60768</c:v>
                </c:pt>
                <c:pt idx="3085">
                  <c:v>-1663068.4493750003</c:v>
                </c:pt>
                <c:pt idx="3086">
                  <c:v>-1662348.49892</c:v>
                </c:pt>
                <c:pt idx="3087">
                  <c:v>-1661628.7562849994</c:v>
                </c:pt>
                <c:pt idx="3088">
                  <c:v>-1660909.2214400005</c:v>
                </c:pt>
                <c:pt idx="3089">
                  <c:v>-1660189.894355</c:v>
                </c:pt>
                <c:pt idx="3090">
                  <c:v>-1659470.7749999997</c:v>
                </c:pt>
                <c:pt idx="3091">
                  <c:v>-1658751.8633450004</c:v>
                </c:pt>
                <c:pt idx="3092">
                  <c:v>-1658033.1593599997</c:v>
                </c:pt>
                <c:pt idx="3093">
                  <c:v>-1657314.6630149996</c:v>
                </c:pt>
                <c:pt idx="3094">
                  <c:v>-1656596.37428</c:v>
                </c:pt>
                <c:pt idx="3095">
                  <c:v>-1655878.2931249996</c:v>
                </c:pt>
                <c:pt idx="3096">
                  <c:v>-1655160.4195200007</c:v>
                </c:pt>
                <c:pt idx="3097">
                  <c:v>-1654442.753435</c:v>
                </c:pt>
                <c:pt idx="3098">
                  <c:v>-1653725.2948399999</c:v>
                </c:pt>
                <c:pt idx="3099">
                  <c:v>-1653008.0437050003</c:v>
                </c:pt>
                <c:pt idx="3100">
                  <c:v>-1652291.0</c:v>
                </c:pt>
                <c:pt idx="3101">
                  <c:v>-1651574.1636949994</c:v>
                </c:pt>
                <c:pt idx="3102">
                  <c:v>-1650857.5347600002</c:v>
                </c:pt>
                <c:pt idx="3103">
                  <c:v>-1650141.1131649998</c:v>
                </c:pt>
                <c:pt idx="3104">
                  <c:v>-1649424.8988799998</c:v>
                </c:pt>
                <c:pt idx="3105">
                  <c:v>-1648708.8918750002</c:v>
                </c:pt>
                <c:pt idx="3106">
                  <c:v>-1647993.09212</c:v>
                </c:pt>
                <c:pt idx="3107">
                  <c:v>-1647277.4995850006</c:v>
                </c:pt>
                <c:pt idx="3108">
                  <c:v>-1646562.1142400003</c:v>
                </c:pt>
                <c:pt idx="3109">
                  <c:v>-1645846.936055</c:v>
                </c:pt>
                <c:pt idx="3110">
                  <c:v>-1645131.9650000003</c:v>
                </c:pt>
                <c:pt idx="3111">
                  <c:v>-1644417.2010449998</c:v>
                </c:pt>
                <c:pt idx="3112">
                  <c:v>-1643702.6441599997</c:v>
                </c:pt>
                <c:pt idx="3113">
                  <c:v>-1642988.2943150005</c:v>
                </c:pt>
                <c:pt idx="3114">
                  <c:v>-1642274.1514800002</c:v>
                </c:pt>
                <c:pt idx="3115">
                  <c:v>-1641560.2156249997</c:v>
                </c:pt>
                <c:pt idx="3116">
                  <c:v>-1640846.4867200002</c:v>
                </c:pt>
                <c:pt idx="3117">
                  <c:v>-1640132.9647349997</c:v>
                </c:pt>
                <c:pt idx="3118">
                  <c:v>-1639419.6496399995</c:v>
                </c:pt>
                <c:pt idx="3119">
                  <c:v>-1638706.541405</c:v>
                </c:pt>
                <c:pt idx="3120">
                  <c:v>-1637993.6399999997</c:v>
                </c:pt>
                <c:pt idx="3121">
                  <c:v>-1637280.9453950005</c:v>
                </c:pt>
                <c:pt idx="3122">
                  <c:v>-1636568.45756</c:v>
                </c:pt>
                <c:pt idx="3123">
                  <c:v>-1635856.176465</c:v>
                </c:pt>
                <c:pt idx="3124">
                  <c:v>-1635144.1020800003</c:v>
                </c:pt>
                <c:pt idx="3125">
                  <c:v>-1634432.234375</c:v>
                </c:pt>
                <c:pt idx="3126">
                  <c:v>-1633720.5733199995</c:v>
                </c:pt>
                <c:pt idx="3127">
                  <c:v>-1633009.1188850002</c:v>
                </c:pt>
                <c:pt idx="3128">
                  <c:v>-1632297.8710399999</c:v>
                </c:pt>
                <c:pt idx="3129">
                  <c:v>-1631586.8297549996</c:v>
                </c:pt>
                <c:pt idx="3130">
                  <c:v>-1630875.995</c:v>
                </c:pt>
                <c:pt idx="3131">
                  <c:v>-1630165.366745</c:v>
                </c:pt>
                <c:pt idx="3132">
                  <c:v>-1629454.9449600007</c:v>
                </c:pt>
                <c:pt idx="3133">
                  <c:v>-1628744.729615</c:v>
                </c:pt>
                <c:pt idx="3134">
                  <c:v>-1628034.7206799998</c:v>
                </c:pt>
                <c:pt idx="3135">
                  <c:v>-1627324.9181250003</c:v>
                </c:pt>
                <c:pt idx="3136">
                  <c:v>-1626615.3219200002</c:v>
                </c:pt>
                <c:pt idx="3137">
                  <c:v>-1625905.9320349994</c:v>
                </c:pt>
                <c:pt idx="3138">
                  <c:v>-1625196.7484400005</c:v>
                </c:pt>
                <c:pt idx="3139">
                  <c:v>-1624487.771105</c:v>
                </c:pt>
                <c:pt idx="3140">
                  <c:v>-1623778.9999999995</c:v>
                </c:pt>
                <c:pt idx="3141">
                  <c:v>-1623070.4350950003</c:v>
                </c:pt>
                <c:pt idx="3142">
                  <c:v>-1622362.0763599998</c:v>
                </c:pt>
                <c:pt idx="3143">
                  <c:v>-1621653.9237649995</c:v>
                </c:pt>
                <c:pt idx="3144">
                  <c:v>-1620945.9772800002</c:v>
                </c:pt>
                <c:pt idx="3145">
                  <c:v>-1620238.236875</c:v>
                </c:pt>
                <c:pt idx="3146">
                  <c:v>-1619530.7025200007</c:v>
                </c:pt>
                <c:pt idx="3147">
                  <c:v>-1618823.3741849998</c:v>
                </c:pt>
                <c:pt idx="3148">
                  <c:v>-1618116.2518399996</c:v>
                </c:pt>
                <c:pt idx="3149">
                  <c:v>-1617409.3354550006</c:v>
                </c:pt>
                <c:pt idx="3150">
                  <c:v>-1616702.625</c:v>
                </c:pt>
                <c:pt idx="3151">
                  <c:v>-1615996.1204449995</c:v>
                </c:pt>
                <c:pt idx="3152">
                  <c:v>-1615289.8217600002</c:v>
                </c:pt>
                <c:pt idx="3153">
                  <c:v>-1614583.7289149999</c:v>
                </c:pt>
                <c:pt idx="3154">
                  <c:v>-1613877.8418799995</c:v>
                </c:pt>
                <c:pt idx="3155">
                  <c:v>-1613172.1606250003</c:v>
                </c:pt>
                <c:pt idx="3156">
                  <c:v>-1612466.6851199998</c:v>
                </c:pt>
                <c:pt idx="3157">
                  <c:v>-1611761.4153350005</c:v>
                </c:pt>
                <c:pt idx="3158">
                  <c:v>-1611056.35124</c:v>
                </c:pt>
                <c:pt idx="3159">
                  <c:v>-1610351.4928049997</c:v>
                </c:pt>
                <c:pt idx="3160">
                  <c:v>-1609646.8400000005</c:v>
                </c:pt>
                <c:pt idx="3161">
                  <c:v>-1608942.392795</c:v>
                </c:pt>
                <c:pt idx="3162">
                  <c:v>-1608238.1511599997</c:v>
                </c:pt>
                <c:pt idx="3163">
                  <c:v>-1607534.1150650005</c:v>
                </c:pt>
                <c:pt idx="3164">
                  <c:v>-1606830.28448</c:v>
                </c:pt>
                <c:pt idx="3165">
                  <c:v>-1606126.6593749998</c:v>
                </c:pt>
                <c:pt idx="3166">
                  <c:v>-1605423.2397200002</c:v>
                </c:pt>
                <c:pt idx="3167">
                  <c:v>-1604720.0254849999</c:v>
                </c:pt>
                <c:pt idx="3168">
                  <c:v>-1604017.0166399993</c:v>
                </c:pt>
                <c:pt idx="3169">
                  <c:v>-1603314.213155</c:v>
                </c:pt>
                <c:pt idx="3170">
                  <c:v>-1602611.6149999998</c:v>
                </c:pt>
                <c:pt idx="3171">
                  <c:v>-1601909.2221450005</c:v>
                </c:pt>
                <c:pt idx="3172">
                  <c:v>-1601207.03456</c:v>
                </c:pt>
                <c:pt idx="3173">
                  <c:v>-1600505.0522149997</c:v>
                </c:pt>
                <c:pt idx="3174">
                  <c:v>-1599803.2750800007</c:v>
                </c:pt>
                <c:pt idx="3175">
                  <c:v>-1599101.703125</c:v>
                </c:pt>
                <c:pt idx="3176">
                  <c:v>-1598400.3363199998</c:v>
                </c:pt>
                <c:pt idx="3177">
                  <c:v>-1597699.174635</c:v>
                </c:pt>
                <c:pt idx="3178">
                  <c:v>-1596998.21804</c:v>
                </c:pt>
                <c:pt idx="3179">
                  <c:v>-1596297.4665049994</c:v>
                </c:pt>
                <c:pt idx="3180">
                  <c:v>-1595596.9200000002</c:v>
                </c:pt>
                <c:pt idx="3181">
                  <c:v>-1594896.5784949998</c:v>
                </c:pt>
                <c:pt idx="3182">
                  <c:v>-1594196.4419600007</c:v>
                </c:pt>
                <c:pt idx="3183">
                  <c:v>-1593496.5103650002</c:v>
                </c:pt>
                <c:pt idx="3184">
                  <c:v>-1592796.7836799996</c:v>
                </c:pt>
                <c:pt idx="3185">
                  <c:v>-1592097.2618750003</c:v>
                </c:pt>
                <c:pt idx="3186">
                  <c:v>-1591397.94492</c:v>
                </c:pt>
                <c:pt idx="3187">
                  <c:v>-1590698.8327849996</c:v>
                </c:pt>
                <c:pt idx="3188">
                  <c:v>-1589999.9254400006</c:v>
                </c:pt>
                <c:pt idx="3189">
                  <c:v>-1589301.222855</c:v>
                </c:pt>
                <c:pt idx="3190">
                  <c:v>-1588602.7249999996</c:v>
                </c:pt>
                <c:pt idx="3191">
                  <c:v>-1587904.431845</c:v>
                </c:pt>
                <c:pt idx="3192">
                  <c:v>-1587206.3433599998</c:v>
                </c:pt>
                <c:pt idx="3193">
                  <c:v>-1586508.4595149993</c:v>
                </c:pt>
                <c:pt idx="3194">
                  <c:v>-1585810.78028</c:v>
                </c:pt>
                <c:pt idx="3195">
                  <c:v>-1585113.3056249996</c:v>
                </c:pt>
                <c:pt idx="3196">
                  <c:v>-1584416.0355200006</c:v>
                </c:pt>
                <c:pt idx="3197">
                  <c:v>-1583718.969935</c:v>
                </c:pt>
                <c:pt idx="3198">
                  <c:v>-1583022.1088399997</c:v>
                </c:pt>
                <c:pt idx="3199">
                  <c:v>-1582325.4522050004</c:v>
                </c:pt>
                <c:pt idx="3200">
                  <c:v>-1581629.0</c:v>
                </c:pt>
                <c:pt idx="3201">
                  <c:v>-1580932.7521949995</c:v>
                </c:pt>
                <c:pt idx="3202">
                  <c:v>-1580236.7087600003</c:v>
                </c:pt>
                <c:pt idx="3203">
                  <c:v>-1579540.869665</c:v>
                </c:pt>
                <c:pt idx="3204">
                  <c:v>-1578845.2348799997</c:v>
                </c:pt>
                <c:pt idx="3205">
                  <c:v>-1578149.804375</c:v>
                </c:pt>
                <c:pt idx="3206">
                  <c:v>-1577454.57812</c:v>
                </c:pt>
                <c:pt idx="3207">
                  <c:v>-1576759.5560850005</c:v>
                </c:pt>
                <c:pt idx="3208">
                  <c:v>-1576064.73824</c:v>
                </c:pt>
                <c:pt idx="3209">
                  <c:v>-1575370.1245549996</c:v>
                </c:pt>
                <c:pt idx="3210">
                  <c:v>-1574675.7150000005</c:v>
                </c:pt>
                <c:pt idx="3211">
                  <c:v>-1573981.509545</c:v>
                </c:pt>
                <c:pt idx="3212">
                  <c:v>-1573287.5081599997</c:v>
                </c:pt>
                <c:pt idx="3213">
                  <c:v>-1572593.7108150003</c:v>
                </c:pt>
                <c:pt idx="3214">
                  <c:v>-1571900.1174799998</c:v>
                </c:pt>
                <c:pt idx="3215">
                  <c:v>-1571206.728125</c:v>
                </c:pt>
                <c:pt idx="3216">
                  <c:v>-1570513.5427200003</c:v>
                </c:pt>
                <c:pt idx="3217">
                  <c:v>-1569820.561235</c:v>
                </c:pt>
                <c:pt idx="3218">
                  <c:v>-1569127.7836399996</c:v>
                </c:pt>
                <c:pt idx="3219">
                  <c:v>-1568435.209905</c:v>
                </c:pt>
                <c:pt idx="3220">
                  <c:v>-1567742.8399999996</c:v>
                </c:pt>
                <c:pt idx="3221">
                  <c:v>-1567050.6738950005</c:v>
                </c:pt>
                <c:pt idx="3222">
                  <c:v>-1566358.7115600004</c:v>
                </c:pt>
                <c:pt idx="3223">
                  <c:v>-1565666.9529649997</c:v>
                </c:pt>
                <c:pt idx="3224">
                  <c:v>-1564975.3980800004</c:v>
                </c:pt>
                <c:pt idx="3225">
                  <c:v>-1564284.046875</c:v>
                </c:pt>
                <c:pt idx="3226">
                  <c:v>-1563592.8993199996</c:v>
                </c:pt>
                <c:pt idx="3227">
                  <c:v>-1562901.9553850004</c:v>
                </c:pt>
                <c:pt idx="3228">
                  <c:v>-1562211.21504</c:v>
                </c:pt>
                <c:pt idx="3229">
                  <c:v>-1561520.6782549995</c:v>
                </c:pt>
                <c:pt idx="3230">
                  <c:v>-1560830.3450000004</c:v>
                </c:pt>
                <c:pt idx="3231">
                  <c:v>-1560140.215245</c:v>
                </c:pt>
                <c:pt idx="3232">
                  <c:v>-1559450.2889600005</c:v>
                </c:pt>
                <c:pt idx="3233">
                  <c:v>-1558760.566115</c:v>
                </c:pt>
                <c:pt idx="3234">
                  <c:v>-1558071.0466799997</c:v>
                </c:pt>
                <c:pt idx="3235">
                  <c:v>-1557381.730625</c:v>
                </c:pt>
                <c:pt idx="3236">
                  <c:v>-1556692.6179199999</c:v>
                </c:pt>
                <c:pt idx="3237">
                  <c:v>-1556003.7085349995</c:v>
                </c:pt>
                <c:pt idx="3238">
                  <c:v>-1555315.0024400007</c:v>
                </c:pt>
                <c:pt idx="3239">
                  <c:v>-1554626.499605</c:v>
                </c:pt>
                <c:pt idx="3240">
                  <c:v>-1553938.1999999995</c:v>
                </c:pt>
                <c:pt idx="3241">
                  <c:v>-1553250.103595</c:v>
                </c:pt>
                <c:pt idx="3242">
                  <c:v>-1552562.21036</c:v>
                </c:pt>
                <c:pt idx="3243">
                  <c:v>-1551874.5202649995</c:v>
                </c:pt>
                <c:pt idx="3244">
                  <c:v>-1551187.03328</c:v>
                </c:pt>
                <c:pt idx="3245">
                  <c:v>-1550499.7493749994</c:v>
                </c:pt>
                <c:pt idx="3246">
                  <c:v>-1549812.6685200005</c:v>
                </c:pt>
                <c:pt idx="3247">
                  <c:v>-1549125.7906850004</c:v>
                </c:pt>
                <c:pt idx="3248">
                  <c:v>-1548439.1158399996</c:v>
                </c:pt>
                <c:pt idx="3249">
                  <c:v>-1547752.6439550004</c:v>
                </c:pt>
                <c:pt idx="3250">
                  <c:v>-1547066.375</c:v>
                </c:pt>
                <c:pt idx="3251">
                  <c:v>-1546380.3089449995</c:v>
                </c:pt>
                <c:pt idx="3252">
                  <c:v>-1545694.4457600003</c:v>
                </c:pt>
                <c:pt idx="3253">
                  <c:v>-1545008.785415</c:v>
                </c:pt>
                <c:pt idx="3254">
                  <c:v>-1544323.3278799998</c:v>
                </c:pt>
                <c:pt idx="3255">
                  <c:v>-1543638.073125</c:v>
                </c:pt>
                <c:pt idx="3256">
                  <c:v>-1542953.02112</c:v>
                </c:pt>
                <c:pt idx="3257">
                  <c:v>-1542268.1718350004</c:v>
                </c:pt>
                <c:pt idx="3258">
                  <c:v>-1541583.52524</c:v>
                </c:pt>
                <c:pt idx="3259">
                  <c:v>-1540899.0813049998</c:v>
                </c:pt>
                <c:pt idx="3260">
                  <c:v>-1540214.8400000005</c:v>
                </c:pt>
                <c:pt idx="3261">
                  <c:v>-1539530.801295</c:v>
                </c:pt>
                <c:pt idx="3262">
                  <c:v>-1538846.96516</c:v>
                </c:pt>
                <c:pt idx="3263">
                  <c:v>-1538163.3315650003</c:v>
                </c:pt>
                <c:pt idx="3264">
                  <c:v>-1537479.90048</c:v>
                </c:pt>
                <c:pt idx="3265">
                  <c:v>-1536796.6718749998</c:v>
                </c:pt>
                <c:pt idx="3266">
                  <c:v>-1536113.64572</c:v>
                </c:pt>
                <c:pt idx="3267">
                  <c:v>-1535430.8219849998</c:v>
                </c:pt>
                <c:pt idx="3268">
                  <c:v>-1534748.2006399997</c:v>
                </c:pt>
                <c:pt idx="3269">
                  <c:v>-1534065.781655</c:v>
                </c:pt>
                <c:pt idx="3270">
                  <c:v>-1533383.5649999997</c:v>
                </c:pt>
                <c:pt idx="3271">
                  <c:v>-1532701.5506450003</c:v>
                </c:pt>
                <c:pt idx="3272">
                  <c:v>-1532019.7385600002</c:v>
                </c:pt>
                <c:pt idx="3273">
                  <c:v>-1531338.1287149996</c:v>
                </c:pt>
                <c:pt idx="3274">
                  <c:v>-1530656.7210800005</c:v>
                </c:pt>
                <c:pt idx="3275">
                  <c:v>-1529975.515625</c:v>
                </c:pt>
                <c:pt idx="3276">
                  <c:v>-1529294.5123199997</c:v>
                </c:pt>
                <c:pt idx="3277">
                  <c:v>-1528613.711135</c:v>
                </c:pt>
                <c:pt idx="3278">
                  <c:v>-1527933.1120399998</c:v>
                </c:pt>
                <c:pt idx="3279">
                  <c:v>-1527252.7150049994</c:v>
                </c:pt>
                <c:pt idx="3280">
                  <c:v>-1526572.5200000003</c:v>
                </c:pt>
                <c:pt idx="3281">
                  <c:v>-1525892.526995</c:v>
                </c:pt>
                <c:pt idx="3282">
                  <c:v>-1525212.7359600007</c:v>
                </c:pt>
                <c:pt idx="3283">
                  <c:v>-1524533.146865</c:v>
                </c:pt>
                <c:pt idx="3284">
                  <c:v>-1523853.7596799997</c:v>
                </c:pt>
                <c:pt idx="3285">
                  <c:v>-1523174.5743750005</c:v>
                </c:pt>
                <c:pt idx="3286">
                  <c:v>-1522495.5909199999</c:v>
                </c:pt>
                <c:pt idx="3287">
                  <c:v>-1521816.8092849995</c:v>
                </c:pt>
                <c:pt idx="3288">
                  <c:v>-1521138.2294400004</c:v>
                </c:pt>
                <c:pt idx="3289">
                  <c:v>-1520459.8513550002</c:v>
                </c:pt>
                <c:pt idx="3290">
                  <c:v>-1519781.6749999998</c:v>
                </c:pt>
                <c:pt idx="3291">
                  <c:v>-1519103.7003450003</c:v>
                </c:pt>
                <c:pt idx="3292">
                  <c:v>-1518425.9273599999</c:v>
                </c:pt>
                <c:pt idx="3293">
                  <c:v>-1517748.3560149996</c:v>
                </c:pt>
                <c:pt idx="3294">
                  <c:v>-1517070.9862799998</c:v>
                </c:pt>
                <c:pt idx="3295">
                  <c:v>-1516393.8181249995</c:v>
                </c:pt>
                <c:pt idx="3296">
                  <c:v>-1515716.8515200005</c:v>
                </c:pt>
                <c:pt idx="3297">
                  <c:v>-1515040.0864350002</c:v>
                </c:pt>
                <c:pt idx="3298">
                  <c:v>-1514363.5228399998</c:v>
                </c:pt>
                <c:pt idx="3299">
                  <c:v>-1513687.1607050004</c:v>
                </c:pt>
                <c:pt idx="3300">
                  <c:v>-1513011.0</c:v>
                </c:pt>
                <c:pt idx="3301">
                  <c:v>-1512335.0406949995</c:v>
                </c:pt>
                <c:pt idx="3302">
                  <c:v>-1511659.28276</c:v>
                </c:pt>
                <c:pt idx="3303">
                  <c:v>-1510983.726165</c:v>
                </c:pt>
                <c:pt idx="3304">
                  <c:v>-1510308.3708799994</c:v>
                </c:pt>
                <c:pt idx="3305">
                  <c:v>-1509633.2168750004</c:v>
                </c:pt>
                <c:pt idx="3306">
                  <c:v>-1508958.26412</c:v>
                </c:pt>
                <c:pt idx="3307">
                  <c:v>-1508283.5125850006</c:v>
                </c:pt>
                <c:pt idx="3308">
                  <c:v>-1507608.96224</c:v>
                </c:pt>
                <c:pt idx="3309">
                  <c:v>-1506934.6130549998</c:v>
                </c:pt>
                <c:pt idx="3310">
                  <c:v>-1506260.4650000003</c:v>
                </c:pt>
                <c:pt idx="3311">
                  <c:v>-1505586.518045</c:v>
                </c:pt>
                <c:pt idx="3312">
                  <c:v>-1504912.7721599997</c:v>
                </c:pt>
                <c:pt idx="3313">
                  <c:v>-1504239.2273150005</c:v>
                </c:pt>
                <c:pt idx="3314">
                  <c:v>-1503565.8834799998</c:v>
                </c:pt>
                <c:pt idx="3315">
                  <c:v>-1502892.7406249996</c:v>
                </c:pt>
                <c:pt idx="3316">
                  <c:v>-1502219.79872</c:v>
                </c:pt>
                <c:pt idx="3317">
                  <c:v>-1501547.0577349998</c:v>
                </c:pt>
                <c:pt idx="3318">
                  <c:v>-1500874.5176399995</c:v>
                </c:pt>
                <c:pt idx="3319">
                  <c:v>-1500202.178405</c:v>
                </c:pt>
                <c:pt idx="3320">
                  <c:v>-1499530.0399999998</c:v>
                </c:pt>
                <c:pt idx="3321">
                  <c:v>-1498858.1023950006</c:v>
                </c:pt>
                <c:pt idx="3322">
                  <c:v>-1498186.3655600003</c:v>
                </c:pt>
                <c:pt idx="3323">
                  <c:v>-1497514.8294649997</c:v>
                </c:pt>
                <c:pt idx="3324">
                  <c:v>-1496843.4940800006</c:v>
                </c:pt>
                <c:pt idx="3325">
                  <c:v>-1496172.359375</c:v>
                </c:pt>
                <c:pt idx="3326">
                  <c:v>-1495501.4253199995</c:v>
                </c:pt>
                <c:pt idx="3327">
                  <c:v>-1494830.691885</c:v>
                </c:pt>
                <c:pt idx="3328">
                  <c:v>-1494160.1590399998</c:v>
                </c:pt>
                <c:pt idx="3329">
                  <c:v>-1493489.8267549993</c:v>
                </c:pt>
                <c:pt idx="3330">
                  <c:v>-1492819.6950000003</c:v>
                </c:pt>
                <c:pt idx="3331">
                  <c:v>-1492149.7637450001</c:v>
                </c:pt>
                <c:pt idx="3332">
                  <c:v>-1491480.0329600004</c:v>
                </c:pt>
                <c:pt idx="3333">
                  <c:v>-1490810.5026150001</c:v>
                </c:pt>
                <c:pt idx="3334">
                  <c:v>-1490141.1726799996</c:v>
                </c:pt>
                <c:pt idx="3335">
                  <c:v>-1489472.0431250003</c:v>
                </c:pt>
                <c:pt idx="3336">
                  <c:v>-1488803.11392</c:v>
                </c:pt>
                <c:pt idx="3337">
                  <c:v>-1488134.3850349996</c:v>
                </c:pt>
                <c:pt idx="3338">
                  <c:v>-1487465.8564400005</c:v>
                </c:pt>
                <c:pt idx="3339">
                  <c:v>-1486797.528105</c:v>
                </c:pt>
                <c:pt idx="3340">
                  <c:v>-1486129.3999999997</c:v>
                </c:pt>
                <c:pt idx="3341">
                  <c:v>-1485461.472095</c:v>
                </c:pt>
                <c:pt idx="3342">
                  <c:v>-1484793.7443599997</c:v>
                </c:pt>
                <c:pt idx="3343">
                  <c:v>-1484126.2167649996</c:v>
                </c:pt>
                <c:pt idx="3344">
                  <c:v>-1483458.8892800002</c:v>
                </c:pt>
                <c:pt idx="3345">
                  <c:v>-1482791.7618749996</c:v>
                </c:pt>
                <c:pt idx="3346">
                  <c:v>-1482124.8345200007</c:v>
                </c:pt>
                <c:pt idx="3347">
                  <c:v>-1481458.107185</c:v>
                </c:pt>
                <c:pt idx="3348">
                  <c:v>-1480791.57984</c:v>
                </c:pt>
                <c:pt idx="3349">
                  <c:v>-1480125.2524550005</c:v>
                </c:pt>
                <c:pt idx="3350">
                  <c:v>-1479459.125</c:v>
                </c:pt>
                <c:pt idx="3351">
                  <c:v>-1478793.1974449996</c:v>
                </c:pt>
                <c:pt idx="3352">
                  <c:v>-1478127.46976</c:v>
                </c:pt>
                <c:pt idx="3353">
                  <c:v>-1477461.9419149999</c:v>
                </c:pt>
                <c:pt idx="3354">
                  <c:v>-1476796.6138799994</c:v>
                </c:pt>
                <c:pt idx="3355">
                  <c:v>-1476131.4856250004</c:v>
                </c:pt>
                <c:pt idx="3356">
                  <c:v>-1475466.5571199998</c:v>
                </c:pt>
                <c:pt idx="3357">
                  <c:v>-1474801.8283350004</c:v>
                </c:pt>
                <c:pt idx="3358">
                  <c:v>-1474137.2992400003</c:v>
                </c:pt>
                <c:pt idx="3359">
                  <c:v>-1473472.969805</c:v>
                </c:pt>
                <c:pt idx="3360">
                  <c:v>-1472808.8400000003</c:v>
                </c:pt>
                <c:pt idx="3361">
                  <c:v>-1472144.909795</c:v>
                </c:pt>
                <c:pt idx="3362">
                  <c:v>-1471481.1791599996</c:v>
                </c:pt>
                <c:pt idx="3363">
                  <c:v>-1470817.6480650005</c:v>
                </c:pt>
                <c:pt idx="3364">
                  <c:v>-1470154.3164800003</c:v>
                </c:pt>
                <c:pt idx="3365">
                  <c:v>-1469491.1843749997</c:v>
                </c:pt>
                <c:pt idx="3366">
                  <c:v>-1468828.2517200003</c:v>
                </c:pt>
                <c:pt idx="3367">
                  <c:v>-1468165.5184850001</c:v>
                </c:pt>
                <c:pt idx="3368">
                  <c:v>-1467502.9846399995</c:v>
                </c:pt>
                <c:pt idx="3369">
                  <c:v>-1466840.650155</c:v>
                </c:pt>
                <c:pt idx="3370">
                  <c:v>-1466178.5149999997</c:v>
                </c:pt>
                <c:pt idx="3371">
                  <c:v>-1465516.5791450005</c:v>
                </c:pt>
                <c:pt idx="3372">
                  <c:v>-1464854.84256</c:v>
                </c:pt>
                <c:pt idx="3373">
                  <c:v>-1464193.305215</c:v>
                </c:pt>
                <c:pt idx="3374">
                  <c:v>-1463531.9670800003</c:v>
                </c:pt>
                <c:pt idx="3375">
                  <c:v>-1462870.828125</c:v>
                </c:pt>
                <c:pt idx="3376">
                  <c:v>-1462209.8883199997</c:v>
                </c:pt>
                <c:pt idx="3377">
                  <c:v>-1461549.147635</c:v>
                </c:pt>
                <c:pt idx="3378">
                  <c:v>-1460888.60604</c:v>
                </c:pt>
                <c:pt idx="3379">
                  <c:v>-1460228.2635049995</c:v>
                </c:pt>
                <c:pt idx="3380">
                  <c:v>-1459568.12</c:v>
                </c:pt>
                <c:pt idx="3381">
                  <c:v>-1458908.1754949999</c:v>
                </c:pt>
                <c:pt idx="3382">
                  <c:v>-1458248.4299600006</c:v>
                </c:pt>
                <c:pt idx="3383">
                  <c:v>-1457588.883365</c:v>
                </c:pt>
                <c:pt idx="3384">
                  <c:v>-1456929.5356799997</c:v>
                </c:pt>
                <c:pt idx="3385">
                  <c:v>-1456270.3868750003</c:v>
                </c:pt>
                <c:pt idx="3386">
                  <c:v>-1455611.4369199998</c:v>
                </c:pt>
                <c:pt idx="3387">
                  <c:v>-1454952.6857849997</c:v>
                </c:pt>
                <c:pt idx="3388">
                  <c:v>-1454294.1334400005</c:v>
                </c:pt>
                <c:pt idx="3389">
                  <c:v>-1453635.7798549999</c:v>
                </c:pt>
                <c:pt idx="3390">
                  <c:v>-1452977.6249999995</c:v>
                </c:pt>
                <c:pt idx="3391">
                  <c:v>-1452319.6688450002</c:v>
                </c:pt>
                <c:pt idx="3392">
                  <c:v>-1451661.91136</c:v>
                </c:pt>
                <c:pt idx="3393">
                  <c:v>-1451004.3525149997</c:v>
                </c:pt>
                <c:pt idx="3394">
                  <c:v>-1450346.99228</c:v>
                </c:pt>
                <c:pt idx="3395">
                  <c:v>-1449689.830625</c:v>
                </c:pt>
                <c:pt idx="3396">
                  <c:v>-1449032.8675200006</c:v>
                </c:pt>
                <c:pt idx="3397">
                  <c:v>-1448376.102935</c:v>
                </c:pt>
                <c:pt idx="3398">
                  <c:v>-1447719.53684</c:v>
                </c:pt>
                <c:pt idx="3399">
                  <c:v>-1447063.1692050004</c:v>
                </c:pt>
                <c:pt idx="3400">
                  <c:v>-1446407.0</c:v>
                </c:pt>
                <c:pt idx="3401">
                  <c:v>-1445751.0291949997</c:v>
                </c:pt>
                <c:pt idx="3402">
                  <c:v>-1445095.2567600003</c:v>
                </c:pt>
                <c:pt idx="3403">
                  <c:v>-1444439.682665</c:v>
                </c:pt>
                <c:pt idx="3404">
                  <c:v>-1443784.3068799996</c:v>
                </c:pt>
                <c:pt idx="3405">
                  <c:v>-1443129.129375</c:v>
                </c:pt>
                <c:pt idx="3406">
                  <c:v>-1442474.15012</c:v>
                </c:pt>
                <c:pt idx="3407">
                  <c:v>-1441819.3690850004</c:v>
                </c:pt>
                <c:pt idx="3408">
                  <c:v>-1441164.78624</c:v>
                </c:pt>
                <c:pt idx="3409">
                  <c:v>-1440510.4015549996</c:v>
                </c:pt>
                <c:pt idx="3410">
                  <c:v>-1439856.2150000003</c:v>
                </c:pt>
                <c:pt idx="3411">
                  <c:v>-1439202.226545</c:v>
                </c:pt>
                <c:pt idx="3412">
                  <c:v>-1438548.4361599996</c:v>
                </c:pt>
                <c:pt idx="3413">
                  <c:v>-1437894.8438150003</c:v>
                </c:pt>
                <c:pt idx="3414">
                  <c:v>-1437241.44948</c:v>
                </c:pt>
                <c:pt idx="3415">
                  <c:v>-1436588.2531249998</c:v>
                </c:pt>
                <c:pt idx="3416">
                  <c:v>-1435935.2547200006</c:v>
                </c:pt>
                <c:pt idx="3417">
                  <c:v>-1435282.4542349998</c:v>
                </c:pt>
                <c:pt idx="3418">
                  <c:v>-1434629.8516399993</c:v>
                </c:pt>
                <c:pt idx="3419">
                  <c:v>-1433977.4469050001</c:v>
                </c:pt>
                <c:pt idx="3420">
                  <c:v>-1433325.2399999998</c:v>
                </c:pt>
                <c:pt idx="3421">
                  <c:v>-1432673.2308950003</c:v>
                </c:pt>
                <c:pt idx="3422">
                  <c:v>-1432021.4195600003</c:v>
                </c:pt>
                <c:pt idx="3423">
                  <c:v>-1431369.8059649998</c:v>
                </c:pt>
                <c:pt idx="3424">
                  <c:v>-1430718.3900800003</c:v>
                </c:pt>
                <c:pt idx="3425">
                  <c:v>-1430067.171875</c:v>
                </c:pt>
                <c:pt idx="3426">
                  <c:v>-1429416.1513199997</c:v>
                </c:pt>
                <c:pt idx="3427">
                  <c:v>-1428765.3283850001</c:v>
                </c:pt>
                <c:pt idx="3428">
                  <c:v>-1428114.7030399998</c:v>
                </c:pt>
                <c:pt idx="3429">
                  <c:v>-1427464.2752549995</c:v>
                </c:pt>
                <c:pt idx="3430">
                  <c:v>-1426814.0450000004</c:v>
                </c:pt>
                <c:pt idx="3431">
                  <c:v>-1426164.0122449999</c:v>
                </c:pt>
                <c:pt idx="3432">
                  <c:v>-1425514.1769600005</c:v>
                </c:pt>
                <c:pt idx="3433">
                  <c:v>-1424864.5391150003</c:v>
                </c:pt>
                <c:pt idx="3434">
                  <c:v>-1424215.0986799996</c:v>
                </c:pt>
                <c:pt idx="3435">
                  <c:v>-1423565.8556250003</c:v>
                </c:pt>
                <c:pt idx="3436">
                  <c:v>-1422916.80992</c:v>
                </c:pt>
                <c:pt idx="3437">
                  <c:v>-1422267.9615349995</c:v>
                </c:pt>
                <c:pt idx="3438">
                  <c:v>-1421619.3104400004</c:v>
                </c:pt>
                <c:pt idx="3439">
                  <c:v>-1420970.856605</c:v>
                </c:pt>
                <c:pt idx="3440">
                  <c:v>-1420322.5999999996</c:v>
                </c:pt>
                <c:pt idx="3441">
                  <c:v>-1419674.5405950001</c:v>
                </c:pt>
                <c:pt idx="3442">
                  <c:v>-1419026.67836</c:v>
                </c:pt>
                <c:pt idx="3443">
                  <c:v>-1418379.0132649995</c:v>
                </c:pt>
                <c:pt idx="3444">
                  <c:v>-1417731.5452800002</c:v>
                </c:pt>
                <c:pt idx="3445">
                  <c:v>-1417084.2743749996</c:v>
                </c:pt>
                <c:pt idx="3446">
                  <c:v>-1416437.2005200004</c:v>
                </c:pt>
                <c:pt idx="3447">
                  <c:v>-1415790.3236850002</c:v>
                </c:pt>
                <c:pt idx="3448">
                  <c:v>-1415143.6438399998</c:v>
                </c:pt>
                <c:pt idx="3449">
                  <c:v>-1414497.1609550002</c:v>
                </c:pt>
                <c:pt idx="3450">
                  <c:v>-1413850.875</c:v>
                </c:pt>
                <c:pt idx="3451">
                  <c:v>-1413204.7859449997</c:v>
                </c:pt>
                <c:pt idx="3452">
                  <c:v>-1412558.8937600001</c:v>
                </c:pt>
                <c:pt idx="3453">
                  <c:v>-1411913.1984149998</c:v>
                </c:pt>
                <c:pt idx="3454">
                  <c:v>-1411267.6998799995</c:v>
                </c:pt>
                <c:pt idx="3455">
                  <c:v>-1410622.3981250003</c:v>
                </c:pt>
                <c:pt idx="3456">
                  <c:v>-1409977.2931199996</c:v>
                </c:pt>
                <c:pt idx="3457">
                  <c:v>-1409332.3848350004</c:v>
                </c:pt>
                <c:pt idx="3458">
                  <c:v>-1408687.6732400001</c:v>
                </c:pt>
                <c:pt idx="3459">
                  <c:v>-1408043.1583049998</c:v>
                </c:pt>
                <c:pt idx="3460">
                  <c:v>-1407398.8400000003</c:v>
                </c:pt>
                <c:pt idx="3461">
                  <c:v>-1406754.718295</c:v>
                </c:pt>
                <c:pt idx="3462">
                  <c:v>-1406110.7931599997</c:v>
                </c:pt>
                <c:pt idx="3463">
                  <c:v>-1405467.0645650004</c:v>
                </c:pt>
                <c:pt idx="3464">
                  <c:v>-1404823.5324800003</c:v>
                </c:pt>
                <c:pt idx="3465">
                  <c:v>-1404180.196875</c:v>
                </c:pt>
                <c:pt idx="3466">
                  <c:v>-1403537.0577200002</c:v>
                </c:pt>
                <c:pt idx="3467">
                  <c:v>-1402894.1149849999</c:v>
                </c:pt>
                <c:pt idx="3468">
                  <c:v>-1402251.3686399993</c:v>
                </c:pt>
                <c:pt idx="3469">
                  <c:v>-1401608.818655</c:v>
                </c:pt>
                <c:pt idx="3470">
                  <c:v>-1400966.4649999999</c:v>
                </c:pt>
                <c:pt idx="3471">
                  <c:v>-1400324.3076450005</c:v>
                </c:pt>
                <c:pt idx="3472">
                  <c:v>-1399682.3465600004</c:v>
                </c:pt>
                <c:pt idx="3473">
                  <c:v>-1399040.5817149996</c:v>
                </c:pt>
                <c:pt idx="3474">
                  <c:v>-1398399.0130800002</c:v>
                </c:pt>
                <c:pt idx="3475">
                  <c:v>-1397757.640625</c:v>
                </c:pt>
                <c:pt idx="3476">
                  <c:v>-1397116.4643199996</c:v>
                </c:pt>
                <c:pt idx="3477">
                  <c:v>-1396475.4841350003</c:v>
                </c:pt>
                <c:pt idx="3478">
                  <c:v>-1395834.7000399996</c:v>
                </c:pt>
                <c:pt idx="3479">
                  <c:v>-1395194.1120049995</c:v>
                </c:pt>
                <c:pt idx="3480">
                  <c:v>-1394553.7200000002</c:v>
                </c:pt>
                <c:pt idx="3481">
                  <c:v>-1393913.523995</c:v>
                </c:pt>
                <c:pt idx="3482">
                  <c:v>-1393273.5239600006</c:v>
                </c:pt>
                <c:pt idx="3483">
                  <c:v>-1392633.719865</c:v>
                </c:pt>
                <c:pt idx="3484">
                  <c:v>-1391994.1116799999</c:v>
                </c:pt>
                <c:pt idx="3485">
                  <c:v>-1391354.6993750003</c:v>
                </c:pt>
                <c:pt idx="3486">
                  <c:v>-1390715.4829199999</c:v>
                </c:pt>
                <c:pt idx="3487">
                  <c:v>-1390076.4622849994</c:v>
                </c:pt>
                <c:pt idx="3488">
                  <c:v>-1389437.6374400004</c:v>
                </c:pt>
                <c:pt idx="3489">
                  <c:v>-1388799.0083549998</c:v>
                </c:pt>
                <c:pt idx="3490">
                  <c:v>-1388160.5749999997</c:v>
                </c:pt>
                <c:pt idx="3491">
                  <c:v>-1387522.3373450006</c:v>
                </c:pt>
                <c:pt idx="3492">
                  <c:v>-1386884.2953599996</c:v>
                </c:pt>
                <c:pt idx="3493">
                  <c:v>-1386246.4490149997</c:v>
                </c:pt>
                <c:pt idx="3494">
                  <c:v>-1385608.79828</c:v>
                </c:pt>
                <c:pt idx="3495">
                  <c:v>-1384971.3431249997</c:v>
                </c:pt>
                <c:pt idx="3496">
                  <c:v>-1384334.0835200003</c:v>
                </c:pt>
                <c:pt idx="3497">
                  <c:v>-1383697.0194350004</c:v>
                </c:pt>
                <c:pt idx="3498">
                  <c:v>-1383060.1508399996</c:v>
                </c:pt>
                <c:pt idx="3499">
                  <c:v>-1382423.4777050004</c:v>
                </c:pt>
                <c:pt idx="3500">
                  <c:v>-1381787.0</c:v>
                </c:pt>
                <c:pt idx="3501">
                  <c:v>-1381150.7176949997</c:v>
                </c:pt>
                <c:pt idx="3502">
                  <c:v>-1380514.6307600003</c:v>
                </c:pt>
                <c:pt idx="3503">
                  <c:v>-1379878.7391649997</c:v>
                </c:pt>
                <c:pt idx="3504">
                  <c:v>-1379243.0428799994</c:v>
                </c:pt>
                <c:pt idx="3505">
                  <c:v>-1378607.541875</c:v>
                </c:pt>
                <c:pt idx="3506">
                  <c:v>-1377972.23612</c:v>
                </c:pt>
                <c:pt idx="3507">
                  <c:v>-1377337.1255850005</c:v>
                </c:pt>
                <c:pt idx="3508">
                  <c:v>-1376702.2102400002</c:v>
                </c:pt>
                <c:pt idx="3509">
                  <c:v>-1376067.490055</c:v>
                </c:pt>
                <c:pt idx="3510">
                  <c:v>-1375432.9650000003</c:v>
                </c:pt>
                <c:pt idx="3511">
                  <c:v>-1374798.6350450001</c:v>
                </c:pt>
                <c:pt idx="3512">
                  <c:v>-1374164.5001599998</c:v>
                </c:pt>
                <c:pt idx="3513">
                  <c:v>-1373530.5603150004</c:v>
                </c:pt>
                <c:pt idx="3514">
                  <c:v>-1372896.81548</c:v>
                </c:pt>
                <c:pt idx="3515">
                  <c:v>-1372263.2656249995</c:v>
                </c:pt>
                <c:pt idx="3516">
                  <c:v>-1371629.9107200003</c:v>
                </c:pt>
                <c:pt idx="3517">
                  <c:v>-1370996.750735</c:v>
                </c:pt>
                <c:pt idx="3518">
                  <c:v>-1370363.7856399994</c:v>
                </c:pt>
                <c:pt idx="3519">
                  <c:v>-1369731.0154050002</c:v>
                </c:pt>
                <c:pt idx="3520">
                  <c:v>-1369098.4399999997</c:v>
                </c:pt>
                <c:pt idx="3521">
                  <c:v>-1368466.0593950006</c:v>
                </c:pt>
                <c:pt idx="3522">
                  <c:v>-1367833.8735600002</c:v>
                </c:pt>
                <c:pt idx="3523">
                  <c:v>-1367201.8824649996</c:v>
                </c:pt>
                <c:pt idx="3524">
                  <c:v>-1366570.0860800003</c:v>
                </c:pt>
                <c:pt idx="3525">
                  <c:v>-1365938.484375</c:v>
                </c:pt>
                <c:pt idx="3526">
                  <c:v>-1365307.0773199997</c:v>
                </c:pt>
                <c:pt idx="3527">
                  <c:v>-1364675.8648850003</c:v>
                </c:pt>
                <c:pt idx="3528">
                  <c:v>-1364044.8470399997</c:v>
                </c:pt>
                <c:pt idx="3529">
                  <c:v>-1363414.0237549995</c:v>
                </c:pt>
                <c:pt idx="3530">
                  <c:v>-1362783.3950000003</c:v>
                </c:pt>
                <c:pt idx="3531">
                  <c:v>-1362152.9607449998</c:v>
                </c:pt>
                <c:pt idx="3532">
                  <c:v>-1361522.7209600003</c:v>
                </c:pt>
                <c:pt idx="3533">
                  <c:v>-1360892.6756149998</c:v>
                </c:pt>
                <c:pt idx="3534">
                  <c:v>-1360262.8246799998</c:v>
                </c:pt>
                <c:pt idx="3535">
                  <c:v>-1359633.1681250005</c:v>
                </c:pt>
                <c:pt idx="3536">
                  <c:v>-1359003.70592</c:v>
                </c:pt>
                <c:pt idx="3537">
                  <c:v>-1358374.4380349996</c:v>
                </c:pt>
                <c:pt idx="3538">
                  <c:v>-1357745.3644400004</c:v>
                </c:pt>
                <c:pt idx="3539">
                  <c:v>-1357116.4851050002</c:v>
                </c:pt>
                <c:pt idx="3540">
                  <c:v>-1356487.7999999998</c:v>
                </c:pt>
                <c:pt idx="3541">
                  <c:v>-1355859.3090950001</c:v>
                </c:pt>
                <c:pt idx="3542">
                  <c:v>-1355231.01236</c:v>
                </c:pt>
                <c:pt idx="3543">
                  <c:v>-1354602.9097649995</c:v>
                </c:pt>
                <c:pt idx="3544">
                  <c:v>-1353975.00128</c:v>
                </c:pt>
                <c:pt idx="3545">
                  <c:v>-1353347.2868749998</c:v>
                </c:pt>
                <c:pt idx="3546">
                  <c:v>-1352719.7665200005</c:v>
                </c:pt>
                <c:pt idx="3547">
                  <c:v>-1352092.440185</c:v>
                </c:pt>
                <c:pt idx="3548">
                  <c:v>-1351465.3078399997</c:v>
                </c:pt>
                <c:pt idx="3549">
                  <c:v>-1350838.3694550004</c:v>
                </c:pt>
                <c:pt idx="3550">
                  <c:v>-1350211.625</c:v>
                </c:pt>
                <c:pt idx="3551">
                  <c:v>-1349585.0744449997</c:v>
                </c:pt>
                <c:pt idx="3552">
                  <c:v>-1348958.7177600001</c:v>
                </c:pt>
                <c:pt idx="3553">
                  <c:v>-1348332.5549149998</c:v>
                </c:pt>
                <c:pt idx="3554">
                  <c:v>-1347706.5858799994</c:v>
                </c:pt>
                <c:pt idx="3555">
                  <c:v>-1347080.8106250002</c:v>
                </c:pt>
                <c:pt idx="3556">
                  <c:v>-1346455.2291199998</c:v>
                </c:pt>
                <c:pt idx="3557">
                  <c:v>-1345829.8413350007</c:v>
                </c:pt>
                <c:pt idx="3558">
                  <c:v>-1345204.64724</c:v>
                </c:pt>
                <c:pt idx="3559">
                  <c:v>-1344579.6468049996</c:v>
                </c:pt>
                <c:pt idx="3560">
                  <c:v>-1343954.8400000003</c:v>
                </c:pt>
                <c:pt idx="3561">
                  <c:v>-1343330.2267949998</c:v>
                </c:pt>
                <c:pt idx="3562">
                  <c:v>-1342705.8071599996</c:v>
                </c:pt>
                <c:pt idx="3563">
                  <c:v>-1342081.5810650003</c:v>
                </c:pt>
                <c:pt idx="3564">
                  <c:v>-1341457.5484799999</c:v>
                </c:pt>
                <c:pt idx="3565">
                  <c:v>-1340833.7093749996</c:v>
                </c:pt>
                <c:pt idx="3566">
                  <c:v>-1340210.0637200002</c:v>
                </c:pt>
                <c:pt idx="3567">
                  <c:v>-1339586.6114849998</c:v>
                </c:pt>
                <c:pt idx="3568">
                  <c:v>-1338963.3526399995</c:v>
                </c:pt>
                <c:pt idx="3569">
                  <c:v>-1338340.2871550003</c:v>
                </c:pt>
                <c:pt idx="3570">
                  <c:v>-1337717.4149999996</c:v>
                </c:pt>
                <c:pt idx="3571">
                  <c:v>-1337094.7361450004</c:v>
                </c:pt>
                <c:pt idx="3572">
                  <c:v>-1336472.25056</c:v>
                </c:pt>
                <c:pt idx="3573">
                  <c:v>-1335849.9582149999</c:v>
                </c:pt>
                <c:pt idx="3574">
                  <c:v>-1335227.8590800003</c:v>
                </c:pt>
                <c:pt idx="3575">
                  <c:v>-1334605.953125</c:v>
                </c:pt>
                <c:pt idx="3576">
                  <c:v>-1333984.2403199996</c:v>
                </c:pt>
                <c:pt idx="3577">
                  <c:v>-1333362.720635</c:v>
                </c:pt>
                <c:pt idx="3578">
                  <c:v>-1332741.3940399997</c:v>
                </c:pt>
                <c:pt idx="3579">
                  <c:v>-1332120.2605049992</c:v>
                </c:pt>
                <c:pt idx="3580">
                  <c:v>-1331499.3200000005</c:v>
                </c:pt>
                <c:pt idx="3581">
                  <c:v>-1330878.572495</c:v>
                </c:pt>
                <c:pt idx="3582">
                  <c:v>-1330258.0179600003</c:v>
                </c:pt>
                <c:pt idx="3583">
                  <c:v>-1329637.656365</c:v>
                </c:pt>
                <c:pt idx="3584">
                  <c:v>-1329017.4876799998</c:v>
                </c:pt>
                <c:pt idx="3585">
                  <c:v>-1328397.5118750003</c:v>
                </c:pt>
                <c:pt idx="3586">
                  <c:v>-1327777.72892</c:v>
                </c:pt>
                <c:pt idx="3587">
                  <c:v>-1327158.1387849995</c:v>
                </c:pt>
                <c:pt idx="3588">
                  <c:v>-1326538.7414400005</c:v>
                </c:pt>
                <c:pt idx="3589">
                  <c:v>-1325919.536855</c:v>
                </c:pt>
                <c:pt idx="3590">
                  <c:v>-1325300.5249999997</c:v>
                </c:pt>
                <c:pt idx="3591">
                  <c:v>-1324681.7058450002</c:v>
                </c:pt>
                <c:pt idx="3592">
                  <c:v>-1324063.0793599996</c:v>
                </c:pt>
                <c:pt idx="3593">
                  <c:v>-1323444.6455149995</c:v>
                </c:pt>
                <c:pt idx="3594">
                  <c:v>-1322826.4042800001</c:v>
                </c:pt>
                <c:pt idx="3595">
                  <c:v>-1322208.3556249996</c:v>
                </c:pt>
                <c:pt idx="3596">
                  <c:v>-1321590.4995200005</c:v>
                </c:pt>
                <c:pt idx="3597">
                  <c:v>-1320972.8359349999</c:v>
                </c:pt>
                <c:pt idx="3598">
                  <c:v>-1320355.3648399997</c:v>
                </c:pt>
                <c:pt idx="3599">
                  <c:v>-1319738.0862050003</c:v>
                </c:pt>
                <c:pt idx="3600">
                  <c:v>-1319121.0</c:v>
                </c:pt>
                <c:pt idx="3601">
                  <c:v>-1318504.1061950002</c:v>
                </c:pt>
                <c:pt idx="3602">
                  <c:v>-1317887.4047599998</c:v>
                </c:pt>
                <c:pt idx="3603">
                  <c:v>-1317270.895665</c:v>
                </c:pt>
                <c:pt idx="3604">
                  <c:v>-1316654.57888</c:v>
                </c:pt>
                <c:pt idx="3605">
                  <c:v>-1316038.4543750002</c:v>
                </c:pt>
                <c:pt idx="3606">
                  <c:v>-1315422.5221199999</c:v>
                </c:pt>
                <c:pt idx="3607">
                  <c:v>-1314806.7820849998</c:v>
                </c:pt>
                <c:pt idx="3608">
                  <c:v>-1314191.2342400001</c:v>
                </c:pt>
                <c:pt idx="3609">
                  <c:v>-1313575.8785549998</c:v>
                </c:pt>
                <c:pt idx="3610">
                  <c:v>-1312960.7149999999</c:v>
                </c:pt>
                <c:pt idx="3611">
                  <c:v>-1312345.743545</c:v>
                </c:pt>
                <c:pt idx="3612">
                  <c:v>-1311730.96416</c:v>
                </c:pt>
                <c:pt idx="3613">
                  <c:v>-1311116.3768149999</c:v>
                </c:pt>
                <c:pt idx="3614">
                  <c:v>-1310501.9814799998</c:v>
                </c:pt>
                <c:pt idx="3615">
                  <c:v>-1309887.7781250002</c:v>
                </c:pt>
                <c:pt idx="3616">
                  <c:v>-1309273.7667200002</c:v>
                </c:pt>
                <c:pt idx="3617">
                  <c:v>-1308659.947235</c:v>
                </c:pt>
                <c:pt idx="3618">
                  <c:v>-1308046.31964</c:v>
                </c:pt>
                <c:pt idx="3619">
                  <c:v>-1307432.883905</c:v>
                </c:pt>
                <c:pt idx="3620">
                  <c:v>-1306819.6399999997</c:v>
                </c:pt>
                <c:pt idx="3621">
                  <c:v>-1306206.5878950001</c:v>
                </c:pt>
                <c:pt idx="3622">
                  <c:v>-1305593.7275600003</c:v>
                </c:pt>
                <c:pt idx="3623">
                  <c:v>-1304981.058965</c:v>
                </c:pt>
                <c:pt idx="3624">
                  <c:v>-1304368.5820799998</c:v>
                </c:pt>
                <c:pt idx="3625">
                  <c:v>-1303756.296875</c:v>
                </c:pt>
                <c:pt idx="3626">
                  <c:v>-1303144.20332</c:v>
                </c:pt>
                <c:pt idx="3627">
                  <c:v>-1302532.3013849996</c:v>
                </c:pt>
                <c:pt idx="3628">
                  <c:v>-1301920.5910399999</c:v>
                </c:pt>
                <c:pt idx="3629">
                  <c:v>-1301309.072255</c:v>
                </c:pt>
                <c:pt idx="3630">
                  <c:v>-1300697.745</c:v>
                </c:pt>
                <c:pt idx="3631">
                  <c:v>-1300086.609245</c:v>
                </c:pt>
                <c:pt idx="3632">
                  <c:v>-1299475.6649600002</c:v>
                </c:pt>
                <c:pt idx="3633">
                  <c:v>-1298864.9121150002</c:v>
                </c:pt>
                <c:pt idx="3634">
                  <c:v>-1298254.35068</c:v>
                </c:pt>
                <c:pt idx="3635">
                  <c:v>-1297643.9806249999</c:v>
                </c:pt>
                <c:pt idx="3636">
                  <c:v>-1297033.80192</c:v>
                </c:pt>
                <c:pt idx="3637">
                  <c:v>-1296423.8145350001</c:v>
                </c:pt>
                <c:pt idx="3638">
                  <c:v>-1295814.0184399998</c:v>
                </c:pt>
                <c:pt idx="3639">
                  <c:v>-1295204.4136050001</c:v>
                </c:pt>
                <c:pt idx="3640">
                  <c:v>-1294595.0</c:v>
                </c:pt>
                <c:pt idx="3641">
                  <c:v>-1293985.7775950003</c:v>
                </c:pt>
                <c:pt idx="3642">
                  <c:v>-1293376.74636</c:v>
                </c:pt>
                <c:pt idx="3643">
                  <c:v>-1292767.9062649999</c:v>
                </c:pt>
                <c:pt idx="3644">
                  <c:v>-1292159.25728</c:v>
                </c:pt>
                <c:pt idx="3645">
                  <c:v>-1291550.7993749997</c:v>
                </c:pt>
                <c:pt idx="3646">
                  <c:v>-1290942.5325200001</c:v>
                </c:pt>
                <c:pt idx="3647">
                  <c:v>-1290334.4566850003</c:v>
                </c:pt>
                <c:pt idx="3648">
                  <c:v>-1289726.5718400003</c:v>
                </c:pt>
                <c:pt idx="3649">
                  <c:v>-1289118.877955</c:v>
                </c:pt>
                <c:pt idx="3650">
                  <c:v>-1288511.375</c:v>
                </c:pt>
                <c:pt idx="3651">
                  <c:v>-1287904.0629450001</c:v>
                </c:pt>
                <c:pt idx="3652">
                  <c:v>-1287296.9417599996</c:v>
                </c:pt>
                <c:pt idx="3653">
                  <c:v>-1286690.011415</c:v>
                </c:pt>
                <c:pt idx="3654">
                  <c:v>-1286083.27188</c:v>
                </c:pt>
                <c:pt idx="3655">
                  <c:v>-1285476.7231250003</c:v>
                </c:pt>
                <c:pt idx="3656">
                  <c:v>-1284870.3651199997</c:v>
                </c:pt>
                <c:pt idx="3657">
                  <c:v>-1284264.197835</c:v>
                </c:pt>
                <c:pt idx="3658">
                  <c:v>-1283658.2212400003</c:v>
                </c:pt>
                <c:pt idx="3659">
                  <c:v>-1283052.4353049998</c:v>
                </c:pt>
                <c:pt idx="3660">
                  <c:v>-1282446.84</c:v>
                </c:pt>
                <c:pt idx="3661">
                  <c:v>-1281841.4352949997</c:v>
                </c:pt>
                <c:pt idx="3662">
                  <c:v>-1281236.22116</c:v>
                </c:pt>
                <c:pt idx="3663">
                  <c:v>-1280631.197565</c:v>
                </c:pt>
                <c:pt idx="3664">
                  <c:v>-1280026.36448</c:v>
                </c:pt>
                <c:pt idx="3665">
                  <c:v>-1279421.7218750003</c:v>
                </c:pt>
                <c:pt idx="3666">
                  <c:v>-1278817.2697200002</c:v>
                </c:pt>
                <c:pt idx="3667">
                  <c:v>-1278213.0079849998</c:v>
                </c:pt>
                <c:pt idx="3668">
                  <c:v>-1277608.93664</c:v>
                </c:pt>
                <c:pt idx="3669">
                  <c:v>-1277005.055655</c:v>
                </c:pt>
                <c:pt idx="3670">
                  <c:v>-1276401.3649999998</c:v>
                </c:pt>
                <c:pt idx="3671">
                  <c:v>-1275797.864645</c:v>
                </c:pt>
                <c:pt idx="3672">
                  <c:v>-1275194.5545600003</c:v>
                </c:pt>
                <c:pt idx="3673">
                  <c:v>-1274591.4347150002</c:v>
                </c:pt>
                <c:pt idx="3674">
                  <c:v>-1273988.5050799998</c:v>
                </c:pt>
                <c:pt idx="3675">
                  <c:v>-1273385.765625</c:v>
                </c:pt>
                <c:pt idx="3676">
                  <c:v>-1272783.2163200001</c:v>
                </c:pt>
                <c:pt idx="3677">
                  <c:v>-1272180.8571349997</c:v>
                </c:pt>
                <c:pt idx="3678">
                  <c:v>-1271578.6880399997</c:v>
                </c:pt>
                <c:pt idx="3679">
                  <c:v>-1270976.709005</c:v>
                </c:pt>
                <c:pt idx="3680">
                  <c:v>-1270374.9200000002</c:v>
                </c:pt>
                <c:pt idx="3681">
                  <c:v>-1269773.320995</c:v>
                </c:pt>
                <c:pt idx="3682">
                  <c:v>-1269171.91196</c:v>
                </c:pt>
                <c:pt idx="3683">
                  <c:v>-1268570.692865</c:v>
                </c:pt>
                <c:pt idx="3684">
                  <c:v>-1267969.6636799998</c:v>
                </c:pt>
                <c:pt idx="3685">
                  <c:v>-1267368.8243749999</c:v>
                </c:pt>
                <c:pt idx="3686">
                  <c:v>-1266768.17492</c:v>
                </c:pt>
                <c:pt idx="3687">
                  <c:v>-1266167.7152850002</c:v>
                </c:pt>
                <c:pt idx="3688">
                  <c:v>-1265567.44544</c:v>
                </c:pt>
                <c:pt idx="3689">
                  <c:v>-1264967.3653550001</c:v>
                </c:pt>
                <c:pt idx="3690">
                  <c:v>-1264367.475</c:v>
                </c:pt>
                <c:pt idx="3691">
                  <c:v>-1263767.774345</c:v>
                </c:pt>
                <c:pt idx="3692">
                  <c:v>-1263168.26336</c:v>
                </c:pt>
                <c:pt idx="3693">
                  <c:v>-1262568.942015</c:v>
                </c:pt>
                <c:pt idx="3694">
                  <c:v>-1261969.81028</c:v>
                </c:pt>
                <c:pt idx="3695">
                  <c:v>-1261370.8681249998</c:v>
                </c:pt>
                <c:pt idx="3696">
                  <c:v>-1260772.11552</c:v>
                </c:pt>
                <c:pt idx="3697">
                  <c:v>-1260173.5524350002</c:v>
                </c:pt>
                <c:pt idx="3698">
                  <c:v>-1259575.1788400002</c:v>
                </c:pt>
                <c:pt idx="3699">
                  <c:v>-1258976.994705</c:v>
                </c:pt>
                <c:pt idx="3700">
                  <c:v>-1258379.0</c:v>
                </c:pt>
                <c:pt idx="3701">
                  <c:v>-1257781.194695</c:v>
                </c:pt>
                <c:pt idx="3702">
                  <c:v>-1257183.5787599997</c:v>
                </c:pt>
                <c:pt idx="3703">
                  <c:v>-1256586.1521649999</c:v>
                </c:pt>
                <c:pt idx="3704">
                  <c:v>-1255988.91488</c:v>
                </c:pt>
                <c:pt idx="3705">
                  <c:v>-1255391.8668750003</c:v>
                </c:pt>
                <c:pt idx="3706">
                  <c:v>-1254795.00812</c:v>
                </c:pt>
                <c:pt idx="3707">
                  <c:v>-1254198.338585</c:v>
                </c:pt>
                <c:pt idx="3708">
                  <c:v>-1253601.8582400002</c:v>
                </c:pt>
                <c:pt idx="3709">
                  <c:v>-1253005.5670549998</c:v>
                </c:pt>
                <c:pt idx="3710">
                  <c:v>-1252409.4649999999</c:v>
                </c:pt>
                <c:pt idx="3711">
                  <c:v>-1251813.5520449998</c:v>
                </c:pt>
                <c:pt idx="3712">
                  <c:v>-1251217.82816</c:v>
                </c:pt>
                <c:pt idx="3713">
                  <c:v>-1250622.2933150001</c:v>
                </c:pt>
                <c:pt idx="3714">
                  <c:v>-1250026.9474799999</c:v>
                </c:pt>
                <c:pt idx="3715">
                  <c:v>-1249431.7906250001</c:v>
                </c:pt>
                <c:pt idx="3716">
                  <c:v>-1248836.8227200003</c:v>
                </c:pt>
                <c:pt idx="3717">
                  <c:v>-1248242.0437349998</c:v>
                </c:pt>
                <c:pt idx="3718">
                  <c:v>-1247647.45364</c:v>
                </c:pt>
                <c:pt idx="3719">
                  <c:v>-1247053.052405</c:v>
                </c:pt>
                <c:pt idx="3720">
                  <c:v>-1246458.8399999996</c:v>
                </c:pt>
                <c:pt idx="3721">
                  <c:v>-1245864.816395</c:v>
                </c:pt>
                <c:pt idx="3722">
                  <c:v>-1245270.9815600002</c:v>
                </c:pt>
                <c:pt idx="3723">
                  <c:v>-1244677.3354650002</c:v>
                </c:pt>
                <c:pt idx="3724">
                  <c:v>-1244083.8780799997</c:v>
                </c:pt>
                <c:pt idx="3725">
                  <c:v>-1243490.609375</c:v>
                </c:pt>
                <c:pt idx="3726">
                  <c:v>-1242897.52932</c:v>
                </c:pt>
                <c:pt idx="3727">
                  <c:v>-1242304.6378849999</c:v>
                </c:pt>
                <c:pt idx="3728">
                  <c:v>-1241711.9350399997</c:v>
                </c:pt>
                <c:pt idx="3729">
                  <c:v>-1241119.420755</c:v>
                </c:pt>
                <c:pt idx="3730">
                  <c:v>-1240527.0950000002</c:v>
                </c:pt>
                <c:pt idx="3731">
                  <c:v>-1239934.957745</c:v>
                </c:pt>
                <c:pt idx="3732">
                  <c:v>-1239343.00896</c:v>
                </c:pt>
                <c:pt idx="3733">
                  <c:v>-1238751.2486150002</c:v>
                </c:pt>
                <c:pt idx="3734">
                  <c:v>-1238159.6766799998</c:v>
                </c:pt>
                <c:pt idx="3735">
                  <c:v>-1237568.2931249996</c:v>
                </c:pt>
                <c:pt idx="3736">
                  <c:v>-1236977.09792</c:v>
                </c:pt>
                <c:pt idx="3737">
                  <c:v>-1236386.091035</c:v>
                </c:pt>
                <c:pt idx="3738">
                  <c:v>-1235795.2724399997</c:v>
                </c:pt>
                <c:pt idx="3739">
                  <c:v>-1235204.642105</c:v>
                </c:pt>
                <c:pt idx="3740">
                  <c:v>-1234614.2000000002</c:v>
                </c:pt>
                <c:pt idx="3741">
                  <c:v>-1234023.9460950003</c:v>
                </c:pt>
                <c:pt idx="3742">
                  <c:v>-1233433.8803599998</c:v>
                </c:pt>
                <c:pt idx="3743">
                  <c:v>-1232844.0027649999</c:v>
                </c:pt>
                <c:pt idx="3744">
                  <c:v>-1232254.3132800001</c:v>
                </c:pt>
                <c:pt idx="3745">
                  <c:v>-1231664.8118749997</c:v>
                </c:pt>
                <c:pt idx="3746">
                  <c:v>-1231075.49852</c:v>
                </c:pt>
                <c:pt idx="3747">
                  <c:v>-1230486.3731850001</c:v>
                </c:pt>
                <c:pt idx="3748">
                  <c:v>-1229897.4358400004</c:v>
                </c:pt>
                <c:pt idx="3749">
                  <c:v>-1229308.6864549997</c:v>
                </c:pt>
                <c:pt idx="3750">
                  <c:v>-1228720.125</c:v>
                </c:pt>
                <c:pt idx="3751">
                  <c:v>-1228131.7514449998</c:v>
                </c:pt>
                <c:pt idx="3752">
                  <c:v>-1227543.5657599997</c:v>
                </c:pt>
                <c:pt idx="3753">
                  <c:v>-1226955.5679149998</c:v>
                </c:pt>
                <c:pt idx="3754">
                  <c:v>-1226367.7578799997</c:v>
                </c:pt>
                <c:pt idx="3755">
                  <c:v>-1225780.135625</c:v>
                </c:pt>
                <c:pt idx="3756">
                  <c:v>-1225192.70112</c:v>
                </c:pt>
                <c:pt idx="3757">
                  <c:v>-1224605.454335</c:v>
                </c:pt>
                <c:pt idx="3758">
                  <c:v>-1224018.39524</c:v>
                </c:pt>
                <c:pt idx="3759">
                  <c:v>-1223431.523805</c:v>
                </c:pt>
                <c:pt idx="3760">
                  <c:v>-1222844.8399999999</c:v>
                </c:pt>
                <c:pt idx="3761">
                  <c:v>-1222258.343795</c:v>
                </c:pt>
                <c:pt idx="3762">
                  <c:v>-1221672.03516</c:v>
                </c:pt>
                <c:pt idx="3763">
                  <c:v>-1221085.914065</c:v>
                </c:pt>
                <c:pt idx="3764">
                  <c:v>-1220499.98048</c:v>
                </c:pt>
                <c:pt idx="3765">
                  <c:v>-1219914.2343750002</c:v>
                </c:pt>
                <c:pt idx="3766">
                  <c:v>-1219328.6757200002</c:v>
                </c:pt>
                <c:pt idx="3767">
                  <c:v>-1218743.304485</c:v>
                </c:pt>
                <c:pt idx="3768">
                  <c:v>-1218158.12064</c:v>
                </c:pt>
                <c:pt idx="3769">
                  <c:v>-1217573.124155</c:v>
                </c:pt>
                <c:pt idx="3770">
                  <c:v>-1216988.315</c:v>
                </c:pt>
                <c:pt idx="3771">
                  <c:v>-1216403.6931450001</c:v>
                </c:pt>
                <c:pt idx="3772">
                  <c:v>-1215819.2585600002</c:v>
                </c:pt>
                <c:pt idx="3773">
                  <c:v>-1215235.0112150002</c:v>
                </c:pt>
                <c:pt idx="3774">
                  <c:v>-1214650.9510799998</c:v>
                </c:pt>
                <c:pt idx="3775">
                  <c:v>-1214067.078125</c:v>
                </c:pt>
                <c:pt idx="3776">
                  <c:v>-1213483.39232</c:v>
                </c:pt>
                <c:pt idx="3777">
                  <c:v>-1212899.8936349999</c:v>
                </c:pt>
                <c:pt idx="3778">
                  <c:v>-1212316.5820399998</c:v>
                </c:pt>
                <c:pt idx="3779">
                  <c:v>-1211733.457505</c:v>
                </c:pt>
                <c:pt idx="3780">
                  <c:v>-1211150.5200000003</c:v>
                </c:pt>
                <c:pt idx="3781">
                  <c:v>-1210567.769495</c:v>
                </c:pt>
                <c:pt idx="3782">
                  <c:v>-1209985.20596</c:v>
                </c:pt>
                <c:pt idx="3783">
                  <c:v>-1209402.8293650001</c:v>
                </c:pt>
                <c:pt idx="3784">
                  <c:v>-1208820.6396799998</c:v>
                </c:pt>
                <c:pt idx="3785">
                  <c:v>-1208238.636875</c:v>
                </c:pt>
                <c:pt idx="3786">
                  <c:v>-1207656.8209199999</c:v>
                </c:pt>
                <c:pt idx="3787">
                  <c:v>-1207075.191785</c:v>
                </c:pt>
                <c:pt idx="3788">
                  <c:v>-1206493.74944</c:v>
                </c:pt>
                <c:pt idx="3789">
                  <c:v>-1205912.493855</c:v>
                </c:pt>
                <c:pt idx="3790">
                  <c:v>-1205331.4250000003</c:v>
                </c:pt>
                <c:pt idx="3791">
                  <c:v>-1204750.5428450003</c:v>
                </c:pt>
                <c:pt idx="3792">
                  <c:v>-1204169.84736</c:v>
                </c:pt>
                <c:pt idx="3793">
                  <c:v>-1203589.338515</c:v>
                </c:pt>
                <c:pt idx="3794">
                  <c:v>-1203009.01628</c:v>
                </c:pt>
                <c:pt idx="3795">
                  <c:v>-1202428.8806249998</c:v>
                </c:pt>
                <c:pt idx="3796">
                  <c:v>-1201848.93152</c:v>
                </c:pt>
                <c:pt idx="3797">
                  <c:v>-1201269.168935</c:v>
                </c:pt>
                <c:pt idx="3798">
                  <c:v>-1200689.5928400003</c:v>
                </c:pt>
                <c:pt idx="3799">
                  <c:v>-1200110.203205</c:v>
                </c:pt>
                <c:pt idx="3800">
                  <c:v>-1199531.0</c:v>
                </c:pt>
                <c:pt idx="3801">
                  <c:v>-1198951.983195</c:v>
                </c:pt>
                <c:pt idx="3802">
                  <c:v>-1198373.15276</c:v>
                </c:pt>
                <c:pt idx="3803">
                  <c:v>-1197794.5086649999</c:v>
                </c:pt>
                <c:pt idx="3804">
                  <c:v>-1197216.0508799998</c:v>
                </c:pt>
                <c:pt idx="3805">
                  <c:v>-1196637.7793750002</c:v>
                </c:pt>
                <c:pt idx="3806">
                  <c:v>-1196059.69412</c:v>
                </c:pt>
                <c:pt idx="3807">
                  <c:v>-1195481.795085</c:v>
                </c:pt>
                <c:pt idx="3808">
                  <c:v>-1194904.0822400001</c:v>
                </c:pt>
                <c:pt idx="3809">
                  <c:v>-1194326.5555549997</c:v>
                </c:pt>
                <c:pt idx="3810">
                  <c:v>-1193749.2149999999</c:v>
                </c:pt>
                <c:pt idx="3811">
                  <c:v>-1193172.060545</c:v>
                </c:pt>
                <c:pt idx="3812">
                  <c:v>-1192595.09216</c:v>
                </c:pt>
                <c:pt idx="3813">
                  <c:v>-1192018.309815</c:v>
                </c:pt>
                <c:pt idx="3814">
                  <c:v>-1191441.71348</c:v>
                </c:pt>
                <c:pt idx="3815">
                  <c:v>-1190865.303125</c:v>
                </c:pt>
                <c:pt idx="3816">
                  <c:v>-1190289.07872</c:v>
                </c:pt>
                <c:pt idx="3817">
                  <c:v>-1189713.0402349997</c:v>
                </c:pt>
                <c:pt idx="3818">
                  <c:v>-1189137.18764</c:v>
                </c:pt>
                <c:pt idx="3819">
                  <c:v>-1188561.5209050002</c:v>
                </c:pt>
                <c:pt idx="3820">
                  <c:v>-1187986.0399999998</c:v>
                </c:pt>
                <c:pt idx="3821">
                  <c:v>-1187410.744895</c:v>
                </c:pt>
                <c:pt idx="3822">
                  <c:v>-1186835.63556</c:v>
                </c:pt>
                <c:pt idx="3823">
                  <c:v>-1186260.7119650003</c:v>
                </c:pt>
                <c:pt idx="3824">
                  <c:v>-1185685.97408</c:v>
                </c:pt>
                <c:pt idx="3825">
                  <c:v>-1185111.421875</c:v>
                </c:pt>
                <c:pt idx="3826">
                  <c:v>-1184537.05532</c:v>
                </c:pt>
                <c:pt idx="3827">
                  <c:v>-1183962.8743849997</c:v>
                </c:pt>
                <c:pt idx="3828">
                  <c:v>-1183388.8790399998</c:v>
                </c:pt>
                <c:pt idx="3829">
                  <c:v>-1182815.069255</c:v>
                </c:pt>
                <c:pt idx="3830">
                  <c:v>-1182241.4450000003</c:v>
                </c:pt>
                <c:pt idx="3831">
                  <c:v>-1181668.0062449998</c:v>
                </c:pt>
                <c:pt idx="3832">
                  <c:v>-1181094.7529600002</c:v>
                </c:pt>
                <c:pt idx="3833">
                  <c:v>-1180521.685115</c:v>
                </c:pt>
                <c:pt idx="3834">
                  <c:v>-1179948.8026799997</c:v>
                </c:pt>
                <c:pt idx="3835">
                  <c:v>-1179376.1056249999</c:v>
                </c:pt>
                <c:pt idx="3836">
                  <c:v>-1178803.59392</c:v>
                </c:pt>
                <c:pt idx="3837">
                  <c:v>-1178231.267535</c:v>
                </c:pt>
                <c:pt idx="3838">
                  <c:v>-1177659.1264399998</c:v>
                </c:pt>
                <c:pt idx="3839">
                  <c:v>-1177087.170605</c:v>
                </c:pt>
                <c:pt idx="3840">
                  <c:v>-1176515.4000000001</c:v>
                </c:pt>
                <c:pt idx="3841">
                  <c:v>-1175943.8145950004</c:v>
                </c:pt>
                <c:pt idx="3842">
                  <c:v>-1175372.41436</c:v>
                </c:pt>
                <c:pt idx="3843">
                  <c:v>-1174801.199265</c:v>
                </c:pt>
                <c:pt idx="3844">
                  <c:v>-1174230.16928</c:v>
                </c:pt>
                <c:pt idx="3845">
                  <c:v>-1173659.3243749996</c:v>
                </c:pt>
                <c:pt idx="3846">
                  <c:v>-1173088.66452</c:v>
                </c:pt>
                <c:pt idx="3847">
                  <c:v>-1172518.1896850003</c:v>
                </c:pt>
                <c:pt idx="3848">
                  <c:v>-1171947.8998400003</c:v>
                </c:pt>
                <c:pt idx="3849">
                  <c:v>-1171377.794955</c:v>
                </c:pt>
                <c:pt idx="3850">
                  <c:v>-1170807.875</c:v>
                </c:pt>
                <c:pt idx="3851">
                  <c:v>-1170238.139945</c:v>
                </c:pt>
                <c:pt idx="3852">
                  <c:v>-1169668.58976</c:v>
                </c:pt>
                <c:pt idx="3853">
                  <c:v>-1169099.224415</c:v>
                </c:pt>
                <c:pt idx="3854">
                  <c:v>-1168530.04388</c:v>
                </c:pt>
                <c:pt idx="3855">
                  <c:v>-1167961.0481250004</c:v>
                </c:pt>
                <c:pt idx="3856">
                  <c:v>-1167392.23712</c:v>
                </c:pt>
                <c:pt idx="3857">
                  <c:v>-1166823.610835</c:v>
                </c:pt>
                <c:pt idx="3858">
                  <c:v>-1166255.16924</c:v>
                </c:pt>
                <c:pt idx="3859">
                  <c:v>-1165686.9123049998</c:v>
                </c:pt>
                <c:pt idx="3860">
                  <c:v>-1165118.8399999999</c:v>
                </c:pt>
                <c:pt idx="3861">
                  <c:v>-1164550.952295</c:v>
                </c:pt>
                <c:pt idx="3862">
                  <c:v>-1163983.2491600001</c:v>
                </c:pt>
                <c:pt idx="3863">
                  <c:v>-1163415.730565</c:v>
                </c:pt>
                <c:pt idx="3864">
                  <c:v>-1162848.39648</c:v>
                </c:pt>
                <c:pt idx="3865">
                  <c:v>-1162281.2468750002</c:v>
                </c:pt>
                <c:pt idx="3866">
                  <c:v>-1161714.28172</c:v>
                </c:pt>
                <c:pt idx="3867">
                  <c:v>-1161147.5009849998</c:v>
                </c:pt>
                <c:pt idx="3868">
                  <c:v>-1160580.9046399998</c:v>
                </c:pt>
                <c:pt idx="3869">
                  <c:v>-1160014.4926550002</c:v>
                </c:pt>
                <c:pt idx="3870">
                  <c:v>-1159448.2649999997</c:v>
                </c:pt>
                <c:pt idx="3871">
                  <c:v>-1158882.221645</c:v>
                </c:pt>
                <c:pt idx="3872">
                  <c:v>-1158316.3625600003</c:v>
                </c:pt>
                <c:pt idx="3873">
                  <c:v>-1157750.6877150002</c:v>
                </c:pt>
                <c:pt idx="3874">
                  <c:v>-1157185.1970799998</c:v>
                </c:pt>
                <c:pt idx="3875">
                  <c:v>-1156619.890625</c:v>
                </c:pt>
                <c:pt idx="3876">
                  <c:v>-1156054.76832</c:v>
                </c:pt>
                <c:pt idx="3877">
                  <c:v>-1155489.8301349997</c:v>
                </c:pt>
                <c:pt idx="3878">
                  <c:v>-1154925.07604</c:v>
                </c:pt>
                <c:pt idx="3879">
                  <c:v>-1154360.506005</c:v>
                </c:pt>
                <c:pt idx="3880">
                  <c:v>-1153796.12</c:v>
                </c:pt>
                <c:pt idx="3881">
                  <c:v>-1153231.9179949998</c:v>
                </c:pt>
                <c:pt idx="3882">
                  <c:v>-1152667.89996</c:v>
                </c:pt>
                <c:pt idx="3883">
                  <c:v>-1152104.065865</c:v>
                </c:pt>
                <c:pt idx="3884">
                  <c:v>-1151540.4156799996</c:v>
                </c:pt>
                <c:pt idx="3885">
                  <c:v>-1150976.9493749999</c:v>
                </c:pt>
                <c:pt idx="3886">
                  <c:v>-1150413.6669199998</c:v>
                </c:pt>
                <c:pt idx="3887">
                  <c:v>-1149850.568285</c:v>
                </c:pt>
                <c:pt idx="3888">
                  <c:v>-1149287.65344</c:v>
                </c:pt>
                <c:pt idx="3889">
                  <c:v>-1148724.922355</c:v>
                </c:pt>
                <c:pt idx="3890">
                  <c:v>-1148162.375</c:v>
                </c:pt>
                <c:pt idx="3891">
                  <c:v>-1147600.011345</c:v>
                </c:pt>
                <c:pt idx="3892">
                  <c:v>-1147037.83136</c:v>
                </c:pt>
                <c:pt idx="3893">
                  <c:v>-1146475.835015</c:v>
                </c:pt>
                <c:pt idx="3894">
                  <c:v>-1145914.02228</c:v>
                </c:pt>
                <c:pt idx="3895">
                  <c:v>-1145352.393125</c:v>
                </c:pt>
                <c:pt idx="3896">
                  <c:v>-1144790.94752</c:v>
                </c:pt>
                <c:pt idx="3897">
                  <c:v>-1144229.685435</c:v>
                </c:pt>
                <c:pt idx="3898">
                  <c:v>-1143668.60684</c:v>
                </c:pt>
                <c:pt idx="3899">
                  <c:v>-1143107.711705</c:v>
                </c:pt>
                <c:pt idx="3900">
                  <c:v>-1142547.0</c:v>
                </c:pt>
                <c:pt idx="3901">
                  <c:v>-1141986.471695</c:v>
                </c:pt>
                <c:pt idx="3902">
                  <c:v>-1141426.1267599997</c:v>
                </c:pt>
                <c:pt idx="3903">
                  <c:v>-1140865.9651649997</c:v>
                </c:pt>
                <c:pt idx="3904">
                  <c:v>-1140305.9868799997</c:v>
                </c:pt>
                <c:pt idx="3905">
                  <c:v>-1139746.1918750003</c:v>
                </c:pt>
                <c:pt idx="3906">
                  <c:v>-1139186.5801199998</c:v>
                </c:pt>
                <c:pt idx="3907">
                  <c:v>-1138627.151585</c:v>
                </c:pt>
                <c:pt idx="3908">
                  <c:v>-1138067.90624</c:v>
                </c:pt>
                <c:pt idx="3909">
                  <c:v>-1137508.8440549998</c:v>
                </c:pt>
                <c:pt idx="3910">
                  <c:v>-1136949.965</c:v>
                </c:pt>
                <c:pt idx="3911">
                  <c:v>-1136391.269045</c:v>
                </c:pt>
                <c:pt idx="3912">
                  <c:v>-1135832.7561599999</c:v>
                </c:pt>
                <c:pt idx="3913">
                  <c:v>-1135274.4263149998</c:v>
                </c:pt>
                <c:pt idx="3914">
                  <c:v>-1134716.27948</c:v>
                </c:pt>
                <c:pt idx="3915">
                  <c:v>-1134158.3156250003</c:v>
                </c:pt>
                <c:pt idx="3916">
                  <c:v>-1133600.5347200003</c:v>
                </c:pt>
                <c:pt idx="3917">
                  <c:v>-1133042.936735</c:v>
                </c:pt>
                <c:pt idx="3918">
                  <c:v>-1132485.52164</c:v>
                </c:pt>
                <c:pt idx="3919">
                  <c:v>-1131928.289405</c:v>
                </c:pt>
                <c:pt idx="3920">
                  <c:v>-1131371.2399999998</c:v>
                </c:pt>
                <c:pt idx="3921">
                  <c:v>-1130814.373395</c:v>
                </c:pt>
                <c:pt idx="3922">
                  <c:v>-1130257.68956</c:v>
                </c:pt>
                <c:pt idx="3923">
                  <c:v>-1129701.1884650001</c:v>
                </c:pt>
                <c:pt idx="3924">
                  <c:v>-1129144.87008</c:v>
                </c:pt>
                <c:pt idx="3925">
                  <c:v>-1128588.734375</c:v>
                </c:pt>
                <c:pt idx="3926">
                  <c:v>-1128032.78132</c:v>
                </c:pt>
                <c:pt idx="3927">
                  <c:v>-1127477.0108849998</c:v>
                </c:pt>
                <c:pt idx="3928">
                  <c:v>-1126921.4230399998</c:v>
                </c:pt>
                <c:pt idx="3929">
                  <c:v>-1126366.017755</c:v>
                </c:pt>
                <c:pt idx="3930">
                  <c:v>-1125810.7950000002</c:v>
                </c:pt>
                <c:pt idx="3931">
                  <c:v>-1125255.754745</c:v>
                </c:pt>
                <c:pt idx="3932">
                  <c:v>-1124700.8969600003</c:v>
                </c:pt>
                <c:pt idx="3933">
                  <c:v>-1124146.2216150002</c:v>
                </c:pt>
                <c:pt idx="3934">
                  <c:v>-1123591.72868</c:v>
                </c:pt>
                <c:pt idx="3935">
                  <c:v>-1123037.4181249999</c:v>
                </c:pt>
                <c:pt idx="3936">
                  <c:v>-1122483.28992</c:v>
                </c:pt>
                <c:pt idx="3937">
                  <c:v>-1121929.344035</c:v>
                </c:pt>
                <c:pt idx="3938">
                  <c:v>-1121375.58044</c:v>
                </c:pt>
                <c:pt idx="3939">
                  <c:v>-1120821.999105</c:v>
                </c:pt>
                <c:pt idx="3940">
                  <c:v>-1120268.6</c:v>
                </c:pt>
                <c:pt idx="3941">
                  <c:v>-1119715.3830950002</c:v>
                </c:pt>
                <c:pt idx="3942">
                  <c:v>-1119162.34836</c:v>
                </c:pt>
                <c:pt idx="3943">
                  <c:v>-1118609.495765</c:v>
                </c:pt>
                <c:pt idx="3944">
                  <c:v>-1118056.82528</c:v>
                </c:pt>
                <c:pt idx="3945">
                  <c:v>-1117504.3368749998</c:v>
                </c:pt>
                <c:pt idx="3946">
                  <c:v>-1116952.0305200003</c:v>
                </c:pt>
                <c:pt idx="3947">
                  <c:v>-1116399.906185</c:v>
                </c:pt>
                <c:pt idx="3948">
                  <c:v>-1115847.96384</c:v>
                </c:pt>
                <c:pt idx="3949">
                  <c:v>-1115296.203455</c:v>
                </c:pt>
                <c:pt idx="3950">
                  <c:v>-1114744.625</c:v>
                </c:pt>
                <c:pt idx="3951">
                  <c:v>-1114193.228445</c:v>
                </c:pt>
                <c:pt idx="3952">
                  <c:v>-1113642.0137599998</c:v>
                </c:pt>
                <c:pt idx="3953">
                  <c:v>-1113090.980915</c:v>
                </c:pt>
                <c:pt idx="3954">
                  <c:v>-1112540.12988</c:v>
                </c:pt>
                <c:pt idx="3955">
                  <c:v>-1111989.4606250003</c:v>
                </c:pt>
                <c:pt idx="3956">
                  <c:v>-1111438.97312</c:v>
                </c:pt>
                <c:pt idx="3957">
                  <c:v>-1110888.667335</c:v>
                </c:pt>
                <c:pt idx="3958">
                  <c:v>-1110338.5432400003</c:v>
                </c:pt>
                <c:pt idx="3959">
                  <c:v>-1109788.6008049997</c:v>
                </c:pt>
                <c:pt idx="3960">
                  <c:v>-1109238.8399999999</c:v>
                </c:pt>
                <c:pt idx="3961">
                  <c:v>-1108689.260795</c:v>
                </c:pt>
                <c:pt idx="3962">
                  <c:v>-1108139.86316</c:v>
                </c:pt>
                <c:pt idx="3963">
                  <c:v>-1107590.647065</c:v>
                </c:pt>
                <c:pt idx="3964">
                  <c:v>-1107041.6124800001</c:v>
                </c:pt>
                <c:pt idx="3965">
                  <c:v>-1106492.7593750001</c:v>
                </c:pt>
                <c:pt idx="3966">
                  <c:v>-1105944.08772</c:v>
                </c:pt>
                <c:pt idx="3967">
                  <c:v>-1105395.5974849998</c:v>
                </c:pt>
                <c:pt idx="3968">
                  <c:v>-1104847.28864</c:v>
                </c:pt>
                <c:pt idx="3969">
                  <c:v>-1104299.161155</c:v>
                </c:pt>
                <c:pt idx="3970">
                  <c:v>-1103751.2149999996</c:v>
                </c:pt>
                <c:pt idx="3971">
                  <c:v>-1103203.4501450001</c:v>
                </c:pt>
                <c:pt idx="3972">
                  <c:v>-1102655.86656</c:v>
                </c:pt>
                <c:pt idx="3973">
                  <c:v>-1102108.4642150004</c:v>
                </c:pt>
                <c:pt idx="3974">
                  <c:v>-1101561.24308</c:v>
                </c:pt>
                <c:pt idx="3975">
                  <c:v>-1101014.203125</c:v>
                </c:pt>
                <c:pt idx="3976">
                  <c:v>-1100467.34432</c:v>
                </c:pt>
                <c:pt idx="3977">
                  <c:v>-1099920.666635</c:v>
                </c:pt>
                <c:pt idx="3978">
                  <c:v>-1099374.1700399998</c:v>
                </c:pt>
                <c:pt idx="3979">
                  <c:v>-1098827.854505</c:v>
                </c:pt>
                <c:pt idx="3980">
                  <c:v>-1098281.7200000004</c:v>
                </c:pt>
                <c:pt idx="3981">
                  <c:v>-1097735.7664949999</c:v>
                </c:pt>
                <c:pt idx="3982">
                  <c:v>-1097189.99396</c:v>
                </c:pt>
                <c:pt idx="3983">
                  <c:v>-1096644.4023650002</c:v>
                </c:pt>
                <c:pt idx="3984">
                  <c:v>-1096098.9916799997</c:v>
                </c:pt>
                <c:pt idx="3985">
                  <c:v>-1095553.7618749999</c:v>
                </c:pt>
                <c:pt idx="3986">
                  <c:v>-1095008.71292</c:v>
                </c:pt>
                <c:pt idx="3987">
                  <c:v>-1094463.8447850002</c:v>
                </c:pt>
                <c:pt idx="3988">
                  <c:v>-1093919.15744</c:v>
                </c:pt>
                <c:pt idx="3989">
                  <c:v>-1093374.6508550001</c:v>
                </c:pt>
                <c:pt idx="3990">
                  <c:v>-1092830.3250000002</c:v>
                </c:pt>
                <c:pt idx="3991">
                  <c:v>-1092286.1798450002</c:v>
                </c:pt>
                <c:pt idx="3992">
                  <c:v>-1091742.21536</c:v>
                </c:pt>
                <c:pt idx="3993">
                  <c:v>-1091198.4315149998</c:v>
                </c:pt>
                <c:pt idx="3994">
                  <c:v>-1090654.82828</c:v>
                </c:pt>
                <c:pt idx="3995">
                  <c:v>-1090111.4056249997</c:v>
                </c:pt>
                <c:pt idx="3996">
                  <c:v>-1089568.1635200002</c:v>
                </c:pt>
                <c:pt idx="3997">
                  <c:v>-1089025.1019350002</c:v>
                </c:pt>
                <c:pt idx="3998">
                  <c:v>-1088482.2208400003</c:v>
                </c:pt>
                <c:pt idx="3999">
                  <c:v>-1087939.520205</c:v>
                </c:pt>
                <c:pt idx="4000">
                  <c:v>-1087397.0</c:v>
                </c:pt>
                <c:pt idx="4001">
                  <c:v>-1086854.660195</c:v>
                </c:pt>
                <c:pt idx="4002">
                  <c:v>-1086312.5007599997</c:v>
                </c:pt>
                <c:pt idx="4003">
                  <c:v>-1085770.521665</c:v>
                </c:pt>
                <c:pt idx="4004">
                  <c:v>-1085228.72288</c:v>
                </c:pt>
                <c:pt idx="4005">
                  <c:v>-1084687.104375</c:v>
                </c:pt>
                <c:pt idx="4006">
                  <c:v>-1084145.66612</c:v>
                </c:pt>
                <c:pt idx="4007">
                  <c:v>-1083604.408085</c:v>
                </c:pt>
                <c:pt idx="4008">
                  <c:v>-1083063.33024</c:v>
                </c:pt>
                <c:pt idx="4009">
                  <c:v>-1082522.4325549998</c:v>
                </c:pt>
                <c:pt idx="4010">
                  <c:v>-1081981.715</c:v>
                </c:pt>
                <c:pt idx="4011">
                  <c:v>-1081441.1775449999</c:v>
                </c:pt>
                <c:pt idx="4012">
                  <c:v>-1080900.82016</c:v>
                </c:pt>
                <c:pt idx="4013">
                  <c:v>-1080360.642815</c:v>
                </c:pt>
                <c:pt idx="4014">
                  <c:v>-1079820.64548</c:v>
                </c:pt>
                <c:pt idx="4015">
                  <c:v>-1079280.828125</c:v>
                </c:pt>
                <c:pt idx="4016">
                  <c:v>-1078741.1907200003</c:v>
                </c:pt>
                <c:pt idx="4017">
                  <c:v>-1078201.733235</c:v>
                </c:pt>
                <c:pt idx="4018">
                  <c:v>-1077662.45564</c:v>
                </c:pt>
                <c:pt idx="4019">
                  <c:v>-1077123.357905</c:v>
                </c:pt>
                <c:pt idx="4020">
                  <c:v>-1076584.44</c:v>
                </c:pt>
                <c:pt idx="4021">
                  <c:v>-1076045.7018950002</c:v>
                </c:pt>
                <c:pt idx="4022">
                  <c:v>-1075507.14356</c:v>
                </c:pt>
                <c:pt idx="4023">
                  <c:v>-1074968.7649650003</c:v>
                </c:pt>
                <c:pt idx="4024">
                  <c:v>-1074430.5660799998</c:v>
                </c:pt>
                <c:pt idx="4025">
                  <c:v>-1073892.546875</c:v>
                </c:pt>
                <c:pt idx="4026">
                  <c:v>-1073354.70732</c:v>
                </c:pt>
                <c:pt idx="4027">
                  <c:v>-1072817.0473849997</c:v>
                </c:pt>
                <c:pt idx="4028">
                  <c:v>-1072279.5670399999</c:v>
                </c:pt>
                <c:pt idx="4029">
                  <c:v>-1071742.2662550001</c:v>
                </c:pt>
                <c:pt idx="4030">
                  <c:v>-1071205.1450000003</c:v>
                </c:pt>
                <c:pt idx="4031">
                  <c:v>-1070668.203245</c:v>
                </c:pt>
                <c:pt idx="4032">
                  <c:v>-1070131.44096</c:v>
                </c:pt>
                <c:pt idx="4033">
                  <c:v>-1069594.858115</c:v>
                </c:pt>
                <c:pt idx="4034">
                  <c:v>-1069058.4546799997</c:v>
                </c:pt>
                <c:pt idx="4035">
                  <c:v>-1068522.2306249999</c:v>
                </c:pt>
                <c:pt idx="4036">
                  <c:v>-1067986.18592</c:v>
                </c:pt>
                <c:pt idx="4037">
                  <c:v>-1067450.3205350002</c:v>
                </c:pt>
                <c:pt idx="4038">
                  <c:v>-1066914.63444</c:v>
                </c:pt>
                <c:pt idx="4039">
                  <c:v>-1066379.127605</c:v>
                </c:pt>
                <c:pt idx="4040">
                  <c:v>-1065843.8</c:v>
                </c:pt>
                <c:pt idx="4041">
                  <c:v>-1065308.6515950004</c:v>
                </c:pt>
                <c:pt idx="4042">
                  <c:v>-1064773.68236</c:v>
                </c:pt>
                <c:pt idx="4043">
                  <c:v>-1064238.892265</c:v>
                </c:pt>
                <c:pt idx="4044">
                  <c:v>-1063704.28128</c:v>
                </c:pt>
                <c:pt idx="4045">
                  <c:v>-1063169.8493749998</c:v>
                </c:pt>
                <c:pt idx="4046">
                  <c:v>-1062635.59652</c:v>
                </c:pt>
                <c:pt idx="4047">
                  <c:v>-1062101.5226850002</c:v>
                </c:pt>
                <c:pt idx="4048">
                  <c:v>-1061567.6278400002</c:v>
                </c:pt>
                <c:pt idx="4049">
                  <c:v>-1061033.911955</c:v>
                </c:pt>
                <c:pt idx="4050">
                  <c:v>-1060500.375</c:v>
                </c:pt>
                <c:pt idx="4051">
                  <c:v>-1059967.016945</c:v>
                </c:pt>
                <c:pt idx="4052">
                  <c:v>-1059433.8377599998</c:v>
                </c:pt>
                <c:pt idx="4053">
                  <c:v>-1058900.837415</c:v>
                </c:pt>
                <c:pt idx="4054">
                  <c:v>-1058368.0158799998</c:v>
                </c:pt>
                <c:pt idx="4055">
                  <c:v>-1057835.3731250004</c:v>
                </c:pt>
                <c:pt idx="4056">
                  <c:v>-1057302.90912</c:v>
                </c:pt>
                <c:pt idx="4057">
                  <c:v>-1056770.623835</c:v>
                </c:pt>
                <c:pt idx="4058">
                  <c:v>-1056238.5172400002</c:v>
                </c:pt>
                <c:pt idx="4059">
                  <c:v>-1055706.589305</c:v>
                </c:pt>
                <c:pt idx="4060">
                  <c:v>-1055174.8399999999</c:v>
                </c:pt>
                <c:pt idx="4061">
                  <c:v>-1054643.269295</c:v>
                </c:pt>
                <c:pt idx="4062">
                  <c:v>-1054111.87716</c:v>
                </c:pt>
                <c:pt idx="4063">
                  <c:v>-1053580.6635649998</c:v>
                </c:pt>
                <c:pt idx="4064">
                  <c:v>-1053049.62848</c:v>
                </c:pt>
                <c:pt idx="4065">
                  <c:v>-1052518.771875</c:v>
                </c:pt>
                <c:pt idx="4066">
                  <c:v>-1051988.0937200002</c:v>
                </c:pt>
                <c:pt idx="4067">
                  <c:v>-1051457.593985</c:v>
                </c:pt>
                <c:pt idx="4068">
                  <c:v>-1050927.27264</c:v>
                </c:pt>
                <c:pt idx="4069">
                  <c:v>-1050397.129655</c:v>
                </c:pt>
                <c:pt idx="4070">
                  <c:v>-1049867.1649999998</c:v>
                </c:pt>
                <c:pt idx="4071">
                  <c:v>-1049337.378645</c:v>
                </c:pt>
                <c:pt idx="4072">
                  <c:v>-1048807.77056</c:v>
                </c:pt>
                <c:pt idx="4073">
                  <c:v>-1048278.3407150003</c:v>
                </c:pt>
                <c:pt idx="4074">
                  <c:v>-1047749.08908</c:v>
                </c:pt>
                <c:pt idx="4075">
                  <c:v>-1047220.015625</c:v>
                </c:pt>
                <c:pt idx="4076">
                  <c:v>-1046691.1203200001</c:v>
                </c:pt>
                <c:pt idx="4077">
                  <c:v>-1046162.4031349998</c:v>
                </c:pt>
                <c:pt idx="4078">
                  <c:v>-1045633.8640399999</c:v>
                </c:pt>
                <c:pt idx="4079">
                  <c:v>-1045105.5030050001</c:v>
                </c:pt>
                <c:pt idx="4080">
                  <c:v>-1044577.3200000002</c:v>
                </c:pt>
                <c:pt idx="4081">
                  <c:v>-1044049.3149949998</c:v>
                </c:pt>
                <c:pt idx="4082">
                  <c:v>-1043521.48796</c:v>
                </c:pt>
                <c:pt idx="4083">
                  <c:v>-1042993.838865</c:v>
                </c:pt>
                <c:pt idx="4084">
                  <c:v>-1042466.3676799998</c:v>
                </c:pt>
                <c:pt idx="4085">
                  <c:v>-1041939.0743749999</c:v>
                </c:pt>
                <c:pt idx="4086">
                  <c:v>-1041411.9589200001</c:v>
                </c:pt>
                <c:pt idx="4087">
                  <c:v>-1040885.0212850001</c:v>
                </c:pt>
                <c:pt idx="4088">
                  <c:v>-1040358.2614399999</c:v>
                </c:pt>
                <c:pt idx="4089">
                  <c:v>-1039831.6793549999</c:v>
                </c:pt>
                <c:pt idx="4090">
                  <c:v>-1039305.2750000001</c:v>
                </c:pt>
                <c:pt idx="4091">
                  <c:v>-1038779.0483450001</c:v>
                </c:pt>
                <c:pt idx="4092">
                  <c:v>-1038252.99936</c:v>
                </c:pt>
                <c:pt idx="4093">
                  <c:v>-1037727.128015</c:v>
                </c:pt>
                <c:pt idx="4094">
                  <c:v>-1037201.4342800003</c:v>
                </c:pt>
                <c:pt idx="4095">
                  <c:v>-1036675.9181249999</c:v>
                </c:pt>
                <c:pt idx="4096">
                  <c:v>-1036150.5795199999</c:v>
                </c:pt>
                <c:pt idx="4097">
                  <c:v>-1035625.418435</c:v>
                </c:pt>
                <c:pt idx="4098">
                  <c:v>-1035100.4348400002</c:v>
                </c:pt>
                <c:pt idx="4099">
                  <c:v>-1034575.6287049998</c:v>
                </c:pt>
                <c:pt idx="4100">
                  <c:v>-1034051.0</c:v>
                </c:pt>
                <c:pt idx="4101">
                  <c:v>-1033526.5486950001</c:v>
                </c:pt>
                <c:pt idx="4102">
                  <c:v>-1033002.2747599997</c:v>
                </c:pt>
                <c:pt idx="4103">
                  <c:v>-1032478.1781649999</c:v>
                </c:pt>
                <c:pt idx="4104">
                  <c:v>-1031954.25888</c:v>
                </c:pt>
                <c:pt idx="4105">
                  <c:v>-1031430.516875</c:v>
                </c:pt>
                <c:pt idx="4106">
                  <c:v>-1030906.9521199997</c:v>
                </c:pt>
                <c:pt idx="4107">
                  <c:v>-1030383.564585</c:v>
                </c:pt>
                <c:pt idx="4108">
                  <c:v>-1029860.3542400001</c:v>
                </c:pt>
                <c:pt idx="4109">
                  <c:v>-1029337.3210549998</c:v>
                </c:pt>
                <c:pt idx="4110">
                  <c:v>-1028814.465</c:v>
                </c:pt>
                <c:pt idx="4111">
                  <c:v>-1028291.7860450002</c:v>
                </c:pt>
                <c:pt idx="4112">
                  <c:v>-1027769.28416</c:v>
                </c:pt>
                <c:pt idx="4113">
                  <c:v>-1027246.9593149999</c:v>
                </c:pt>
                <c:pt idx="4114">
                  <c:v>-1026724.8114799999</c:v>
                </c:pt>
                <c:pt idx="4115">
                  <c:v>-1026202.8406250001</c:v>
                </c:pt>
                <c:pt idx="4116">
                  <c:v>-1025681.0467200001</c:v>
                </c:pt>
                <c:pt idx="4117">
                  <c:v>-1025159.4297349999</c:v>
                </c:pt>
                <c:pt idx="4118">
                  <c:v>-1024637.9896399999</c:v>
                </c:pt>
                <c:pt idx="4119">
                  <c:v>-1024116.7264050002</c:v>
                </c:pt>
                <c:pt idx="4120">
                  <c:v>-1023595.6399999999</c:v>
                </c:pt>
                <c:pt idx="4121">
                  <c:v>-1023074.730395</c:v>
                </c:pt>
                <c:pt idx="4122">
                  <c:v>-1022553.99756</c:v>
                </c:pt>
                <c:pt idx="4123">
                  <c:v>-1022033.4414650002</c:v>
                </c:pt>
                <c:pt idx="4124">
                  <c:v>-1021513.06208</c:v>
                </c:pt>
                <c:pt idx="4125">
                  <c:v>-1020992.859375</c:v>
                </c:pt>
                <c:pt idx="4126">
                  <c:v>-1020472.8333200002</c:v>
                </c:pt>
                <c:pt idx="4127">
                  <c:v>-1019952.9838849998</c:v>
                </c:pt>
                <c:pt idx="4128">
                  <c:v>-1019433.31104</c:v>
                </c:pt>
                <c:pt idx="4129">
                  <c:v>-1018913.814755</c:v>
                </c:pt>
                <c:pt idx="4130">
                  <c:v>-1018394.4950000001</c:v>
                </c:pt>
                <c:pt idx="4131">
                  <c:v>-1017875.3517449998</c:v>
                </c:pt>
                <c:pt idx="4132">
                  <c:v>-1017356.38496</c:v>
                </c:pt>
                <c:pt idx="4133">
                  <c:v>-1016837.5946150002</c:v>
                </c:pt>
                <c:pt idx="4134">
                  <c:v>-1016318.9806799998</c:v>
                </c:pt>
                <c:pt idx="4135">
                  <c:v>-1015800.543125</c:v>
                </c:pt>
                <c:pt idx="4136">
                  <c:v>-1015282.28192</c:v>
                </c:pt>
                <c:pt idx="4137">
                  <c:v>-1014764.1970350002</c:v>
                </c:pt>
                <c:pt idx="4138">
                  <c:v>-1014246.2884399999</c:v>
                </c:pt>
                <c:pt idx="4139">
                  <c:v>-1013728.556105</c:v>
                </c:pt>
                <c:pt idx="4140">
                  <c:v>-1013211.0000000001</c:v>
                </c:pt>
                <c:pt idx="4141">
                  <c:v>-1012693.6200950001</c:v>
                </c:pt>
                <c:pt idx="4142">
                  <c:v>-1012176.4163599998</c:v>
                </c:pt>
                <c:pt idx="4143">
                  <c:v>-1011659.3887649999</c:v>
                </c:pt>
                <c:pt idx="4144">
                  <c:v>-1011142.5372800002</c:v>
                </c:pt>
                <c:pt idx="4145">
                  <c:v>-1010625.8618749997</c:v>
                </c:pt>
                <c:pt idx="4146">
                  <c:v>-1010109.36252</c:v>
                </c:pt>
                <c:pt idx="4147">
                  <c:v>-1009593.039185</c:v>
                </c:pt>
                <c:pt idx="4148">
                  <c:v>-1009076.8918400002</c:v>
                </c:pt>
                <c:pt idx="4149">
                  <c:v>-1008560.9204549999</c:v>
                </c:pt>
                <c:pt idx="4150">
                  <c:v>-1008045.125</c:v>
                </c:pt>
                <c:pt idx="4151">
                  <c:v>-1007529.5054450001</c:v>
                </c:pt>
                <c:pt idx="4152">
                  <c:v>-1007014.0617599997</c:v>
                </c:pt>
                <c:pt idx="4153">
                  <c:v>-1006498.7939149999</c:v>
                </c:pt>
                <c:pt idx="4154">
                  <c:v>-1005983.7018800001</c:v>
                </c:pt>
                <c:pt idx="4155">
                  <c:v>-1005468.7856250001</c:v>
                </c:pt>
                <c:pt idx="4156">
                  <c:v>-1004954.0451199998</c:v>
                </c:pt>
                <c:pt idx="4157">
                  <c:v>-1004439.4803350001</c:v>
                </c:pt>
                <c:pt idx="4158">
                  <c:v>-1003925.0912400001</c:v>
                </c:pt>
                <c:pt idx="4159">
                  <c:v>-1003410.8778049998</c:v>
                </c:pt>
                <c:pt idx="4160">
                  <c:v>-1002896.84</c:v>
                </c:pt>
                <c:pt idx="4161">
                  <c:v>-1002382.9777950001</c:v>
                </c:pt>
                <c:pt idx="4162">
                  <c:v>-1001869.2911600001</c:v>
                </c:pt>
                <c:pt idx="4163">
                  <c:v>-1001355.7800649998</c:v>
                </c:pt>
                <c:pt idx="4164">
                  <c:v>-1000842.44448</c:v>
                </c:pt>
                <c:pt idx="4165">
                  <c:v>-1000329.2843750002</c:v>
                </c:pt>
                <c:pt idx="4166">
                  <c:v>-999816.2997200001</c:v>
                </c:pt>
                <c:pt idx="4167">
                  <c:v>-999303.4904849998</c:v>
                </c:pt>
                <c:pt idx="4168">
                  <c:v>-998790.8566400001</c:v>
                </c:pt>
                <c:pt idx="4169">
                  <c:v>-998278.3981550002</c:v>
                </c:pt>
                <c:pt idx="4170">
                  <c:v>-997766.115</c:v>
                </c:pt>
                <c:pt idx="4171">
                  <c:v>-997254.0071449999</c:v>
                </c:pt>
                <c:pt idx="4172">
                  <c:v>-996742.07456</c:v>
                </c:pt>
                <c:pt idx="4173">
                  <c:v>-996230.3172150002</c:v>
                </c:pt>
                <c:pt idx="4174">
                  <c:v>-995718.7350799999</c:v>
                </c:pt>
                <c:pt idx="4175">
                  <c:v>-995207.328125</c:v>
                </c:pt>
                <c:pt idx="4176">
                  <c:v>-994696.0963200001</c:v>
                </c:pt>
                <c:pt idx="4177">
                  <c:v>-994185.0396349998</c:v>
                </c:pt>
                <c:pt idx="4178">
                  <c:v>-993674.15804</c:v>
                </c:pt>
                <c:pt idx="4179">
                  <c:v>-993163.451505</c:v>
                </c:pt>
                <c:pt idx="4180">
                  <c:v>-992652.92</c:v>
                </c:pt>
                <c:pt idx="4181">
                  <c:v>-992142.5634949999</c:v>
                </c:pt>
                <c:pt idx="4182">
                  <c:v>-991632.38196</c:v>
                </c:pt>
                <c:pt idx="4183">
                  <c:v>-991122.3753650001</c:v>
                </c:pt>
                <c:pt idx="4184">
                  <c:v>-990612.5436799999</c:v>
                </c:pt>
                <c:pt idx="4185">
                  <c:v>-990102.8868749999</c:v>
                </c:pt>
                <c:pt idx="4186">
                  <c:v>-989593.40492</c:v>
                </c:pt>
                <c:pt idx="4187">
                  <c:v>-989084.0977850001</c:v>
                </c:pt>
                <c:pt idx="4188">
                  <c:v>-988574.9654399999</c:v>
                </c:pt>
                <c:pt idx="4189">
                  <c:v>-988066.007855</c:v>
                </c:pt>
                <c:pt idx="4190">
                  <c:v>-987557.2250000001</c:v>
                </c:pt>
                <c:pt idx="4191">
                  <c:v>-987048.6168450001</c:v>
                </c:pt>
                <c:pt idx="4192">
                  <c:v>-986540.1833599999</c:v>
                </c:pt>
                <c:pt idx="4193">
                  <c:v>-986031.924515</c:v>
                </c:pt>
                <c:pt idx="4194">
                  <c:v>-985523.8402800001</c:v>
                </c:pt>
                <c:pt idx="4195">
                  <c:v>-985015.9306249998</c:v>
                </c:pt>
                <c:pt idx="4196">
                  <c:v>-984508.19552</c:v>
                </c:pt>
                <c:pt idx="4197">
                  <c:v>-984000.634935</c:v>
                </c:pt>
                <c:pt idx="4198">
                  <c:v>-983493.2488400004</c:v>
                </c:pt>
                <c:pt idx="4199">
                  <c:v>-982986.0372049998</c:v>
                </c:pt>
                <c:pt idx="4200">
                  <c:v>-982479.0</c:v>
                </c:pt>
                <c:pt idx="4201">
                  <c:v>-981972.1371950001</c:v>
                </c:pt>
                <c:pt idx="4202">
                  <c:v>-981465.4487599997</c:v>
                </c:pt>
                <c:pt idx="4203">
                  <c:v>-980958.934665</c:v>
                </c:pt>
                <c:pt idx="4204">
                  <c:v>-980452.59488</c:v>
                </c:pt>
                <c:pt idx="4205">
                  <c:v>-979946.4293750002</c:v>
                </c:pt>
                <c:pt idx="4206">
                  <c:v>-979440.4381199997</c:v>
                </c:pt>
                <c:pt idx="4207">
                  <c:v>-978934.621085</c:v>
                </c:pt>
                <c:pt idx="4208">
                  <c:v>-978428.9782400001</c:v>
                </c:pt>
                <c:pt idx="4209">
                  <c:v>-977923.5095549998</c:v>
                </c:pt>
                <c:pt idx="4210">
                  <c:v>-977418.2149999999</c:v>
                </c:pt>
                <c:pt idx="4211">
                  <c:v>-976913.094545</c:v>
                </c:pt>
                <c:pt idx="4212">
                  <c:v>-976408.1481600001</c:v>
                </c:pt>
                <c:pt idx="4213">
                  <c:v>-975903.3758149998</c:v>
                </c:pt>
                <c:pt idx="4214">
                  <c:v>-975398.7774799999</c:v>
                </c:pt>
                <c:pt idx="4215">
                  <c:v>-974894.3531250001</c:v>
                </c:pt>
                <c:pt idx="4216">
                  <c:v>-974390.1027200001</c:v>
                </c:pt>
                <c:pt idx="4217">
                  <c:v>-973886.026235</c:v>
                </c:pt>
                <c:pt idx="4218">
                  <c:v>-973382.12364</c:v>
                </c:pt>
                <c:pt idx="4219">
                  <c:v>-972878.3949050001</c:v>
                </c:pt>
                <c:pt idx="4220">
                  <c:v>-972374.8399999999</c:v>
                </c:pt>
                <c:pt idx="4221">
                  <c:v>-971871.4588949999</c:v>
                </c:pt>
                <c:pt idx="4222">
                  <c:v>-971368.25156</c:v>
                </c:pt>
                <c:pt idx="4223">
                  <c:v>-970865.2179650003</c:v>
                </c:pt>
                <c:pt idx="4224">
                  <c:v>-970362.3580799999</c:v>
                </c:pt>
                <c:pt idx="4225">
                  <c:v>-969859.671875</c:v>
                </c:pt>
                <c:pt idx="4226">
                  <c:v>-969357.15932</c:v>
                </c:pt>
                <c:pt idx="4227">
                  <c:v>-968854.8203849999</c:v>
                </c:pt>
                <c:pt idx="4228">
                  <c:v>-968352.65504</c:v>
                </c:pt>
                <c:pt idx="4229">
                  <c:v>-967850.663255</c:v>
                </c:pt>
                <c:pt idx="4230">
                  <c:v>-967348.8450000001</c:v>
                </c:pt>
                <c:pt idx="4231">
                  <c:v>-966847.2002449998</c:v>
                </c:pt>
                <c:pt idx="4232">
                  <c:v>-966345.72896</c:v>
                </c:pt>
                <c:pt idx="4233">
                  <c:v>-965844.4311150002</c:v>
                </c:pt>
                <c:pt idx="4234">
                  <c:v>-965343.3066799998</c:v>
                </c:pt>
                <c:pt idx="4235">
                  <c:v>-964842.3556249999</c:v>
                </c:pt>
                <c:pt idx="4236">
                  <c:v>-964341.57792</c:v>
                </c:pt>
                <c:pt idx="4237">
                  <c:v>-963840.9735350001</c:v>
                </c:pt>
                <c:pt idx="4238">
                  <c:v>-963340.5424399998</c:v>
                </c:pt>
                <c:pt idx="4239">
                  <c:v>-962840.2846049999</c:v>
                </c:pt>
                <c:pt idx="4240">
                  <c:v>-962340.2000000002</c:v>
                </c:pt>
                <c:pt idx="4241">
                  <c:v>-961840.2885950002</c:v>
                </c:pt>
                <c:pt idx="4242">
                  <c:v>-961340.55036</c:v>
                </c:pt>
                <c:pt idx="4243">
                  <c:v>-960840.985265</c:v>
                </c:pt>
                <c:pt idx="4244">
                  <c:v>-960341.5932800003</c:v>
                </c:pt>
                <c:pt idx="4245">
                  <c:v>-959842.3743749999</c:v>
                </c:pt>
                <c:pt idx="4246">
                  <c:v>-959343.32852</c:v>
                </c:pt>
                <c:pt idx="4247">
                  <c:v>-958844.455685</c:v>
                </c:pt>
                <c:pt idx="4248">
                  <c:v>-958345.7558400001</c:v>
                </c:pt>
                <c:pt idx="4249">
                  <c:v>-957847.228955</c:v>
                </c:pt>
                <c:pt idx="4250">
                  <c:v>-957348.875</c:v>
                </c:pt>
                <c:pt idx="4251">
                  <c:v>-956850.6939450001</c:v>
                </c:pt>
                <c:pt idx="4252">
                  <c:v>-956352.6857599997</c:v>
                </c:pt>
                <c:pt idx="4253">
                  <c:v>-955854.8504149999</c:v>
                </c:pt>
                <c:pt idx="4254">
                  <c:v>-955357.1878800001</c:v>
                </c:pt>
                <c:pt idx="4255">
                  <c:v>-954859.6981250001</c:v>
                </c:pt>
                <c:pt idx="4256">
                  <c:v>-954362.3811199998</c:v>
                </c:pt>
                <c:pt idx="4257">
                  <c:v>-953865.236835</c:v>
                </c:pt>
                <c:pt idx="4258">
                  <c:v>-953368.2652400001</c:v>
                </c:pt>
                <c:pt idx="4259">
                  <c:v>-952871.4663049998</c:v>
                </c:pt>
                <c:pt idx="4260">
                  <c:v>-952374.8399999999</c:v>
                </c:pt>
                <c:pt idx="4261">
                  <c:v>-951878.3862950001</c:v>
                </c:pt>
                <c:pt idx="4262">
                  <c:v>-951382.1051600002</c:v>
                </c:pt>
                <c:pt idx="4263">
                  <c:v>-950885.9965649998</c:v>
                </c:pt>
                <c:pt idx="4264">
                  <c:v>-950390.06048</c:v>
                </c:pt>
                <c:pt idx="4265">
                  <c:v>-949894.2968750001</c:v>
                </c:pt>
                <c:pt idx="4266">
                  <c:v>-949398.7057200002</c:v>
                </c:pt>
                <c:pt idx="4267">
                  <c:v>-948903.2869849999</c:v>
                </c:pt>
                <c:pt idx="4268">
                  <c:v>-948408.04064</c:v>
                </c:pt>
                <c:pt idx="4269">
                  <c:v>-947912.9666550001</c:v>
                </c:pt>
                <c:pt idx="4270">
                  <c:v>-947418.0649999998</c:v>
                </c:pt>
                <c:pt idx="4271">
                  <c:v>-946923.335645</c:v>
                </c:pt>
                <c:pt idx="4272">
                  <c:v>-946428.77856</c:v>
                </c:pt>
                <c:pt idx="4273">
                  <c:v>-945934.3937150002</c:v>
                </c:pt>
                <c:pt idx="4274">
                  <c:v>-945440.18108</c:v>
                </c:pt>
                <c:pt idx="4275">
                  <c:v>-944946.140625</c:v>
                </c:pt>
                <c:pt idx="4276">
                  <c:v>-944452.27232</c:v>
                </c:pt>
                <c:pt idx="4277">
                  <c:v>-943958.5761349997</c:v>
                </c:pt>
                <c:pt idx="4278">
                  <c:v>-943465.05204</c:v>
                </c:pt>
                <c:pt idx="4279">
                  <c:v>-942971.700005</c:v>
                </c:pt>
                <c:pt idx="4280">
                  <c:v>-942478.5200000001</c:v>
                </c:pt>
                <c:pt idx="4281">
                  <c:v>-941985.5119949998</c:v>
                </c:pt>
                <c:pt idx="4282">
                  <c:v>-941492.6759599999</c:v>
                </c:pt>
                <c:pt idx="4283">
                  <c:v>-941000.011865</c:v>
                </c:pt>
                <c:pt idx="4284">
                  <c:v>-940507.5196799998</c:v>
                </c:pt>
                <c:pt idx="4285">
                  <c:v>-940015.199375</c:v>
                </c:pt>
                <c:pt idx="4286">
                  <c:v>-939523.0509200001</c:v>
                </c:pt>
                <c:pt idx="4287">
                  <c:v>-939031.0742850001</c:v>
                </c:pt>
                <c:pt idx="4288">
                  <c:v>-938539.2694399998</c:v>
                </c:pt>
                <c:pt idx="4289">
                  <c:v>-938047.6363549998</c:v>
                </c:pt>
                <c:pt idx="4290">
                  <c:v>-937556.1750000002</c:v>
                </c:pt>
                <c:pt idx="4291">
                  <c:v>-937064.8853450002</c:v>
                </c:pt>
                <c:pt idx="4292">
                  <c:v>-936573.7673599999</c:v>
                </c:pt>
                <c:pt idx="4293">
                  <c:v>-936082.821015</c:v>
                </c:pt>
                <c:pt idx="4294">
                  <c:v>-935592.0462800001</c:v>
                </c:pt>
                <c:pt idx="4295">
                  <c:v>-935101.4431249999</c:v>
                </c:pt>
                <c:pt idx="4296">
                  <c:v>-934611.01152</c:v>
                </c:pt>
                <c:pt idx="4297">
                  <c:v>-934120.7514350001</c:v>
                </c:pt>
                <c:pt idx="4298">
                  <c:v>-933630.6628400001</c:v>
                </c:pt>
                <c:pt idx="4299">
                  <c:v>-933140.745705</c:v>
                </c:pt>
                <c:pt idx="4300">
                  <c:v>-932651.0</c:v>
                </c:pt>
                <c:pt idx="4301">
                  <c:v>-932161.4256950001</c:v>
                </c:pt>
                <c:pt idx="4302">
                  <c:v>-931672.0227599997</c:v>
                </c:pt>
                <c:pt idx="4303">
                  <c:v>-931182.7911650001</c:v>
                </c:pt>
                <c:pt idx="4304">
                  <c:v>-930693.7308800002</c:v>
                </c:pt>
                <c:pt idx="4305">
                  <c:v>-930204.841875</c:v>
                </c:pt>
                <c:pt idx="4306">
                  <c:v>-929716.1241199997</c:v>
                </c:pt>
                <c:pt idx="4307">
                  <c:v>-929227.577585</c:v>
                </c:pt>
                <c:pt idx="4308">
                  <c:v>-928739.2022400001</c:v>
                </c:pt>
                <c:pt idx="4309">
                  <c:v>-928250.9980549997</c:v>
                </c:pt>
                <c:pt idx="4310">
                  <c:v>-927762.9649999999</c:v>
                </c:pt>
                <c:pt idx="4311">
                  <c:v>-927275.1030450001</c:v>
                </c:pt>
                <c:pt idx="4312">
                  <c:v>-926787.4121600002</c:v>
                </c:pt>
                <c:pt idx="4313">
                  <c:v>-926299.8923149998</c:v>
                </c:pt>
                <c:pt idx="4314">
                  <c:v>-925812.5434799998</c:v>
                </c:pt>
                <c:pt idx="4315">
                  <c:v>-925325.3656250001</c:v>
                </c:pt>
                <c:pt idx="4316">
                  <c:v>-924838.3587200001</c:v>
                </c:pt>
                <c:pt idx="4317">
                  <c:v>-924351.5227349998</c:v>
                </c:pt>
                <c:pt idx="4318">
                  <c:v>-923864.8576400001</c:v>
                </c:pt>
                <c:pt idx="4319">
                  <c:v>-923378.3634050002</c:v>
                </c:pt>
                <c:pt idx="4320">
                  <c:v>-922892.0399999999</c:v>
                </c:pt>
                <c:pt idx="4321">
                  <c:v>-922405.8873949999</c:v>
                </c:pt>
                <c:pt idx="4322">
                  <c:v>-921919.90556</c:v>
                </c:pt>
                <c:pt idx="4323">
                  <c:v>-921434.0944650001</c:v>
                </c:pt>
                <c:pt idx="4324">
                  <c:v>-920948.45408</c:v>
                </c:pt>
                <c:pt idx="4325">
                  <c:v>-920462.984375</c:v>
                </c:pt>
                <c:pt idx="4326">
                  <c:v>-919977.68532</c:v>
                </c:pt>
                <c:pt idx="4327">
                  <c:v>-919492.5568849997</c:v>
                </c:pt>
                <c:pt idx="4328">
                  <c:v>-919007.59904</c:v>
                </c:pt>
                <c:pt idx="4329">
                  <c:v>-918522.8117549999</c:v>
                </c:pt>
                <c:pt idx="4330">
                  <c:v>-918038.1950000002</c:v>
                </c:pt>
                <c:pt idx="4331">
                  <c:v>-917553.7487449999</c:v>
                </c:pt>
                <c:pt idx="4332">
                  <c:v>-917069.4729599999</c:v>
                </c:pt>
                <c:pt idx="4333">
                  <c:v>-916585.3676150001</c:v>
                </c:pt>
                <c:pt idx="4334">
                  <c:v>-916101.4326799999</c:v>
                </c:pt>
                <c:pt idx="4335">
                  <c:v>-915617.6681249999</c:v>
                </c:pt>
                <c:pt idx="4336">
                  <c:v>-915134.0739200001</c:v>
                </c:pt>
                <c:pt idx="4337">
                  <c:v>-914650.6500350002</c:v>
                </c:pt>
                <c:pt idx="4338">
                  <c:v>-914167.3964399998</c:v>
                </c:pt>
                <c:pt idx="4339">
                  <c:v>-913684.3131049998</c:v>
                </c:pt>
                <c:pt idx="4340">
                  <c:v>-913201.4000000001</c:v>
                </c:pt>
                <c:pt idx="4341">
                  <c:v>-912718.6570950003</c:v>
                </c:pt>
                <c:pt idx="4342">
                  <c:v>-912236.08436</c:v>
                </c:pt>
                <c:pt idx="4343">
                  <c:v>-911753.6817649999</c:v>
                </c:pt>
                <c:pt idx="4344">
                  <c:v>-911271.4492800002</c:v>
                </c:pt>
                <c:pt idx="4345">
                  <c:v>-910789.386875</c:v>
                </c:pt>
                <c:pt idx="4346">
                  <c:v>-910307.4945199998</c:v>
                </c:pt>
                <c:pt idx="4347">
                  <c:v>-909825.772185</c:v>
                </c:pt>
                <c:pt idx="4348">
                  <c:v>-909344.2198400003</c:v>
                </c:pt>
                <c:pt idx="4349">
                  <c:v>-908862.8374549999</c:v>
                </c:pt>
                <c:pt idx="4350">
                  <c:v>-908381.625</c:v>
                </c:pt>
                <c:pt idx="4351">
                  <c:v>-907900.5824450001</c:v>
                </c:pt>
                <c:pt idx="4352">
                  <c:v>-907419.7097599999</c:v>
                </c:pt>
                <c:pt idx="4353">
                  <c:v>-906939.0069149999</c:v>
                </c:pt>
                <c:pt idx="4354">
                  <c:v>-906458.4738800001</c:v>
                </c:pt>
                <c:pt idx="4355">
                  <c:v>-905978.1106250001</c:v>
                </c:pt>
                <c:pt idx="4356">
                  <c:v>-905497.9171199999</c:v>
                </c:pt>
                <c:pt idx="4357">
                  <c:v>-905017.893335</c:v>
                </c:pt>
                <c:pt idx="4358">
                  <c:v>-904538.0392400001</c:v>
                </c:pt>
                <c:pt idx="4359">
                  <c:v>-904058.3548049998</c:v>
                </c:pt>
                <c:pt idx="4360">
                  <c:v>-903578.84</c:v>
                </c:pt>
                <c:pt idx="4361">
                  <c:v>-903099.4947950001</c:v>
                </c:pt>
                <c:pt idx="4362">
                  <c:v>-902620.3191600001</c:v>
                </c:pt>
                <c:pt idx="4363">
                  <c:v>-902141.3130649998</c:v>
                </c:pt>
                <c:pt idx="4364">
                  <c:v>-901662.47648</c:v>
                </c:pt>
                <c:pt idx="4365">
                  <c:v>-901183.8093750002</c:v>
                </c:pt>
                <c:pt idx="4366">
                  <c:v>-900705.3117200001</c:v>
                </c:pt>
                <c:pt idx="4367">
                  <c:v>-900226.983485</c:v>
                </c:pt>
                <c:pt idx="4368">
                  <c:v>-899748.8246399999</c:v>
                </c:pt>
                <c:pt idx="4369">
                  <c:v>-899270.8351550002</c:v>
                </c:pt>
                <c:pt idx="4370">
                  <c:v>-898793.0149999999</c:v>
                </c:pt>
                <c:pt idx="4371">
                  <c:v>-898315.364145</c:v>
                </c:pt>
                <c:pt idx="4372">
                  <c:v>-897837.8825599999</c:v>
                </c:pt>
                <c:pt idx="4373">
                  <c:v>-897360.5702150003</c:v>
                </c:pt>
                <c:pt idx="4374">
                  <c:v>-896883.4270799999</c:v>
                </c:pt>
                <c:pt idx="4375">
                  <c:v>-896406.453125</c:v>
                </c:pt>
                <c:pt idx="4376">
                  <c:v>-895929.64832</c:v>
                </c:pt>
                <c:pt idx="4377">
                  <c:v>-895453.0126349998</c:v>
                </c:pt>
                <c:pt idx="4378">
                  <c:v>-894976.5460399999</c:v>
                </c:pt>
                <c:pt idx="4379">
                  <c:v>-894500.248505</c:v>
                </c:pt>
                <c:pt idx="4380">
                  <c:v>-894024.1200000001</c:v>
                </c:pt>
                <c:pt idx="4381">
                  <c:v>-893548.1604949997</c:v>
                </c:pt>
                <c:pt idx="4382">
                  <c:v>-893072.36996</c:v>
                </c:pt>
                <c:pt idx="4383">
                  <c:v>-892596.7483650001</c:v>
                </c:pt>
                <c:pt idx="4384">
                  <c:v>-892121.2956799997</c:v>
                </c:pt>
                <c:pt idx="4385">
                  <c:v>-891646.0118749999</c:v>
                </c:pt>
                <c:pt idx="4386">
                  <c:v>-891170.8969200001</c:v>
                </c:pt>
                <c:pt idx="4387">
                  <c:v>-890695.9507850001</c:v>
                </c:pt>
                <c:pt idx="4388">
                  <c:v>-890221.1734399998</c:v>
                </c:pt>
                <c:pt idx="4389">
                  <c:v>-889746.5648549999</c:v>
                </c:pt>
                <c:pt idx="4390">
                  <c:v>-889272.1250000001</c:v>
                </c:pt>
                <c:pt idx="4391">
                  <c:v>-888797.8538450003</c:v>
                </c:pt>
                <c:pt idx="4392">
                  <c:v>-888323.7513599998</c:v>
                </c:pt>
                <c:pt idx="4393">
                  <c:v>-887849.817515</c:v>
                </c:pt>
                <c:pt idx="4394">
                  <c:v>-887376.0522800003</c:v>
                </c:pt>
                <c:pt idx="4395">
                  <c:v>-886902.4556249998</c:v>
                </c:pt>
                <c:pt idx="4396">
                  <c:v>-886429.02752</c:v>
                </c:pt>
                <c:pt idx="4397">
                  <c:v>-885955.7679350001</c:v>
                </c:pt>
                <c:pt idx="4398">
                  <c:v>-885482.6768400002</c:v>
                </c:pt>
                <c:pt idx="4399">
                  <c:v>-885009.7542049999</c:v>
                </c:pt>
                <c:pt idx="4400">
                  <c:v>-884537.0</c:v>
                </c:pt>
                <c:pt idx="4401">
                  <c:v>-884064.4141950001</c:v>
                </c:pt>
                <c:pt idx="4402">
                  <c:v>-883591.9967599999</c:v>
                </c:pt>
                <c:pt idx="4403">
                  <c:v>-883119.747665</c:v>
                </c:pt>
                <c:pt idx="4404">
                  <c:v>-882647.66688</c:v>
                </c:pt>
                <c:pt idx="4405">
                  <c:v>-882175.7543750001</c:v>
                </c:pt>
                <c:pt idx="4406">
                  <c:v>-881704.0101199999</c:v>
                </c:pt>
                <c:pt idx="4407">
                  <c:v>-881232.434085</c:v>
                </c:pt>
                <c:pt idx="4408">
                  <c:v>-880761.02624</c:v>
                </c:pt>
                <c:pt idx="4409">
                  <c:v>-880289.7865549999</c:v>
                </c:pt>
                <c:pt idx="4410">
                  <c:v>-879818.7149999999</c:v>
                </c:pt>
                <c:pt idx="4411">
                  <c:v>-879347.8115450001</c:v>
                </c:pt>
                <c:pt idx="4412">
                  <c:v>-878877.0761600002</c:v>
                </c:pt>
                <c:pt idx="4413">
                  <c:v>-878406.508815</c:v>
                </c:pt>
                <c:pt idx="4414">
                  <c:v>-877936.10948</c:v>
                </c:pt>
                <c:pt idx="4415">
                  <c:v>-877465.878125</c:v>
                </c:pt>
                <c:pt idx="4416">
                  <c:v>-876995.8147200003</c:v>
                </c:pt>
                <c:pt idx="4417">
                  <c:v>-876525.9192349999</c:v>
                </c:pt>
                <c:pt idx="4418">
                  <c:v>-876056.19164</c:v>
                </c:pt>
                <c:pt idx="4419">
                  <c:v>-875586.6319050001</c:v>
                </c:pt>
                <c:pt idx="4420">
                  <c:v>-875117.2399999999</c:v>
                </c:pt>
                <c:pt idx="4421">
                  <c:v>-874648.0158949998</c:v>
                </c:pt>
                <c:pt idx="4422">
                  <c:v>-874178.95956</c:v>
                </c:pt>
                <c:pt idx="4423">
                  <c:v>-873710.0709650002</c:v>
                </c:pt>
                <c:pt idx="4424">
                  <c:v>-873241.3500799999</c:v>
                </c:pt>
                <c:pt idx="4425">
                  <c:v>-872772.796875</c:v>
                </c:pt>
                <c:pt idx="4426">
                  <c:v>-872304.4113200001</c:v>
                </c:pt>
                <c:pt idx="4427">
                  <c:v>-871836.1933849998</c:v>
                </c:pt>
                <c:pt idx="4428">
                  <c:v>-871368.14304</c:v>
                </c:pt>
                <c:pt idx="4429">
                  <c:v>-870900.260255</c:v>
                </c:pt>
                <c:pt idx="4430">
                  <c:v>-870432.545</c:v>
                </c:pt>
                <c:pt idx="4431">
                  <c:v>-869964.9972449999</c:v>
                </c:pt>
                <c:pt idx="4432">
                  <c:v>-869497.61696</c:v>
                </c:pt>
                <c:pt idx="4433">
                  <c:v>-869030.4041150003</c:v>
                </c:pt>
                <c:pt idx="4434">
                  <c:v>-868563.3586799997</c:v>
                </c:pt>
                <c:pt idx="4435">
                  <c:v>-868096.4806249999</c:v>
                </c:pt>
                <c:pt idx="4436">
                  <c:v>-867629.7699200001</c:v>
                </c:pt>
                <c:pt idx="4437">
                  <c:v>-867163.226535</c:v>
                </c:pt>
                <c:pt idx="4438">
                  <c:v>-866696.85044</c:v>
                </c:pt>
                <c:pt idx="4439">
                  <c:v>-866230.6416049999</c:v>
                </c:pt>
                <c:pt idx="4440">
                  <c:v>-865764.6000000001</c:v>
                </c:pt>
                <c:pt idx="4441">
                  <c:v>-865298.7255950002</c:v>
                </c:pt>
                <c:pt idx="4442">
                  <c:v>-864833.01836</c:v>
                </c:pt>
                <c:pt idx="4443">
                  <c:v>-864367.478265</c:v>
                </c:pt>
                <c:pt idx="4444">
                  <c:v>-863902.1052800003</c:v>
                </c:pt>
                <c:pt idx="4445">
                  <c:v>-863436.8993749999</c:v>
                </c:pt>
                <c:pt idx="4446">
                  <c:v>-862971.86052</c:v>
                </c:pt>
                <c:pt idx="4447">
                  <c:v>-862506.9886850001</c:v>
                </c:pt>
                <c:pt idx="4448">
                  <c:v>-862042.2838400002</c:v>
                </c:pt>
                <c:pt idx="4449">
                  <c:v>-861577.7459549999</c:v>
                </c:pt>
                <c:pt idx="4450">
                  <c:v>-861113.375</c:v>
                </c:pt>
                <c:pt idx="4451">
                  <c:v>-860649.1709450001</c:v>
                </c:pt>
                <c:pt idx="4452">
                  <c:v>-860185.1337599998</c:v>
                </c:pt>
                <c:pt idx="4453">
                  <c:v>-859721.263415</c:v>
                </c:pt>
                <c:pt idx="4454">
                  <c:v>-859257.55988</c:v>
                </c:pt>
                <c:pt idx="4455">
                  <c:v>-858794.0231250001</c:v>
                </c:pt>
                <c:pt idx="4456">
                  <c:v>-858330.6531199999</c:v>
                </c:pt>
                <c:pt idx="4457">
                  <c:v>-857867.449835</c:v>
                </c:pt>
                <c:pt idx="4458">
                  <c:v>-857404.4132400001</c:v>
                </c:pt>
                <c:pt idx="4459">
                  <c:v>-856941.5433049998</c:v>
                </c:pt>
                <c:pt idx="4460">
                  <c:v>-856478.8399999997</c:v>
                </c:pt>
                <c:pt idx="4461">
                  <c:v>-856016.303295</c:v>
                </c:pt>
                <c:pt idx="4462">
                  <c:v>-855553.9331600001</c:v>
                </c:pt>
                <c:pt idx="4463">
                  <c:v>-855091.7295649998</c:v>
                </c:pt>
                <c:pt idx="4464">
                  <c:v>-854629.69248</c:v>
                </c:pt>
                <c:pt idx="4465">
                  <c:v>-854167.821875</c:v>
                </c:pt>
                <c:pt idx="4466">
                  <c:v>-853706.1177200001</c:v>
                </c:pt>
                <c:pt idx="4467">
                  <c:v>-853244.579985</c:v>
                </c:pt>
                <c:pt idx="4468">
                  <c:v>-852783.20864</c:v>
                </c:pt>
                <c:pt idx="4469">
                  <c:v>-852322.0036550002</c:v>
                </c:pt>
                <c:pt idx="4470">
                  <c:v>-851860.965</c:v>
                </c:pt>
                <c:pt idx="4471">
                  <c:v>-851400.0926449999</c:v>
                </c:pt>
                <c:pt idx="4472">
                  <c:v>-850939.3865599999</c:v>
                </c:pt>
                <c:pt idx="4473">
                  <c:v>-850478.8467150002</c:v>
                </c:pt>
                <c:pt idx="4474">
                  <c:v>-850018.47308</c:v>
                </c:pt>
                <c:pt idx="4475">
                  <c:v>-849558.265625</c:v>
                </c:pt>
                <c:pt idx="4476">
                  <c:v>-849098.22432</c:v>
                </c:pt>
                <c:pt idx="4477">
                  <c:v>-848638.3491349998</c:v>
                </c:pt>
                <c:pt idx="4478">
                  <c:v>-848178.64004</c:v>
                </c:pt>
                <c:pt idx="4479">
                  <c:v>-847719.097005</c:v>
                </c:pt>
                <c:pt idx="4480">
                  <c:v>-847259.7200000001</c:v>
                </c:pt>
                <c:pt idx="4481">
                  <c:v>-846800.5089949998</c:v>
                </c:pt>
                <c:pt idx="4482">
                  <c:v>-846341.46396</c:v>
                </c:pt>
                <c:pt idx="4483">
                  <c:v>-845882.5848650001</c:v>
                </c:pt>
                <c:pt idx="4484">
                  <c:v>-845423.8716799999</c:v>
                </c:pt>
                <c:pt idx="4485">
                  <c:v>-844965.324375</c:v>
                </c:pt>
                <c:pt idx="4486">
                  <c:v>-844506.9429200001</c:v>
                </c:pt>
                <c:pt idx="4487">
                  <c:v>-844048.727285</c:v>
                </c:pt>
                <c:pt idx="4488">
                  <c:v>-843590.6774399998</c:v>
                </c:pt>
                <c:pt idx="4489">
                  <c:v>-843132.793355</c:v>
                </c:pt>
                <c:pt idx="4490">
                  <c:v>-842675.0750000002</c:v>
                </c:pt>
                <c:pt idx="4491">
                  <c:v>-842217.5223450002</c:v>
                </c:pt>
                <c:pt idx="4492">
                  <c:v>-841760.13536</c:v>
                </c:pt>
                <c:pt idx="4493">
                  <c:v>-841302.914015</c:v>
                </c:pt>
                <c:pt idx="4494">
                  <c:v>-840845.8582800002</c:v>
                </c:pt>
                <c:pt idx="4495">
                  <c:v>-840388.9681249999</c:v>
                </c:pt>
                <c:pt idx="4496">
                  <c:v>-839932.2435199999</c:v>
                </c:pt>
                <c:pt idx="4497">
                  <c:v>-839475.684435</c:v>
                </c:pt>
                <c:pt idx="4498">
                  <c:v>-839019.2908400001</c:v>
                </c:pt>
                <c:pt idx="4499">
                  <c:v>-838563.0627049998</c:v>
                </c:pt>
                <c:pt idx="4500">
                  <c:v>-838107.0</c:v>
                </c:pt>
                <c:pt idx="4501">
                  <c:v>-837651.1026950001</c:v>
                </c:pt>
                <c:pt idx="4502">
                  <c:v>-837195.3707599997</c:v>
                </c:pt>
                <c:pt idx="4503">
                  <c:v>-836739.8041649999</c:v>
                </c:pt>
                <c:pt idx="4504">
                  <c:v>-836284.40288</c:v>
                </c:pt>
                <c:pt idx="4505">
                  <c:v>-835829.1668750001</c:v>
                </c:pt>
                <c:pt idx="4506">
                  <c:v>-835374.0961199999</c:v>
                </c:pt>
                <c:pt idx="4507">
                  <c:v>-834919.190585</c:v>
                </c:pt>
                <c:pt idx="4508">
                  <c:v>-834464.4502400002</c:v>
                </c:pt>
                <c:pt idx="4509">
                  <c:v>-834009.875055</c:v>
                </c:pt>
                <c:pt idx="4510">
                  <c:v>-833555.4649999999</c:v>
                </c:pt>
                <c:pt idx="4511">
                  <c:v>-833101.2200450001</c:v>
                </c:pt>
                <c:pt idx="4512">
                  <c:v>-832647.1401600001</c:v>
                </c:pt>
                <c:pt idx="4513">
                  <c:v>-832193.2253149998</c:v>
                </c:pt>
                <c:pt idx="4514">
                  <c:v>-831739.4754799999</c:v>
                </c:pt>
                <c:pt idx="4515">
                  <c:v>-831285.8906250002</c:v>
                </c:pt>
                <c:pt idx="4516">
                  <c:v>-830832.4707200002</c:v>
                </c:pt>
                <c:pt idx="4517">
                  <c:v>-830379.215735</c:v>
                </c:pt>
                <c:pt idx="4518">
                  <c:v>-829926.1256399999</c:v>
                </c:pt>
                <c:pt idx="4519">
                  <c:v>-829473.2004050001</c:v>
                </c:pt>
                <c:pt idx="4520">
                  <c:v>-829020.4399999998</c:v>
                </c:pt>
                <c:pt idx="4521">
                  <c:v>-828567.8443949999</c:v>
                </c:pt>
                <c:pt idx="4522">
                  <c:v>-828115.41356</c:v>
                </c:pt>
                <c:pt idx="4523">
                  <c:v>-827663.1474650002</c:v>
                </c:pt>
                <c:pt idx="4524">
                  <c:v>-827211.0460799999</c:v>
                </c:pt>
                <c:pt idx="4525">
                  <c:v>-826759.109375</c:v>
                </c:pt>
                <c:pt idx="4526">
                  <c:v>-826307.33732</c:v>
                </c:pt>
                <c:pt idx="4527">
                  <c:v>-825855.7298849998</c:v>
                </c:pt>
                <c:pt idx="4528">
                  <c:v>-825404.28704</c:v>
                </c:pt>
                <c:pt idx="4529">
                  <c:v>-824953.0087550001</c:v>
                </c:pt>
                <c:pt idx="4530">
                  <c:v>-824501.8950000003</c:v>
                </c:pt>
                <c:pt idx="4531">
                  <c:v>-824050.9457449998</c:v>
                </c:pt>
                <c:pt idx="4532">
                  <c:v>-823600.1609600001</c:v>
                </c:pt>
                <c:pt idx="4533">
                  <c:v>-823149.5406150001</c:v>
                </c:pt>
                <c:pt idx="4534">
                  <c:v>-822699.0846799997</c:v>
                </c:pt>
                <c:pt idx="4535">
                  <c:v>-822248.7931249999</c:v>
                </c:pt>
                <c:pt idx="4536">
                  <c:v>-821798.66592</c:v>
                </c:pt>
                <c:pt idx="4537">
                  <c:v>-821348.7030350001</c:v>
                </c:pt>
                <c:pt idx="4538">
                  <c:v>-820898.9044399998</c:v>
                </c:pt>
                <c:pt idx="4539">
                  <c:v>-820449.2701049999</c:v>
                </c:pt>
                <c:pt idx="4540">
                  <c:v>-819999.8</c:v>
                </c:pt>
                <c:pt idx="4541">
                  <c:v>-819550.4940950001</c:v>
                </c:pt>
                <c:pt idx="4542">
                  <c:v>-819101.3523599998</c:v>
                </c:pt>
                <c:pt idx="4543">
                  <c:v>-818652.374765</c:v>
                </c:pt>
                <c:pt idx="4544">
                  <c:v>-818203.5612800001</c:v>
                </c:pt>
                <c:pt idx="4545">
                  <c:v>-817754.9118749999</c:v>
                </c:pt>
                <c:pt idx="4546">
                  <c:v>-817306.42652</c:v>
                </c:pt>
                <c:pt idx="4547">
                  <c:v>-816858.1051850001</c:v>
                </c:pt>
                <c:pt idx="4548">
                  <c:v>-816409.9478400002</c:v>
                </c:pt>
                <c:pt idx="4549">
                  <c:v>-815961.9544549999</c:v>
                </c:pt>
                <c:pt idx="4550">
                  <c:v>-815514.125</c:v>
                </c:pt>
                <c:pt idx="4551">
                  <c:v>-815066.459445</c:v>
                </c:pt>
                <c:pt idx="4552">
                  <c:v>-814618.9577599998</c:v>
                </c:pt>
                <c:pt idx="4553">
                  <c:v>-814171.619915</c:v>
                </c:pt>
                <c:pt idx="4554">
                  <c:v>-813724.44588</c:v>
                </c:pt>
                <c:pt idx="4555">
                  <c:v>-813277.4356250002</c:v>
                </c:pt>
                <c:pt idx="4556">
                  <c:v>-812830.5891199999</c:v>
                </c:pt>
                <c:pt idx="4557">
                  <c:v>-812383.906335</c:v>
                </c:pt>
                <c:pt idx="4558">
                  <c:v>-811937.3872400001</c:v>
                </c:pt>
                <c:pt idx="4559">
                  <c:v>-811491.0318049997</c:v>
                </c:pt>
                <c:pt idx="4560">
                  <c:v>-811044.8399999999</c:v>
                </c:pt>
                <c:pt idx="4561">
                  <c:v>-810598.8117950001</c:v>
                </c:pt>
                <c:pt idx="4562">
                  <c:v>-810152.9471600002</c:v>
                </c:pt>
                <c:pt idx="4563">
                  <c:v>-809707.2460649998</c:v>
                </c:pt>
                <c:pt idx="4564">
                  <c:v>-809261.7084799999</c:v>
                </c:pt>
                <c:pt idx="4565">
                  <c:v>-808816.3343750001</c:v>
                </c:pt>
                <c:pt idx="4566">
                  <c:v>-808371.1237200001</c:v>
                </c:pt>
                <c:pt idx="4567">
                  <c:v>-807926.076485</c:v>
                </c:pt>
                <c:pt idx="4568">
                  <c:v>-807481.1926399999</c:v>
                </c:pt>
                <c:pt idx="4569">
                  <c:v>-807036.4721550002</c:v>
                </c:pt>
                <c:pt idx="4570">
                  <c:v>-806591.9149999999</c:v>
                </c:pt>
                <c:pt idx="4571">
                  <c:v>-806147.521145</c:v>
                </c:pt>
                <c:pt idx="4572">
                  <c:v>-805703.29056</c:v>
                </c:pt>
                <c:pt idx="4573">
                  <c:v>-805259.2232150002</c:v>
                </c:pt>
                <c:pt idx="4574">
                  <c:v>-804815.3190799999</c:v>
                </c:pt>
                <c:pt idx="4575">
                  <c:v>-804371.578125</c:v>
                </c:pt>
                <c:pt idx="4576">
                  <c:v>-803928.0003200001</c:v>
                </c:pt>
                <c:pt idx="4577">
                  <c:v>-803484.5856349998</c:v>
                </c:pt>
                <c:pt idx="4578">
                  <c:v>-803041.33404</c:v>
                </c:pt>
                <c:pt idx="4579">
                  <c:v>-802598.245505</c:v>
                </c:pt>
                <c:pt idx="4580">
                  <c:v>-802155.3200000001</c:v>
                </c:pt>
                <c:pt idx="4581">
                  <c:v>-801712.5574949998</c:v>
                </c:pt>
                <c:pt idx="4582">
                  <c:v>-801269.9579600001</c:v>
                </c:pt>
                <c:pt idx="4583">
                  <c:v>-800827.521365</c:v>
                </c:pt>
                <c:pt idx="4584">
                  <c:v>-800385.2476799998</c:v>
                </c:pt>
                <c:pt idx="4585">
                  <c:v>-799943.136875</c:v>
                </c:pt>
                <c:pt idx="4586">
                  <c:v>-799501.18892</c:v>
                </c:pt>
                <c:pt idx="4587">
                  <c:v>-799059.4037850001</c:v>
                </c:pt>
                <c:pt idx="4588">
                  <c:v>-798617.7814399999</c:v>
                </c:pt>
                <c:pt idx="4589">
                  <c:v>-798176.321855</c:v>
                </c:pt>
                <c:pt idx="4590">
                  <c:v>-797735.025</c:v>
                </c:pt>
                <c:pt idx="4591">
                  <c:v>-797293.8908450003</c:v>
                </c:pt>
                <c:pt idx="4592">
                  <c:v>-796852.91936</c:v>
                </c:pt>
                <c:pt idx="4593">
                  <c:v>-796412.110515</c:v>
                </c:pt>
                <c:pt idx="4594">
                  <c:v>-795971.4642800001</c:v>
                </c:pt>
                <c:pt idx="4595">
                  <c:v>-795530.980625</c:v>
                </c:pt>
                <c:pt idx="4596">
                  <c:v>-795090.6595200001</c:v>
                </c:pt>
                <c:pt idx="4597">
                  <c:v>-794650.5009349999</c:v>
                </c:pt>
                <c:pt idx="4598">
                  <c:v>-794210.5048400002</c:v>
                </c:pt>
                <c:pt idx="4599">
                  <c:v>-793770.6712049999</c:v>
                </c:pt>
                <c:pt idx="4600">
                  <c:v>-793331.0</c:v>
                </c:pt>
                <c:pt idx="4601">
                  <c:v>-792891.491195</c:v>
                </c:pt>
                <c:pt idx="4602">
                  <c:v>-792452.1447599998</c:v>
                </c:pt>
                <c:pt idx="4603">
                  <c:v>-792012.960665</c:v>
                </c:pt>
                <c:pt idx="4604">
                  <c:v>-791573.93888</c:v>
                </c:pt>
                <c:pt idx="4605">
                  <c:v>-791135.079375</c:v>
                </c:pt>
                <c:pt idx="4606">
                  <c:v>-790696.3821199998</c:v>
                </c:pt>
                <c:pt idx="4607">
                  <c:v>-790257.847085</c:v>
                </c:pt>
                <c:pt idx="4608">
                  <c:v>-789819.47424</c:v>
                </c:pt>
                <c:pt idx="4609">
                  <c:v>-789381.2635549998</c:v>
                </c:pt>
                <c:pt idx="4610">
                  <c:v>-788943.215</c:v>
                </c:pt>
                <c:pt idx="4611">
                  <c:v>-788505.3285449999</c:v>
                </c:pt>
                <c:pt idx="4612">
                  <c:v>-788067.6041600002</c:v>
                </c:pt>
                <c:pt idx="4613">
                  <c:v>-787630.041815</c:v>
                </c:pt>
                <c:pt idx="4614">
                  <c:v>-787192.64148</c:v>
                </c:pt>
                <c:pt idx="4615">
                  <c:v>-786755.4031250001</c:v>
                </c:pt>
                <c:pt idx="4616">
                  <c:v>-786318.3267200002</c:v>
                </c:pt>
                <c:pt idx="4617">
                  <c:v>-785881.4122349998</c:v>
                </c:pt>
                <c:pt idx="4618">
                  <c:v>-785444.65964</c:v>
                </c:pt>
                <c:pt idx="4619">
                  <c:v>-785008.0689050002</c:v>
                </c:pt>
                <c:pt idx="4620">
                  <c:v>-784571.6399999999</c:v>
                </c:pt>
                <c:pt idx="4621">
                  <c:v>-784135.3728949999</c:v>
                </c:pt>
                <c:pt idx="4622">
                  <c:v>-783699.2675600001</c:v>
                </c:pt>
                <c:pt idx="4623">
                  <c:v>-783263.3239650002</c:v>
                </c:pt>
                <c:pt idx="4624">
                  <c:v>-782827.5420799999</c:v>
                </c:pt>
                <c:pt idx="4625">
                  <c:v>-782391.921875</c:v>
                </c:pt>
                <c:pt idx="4626">
                  <c:v>-781956.4633200001</c:v>
                </c:pt>
                <c:pt idx="4627">
                  <c:v>-781521.1663849999</c:v>
                </c:pt>
                <c:pt idx="4628">
                  <c:v>-781086.0310399999</c:v>
                </c:pt>
                <c:pt idx="4629">
                  <c:v>-780651.057255</c:v>
                </c:pt>
                <c:pt idx="4630">
                  <c:v>-780216.2450000001</c:v>
                </c:pt>
                <c:pt idx="4631">
                  <c:v>-779781.5942449997</c:v>
                </c:pt>
                <c:pt idx="4632">
                  <c:v>-779347.10496</c:v>
                </c:pt>
                <c:pt idx="4633">
                  <c:v>-778912.777115</c:v>
                </c:pt>
                <c:pt idx="4634">
                  <c:v>-778478.6106799998</c:v>
                </c:pt>
                <c:pt idx="4635">
                  <c:v>-778044.605625</c:v>
                </c:pt>
                <c:pt idx="4636">
                  <c:v>-777610.7619200001</c:v>
                </c:pt>
                <c:pt idx="4637">
                  <c:v>-777177.0795350001</c:v>
                </c:pt>
                <c:pt idx="4638">
                  <c:v>-776743.5584399998</c:v>
                </c:pt>
                <c:pt idx="4639">
                  <c:v>-776310.198605</c:v>
                </c:pt>
                <c:pt idx="4640">
                  <c:v>-775877.0000000001</c:v>
                </c:pt>
                <c:pt idx="4641">
                  <c:v>-775443.9625950002</c:v>
                </c:pt>
                <c:pt idx="4642">
                  <c:v>-775011.08636</c:v>
                </c:pt>
                <c:pt idx="4643">
                  <c:v>-774578.3712650001</c:v>
                </c:pt>
                <c:pt idx="4644">
                  <c:v>-774145.8172800002</c:v>
                </c:pt>
                <c:pt idx="4645">
                  <c:v>-773713.424375</c:v>
                </c:pt>
                <c:pt idx="4646">
                  <c:v>-773281.1925199999</c:v>
                </c:pt>
                <c:pt idx="4647">
                  <c:v>-772849.121685</c:v>
                </c:pt>
                <c:pt idx="4648">
                  <c:v>-772417.2118400002</c:v>
                </c:pt>
                <c:pt idx="4649">
                  <c:v>-771985.4629549999</c:v>
                </c:pt>
                <c:pt idx="4650">
                  <c:v>-771553.875</c:v>
                </c:pt>
                <c:pt idx="4651">
                  <c:v>-771122.447945</c:v>
                </c:pt>
                <c:pt idx="4652">
                  <c:v>-770691.1817599998</c:v>
                </c:pt>
                <c:pt idx="4653">
                  <c:v>-770260.076415</c:v>
                </c:pt>
                <c:pt idx="4654">
                  <c:v>-769829.13188</c:v>
                </c:pt>
                <c:pt idx="4655">
                  <c:v>-769398.348125</c:v>
                </c:pt>
                <c:pt idx="4656">
                  <c:v>-768967.7251199998</c:v>
                </c:pt>
                <c:pt idx="4657">
                  <c:v>-768537.262835</c:v>
                </c:pt>
                <c:pt idx="4658">
                  <c:v>-768106.9612400001</c:v>
                </c:pt>
                <c:pt idx="4659">
                  <c:v>-767676.8203049998</c:v>
                </c:pt>
                <c:pt idx="4660">
                  <c:v>-767246.8399999999</c:v>
                </c:pt>
                <c:pt idx="4661">
                  <c:v>-766817.0202949999</c:v>
                </c:pt>
                <c:pt idx="4662">
                  <c:v>-766387.3611600002</c:v>
                </c:pt>
                <c:pt idx="4663">
                  <c:v>-765957.8625649998</c:v>
                </c:pt>
                <c:pt idx="4664">
                  <c:v>-765528.5244799999</c:v>
                </c:pt>
                <c:pt idx="4665">
                  <c:v>-765099.346875</c:v>
                </c:pt>
                <c:pt idx="4666">
                  <c:v>-764670.3297200002</c:v>
                </c:pt>
                <c:pt idx="4667">
                  <c:v>-764241.4729849999</c:v>
                </c:pt>
                <c:pt idx="4668">
                  <c:v>-763812.77664</c:v>
                </c:pt>
                <c:pt idx="4669">
                  <c:v>-763384.2406550002</c:v>
                </c:pt>
                <c:pt idx="4670">
                  <c:v>-762955.8649999999</c:v>
                </c:pt>
                <c:pt idx="4671">
                  <c:v>-762527.649645</c:v>
                </c:pt>
                <c:pt idx="4672">
                  <c:v>-762099.59456</c:v>
                </c:pt>
                <c:pt idx="4673">
                  <c:v>-761671.6997150002</c:v>
                </c:pt>
                <c:pt idx="4674">
                  <c:v>-761243.96508</c:v>
                </c:pt>
                <c:pt idx="4675">
                  <c:v>-760816.390625</c:v>
                </c:pt>
                <c:pt idx="4676">
                  <c:v>-760388.9763200001</c:v>
                </c:pt>
                <c:pt idx="4677">
                  <c:v>-759961.7221349998</c:v>
                </c:pt>
                <c:pt idx="4678">
                  <c:v>-759534.62804</c:v>
                </c:pt>
                <c:pt idx="4679">
                  <c:v>-759107.6940049999</c:v>
                </c:pt>
                <c:pt idx="4680">
                  <c:v>-758680.92</c:v>
                </c:pt>
                <c:pt idx="4681">
                  <c:v>-758254.3059949998</c:v>
                </c:pt>
                <c:pt idx="4682">
                  <c:v>-757827.85196</c:v>
                </c:pt>
                <c:pt idx="4683">
                  <c:v>-757401.5578650001</c:v>
                </c:pt>
                <c:pt idx="4684">
                  <c:v>-756975.4236799998</c:v>
                </c:pt>
                <c:pt idx="4685">
                  <c:v>-756549.4493749999</c:v>
                </c:pt>
                <c:pt idx="4686">
                  <c:v>-756123.6349200001</c:v>
                </c:pt>
                <c:pt idx="4687">
                  <c:v>-755697.980285</c:v>
                </c:pt>
                <c:pt idx="4688">
                  <c:v>-755272.48544</c:v>
                </c:pt>
                <c:pt idx="4689">
                  <c:v>-754847.150355</c:v>
                </c:pt>
                <c:pt idx="4690">
                  <c:v>-754421.9750000001</c:v>
                </c:pt>
                <c:pt idx="4691">
                  <c:v>-753996.9593450002</c:v>
                </c:pt>
                <c:pt idx="4692">
                  <c:v>-753572.10336</c:v>
                </c:pt>
                <c:pt idx="4693">
                  <c:v>-753147.4070149999</c:v>
                </c:pt>
                <c:pt idx="4694">
                  <c:v>-752722.8702800001</c:v>
                </c:pt>
                <c:pt idx="4695">
                  <c:v>-752298.4931249999</c:v>
                </c:pt>
                <c:pt idx="4696">
                  <c:v>-751874.2755199999</c:v>
                </c:pt>
                <c:pt idx="4697">
                  <c:v>-751450.217435</c:v>
                </c:pt>
                <c:pt idx="4698">
                  <c:v>-751026.3188400003</c:v>
                </c:pt>
                <c:pt idx="4699">
                  <c:v>-750602.579705</c:v>
                </c:pt>
                <c:pt idx="4700">
                  <c:v>-750179.0</c:v>
                </c:pt>
                <c:pt idx="4701">
                  <c:v>-749755.5796950001</c:v>
                </c:pt>
                <c:pt idx="4702">
                  <c:v>-749332.3187599999</c:v>
                </c:pt>
                <c:pt idx="4703">
                  <c:v>-748909.2171649999</c:v>
                </c:pt>
                <c:pt idx="4704">
                  <c:v>-748486.27488</c:v>
                </c:pt>
                <c:pt idx="4705">
                  <c:v>-748063.4918750002</c:v>
                </c:pt>
                <c:pt idx="4706">
                  <c:v>-747640.86812</c:v>
                </c:pt>
                <c:pt idx="4707">
                  <c:v>-747218.4035850001</c:v>
                </c:pt>
                <c:pt idx="4708">
                  <c:v>-746796.0982400001</c:v>
                </c:pt>
                <c:pt idx="4709">
                  <c:v>-746373.9520549999</c:v>
                </c:pt>
                <c:pt idx="4710">
                  <c:v>-745951.9649999999</c:v>
                </c:pt>
                <c:pt idx="4711">
                  <c:v>-745530.1370450001</c:v>
                </c:pt>
                <c:pt idx="4712">
                  <c:v>-745108.4681600002</c:v>
                </c:pt>
                <c:pt idx="4713">
                  <c:v>-744686.9583149999</c:v>
                </c:pt>
                <c:pt idx="4714">
                  <c:v>-744265.6074799999</c:v>
                </c:pt>
                <c:pt idx="4715">
                  <c:v>-743844.4156250001</c:v>
                </c:pt>
                <c:pt idx="4716">
                  <c:v>-743423.3827200001</c:v>
                </c:pt>
                <c:pt idx="4717">
                  <c:v>-743002.508735</c:v>
                </c:pt>
                <c:pt idx="4718">
                  <c:v>-742581.7936399999</c:v>
                </c:pt>
                <c:pt idx="4719">
                  <c:v>-742161.2374050001</c:v>
                </c:pt>
                <c:pt idx="4720">
                  <c:v>-741740.8400000001</c:v>
                </c:pt>
                <c:pt idx="4721">
                  <c:v>-741320.601395</c:v>
                </c:pt>
                <c:pt idx="4722">
                  <c:v>-740900.52156</c:v>
                </c:pt>
                <c:pt idx="4723">
                  <c:v>-740480.6004650001</c:v>
                </c:pt>
                <c:pt idx="4724">
                  <c:v>-740060.8380799999</c:v>
                </c:pt>
                <c:pt idx="4725">
                  <c:v>-739641.234375</c:v>
                </c:pt>
                <c:pt idx="4726">
                  <c:v>-739221.78932</c:v>
                </c:pt>
                <c:pt idx="4727">
                  <c:v>-738802.5028849997</c:v>
                </c:pt>
                <c:pt idx="4728">
                  <c:v>-738383.37504</c:v>
                </c:pt>
                <c:pt idx="4729">
                  <c:v>-737964.4057550001</c:v>
                </c:pt>
                <c:pt idx="4730">
                  <c:v>-737545.595</c:v>
                </c:pt>
                <c:pt idx="4731">
                  <c:v>-737126.9427449999</c:v>
                </c:pt>
                <c:pt idx="4732">
                  <c:v>-736708.4489600001</c:v>
                </c:pt>
                <c:pt idx="4733">
                  <c:v>-736290.1136150002</c:v>
                </c:pt>
                <c:pt idx="4734">
                  <c:v>-735871.9366799998</c:v>
                </c:pt>
                <c:pt idx="4735">
                  <c:v>-735453.918125</c:v>
                </c:pt>
                <c:pt idx="4736">
                  <c:v>-735036.05792</c:v>
                </c:pt>
                <c:pt idx="4737">
                  <c:v>-734618.3560350002</c:v>
                </c:pt>
                <c:pt idx="4738">
                  <c:v>-734200.81244</c:v>
                </c:pt>
                <c:pt idx="4739">
                  <c:v>-733783.4271049999</c:v>
                </c:pt>
                <c:pt idx="4740">
                  <c:v>-733366.2000000001</c:v>
                </c:pt>
                <c:pt idx="4741">
                  <c:v>-732949.1310950001</c:v>
                </c:pt>
                <c:pt idx="4742">
                  <c:v>-732532.2203599999</c:v>
                </c:pt>
                <c:pt idx="4743">
                  <c:v>-732115.467765</c:v>
                </c:pt>
                <c:pt idx="4744">
                  <c:v>-731698.8732800002</c:v>
                </c:pt>
                <c:pt idx="4745">
                  <c:v>-731282.4368749999</c:v>
                </c:pt>
                <c:pt idx="4746">
                  <c:v>-730866.1585199999</c:v>
                </c:pt>
                <c:pt idx="4747">
                  <c:v>-730450.0381850001</c:v>
                </c:pt>
                <c:pt idx="4748">
                  <c:v>-730034.0758400002</c:v>
                </c:pt>
                <c:pt idx="4749">
                  <c:v>-729618.2714549999</c:v>
                </c:pt>
                <c:pt idx="4750">
                  <c:v>-729202.625</c:v>
                </c:pt>
                <c:pt idx="4751">
                  <c:v>-728787.1364450001</c:v>
                </c:pt>
                <c:pt idx="4752">
                  <c:v>-728371.8057599998</c:v>
                </c:pt>
                <c:pt idx="4753">
                  <c:v>-727956.632915</c:v>
                </c:pt>
                <c:pt idx="4754">
                  <c:v>-727541.6178800002</c:v>
                </c:pt>
                <c:pt idx="4755">
                  <c:v>-727126.7606250001</c:v>
                </c:pt>
                <c:pt idx="4756">
                  <c:v>-726712.06112</c:v>
                </c:pt>
                <c:pt idx="4757">
                  <c:v>-726297.5193350001</c:v>
                </c:pt>
                <c:pt idx="4758">
                  <c:v>-725883.13524</c:v>
                </c:pt>
                <c:pt idx="4759">
                  <c:v>-725468.9088049999</c:v>
                </c:pt>
                <c:pt idx="4760">
                  <c:v>-725054.84</c:v>
                </c:pt>
                <c:pt idx="4761">
                  <c:v>-724640.9287950001</c:v>
                </c:pt>
                <c:pt idx="4762">
                  <c:v>-724227.1751600001</c:v>
                </c:pt>
                <c:pt idx="4763">
                  <c:v>-723813.5790649999</c:v>
                </c:pt>
                <c:pt idx="4764">
                  <c:v>-723400.14048</c:v>
                </c:pt>
                <c:pt idx="4765">
                  <c:v>-722986.8593750001</c:v>
                </c:pt>
                <c:pt idx="4766">
                  <c:v>-722573.7357200001</c:v>
                </c:pt>
                <c:pt idx="4767">
                  <c:v>-722160.7694849998</c:v>
                </c:pt>
                <c:pt idx="4768">
                  <c:v>-721747.96064</c:v>
                </c:pt>
                <c:pt idx="4769">
                  <c:v>-721335.3091550001</c:v>
                </c:pt>
                <c:pt idx="4770">
                  <c:v>-720922.815</c:v>
                </c:pt>
                <c:pt idx="4771">
                  <c:v>-720510.478145</c:v>
                </c:pt>
                <c:pt idx="4772">
                  <c:v>-720098.2985599999</c:v>
                </c:pt>
                <c:pt idx="4773">
                  <c:v>-719686.2762150002</c:v>
                </c:pt>
                <c:pt idx="4774">
                  <c:v>-719274.41108</c:v>
                </c:pt>
                <c:pt idx="4775">
                  <c:v>-718862.703125</c:v>
                </c:pt>
                <c:pt idx="4776">
                  <c:v>-718451.1523200001</c:v>
                </c:pt>
                <c:pt idx="4777">
                  <c:v>-718039.7586349999</c:v>
                </c:pt>
                <c:pt idx="4778">
                  <c:v>-717628.52204</c:v>
                </c:pt>
                <c:pt idx="4779">
                  <c:v>-717217.442505</c:v>
                </c:pt>
                <c:pt idx="4780">
                  <c:v>-716806.5200000001</c:v>
                </c:pt>
                <c:pt idx="4781">
                  <c:v>-716395.7544949998</c:v>
                </c:pt>
                <c:pt idx="4782">
                  <c:v>-715985.14596</c:v>
                </c:pt>
                <c:pt idx="4783">
                  <c:v>-715574.6943650001</c:v>
                </c:pt>
                <c:pt idx="4784">
                  <c:v>-715164.3996799998</c:v>
                </c:pt>
                <c:pt idx="4785">
                  <c:v>-714754.261875</c:v>
                </c:pt>
                <c:pt idx="4786">
                  <c:v>-714344.28092</c:v>
                </c:pt>
                <c:pt idx="4787">
                  <c:v>-713934.456785</c:v>
                </c:pt>
                <c:pt idx="4788">
                  <c:v>-713524.78944</c:v>
                </c:pt>
                <c:pt idx="4789">
                  <c:v>-713115.2788549999</c:v>
                </c:pt>
                <c:pt idx="4790">
                  <c:v>-712705.9249999999</c:v>
                </c:pt>
                <c:pt idx="4791">
                  <c:v>-712296.7278450001</c:v>
                </c:pt>
                <c:pt idx="4792">
                  <c:v>-711887.6873599999</c:v>
                </c:pt>
                <c:pt idx="4793">
                  <c:v>-711478.803515</c:v>
                </c:pt>
                <c:pt idx="4794">
                  <c:v>-711070.0762800002</c:v>
                </c:pt>
                <c:pt idx="4795">
                  <c:v>-710661.505625</c:v>
                </c:pt>
                <c:pt idx="4796">
                  <c:v>-710253.0915199999</c:v>
                </c:pt>
                <c:pt idx="4797">
                  <c:v>-709844.833935</c:v>
                </c:pt>
                <c:pt idx="4798">
                  <c:v>-709436.7328400001</c:v>
                </c:pt>
                <c:pt idx="4799">
                  <c:v>-709028.7882049999</c:v>
                </c:pt>
                <c:pt idx="4800">
                  <c:v>-708621.0</c:v>
                </c:pt>
                <c:pt idx="4801">
                  <c:v>-708213.3681950001</c:v>
                </c:pt>
                <c:pt idx="4802">
                  <c:v>-707805.8927599998</c:v>
                </c:pt>
                <c:pt idx="4803">
                  <c:v>-707398.5736649999</c:v>
                </c:pt>
                <c:pt idx="4804">
                  <c:v>-706991.41088</c:v>
                </c:pt>
                <c:pt idx="4805">
                  <c:v>-706584.404375</c:v>
                </c:pt>
                <c:pt idx="4806">
                  <c:v>-706177.5541199998</c:v>
                </c:pt>
                <c:pt idx="4807">
                  <c:v>-705770.8600849999</c:v>
                </c:pt>
                <c:pt idx="4808">
                  <c:v>-705364.3222400001</c:v>
                </c:pt>
                <c:pt idx="4809">
                  <c:v>-704957.9405549997</c:v>
                </c:pt>
                <c:pt idx="4810">
                  <c:v>-704551.7149999999</c:v>
                </c:pt>
                <c:pt idx="4811">
                  <c:v>-704145.6455450001</c:v>
                </c:pt>
                <c:pt idx="4812">
                  <c:v>-703739.7321600001</c:v>
                </c:pt>
                <c:pt idx="4813">
                  <c:v>-703333.9748149998</c:v>
                </c:pt>
                <c:pt idx="4814">
                  <c:v>-702928.3734800001</c:v>
                </c:pt>
                <c:pt idx="4815">
                  <c:v>-702522.9281250001</c:v>
                </c:pt>
                <c:pt idx="4816">
                  <c:v>-702117.63872</c:v>
                </c:pt>
                <c:pt idx="4817">
                  <c:v>-701712.5052349998</c:v>
                </c:pt>
                <c:pt idx="4818">
                  <c:v>-701307.5276399999</c:v>
                </c:pt>
                <c:pt idx="4819">
                  <c:v>-700902.7059050001</c:v>
                </c:pt>
                <c:pt idx="4820">
                  <c:v>-700498.0399999998</c:v>
                </c:pt>
                <c:pt idx="4821">
                  <c:v>-700093.5298949999</c:v>
                </c:pt>
                <c:pt idx="4822">
                  <c:v>-699689.17556</c:v>
                </c:pt>
                <c:pt idx="4823">
                  <c:v>-699284.9769650003</c:v>
                </c:pt>
                <c:pt idx="4824">
                  <c:v>-698880.9340799999</c:v>
                </c:pt>
                <c:pt idx="4825">
                  <c:v>-698477.046875</c:v>
                </c:pt>
                <c:pt idx="4826">
                  <c:v>-698073.3153199999</c:v>
                </c:pt>
                <c:pt idx="4827">
                  <c:v>-697669.7393849998</c:v>
                </c:pt>
                <c:pt idx="4828">
                  <c:v>-697266.3190400001</c:v>
                </c:pt>
                <c:pt idx="4829">
                  <c:v>-696863.054255</c:v>
                </c:pt>
                <c:pt idx="4830">
                  <c:v>-696459.9450000002</c:v>
                </c:pt>
                <c:pt idx="4831">
                  <c:v>-696056.9912449998</c:v>
                </c:pt>
                <c:pt idx="4832">
                  <c:v>-695654.19296</c:v>
                </c:pt>
                <c:pt idx="4833">
                  <c:v>-695251.550115</c:v>
                </c:pt>
                <c:pt idx="4834">
                  <c:v>-694849.0626799999</c:v>
                </c:pt>
                <c:pt idx="4835">
                  <c:v>-694446.7306249999</c:v>
                </c:pt>
                <c:pt idx="4836">
                  <c:v>-694044.5539200001</c:v>
                </c:pt>
                <c:pt idx="4837">
                  <c:v>-693642.5325350002</c:v>
                </c:pt>
                <c:pt idx="4838">
                  <c:v>-693240.6664399997</c:v>
                </c:pt>
                <c:pt idx="4839">
                  <c:v>-692838.9556049999</c:v>
                </c:pt>
                <c:pt idx="4840">
                  <c:v>-692437.4000000001</c:v>
                </c:pt>
                <c:pt idx="4841">
                  <c:v>-692035.9995950001</c:v>
                </c:pt>
                <c:pt idx="4842">
                  <c:v>-691634.75436</c:v>
                </c:pt>
                <c:pt idx="4843">
                  <c:v>-691233.664265</c:v>
                </c:pt>
                <c:pt idx="4844">
                  <c:v>-690832.7292800001</c:v>
                </c:pt>
                <c:pt idx="4845">
                  <c:v>-690431.9493749999</c:v>
                </c:pt>
                <c:pt idx="4846">
                  <c:v>-690031.32452</c:v>
                </c:pt>
                <c:pt idx="4847">
                  <c:v>-689630.854685</c:v>
                </c:pt>
                <c:pt idx="4848">
                  <c:v>-689230.5398400003</c:v>
                </c:pt>
                <c:pt idx="4849">
                  <c:v>-688830.3799549999</c:v>
                </c:pt>
                <c:pt idx="4850">
                  <c:v>-688430.375</c:v>
                </c:pt>
                <c:pt idx="4851">
                  <c:v>-688030.5249450001</c:v>
                </c:pt>
                <c:pt idx="4852">
                  <c:v>-687630.8297599999</c:v>
                </c:pt>
                <c:pt idx="4853">
                  <c:v>-687231.289415</c:v>
                </c:pt>
                <c:pt idx="4854">
                  <c:v>-686831.9038800001</c:v>
                </c:pt>
                <c:pt idx="4855">
                  <c:v>-686432.6731250001</c:v>
                </c:pt>
                <c:pt idx="4856">
                  <c:v>-686033.5971199998</c:v>
                </c:pt>
                <c:pt idx="4857">
                  <c:v>-685634.6758349999</c:v>
                </c:pt>
                <c:pt idx="4858">
                  <c:v>-685235.9092400001</c:v>
                </c:pt>
                <c:pt idx="4859">
                  <c:v>-684837.2973049999</c:v>
                </c:pt>
                <c:pt idx="4860">
                  <c:v>-684438.8399999999</c:v>
                </c:pt>
                <c:pt idx="4861">
                  <c:v>-684040.537295</c:v>
                </c:pt>
                <c:pt idx="4862">
                  <c:v>-683642.3891600001</c:v>
                </c:pt>
                <c:pt idx="4863">
                  <c:v>-683244.3955649999</c:v>
                </c:pt>
                <c:pt idx="4864">
                  <c:v>-682846.55648</c:v>
                </c:pt>
                <c:pt idx="4865">
                  <c:v>-682448.8718750002</c:v>
                </c:pt>
                <c:pt idx="4866">
                  <c:v>-682051.3417200001</c:v>
                </c:pt>
                <c:pt idx="4867">
                  <c:v>-681653.965985</c:v>
                </c:pt>
                <c:pt idx="4868">
                  <c:v>-681256.7446399999</c:v>
                </c:pt>
                <c:pt idx="4869">
                  <c:v>-680859.6776550002</c:v>
                </c:pt>
                <c:pt idx="4870">
                  <c:v>-680462.7649999999</c:v>
                </c:pt>
                <c:pt idx="4871">
                  <c:v>-680066.0066450001</c:v>
                </c:pt>
                <c:pt idx="4872">
                  <c:v>-679669.4025600001</c:v>
                </c:pt>
                <c:pt idx="4873">
                  <c:v>-679272.9527150001</c:v>
                </c:pt>
                <c:pt idx="4874">
                  <c:v>-678876.65708</c:v>
                </c:pt>
                <c:pt idx="4875">
                  <c:v>-678480.515625</c:v>
                </c:pt>
                <c:pt idx="4876">
                  <c:v>-678084.5283199999</c:v>
                </c:pt>
                <c:pt idx="4877">
                  <c:v>-677688.6951349998</c:v>
                </c:pt>
                <c:pt idx="4878">
                  <c:v>-677293.0160399999</c:v>
                </c:pt>
                <c:pt idx="4879">
                  <c:v>-676897.4910050001</c:v>
                </c:pt>
                <c:pt idx="4880">
                  <c:v>-676502.1200000001</c:v>
                </c:pt>
                <c:pt idx="4881">
                  <c:v>-676106.9029949999</c:v>
                </c:pt>
                <c:pt idx="4882">
                  <c:v>-675711.8399600001</c:v>
                </c:pt>
                <c:pt idx="4883">
                  <c:v>-675316.9308650001</c:v>
                </c:pt>
                <c:pt idx="4884">
                  <c:v>-674922.1756799999</c:v>
                </c:pt>
                <c:pt idx="4885">
                  <c:v>-674527.5743749999</c:v>
                </c:pt>
                <c:pt idx="4886">
                  <c:v>-674133.1269200002</c:v>
                </c:pt>
                <c:pt idx="4887">
                  <c:v>-673738.8332850002</c:v>
                </c:pt>
                <c:pt idx="4888">
                  <c:v>-673344.6934399998</c:v>
                </c:pt>
                <c:pt idx="4889">
                  <c:v>-672950.707355</c:v>
                </c:pt>
                <c:pt idx="4890">
                  <c:v>-672556.8750000001</c:v>
                </c:pt>
                <c:pt idx="4891">
                  <c:v>-672163.1963450002</c:v>
                </c:pt>
                <c:pt idx="4892">
                  <c:v>-671769.6713599999</c:v>
                </c:pt>
                <c:pt idx="4893">
                  <c:v>-671376.300015</c:v>
                </c:pt>
                <c:pt idx="4894">
                  <c:v>-670983.0822800001</c:v>
                </c:pt>
                <c:pt idx="4895">
                  <c:v>-670590.0181249998</c:v>
                </c:pt>
                <c:pt idx="4896">
                  <c:v>-670197.10752</c:v>
                </c:pt>
                <c:pt idx="4897">
                  <c:v>-669804.350435</c:v>
                </c:pt>
                <c:pt idx="4898">
                  <c:v>-669411.7468400002</c:v>
                </c:pt>
                <c:pt idx="4899">
                  <c:v>-669019.296705</c:v>
                </c:pt>
                <c:pt idx="4900">
                  <c:v>-668627.0</c:v>
                </c:pt>
                <c:pt idx="4901">
                  <c:v>-668234.8566950001</c:v>
                </c:pt>
                <c:pt idx="4902">
                  <c:v>-667842.8667599998</c:v>
                </c:pt>
                <c:pt idx="4903">
                  <c:v>-667451.030165</c:v>
                </c:pt>
                <c:pt idx="4904">
                  <c:v>-667059.34688</c:v>
                </c:pt>
                <c:pt idx="4905">
                  <c:v>-666667.8168750001</c:v>
                </c:pt>
                <c:pt idx="4906">
                  <c:v>-666276.4401199999</c:v>
                </c:pt>
                <c:pt idx="4907">
                  <c:v>-665885.216585</c:v>
                </c:pt>
                <c:pt idx="4908">
                  <c:v>-665494.14624</c:v>
                </c:pt>
                <c:pt idx="4909">
                  <c:v>-665103.2290549999</c:v>
                </c:pt>
                <c:pt idx="4910">
                  <c:v>-664712.465</c:v>
                </c:pt>
                <c:pt idx="4911">
                  <c:v>-664321.8540450002</c:v>
                </c:pt>
                <c:pt idx="4912">
                  <c:v>-663931.3961600001</c:v>
                </c:pt>
                <c:pt idx="4913">
                  <c:v>-663541.0913149999</c:v>
                </c:pt>
                <c:pt idx="4914">
                  <c:v>-663150.9394799998</c:v>
                </c:pt>
                <c:pt idx="4915">
                  <c:v>-662760.9406250002</c:v>
                </c:pt>
                <c:pt idx="4916">
                  <c:v>-662371.0947200002</c:v>
                </c:pt>
                <c:pt idx="4917">
                  <c:v>-661981.401735</c:v>
                </c:pt>
                <c:pt idx="4918">
                  <c:v>-661591.8616399999</c:v>
                </c:pt>
                <c:pt idx="4919">
                  <c:v>-661202.4744050001</c:v>
                </c:pt>
                <c:pt idx="4920">
                  <c:v>-660813.24</c:v>
                </c:pt>
                <c:pt idx="4921">
                  <c:v>-660424.158395</c:v>
                </c:pt>
                <c:pt idx="4922">
                  <c:v>-660035.22956</c:v>
                </c:pt>
                <c:pt idx="4923">
                  <c:v>-659646.4534650001</c:v>
                </c:pt>
                <c:pt idx="4924">
                  <c:v>-659257.83008</c:v>
                </c:pt>
                <c:pt idx="4925">
                  <c:v>-658869.359375</c:v>
                </c:pt>
                <c:pt idx="4926">
                  <c:v>-658481.0413200001</c:v>
                </c:pt>
                <c:pt idx="4927">
                  <c:v>-658092.8758849998</c:v>
                </c:pt>
                <c:pt idx="4928">
                  <c:v>-657704.86304</c:v>
                </c:pt>
                <c:pt idx="4929">
                  <c:v>-657317.002755</c:v>
                </c:pt>
                <c:pt idx="4930">
                  <c:v>-656929.295</c:v>
                </c:pt>
                <c:pt idx="4931">
                  <c:v>-656541.7397449998</c:v>
                </c:pt>
                <c:pt idx="4932">
                  <c:v>-656154.3369600001</c:v>
                </c:pt>
                <c:pt idx="4933">
                  <c:v>-655767.0866150002</c:v>
                </c:pt>
                <c:pt idx="4934">
                  <c:v>-655379.9886799998</c:v>
                </c:pt>
                <c:pt idx="4935">
                  <c:v>-654993.0431249999</c:v>
                </c:pt>
                <c:pt idx="4936">
                  <c:v>-654606.2499200001</c:v>
                </c:pt>
                <c:pt idx="4937">
                  <c:v>-654219.6090350001</c:v>
                </c:pt>
                <c:pt idx="4938">
                  <c:v>-653833.1204399999</c:v>
                </c:pt>
                <c:pt idx="4939">
                  <c:v>-653446.784105</c:v>
                </c:pt>
                <c:pt idx="4940">
                  <c:v>-653060.6000000001</c:v>
                </c:pt>
                <c:pt idx="4941">
                  <c:v>-652674.5680950002</c:v>
                </c:pt>
                <c:pt idx="4942">
                  <c:v>-652288.6883599999</c:v>
                </c:pt>
                <c:pt idx="4943">
                  <c:v>-651902.960765</c:v>
                </c:pt>
                <c:pt idx="4944">
                  <c:v>-651517.3852800002</c:v>
                </c:pt>
                <c:pt idx="4945">
                  <c:v>-651131.9618749999</c:v>
                </c:pt>
                <c:pt idx="4946">
                  <c:v>-650746.69052</c:v>
                </c:pt>
                <c:pt idx="4947">
                  <c:v>-650361.571185</c:v>
                </c:pt>
                <c:pt idx="4948">
                  <c:v>-649976.6038400001</c:v>
                </c:pt>
                <c:pt idx="4949">
                  <c:v>-649591.7884549999</c:v>
                </c:pt>
                <c:pt idx="4950">
                  <c:v>-649207.125</c:v>
                </c:pt>
                <c:pt idx="4951">
                  <c:v>-648822.613445</c:v>
                </c:pt>
                <c:pt idx="4952">
                  <c:v>-648438.2537599999</c:v>
                </c:pt>
                <c:pt idx="4953">
                  <c:v>-648054.045915</c:v>
                </c:pt>
                <c:pt idx="4954">
                  <c:v>-647669.98988</c:v>
                </c:pt>
                <c:pt idx="4955">
                  <c:v>-647286.0856250001</c:v>
                </c:pt>
                <c:pt idx="4956">
                  <c:v>-646902.3331199999</c:v>
                </c:pt>
                <c:pt idx="4957">
                  <c:v>-646518.7323350001</c:v>
                </c:pt>
                <c:pt idx="4958">
                  <c:v>-646135.28324</c:v>
                </c:pt>
                <c:pt idx="4959">
                  <c:v>-645751.985805</c:v>
                </c:pt>
                <c:pt idx="4960">
                  <c:v>-645368.8399999999</c:v>
                </c:pt>
                <c:pt idx="4961">
                  <c:v>-644985.8457950001</c:v>
                </c:pt>
                <c:pt idx="4962">
                  <c:v>-644603.0031600001</c:v>
                </c:pt>
                <c:pt idx="4963">
                  <c:v>-644220.312065</c:v>
                </c:pt>
                <c:pt idx="4964">
                  <c:v>-643837.7724799999</c:v>
                </c:pt>
                <c:pt idx="4965">
                  <c:v>-643455.3843750001</c:v>
                </c:pt>
                <c:pt idx="4966">
                  <c:v>-643073.1477200002</c:v>
                </c:pt>
                <c:pt idx="4967">
                  <c:v>-642691.0624849999</c:v>
                </c:pt>
                <c:pt idx="4968">
                  <c:v>-642309.1286399999</c:v>
                </c:pt>
                <c:pt idx="4969">
                  <c:v>-641927.3461550002</c:v>
                </c:pt>
                <c:pt idx="4970">
                  <c:v>-641545.715</c:v>
                </c:pt>
                <c:pt idx="4971">
                  <c:v>-641164.2351449999</c:v>
                </c:pt>
                <c:pt idx="4972">
                  <c:v>-640782.90656</c:v>
                </c:pt>
                <c:pt idx="4973">
                  <c:v>-640401.7292150002</c:v>
                </c:pt>
                <c:pt idx="4974">
                  <c:v>-640020.70308</c:v>
                </c:pt>
                <c:pt idx="4975">
                  <c:v>-639639.828125</c:v>
                </c:pt>
                <c:pt idx="4976">
                  <c:v>-639259.10432</c:v>
                </c:pt>
                <c:pt idx="4977">
                  <c:v>-638878.5316349999</c:v>
                </c:pt>
                <c:pt idx="4978">
                  <c:v>-638498.11004</c:v>
                </c:pt>
                <c:pt idx="4979">
                  <c:v>-638117.839505</c:v>
                </c:pt>
                <c:pt idx="4980">
                  <c:v>-637737.72</c:v>
                </c:pt>
                <c:pt idx="4981">
                  <c:v>-637357.7514949999</c:v>
                </c:pt>
                <c:pt idx="4982">
                  <c:v>-636977.93396</c:v>
                </c:pt>
                <c:pt idx="4983">
                  <c:v>-636598.2673650001</c:v>
                </c:pt>
                <c:pt idx="4984">
                  <c:v>-636218.7516799999</c:v>
                </c:pt>
                <c:pt idx="4985">
                  <c:v>-635839.386875</c:v>
                </c:pt>
                <c:pt idx="4986">
                  <c:v>-635460.17292</c:v>
                </c:pt>
                <c:pt idx="4987">
                  <c:v>-635081.1097850001</c:v>
                </c:pt>
                <c:pt idx="4988">
                  <c:v>-634702.1974399999</c:v>
                </c:pt>
                <c:pt idx="4989">
                  <c:v>-634323.4358549999</c:v>
                </c:pt>
                <c:pt idx="4990">
                  <c:v>-633944.8250000001</c:v>
                </c:pt>
                <c:pt idx="4991">
                  <c:v>-633566.3648450001</c:v>
                </c:pt>
                <c:pt idx="4992">
                  <c:v>-633188.05536</c:v>
                </c:pt>
                <c:pt idx="4993">
                  <c:v>-632809.896515</c:v>
                </c:pt>
                <c:pt idx="4994">
                  <c:v>-632431.8882800002</c:v>
                </c:pt>
                <c:pt idx="4995">
                  <c:v>-632054.0306249999</c:v>
                </c:pt>
                <c:pt idx="4996">
                  <c:v>-631676.32352</c:v>
                </c:pt>
                <c:pt idx="4997">
                  <c:v>-631298.766935</c:v>
                </c:pt>
                <c:pt idx="4998">
                  <c:v>-630921.3608400002</c:v>
                </c:pt>
                <c:pt idx="4999">
                  <c:v>-630544.1052049999</c:v>
                </c:pt>
                <c:pt idx="5000">
                  <c:v>-630167.0</c:v>
                </c:pt>
                <c:pt idx="5001">
                  <c:v>-629790.0451950001</c:v>
                </c:pt>
                <c:pt idx="5002">
                  <c:v>-629413.2407599998</c:v>
                </c:pt>
                <c:pt idx="5003">
                  <c:v>-629036.586665</c:v>
                </c:pt>
                <c:pt idx="5004">
                  <c:v>-628660.0828800001</c:v>
                </c:pt>
                <c:pt idx="5005">
                  <c:v>-628283.7293750001</c:v>
                </c:pt>
                <c:pt idx="5006">
                  <c:v>-627907.5261199998</c:v>
                </c:pt>
                <c:pt idx="5007">
                  <c:v>-627531.4730850001</c:v>
                </c:pt>
                <c:pt idx="5008">
                  <c:v>-627155.57024</c:v>
                </c:pt>
                <c:pt idx="5009">
                  <c:v>-626779.8175549998</c:v>
                </c:pt>
                <c:pt idx="5010">
                  <c:v>-626404.215</c:v>
                </c:pt>
                <c:pt idx="5011">
                  <c:v>-626028.7625450001</c:v>
                </c:pt>
                <c:pt idx="5012">
                  <c:v>-625653.46016</c:v>
                </c:pt>
                <c:pt idx="5013">
                  <c:v>-625278.3078149998</c:v>
                </c:pt>
                <c:pt idx="5014">
                  <c:v>-624903.3054799999</c:v>
                </c:pt>
                <c:pt idx="5015">
                  <c:v>-624528.4531250001</c:v>
                </c:pt>
                <c:pt idx="5016">
                  <c:v>-624153.7507200001</c:v>
                </c:pt>
                <c:pt idx="5017">
                  <c:v>-623779.1982349999</c:v>
                </c:pt>
                <c:pt idx="5018">
                  <c:v>-623404.79564</c:v>
                </c:pt>
                <c:pt idx="5019">
                  <c:v>-623030.5429050002</c:v>
                </c:pt>
                <c:pt idx="5020">
                  <c:v>-622656.44</c:v>
                </c:pt>
                <c:pt idx="5021">
                  <c:v>-622282.486895</c:v>
                </c:pt>
                <c:pt idx="5022">
                  <c:v>-621908.68356</c:v>
                </c:pt>
                <c:pt idx="5023">
                  <c:v>-621535.0299650002</c:v>
                </c:pt>
                <c:pt idx="5024">
                  <c:v>-621161.52608</c:v>
                </c:pt>
                <c:pt idx="5025">
                  <c:v>-620788.171875</c:v>
                </c:pt>
                <c:pt idx="5026">
                  <c:v>-620414.96732</c:v>
                </c:pt>
                <c:pt idx="5027">
                  <c:v>-620041.9123849999</c:v>
                </c:pt>
                <c:pt idx="5028">
                  <c:v>-619669.0070399999</c:v>
                </c:pt>
                <c:pt idx="5029">
                  <c:v>-619296.251255</c:v>
                </c:pt>
                <c:pt idx="5030">
                  <c:v>-618923.6450000001</c:v>
                </c:pt>
                <c:pt idx="5031">
                  <c:v>-618551.188245</c:v>
                </c:pt>
                <c:pt idx="5032">
                  <c:v>-618178.88096</c:v>
                </c:pt>
                <c:pt idx="5033">
                  <c:v>-617806.7231150001</c:v>
                </c:pt>
                <c:pt idx="5034">
                  <c:v>-617434.7146799999</c:v>
                </c:pt>
                <c:pt idx="5035">
                  <c:v>-617062.8556249999</c:v>
                </c:pt>
                <c:pt idx="5036">
                  <c:v>-616691.14592</c:v>
                </c:pt>
                <c:pt idx="5037">
                  <c:v>-616319.5855350001</c:v>
                </c:pt>
                <c:pt idx="5038">
                  <c:v>-615948.1744399999</c:v>
                </c:pt>
                <c:pt idx="5039">
                  <c:v>-615576.912605</c:v>
                </c:pt>
                <c:pt idx="5040">
                  <c:v>-615205.8</c:v>
                </c:pt>
                <c:pt idx="5041">
                  <c:v>-614834.8365950002</c:v>
                </c:pt>
                <c:pt idx="5042">
                  <c:v>-614464.02236</c:v>
                </c:pt>
                <c:pt idx="5043">
                  <c:v>-614093.357265</c:v>
                </c:pt>
                <c:pt idx="5044">
                  <c:v>-613722.8412800002</c:v>
                </c:pt>
                <c:pt idx="5045">
                  <c:v>-613352.474375</c:v>
                </c:pt>
                <c:pt idx="5046">
                  <c:v>-612982.2565199999</c:v>
                </c:pt>
                <c:pt idx="5047">
                  <c:v>-612612.187685</c:v>
                </c:pt>
                <c:pt idx="5048">
                  <c:v>-612242.2678400002</c:v>
                </c:pt>
                <c:pt idx="5049">
                  <c:v>-611872.496955</c:v>
                </c:pt>
                <c:pt idx="5050">
                  <c:v>-611502.875</c:v>
                </c:pt>
                <c:pt idx="5051">
                  <c:v>-611133.4019450002</c:v>
                </c:pt>
                <c:pt idx="5052">
                  <c:v>-610764.0777599998</c:v>
                </c:pt>
                <c:pt idx="5053">
                  <c:v>-610394.902415</c:v>
                </c:pt>
                <c:pt idx="5054">
                  <c:v>-610025.8758800001</c:v>
                </c:pt>
                <c:pt idx="5055">
                  <c:v>-609656.998125</c:v>
                </c:pt>
                <c:pt idx="5056">
                  <c:v>-609288.2691199998</c:v>
                </c:pt>
                <c:pt idx="5057">
                  <c:v>-608919.688835</c:v>
                </c:pt>
                <c:pt idx="5058">
                  <c:v>-608551.2572400002</c:v>
                </c:pt>
                <c:pt idx="5059">
                  <c:v>-608182.9743049998</c:v>
                </c:pt>
                <c:pt idx="5060">
                  <c:v>-607814.8399999999</c:v>
                </c:pt>
                <c:pt idx="5061">
                  <c:v>-607446.854295</c:v>
                </c:pt>
                <c:pt idx="5062">
                  <c:v>-607079.0171600002</c:v>
                </c:pt>
                <c:pt idx="5063">
                  <c:v>-606711.3285649999</c:v>
                </c:pt>
                <c:pt idx="5064">
                  <c:v>-606343.78848</c:v>
                </c:pt>
                <c:pt idx="5065">
                  <c:v>-605976.3968750001</c:v>
                </c:pt>
                <c:pt idx="5066">
                  <c:v>-605609.1537200002</c:v>
                </c:pt>
                <c:pt idx="5067">
                  <c:v>-605242.0589849999</c:v>
                </c:pt>
                <c:pt idx="5068">
                  <c:v>-604875.1126400001</c:v>
                </c:pt>
                <c:pt idx="5069">
                  <c:v>-604508.3146550002</c:v>
                </c:pt>
                <c:pt idx="5070">
                  <c:v>-604141.6649999999</c:v>
                </c:pt>
                <c:pt idx="5071">
                  <c:v>-603775.163645</c:v>
                </c:pt>
                <c:pt idx="5072">
                  <c:v>-603408.81056</c:v>
                </c:pt>
                <c:pt idx="5073">
                  <c:v>-603042.6057150001</c:v>
                </c:pt>
                <c:pt idx="5074">
                  <c:v>-602676.5490799999</c:v>
                </c:pt>
                <c:pt idx="5075">
                  <c:v>-602310.640625</c:v>
                </c:pt>
                <c:pt idx="5076">
                  <c:v>-601944.8803200001</c:v>
                </c:pt>
                <c:pt idx="5077">
                  <c:v>-601579.2681349998</c:v>
                </c:pt>
                <c:pt idx="5078">
                  <c:v>-601213.8040400001</c:v>
                </c:pt>
                <c:pt idx="5079">
                  <c:v>-600848.488005</c:v>
                </c:pt>
                <c:pt idx="5080">
                  <c:v>-600483.3200000002</c:v>
                </c:pt>
                <c:pt idx="5081">
                  <c:v>-600118.2999949999</c:v>
                </c:pt>
                <c:pt idx="5082">
                  <c:v>-599753.42796</c:v>
                </c:pt>
                <c:pt idx="5083">
                  <c:v>-599388.703865</c:v>
                </c:pt>
                <c:pt idx="5084">
                  <c:v>-599024.1276799998</c:v>
                </c:pt>
                <c:pt idx="5085">
                  <c:v>-598659.6993749999</c:v>
                </c:pt>
                <c:pt idx="5086">
                  <c:v>-598295.41892</c:v>
                </c:pt>
                <c:pt idx="5087">
                  <c:v>-597931.286285</c:v>
                </c:pt>
                <c:pt idx="5088">
                  <c:v>-597567.3014399998</c:v>
                </c:pt>
                <c:pt idx="5089">
                  <c:v>-597203.464355</c:v>
                </c:pt>
                <c:pt idx="5090">
                  <c:v>-596839.775</c:v>
                </c:pt>
                <c:pt idx="5091">
                  <c:v>-596476.2333450002</c:v>
                </c:pt>
                <c:pt idx="5092">
                  <c:v>-596112.8393599999</c:v>
                </c:pt>
                <c:pt idx="5093">
                  <c:v>-595749.5930149999</c:v>
                </c:pt>
                <c:pt idx="5094">
                  <c:v>-595386.4942800001</c:v>
                </c:pt>
                <c:pt idx="5095">
                  <c:v>-595023.543125</c:v>
                </c:pt>
                <c:pt idx="5096">
                  <c:v>-594660.73952</c:v>
                </c:pt>
                <c:pt idx="5097">
                  <c:v>-594298.083435</c:v>
                </c:pt>
                <c:pt idx="5098">
                  <c:v>-593935.5748400001</c:v>
                </c:pt>
                <c:pt idx="5099">
                  <c:v>-593573.213705</c:v>
                </c:pt>
                <c:pt idx="5100">
                  <c:v>-593211.0</c:v>
                </c:pt>
                <c:pt idx="5101">
                  <c:v>-592848.933695</c:v>
                </c:pt>
                <c:pt idx="5102">
                  <c:v>-592487.0147599998</c:v>
                </c:pt>
                <c:pt idx="5103">
                  <c:v>-592125.2431649999</c:v>
                </c:pt>
                <c:pt idx="5104">
                  <c:v>-591763.61888</c:v>
                </c:pt>
                <c:pt idx="5105">
                  <c:v>-591402.1418750001</c:v>
                </c:pt>
                <c:pt idx="5106">
                  <c:v>-591040.8121199999</c:v>
                </c:pt>
                <c:pt idx="5107">
                  <c:v>-590679.6295850001</c:v>
                </c:pt>
                <c:pt idx="5108">
                  <c:v>-590318.59424</c:v>
                </c:pt>
                <c:pt idx="5109">
                  <c:v>-589957.706055</c:v>
                </c:pt>
                <c:pt idx="5110">
                  <c:v>-589596.965</c:v>
                </c:pt>
                <c:pt idx="5111">
                  <c:v>-589236.371045</c:v>
                </c:pt>
                <c:pt idx="5112">
                  <c:v>-588875.92416</c:v>
                </c:pt>
                <c:pt idx="5113">
                  <c:v>-588515.6243149999</c:v>
                </c:pt>
                <c:pt idx="5114">
                  <c:v>-588155.47148</c:v>
                </c:pt>
                <c:pt idx="5115">
                  <c:v>-587795.4656250002</c:v>
                </c:pt>
                <c:pt idx="5116">
                  <c:v>-587435.6067200002</c:v>
                </c:pt>
                <c:pt idx="5117">
                  <c:v>-587075.8947349999</c:v>
                </c:pt>
                <c:pt idx="5118">
                  <c:v>-586716.32964</c:v>
                </c:pt>
                <c:pt idx="5119">
                  <c:v>-586356.9114050001</c:v>
                </c:pt>
                <c:pt idx="5120">
                  <c:v>-585997.6399999999</c:v>
                </c:pt>
                <c:pt idx="5121">
                  <c:v>-585638.5153949999</c:v>
                </c:pt>
                <c:pt idx="5122">
                  <c:v>-585279.53756</c:v>
                </c:pt>
                <c:pt idx="5123">
                  <c:v>-584920.706465</c:v>
                </c:pt>
                <c:pt idx="5124">
                  <c:v>-584562.0220799999</c:v>
                </c:pt>
                <c:pt idx="5125">
                  <c:v>-584203.484375</c:v>
                </c:pt>
                <c:pt idx="5126">
                  <c:v>-583845.0933200001</c:v>
                </c:pt>
                <c:pt idx="5127">
                  <c:v>-583486.8488849999</c:v>
                </c:pt>
                <c:pt idx="5128">
                  <c:v>-583128.75104</c:v>
                </c:pt>
                <c:pt idx="5129">
                  <c:v>-582770.799755</c:v>
                </c:pt>
                <c:pt idx="5130">
                  <c:v>-582412.9950000001</c:v>
                </c:pt>
                <c:pt idx="5131">
                  <c:v>-582055.3367449999</c:v>
                </c:pt>
                <c:pt idx="5132">
                  <c:v>-581697.82496</c:v>
                </c:pt>
                <c:pt idx="5133">
                  <c:v>-581340.4596150002</c:v>
                </c:pt>
                <c:pt idx="5134">
                  <c:v>-580983.2406799999</c:v>
                </c:pt>
                <c:pt idx="5135">
                  <c:v>-580626.168125</c:v>
                </c:pt>
                <c:pt idx="5136">
                  <c:v>-580269.2419200002</c:v>
                </c:pt>
                <c:pt idx="5137">
                  <c:v>-579912.462035</c:v>
                </c:pt>
                <c:pt idx="5138">
                  <c:v>-579555.82844</c:v>
                </c:pt>
                <c:pt idx="5139">
                  <c:v>-579199.3411049999</c:v>
                </c:pt>
                <c:pt idx="5140">
                  <c:v>-578843.0000000001</c:v>
                </c:pt>
                <c:pt idx="5141">
                  <c:v>-578486.8050950002</c:v>
                </c:pt>
                <c:pt idx="5142">
                  <c:v>-578130.75636</c:v>
                </c:pt>
                <c:pt idx="5143">
                  <c:v>-577774.8537649999</c:v>
                </c:pt>
                <c:pt idx="5144">
                  <c:v>-577419.0972800001</c:v>
                </c:pt>
                <c:pt idx="5145">
                  <c:v>-577063.4868749998</c:v>
                </c:pt>
                <c:pt idx="5146">
                  <c:v>-576708.02252</c:v>
                </c:pt>
                <c:pt idx="5147">
                  <c:v>-576352.704185</c:v>
                </c:pt>
                <c:pt idx="5148">
                  <c:v>-575997.5318400002</c:v>
                </c:pt>
                <c:pt idx="5149">
                  <c:v>-575642.505455</c:v>
                </c:pt>
                <c:pt idx="5150">
                  <c:v>-575287.625</c:v>
                </c:pt>
                <c:pt idx="5151">
                  <c:v>-574932.890445</c:v>
                </c:pt>
                <c:pt idx="5152">
                  <c:v>-574578.3017599998</c:v>
                </c:pt>
                <c:pt idx="5153">
                  <c:v>-574223.858915</c:v>
                </c:pt>
                <c:pt idx="5154">
                  <c:v>-573869.56188</c:v>
                </c:pt>
                <c:pt idx="5155">
                  <c:v>-573515.4106250001</c:v>
                </c:pt>
                <c:pt idx="5156">
                  <c:v>-573161.4051199999</c:v>
                </c:pt>
                <c:pt idx="5157">
                  <c:v>-572807.5453350001</c:v>
                </c:pt>
                <c:pt idx="5158">
                  <c:v>-572453.8312400001</c:v>
                </c:pt>
                <c:pt idx="5159">
                  <c:v>-572100.2628049998</c:v>
                </c:pt>
                <c:pt idx="5160">
                  <c:v>-571746.84</c:v>
                </c:pt>
                <c:pt idx="5161">
                  <c:v>-571393.562795</c:v>
                </c:pt>
                <c:pt idx="5162">
                  <c:v>-571040.43116</c:v>
                </c:pt>
                <c:pt idx="5163">
                  <c:v>-570687.445065</c:v>
                </c:pt>
                <c:pt idx="5164">
                  <c:v>-570334.60448</c:v>
                </c:pt>
                <c:pt idx="5165">
                  <c:v>-569981.909375</c:v>
                </c:pt>
                <c:pt idx="5166">
                  <c:v>-569629.3597200001</c:v>
                </c:pt>
                <c:pt idx="5167">
                  <c:v>-569276.9554849999</c:v>
                </c:pt>
                <c:pt idx="5168">
                  <c:v>-568924.69664</c:v>
                </c:pt>
                <c:pt idx="5169">
                  <c:v>-568572.5831550001</c:v>
                </c:pt>
                <c:pt idx="5170">
                  <c:v>-568220.615</c:v>
                </c:pt>
                <c:pt idx="5171">
                  <c:v>-567868.792145</c:v>
                </c:pt>
                <c:pt idx="5172">
                  <c:v>-567517.11456</c:v>
                </c:pt>
                <c:pt idx="5173">
                  <c:v>-567165.5822150002</c:v>
                </c:pt>
                <c:pt idx="5174">
                  <c:v>-566814.1950799999</c:v>
                </c:pt>
                <c:pt idx="5175">
                  <c:v>-566462.953125</c:v>
                </c:pt>
                <c:pt idx="5176">
                  <c:v>-566111.85632</c:v>
                </c:pt>
                <c:pt idx="5177">
                  <c:v>-565760.9046349998</c:v>
                </c:pt>
                <c:pt idx="5178">
                  <c:v>-565410.0980400001</c:v>
                </c:pt>
                <c:pt idx="5179">
                  <c:v>-565059.436505</c:v>
                </c:pt>
                <c:pt idx="5180">
                  <c:v>-564708.92</c:v>
                </c:pt>
                <c:pt idx="5181">
                  <c:v>-564358.5484949999</c:v>
                </c:pt>
                <c:pt idx="5182">
                  <c:v>-564008.32196</c:v>
                </c:pt>
                <c:pt idx="5183">
                  <c:v>-563658.240365</c:v>
                </c:pt>
                <c:pt idx="5184">
                  <c:v>-563308.3036799998</c:v>
                </c:pt>
                <c:pt idx="5185">
                  <c:v>-562958.5118749999</c:v>
                </c:pt>
                <c:pt idx="5186">
                  <c:v>-562608.8649200001</c:v>
                </c:pt>
                <c:pt idx="5187">
                  <c:v>-562259.3627850001</c:v>
                </c:pt>
                <c:pt idx="5188">
                  <c:v>-561910.0054399999</c:v>
                </c:pt>
                <c:pt idx="5189">
                  <c:v>-561560.792855</c:v>
                </c:pt>
                <c:pt idx="5190">
                  <c:v>-561211.7250000001</c:v>
                </c:pt>
                <c:pt idx="5191">
                  <c:v>-560862.8018450001</c:v>
                </c:pt>
                <c:pt idx="5192">
                  <c:v>-560514.02336</c:v>
                </c:pt>
                <c:pt idx="5193">
                  <c:v>-560165.3895149999</c:v>
                </c:pt>
                <c:pt idx="5194">
                  <c:v>-559816.9002800002</c:v>
                </c:pt>
                <c:pt idx="5195">
                  <c:v>-559468.5556249999</c:v>
                </c:pt>
                <c:pt idx="5196">
                  <c:v>-559120.3555199999</c:v>
                </c:pt>
                <c:pt idx="5197">
                  <c:v>-558772.2999349999</c:v>
                </c:pt>
                <c:pt idx="5198">
                  <c:v>-558424.3888400001</c:v>
                </c:pt>
                <c:pt idx="5199">
                  <c:v>-558076.622205</c:v>
                </c:pt>
                <c:pt idx="5200">
                  <c:v>-557729.0</c:v>
                </c:pt>
                <c:pt idx="5201">
                  <c:v>-557381.522195</c:v>
                </c:pt>
                <c:pt idx="5202">
                  <c:v>-557034.1887599998</c:v>
                </c:pt>
                <c:pt idx="5203">
                  <c:v>-556686.999665</c:v>
                </c:pt>
                <c:pt idx="5204">
                  <c:v>-556339.9548800001</c:v>
                </c:pt>
                <c:pt idx="5205">
                  <c:v>-555993.0543750001</c:v>
                </c:pt>
                <c:pt idx="5206">
                  <c:v>-555646.2981199998</c:v>
                </c:pt>
                <c:pt idx="5207">
                  <c:v>-555299.686085</c:v>
                </c:pt>
                <c:pt idx="5208">
                  <c:v>-554953.2182400001</c:v>
                </c:pt>
                <c:pt idx="5209">
                  <c:v>-554606.8945549999</c:v>
                </c:pt>
                <c:pt idx="5210">
                  <c:v>-554260.7149999999</c:v>
                </c:pt>
                <c:pt idx="5211">
                  <c:v>-553914.6795450001</c:v>
                </c:pt>
                <c:pt idx="5212">
                  <c:v>-553568.7881600001</c:v>
                </c:pt>
                <c:pt idx="5213">
                  <c:v>-553223.040815</c:v>
                </c:pt>
                <c:pt idx="5214">
                  <c:v>-552877.43748</c:v>
                </c:pt>
                <c:pt idx="5215">
                  <c:v>-552531.9781250001</c:v>
                </c:pt>
                <c:pt idx="5216">
                  <c:v>-552186.6627200001</c:v>
                </c:pt>
                <c:pt idx="5217">
                  <c:v>-551841.491235</c:v>
                </c:pt>
                <c:pt idx="5218">
                  <c:v>-551496.46364</c:v>
                </c:pt>
                <c:pt idx="5219">
                  <c:v>-551151.579905</c:v>
                </c:pt>
                <c:pt idx="5220">
                  <c:v>-550806.84</c:v>
                </c:pt>
                <c:pt idx="5221">
                  <c:v>-550462.243895</c:v>
                </c:pt>
                <c:pt idx="5222">
                  <c:v>-550117.7915599999</c:v>
                </c:pt>
                <c:pt idx="5223">
                  <c:v>-549773.4829650002</c:v>
                </c:pt>
                <c:pt idx="5224">
                  <c:v>-549429.31808</c:v>
                </c:pt>
                <c:pt idx="5225">
                  <c:v>-549085.296875</c:v>
                </c:pt>
                <c:pt idx="5226">
                  <c:v>-548741.41932</c:v>
                </c:pt>
                <c:pt idx="5227">
                  <c:v>-548397.6853849998</c:v>
                </c:pt>
                <c:pt idx="5228">
                  <c:v>-548054.0950399999</c:v>
                </c:pt>
                <c:pt idx="5229">
                  <c:v>-547710.6482550001</c:v>
                </c:pt>
                <c:pt idx="5230">
                  <c:v>-547367.345</c:v>
                </c:pt>
                <c:pt idx="5231">
                  <c:v>-547024.185245</c:v>
                </c:pt>
                <c:pt idx="5232">
                  <c:v>-546681.16896</c:v>
                </c:pt>
                <c:pt idx="5233">
                  <c:v>-546338.296115</c:v>
                </c:pt>
                <c:pt idx="5234">
                  <c:v>-545995.5666799999</c:v>
                </c:pt>
                <c:pt idx="5235">
                  <c:v>-545652.980625</c:v>
                </c:pt>
                <c:pt idx="5236">
                  <c:v>-545310.53792</c:v>
                </c:pt>
                <c:pt idx="5237">
                  <c:v>-544968.2385350001</c:v>
                </c:pt>
                <c:pt idx="5238">
                  <c:v>-544626.0824399999</c:v>
                </c:pt>
                <c:pt idx="5239">
                  <c:v>-544284.069605</c:v>
                </c:pt>
                <c:pt idx="5240">
                  <c:v>-543942.2000000001</c:v>
                </c:pt>
                <c:pt idx="5241">
                  <c:v>-543600.4735950002</c:v>
                </c:pt>
                <c:pt idx="5242">
                  <c:v>-543258.89036</c:v>
                </c:pt>
                <c:pt idx="5243">
                  <c:v>-542917.450265</c:v>
                </c:pt>
                <c:pt idx="5244">
                  <c:v>-542576.1532800002</c:v>
                </c:pt>
                <c:pt idx="5245">
                  <c:v>-542234.9993749999</c:v>
                </c:pt>
                <c:pt idx="5246">
                  <c:v>-541893.98852</c:v>
                </c:pt>
                <c:pt idx="5247">
                  <c:v>-541553.1206850001</c:v>
                </c:pt>
                <c:pt idx="5248">
                  <c:v>-541212.3958400001</c:v>
                </c:pt>
                <c:pt idx="5249">
                  <c:v>-540871.813955</c:v>
                </c:pt>
                <c:pt idx="5250">
                  <c:v>-540531.375</c:v>
                </c:pt>
                <c:pt idx="5251">
                  <c:v>-540191.0789450001</c:v>
                </c:pt>
                <c:pt idx="5252">
                  <c:v>-539850.9257599999</c:v>
                </c:pt>
                <c:pt idx="5253">
                  <c:v>-539510.915415</c:v>
                </c:pt>
                <c:pt idx="5254">
                  <c:v>-539171.04788</c:v>
                </c:pt>
                <c:pt idx="5255">
                  <c:v>-538831.3231250001</c:v>
                </c:pt>
                <c:pt idx="5256">
                  <c:v>-538491.7411199999</c:v>
                </c:pt>
                <c:pt idx="5257">
                  <c:v>-538152.3018349999</c:v>
                </c:pt>
                <c:pt idx="5258">
                  <c:v>-537813.0052400001</c:v>
                </c:pt>
                <c:pt idx="5259">
                  <c:v>-537473.8513049998</c:v>
                </c:pt>
                <c:pt idx="5260">
                  <c:v>-537134.8399999999</c:v>
                </c:pt>
                <c:pt idx="5261">
                  <c:v>-536795.971295</c:v>
                </c:pt>
                <c:pt idx="5262">
                  <c:v>-536457.2451600002</c:v>
                </c:pt>
                <c:pt idx="5263">
                  <c:v>-536118.661565</c:v>
                </c:pt>
                <c:pt idx="5264">
                  <c:v>-535780.2204799999</c:v>
                </c:pt>
                <c:pt idx="5265">
                  <c:v>-535441.9218750001</c:v>
                </c:pt>
                <c:pt idx="5266">
                  <c:v>-535103.7657200001</c:v>
                </c:pt>
                <c:pt idx="5267">
                  <c:v>-534765.751985</c:v>
                </c:pt>
                <c:pt idx="5268">
                  <c:v>-534427.88064</c:v>
                </c:pt>
                <c:pt idx="5269">
                  <c:v>-534090.151655</c:v>
                </c:pt>
                <c:pt idx="5270">
                  <c:v>-533752.565</c:v>
                </c:pt>
                <c:pt idx="5271">
                  <c:v>-533415.120645</c:v>
                </c:pt>
                <c:pt idx="5272">
                  <c:v>-533077.81856</c:v>
                </c:pt>
                <c:pt idx="5273">
                  <c:v>-532740.6587150001</c:v>
                </c:pt>
                <c:pt idx="5274">
                  <c:v>-532403.64108</c:v>
                </c:pt>
                <c:pt idx="5275">
                  <c:v>-532066.765625</c:v>
                </c:pt>
                <c:pt idx="5276">
                  <c:v>-531730.03232</c:v>
                </c:pt>
                <c:pt idx="5277">
                  <c:v>-531393.4411349999</c:v>
                </c:pt>
                <c:pt idx="5278">
                  <c:v>-531056.99204</c:v>
                </c:pt>
                <c:pt idx="5279">
                  <c:v>-530720.6850050001</c:v>
                </c:pt>
                <c:pt idx="5280">
                  <c:v>-530384.5200000001</c:v>
                </c:pt>
                <c:pt idx="5281">
                  <c:v>-530048.4969949998</c:v>
                </c:pt>
                <c:pt idx="5282">
                  <c:v>-529712.6159600001</c:v>
                </c:pt>
                <c:pt idx="5283">
                  <c:v>-529376.8768650001</c:v>
                </c:pt>
                <c:pt idx="5284">
                  <c:v>-529041.2796799998</c:v>
                </c:pt>
                <c:pt idx="5285">
                  <c:v>-528705.824375</c:v>
                </c:pt>
                <c:pt idx="5286">
                  <c:v>-528370.51092</c:v>
                </c:pt>
                <c:pt idx="5287">
                  <c:v>-528035.3392850001</c:v>
                </c:pt>
                <c:pt idx="5288">
                  <c:v>-527700.3094399999</c:v>
                </c:pt>
                <c:pt idx="5289">
                  <c:v>-527365.4213549999</c:v>
                </c:pt>
                <c:pt idx="5290">
                  <c:v>-527030.675</c:v>
                </c:pt>
                <c:pt idx="5291">
                  <c:v>-526696.0703450001</c:v>
                </c:pt>
                <c:pt idx="5292">
                  <c:v>-526361.6073599999</c:v>
                </c:pt>
                <c:pt idx="5293">
                  <c:v>-526027.286015</c:v>
                </c:pt>
                <c:pt idx="5294">
                  <c:v>-525693.1062800002</c:v>
                </c:pt>
                <c:pt idx="5295">
                  <c:v>-525359.0681249999</c:v>
                </c:pt>
                <c:pt idx="5296">
                  <c:v>-525025.17152</c:v>
                </c:pt>
                <c:pt idx="5297">
                  <c:v>-524691.416435</c:v>
                </c:pt>
                <c:pt idx="5298">
                  <c:v>-524357.8028400001</c:v>
                </c:pt>
                <c:pt idx="5299">
                  <c:v>-524024.330705</c:v>
                </c:pt>
                <c:pt idx="5300">
                  <c:v>-523691.0</c:v>
                </c:pt>
                <c:pt idx="5301">
                  <c:v>-523357.81069500005</c:v>
                </c:pt>
                <c:pt idx="5302">
                  <c:v>-523024.7627599999</c:v>
                </c:pt>
                <c:pt idx="5303">
                  <c:v>-522691.85616499995</c:v>
                </c:pt>
                <c:pt idx="5304">
                  <c:v>-522359.0908800001</c:v>
                </c:pt>
                <c:pt idx="5305">
                  <c:v>-522026.4668750001</c:v>
                </c:pt>
                <c:pt idx="5306">
                  <c:v>-521693.98412</c:v>
                </c:pt>
                <c:pt idx="5307">
                  <c:v>-521361.64258499997</c:v>
                </c:pt>
                <c:pt idx="5308">
                  <c:v>-521029.44224</c:v>
                </c:pt>
                <c:pt idx="5309">
                  <c:v>-520697.38305499987</c:v>
                </c:pt>
                <c:pt idx="5310">
                  <c:v>-520365.4649999999</c:v>
                </c:pt>
                <c:pt idx="5311">
                  <c:v>-520033.68804499996</c:v>
                </c:pt>
                <c:pt idx="5312">
                  <c:v>-519702.05216</c:v>
                </c:pt>
                <c:pt idx="5313">
                  <c:v>-519370.55731499987</c:v>
                </c:pt>
                <c:pt idx="5314">
                  <c:v>-519039.20347999997</c:v>
                </c:pt>
                <c:pt idx="5315">
                  <c:v>-518707.99062500003</c:v>
                </c:pt>
                <c:pt idx="5316">
                  <c:v>-518376.9187200002</c:v>
                </c:pt>
                <c:pt idx="5317">
                  <c:v>-518045.9877349999</c:v>
                </c:pt>
                <c:pt idx="5318">
                  <c:v>-517715.1976400001</c:v>
                </c:pt>
                <c:pt idx="5319">
                  <c:v>-517384.54840500007</c:v>
                </c:pt>
                <c:pt idx="5320">
                  <c:v>-517054.03999999986</c:v>
                </c:pt>
                <c:pt idx="5321">
                  <c:v>-516723.672395</c:v>
                </c:pt>
                <c:pt idx="5322">
                  <c:v>-516393.44556000014</c:v>
                </c:pt>
                <c:pt idx="5323">
                  <c:v>-516063.35946500016</c:v>
                </c:pt>
                <c:pt idx="5324">
                  <c:v>-515733.41408</c:v>
                </c:pt>
                <c:pt idx="5325">
                  <c:v>-515403.609375</c:v>
                </c:pt>
                <c:pt idx="5326">
                  <c:v>-515073.94532000006</c:v>
                </c:pt>
                <c:pt idx="5327">
                  <c:v>-514744.42188499984</c:v>
                </c:pt>
                <c:pt idx="5328">
                  <c:v>-514415.0390399999</c:v>
                </c:pt>
                <c:pt idx="5329">
                  <c:v>-514085.7967550001</c:v>
                </c:pt>
                <c:pt idx="5330">
                  <c:v>-513756.6950000001</c:v>
                </c:pt>
                <c:pt idx="5331">
                  <c:v>-513427.733745</c:v>
                </c:pt>
                <c:pt idx="5332">
                  <c:v>-513098.9129599999</c:v>
                </c:pt>
                <c:pt idx="5333">
                  <c:v>-512770.23261500004</c:v>
                </c:pt>
                <c:pt idx="5334">
                  <c:v>-512441.69267999986</c:v>
                </c:pt>
                <c:pt idx="5335">
                  <c:v>-512113.29312499997</c:v>
                </c:pt>
                <c:pt idx="5336">
                  <c:v>-511785.03392</c:v>
                </c:pt>
                <c:pt idx="5337">
                  <c:v>-511456.91503500013</c:v>
                </c:pt>
                <c:pt idx="5338">
                  <c:v>-511128.9364399999</c:v>
                </c:pt>
                <c:pt idx="5339">
                  <c:v>-510801.098105</c:v>
                </c:pt>
                <c:pt idx="5340">
                  <c:v>-510473.4</c:v>
                </c:pt>
                <c:pt idx="5341">
                  <c:v>-510145.84209500015</c:v>
                </c:pt>
                <c:pt idx="5342">
                  <c:v>-509818.4243599999</c:v>
                </c:pt>
                <c:pt idx="5343">
                  <c:v>-509491.14676500007</c:v>
                </c:pt>
                <c:pt idx="5344">
                  <c:v>-509164.0092800001</c:v>
                </c:pt>
                <c:pt idx="5345">
                  <c:v>-508837.0118749999</c:v>
                </c:pt>
                <c:pt idx="5346">
                  <c:v>-508510.15452</c:v>
                </c:pt>
                <c:pt idx="5347">
                  <c:v>-508183.43718500005</c:v>
                </c:pt>
                <c:pt idx="5348">
                  <c:v>-507856.8598400001</c:v>
                </c:pt>
                <c:pt idx="5349">
                  <c:v>-507530.422455</c:v>
                </c:pt>
                <c:pt idx="5350">
                  <c:v>-507204.125</c:v>
                </c:pt>
                <c:pt idx="5351">
                  <c:v>-506877.967445</c:v>
                </c:pt>
                <c:pt idx="5352">
                  <c:v>-506551.94975999993</c:v>
                </c:pt>
                <c:pt idx="5353">
                  <c:v>-506226.0719149999</c:v>
                </c:pt>
                <c:pt idx="5354">
                  <c:v>-505900.33388</c:v>
                </c:pt>
                <c:pt idx="5355">
                  <c:v>-505574.7356250001</c:v>
                </c:pt>
                <c:pt idx="5356">
                  <c:v>-505249.27712</c:v>
                </c:pt>
                <c:pt idx="5357">
                  <c:v>-504923.958335</c:v>
                </c:pt>
                <c:pt idx="5358">
                  <c:v>-504598.7792400001</c:v>
                </c:pt>
                <c:pt idx="5359">
                  <c:v>-504273.73980499984</c:v>
                </c:pt>
                <c:pt idx="5360">
                  <c:v>-503948.83999999997</c:v>
                </c:pt>
                <c:pt idx="5361">
                  <c:v>-503624.079795</c:v>
                </c:pt>
                <c:pt idx="5362">
                  <c:v>-503299.45916000014</c:v>
                </c:pt>
                <c:pt idx="5363">
                  <c:v>-502974.97806499986</c:v>
                </c:pt>
                <c:pt idx="5364">
                  <c:v>-502650.63648</c:v>
                </c:pt>
                <c:pt idx="5365">
                  <c:v>-502326.43437500007</c:v>
                </c:pt>
                <c:pt idx="5366">
                  <c:v>-502002.3717200001</c:v>
                </c:pt>
                <c:pt idx="5367">
                  <c:v>-501678.44848499994</c:v>
                </c:pt>
                <c:pt idx="5368">
                  <c:v>-501354.6646400001</c:v>
                </c:pt>
                <c:pt idx="5369">
                  <c:v>-501031.02015500015</c:v>
                </c:pt>
                <c:pt idx="5370">
                  <c:v>-500707.5149999999</c:v>
                </c:pt>
                <c:pt idx="5371">
                  <c:v>-500384.149145</c:v>
                </c:pt>
                <c:pt idx="5372">
                  <c:v>-500060.9225600001</c:v>
                </c:pt>
                <c:pt idx="5373">
                  <c:v>-499737.8352150001</c:v>
                </c:pt>
                <c:pt idx="5374">
                  <c:v>-499414.8870799999</c:v>
                </c:pt>
                <c:pt idx="5375">
                  <c:v>-499092.078125</c:v>
                </c:pt>
                <c:pt idx="5376">
                  <c:v>-498769.40832</c:v>
                </c:pt>
                <c:pt idx="5377">
                  <c:v>-498446.8776349999</c:v>
                </c:pt>
                <c:pt idx="5378">
                  <c:v>-498124.48603999993</c:v>
                </c:pt>
                <c:pt idx="5379">
                  <c:v>-497802.233505</c:v>
                </c:pt>
                <c:pt idx="5380">
                  <c:v>-497480.12000000005</c:v>
                </c:pt>
                <c:pt idx="5381">
                  <c:v>-497158.145495</c:v>
                </c:pt>
                <c:pt idx="5382">
                  <c:v>-496836.3099599999</c:v>
                </c:pt>
                <c:pt idx="5383">
                  <c:v>-496514.613365</c:v>
                </c:pt>
                <c:pt idx="5384">
                  <c:v>-496193.0556799999</c:v>
                </c:pt>
                <c:pt idx="5385">
                  <c:v>-495871.636875</c:v>
                </c:pt>
                <c:pt idx="5386">
                  <c:v>-495550.35692</c:v>
                </c:pt>
                <c:pt idx="5387">
                  <c:v>-495229.2157850001</c:v>
                </c:pt>
                <c:pt idx="5388">
                  <c:v>-494908.2134399999</c:v>
                </c:pt>
                <c:pt idx="5389">
                  <c:v>-494587.349855</c:v>
                </c:pt>
                <c:pt idx="5390">
                  <c:v>-494266.625</c:v>
                </c:pt>
                <c:pt idx="5391">
                  <c:v>-493946.03884500015</c:v>
                </c:pt>
                <c:pt idx="5392">
                  <c:v>-493625.59135999996</c:v>
                </c:pt>
                <c:pt idx="5393">
                  <c:v>-493305.282515</c:v>
                </c:pt>
                <c:pt idx="5394">
                  <c:v>-492985.11228</c:v>
                </c:pt>
                <c:pt idx="5395">
                  <c:v>-492665.080625</c:v>
                </c:pt>
                <c:pt idx="5396">
                  <c:v>-492345.18752000004</c:v>
                </c:pt>
                <c:pt idx="5397">
                  <c:v>-492025.43293500005</c:v>
                </c:pt>
                <c:pt idx="5398">
                  <c:v>-491705.8168400001</c:v>
                </c:pt>
                <c:pt idx="5399">
                  <c:v>-491386.33920499997</c:v>
                </c:pt>
                <c:pt idx="5400">
                  <c:v>-491067.0</c:v>
                </c:pt>
                <c:pt idx="5401">
                  <c:v>-490747.799195</c:v>
                </c:pt>
                <c:pt idx="5402">
                  <c:v>-490428.7367599999</c:v>
                </c:pt>
                <c:pt idx="5403">
                  <c:v>-490109.8126649999</c:v>
                </c:pt>
                <c:pt idx="5404">
                  <c:v>-489791.02688</c:v>
                </c:pt>
                <c:pt idx="5405">
                  <c:v>-489472.3793750001</c:v>
                </c:pt>
                <c:pt idx="5406">
                  <c:v>-489153.87012</c:v>
                </c:pt>
                <c:pt idx="5407">
                  <c:v>-488835.49908499996</c:v>
                </c:pt>
                <c:pt idx="5408">
                  <c:v>-488517.2662400001</c:v>
                </c:pt>
                <c:pt idx="5409">
                  <c:v>-488199.1715549999</c:v>
                </c:pt>
                <c:pt idx="5410">
                  <c:v>-487881.215</c:v>
                </c:pt>
                <c:pt idx="5411">
                  <c:v>-487563.39654499997</c:v>
                </c:pt>
                <c:pt idx="5412">
                  <c:v>-487245.7161600001</c:v>
                </c:pt>
                <c:pt idx="5413">
                  <c:v>-486928.17381499993</c:v>
                </c:pt>
                <c:pt idx="5414">
                  <c:v>-486610.76947999996</c:v>
                </c:pt>
                <c:pt idx="5415">
                  <c:v>-486293.50312500005</c:v>
                </c:pt>
                <c:pt idx="5416">
                  <c:v>-485976.3747200001</c:v>
                </c:pt>
                <c:pt idx="5417">
                  <c:v>-485659.38423499995</c:v>
                </c:pt>
                <c:pt idx="5418">
                  <c:v>-485342.53164000006</c:v>
                </c:pt>
                <c:pt idx="5419">
                  <c:v>-485025.816905</c:v>
                </c:pt>
                <c:pt idx="5420">
                  <c:v>-484709.24</c:v>
                </c:pt>
                <c:pt idx="5421">
                  <c:v>-484392.800895</c:v>
                </c:pt>
                <c:pt idx="5422">
                  <c:v>-484076.4995600001</c:v>
                </c:pt>
                <c:pt idx="5423">
                  <c:v>-483760.33596500015</c:v>
                </c:pt>
                <c:pt idx="5424">
                  <c:v>-483444.31007999997</c:v>
                </c:pt>
                <c:pt idx="5425">
                  <c:v>-483128.421875</c:v>
                </c:pt>
                <c:pt idx="5426">
                  <c:v>-482812.67132</c:v>
                </c:pt>
                <c:pt idx="5427">
                  <c:v>-482497.0583849999</c:v>
                </c:pt>
                <c:pt idx="5428">
                  <c:v>-482181.5830399999</c:v>
                </c:pt>
                <c:pt idx="5429">
                  <c:v>-481866.2452550001</c:v>
                </c:pt>
                <c:pt idx="5430">
                  <c:v>-481551.04500000004</c:v>
                </c:pt>
                <c:pt idx="5431">
                  <c:v>-481235.9822449999</c:v>
                </c:pt>
                <c:pt idx="5432">
                  <c:v>-480921.05695999996</c:v>
                </c:pt>
                <c:pt idx="5433">
                  <c:v>-480606.2691150001</c:v>
                </c:pt>
                <c:pt idx="5434">
                  <c:v>-480291.61867999984</c:v>
                </c:pt>
                <c:pt idx="5435">
                  <c:v>-479977.10562499997</c:v>
                </c:pt>
                <c:pt idx="5436">
                  <c:v>-479662.72992</c:v>
                </c:pt>
                <c:pt idx="5437">
                  <c:v>-479348.49153500004</c:v>
                </c:pt>
                <c:pt idx="5438">
                  <c:v>-479034.3904399999</c:v>
                </c:pt>
                <c:pt idx="5439">
                  <c:v>-478720.42660500004</c:v>
                </c:pt>
                <c:pt idx="5440">
                  <c:v>-478406.6</c:v>
                </c:pt>
                <c:pt idx="5441">
                  <c:v>-478092.91059500014</c:v>
                </c:pt>
                <c:pt idx="5442">
                  <c:v>-477779.35835999995</c:v>
                </c:pt>
                <c:pt idx="5443">
                  <c:v>-477465.943265</c:v>
                </c:pt>
                <c:pt idx="5444">
                  <c:v>-477152.6652800001</c:v>
                </c:pt>
                <c:pt idx="5445">
                  <c:v>-476839.5243749999</c:v>
                </c:pt>
                <c:pt idx="5446">
                  <c:v>-476526.52051999996</c:v>
                </c:pt>
                <c:pt idx="5447">
                  <c:v>-476213.6536850001</c:v>
                </c:pt>
                <c:pt idx="5448">
                  <c:v>-475900.92384000006</c:v>
                </c:pt>
                <c:pt idx="5449">
                  <c:v>-475588.33095499995</c:v>
                </c:pt>
                <c:pt idx="5450">
                  <c:v>-475275.875</c:v>
                </c:pt>
                <c:pt idx="5451">
                  <c:v>-474963.5559450001</c:v>
                </c:pt>
                <c:pt idx="5452">
                  <c:v>-474651.37375999993</c:v>
                </c:pt>
                <c:pt idx="5453">
                  <c:v>-474339.32841499994</c:v>
                </c:pt>
                <c:pt idx="5454">
                  <c:v>-474027.41988000006</c:v>
                </c:pt>
                <c:pt idx="5455">
                  <c:v>-473715.64812500007</c:v>
                </c:pt>
                <c:pt idx="5456">
                  <c:v>-473404.0131199999</c:v>
                </c:pt>
                <c:pt idx="5457">
                  <c:v>-473092.514835</c:v>
                </c:pt>
                <c:pt idx="5458">
                  <c:v>-472781.1532400001</c:v>
                </c:pt>
                <c:pt idx="5459">
                  <c:v>-472469.9283049999</c:v>
                </c:pt>
                <c:pt idx="5460">
                  <c:v>-472158.83999999997</c:v>
                </c:pt>
                <c:pt idx="5461">
                  <c:v>-471847.888295</c:v>
                </c:pt>
                <c:pt idx="5462">
                  <c:v>-471537.0731600001</c:v>
                </c:pt>
                <c:pt idx="5463">
                  <c:v>-471226.3945649999</c:v>
                </c:pt>
                <c:pt idx="5464">
                  <c:v>-470915.85248</c:v>
                </c:pt>
                <c:pt idx="5465">
                  <c:v>-470605.446875</c:v>
                </c:pt>
                <c:pt idx="5466">
                  <c:v>-470295.1777200001</c:v>
                </c:pt>
                <c:pt idx="5467">
                  <c:v>-469985.0449849999</c:v>
                </c:pt>
                <c:pt idx="5468">
                  <c:v>-469675.04864</c:v>
                </c:pt>
                <c:pt idx="5469">
                  <c:v>-469365.18865500006</c:v>
                </c:pt>
                <c:pt idx="5470">
                  <c:v>-469055.4649999999</c:v>
                </c:pt>
                <c:pt idx="5471">
                  <c:v>-468745.877645</c:v>
                </c:pt>
                <c:pt idx="5472">
                  <c:v>-468436.4265600001</c:v>
                </c:pt>
                <c:pt idx="5473">
                  <c:v>-468127.11171500006</c:v>
                </c:pt>
                <c:pt idx="5474">
                  <c:v>-467817.93308</c:v>
                </c:pt>
                <c:pt idx="5475">
                  <c:v>-467508.890625</c:v>
                </c:pt>
                <c:pt idx="5476">
                  <c:v>-467199.98432</c:v>
                </c:pt>
                <c:pt idx="5477">
                  <c:v>-466891.2141349999</c:v>
                </c:pt>
                <c:pt idx="5478">
                  <c:v>-466582.5800399999</c:v>
                </c:pt>
                <c:pt idx="5479">
                  <c:v>-466274.08200500003</c:v>
                </c:pt>
                <c:pt idx="5480">
                  <c:v>-465965.72000000003</c:v>
                </c:pt>
                <c:pt idx="5481">
                  <c:v>-465657.49399499997</c:v>
                </c:pt>
                <c:pt idx="5482">
                  <c:v>-465349.40395999997</c:v>
                </c:pt>
                <c:pt idx="5483">
                  <c:v>-465041.44986500003</c:v>
                </c:pt>
                <c:pt idx="5484">
                  <c:v>-464733.6316799999</c:v>
                </c:pt>
                <c:pt idx="5485">
                  <c:v>-464425.94937499997</c:v>
                </c:pt>
                <c:pt idx="5486">
                  <c:v>-464118.40292</c:v>
                </c:pt>
                <c:pt idx="5487">
                  <c:v>-463810.9922850001</c:v>
                </c:pt>
                <c:pt idx="5488">
                  <c:v>-463503.71744</c:v>
                </c:pt>
                <c:pt idx="5489">
                  <c:v>-463196.578355</c:v>
                </c:pt>
                <c:pt idx="5490">
                  <c:v>-462889.57500000007</c:v>
                </c:pt>
                <c:pt idx="5491">
                  <c:v>-462582.7073450002</c:v>
                </c:pt>
                <c:pt idx="5492">
                  <c:v>-462275.9753599999</c:v>
                </c:pt>
                <c:pt idx="5493">
                  <c:v>-461969.379015</c:v>
                </c:pt>
                <c:pt idx="5494">
                  <c:v>-461662.9182800001</c:v>
                </c:pt>
                <c:pt idx="5495">
                  <c:v>-461356.59312499996</c:v>
                </c:pt>
                <c:pt idx="5496">
                  <c:v>-461050.40351999993</c:v>
                </c:pt>
                <c:pt idx="5497">
                  <c:v>-460744.34943500004</c:v>
                </c:pt>
                <c:pt idx="5498">
                  <c:v>-460438.4308400001</c:v>
                </c:pt>
                <c:pt idx="5499">
                  <c:v>-460132.647705</c:v>
                </c:pt>
                <c:pt idx="5500">
                  <c:v>-459827.0</c:v>
                </c:pt>
                <c:pt idx="5501">
                  <c:v>-459521.487695</c:v>
                </c:pt>
                <c:pt idx="5502">
                  <c:v>-459216.11075999995</c:v>
                </c:pt>
                <c:pt idx="5503">
                  <c:v>-458910.8691649999</c:v>
                </c:pt>
                <c:pt idx="5504">
                  <c:v>-458605.76288000005</c:v>
                </c:pt>
                <c:pt idx="5505">
                  <c:v>-458300.79187500005</c:v>
                </c:pt>
                <c:pt idx="5506">
                  <c:v>-457995.95612</c:v>
                </c:pt>
                <c:pt idx="5507">
                  <c:v>-457691.255585</c:v>
                </c:pt>
                <c:pt idx="5508">
                  <c:v>-457386.6902400001</c:v>
                </c:pt>
                <c:pt idx="5509">
                  <c:v>-457082.2600549999</c:v>
                </c:pt>
                <c:pt idx="5510">
                  <c:v>-456777.96499999997</c:v>
                </c:pt>
                <c:pt idx="5511">
                  <c:v>-456473.805045</c:v>
                </c:pt>
                <c:pt idx="5512">
                  <c:v>-456169.7801600001</c:v>
                </c:pt>
                <c:pt idx="5513">
                  <c:v>-455865.8903149999</c:v>
                </c:pt>
                <c:pt idx="5514">
                  <c:v>-455562.13548</c:v>
                </c:pt>
                <c:pt idx="5515">
                  <c:v>-455258.515625</c:v>
                </c:pt>
                <c:pt idx="5516">
                  <c:v>-454955.0307200001</c:v>
                </c:pt>
                <c:pt idx="5517">
                  <c:v>-454651.68073499994</c:v>
                </c:pt>
                <c:pt idx="5518">
                  <c:v>-454348.46564000007</c:v>
                </c:pt>
                <c:pt idx="5519">
                  <c:v>-454045.38540500007</c:v>
                </c:pt>
                <c:pt idx="5520">
                  <c:v>-453742.43999999994</c:v>
                </c:pt>
                <c:pt idx="5521">
                  <c:v>-453439.62939499994</c:v>
                </c:pt>
                <c:pt idx="5522">
                  <c:v>-453136.95356000005</c:v>
                </c:pt>
                <c:pt idx="5523">
                  <c:v>-452834.4124650001</c:v>
                </c:pt>
                <c:pt idx="5524">
                  <c:v>-452532.00607999996</c:v>
                </c:pt>
                <c:pt idx="5525">
                  <c:v>-452229.734375</c:v>
                </c:pt>
                <c:pt idx="5526">
                  <c:v>-451927.59731999994</c:v>
                </c:pt>
                <c:pt idx="5527">
                  <c:v>-451625.5948849999</c:v>
                </c:pt>
                <c:pt idx="5528">
                  <c:v>-451323.7270399999</c:v>
                </c:pt>
                <c:pt idx="5529">
                  <c:v>-451021.993755</c:v>
                </c:pt>
                <c:pt idx="5530">
                  <c:v>-450720.3950000001</c:v>
                </c:pt>
                <c:pt idx="5531">
                  <c:v>-450418.93074499996</c:v>
                </c:pt>
                <c:pt idx="5532">
                  <c:v>-450117.60095999995</c:v>
                </c:pt>
                <c:pt idx="5533">
                  <c:v>-449816.4056150001</c:v>
                </c:pt>
                <c:pt idx="5534">
                  <c:v>-449515.3446799999</c:v>
                </c:pt>
                <c:pt idx="5535">
                  <c:v>-449214.41812499997</c:v>
                </c:pt>
                <c:pt idx="5536">
                  <c:v>-448913.62592</c:v>
                </c:pt>
                <c:pt idx="5537">
                  <c:v>-448612.968035</c:v>
                </c:pt>
                <c:pt idx="5538">
                  <c:v>-448312.44443999993</c:v>
                </c:pt>
                <c:pt idx="5539">
                  <c:v>-448012.05510500004</c:v>
                </c:pt>
                <c:pt idx="5540">
                  <c:v>-447711.80000000005</c:v>
                </c:pt>
                <c:pt idx="5541">
                  <c:v>-447411.67909500015</c:v>
                </c:pt>
                <c:pt idx="5542">
                  <c:v>-447111.69236</c:v>
                </c:pt>
                <c:pt idx="5543">
                  <c:v>-446811.83976500004</c:v>
                </c:pt>
                <c:pt idx="5544">
                  <c:v>-446512.1212800001</c:v>
                </c:pt>
                <c:pt idx="5545">
                  <c:v>-446212.536875</c:v>
                </c:pt>
                <c:pt idx="5546">
                  <c:v>-445913.08651999995</c:v>
                </c:pt>
                <c:pt idx="5547">
                  <c:v>-445613.77018500003</c:v>
                </c:pt>
                <c:pt idx="5548">
                  <c:v>-445314.5878400001</c:v>
                </c:pt>
                <c:pt idx="5549">
                  <c:v>-445015.53945499996</c:v>
                </c:pt>
                <c:pt idx="5550">
                  <c:v>-444716.625</c:v>
                </c:pt>
                <c:pt idx="5551">
                  <c:v>-444417.84444500005</c:v>
                </c:pt>
                <c:pt idx="5552">
                  <c:v>-444119.1977599999</c:v>
                </c:pt>
                <c:pt idx="5553">
                  <c:v>-443820.68491499993</c:v>
                </c:pt>
                <c:pt idx="5554">
                  <c:v>-443522.30588</c:v>
                </c:pt>
                <c:pt idx="5555">
                  <c:v>-443224.06062500004</c:v>
                </c:pt>
                <c:pt idx="5556">
                  <c:v>-442925.94911999995</c:v>
                </c:pt>
                <c:pt idx="5557">
                  <c:v>-442627.97133499995</c:v>
                </c:pt>
                <c:pt idx="5558">
                  <c:v>-442330.12724</c:v>
                </c:pt>
                <c:pt idx="5559">
                  <c:v>-442032.41680499987</c:v>
                </c:pt>
                <c:pt idx="5560">
                  <c:v>-441734.8399999999</c:v>
                </c:pt>
                <c:pt idx="5561">
                  <c:v>-441437.396795</c:v>
                </c:pt>
                <c:pt idx="5562">
                  <c:v>-441140.08716000005</c:v>
                </c:pt>
                <c:pt idx="5563">
                  <c:v>-440842.91106499993</c:v>
                </c:pt>
                <c:pt idx="5564">
                  <c:v>-440545.86848</c:v>
                </c:pt>
                <c:pt idx="5565">
                  <c:v>-440248.95937500003</c:v>
                </c:pt>
                <c:pt idx="5566">
                  <c:v>-439952.18372000015</c:v>
                </c:pt>
                <c:pt idx="5567">
                  <c:v>-439655.5414849999</c:v>
                </c:pt>
                <c:pt idx="5568">
                  <c:v>-439359.03264000005</c:v>
                </c:pt>
                <c:pt idx="5569">
                  <c:v>-439062.657155</c:v>
                </c:pt>
                <c:pt idx="5570">
                  <c:v>-438766.4149999999</c:v>
                </c:pt>
                <c:pt idx="5571">
                  <c:v>-438470.306145</c:v>
                </c:pt>
                <c:pt idx="5572">
                  <c:v>-438174.3305600001</c:v>
                </c:pt>
                <c:pt idx="5573">
                  <c:v>-437878.48821500014</c:v>
                </c:pt>
                <c:pt idx="5574">
                  <c:v>-437582.77908</c:v>
                </c:pt>
                <c:pt idx="5575">
                  <c:v>-437287.203125</c:v>
                </c:pt>
                <c:pt idx="5576">
                  <c:v>-436991.76032</c:v>
                </c:pt>
                <c:pt idx="5577">
                  <c:v>-436696.45063499996</c:v>
                </c:pt>
                <c:pt idx="5578">
                  <c:v>-436401.27403999993</c:v>
                </c:pt>
                <c:pt idx="5579">
                  <c:v>-436106.23050500004</c:v>
                </c:pt>
                <c:pt idx="5580">
                  <c:v>-435811.3200000001</c:v>
                </c:pt>
                <c:pt idx="5581">
                  <c:v>-435516.54249499994</c:v>
                </c:pt>
                <c:pt idx="5582">
                  <c:v>-435221.89796</c:v>
                </c:pt>
                <c:pt idx="5583">
                  <c:v>-434927.38636500004</c:v>
                </c:pt>
                <c:pt idx="5584">
                  <c:v>-434633.0076799999</c:v>
                </c:pt>
                <c:pt idx="5585">
                  <c:v>-434338.761875</c:v>
                </c:pt>
                <c:pt idx="5586">
                  <c:v>-434044.64892</c:v>
                </c:pt>
                <c:pt idx="5587">
                  <c:v>-433750.6687850001</c:v>
                </c:pt>
                <c:pt idx="5588">
                  <c:v>-433456.8214399999</c:v>
                </c:pt>
                <c:pt idx="5589">
                  <c:v>-433163.10685499996</c:v>
                </c:pt>
                <c:pt idx="5590">
                  <c:v>-432869.5250000001</c:v>
                </c:pt>
                <c:pt idx="5591">
                  <c:v>-432576.0758450001</c:v>
                </c:pt>
                <c:pt idx="5592">
                  <c:v>-432282.7593599999</c:v>
                </c:pt>
                <c:pt idx="5593">
                  <c:v>-431989.57551500003</c:v>
                </c:pt>
                <c:pt idx="5594">
                  <c:v>-431696.52428</c:v>
                </c:pt>
                <c:pt idx="5595">
                  <c:v>-431403.60562499997</c:v>
                </c:pt>
                <c:pt idx="5596">
                  <c:v>-431110.81951999996</c:v>
                </c:pt>
                <c:pt idx="5597">
                  <c:v>-430818.16593500006</c:v>
                </c:pt>
                <c:pt idx="5598">
                  <c:v>-430525.6448400001</c:v>
                </c:pt>
                <c:pt idx="5599">
                  <c:v>-430233.256205</c:v>
                </c:pt>
                <c:pt idx="5600">
                  <c:v>-429941.0</c:v>
                </c:pt>
                <c:pt idx="5601">
                  <c:v>-429648.876195</c:v>
                </c:pt>
                <c:pt idx="5602">
                  <c:v>-429356.8847599999</c:v>
                </c:pt>
                <c:pt idx="5603">
                  <c:v>-429065.0256649999</c:v>
                </c:pt>
                <c:pt idx="5604">
                  <c:v>-428773.29888</c:v>
                </c:pt>
                <c:pt idx="5605">
                  <c:v>-428481.7043750001</c:v>
                </c:pt>
                <c:pt idx="5606">
                  <c:v>-428190.24211999995</c:v>
                </c:pt>
                <c:pt idx="5607">
                  <c:v>-427898.91208499996</c:v>
                </c:pt>
                <c:pt idx="5608">
                  <c:v>-427607.71424000006</c:v>
                </c:pt>
                <c:pt idx="5609">
                  <c:v>-427316.64855499985</c:v>
                </c:pt>
                <c:pt idx="5610">
                  <c:v>-427025.7149999999</c:v>
                </c:pt>
                <c:pt idx="5611">
                  <c:v>-426734.913545</c:v>
                </c:pt>
                <c:pt idx="5612">
                  <c:v>-426444.24416</c:v>
                </c:pt>
                <c:pt idx="5613">
                  <c:v>-426153.7068149999</c:v>
                </c:pt>
                <c:pt idx="5614">
                  <c:v>-425863.30148</c:v>
                </c:pt>
                <c:pt idx="5615">
                  <c:v>-425573.028125</c:v>
                </c:pt>
                <c:pt idx="5616">
                  <c:v>-425282.8867200001</c:v>
                </c:pt>
                <c:pt idx="5617">
                  <c:v>-424992.877235</c:v>
                </c:pt>
                <c:pt idx="5618">
                  <c:v>-424702.99964</c:v>
                </c:pt>
                <c:pt idx="5619">
                  <c:v>-424413.2539050001</c:v>
                </c:pt>
                <c:pt idx="5620">
                  <c:v>-424123.6399999999</c:v>
                </c:pt>
                <c:pt idx="5621">
                  <c:v>-423834.15789499995</c:v>
                </c:pt>
                <c:pt idx="5622">
                  <c:v>-423544.8075600001</c:v>
                </c:pt>
                <c:pt idx="5623">
                  <c:v>-423255.5889650001</c:v>
                </c:pt>
                <c:pt idx="5624">
                  <c:v>-422966.50208</c:v>
                </c:pt>
                <c:pt idx="5625">
                  <c:v>-422677.546875</c:v>
                </c:pt>
                <c:pt idx="5626">
                  <c:v>-422388.72332</c:v>
                </c:pt>
                <c:pt idx="5627">
                  <c:v>-422100.0313849999</c:v>
                </c:pt>
                <c:pt idx="5628">
                  <c:v>-421811.47104</c:v>
                </c:pt>
                <c:pt idx="5629">
                  <c:v>-421523.042255</c:v>
                </c:pt>
                <c:pt idx="5630">
                  <c:v>-421234.7450000001</c:v>
                </c:pt>
                <c:pt idx="5631">
                  <c:v>-420946.579245</c:v>
                </c:pt>
                <c:pt idx="5632">
                  <c:v>-420658.54495999997</c:v>
                </c:pt>
                <c:pt idx="5633">
                  <c:v>-420370.6421150001</c:v>
                </c:pt>
                <c:pt idx="5634">
                  <c:v>-420082.8706799999</c:v>
                </c:pt>
                <c:pt idx="5635">
                  <c:v>-419795.230625</c:v>
                </c:pt>
                <c:pt idx="5636">
                  <c:v>-419507.72192</c:v>
                </c:pt>
                <c:pt idx="5637">
                  <c:v>-419220.3445350001</c:v>
                </c:pt>
                <c:pt idx="5638">
                  <c:v>-418933.0984399999</c:v>
                </c:pt>
                <c:pt idx="5639">
                  <c:v>-418645.983605</c:v>
                </c:pt>
                <c:pt idx="5640">
                  <c:v>-418359.00000000006</c:v>
                </c:pt>
                <c:pt idx="5641">
                  <c:v>-418072.1475950001</c:v>
                </c:pt>
                <c:pt idx="5642">
                  <c:v>-417785.4263599999</c:v>
                </c:pt>
                <c:pt idx="5643">
                  <c:v>-417498.83626500005</c:v>
                </c:pt>
                <c:pt idx="5644">
                  <c:v>-417212.3772800001</c:v>
                </c:pt>
                <c:pt idx="5645">
                  <c:v>-416926.04937499994</c:v>
                </c:pt>
                <c:pt idx="5646">
                  <c:v>-416639.85251999996</c:v>
                </c:pt>
                <c:pt idx="5647">
                  <c:v>-416353.78668500006</c:v>
                </c:pt>
                <c:pt idx="5648">
                  <c:v>-416067.8518400001</c:v>
                </c:pt>
                <c:pt idx="5649">
                  <c:v>-415782.04795499996</c:v>
                </c:pt>
                <c:pt idx="5650">
                  <c:v>-415496.375</c:v>
                </c:pt>
                <c:pt idx="5651">
                  <c:v>-415210.83294500003</c:v>
                </c:pt>
                <c:pt idx="5652">
                  <c:v>-414925.42175999994</c:v>
                </c:pt>
                <c:pt idx="5653">
                  <c:v>-414640.14141499996</c:v>
                </c:pt>
                <c:pt idx="5654">
                  <c:v>-414354.99188000005</c:v>
                </c:pt>
                <c:pt idx="5655">
                  <c:v>-414069.973125</c:v>
                </c:pt>
                <c:pt idx="5656">
                  <c:v>-413785.0851199999</c:v>
                </c:pt>
                <c:pt idx="5657">
                  <c:v>-413500.327835</c:v>
                </c:pt>
                <c:pt idx="5658">
                  <c:v>-413215.70124</c:v>
                </c:pt>
                <c:pt idx="5659">
                  <c:v>-412931.2053049999</c:v>
                </c:pt>
                <c:pt idx="5660">
                  <c:v>-412646.8399999999</c:v>
                </c:pt>
                <c:pt idx="5661">
                  <c:v>-412362.60529499996</c:v>
                </c:pt>
                <c:pt idx="5662">
                  <c:v>-412078.5011600001</c:v>
                </c:pt>
                <c:pt idx="5663">
                  <c:v>-411794.52756499994</c:v>
                </c:pt>
                <c:pt idx="5664">
                  <c:v>-411510.68448000005</c:v>
                </c:pt>
                <c:pt idx="5665">
                  <c:v>-411226.971875</c:v>
                </c:pt>
                <c:pt idx="5666">
                  <c:v>-410943.3897200001</c:v>
                </c:pt>
                <c:pt idx="5667">
                  <c:v>-410659.9379849999</c:v>
                </c:pt>
                <c:pt idx="5668">
                  <c:v>-410376.61664</c:v>
                </c:pt>
                <c:pt idx="5669">
                  <c:v>-410093.425655</c:v>
                </c:pt>
                <c:pt idx="5670">
                  <c:v>-409810.36499999993</c:v>
                </c:pt>
                <c:pt idx="5671">
                  <c:v>-409527.43464500003</c:v>
                </c:pt>
                <c:pt idx="5672">
                  <c:v>-409244.63456000003</c:v>
                </c:pt>
                <c:pt idx="5673">
                  <c:v>-408961.9647150001</c:v>
                </c:pt>
                <c:pt idx="5674">
                  <c:v>-408679.42507999996</c:v>
                </c:pt>
                <c:pt idx="5675">
                  <c:v>-408397.015625</c:v>
                </c:pt>
                <c:pt idx="5676">
                  <c:v>-408114.73632</c:v>
                </c:pt>
                <c:pt idx="5677">
                  <c:v>-407832.587135</c:v>
                </c:pt>
                <c:pt idx="5678">
                  <c:v>-407550.56804</c:v>
                </c:pt>
                <c:pt idx="5679">
                  <c:v>-407268.67900500004</c:v>
                </c:pt>
                <c:pt idx="5680">
                  <c:v>-406986.92000000004</c:v>
                </c:pt>
                <c:pt idx="5681">
                  <c:v>-406705.2909949999</c:v>
                </c:pt>
                <c:pt idx="5682">
                  <c:v>-406423.79196</c:v>
                </c:pt>
                <c:pt idx="5683">
                  <c:v>-406142.42286500003</c:v>
                </c:pt>
                <c:pt idx="5684">
                  <c:v>-405861.1836799999</c:v>
                </c:pt>
                <c:pt idx="5685">
                  <c:v>-405580.0743749999</c:v>
                </c:pt>
                <c:pt idx="5686">
                  <c:v>-405299.09492000006</c:v>
                </c:pt>
                <c:pt idx="5687">
                  <c:v>-405018.24528500007</c:v>
                </c:pt>
                <c:pt idx="5688">
                  <c:v>-404737.52543999994</c:v>
                </c:pt>
                <c:pt idx="5689">
                  <c:v>-404456.935355</c:v>
                </c:pt>
                <c:pt idx="5690">
                  <c:v>-404176.47500000003</c:v>
                </c:pt>
                <c:pt idx="5691">
                  <c:v>-403896.14434500015</c:v>
                </c:pt>
                <c:pt idx="5692">
                  <c:v>-403615.9433599999</c:v>
                </c:pt>
                <c:pt idx="5693">
                  <c:v>-403335.87201500003</c:v>
                </c:pt>
                <c:pt idx="5694">
                  <c:v>-403055.9302800001</c:v>
                </c:pt>
                <c:pt idx="5695">
                  <c:v>-402776.1181249999</c:v>
                </c:pt>
                <c:pt idx="5696">
                  <c:v>-402496.43551999994</c:v>
                </c:pt>
                <c:pt idx="5697">
                  <c:v>-402216.88243500004</c:v>
                </c:pt>
                <c:pt idx="5698">
                  <c:v>-401937.45884000004</c:v>
                </c:pt>
                <c:pt idx="5699">
                  <c:v>-401658.164705</c:v>
                </c:pt>
                <c:pt idx="5700">
                  <c:v>-401379.0</c:v>
                </c:pt>
                <c:pt idx="5701">
                  <c:v>-401099.964695</c:v>
                </c:pt>
                <c:pt idx="5702">
                  <c:v>-400821.0587599999</c:v>
                </c:pt>
                <c:pt idx="5703">
                  <c:v>-400542.2821649999</c:v>
                </c:pt>
                <c:pt idx="5704">
                  <c:v>-400263.63487999997</c:v>
                </c:pt>
                <c:pt idx="5705">
                  <c:v>-399985.11687500007</c:v>
                </c:pt>
                <c:pt idx="5706">
                  <c:v>-399706.7281199999</c:v>
                </c:pt>
                <c:pt idx="5707">
                  <c:v>-399428.468585</c:v>
                </c:pt>
                <c:pt idx="5708">
                  <c:v>-399150.33824000007</c:v>
                </c:pt>
                <c:pt idx="5709">
                  <c:v>-398872.33705499984</c:v>
                </c:pt>
                <c:pt idx="5710">
                  <c:v>-398594.46499999997</c:v>
                </c:pt>
                <c:pt idx="5711">
                  <c:v>-398316.722045</c:v>
                </c:pt>
                <c:pt idx="5712">
                  <c:v>-398039.1081600001</c:v>
                </c:pt>
                <c:pt idx="5713">
                  <c:v>-397761.6233149999</c:v>
                </c:pt>
                <c:pt idx="5714">
                  <c:v>-397484.26748</c:v>
                </c:pt>
                <c:pt idx="5715">
                  <c:v>-397207.040625</c:v>
                </c:pt>
                <c:pt idx="5716">
                  <c:v>-396929.94272000017</c:v>
                </c:pt>
                <c:pt idx="5717">
                  <c:v>-396652.97373499995</c:v>
                </c:pt>
                <c:pt idx="5718">
                  <c:v>-396376.13364</c:v>
                </c:pt>
                <c:pt idx="5719">
                  <c:v>-396099.422405</c:v>
                </c:pt>
                <c:pt idx="5720">
                  <c:v>-395822.8399999999</c:v>
                </c:pt>
                <c:pt idx="5721">
                  <c:v>-395546.386395</c:v>
                </c:pt>
                <c:pt idx="5722">
                  <c:v>-395270.06156000006</c:v>
                </c:pt>
                <c:pt idx="5723">
                  <c:v>-394993.86546500016</c:v>
                </c:pt>
                <c:pt idx="5724">
                  <c:v>-394717.79808</c:v>
                </c:pt>
                <c:pt idx="5725">
                  <c:v>-394441.859375</c:v>
                </c:pt>
                <c:pt idx="5726">
                  <c:v>-394166.04932</c:v>
                </c:pt>
                <c:pt idx="5727">
                  <c:v>-393890.3678849999</c:v>
                </c:pt>
                <c:pt idx="5728">
                  <c:v>-393614.81504</c:v>
                </c:pt>
                <c:pt idx="5729">
                  <c:v>-393339.39075500006</c:v>
                </c:pt>
                <c:pt idx="5730">
                  <c:v>-393064.0950000001</c:v>
                </c:pt>
                <c:pt idx="5731">
                  <c:v>-392788.92774499994</c:v>
                </c:pt>
                <c:pt idx="5732">
                  <c:v>-392513.88896</c:v>
                </c:pt>
                <c:pt idx="5733">
                  <c:v>-392238.978615</c:v>
                </c:pt>
                <c:pt idx="5734">
                  <c:v>-391964.1966799999</c:v>
                </c:pt>
                <c:pt idx="5735">
                  <c:v>-391689.54312499997</c:v>
                </c:pt>
                <c:pt idx="5736">
                  <c:v>-391415.01792</c:v>
                </c:pt>
                <c:pt idx="5737">
                  <c:v>-391140.6210350001</c:v>
                </c:pt>
                <c:pt idx="5738">
                  <c:v>-390866.35243999993</c:v>
                </c:pt>
                <c:pt idx="5739">
                  <c:v>-390592.21210500004</c:v>
                </c:pt>
                <c:pt idx="5740">
                  <c:v>-390318.20000000007</c:v>
                </c:pt>
                <c:pt idx="5741">
                  <c:v>-390044.31609500013</c:v>
                </c:pt>
                <c:pt idx="5742">
                  <c:v>-389770.56035999994</c:v>
                </c:pt>
                <c:pt idx="5743">
                  <c:v>-389496.93276500003</c:v>
                </c:pt>
                <c:pt idx="5744">
                  <c:v>-389223.4332800001</c:v>
                </c:pt>
                <c:pt idx="5745">
                  <c:v>-388950.06187499996</c:v>
                </c:pt>
                <c:pt idx="5746">
                  <c:v>-388676.81852</c:v>
                </c:pt>
                <c:pt idx="5747">
                  <c:v>-388403.7031850001</c:v>
                </c:pt>
                <c:pt idx="5748">
                  <c:v>-388130.71584000014</c:v>
                </c:pt>
                <c:pt idx="5749">
                  <c:v>-387857.856455</c:v>
                </c:pt>
                <c:pt idx="5750">
                  <c:v>-387585.125</c:v>
                </c:pt>
                <c:pt idx="5751">
                  <c:v>-387312.521445</c:v>
                </c:pt>
                <c:pt idx="5752">
                  <c:v>-387040.04575999995</c:v>
                </c:pt>
                <c:pt idx="5753">
                  <c:v>-386767.6979149999</c:v>
                </c:pt>
                <c:pt idx="5754">
                  <c:v>-386495.47788</c:v>
                </c:pt>
                <c:pt idx="5755">
                  <c:v>-386223.38562500005</c:v>
                </c:pt>
                <c:pt idx="5756">
                  <c:v>-385951.42111999996</c:v>
                </c:pt>
                <c:pt idx="5757">
                  <c:v>-385679.58433499996</c:v>
                </c:pt>
                <c:pt idx="5758">
                  <c:v>-385407.87524</c:v>
                </c:pt>
                <c:pt idx="5759">
                  <c:v>-385136.2938049999</c:v>
                </c:pt>
                <c:pt idx="5760">
                  <c:v>-384864.83999999997</c:v>
                </c:pt>
                <c:pt idx="5761">
                  <c:v>-384593.513795</c:v>
                </c:pt>
                <c:pt idx="5762">
                  <c:v>-384322.31516000006</c:v>
                </c:pt>
                <c:pt idx="5763">
                  <c:v>-384051.244065</c:v>
                </c:pt>
                <c:pt idx="5764">
                  <c:v>-383780.30048000003</c:v>
                </c:pt>
                <c:pt idx="5765">
                  <c:v>-383509.484375</c:v>
                </c:pt>
                <c:pt idx="5766">
                  <c:v>-383238.7957200001</c:v>
                </c:pt>
                <c:pt idx="5767">
                  <c:v>-382968.2344849999</c:v>
                </c:pt>
                <c:pt idx="5768">
                  <c:v>-382697.80064000003</c:v>
                </c:pt>
                <c:pt idx="5769">
                  <c:v>-382427.4941550001</c:v>
                </c:pt>
                <c:pt idx="5770">
                  <c:v>-382157.315</c:v>
                </c:pt>
                <c:pt idx="5771">
                  <c:v>-381887.263145</c:v>
                </c:pt>
                <c:pt idx="5772">
                  <c:v>-381617.33856000006</c:v>
                </c:pt>
                <c:pt idx="5773">
                  <c:v>-381347.5412150001</c:v>
                </c:pt>
                <c:pt idx="5774">
                  <c:v>-381077.87108</c:v>
                </c:pt>
                <c:pt idx="5775">
                  <c:v>-380808.328125</c:v>
                </c:pt>
                <c:pt idx="5776">
                  <c:v>-380538.91232</c:v>
                </c:pt>
                <c:pt idx="5777">
                  <c:v>-380269.62363499985</c:v>
                </c:pt>
                <c:pt idx="5778">
                  <c:v>-380000.46203999995</c:v>
                </c:pt>
                <c:pt idx="5779">
                  <c:v>-379731.427505</c:v>
                </c:pt>
                <c:pt idx="5780">
                  <c:v>-379462.5200000001</c:v>
                </c:pt>
                <c:pt idx="5781">
                  <c:v>-379193.7394949999</c:v>
                </c:pt>
                <c:pt idx="5782">
                  <c:v>-378925.08595999994</c:v>
                </c:pt>
                <c:pt idx="5783">
                  <c:v>-378656.55936500005</c:v>
                </c:pt>
                <c:pt idx="5784">
                  <c:v>-378388.15967999987</c:v>
                </c:pt>
                <c:pt idx="5785">
                  <c:v>-378119.88687499997</c:v>
                </c:pt>
                <c:pt idx="5786">
                  <c:v>-377851.74092</c:v>
                </c:pt>
                <c:pt idx="5787">
                  <c:v>-377583.7217850001</c:v>
                </c:pt>
                <c:pt idx="5788">
                  <c:v>-377315.8294399999</c:v>
                </c:pt>
                <c:pt idx="5789">
                  <c:v>-377048.063855</c:v>
                </c:pt>
                <c:pt idx="5790">
                  <c:v>-376780.42500000005</c:v>
                </c:pt>
                <c:pt idx="5791">
                  <c:v>-376512.91284500016</c:v>
                </c:pt>
                <c:pt idx="5792">
                  <c:v>-376245.52735999995</c:v>
                </c:pt>
                <c:pt idx="5793">
                  <c:v>-375978.268515</c:v>
                </c:pt>
                <c:pt idx="5794">
                  <c:v>-375711.1362800001</c:v>
                </c:pt>
                <c:pt idx="5795">
                  <c:v>-375444.130625</c:v>
                </c:pt>
                <c:pt idx="5796">
                  <c:v>-375177.25152</c:v>
                </c:pt>
                <c:pt idx="5797">
                  <c:v>-374910.4989350001</c:v>
                </c:pt>
                <c:pt idx="5798">
                  <c:v>-374643.87284000014</c:v>
                </c:pt>
                <c:pt idx="5799">
                  <c:v>-374377.373205</c:v>
                </c:pt>
                <c:pt idx="5800">
                  <c:v>-374111.0</c:v>
                </c:pt>
                <c:pt idx="5801">
                  <c:v>-373844.75319500006</c:v>
                </c:pt>
                <c:pt idx="5802">
                  <c:v>-373578.6327599999</c:v>
                </c:pt>
                <c:pt idx="5803">
                  <c:v>-373312.6386649999</c:v>
                </c:pt>
                <c:pt idx="5804">
                  <c:v>-373046.77088</c:v>
                </c:pt>
                <c:pt idx="5805">
                  <c:v>-372781.02937500004</c:v>
                </c:pt>
                <c:pt idx="5806">
                  <c:v>-372515.4141199999</c:v>
                </c:pt>
                <c:pt idx="5807">
                  <c:v>-372249.92508499994</c:v>
                </c:pt>
                <c:pt idx="5808">
                  <c:v>-371984.56224000006</c:v>
                </c:pt>
                <c:pt idx="5809">
                  <c:v>-371719.32555499993</c:v>
                </c:pt>
                <c:pt idx="5810">
                  <c:v>-371454.21499999997</c:v>
                </c:pt>
                <c:pt idx="5811">
                  <c:v>-371189.230545</c:v>
                </c:pt>
                <c:pt idx="5812">
                  <c:v>-370924.37216</c:v>
                </c:pt>
                <c:pt idx="5813">
                  <c:v>-370659.63981499994</c:v>
                </c:pt>
                <c:pt idx="5814">
                  <c:v>-370395.03348</c:v>
                </c:pt>
                <c:pt idx="5815">
                  <c:v>-370130.553125</c:v>
                </c:pt>
                <c:pt idx="5816">
                  <c:v>-369866.1987200001</c:v>
                </c:pt>
                <c:pt idx="5817">
                  <c:v>-369601.970235</c:v>
                </c:pt>
                <c:pt idx="5818">
                  <c:v>-369337.86764000007</c:v>
                </c:pt>
                <c:pt idx="5819">
                  <c:v>-369073.8909050001</c:v>
                </c:pt>
                <c:pt idx="5820">
                  <c:v>-368810.0399999999</c:v>
                </c:pt>
                <c:pt idx="5821">
                  <c:v>-368546.31489499996</c:v>
                </c:pt>
                <c:pt idx="5822">
                  <c:v>-368282.71556</c:v>
                </c:pt>
                <c:pt idx="5823">
                  <c:v>-368019.2419650001</c:v>
                </c:pt>
                <c:pt idx="5824">
                  <c:v>-367755.89407999994</c:v>
                </c:pt>
                <c:pt idx="5825">
                  <c:v>-367492.671875</c:v>
                </c:pt>
                <c:pt idx="5826">
                  <c:v>-367229.57532000006</c:v>
                </c:pt>
                <c:pt idx="5827">
                  <c:v>-366966.60438499996</c:v>
                </c:pt>
                <c:pt idx="5828">
                  <c:v>-366703.75904</c:v>
                </c:pt>
                <c:pt idx="5829">
                  <c:v>-366441.03925499995</c:v>
                </c:pt>
                <c:pt idx="5830">
                  <c:v>-366178.44500000007</c:v>
                </c:pt>
                <c:pt idx="5831">
                  <c:v>-365915.97624499997</c:v>
                </c:pt>
                <c:pt idx="5832">
                  <c:v>-365653.63295999996</c:v>
                </c:pt>
                <c:pt idx="5833">
                  <c:v>-365391.41511500004</c:v>
                </c:pt>
                <c:pt idx="5834">
                  <c:v>-365129.32267999987</c:v>
                </c:pt>
                <c:pt idx="5835">
                  <c:v>-364867.35562499997</c:v>
                </c:pt>
                <c:pt idx="5836">
                  <c:v>-364605.51391999994</c:v>
                </c:pt>
                <c:pt idx="5837">
                  <c:v>-364343.7975350001</c:v>
                </c:pt>
                <c:pt idx="5838">
                  <c:v>-364082.20644</c:v>
                </c:pt>
                <c:pt idx="5839">
                  <c:v>-363820.740605</c:v>
                </c:pt>
                <c:pt idx="5840">
                  <c:v>-363559.39999999997</c:v>
                </c:pt>
                <c:pt idx="5841">
                  <c:v>-363298.1845950001</c:v>
                </c:pt>
                <c:pt idx="5842">
                  <c:v>-363037.09435999993</c:v>
                </c:pt>
                <c:pt idx="5843">
                  <c:v>-362776.129265</c:v>
                </c:pt>
                <c:pt idx="5844">
                  <c:v>-362515.2892800001</c:v>
                </c:pt>
                <c:pt idx="5845">
                  <c:v>-362254.5743749999</c:v>
                </c:pt>
                <c:pt idx="5846">
                  <c:v>-361993.98451999994</c:v>
                </c:pt>
                <c:pt idx="5847">
                  <c:v>-361733.51968500006</c:v>
                </c:pt>
                <c:pt idx="5848">
                  <c:v>-361473.17984000006</c:v>
                </c:pt>
                <c:pt idx="5849">
                  <c:v>-361212.9649549999</c:v>
                </c:pt>
                <c:pt idx="5850">
                  <c:v>-360952.875</c:v>
                </c:pt>
                <c:pt idx="5851">
                  <c:v>-360692.90994499996</c:v>
                </c:pt>
                <c:pt idx="5852">
                  <c:v>-360433.0697599999</c:v>
                </c:pt>
                <c:pt idx="5853">
                  <c:v>-360173.3544149999</c:v>
                </c:pt>
                <c:pt idx="5854">
                  <c:v>-359913.76388</c:v>
                </c:pt>
                <c:pt idx="5855">
                  <c:v>-359654.29812500003</c:v>
                </c:pt>
                <c:pt idx="5856">
                  <c:v>-359394.9571199999</c:v>
                </c:pt>
                <c:pt idx="5857">
                  <c:v>-359135.74083499995</c:v>
                </c:pt>
                <c:pt idx="5858">
                  <c:v>-358876.64924000006</c:v>
                </c:pt>
                <c:pt idx="5859">
                  <c:v>-358617.6823049999</c:v>
                </c:pt>
                <c:pt idx="5860">
                  <c:v>-358358.83999999997</c:v>
                </c:pt>
                <c:pt idx="5861">
                  <c:v>-358100.122295</c:v>
                </c:pt>
                <c:pt idx="5862">
                  <c:v>-357841.5291600001</c:v>
                </c:pt>
                <c:pt idx="5863">
                  <c:v>-357583.06056499993</c:v>
                </c:pt>
                <c:pt idx="5864">
                  <c:v>-357324.71648</c:v>
                </c:pt>
                <c:pt idx="5865">
                  <c:v>-357066.496875</c:v>
                </c:pt>
                <c:pt idx="5866">
                  <c:v>-356808.4017200001</c:v>
                </c:pt>
                <c:pt idx="5867">
                  <c:v>-356550.43098499987</c:v>
                </c:pt>
                <c:pt idx="5868">
                  <c:v>-356292.58464</c:v>
                </c:pt>
                <c:pt idx="5869">
                  <c:v>-356034.8626550001</c:v>
                </c:pt>
                <c:pt idx="5870">
                  <c:v>-355777.26499999996</c:v>
                </c:pt>
                <c:pt idx="5871">
                  <c:v>-355519.791645</c:v>
                </c:pt>
                <c:pt idx="5872">
                  <c:v>-355262.44256000005</c:v>
                </c:pt>
                <c:pt idx="5873">
                  <c:v>-355005.2177150001</c:v>
                </c:pt>
                <c:pt idx="5874">
                  <c:v>-354748.11707999994</c:v>
                </c:pt>
                <c:pt idx="5875">
                  <c:v>-354491.140625</c:v>
                </c:pt>
                <c:pt idx="5876">
                  <c:v>-354234.28832000005</c:v>
                </c:pt>
                <c:pt idx="5877">
                  <c:v>-353977.560135</c:v>
                </c:pt>
                <c:pt idx="5878">
                  <c:v>-353720.95603999996</c:v>
                </c:pt>
                <c:pt idx="5879">
                  <c:v>-353464.47600500006</c:v>
                </c:pt>
                <c:pt idx="5880">
                  <c:v>-353208.1200000001</c:v>
                </c:pt>
                <c:pt idx="5881">
                  <c:v>-352951.887995</c:v>
                </c:pt>
                <c:pt idx="5882">
                  <c:v>-352695.77995999996</c:v>
                </c:pt>
                <c:pt idx="5883">
                  <c:v>-352439.79586500005</c:v>
                </c:pt>
                <c:pt idx="5884">
                  <c:v>-352183.9356799999</c:v>
                </c:pt>
                <c:pt idx="5885">
                  <c:v>-351928.199375</c:v>
                </c:pt>
                <c:pt idx="5886">
                  <c:v>-351672.58692000003</c:v>
                </c:pt>
                <c:pt idx="5887">
                  <c:v>-351417.0982850001</c:v>
                </c:pt>
                <c:pt idx="5888">
                  <c:v>-351161.7334399999</c:v>
                </c:pt>
                <c:pt idx="5889">
                  <c:v>-350906.49235500005</c:v>
                </c:pt>
                <c:pt idx="5890">
                  <c:v>-350651.375</c:v>
                </c:pt>
                <c:pt idx="5891">
                  <c:v>-350396.3813450001</c:v>
                </c:pt>
                <c:pt idx="5892">
                  <c:v>-350141.51136</c:v>
                </c:pt>
                <c:pt idx="5893">
                  <c:v>-349886.765015</c:v>
                </c:pt>
                <c:pt idx="5894">
                  <c:v>-349632.14228000003</c:v>
                </c:pt>
                <c:pt idx="5895">
                  <c:v>-349377.64312499994</c:v>
                </c:pt>
                <c:pt idx="5896">
                  <c:v>-349123.26752</c:v>
                </c:pt>
                <c:pt idx="5897">
                  <c:v>-348869.015435</c:v>
                </c:pt>
                <c:pt idx="5898">
                  <c:v>-348614.88684000005</c:v>
                </c:pt>
                <c:pt idx="5899">
                  <c:v>-348360.881705</c:v>
                </c:pt>
                <c:pt idx="5900">
                  <c:v>-348107.0</c:v>
                </c:pt>
                <c:pt idx="5901">
                  <c:v>-347853.24169500003</c:v>
                </c:pt>
                <c:pt idx="5902">
                  <c:v>-347599.60675999994</c:v>
                </c:pt>
                <c:pt idx="5903">
                  <c:v>-347346.09516499995</c:v>
                </c:pt>
                <c:pt idx="5904">
                  <c:v>-347092.70688000007</c:v>
                </c:pt>
                <c:pt idx="5905">
                  <c:v>-346839.441875</c:v>
                </c:pt>
                <c:pt idx="5906">
                  <c:v>-346586.30011999997</c:v>
                </c:pt>
                <c:pt idx="5907">
                  <c:v>-346333.281585</c:v>
                </c:pt>
                <c:pt idx="5908">
                  <c:v>-346080.38624</c:v>
                </c:pt>
                <c:pt idx="5909">
                  <c:v>-345827.6140549999</c:v>
                </c:pt>
                <c:pt idx="5910">
                  <c:v>-345574.96499999997</c:v>
                </c:pt>
                <c:pt idx="5911">
                  <c:v>-345322.439045</c:v>
                </c:pt>
                <c:pt idx="5912">
                  <c:v>-345070.0361600001</c:v>
                </c:pt>
                <c:pt idx="5913">
                  <c:v>-344817.756315</c:v>
                </c:pt>
                <c:pt idx="5914">
                  <c:v>-344565.59948</c:v>
                </c:pt>
                <c:pt idx="5915">
                  <c:v>-344313.56562500005</c:v>
                </c:pt>
                <c:pt idx="5916">
                  <c:v>-344061.6547200001</c:v>
                </c:pt>
                <c:pt idx="5917">
                  <c:v>-343809.866735</c:v>
                </c:pt>
                <c:pt idx="5918">
                  <c:v>-343558.20164</c:v>
                </c:pt>
                <c:pt idx="5919">
                  <c:v>-343306.6594050001</c:v>
                </c:pt>
                <c:pt idx="5920">
                  <c:v>-343055.24</c:v>
                </c:pt>
                <c:pt idx="5921">
                  <c:v>-342803.943395</c:v>
                </c:pt>
                <c:pt idx="5922">
                  <c:v>-342552.76956</c:v>
                </c:pt>
                <c:pt idx="5923">
                  <c:v>-342301.7184650001</c:v>
                </c:pt>
                <c:pt idx="5924">
                  <c:v>-342050.79008</c:v>
                </c:pt>
                <c:pt idx="5925">
                  <c:v>-341799.984375</c:v>
                </c:pt>
                <c:pt idx="5926">
                  <c:v>-341549.3013200001</c:v>
                </c:pt>
                <c:pt idx="5927">
                  <c:v>-341298.7408849999</c:v>
                </c:pt>
                <c:pt idx="5928">
                  <c:v>-341048.3030399999</c:v>
                </c:pt>
                <c:pt idx="5929">
                  <c:v>-340797.987755</c:v>
                </c:pt>
                <c:pt idx="5930">
                  <c:v>-340547.79500000004</c:v>
                </c:pt>
                <c:pt idx="5931">
                  <c:v>-340297.72474499996</c:v>
                </c:pt>
                <c:pt idx="5932">
                  <c:v>-340047.77696</c:v>
                </c:pt>
                <c:pt idx="5933">
                  <c:v>-339797.951615</c:v>
                </c:pt>
                <c:pt idx="5934">
                  <c:v>-339548.2486799999</c:v>
                </c:pt>
                <c:pt idx="5935">
                  <c:v>-339298.6681249999</c:v>
                </c:pt>
                <c:pt idx="5936">
                  <c:v>-339049.20992000005</c:v>
                </c:pt>
                <c:pt idx="5937">
                  <c:v>-338799.87403500004</c:v>
                </c:pt>
                <c:pt idx="5938">
                  <c:v>-338550.6604399999</c:v>
                </c:pt>
                <c:pt idx="5939">
                  <c:v>-338301.569105</c:v>
                </c:pt>
                <c:pt idx="5940">
                  <c:v>-338052.60000000003</c:v>
                </c:pt>
                <c:pt idx="5941">
                  <c:v>-337803.75309500017</c:v>
                </c:pt>
                <c:pt idx="5942">
                  <c:v>-337555.02835999994</c:v>
                </c:pt>
                <c:pt idx="5943">
                  <c:v>-337306.42576500005</c:v>
                </c:pt>
                <c:pt idx="5944">
                  <c:v>-337057.94528000004</c:v>
                </c:pt>
                <c:pt idx="5945">
                  <c:v>-336809.5868749999</c:v>
                </c:pt>
                <c:pt idx="5946">
                  <c:v>-336561.35052000004</c:v>
                </c:pt>
                <c:pt idx="5947">
                  <c:v>-336313.23618500005</c:v>
                </c:pt>
                <c:pt idx="5948">
                  <c:v>-336065.2438400001</c:v>
                </c:pt>
                <c:pt idx="5949">
                  <c:v>-335817.373455</c:v>
                </c:pt>
                <c:pt idx="5950">
                  <c:v>-335569.625</c:v>
                </c:pt>
                <c:pt idx="5951">
                  <c:v>-335321.99844500003</c:v>
                </c:pt>
                <c:pt idx="5952">
                  <c:v>-335074.4937599999</c:v>
                </c:pt>
                <c:pt idx="5953">
                  <c:v>-334827.11091499997</c:v>
                </c:pt>
                <c:pt idx="5954">
                  <c:v>-334579.84988</c:v>
                </c:pt>
                <c:pt idx="5955">
                  <c:v>-334332.71062500007</c:v>
                </c:pt>
                <c:pt idx="5956">
                  <c:v>-334085.69311999995</c:v>
                </c:pt>
                <c:pt idx="5957">
                  <c:v>-333838.79733499995</c:v>
                </c:pt>
                <c:pt idx="5958">
                  <c:v>-333592.02324000007</c:v>
                </c:pt>
                <c:pt idx="5959">
                  <c:v>-333345.37080499995</c:v>
                </c:pt>
                <c:pt idx="5960">
                  <c:v>-333098.83999999997</c:v>
                </c:pt>
                <c:pt idx="5961">
                  <c:v>-332852.43079499993</c:v>
                </c:pt>
                <c:pt idx="5962">
                  <c:v>-332606.1431600001</c:v>
                </c:pt>
                <c:pt idx="5963">
                  <c:v>-332359.97706499987</c:v>
                </c:pt>
                <c:pt idx="5964">
                  <c:v>-332113.93248</c:v>
                </c:pt>
                <c:pt idx="5965">
                  <c:v>-331868.009375</c:v>
                </c:pt>
                <c:pt idx="5966">
                  <c:v>-331622.2077200001</c:v>
                </c:pt>
                <c:pt idx="5967">
                  <c:v>-331376.5274849999</c:v>
                </c:pt>
                <c:pt idx="5968">
                  <c:v>-331130.96864000004</c:v>
                </c:pt>
                <c:pt idx="5969">
                  <c:v>-330885.5311550001</c:v>
                </c:pt>
                <c:pt idx="5970">
                  <c:v>-330640.2149999999</c:v>
                </c:pt>
                <c:pt idx="5971">
                  <c:v>-330395.02014499996</c:v>
                </c:pt>
                <c:pt idx="5972">
                  <c:v>-330149.94656000007</c:v>
                </c:pt>
                <c:pt idx="5973">
                  <c:v>-329904.9942150001</c:v>
                </c:pt>
                <c:pt idx="5974">
                  <c:v>-329660.16307999997</c:v>
                </c:pt>
                <c:pt idx="5975">
                  <c:v>-329415.453125</c:v>
                </c:pt>
                <c:pt idx="5976">
                  <c:v>-329170.86432000005</c:v>
                </c:pt>
                <c:pt idx="5977">
                  <c:v>-328926.39663499995</c:v>
                </c:pt>
                <c:pt idx="5978">
                  <c:v>-328682.05003999994</c:v>
                </c:pt>
                <c:pt idx="5979">
                  <c:v>-328437.82450499997</c:v>
                </c:pt>
                <c:pt idx="5980">
                  <c:v>-328193.72000000003</c:v>
                </c:pt>
                <c:pt idx="5981">
                  <c:v>-327949.73649499996</c:v>
                </c:pt>
                <c:pt idx="5982">
                  <c:v>-327705.87395999994</c:v>
                </c:pt>
                <c:pt idx="5983">
                  <c:v>-327462.1323650001</c:v>
                </c:pt>
                <c:pt idx="5984">
                  <c:v>-327218.51167999994</c:v>
                </c:pt>
                <c:pt idx="5985">
                  <c:v>-326975.01187499997</c:v>
                </c:pt>
                <c:pt idx="5986">
                  <c:v>-326731.63292</c:v>
                </c:pt>
                <c:pt idx="5987">
                  <c:v>-326488.3747850001</c:v>
                </c:pt>
                <c:pt idx="5988">
                  <c:v>-326245.23743999994</c:v>
                </c:pt>
                <c:pt idx="5989">
                  <c:v>-326002.220855</c:v>
                </c:pt>
                <c:pt idx="5990">
                  <c:v>-325759.32500000007</c:v>
                </c:pt>
                <c:pt idx="5991">
                  <c:v>-325516.5498450001</c:v>
                </c:pt>
                <c:pt idx="5992">
                  <c:v>-325273.89535999997</c:v>
                </c:pt>
                <c:pt idx="5993">
                  <c:v>-325031.36151500006</c:v>
                </c:pt>
                <c:pt idx="5994">
                  <c:v>-324788.94828000007</c:v>
                </c:pt>
                <c:pt idx="5995">
                  <c:v>-324546.65562499996</c:v>
                </c:pt>
                <c:pt idx="5996">
                  <c:v>-324304.48351999995</c:v>
                </c:pt>
                <c:pt idx="5997">
                  <c:v>-324062.43193500006</c:v>
                </c:pt>
                <c:pt idx="5998">
                  <c:v>-323820.50084000005</c:v>
                </c:pt>
                <c:pt idx="5999">
                  <c:v>-323578.69020499993</c:v>
                </c:pt>
                <c:pt idx="6000">
                  <c:v>-323337.0</c:v>
                </c:pt>
                <c:pt idx="6001">
                  <c:v>-323095.43019499996</c:v>
                </c:pt>
                <c:pt idx="6002">
                  <c:v>-322853.98075999995</c:v>
                </c:pt>
                <c:pt idx="6003">
                  <c:v>-322612.6516649999</c:v>
                </c:pt>
                <c:pt idx="6004">
                  <c:v>-322371.44288000005</c:v>
                </c:pt>
                <c:pt idx="6005">
                  <c:v>-322130.35437500005</c:v>
                </c:pt>
                <c:pt idx="6006">
                  <c:v>-321889.38612</c:v>
                </c:pt>
                <c:pt idx="6007">
                  <c:v>-321648.53808499995</c:v>
                </c:pt>
                <c:pt idx="6008">
                  <c:v>-321407.81024</c:v>
                </c:pt>
                <c:pt idx="6009">
                  <c:v>-321167.20255499985</c:v>
                </c:pt>
                <c:pt idx="6010">
                  <c:v>-320926.715</c:v>
                </c:pt>
                <c:pt idx="6011">
                  <c:v>-320686.347545</c:v>
                </c:pt>
                <c:pt idx="6012">
                  <c:v>-320446.1001600001</c:v>
                </c:pt>
                <c:pt idx="6013">
                  <c:v>-320205.9728149999</c:v>
                </c:pt>
                <c:pt idx="6014">
                  <c:v>-319965.96547999996</c:v>
                </c:pt>
                <c:pt idx="6015">
                  <c:v>-319726.078125</c:v>
                </c:pt>
                <c:pt idx="6016">
                  <c:v>-319486.3107200001</c:v>
                </c:pt>
                <c:pt idx="6017">
                  <c:v>-319246.6632349999</c:v>
                </c:pt>
                <c:pt idx="6018">
                  <c:v>-319007.13564000005</c:v>
                </c:pt>
                <c:pt idx="6019">
                  <c:v>-318767.727905</c:v>
                </c:pt>
                <c:pt idx="6020">
                  <c:v>-318528.44</c:v>
                </c:pt>
                <c:pt idx="6021">
                  <c:v>-318289.271895</c:v>
                </c:pt>
                <c:pt idx="6022">
                  <c:v>-318050.2235600001</c:v>
                </c:pt>
                <c:pt idx="6023">
                  <c:v>-317811.294965</c:v>
                </c:pt>
                <c:pt idx="6024">
                  <c:v>-317572.48607999994</c:v>
                </c:pt>
                <c:pt idx="6025">
                  <c:v>-317333.796875</c:v>
                </c:pt>
                <c:pt idx="6026">
                  <c:v>-317095.22732</c:v>
                </c:pt>
                <c:pt idx="6027">
                  <c:v>-316856.7773849999</c:v>
                </c:pt>
                <c:pt idx="6028">
                  <c:v>-316618.44703999994</c:v>
                </c:pt>
                <c:pt idx="6029">
                  <c:v>-316380.23625500005</c:v>
                </c:pt>
                <c:pt idx="6030">
                  <c:v>-316142.1450000001</c:v>
                </c:pt>
                <c:pt idx="6031">
                  <c:v>-315904.17324499995</c:v>
                </c:pt>
                <c:pt idx="6032">
                  <c:v>-315666.32096</c:v>
                </c:pt>
                <c:pt idx="6033">
                  <c:v>-315428.58811500005</c:v>
                </c:pt>
                <c:pt idx="6034">
                  <c:v>-315190.9746799999</c:v>
                </c:pt>
                <c:pt idx="6035">
                  <c:v>-314953.48062499997</c:v>
                </c:pt>
                <c:pt idx="6036">
                  <c:v>-314716.10592</c:v>
                </c:pt>
                <c:pt idx="6037">
                  <c:v>-314478.8505350001</c:v>
                </c:pt>
                <c:pt idx="6038">
                  <c:v>-314241.7144399999</c:v>
                </c:pt>
                <c:pt idx="6039">
                  <c:v>-314004.697605</c:v>
                </c:pt>
                <c:pt idx="6040">
                  <c:v>-313767.80000000005</c:v>
                </c:pt>
                <c:pt idx="6041">
                  <c:v>-313531.02159500006</c:v>
                </c:pt>
                <c:pt idx="6042">
                  <c:v>-313294.3623599999</c:v>
                </c:pt>
                <c:pt idx="6043">
                  <c:v>-313057.822265</c:v>
                </c:pt>
                <c:pt idx="6044">
                  <c:v>-312821.40128</c:v>
                </c:pt>
                <c:pt idx="6045">
                  <c:v>-312585.099375</c:v>
                </c:pt>
                <c:pt idx="6046">
                  <c:v>-312348.91651999997</c:v>
                </c:pt>
                <c:pt idx="6047">
                  <c:v>-312112.85268500005</c:v>
                </c:pt>
                <c:pt idx="6048">
                  <c:v>-311876.90784000006</c:v>
                </c:pt>
                <c:pt idx="6049">
                  <c:v>-311641.081955</c:v>
                </c:pt>
                <c:pt idx="6050">
                  <c:v>-311405.375</c:v>
                </c:pt>
                <c:pt idx="6051">
                  <c:v>-311169.786945</c:v>
                </c:pt>
                <c:pt idx="6052">
                  <c:v>-310934.31775999995</c:v>
                </c:pt>
                <c:pt idx="6053">
                  <c:v>-310698.9674149999</c:v>
                </c:pt>
                <c:pt idx="6054">
                  <c:v>-310463.73588000005</c:v>
                </c:pt>
                <c:pt idx="6055">
                  <c:v>-310228.62312500004</c:v>
                </c:pt>
                <c:pt idx="6056">
                  <c:v>-309993.62912</c:v>
                </c:pt>
                <c:pt idx="6057">
                  <c:v>-309758.753835</c:v>
                </c:pt>
                <c:pt idx="6058">
                  <c:v>-309523.99724000006</c:v>
                </c:pt>
                <c:pt idx="6059">
                  <c:v>-309289.3593049999</c:v>
                </c:pt>
                <c:pt idx="6060">
                  <c:v>-309054.83999999997</c:v>
                </c:pt>
                <c:pt idx="6061">
                  <c:v>-308820.439295</c:v>
                </c:pt>
                <c:pt idx="6062">
                  <c:v>-308586.15716000006</c:v>
                </c:pt>
                <c:pt idx="6063">
                  <c:v>-308351.99356499995</c:v>
                </c:pt>
                <c:pt idx="6064">
                  <c:v>-308117.94847999996</c:v>
                </c:pt>
                <c:pt idx="6065">
                  <c:v>-307884.021875</c:v>
                </c:pt>
                <c:pt idx="6066">
                  <c:v>-307650.2137200001</c:v>
                </c:pt>
                <c:pt idx="6067">
                  <c:v>-307416.523985</c:v>
                </c:pt>
                <c:pt idx="6068">
                  <c:v>-307182.95264</c:v>
                </c:pt>
                <c:pt idx="6069">
                  <c:v>-306949.49965500005</c:v>
                </c:pt>
                <c:pt idx="6070">
                  <c:v>-306716.1649999999</c:v>
                </c:pt>
                <c:pt idx="6071">
                  <c:v>-306482.948645</c:v>
                </c:pt>
                <c:pt idx="6072">
                  <c:v>-306249.85056000005</c:v>
                </c:pt>
                <c:pt idx="6073">
                  <c:v>-306016.8707150001</c:v>
                </c:pt>
                <c:pt idx="6074">
                  <c:v>-305784.00908</c:v>
                </c:pt>
                <c:pt idx="6075">
                  <c:v>-305551.265625</c:v>
                </c:pt>
                <c:pt idx="6076">
                  <c:v>-305318.64032</c:v>
                </c:pt>
                <c:pt idx="6077">
                  <c:v>-305086.13313499995</c:v>
                </c:pt>
                <c:pt idx="6078">
                  <c:v>-304853.74403999996</c:v>
                </c:pt>
                <c:pt idx="6079">
                  <c:v>-304621.47300500004</c:v>
                </c:pt>
                <c:pt idx="6080">
                  <c:v>-304389.32000000007</c:v>
                </c:pt>
                <c:pt idx="6081">
                  <c:v>-304157.284995</c:v>
                </c:pt>
                <c:pt idx="6082">
                  <c:v>-303925.36796</c:v>
                </c:pt>
                <c:pt idx="6083">
                  <c:v>-303693.56886500004</c:v>
                </c:pt>
                <c:pt idx="6084">
                  <c:v>-303461.88767999987</c:v>
                </c:pt>
                <c:pt idx="6085">
                  <c:v>-303230.324375</c:v>
                </c:pt>
                <c:pt idx="6086">
                  <c:v>-302998.87892000005</c:v>
                </c:pt>
                <c:pt idx="6087">
                  <c:v>-302767.55128500005</c:v>
                </c:pt>
                <c:pt idx="6088">
                  <c:v>-302536.34143999993</c:v>
                </c:pt>
                <c:pt idx="6089">
                  <c:v>-302305.24935500004</c:v>
                </c:pt>
                <c:pt idx="6090">
                  <c:v>-302074.275</c:v>
                </c:pt>
                <c:pt idx="6091">
                  <c:v>-301843.4183450001</c:v>
                </c:pt>
                <c:pt idx="6092">
                  <c:v>-301612.67935999995</c:v>
                </c:pt>
                <c:pt idx="6093">
                  <c:v>-301382.058015</c:v>
                </c:pt>
                <c:pt idx="6094">
                  <c:v>-301151.55428000004</c:v>
                </c:pt>
                <c:pt idx="6095">
                  <c:v>-300921.16812499997</c:v>
                </c:pt>
                <c:pt idx="6096">
                  <c:v>-300690.89952</c:v>
                </c:pt>
                <c:pt idx="6097">
                  <c:v>-300460.7484350001</c:v>
                </c:pt>
                <c:pt idx="6098">
                  <c:v>-300230.71484000003</c:v>
                </c:pt>
                <c:pt idx="6099">
                  <c:v>-300000.798705</c:v>
                </c:pt>
                <c:pt idx="6100">
                  <c:v>-299771.0</c:v>
                </c:pt>
                <c:pt idx="6101">
                  <c:v>-299541.318695</c:v>
                </c:pt>
                <c:pt idx="6102">
                  <c:v>-299311.7547599999</c:v>
                </c:pt>
                <c:pt idx="6103">
                  <c:v>-299082.30816499994</c:v>
                </c:pt>
                <c:pt idx="6104">
                  <c:v>-298852.97888</c:v>
                </c:pt>
                <c:pt idx="6105">
                  <c:v>-298623.76687500003</c:v>
                </c:pt>
                <c:pt idx="6106">
                  <c:v>-298394.67211999994</c:v>
                </c:pt>
                <c:pt idx="6107">
                  <c:v>-298165.694585</c:v>
                </c:pt>
                <c:pt idx="6108">
                  <c:v>-297936.83424000005</c:v>
                </c:pt>
                <c:pt idx="6109">
                  <c:v>-297708.0910549999</c:v>
                </c:pt>
                <c:pt idx="6110">
                  <c:v>-297479.46499999997</c:v>
                </c:pt>
                <c:pt idx="6111">
                  <c:v>-297250.956045</c:v>
                </c:pt>
                <c:pt idx="6112">
                  <c:v>-297022.56416000007</c:v>
                </c:pt>
                <c:pt idx="6113">
                  <c:v>-296794.28931499994</c:v>
                </c:pt>
                <c:pt idx="6114">
                  <c:v>-296566.13148</c:v>
                </c:pt>
                <c:pt idx="6115">
                  <c:v>-296338.09062500007</c:v>
                </c:pt>
                <c:pt idx="6116">
                  <c:v>-296110.1667200001</c:v>
                </c:pt>
                <c:pt idx="6117">
                  <c:v>-295882.35973499995</c:v>
                </c:pt>
                <c:pt idx="6118">
                  <c:v>-295654.66964000004</c:v>
                </c:pt>
                <c:pt idx="6119">
                  <c:v>-295427.096405</c:v>
                </c:pt>
                <c:pt idx="6120">
                  <c:v>-295199.63999999996</c:v>
                </c:pt>
                <c:pt idx="6121">
                  <c:v>-294972.30039499997</c:v>
                </c:pt>
                <c:pt idx="6122">
                  <c:v>-294745.07756</c:v>
                </c:pt>
                <c:pt idx="6123">
                  <c:v>-294517.97146500007</c:v>
                </c:pt>
                <c:pt idx="6124">
                  <c:v>-294290.98208</c:v>
                </c:pt>
                <c:pt idx="6125">
                  <c:v>-294064.109375</c:v>
                </c:pt>
                <c:pt idx="6126">
                  <c:v>-293837.35332000005</c:v>
                </c:pt>
                <c:pt idx="6127">
                  <c:v>-293610.7138849999</c:v>
                </c:pt>
                <c:pt idx="6128">
                  <c:v>-293384.19103999995</c:v>
                </c:pt>
                <c:pt idx="6129">
                  <c:v>-293157.78475500003</c:v>
                </c:pt>
                <c:pt idx="6130">
                  <c:v>-292931.49500000005</c:v>
                </c:pt>
                <c:pt idx="6131">
                  <c:v>-292705.32174499996</c:v>
                </c:pt>
                <c:pt idx="6132">
                  <c:v>-292479.26496</c:v>
                </c:pt>
                <c:pt idx="6133">
                  <c:v>-292253.32461500005</c:v>
                </c:pt>
                <c:pt idx="6134">
                  <c:v>-292027.50067999994</c:v>
                </c:pt>
                <c:pt idx="6135">
                  <c:v>-291801.793125</c:v>
                </c:pt>
                <c:pt idx="6136">
                  <c:v>-291576.20192</c:v>
                </c:pt>
                <c:pt idx="6137">
                  <c:v>-291350.72703500005</c:v>
                </c:pt>
                <c:pt idx="6138">
                  <c:v>-291125.36843999993</c:v>
                </c:pt>
                <c:pt idx="6139">
                  <c:v>-290900.126105</c:v>
                </c:pt>
                <c:pt idx="6140">
                  <c:v>-290675.0</c:v>
                </c:pt>
                <c:pt idx="6141">
                  <c:v>-290449.9900950001</c:v>
                </c:pt>
                <c:pt idx="6142">
                  <c:v>-290225.0963599999</c:v>
                </c:pt>
                <c:pt idx="6143">
                  <c:v>-290000.31876500003</c:v>
                </c:pt>
                <c:pt idx="6144">
                  <c:v>-289775.65728000004</c:v>
                </c:pt>
                <c:pt idx="6145">
                  <c:v>-289551.11187499994</c:v>
                </c:pt>
                <c:pt idx="6146">
                  <c:v>-289326.68252</c:v>
                </c:pt>
                <c:pt idx="6147">
                  <c:v>-289102.3691850001</c:v>
                </c:pt>
                <c:pt idx="6148">
                  <c:v>-288878.17184</c:v>
                </c:pt>
                <c:pt idx="6149">
                  <c:v>-288654.09045499994</c:v>
                </c:pt>
                <c:pt idx="6150">
                  <c:v>-288430.125</c:v>
                </c:pt>
                <c:pt idx="6151">
                  <c:v>-288206.275445</c:v>
                </c:pt>
                <c:pt idx="6152">
                  <c:v>-287982.54176</c:v>
                </c:pt>
                <c:pt idx="6153">
                  <c:v>-287758.9239149999</c:v>
                </c:pt>
                <c:pt idx="6154">
                  <c:v>-287535.42188000004</c:v>
                </c:pt>
                <c:pt idx="6155">
                  <c:v>-287312.035625</c:v>
                </c:pt>
                <c:pt idx="6156">
                  <c:v>-287088.76511999994</c:v>
                </c:pt>
                <c:pt idx="6157">
                  <c:v>-286865.6103349999</c:v>
                </c:pt>
                <c:pt idx="6158">
                  <c:v>-286642.5712400001</c:v>
                </c:pt>
                <c:pt idx="6159">
                  <c:v>-286419.6478049999</c:v>
                </c:pt>
                <c:pt idx="6160">
                  <c:v>-286196.83999999997</c:v>
                </c:pt>
                <c:pt idx="6161">
                  <c:v>-285974.147795</c:v>
                </c:pt>
                <c:pt idx="6162">
                  <c:v>-285751.57116000005</c:v>
                </c:pt>
                <c:pt idx="6163">
                  <c:v>-285529.11006499996</c:v>
                </c:pt>
                <c:pt idx="6164">
                  <c:v>-285306.76448</c:v>
                </c:pt>
                <c:pt idx="6165">
                  <c:v>-285084.53437500005</c:v>
                </c:pt>
                <c:pt idx="6166">
                  <c:v>-284862.41972000006</c:v>
                </c:pt>
                <c:pt idx="6167">
                  <c:v>-284640.420485</c:v>
                </c:pt>
                <c:pt idx="6168">
                  <c:v>-284418.53664000006</c:v>
                </c:pt>
                <c:pt idx="6169">
                  <c:v>-284196.76815500006</c:v>
                </c:pt>
                <c:pt idx="6170">
                  <c:v>-283975.115</c:v>
                </c:pt>
                <c:pt idx="6171">
                  <c:v>-283753.57714499993</c:v>
                </c:pt>
                <c:pt idx="6172">
                  <c:v>-283532.15456000005</c:v>
                </c:pt>
                <c:pt idx="6173">
                  <c:v>-283310.8472150001</c:v>
                </c:pt>
                <c:pt idx="6174">
                  <c:v>-283089.65508</c:v>
                </c:pt>
                <c:pt idx="6175">
                  <c:v>-282868.578125</c:v>
                </c:pt>
                <c:pt idx="6176">
                  <c:v>-282647.61632</c:v>
                </c:pt>
                <c:pt idx="6177">
                  <c:v>-282426.7696349999</c:v>
                </c:pt>
                <c:pt idx="6178">
                  <c:v>-282206.03803999996</c:v>
                </c:pt>
                <c:pt idx="6179">
                  <c:v>-281985.42150500003</c:v>
                </c:pt>
                <c:pt idx="6180">
                  <c:v>-281764.92000000004</c:v>
                </c:pt>
                <c:pt idx="6181">
                  <c:v>-281544.533495</c:v>
                </c:pt>
                <c:pt idx="6182">
                  <c:v>-281324.2619599999</c:v>
                </c:pt>
                <c:pt idx="6183">
                  <c:v>-281104.105365</c:v>
                </c:pt>
                <c:pt idx="6184">
                  <c:v>-280884.0636799999</c:v>
                </c:pt>
                <c:pt idx="6185">
                  <c:v>-280664.1368749999</c:v>
                </c:pt>
                <c:pt idx="6186">
                  <c:v>-280444.32492000004</c:v>
                </c:pt>
                <c:pt idx="6187">
                  <c:v>-280224.6277850001</c:v>
                </c:pt>
                <c:pt idx="6188">
                  <c:v>-280005.04543999996</c:v>
                </c:pt>
                <c:pt idx="6189">
                  <c:v>-279785.577855</c:v>
                </c:pt>
                <c:pt idx="6190">
                  <c:v>-279566.225</c:v>
                </c:pt>
                <c:pt idx="6191">
                  <c:v>-279346.9868450001</c:v>
                </c:pt>
                <c:pt idx="6192">
                  <c:v>-279127.86335999996</c:v>
                </c:pt>
                <c:pt idx="6193">
                  <c:v>-278908.8545150001</c:v>
                </c:pt>
                <c:pt idx="6194">
                  <c:v>-278689.96028</c:v>
                </c:pt>
                <c:pt idx="6195">
                  <c:v>-278471.1806249999</c:v>
                </c:pt>
                <c:pt idx="6196">
                  <c:v>-278252.51551999996</c:v>
                </c:pt>
                <c:pt idx="6197">
                  <c:v>-278033.9649350001</c:v>
                </c:pt>
                <c:pt idx="6198">
                  <c:v>-277815.5288400001</c:v>
                </c:pt>
                <c:pt idx="6199">
                  <c:v>-277597.207205</c:v>
                </c:pt>
                <c:pt idx="6200">
                  <c:v>-277379.0</c:v>
                </c:pt>
                <c:pt idx="6201">
                  <c:v>-277160.90719500004</c:v>
                </c:pt>
                <c:pt idx="6202">
                  <c:v>-276942.9287599999</c:v>
                </c:pt>
                <c:pt idx="6203">
                  <c:v>-276725.06466499995</c:v>
                </c:pt>
                <c:pt idx="6204">
                  <c:v>-276507.3148800001</c:v>
                </c:pt>
                <c:pt idx="6205">
                  <c:v>-276289.67937500007</c:v>
                </c:pt>
                <c:pt idx="6206">
                  <c:v>-276072.1581199999</c:v>
                </c:pt>
                <c:pt idx="6207">
                  <c:v>-275854.75108499994</c:v>
                </c:pt>
                <c:pt idx="6208">
                  <c:v>-275637.45824000007</c:v>
                </c:pt>
                <c:pt idx="6209">
                  <c:v>-275420.27955499996</c:v>
                </c:pt>
                <c:pt idx="6210">
                  <c:v>-275203.21499999997</c:v>
                </c:pt>
                <c:pt idx="6211">
                  <c:v>-274986.264545</c:v>
                </c:pt>
                <c:pt idx="6212">
                  <c:v>-274769.42816000007</c:v>
                </c:pt>
                <c:pt idx="6213">
                  <c:v>-274552.70581499994</c:v>
                </c:pt>
                <c:pt idx="6214">
                  <c:v>-274336.09748</c:v>
                </c:pt>
                <c:pt idx="6215">
                  <c:v>-274119.603125</c:v>
                </c:pt>
                <c:pt idx="6216">
                  <c:v>-273903.2227200001</c:v>
                </c:pt>
                <c:pt idx="6217">
                  <c:v>-273686.95623499993</c:v>
                </c:pt>
                <c:pt idx="6218">
                  <c:v>-273470.80364000006</c:v>
                </c:pt>
                <c:pt idx="6219">
                  <c:v>-273254.764905</c:v>
                </c:pt>
                <c:pt idx="6220">
                  <c:v>-273038.83999999997</c:v>
                </c:pt>
                <c:pt idx="6221">
                  <c:v>-272823.028895</c:v>
                </c:pt>
                <c:pt idx="6222">
                  <c:v>-272607.33156</c:v>
                </c:pt>
                <c:pt idx="6223">
                  <c:v>-272391.74796500005</c:v>
                </c:pt>
                <c:pt idx="6224">
                  <c:v>-272176.27808</c:v>
                </c:pt>
                <c:pt idx="6225">
                  <c:v>-271960.921875</c:v>
                </c:pt>
                <c:pt idx="6226">
                  <c:v>-271745.67932000005</c:v>
                </c:pt>
                <c:pt idx="6227">
                  <c:v>-271530.55038499995</c:v>
                </c:pt>
                <c:pt idx="6228">
                  <c:v>-271315.53503999993</c:v>
                </c:pt>
                <c:pt idx="6229">
                  <c:v>-271100.63325500005</c:v>
                </c:pt>
                <c:pt idx="6230">
                  <c:v>-270885.84500000003</c:v>
                </c:pt>
                <c:pt idx="6231">
                  <c:v>-270671.170245</c:v>
                </c:pt>
                <c:pt idx="6232">
                  <c:v>-270456.60896</c:v>
                </c:pt>
                <c:pt idx="6233">
                  <c:v>-270242.161115</c:v>
                </c:pt>
                <c:pt idx="6234">
                  <c:v>-270027.8266799999</c:v>
                </c:pt>
                <c:pt idx="6235">
                  <c:v>-269813.60562499997</c:v>
                </c:pt>
                <c:pt idx="6236">
                  <c:v>-269599.49792</c:v>
                </c:pt>
                <c:pt idx="6237">
                  <c:v>-269385.503535</c:v>
                </c:pt>
                <c:pt idx="6238">
                  <c:v>-269171.6224399999</c:v>
                </c:pt>
                <c:pt idx="6239">
                  <c:v>-268957.85460499994</c:v>
                </c:pt>
                <c:pt idx="6240">
                  <c:v>-268744.2</c:v>
                </c:pt>
                <c:pt idx="6241">
                  <c:v>-268530.6585950001</c:v>
                </c:pt>
                <c:pt idx="6242">
                  <c:v>-268317.23036</c:v>
                </c:pt>
                <c:pt idx="6243">
                  <c:v>-268103.915265</c:v>
                </c:pt>
                <c:pt idx="6244">
                  <c:v>-267890.71328</c:v>
                </c:pt>
                <c:pt idx="6245">
                  <c:v>-267677.624375</c:v>
                </c:pt>
                <c:pt idx="6246">
                  <c:v>-267464.64851999993</c:v>
                </c:pt>
                <c:pt idx="6247">
                  <c:v>-267251.78568500007</c:v>
                </c:pt>
                <c:pt idx="6248">
                  <c:v>-267039.03584</c:v>
                </c:pt>
                <c:pt idx="6249">
                  <c:v>-266826.398955</c:v>
                </c:pt>
                <c:pt idx="6250">
                  <c:v>-266613.875</c:v>
                </c:pt>
                <c:pt idx="6251">
                  <c:v>-266401.463945</c:v>
                </c:pt>
                <c:pt idx="6252">
                  <c:v>-266189.16575999995</c:v>
                </c:pt>
                <c:pt idx="6253">
                  <c:v>-265976.980415</c:v>
                </c:pt>
                <c:pt idx="6254">
                  <c:v>-265764.90788</c:v>
                </c:pt>
                <c:pt idx="6255">
                  <c:v>-265552.948125</c:v>
                </c:pt>
                <c:pt idx="6256">
                  <c:v>-265341.10111999995</c:v>
                </c:pt>
                <c:pt idx="6257">
                  <c:v>-265129.36683499994</c:v>
                </c:pt>
                <c:pt idx="6258">
                  <c:v>-264917.7452400001</c:v>
                </c:pt>
                <c:pt idx="6259">
                  <c:v>-264706.2363049999</c:v>
                </c:pt>
                <c:pt idx="6260">
                  <c:v>-264494.84</c:v>
                </c:pt>
                <c:pt idx="6261">
                  <c:v>-264283.556295</c:v>
                </c:pt>
                <c:pt idx="6262">
                  <c:v>-264072.3851600001</c:v>
                </c:pt>
                <c:pt idx="6263">
                  <c:v>-263861.3265649999</c:v>
                </c:pt>
                <c:pt idx="6264">
                  <c:v>-263650.38048</c:v>
                </c:pt>
                <c:pt idx="6265">
                  <c:v>-263439.546875</c:v>
                </c:pt>
                <c:pt idx="6266">
                  <c:v>-263228.8257200001</c:v>
                </c:pt>
                <c:pt idx="6267">
                  <c:v>-263018.21698499995</c:v>
                </c:pt>
                <c:pt idx="6268">
                  <c:v>-262807.72064</c:v>
                </c:pt>
                <c:pt idx="6269">
                  <c:v>-262597.33665500005</c:v>
                </c:pt>
                <c:pt idx="6270">
                  <c:v>-262387.065</c:v>
                </c:pt>
                <c:pt idx="6271">
                  <c:v>-262176.905645</c:v>
                </c:pt>
                <c:pt idx="6272">
                  <c:v>-261966.85856000002</c:v>
                </c:pt>
                <c:pt idx="6273">
                  <c:v>-261756.92371500004</c:v>
                </c:pt>
                <c:pt idx="6274">
                  <c:v>-261547.10107999996</c:v>
                </c:pt>
                <c:pt idx="6275">
                  <c:v>-261337.390625</c:v>
                </c:pt>
                <c:pt idx="6276">
                  <c:v>-261127.79232</c:v>
                </c:pt>
                <c:pt idx="6277">
                  <c:v>-260918.30613499993</c:v>
                </c:pt>
                <c:pt idx="6278">
                  <c:v>-260708.93203999999</c:v>
                </c:pt>
                <c:pt idx="6279">
                  <c:v>-260499.67000500002</c:v>
                </c:pt>
                <c:pt idx="6280">
                  <c:v>-260290.52000000005</c:v>
                </c:pt>
                <c:pt idx="6281">
                  <c:v>-260081.48199499995</c:v>
                </c:pt>
                <c:pt idx="6282">
                  <c:v>-259872.55596</c:v>
                </c:pt>
                <c:pt idx="6283">
                  <c:v>-259663.74186500008</c:v>
                </c:pt>
                <c:pt idx="6284">
                  <c:v>-259455.03967999993</c:v>
                </c:pt>
                <c:pt idx="6285">
                  <c:v>-259246.44937499997</c:v>
                </c:pt>
                <c:pt idx="6286">
                  <c:v>-259037.97092000002</c:v>
                </c:pt>
                <c:pt idx="6287">
                  <c:v>-258829.60428500007</c:v>
                </c:pt>
                <c:pt idx="6288">
                  <c:v>-258621.34943999993</c:v>
                </c:pt>
                <c:pt idx="6289">
                  <c:v>-258413.20635499997</c:v>
                </c:pt>
                <c:pt idx="6290">
                  <c:v>-258205.17500000005</c:v>
                </c:pt>
                <c:pt idx="6291">
                  <c:v>-257997.25534500004</c:v>
                </c:pt>
                <c:pt idx="6292">
                  <c:v>-257789.44735999993</c:v>
                </c:pt>
                <c:pt idx="6293">
                  <c:v>-257581.751015</c:v>
                </c:pt>
                <c:pt idx="6294">
                  <c:v>-257374.16628000003</c:v>
                </c:pt>
                <c:pt idx="6295">
                  <c:v>-257166.69312499993</c:v>
                </c:pt>
                <c:pt idx="6296">
                  <c:v>-256959.33151999995</c:v>
                </c:pt>
                <c:pt idx="6297">
                  <c:v>-256752.081435</c:v>
                </c:pt>
                <c:pt idx="6298">
                  <c:v>-256544.9428400001</c:v>
                </c:pt>
                <c:pt idx="6299">
                  <c:v>-256337.91570499993</c:v>
                </c:pt>
                <c:pt idx="6300">
                  <c:v>-256131.0</c:v>
                </c:pt>
                <c:pt idx="6301">
                  <c:v>-255924.19569500006</c:v>
                </c:pt>
                <c:pt idx="6302">
                  <c:v>-255717.50275999994</c:v>
                </c:pt>
                <c:pt idx="6303">
                  <c:v>-255510.92116499995</c:v>
                </c:pt>
                <c:pt idx="6304">
                  <c:v>-255304.45088000002</c:v>
                </c:pt>
                <c:pt idx="6305">
                  <c:v>-255098.0918750001</c:v>
                </c:pt>
                <c:pt idx="6306">
                  <c:v>-254891.84411999997</c:v>
                </c:pt>
                <c:pt idx="6307">
                  <c:v>-254685.70758500003</c:v>
                </c:pt>
                <c:pt idx="6308">
                  <c:v>-254479.68224000005</c:v>
                </c:pt>
                <c:pt idx="6309">
                  <c:v>-254273.76805499993</c:v>
                </c:pt>
                <c:pt idx="6310">
                  <c:v>-254067.96499999997</c:v>
                </c:pt>
                <c:pt idx="6311">
                  <c:v>-253862.273045</c:v>
                </c:pt>
                <c:pt idx="6312">
                  <c:v>-253656.69216000006</c:v>
                </c:pt>
                <c:pt idx="6313">
                  <c:v>-253451.2223149999</c:v>
                </c:pt>
                <c:pt idx="6314">
                  <c:v>-253245.86347999994</c:v>
                </c:pt>
                <c:pt idx="6315">
                  <c:v>-253040.61562500003</c:v>
                </c:pt>
                <c:pt idx="6316">
                  <c:v>-252835.47872000004</c:v>
                </c:pt>
                <c:pt idx="6317">
                  <c:v>-252630.45273499997</c:v>
                </c:pt>
                <c:pt idx="6318">
                  <c:v>-252425.53764</c:v>
                </c:pt>
                <c:pt idx="6319">
                  <c:v>-252220.73340500004</c:v>
                </c:pt>
                <c:pt idx="6320">
                  <c:v>-252016.03999999998</c:v>
                </c:pt>
                <c:pt idx="6321">
                  <c:v>-251811.45739499998</c:v>
                </c:pt>
                <c:pt idx="6322">
                  <c:v>-251606.98556000003</c:v>
                </c:pt>
                <c:pt idx="6323">
                  <c:v>-251402.62446500006</c:v>
                </c:pt>
                <c:pt idx="6324">
                  <c:v>-251198.37407999998</c:v>
                </c:pt>
                <c:pt idx="6325">
                  <c:v>-250994.234375</c:v>
                </c:pt>
                <c:pt idx="6326">
                  <c:v>-250790.20532000004</c:v>
                </c:pt>
                <c:pt idx="6327">
                  <c:v>-250586.28688499995</c:v>
                </c:pt>
                <c:pt idx="6328">
                  <c:v>-250382.47903999998</c:v>
                </c:pt>
                <c:pt idx="6329">
                  <c:v>-250178.78175500003</c:v>
                </c:pt>
                <c:pt idx="6330">
                  <c:v>-249975.19500000007</c:v>
                </c:pt>
                <c:pt idx="6331">
                  <c:v>-249771.71874499996</c:v>
                </c:pt>
                <c:pt idx="6332">
                  <c:v>-249568.35296</c:v>
                </c:pt>
                <c:pt idx="6333">
                  <c:v>-249365.09761500004</c:v>
                </c:pt>
                <c:pt idx="6334">
                  <c:v>-249161.95267999996</c:v>
                </c:pt>
                <c:pt idx="6335">
                  <c:v>-248958.91812499997</c:v>
                </c:pt>
                <c:pt idx="6336">
                  <c:v>-248755.99392</c:v>
                </c:pt>
                <c:pt idx="6337">
                  <c:v>-248553.18003500006</c:v>
                </c:pt>
                <c:pt idx="6338">
                  <c:v>-248350.47643999994</c:v>
                </c:pt>
                <c:pt idx="6339">
                  <c:v>-248147.883105</c:v>
                </c:pt>
                <c:pt idx="6340">
                  <c:v>-247945.40000000002</c:v>
                </c:pt>
                <c:pt idx="6341">
                  <c:v>-247743.02709500003</c:v>
                </c:pt>
                <c:pt idx="6342">
                  <c:v>-247540.76435999994</c:v>
                </c:pt>
                <c:pt idx="6343">
                  <c:v>-247338.611765</c:v>
                </c:pt>
                <c:pt idx="6344">
                  <c:v>-247136.56928000005</c:v>
                </c:pt>
                <c:pt idx="6345">
                  <c:v>-246934.6368749999</c:v>
                </c:pt>
                <c:pt idx="6346">
                  <c:v>-246732.81451999996</c:v>
                </c:pt>
                <c:pt idx="6347">
                  <c:v>-246531.10218500003</c:v>
                </c:pt>
                <c:pt idx="6348">
                  <c:v>-246329.49984000006</c:v>
                </c:pt>
                <c:pt idx="6349">
                  <c:v>-246128.00745499998</c:v>
                </c:pt>
                <c:pt idx="6350">
                  <c:v>-245926.625</c:v>
                </c:pt>
                <c:pt idx="6351">
                  <c:v>-245725.352445</c:v>
                </c:pt>
                <c:pt idx="6352">
                  <c:v>-245524.18975999992</c:v>
                </c:pt>
                <c:pt idx="6353">
                  <c:v>-245323.13691499998</c:v>
                </c:pt>
                <c:pt idx="6354">
                  <c:v>-245122.19388000004</c:v>
                </c:pt>
                <c:pt idx="6355">
                  <c:v>-244921.36062500006</c:v>
                </c:pt>
                <c:pt idx="6356">
                  <c:v>-244720.63712</c:v>
                </c:pt>
                <c:pt idx="6357">
                  <c:v>-244520.023335</c:v>
                </c:pt>
                <c:pt idx="6358">
                  <c:v>-244319.51924000005</c:v>
                </c:pt>
                <c:pt idx="6359">
                  <c:v>-244119.12480499994</c:v>
                </c:pt>
                <c:pt idx="6360">
                  <c:v>-243918.84</c:v>
                </c:pt>
                <c:pt idx="6361">
                  <c:v>-243718.66479500002</c:v>
                </c:pt>
                <c:pt idx="6362">
                  <c:v>-243518.5991600001</c:v>
                </c:pt>
                <c:pt idx="6363">
                  <c:v>-243318.64306499992</c:v>
                </c:pt>
                <c:pt idx="6364">
                  <c:v>-243118.79648</c:v>
                </c:pt>
                <c:pt idx="6365">
                  <c:v>-242919.059375</c:v>
                </c:pt>
                <c:pt idx="6366">
                  <c:v>-242719.43172000008</c:v>
                </c:pt>
                <c:pt idx="6367">
                  <c:v>-242519.91348499997</c:v>
                </c:pt>
                <c:pt idx="6368">
                  <c:v>-242320.50464</c:v>
                </c:pt>
                <c:pt idx="6369">
                  <c:v>-242121.20515500003</c:v>
                </c:pt>
                <c:pt idx="6370">
                  <c:v>-241922.01499999996</c:v>
                </c:pt>
                <c:pt idx="6371">
                  <c:v>-241722.93414499998</c:v>
                </c:pt>
                <c:pt idx="6372">
                  <c:v>-241523.96256</c:v>
                </c:pt>
                <c:pt idx="6373">
                  <c:v>-241325.10021500004</c:v>
                </c:pt>
                <c:pt idx="6374">
                  <c:v>-241126.34707999995</c:v>
                </c:pt>
                <c:pt idx="6375">
                  <c:v>-240927.703125</c:v>
                </c:pt>
                <c:pt idx="6376">
                  <c:v>-240729.16832000003</c:v>
                </c:pt>
                <c:pt idx="6377">
                  <c:v>-240530.74263499994</c:v>
                </c:pt>
                <c:pt idx="6378">
                  <c:v>-240332.42604</c:v>
                </c:pt>
                <c:pt idx="6379">
                  <c:v>-240134.21850500003</c:v>
                </c:pt>
                <c:pt idx="6380">
                  <c:v>-239936.12000000008</c:v>
                </c:pt>
                <c:pt idx="6381">
                  <c:v>-239738.13049499996</c:v>
                </c:pt>
                <c:pt idx="6382">
                  <c:v>-239540.24996</c:v>
                </c:pt>
                <c:pt idx="6383">
                  <c:v>-239342.47836500002</c:v>
                </c:pt>
                <c:pt idx="6384">
                  <c:v>-239144.81567999994</c:v>
                </c:pt>
                <c:pt idx="6385">
                  <c:v>-238947.261875</c:v>
                </c:pt>
                <c:pt idx="6386">
                  <c:v>-238749.81692</c:v>
                </c:pt>
                <c:pt idx="6387">
                  <c:v>-238552.48078500008</c:v>
                </c:pt>
                <c:pt idx="6388">
                  <c:v>-238355.25343999994</c:v>
                </c:pt>
                <c:pt idx="6389">
                  <c:v>-238158.13485499998</c:v>
                </c:pt>
                <c:pt idx="6390">
                  <c:v>-237961.12500000003</c:v>
                </c:pt>
                <c:pt idx="6391">
                  <c:v>-237764.22384500003</c:v>
                </c:pt>
                <c:pt idx="6392">
                  <c:v>-237567.43135999993</c:v>
                </c:pt>
                <c:pt idx="6393">
                  <c:v>-237370.747515</c:v>
                </c:pt>
                <c:pt idx="6394">
                  <c:v>-237174.17228000003</c:v>
                </c:pt>
                <c:pt idx="6395">
                  <c:v>-236977.70562499994</c:v>
                </c:pt>
                <c:pt idx="6396">
                  <c:v>-236781.34751999995</c:v>
                </c:pt>
                <c:pt idx="6397">
                  <c:v>-236585.09793500003</c:v>
                </c:pt>
                <c:pt idx="6398">
                  <c:v>-236388.9568400001</c:v>
                </c:pt>
                <c:pt idx="6399">
                  <c:v>-236192.924205</c:v>
                </c:pt>
                <c:pt idx="6400">
                  <c:v>-235997.0</c:v>
                </c:pt>
                <c:pt idx="6401">
                  <c:v>-235801.18419500004</c:v>
                </c:pt>
                <c:pt idx="6402">
                  <c:v>-235605.47675999996</c:v>
                </c:pt>
                <c:pt idx="6403">
                  <c:v>-235409.87766499998</c:v>
                </c:pt>
                <c:pt idx="6404">
                  <c:v>-235214.38688000003</c:v>
                </c:pt>
                <c:pt idx="6405">
                  <c:v>-235019.00437500005</c:v>
                </c:pt>
                <c:pt idx="6406">
                  <c:v>-234823.73012</c:v>
                </c:pt>
                <c:pt idx="6407">
                  <c:v>-234628.56408500002</c:v>
                </c:pt>
                <c:pt idx="6408">
                  <c:v>-234433.50624000008</c:v>
                </c:pt>
                <c:pt idx="6409">
                  <c:v>-234238.55655499993</c:v>
                </c:pt>
                <c:pt idx="6410">
                  <c:v>-234043.71499999997</c:v>
                </c:pt>
                <c:pt idx="6411">
                  <c:v>-233848.981545</c:v>
                </c:pt>
                <c:pt idx="6412">
                  <c:v>-233654.35616000005</c:v>
                </c:pt>
                <c:pt idx="6413">
                  <c:v>-233459.83881499994</c:v>
                </c:pt>
                <c:pt idx="6414">
                  <c:v>-233265.42948</c:v>
                </c:pt>
                <c:pt idx="6415">
                  <c:v>-233071.12812500002</c:v>
                </c:pt>
                <c:pt idx="6416">
                  <c:v>-232876.93472000005</c:v>
                </c:pt>
                <c:pt idx="6417">
                  <c:v>-232682.84923499994</c:v>
                </c:pt>
                <c:pt idx="6418">
                  <c:v>-232488.87164</c:v>
                </c:pt>
                <c:pt idx="6419">
                  <c:v>-232295.00190500004</c:v>
                </c:pt>
                <c:pt idx="6420">
                  <c:v>-232101.23999999996</c:v>
                </c:pt>
                <c:pt idx="6421">
                  <c:v>-231907.58589499997</c:v>
                </c:pt>
                <c:pt idx="6422">
                  <c:v>-231714.03956000003</c:v>
                </c:pt>
                <c:pt idx="6423">
                  <c:v>-231520.60096500008</c:v>
                </c:pt>
                <c:pt idx="6424">
                  <c:v>-231327.27007999996</c:v>
                </c:pt>
                <c:pt idx="6425">
                  <c:v>-231134.046875</c:v>
                </c:pt>
                <c:pt idx="6426">
                  <c:v>-230940.93132000003</c:v>
                </c:pt>
                <c:pt idx="6427">
                  <c:v>-230747.92338499991</c:v>
                </c:pt>
                <c:pt idx="6428">
                  <c:v>-230555.02303999997</c:v>
                </c:pt>
                <c:pt idx="6429">
                  <c:v>-230362.230255</c:v>
                </c:pt>
                <c:pt idx="6430">
                  <c:v>-230169.54500000007</c:v>
                </c:pt>
                <c:pt idx="6431">
                  <c:v>-229976.96724499998</c:v>
                </c:pt>
                <c:pt idx="6432">
                  <c:v>-229784.49696000002</c:v>
                </c:pt>
                <c:pt idx="6433">
                  <c:v>-229592.13411500005</c:v>
                </c:pt>
                <c:pt idx="6434">
                  <c:v>-229399.87867999994</c:v>
                </c:pt>
                <c:pt idx="6435">
                  <c:v>-229207.730625</c:v>
                </c:pt>
                <c:pt idx="6436">
                  <c:v>-229015.68992000003</c:v>
                </c:pt>
                <c:pt idx="6437">
                  <c:v>-228823.75653500005</c:v>
                </c:pt>
                <c:pt idx="6438">
                  <c:v>-228631.93043999997</c:v>
                </c:pt>
                <c:pt idx="6439">
                  <c:v>-228440.21160500002</c:v>
                </c:pt>
                <c:pt idx="6440">
                  <c:v>-228248.6</c:v>
                </c:pt>
                <c:pt idx="6441">
                  <c:v>-228057.09559500005</c:v>
                </c:pt>
                <c:pt idx="6442">
                  <c:v>-227865.69835999998</c:v>
                </c:pt>
                <c:pt idx="6443">
                  <c:v>-227674.408265</c:v>
                </c:pt>
                <c:pt idx="6444">
                  <c:v>-227483.22528000004</c:v>
                </c:pt>
                <c:pt idx="6445">
                  <c:v>-227292.14937499995</c:v>
                </c:pt>
                <c:pt idx="6446">
                  <c:v>-227101.18052</c:v>
                </c:pt>
                <c:pt idx="6447">
                  <c:v>-226910.31868500003</c:v>
                </c:pt>
                <c:pt idx="6448">
                  <c:v>-226719.56384000005</c:v>
                </c:pt>
                <c:pt idx="6449">
                  <c:v>-226528.91595499995</c:v>
                </c:pt>
                <c:pt idx="6450">
                  <c:v>-226338.375</c:v>
                </c:pt>
                <c:pt idx="6451">
                  <c:v>-226147.94094500004</c:v>
                </c:pt>
                <c:pt idx="6452">
                  <c:v>-225957.61375999995</c:v>
                </c:pt>
                <c:pt idx="6453">
                  <c:v>-225767.39341499997</c:v>
                </c:pt>
                <c:pt idx="6454">
                  <c:v>-225577.27988000002</c:v>
                </c:pt>
                <c:pt idx="6455">
                  <c:v>-225387.27312500007</c:v>
                </c:pt>
                <c:pt idx="6456">
                  <c:v>-225197.37311999997</c:v>
                </c:pt>
                <c:pt idx="6457">
                  <c:v>-225007.579835</c:v>
                </c:pt>
                <c:pt idx="6458">
                  <c:v>-224817.89324000003</c:v>
                </c:pt>
                <c:pt idx="6459">
                  <c:v>-224628.31330499993</c:v>
                </c:pt>
                <c:pt idx="6460">
                  <c:v>-224438.84</c:v>
                </c:pt>
                <c:pt idx="6461">
                  <c:v>-224249.473295</c:v>
                </c:pt>
                <c:pt idx="6462">
                  <c:v>-224060.21316000007</c:v>
                </c:pt>
                <c:pt idx="6463">
                  <c:v>-223871.05956499994</c:v>
                </c:pt>
                <c:pt idx="6464">
                  <c:v>-223682.01247999998</c:v>
                </c:pt>
                <c:pt idx="6465">
                  <c:v>-223493.071875</c:v>
                </c:pt>
                <c:pt idx="6466">
                  <c:v>-223304.23772000006</c:v>
                </c:pt>
                <c:pt idx="6467">
                  <c:v>-223115.50998499995</c:v>
                </c:pt>
                <c:pt idx="6468">
                  <c:v>-222926.88864</c:v>
                </c:pt>
                <c:pt idx="6469">
                  <c:v>-222738.37365500003</c:v>
                </c:pt>
                <c:pt idx="6470">
                  <c:v>-222549.96499999994</c:v>
                </c:pt>
                <c:pt idx="6471">
                  <c:v>-222361.66264499997</c:v>
                </c:pt>
                <c:pt idx="6472">
                  <c:v>-222173.46656000003</c:v>
                </c:pt>
                <c:pt idx="6473">
                  <c:v>-221985.37671500002</c:v>
                </c:pt>
                <c:pt idx="6474">
                  <c:v>-221797.39307999995</c:v>
                </c:pt>
                <c:pt idx="6475">
                  <c:v>-221609.515625</c:v>
                </c:pt>
                <c:pt idx="6476">
                  <c:v>-221421.74432000003</c:v>
                </c:pt>
                <c:pt idx="6477">
                  <c:v>-221234.07913499998</c:v>
                </c:pt>
                <c:pt idx="6478">
                  <c:v>-221046.52003999997</c:v>
                </c:pt>
                <c:pt idx="6479">
                  <c:v>-220859.06700500002</c:v>
                </c:pt>
                <c:pt idx="6480">
                  <c:v>-220671.72000000006</c:v>
                </c:pt>
                <c:pt idx="6481">
                  <c:v>-220484.47899499995</c:v>
                </c:pt>
                <c:pt idx="6482">
                  <c:v>-220297.34396</c:v>
                </c:pt>
                <c:pt idx="6483">
                  <c:v>-220110.31486500002</c:v>
                </c:pt>
                <c:pt idx="6484">
                  <c:v>-219923.39167999994</c:v>
                </c:pt>
                <c:pt idx="6485">
                  <c:v>-219736.574375</c:v>
                </c:pt>
                <c:pt idx="6486">
                  <c:v>-219549.86292000004</c:v>
                </c:pt>
                <c:pt idx="6487">
                  <c:v>-219363.25728500006</c:v>
                </c:pt>
                <c:pt idx="6488">
                  <c:v>-219176.75743999993</c:v>
                </c:pt>
                <c:pt idx="6489">
                  <c:v>-218990.36335499998</c:v>
                </c:pt>
                <c:pt idx="6490">
                  <c:v>-218804.075</c:v>
                </c:pt>
                <c:pt idx="6491">
                  <c:v>-218617.89234500006</c:v>
                </c:pt>
                <c:pt idx="6492">
                  <c:v>-218431.81535999995</c:v>
                </c:pt>
                <c:pt idx="6493">
                  <c:v>-218245.844015</c:v>
                </c:pt>
                <c:pt idx="6494">
                  <c:v>-218059.97828000004</c:v>
                </c:pt>
                <c:pt idx="6495">
                  <c:v>-217874.21812499993</c:v>
                </c:pt>
                <c:pt idx="6496">
                  <c:v>-217688.56352</c:v>
                </c:pt>
                <c:pt idx="6497">
                  <c:v>-217503.01443500002</c:v>
                </c:pt>
                <c:pt idx="6498">
                  <c:v>-217317.57084000006</c:v>
                </c:pt>
                <c:pt idx="6499">
                  <c:v>-217132.23270499994</c:v>
                </c:pt>
                <c:pt idx="6500">
                  <c:v>-216947.0</c:v>
                </c:pt>
                <c:pt idx="6501">
                  <c:v>-216761.87269500006</c:v>
                </c:pt>
                <c:pt idx="6502">
                  <c:v>-216576.85075999994</c:v>
                </c:pt>
                <c:pt idx="6503">
                  <c:v>-216391.93416499998</c:v>
                </c:pt>
                <c:pt idx="6504">
                  <c:v>-216207.12288000004</c:v>
                </c:pt>
                <c:pt idx="6505">
                  <c:v>-216022.41687500008</c:v>
                </c:pt>
                <c:pt idx="6506">
                  <c:v>-215837.81611999994</c:v>
                </c:pt>
                <c:pt idx="6507">
                  <c:v>-215653.320585</c:v>
                </c:pt>
                <c:pt idx="6508">
                  <c:v>-215468.93024000007</c:v>
                </c:pt>
                <c:pt idx="6509">
                  <c:v>-215284.64505499994</c:v>
                </c:pt>
                <c:pt idx="6510">
                  <c:v>-215100.46499999997</c:v>
                </c:pt>
                <c:pt idx="6511">
                  <c:v>-214916.390045</c:v>
                </c:pt>
                <c:pt idx="6512">
                  <c:v>-214732.42016000007</c:v>
                </c:pt>
                <c:pt idx="6513">
                  <c:v>-214548.55531499992</c:v>
                </c:pt>
                <c:pt idx="6514">
                  <c:v>-214364.79547999997</c:v>
                </c:pt>
                <c:pt idx="6515">
                  <c:v>-214181.14062500003</c:v>
                </c:pt>
                <c:pt idx="6516">
                  <c:v>-213997.59072000004</c:v>
                </c:pt>
                <c:pt idx="6517">
                  <c:v>-213814.14573499997</c:v>
                </c:pt>
                <c:pt idx="6518">
                  <c:v>-213630.80564</c:v>
                </c:pt>
                <c:pt idx="6519">
                  <c:v>-213447.57040500003</c:v>
                </c:pt>
                <c:pt idx="6520">
                  <c:v>-213264.43999999992</c:v>
                </c:pt>
                <c:pt idx="6521">
                  <c:v>-213081.414395</c:v>
                </c:pt>
                <c:pt idx="6522">
                  <c:v>-212898.49356000003</c:v>
                </c:pt>
                <c:pt idx="6523">
                  <c:v>-212715.67746500007</c:v>
                </c:pt>
                <c:pt idx="6524">
                  <c:v>-212532.96607999995</c:v>
                </c:pt>
                <c:pt idx="6525">
                  <c:v>-212350.359375</c:v>
                </c:pt>
                <c:pt idx="6526">
                  <c:v>-212167.85732000004</c:v>
                </c:pt>
                <c:pt idx="6527">
                  <c:v>-211985.45988499996</c:v>
                </c:pt>
                <c:pt idx="6528">
                  <c:v>-211803.16703999994</c:v>
                </c:pt>
                <c:pt idx="6529">
                  <c:v>-211620.97875500005</c:v>
                </c:pt>
                <c:pt idx="6530">
                  <c:v>-211438.89500000005</c:v>
                </c:pt>
                <c:pt idx="6531">
                  <c:v>-211256.91574499995</c:v>
                </c:pt>
                <c:pt idx="6532">
                  <c:v>-211075.04095999998</c:v>
                </c:pt>
                <c:pt idx="6533">
                  <c:v>-210893.27061500007</c:v>
                </c:pt>
                <c:pt idx="6534">
                  <c:v>-210711.60467999996</c:v>
                </c:pt>
                <c:pt idx="6535">
                  <c:v>-210530.043125</c:v>
                </c:pt>
                <c:pt idx="6536">
                  <c:v>-210348.58592</c:v>
                </c:pt>
                <c:pt idx="6537">
                  <c:v>-210167.23303500007</c:v>
                </c:pt>
                <c:pt idx="6538">
                  <c:v>-209985.98443999994</c:v>
                </c:pt>
                <c:pt idx="6539">
                  <c:v>-209804.84010499998</c:v>
                </c:pt>
                <c:pt idx="6540">
                  <c:v>-209623.80000000002</c:v>
                </c:pt>
                <c:pt idx="6541">
                  <c:v>-209442.86409500006</c:v>
                </c:pt>
                <c:pt idx="6542">
                  <c:v>-209262.03235999998</c:v>
                </c:pt>
                <c:pt idx="6543">
                  <c:v>-209081.304765</c:v>
                </c:pt>
                <c:pt idx="6544">
                  <c:v>-208900.68128000002</c:v>
                </c:pt>
                <c:pt idx="6545">
                  <c:v>-208720.16187499993</c:v>
                </c:pt>
                <c:pt idx="6546">
                  <c:v>-208539.74651999996</c:v>
                </c:pt>
                <c:pt idx="6547">
                  <c:v>-208359.43518500004</c:v>
                </c:pt>
                <c:pt idx="6548">
                  <c:v>-208179.22784000007</c:v>
                </c:pt>
                <c:pt idx="6549">
                  <c:v>-207999.12445499995</c:v>
                </c:pt>
                <c:pt idx="6550">
                  <c:v>-207819.125</c:v>
                </c:pt>
                <c:pt idx="6551">
                  <c:v>-207639.22944500003</c:v>
                </c:pt>
                <c:pt idx="6552">
                  <c:v>-207459.43775999997</c:v>
                </c:pt>
                <c:pt idx="6553">
                  <c:v>-207279.749915</c:v>
                </c:pt>
                <c:pt idx="6554">
                  <c:v>-207100.16588000002</c:v>
                </c:pt>
                <c:pt idx="6555">
                  <c:v>-206920.68562500007</c:v>
                </c:pt>
                <c:pt idx="6556">
                  <c:v>-206741.30911999996</c:v>
                </c:pt>
                <c:pt idx="6557">
                  <c:v>-206562.036335</c:v>
                </c:pt>
                <c:pt idx="6558">
                  <c:v>-206382.86724000002</c:v>
                </c:pt>
                <c:pt idx="6559">
                  <c:v>-206203.80180499997</c:v>
                </c:pt>
                <c:pt idx="6560">
                  <c:v>-206024.84</c:v>
                </c:pt>
                <c:pt idx="6561">
                  <c:v>-205845.981795</c:v>
                </c:pt>
                <c:pt idx="6562">
                  <c:v>-205667.22716000007</c:v>
                </c:pt>
                <c:pt idx="6563">
                  <c:v>-205488.57606499994</c:v>
                </c:pt>
                <c:pt idx="6564">
                  <c:v>-205310.02847999998</c:v>
                </c:pt>
                <c:pt idx="6565">
                  <c:v>-205131.584375</c:v>
                </c:pt>
                <c:pt idx="6566">
                  <c:v>-204953.24372000006</c:v>
                </c:pt>
                <c:pt idx="6567">
                  <c:v>-204775.00648499996</c:v>
                </c:pt>
                <c:pt idx="6568">
                  <c:v>-204596.87264000002</c:v>
                </c:pt>
                <c:pt idx="6569">
                  <c:v>-204418.84215500002</c:v>
                </c:pt>
                <c:pt idx="6570">
                  <c:v>-204240.91499999995</c:v>
                </c:pt>
                <c:pt idx="6571">
                  <c:v>-204063.09114499995</c:v>
                </c:pt>
                <c:pt idx="6572">
                  <c:v>-203885.37056000004</c:v>
                </c:pt>
                <c:pt idx="6573">
                  <c:v>-203707.75321500006</c:v>
                </c:pt>
                <c:pt idx="6574">
                  <c:v>-203530.23907999994</c:v>
                </c:pt>
                <c:pt idx="6575">
                  <c:v>-203352.828125</c:v>
                </c:pt>
                <c:pt idx="6576">
                  <c:v>-203175.52032000004</c:v>
                </c:pt>
                <c:pt idx="6577">
                  <c:v>-202998.31563499995</c:v>
                </c:pt>
                <c:pt idx="6578">
                  <c:v>-202821.21404</c:v>
                </c:pt>
                <c:pt idx="6579">
                  <c:v>-202644.215505</c:v>
                </c:pt>
                <c:pt idx="6580">
                  <c:v>-202467.32000000007</c:v>
                </c:pt>
                <c:pt idx="6581">
                  <c:v>-202290.52749499996</c:v>
                </c:pt>
                <c:pt idx="6582">
                  <c:v>-202113.83796</c:v>
                </c:pt>
                <c:pt idx="6583">
                  <c:v>-201937.25136500003</c:v>
                </c:pt>
                <c:pt idx="6584">
                  <c:v>-201760.76767999993</c:v>
                </c:pt>
                <c:pt idx="6585">
                  <c:v>-201584.386875</c:v>
                </c:pt>
                <c:pt idx="6586">
                  <c:v>-201408.10892000003</c:v>
                </c:pt>
                <c:pt idx="6587">
                  <c:v>-201231.9337850001</c:v>
                </c:pt>
                <c:pt idx="6588">
                  <c:v>-201055.86143999998</c:v>
                </c:pt>
                <c:pt idx="6589">
                  <c:v>-200879.891855</c:v>
                </c:pt>
                <c:pt idx="6590">
                  <c:v>-200704.025</c:v>
                </c:pt>
                <c:pt idx="6591">
                  <c:v>-200528.26084500007</c:v>
                </c:pt>
                <c:pt idx="6592">
                  <c:v>-200352.59935999996</c:v>
                </c:pt>
                <c:pt idx="6593">
                  <c:v>-200177.04051499997</c:v>
                </c:pt>
                <c:pt idx="6594">
                  <c:v>-200001.58428000004</c:v>
                </c:pt>
                <c:pt idx="6595">
                  <c:v>-199826.23062499994</c:v>
                </c:pt>
                <c:pt idx="6596">
                  <c:v>-199650.97952</c:v>
                </c:pt>
                <c:pt idx="6597">
                  <c:v>-199475.830935</c:v>
                </c:pt>
                <c:pt idx="6598">
                  <c:v>-199300.78484000007</c:v>
                </c:pt>
                <c:pt idx="6599">
                  <c:v>-199125.84120499995</c:v>
                </c:pt>
                <c:pt idx="6600">
                  <c:v>-198951.0</c:v>
                </c:pt>
                <c:pt idx="6601">
                  <c:v>-198776.26119500003</c:v>
                </c:pt>
                <c:pt idx="6602">
                  <c:v>-198601.62475999998</c:v>
                </c:pt>
                <c:pt idx="6603">
                  <c:v>-198427.090665</c:v>
                </c:pt>
                <c:pt idx="6604">
                  <c:v>-198252.65888000003</c:v>
                </c:pt>
                <c:pt idx="6605">
                  <c:v>-198078.32937500006</c:v>
                </c:pt>
                <c:pt idx="6606">
                  <c:v>-197904.10211999997</c:v>
                </c:pt>
                <c:pt idx="6607">
                  <c:v>-197729.977085</c:v>
                </c:pt>
                <c:pt idx="6608">
                  <c:v>-197555.95424000002</c:v>
                </c:pt>
                <c:pt idx="6609">
                  <c:v>-197382.03355499994</c:v>
                </c:pt>
                <c:pt idx="6610">
                  <c:v>-197208.215</c:v>
                </c:pt>
                <c:pt idx="6611">
                  <c:v>-197034.49854500004</c:v>
                </c:pt>
                <c:pt idx="6612">
                  <c:v>-196860.88416000005</c:v>
                </c:pt>
                <c:pt idx="6613">
                  <c:v>-196687.37181499996</c:v>
                </c:pt>
                <c:pt idx="6614">
                  <c:v>-196513.96147999997</c:v>
                </c:pt>
                <c:pt idx="6615">
                  <c:v>-196340.653125</c:v>
                </c:pt>
                <c:pt idx="6616">
                  <c:v>-196167.44672000007</c:v>
                </c:pt>
                <c:pt idx="6617">
                  <c:v>-195994.34223499993</c:v>
                </c:pt>
                <c:pt idx="6618">
                  <c:v>-195821.33964</c:v>
                </c:pt>
                <c:pt idx="6619">
                  <c:v>-195648.43890500005</c:v>
                </c:pt>
                <c:pt idx="6620">
                  <c:v>-195475.63999999993</c:v>
                </c:pt>
                <c:pt idx="6621">
                  <c:v>-195302.942895</c:v>
                </c:pt>
                <c:pt idx="6622">
                  <c:v>-195130.34756</c:v>
                </c:pt>
                <c:pt idx="6623">
                  <c:v>-194957.85396500005</c:v>
                </c:pt>
                <c:pt idx="6624">
                  <c:v>-194785.46207999994</c:v>
                </c:pt>
                <c:pt idx="6625">
                  <c:v>-194613.171875</c:v>
                </c:pt>
                <c:pt idx="6626">
                  <c:v>-194440.98332000006</c:v>
                </c:pt>
                <c:pt idx="6627">
                  <c:v>-194268.89638499997</c:v>
                </c:pt>
                <c:pt idx="6628">
                  <c:v>-194096.91104</c:v>
                </c:pt>
                <c:pt idx="6629">
                  <c:v>-193925.02725500002</c:v>
                </c:pt>
                <c:pt idx="6630">
                  <c:v>-193753.24500000008</c:v>
                </c:pt>
                <c:pt idx="6631">
                  <c:v>-193581.564245</c:v>
                </c:pt>
                <c:pt idx="6632">
                  <c:v>-193409.98496</c:v>
                </c:pt>
                <c:pt idx="6633">
                  <c:v>-193238.50711500001</c:v>
                </c:pt>
                <c:pt idx="6634">
                  <c:v>-193067.13067999997</c:v>
                </c:pt>
                <c:pt idx="6635">
                  <c:v>-192895.85562499997</c:v>
                </c:pt>
                <c:pt idx="6636">
                  <c:v>-192724.68192000003</c:v>
                </c:pt>
                <c:pt idx="6637">
                  <c:v>-192553.60953500005</c:v>
                </c:pt>
                <c:pt idx="6638">
                  <c:v>-192382.63843999995</c:v>
                </c:pt>
                <c:pt idx="6639">
                  <c:v>-192211.768605</c:v>
                </c:pt>
                <c:pt idx="6640">
                  <c:v>-192041.00000000003</c:v>
                </c:pt>
                <c:pt idx="6641">
                  <c:v>-191870.33259500007</c:v>
                </c:pt>
                <c:pt idx="6642">
                  <c:v>-191699.76635999995</c:v>
                </c:pt>
                <c:pt idx="6643">
                  <c:v>-191529.301265</c:v>
                </c:pt>
                <c:pt idx="6644">
                  <c:v>-191358.93728000004</c:v>
                </c:pt>
                <c:pt idx="6645">
                  <c:v>-191188.67437499994</c:v>
                </c:pt>
                <c:pt idx="6646">
                  <c:v>-191018.51251999996</c:v>
                </c:pt>
                <c:pt idx="6647">
                  <c:v>-190848.45168499998</c:v>
                </c:pt>
                <c:pt idx="6648">
                  <c:v>-190678.49184000006</c:v>
                </c:pt>
                <c:pt idx="6649">
                  <c:v>-190508.63295499998</c:v>
                </c:pt>
                <c:pt idx="6650">
                  <c:v>-190338.875</c:v>
                </c:pt>
                <c:pt idx="6651">
                  <c:v>-190169.21794500004</c:v>
                </c:pt>
                <c:pt idx="6652">
                  <c:v>-189999.66175999993</c:v>
                </c:pt>
                <c:pt idx="6653">
                  <c:v>-189830.206415</c:v>
                </c:pt>
                <c:pt idx="6654">
                  <c:v>-189660.85188</c:v>
                </c:pt>
                <c:pt idx="6655">
                  <c:v>-189491.59812500005</c:v>
                </c:pt>
                <c:pt idx="6656">
                  <c:v>-189322.44512</c:v>
                </c:pt>
                <c:pt idx="6657">
                  <c:v>-189153.39283499998</c:v>
                </c:pt>
                <c:pt idx="6658">
                  <c:v>-188984.44124000001</c:v>
                </c:pt>
                <c:pt idx="6659">
                  <c:v>-188815.59030499993</c:v>
                </c:pt>
                <c:pt idx="6660">
                  <c:v>-188646.84</c:v>
                </c:pt>
                <c:pt idx="6661">
                  <c:v>-188478.19029500004</c:v>
                </c:pt>
                <c:pt idx="6662">
                  <c:v>-188309.6411600001</c:v>
                </c:pt>
                <c:pt idx="6663">
                  <c:v>-188141.19256499992</c:v>
                </c:pt>
                <c:pt idx="6664">
                  <c:v>-187972.84447999997</c:v>
                </c:pt>
                <c:pt idx="6665">
                  <c:v>-187804.59687500002</c:v>
                </c:pt>
                <c:pt idx="6666">
                  <c:v>-187636.44972000006</c:v>
                </c:pt>
                <c:pt idx="6667">
                  <c:v>-187468.40298499996</c:v>
                </c:pt>
                <c:pt idx="6668">
                  <c:v>-187300.45664</c:v>
                </c:pt>
                <c:pt idx="6669">
                  <c:v>-187132.61065500005</c:v>
                </c:pt>
                <c:pt idx="6670">
                  <c:v>-186964.86499999993</c:v>
                </c:pt>
                <c:pt idx="6671">
                  <c:v>-186797.21964499998</c:v>
                </c:pt>
                <c:pt idx="6672">
                  <c:v>-186629.67456</c:v>
                </c:pt>
                <c:pt idx="6673">
                  <c:v>-186462.22971500008</c:v>
                </c:pt>
                <c:pt idx="6674">
                  <c:v>-186294.88507999998</c:v>
                </c:pt>
                <c:pt idx="6675">
                  <c:v>-186127.640625</c:v>
                </c:pt>
                <c:pt idx="6676">
                  <c:v>-185960.49632</c:v>
                </c:pt>
                <c:pt idx="6677">
                  <c:v>-185793.45213499994</c:v>
                </c:pt>
                <c:pt idx="6678">
                  <c:v>-185626.50804</c:v>
                </c:pt>
                <c:pt idx="6679">
                  <c:v>-185459.66400500003</c:v>
                </c:pt>
                <c:pt idx="6680">
                  <c:v>-185292.92000000007</c:v>
                </c:pt>
                <c:pt idx="6681">
                  <c:v>-185126.27599499997</c:v>
                </c:pt>
                <c:pt idx="6682">
                  <c:v>-184959.73196000003</c:v>
                </c:pt>
                <c:pt idx="6683">
                  <c:v>-184793.28786500005</c:v>
                </c:pt>
                <c:pt idx="6684">
                  <c:v>-184626.94367999997</c:v>
                </c:pt>
                <c:pt idx="6685">
                  <c:v>-184460.699375</c:v>
                </c:pt>
                <c:pt idx="6686">
                  <c:v>-184294.55492000002</c:v>
                </c:pt>
                <c:pt idx="6687">
                  <c:v>-184128.51028500005</c:v>
                </c:pt>
                <c:pt idx="6688">
                  <c:v>-183962.56543999995</c:v>
                </c:pt>
                <c:pt idx="6689">
                  <c:v>-183796.720355</c:v>
                </c:pt>
                <c:pt idx="6690">
                  <c:v>-183630.975</c:v>
                </c:pt>
                <c:pt idx="6691">
                  <c:v>-183465.32934500003</c:v>
                </c:pt>
                <c:pt idx="6692">
                  <c:v>-183299.78335999994</c:v>
                </c:pt>
                <c:pt idx="6693">
                  <c:v>-183134.33701499997</c:v>
                </c:pt>
                <c:pt idx="6694">
                  <c:v>-182968.99028000006</c:v>
                </c:pt>
                <c:pt idx="6695">
                  <c:v>-182803.74312499995</c:v>
                </c:pt>
                <c:pt idx="6696">
                  <c:v>-182638.59552</c:v>
                </c:pt>
                <c:pt idx="6697">
                  <c:v>-182473.547435</c:v>
                </c:pt>
                <c:pt idx="6698">
                  <c:v>-182308.59884000005</c:v>
                </c:pt>
                <c:pt idx="6699">
                  <c:v>-182143.74970499997</c:v>
                </c:pt>
                <c:pt idx="6700">
                  <c:v>-181979.0</c:v>
                </c:pt>
                <c:pt idx="6701">
                  <c:v>-181814.34969500004</c:v>
                </c:pt>
                <c:pt idx="6702">
                  <c:v>-181649.79875999995</c:v>
                </c:pt>
                <c:pt idx="6703">
                  <c:v>-181485.34716499998</c:v>
                </c:pt>
                <c:pt idx="6704">
                  <c:v>-181320.99488</c:v>
                </c:pt>
                <c:pt idx="6705">
                  <c:v>-181156.74187500004</c:v>
                </c:pt>
                <c:pt idx="6706">
                  <c:v>-180992.58811999997</c:v>
                </c:pt>
                <c:pt idx="6707">
                  <c:v>-180828.533585</c:v>
                </c:pt>
                <c:pt idx="6708">
                  <c:v>-180664.57824000006</c:v>
                </c:pt>
                <c:pt idx="6709">
                  <c:v>-180500.72205499993</c:v>
                </c:pt>
                <c:pt idx="6710">
                  <c:v>-180336.965</c:v>
                </c:pt>
                <c:pt idx="6711">
                  <c:v>-180173.30704500002</c:v>
                </c:pt>
                <c:pt idx="6712">
                  <c:v>-180009.74816000005</c:v>
                </c:pt>
                <c:pt idx="6713">
                  <c:v>-179846.28831499995</c:v>
                </c:pt>
                <c:pt idx="6714">
                  <c:v>-179682.92747999995</c:v>
                </c:pt>
                <c:pt idx="6715">
                  <c:v>-179519.66562500002</c:v>
                </c:pt>
                <c:pt idx="6716">
                  <c:v>-179356.50272000005</c:v>
                </c:pt>
                <c:pt idx="6717">
                  <c:v>-179193.43873499995</c:v>
                </c:pt>
                <c:pt idx="6718">
                  <c:v>-179030.47364</c:v>
                </c:pt>
                <c:pt idx="6719">
                  <c:v>-178867.60740500005</c:v>
                </c:pt>
                <c:pt idx="6720">
                  <c:v>-178704.83999999994</c:v>
                </c:pt>
                <c:pt idx="6721">
                  <c:v>-178542.17139499998</c:v>
                </c:pt>
                <c:pt idx="6722">
                  <c:v>-178379.60156</c:v>
                </c:pt>
                <c:pt idx="6723">
                  <c:v>-178217.13046500005</c:v>
                </c:pt>
                <c:pt idx="6724">
                  <c:v>-178054.75807999997</c:v>
                </c:pt>
                <c:pt idx="6725">
                  <c:v>-177892.484375</c:v>
                </c:pt>
                <c:pt idx="6726">
                  <c:v>-177730.30932000003</c:v>
                </c:pt>
                <c:pt idx="6727">
                  <c:v>-177568.23288499998</c:v>
                </c:pt>
                <c:pt idx="6728">
                  <c:v>-177406.25503999996</c:v>
                </c:pt>
                <c:pt idx="6729">
                  <c:v>-177244.37575500002</c:v>
                </c:pt>
                <c:pt idx="6730">
                  <c:v>-177082.59500000003</c:v>
                </c:pt>
                <c:pt idx="6731">
                  <c:v>-176920.91274499998</c:v>
                </c:pt>
                <c:pt idx="6732">
                  <c:v>-176759.32896</c:v>
                </c:pt>
                <c:pt idx="6733">
                  <c:v>-176597.84361500002</c:v>
                </c:pt>
                <c:pt idx="6734">
                  <c:v>-176436.45667999994</c:v>
                </c:pt>
                <c:pt idx="6735">
                  <c:v>-176275.16812500003</c:v>
                </c:pt>
                <c:pt idx="6736">
                  <c:v>-176113.97792000006</c:v>
                </c:pt>
                <c:pt idx="6737">
                  <c:v>-175952.88603500003</c:v>
                </c:pt>
                <c:pt idx="6738">
                  <c:v>-175791.89243999994</c:v>
                </c:pt>
                <c:pt idx="6739">
                  <c:v>-175630.99710499996</c:v>
                </c:pt>
                <c:pt idx="6740">
                  <c:v>-175470.19999999998</c:v>
                </c:pt>
                <c:pt idx="6741">
                  <c:v>-175309.50109500004</c:v>
                </c:pt>
                <c:pt idx="6742">
                  <c:v>-175148.90035999997</c:v>
                </c:pt>
                <c:pt idx="6743">
                  <c:v>-174988.397765</c:v>
                </c:pt>
                <c:pt idx="6744">
                  <c:v>-174827.99328000005</c:v>
                </c:pt>
                <c:pt idx="6745">
                  <c:v>-174667.68687499996</c:v>
                </c:pt>
                <c:pt idx="6746">
                  <c:v>-174507.47851999995</c:v>
                </c:pt>
                <c:pt idx="6747">
                  <c:v>-174347.368185</c:v>
                </c:pt>
                <c:pt idx="6748">
                  <c:v>-174187.35584000003</c:v>
                </c:pt>
                <c:pt idx="6749">
                  <c:v>-174027.44145499993</c:v>
                </c:pt>
                <c:pt idx="6750">
                  <c:v>-173867.625</c:v>
                </c:pt>
                <c:pt idx="6751">
                  <c:v>-173707.90644500003</c:v>
                </c:pt>
                <c:pt idx="6752">
                  <c:v>-173548.28575999994</c:v>
                </c:pt>
                <c:pt idx="6753">
                  <c:v>-173388.762915</c:v>
                </c:pt>
                <c:pt idx="6754">
                  <c:v>-173229.33788</c:v>
                </c:pt>
                <c:pt idx="6755">
                  <c:v>-173070.01062500005</c:v>
                </c:pt>
                <c:pt idx="6756">
                  <c:v>-172910.78112</c:v>
                </c:pt>
                <c:pt idx="6757">
                  <c:v>-172751.649335</c:v>
                </c:pt>
                <c:pt idx="6758">
                  <c:v>-172592.61524000004</c:v>
                </c:pt>
                <c:pt idx="6759">
                  <c:v>-172433.67880499994</c:v>
                </c:pt>
                <c:pt idx="6760">
                  <c:v>-172274.83999999997</c:v>
                </c:pt>
                <c:pt idx="6761">
                  <c:v>-172116.09879500003</c:v>
                </c:pt>
                <c:pt idx="6762">
                  <c:v>-171957.45516000004</c:v>
                </c:pt>
                <c:pt idx="6763">
                  <c:v>-171798.90906499996</c:v>
                </c:pt>
                <c:pt idx="6764">
                  <c:v>-171640.46047999995</c:v>
                </c:pt>
                <c:pt idx="6765">
                  <c:v>-171482.10937500003</c:v>
                </c:pt>
                <c:pt idx="6766">
                  <c:v>-171323.85572000002</c:v>
                </c:pt>
                <c:pt idx="6767">
                  <c:v>-171165.699485</c:v>
                </c:pt>
                <c:pt idx="6768">
                  <c:v>-171007.64064</c:v>
                </c:pt>
                <c:pt idx="6769">
                  <c:v>-170849.67915500005</c:v>
                </c:pt>
                <c:pt idx="6770">
                  <c:v>-170691.81499999994</c:v>
                </c:pt>
                <c:pt idx="6771">
                  <c:v>-170534.048145</c:v>
                </c:pt>
                <c:pt idx="6772">
                  <c:v>-170376.37855999998</c:v>
                </c:pt>
                <c:pt idx="6773">
                  <c:v>-170218.80621500005</c:v>
                </c:pt>
                <c:pt idx="6774">
                  <c:v>-170061.33107999995</c:v>
                </c:pt>
                <c:pt idx="6775">
                  <c:v>-169903.953125</c:v>
                </c:pt>
                <c:pt idx="6776">
                  <c:v>-169746.67232000004</c:v>
                </c:pt>
                <c:pt idx="6777">
                  <c:v>-169589.48863499993</c:v>
                </c:pt>
                <c:pt idx="6778">
                  <c:v>-169432.40204</c:v>
                </c:pt>
                <c:pt idx="6779">
                  <c:v>-169275.41250500001</c:v>
                </c:pt>
                <c:pt idx="6780">
                  <c:v>-169118.52000000005</c:v>
                </c:pt>
                <c:pt idx="6781">
                  <c:v>-168961.72449499997</c:v>
                </c:pt>
                <c:pt idx="6782">
                  <c:v>-168805.02596</c:v>
                </c:pt>
                <c:pt idx="6783">
                  <c:v>-168648.424365</c:v>
                </c:pt>
                <c:pt idx="6784">
                  <c:v>-168491.91967999993</c:v>
                </c:pt>
                <c:pt idx="6785">
                  <c:v>-168335.51187499997</c:v>
                </c:pt>
                <c:pt idx="6786">
                  <c:v>-168179.20092000003</c:v>
                </c:pt>
                <c:pt idx="6787">
                  <c:v>-168022.98678500004</c:v>
                </c:pt>
                <c:pt idx="6788">
                  <c:v>-167866.86943999992</c:v>
                </c:pt>
                <c:pt idx="6789">
                  <c:v>-167710.84885499996</c:v>
                </c:pt>
                <c:pt idx="6790">
                  <c:v>-167554.92500000005</c:v>
                </c:pt>
                <c:pt idx="6791">
                  <c:v>-167399.09784500004</c:v>
                </c:pt>
                <c:pt idx="6792">
                  <c:v>-167243.36735999995</c:v>
                </c:pt>
                <c:pt idx="6793">
                  <c:v>-167087.73351499997</c:v>
                </c:pt>
                <c:pt idx="6794">
                  <c:v>-166932.19628000003</c:v>
                </c:pt>
                <c:pt idx="6795">
                  <c:v>-166776.75562499993</c:v>
                </c:pt>
                <c:pt idx="6796">
                  <c:v>-166621.41151999997</c:v>
                </c:pt>
                <c:pt idx="6797">
                  <c:v>-166466.16393500002</c:v>
                </c:pt>
                <c:pt idx="6798">
                  <c:v>-166311.01284000007</c:v>
                </c:pt>
                <c:pt idx="6799">
                  <c:v>-166155.95820499997</c:v>
                </c:pt>
                <c:pt idx="6800">
                  <c:v>-166001.0</c:v>
                </c:pt>
                <c:pt idx="6801">
                  <c:v>-165846.138195</c:v>
                </c:pt>
                <c:pt idx="6802">
                  <c:v>-165691.37276000003</c:v>
                </c:pt>
                <c:pt idx="6803">
                  <c:v>-165536.70366499998</c:v>
                </c:pt>
                <c:pt idx="6804">
                  <c:v>-165382.13088000004</c:v>
                </c:pt>
                <c:pt idx="6805">
                  <c:v>-165227.654375</c:v>
                </c:pt>
                <c:pt idx="6806">
                  <c:v>-165073.27412000002</c:v>
                </c:pt>
                <c:pt idx="6807">
                  <c:v>-164918.990085</c:v>
                </c:pt>
                <c:pt idx="6808">
                  <c:v>-164764.80224000005</c:v>
                </c:pt>
                <c:pt idx="6809">
                  <c:v>-164610.710555</c:v>
                </c:pt>
                <c:pt idx="6810">
                  <c:v>-164456.715</c:v>
                </c:pt>
                <c:pt idx="6811">
                  <c:v>-164302.81554500002</c:v>
                </c:pt>
                <c:pt idx="6812">
                  <c:v>-164149.01216</c:v>
                </c:pt>
                <c:pt idx="6813">
                  <c:v>-163995.30481499998</c:v>
                </c:pt>
                <c:pt idx="6814">
                  <c:v>-163841.69347999996</c:v>
                </c:pt>
                <c:pt idx="6815">
                  <c:v>-163688.178125</c:v>
                </c:pt>
                <c:pt idx="6816">
                  <c:v>-163534.75872</c:v>
                </c:pt>
                <c:pt idx="6817">
                  <c:v>-163381.43523499998</c:v>
                </c:pt>
                <c:pt idx="6818">
                  <c:v>-163228.20764</c:v>
                </c:pt>
                <c:pt idx="6819">
                  <c:v>-163075.07590499995</c:v>
                </c:pt>
                <c:pt idx="6820">
                  <c:v>-162922.04</c:v>
                </c:pt>
                <c:pt idx="6821">
                  <c:v>-162769.099895</c:v>
                </c:pt>
                <c:pt idx="6822">
                  <c:v>-162616.25556</c:v>
                </c:pt>
                <c:pt idx="6823">
                  <c:v>-162463.50696499998</c:v>
                </c:pt>
                <c:pt idx="6824">
                  <c:v>-162310.85408000002</c:v>
                </c:pt>
                <c:pt idx="6825">
                  <c:v>-162158.296875</c:v>
                </c:pt>
                <c:pt idx="6826">
                  <c:v>-162005.83531999995</c:v>
                </c:pt>
                <c:pt idx="6827">
                  <c:v>-161853.469385</c:v>
                </c:pt>
                <c:pt idx="6828">
                  <c:v>-161701.19903999998</c:v>
                </c:pt>
                <c:pt idx="6829">
                  <c:v>-161549.02425500003</c:v>
                </c:pt>
                <c:pt idx="6830">
                  <c:v>-161396.945</c:v>
                </c:pt>
                <c:pt idx="6831">
                  <c:v>-161244.961245</c:v>
                </c:pt>
                <c:pt idx="6832">
                  <c:v>-161093.07296</c:v>
                </c:pt>
                <c:pt idx="6833">
                  <c:v>-160941.28011500003</c:v>
                </c:pt>
                <c:pt idx="6834">
                  <c:v>-160789.58268</c:v>
                </c:pt>
                <c:pt idx="6835">
                  <c:v>-160637.980625</c:v>
                </c:pt>
                <c:pt idx="6836">
                  <c:v>-160486.47392000005</c:v>
                </c:pt>
                <c:pt idx="6837">
                  <c:v>-160335.062535</c:v>
                </c:pt>
                <c:pt idx="6838">
                  <c:v>-160183.74644</c:v>
                </c:pt>
                <c:pt idx="6839">
                  <c:v>-160032.52560499997</c:v>
                </c:pt>
                <c:pt idx="6840">
                  <c:v>-159881.4</c:v>
                </c:pt>
                <c:pt idx="6841">
                  <c:v>-159730.369595</c:v>
                </c:pt>
                <c:pt idx="6842">
                  <c:v>-159579.43435999998</c:v>
                </c:pt>
                <c:pt idx="6843">
                  <c:v>-159428.594265</c:v>
                </c:pt>
                <c:pt idx="6844">
                  <c:v>-159277.84927999997</c:v>
                </c:pt>
                <c:pt idx="6845">
                  <c:v>-159127.199375</c:v>
                </c:pt>
                <c:pt idx="6846">
                  <c:v>-158976.64451999997</c:v>
                </c:pt>
                <c:pt idx="6847">
                  <c:v>-158826.18468500001</c:v>
                </c:pt>
                <c:pt idx="6848">
                  <c:v>-158675.81983999998</c:v>
                </c:pt>
                <c:pt idx="6849">
                  <c:v>-158525.549955</c:v>
                </c:pt>
                <c:pt idx="6850">
                  <c:v>-158375.375</c:v>
                </c:pt>
                <c:pt idx="6851">
                  <c:v>-158225.29494499997</c:v>
                </c:pt>
                <c:pt idx="6852">
                  <c:v>-158075.30976</c:v>
                </c:pt>
                <c:pt idx="6853">
                  <c:v>-157925.41941499998</c:v>
                </c:pt>
                <c:pt idx="6854">
                  <c:v>-157775.62388000003</c:v>
                </c:pt>
                <c:pt idx="6855">
                  <c:v>-157625.92312499997</c:v>
                </c:pt>
                <c:pt idx="6856">
                  <c:v>-157476.31712000002</c:v>
                </c:pt>
                <c:pt idx="6857">
                  <c:v>-157326.80583499998</c:v>
                </c:pt>
                <c:pt idx="6858">
                  <c:v>-157177.38924000005</c:v>
                </c:pt>
                <c:pt idx="6859">
                  <c:v>-157028.067305</c:v>
                </c:pt>
                <c:pt idx="6860">
                  <c:v>-156878.84</c:v>
                </c:pt>
                <c:pt idx="6861">
                  <c:v>-156729.70729500003</c:v>
                </c:pt>
                <c:pt idx="6862">
                  <c:v>-156580.66916</c:v>
                </c:pt>
                <c:pt idx="6863">
                  <c:v>-156431.725565</c:v>
                </c:pt>
                <c:pt idx="6864">
                  <c:v>-156282.87647999995</c:v>
                </c:pt>
                <c:pt idx="6865">
                  <c:v>-156134.12187499998</c:v>
                </c:pt>
                <c:pt idx="6866">
                  <c:v>-155985.46172</c:v>
                </c:pt>
                <c:pt idx="6867">
                  <c:v>-155836.89598499995</c:v>
                </c:pt>
                <c:pt idx="6868">
                  <c:v>-155688.42464</c:v>
                </c:pt>
                <c:pt idx="6869">
                  <c:v>-155540.04765499994</c:v>
                </c:pt>
                <c:pt idx="6870">
                  <c:v>-155391.765</c:v>
                </c:pt>
                <c:pt idx="6871">
                  <c:v>-155243.576645</c:v>
                </c:pt>
                <c:pt idx="6872">
                  <c:v>-155095.48256</c:v>
                </c:pt>
                <c:pt idx="6873">
                  <c:v>-154947.482715</c:v>
                </c:pt>
                <c:pt idx="6874">
                  <c:v>-154799.57708000005</c:v>
                </c:pt>
                <c:pt idx="6875">
                  <c:v>-154651.765625</c:v>
                </c:pt>
                <c:pt idx="6876">
                  <c:v>-154504.04831999997</c:v>
                </c:pt>
                <c:pt idx="6877">
                  <c:v>-154356.425135</c:v>
                </c:pt>
                <c:pt idx="6878">
                  <c:v>-154208.89604</c:v>
                </c:pt>
                <c:pt idx="6879">
                  <c:v>-154061.46100500002</c:v>
                </c:pt>
                <c:pt idx="6880">
                  <c:v>-153914.12</c:v>
                </c:pt>
                <c:pt idx="6881">
                  <c:v>-153766.872995</c:v>
                </c:pt>
                <c:pt idx="6882">
                  <c:v>-153619.71996</c:v>
                </c:pt>
                <c:pt idx="6883">
                  <c:v>-153472.660865</c:v>
                </c:pt>
                <c:pt idx="6884">
                  <c:v>-153325.69568000003</c:v>
                </c:pt>
                <c:pt idx="6885">
                  <c:v>-153178.824375</c:v>
                </c:pt>
                <c:pt idx="6886">
                  <c:v>-153032.04692000005</c:v>
                </c:pt>
                <c:pt idx="6887">
                  <c:v>-152885.363285</c:v>
                </c:pt>
                <c:pt idx="6888">
                  <c:v>-152738.77344000002</c:v>
                </c:pt>
                <c:pt idx="6889">
                  <c:v>-152592.27735499997</c:v>
                </c:pt>
                <c:pt idx="6890">
                  <c:v>-152445.87500000003</c:v>
                </c:pt>
                <c:pt idx="6891">
                  <c:v>-152299.56634499997</c:v>
                </c:pt>
                <c:pt idx="6892">
                  <c:v>-152153.35135999997</c:v>
                </c:pt>
                <c:pt idx="6893">
                  <c:v>-152007.23001499998</c:v>
                </c:pt>
                <c:pt idx="6894">
                  <c:v>-151861.20227999997</c:v>
                </c:pt>
                <c:pt idx="6895">
                  <c:v>-151715.268125</c:v>
                </c:pt>
                <c:pt idx="6896">
                  <c:v>-151569.42752</c:v>
                </c:pt>
                <c:pt idx="6897">
                  <c:v>-151423.68043500002</c:v>
                </c:pt>
                <c:pt idx="6898">
                  <c:v>-151278.02683999998</c:v>
                </c:pt>
                <c:pt idx="6899">
                  <c:v>-151132.46670500003</c:v>
                </c:pt>
                <c:pt idx="6900">
                  <c:v>-150987.0</c:v>
                </c:pt>
                <c:pt idx="6901">
                  <c:v>-150841.62669499998</c:v>
                </c:pt>
                <c:pt idx="6902">
                  <c:v>-150696.34676</c:v>
                </c:pt>
                <c:pt idx="6903">
                  <c:v>-150551.16016499998</c:v>
                </c:pt>
                <c:pt idx="6904">
                  <c:v>-150406.06688</c:v>
                </c:pt>
                <c:pt idx="6905">
                  <c:v>-150261.066875</c:v>
                </c:pt>
                <c:pt idx="6906">
                  <c:v>-150116.16012000002</c:v>
                </c:pt>
                <c:pt idx="6907">
                  <c:v>-149971.346585</c:v>
                </c:pt>
                <c:pt idx="6908">
                  <c:v>-149826.62624000004</c:v>
                </c:pt>
                <c:pt idx="6909">
                  <c:v>-149681.99905500002</c:v>
                </c:pt>
                <c:pt idx="6910">
                  <c:v>-149537.465</c:v>
                </c:pt>
                <c:pt idx="6911">
                  <c:v>-149393.02404500003</c:v>
                </c:pt>
                <c:pt idx="6912">
                  <c:v>-149248.67616</c:v>
                </c:pt>
                <c:pt idx="6913">
                  <c:v>-149104.421315</c:v>
                </c:pt>
                <c:pt idx="6914">
                  <c:v>-148960.25947999998</c:v>
                </c:pt>
                <c:pt idx="6915">
                  <c:v>-148816.19062500002</c:v>
                </c:pt>
                <c:pt idx="6916">
                  <c:v>-148672.21472</c:v>
                </c:pt>
                <c:pt idx="6917">
                  <c:v>-148528.33173499996</c:v>
                </c:pt>
                <c:pt idx="6918">
                  <c:v>-148384.54163999998</c:v>
                </c:pt>
                <c:pt idx="6919">
                  <c:v>-148240.84440499995</c:v>
                </c:pt>
                <c:pt idx="6920">
                  <c:v>-148097.24</c:v>
                </c:pt>
                <c:pt idx="6921">
                  <c:v>-147953.72839499998</c:v>
                </c:pt>
                <c:pt idx="6922">
                  <c:v>-147810.30956000002</c:v>
                </c:pt>
                <c:pt idx="6923">
                  <c:v>-147666.983465</c:v>
                </c:pt>
                <c:pt idx="6924">
                  <c:v>-147523.75008000003</c:v>
                </c:pt>
                <c:pt idx="6925">
                  <c:v>-147380.609375</c:v>
                </c:pt>
                <c:pt idx="6926">
                  <c:v>-147237.56131999998</c:v>
                </c:pt>
                <c:pt idx="6927">
                  <c:v>-147094.605885</c:v>
                </c:pt>
                <c:pt idx="6928">
                  <c:v>-146951.74303999997</c:v>
                </c:pt>
                <c:pt idx="6929">
                  <c:v>-146808.972755</c:v>
                </c:pt>
                <c:pt idx="6930">
                  <c:v>-146666.295</c:v>
                </c:pt>
                <c:pt idx="6931">
                  <c:v>-146523.70974500003</c:v>
                </c:pt>
                <c:pt idx="6932">
                  <c:v>-146381.21696000002</c:v>
                </c:pt>
                <c:pt idx="6933">
                  <c:v>-146238.81661500002</c:v>
                </c:pt>
                <c:pt idx="6934">
                  <c:v>-146096.50868</c:v>
                </c:pt>
                <c:pt idx="6935">
                  <c:v>-145954.293125</c:v>
                </c:pt>
                <c:pt idx="6936">
                  <c:v>-145812.16992000001</c:v>
                </c:pt>
                <c:pt idx="6937">
                  <c:v>-145670.13903499997</c:v>
                </c:pt>
                <c:pt idx="6938">
                  <c:v>-145528.20044000002</c:v>
                </c:pt>
                <c:pt idx="6939">
                  <c:v>-145386.35410499998</c:v>
                </c:pt>
                <c:pt idx="6940">
                  <c:v>-145244.6</c:v>
                </c:pt>
                <c:pt idx="6941">
                  <c:v>-145102.938095</c:v>
                </c:pt>
                <c:pt idx="6942">
                  <c:v>-144961.36835999996</c:v>
                </c:pt>
                <c:pt idx="6943">
                  <c:v>-144819.890765</c:v>
                </c:pt>
                <c:pt idx="6944">
                  <c:v>-144678.50527999998</c:v>
                </c:pt>
                <c:pt idx="6945">
                  <c:v>-144537.211875</c:v>
                </c:pt>
                <c:pt idx="6946">
                  <c:v>-144396.01052</c:v>
                </c:pt>
                <c:pt idx="6947">
                  <c:v>-144254.901185</c:v>
                </c:pt>
                <c:pt idx="6948">
                  <c:v>-144113.88384</c:v>
                </c:pt>
                <c:pt idx="6949">
                  <c:v>-143972.958455</c:v>
                </c:pt>
                <c:pt idx="6950">
                  <c:v>-143832.125</c:v>
                </c:pt>
                <c:pt idx="6951">
                  <c:v>-143691.38344499998</c:v>
                </c:pt>
                <c:pt idx="6952">
                  <c:v>-143550.73376</c:v>
                </c:pt>
                <c:pt idx="6953">
                  <c:v>-143410.17591499997</c:v>
                </c:pt>
                <c:pt idx="6954">
                  <c:v>-143269.70988</c:v>
                </c:pt>
                <c:pt idx="6955">
                  <c:v>-143129.335625</c:v>
                </c:pt>
                <c:pt idx="6956">
                  <c:v>-142989.05312</c:v>
                </c:pt>
                <c:pt idx="6957">
                  <c:v>-142848.86233499998</c:v>
                </c:pt>
                <c:pt idx="6958">
                  <c:v>-142708.76324000003</c:v>
                </c:pt>
                <c:pt idx="6959">
                  <c:v>-142568.75580500002</c:v>
                </c:pt>
                <c:pt idx="6960">
                  <c:v>-142428.84</c:v>
                </c:pt>
                <c:pt idx="6961">
                  <c:v>-142289.015795</c:v>
                </c:pt>
                <c:pt idx="6962">
                  <c:v>-142149.28316</c:v>
                </c:pt>
                <c:pt idx="6963">
                  <c:v>-142009.642065</c:v>
                </c:pt>
                <c:pt idx="6964">
                  <c:v>-141870.09248</c:v>
                </c:pt>
                <c:pt idx="6965">
                  <c:v>-141730.634375</c:v>
                </c:pt>
                <c:pt idx="6966">
                  <c:v>-141591.26772</c:v>
                </c:pt>
                <c:pt idx="6967">
                  <c:v>-141451.99248499997</c:v>
                </c:pt>
                <c:pt idx="6968">
                  <c:v>-141312.80864</c:v>
                </c:pt>
                <c:pt idx="6969">
                  <c:v>-141173.71615499997</c:v>
                </c:pt>
                <c:pt idx="6970">
                  <c:v>-141034.715</c:v>
                </c:pt>
                <c:pt idx="6971">
                  <c:v>-140895.805145</c:v>
                </c:pt>
                <c:pt idx="6972">
                  <c:v>-140756.98656000002</c:v>
                </c:pt>
                <c:pt idx="6973">
                  <c:v>-140618.259215</c:v>
                </c:pt>
                <c:pt idx="6974">
                  <c:v>-140479.62308000002</c:v>
                </c:pt>
                <c:pt idx="6975">
                  <c:v>-140341.078125</c:v>
                </c:pt>
                <c:pt idx="6976">
                  <c:v>-140202.62431999997</c:v>
                </c:pt>
                <c:pt idx="6977">
                  <c:v>-140064.261635</c:v>
                </c:pt>
                <c:pt idx="6978">
                  <c:v>-139925.99003999998</c:v>
                </c:pt>
                <c:pt idx="6979">
                  <c:v>-139787.80950500004</c:v>
                </c:pt>
                <c:pt idx="6980">
                  <c:v>-139649.71999999997</c:v>
                </c:pt>
                <c:pt idx="6981">
                  <c:v>-139511.72149500003</c:v>
                </c:pt>
                <c:pt idx="6982">
                  <c:v>-139373.81396</c:v>
                </c:pt>
                <c:pt idx="6983">
                  <c:v>-139235.99736500002</c:v>
                </c:pt>
                <c:pt idx="6984">
                  <c:v>-139098.27168</c:v>
                </c:pt>
                <c:pt idx="6985">
                  <c:v>-138960.636875</c:v>
                </c:pt>
                <c:pt idx="6986">
                  <c:v>-138823.09292</c:v>
                </c:pt>
                <c:pt idx="6987">
                  <c:v>-138685.639785</c:v>
                </c:pt>
                <c:pt idx="6988">
                  <c:v>-138548.27743999998</c:v>
                </c:pt>
                <c:pt idx="6989">
                  <c:v>-138411.00585499997</c:v>
                </c:pt>
                <c:pt idx="6990">
                  <c:v>-138273.825</c:v>
                </c:pt>
                <c:pt idx="6991">
                  <c:v>-138136.734845</c:v>
                </c:pt>
                <c:pt idx="6992">
                  <c:v>-137999.73535999996</c:v>
                </c:pt>
                <c:pt idx="6993">
                  <c:v>-137862.826515</c:v>
                </c:pt>
                <c:pt idx="6994">
                  <c:v>-137726.00827999998</c:v>
                </c:pt>
                <c:pt idx="6995">
                  <c:v>-137589.280625</c:v>
                </c:pt>
                <c:pt idx="6996">
                  <c:v>-137452.64351999998</c:v>
                </c:pt>
                <c:pt idx="6997">
                  <c:v>-137316.096935</c:v>
                </c:pt>
                <c:pt idx="6998">
                  <c:v>-137179.64084</c:v>
                </c:pt>
                <c:pt idx="6999">
                  <c:v>-137043.275205</c:v>
                </c:pt>
                <c:pt idx="7000">
                  <c:v>-136907.0</c:v>
                </c:pt>
                <c:pt idx="7001">
                  <c:v>-136770.81519499997</c:v>
                </c:pt>
                <c:pt idx="7002">
                  <c:v>-136634.72076</c:v>
                </c:pt>
                <c:pt idx="7003">
                  <c:v>-136498.71666499999</c:v>
                </c:pt>
                <c:pt idx="7004">
                  <c:v>-136362.80288</c:v>
                </c:pt>
                <c:pt idx="7005">
                  <c:v>-136226.97937500002</c:v>
                </c:pt>
                <c:pt idx="7006">
                  <c:v>-136091.24612000003</c:v>
                </c:pt>
                <c:pt idx="7007">
                  <c:v>-135955.603085</c:v>
                </c:pt>
                <c:pt idx="7008">
                  <c:v>-135820.05024000004</c:v>
                </c:pt>
                <c:pt idx="7009">
                  <c:v>-135684.587555</c:v>
                </c:pt>
                <c:pt idx="7010">
                  <c:v>-135549.215</c:v>
                </c:pt>
                <c:pt idx="7011">
                  <c:v>-135413.93254500002</c:v>
                </c:pt>
                <c:pt idx="7012">
                  <c:v>-135278.74016</c:v>
                </c:pt>
                <c:pt idx="7013">
                  <c:v>-135143.637815</c:v>
                </c:pt>
                <c:pt idx="7014">
                  <c:v>-135008.62548</c:v>
                </c:pt>
                <c:pt idx="7015">
                  <c:v>-134873.70312500003</c:v>
                </c:pt>
                <c:pt idx="7016">
                  <c:v>-134738.87072</c:v>
                </c:pt>
                <c:pt idx="7017">
                  <c:v>-134604.12823499995</c:v>
                </c:pt>
                <c:pt idx="7018">
                  <c:v>-134469.47564</c:v>
                </c:pt>
                <c:pt idx="7019">
                  <c:v>-134334.91290499998</c:v>
                </c:pt>
                <c:pt idx="7020">
                  <c:v>-134200.43999999997</c:v>
                </c:pt>
                <c:pt idx="7021">
                  <c:v>-134066.056895</c:v>
                </c:pt>
                <c:pt idx="7022">
                  <c:v>-133931.76356000002</c:v>
                </c:pt>
                <c:pt idx="7023">
                  <c:v>-133797.559965</c:v>
                </c:pt>
                <c:pt idx="7024">
                  <c:v>-133663.44608000002</c:v>
                </c:pt>
                <c:pt idx="7025">
                  <c:v>-133529.421875</c:v>
                </c:pt>
                <c:pt idx="7026">
                  <c:v>-133395.48732</c:v>
                </c:pt>
                <c:pt idx="7027">
                  <c:v>-133261.642385</c:v>
                </c:pt>
                <c:pt idx="7028">
                  <c:v>-133127.88703999997</c:v>
                </c:pt>
                <c:pt idx="7029">
                  <c:v>-132994.221255</c:v>
                </c:pt>
                <c:pt idx="7030">
                  <c:v>-132860.645</c:v>
                </c:pt>
                <c:pt idx="7031">
                  <c:v>-132727.15824500003</c:v>
                </c:pt>
                <c:pt idx="7032">
                  <c:v>-132593.76096</c:v>
                </c:pt>
                <c:pt idx="7033">
                  <c:v>-132460.45311500004</c:v>
                </c:pt>
                <c:pt idx="7034">
                  <c:v>-132327.23468000002</c:v>
                </c:pt>
                <c:pt idx="7035">
                  <c:v>-132194.105625</c:v>
                </c:pt>
                <c:pt idx="7036">
                  <c:v>-132061.06592000002</c:v>
                </c:pt>
                <c:pt idx="7037">
                  <c:v>-131928.115535</c:v>
                </c:pt>
                <c:pt idx="7038">
                  <c:v>-131795.25444</c:v>
                </c:pt>
                <c:pt idx="7039">
                  <c:v>-131662.48260499997</c:v>
                </c:pt>
                <c:pt idx="7040">
                  <c:v>-131529.80000000002</c:v>
                </c:pt>
                <c:pt idx="7041">
                  <c:v>-131397.206595</c:v>
                </c:pt>
                <c:pt idx="7042">
                  <c:v>-131264.70235999997</c:v>
                </c:pt>
                <c:pt idx="7043">
                  <c:v>-131132.287265</c:v>
                </c:pt>
                <c:pt idx="7044">
                  <c:v>-130999.96127999997</c:v>
                </c:pt>
                <c:pt idx="7045">
                  <c:v>-130867.724375</c:v>
                </c:pt>
                <c:pt idx="7046">
                  <c:v>-130735.57651999999</c:v>
                </c:pt>
                <c:pt idx="7047">
                  <c:v>-130603.51768500003</c:v>
                </c:pt>
                <c:pt idx="7048">
                  <c:v>-130471.54783999998</c:v>
                </c:pt>
                <c:pt idx="7049">
                  <c:v>-130339.66695500002</c:v>
                </c:pt>
                <c:pt idx="7050">
                  <c:v>-130207.875</c:v>
                </c:pt>
                <c:pt idx="7051">
                  <c:v>-130076.17194499998</c:v>
                </c:pt>
                <c:pt idx="7052">
                  <c:v>-129944.55776</c:v>
                </c:pt>
                <c:pt idx="7053">
                  <c:v>-129813.03241499998</c:v>
                </c:pt>
                <c:pt idx="7054">
                  <c:v>-129681.59588000002</c:v>
                </c:pt>
                <c:pt idx="7055">
                  <c:v>-129550.248125</c:v>
                </c:pt>
                <c:pt idx="7056">
                  <c:v>-129418.98912000001</c:v>
                </c:pt>
                <c:pt idx="7057">
                  <c:v>-129287.818835</c:v>
                </c:pt>
                <c:pt idx="7058">
                  <c:v>-129156.73724</c:v>
                </c:pt>
                <c:pt idx="7059">
                  <c:v>-129025.744305</c:v>
                </c:pt>
                <c:pt idx="7060">
                  <c:v>-128894.83999999998</c:v>
                </c:pt>
                <c:pt idx="7061">
                  <c:v>-128764.02429500001</c:v>
                </c:pt>
                <c:pt idx="7062">
                  <c:v>-128633.29715999999</c:v>
                </c:pt>
                <c:pt idx="7063">
                  <c:v>-128502.65856500002</c:v>
                </c:pt>
                <c:pt idx="7064">
                  <c:v>-128372.10847999998</c:v>
                </c:pt>
                <c:pt idx="7065">
                  <c:v>-128241.64687500002</c:v>
                </c:pt>
                <c:pt idx="7066">
                  <c:v>-128111.27372</c:v>
                </c:pt>
                <c:pt idx="7067">
                  <c:v>-127980.98898499997</c:v>
                </c:pt>
                <c:pt idx="7068">
                  <c:v>-127850.79264</c:v>
                </c:pt>
                <c:pt idx="7069">
                  <c:v>-127720.68465499998</c:v>
                </c:pt>
                <c:pt idx="7070">
                  <c:v>-127590.665</c:v>
                </c:pt>
                <c:pt idx="7071">
                  <c:v>-127460.73364499997</c:v>
                </c:pt>
                <c:pt idx="7072">
                  <c:v>-127330.89056</c:v>
                </c:pt>
                <c:pt idx="7073">
                  <c:v>-127201.135715</c:v>
                </c:pt>
                <c:pt idx="7074">
                  <c:v>-127071.46908000001</c:v>
                </c:pt>
                <c:pt idx="7075">
                  <c:v>-126941.890625</c:v>
                </c:pt>
                <c:pt idx="7076">
                  <c:v>-126812.40031999997</c:v>
                </c:pt>
                <c:pt idx="7077">
                  <c:v>-126682.998135</c:v>
                </c:pt>
                <c:pt idx="7078">
                  <c:v>-126553.68404</c:v>
                </c:pt>
                <c:pt idx="7079">
                  <c:v>-126424.45800500001</c:v>
                </c:pt>
                <c:pt idx="7080">
                  <c:v>-126295.32</c:v>
                </c:pt>
                <c:pt idx="7081">
                  <c:v>-126166.26999500002</c:v>
                </c:pt>
                <c:pt idx="7082">
                  <c:v>-126037.30795999999</c:v>
                </c:pt>
                <c:pt idx="7083">
                  <c:v>-125908.433865</c:v>
                </c:pt>
                <c:pt idx="7084">
                  <c:v>-125779.64768000001</c:v>
                </c:pt>
                <c:pt idx="7085">
                  <c:v>-125650.949375</c:v>
                </c:pt>
                <c:pt idx="7086">
                  <c:v>-125522.33892000001</c:v>
                </c:pt>
                <c:pt idx="7087">
                  <c:v>-125393.816285</c:v>
                </c:pt>
                <c:pt idx="7088">
                  <c:v>-125265.38144000001</c:v>
                </c:pt>
                <c:pt idx="7089">
                  <c:v>-125137.034355</c:v>
                </c:pt>
                <c:pt idx="7090">
                  <c:v>-125008.77500000001</c:v>
                </c:pt>
                <c:pt idx="7091">
                  <c:v>-124880.60334500001</c:v>
                </c:pt>
                <c:pt idx="7092">
                  <c:v>-124752.51935999999</c:v>
                </c:pt>
                <c:pt idx="7093">
                  <c:v>-124624.523015</c:v>
                </c:pt>
                <c:pt idx="7094">
                  <c:v>-124496.61427999998</c:v>
                </c:pt>
                <c:pt idx="7095">
                  <c:v>-124368.793125</c:v>
                </c:pt>
                <c:pt idx="7096">
                  <c:v>-124241.05952</c:v>
                </c:pt>
                <c:pt idx="7097">
                  <c:v>-124113.413435</c:v>
                </c:pt>
                <c:pt idx="7098">
                  <c:v>-123985.85484</c:v>
                </c:pt>
                <c:pt idx="7099">
                  <c:v>-123858.38370500003</c:v>
                </c:pt>
                <c:pt idx="7100">
                  <c:v>-123731.0</c:v>
                </c:pt>
                <c:pt idx="7101">
                  <c:v>-123603.70369499997</c:v>
                </c:pt>
                <c:pt idx="7102">
                  <c:v>-123476.49476</c:v>
                </c:pt>
                <c:pt idx="7103">
                  <c:v>-123349.37316499998</c:v>
                </c:pt>
                <c:pt idx="7104">
                  <c:v>-123222.33888000002</c:v>
                </c:pt>
                <c:pt idx="7105">
                  <c:v>-123095.391875</c:v>
                </c:pt>
                <c:pt idx="7106">
                  <c:v>-122968.53212000002</c:v>
                </c:pt>
                <c:pt idx="7107">
                  <c:v>-122841.75958499999</c:v>
                </c:pt>
                <c:pt idx="7108">
                  <c:v>-122715.07424</c:v>
                </c:pt>
                <c:pt idx="7109">
                  <c:v>-122588.47605499999</c:v>
                </c:pt>
                <c:pt idx="7110">
                  <c:v>-122461.96499999997</c:v>
                </c:pt>
                <c:pt idx="7111">
                  <c:v>-122335.541045</c:v>
                </c:pt>
                <c:pt idx="7112">
                  <c:v>-122209.20416</c:v>
                </c:pt>
                <c:pt idx="7113">
                  <c:v>-122082.95431500001</c:v>
                </c:pt>
                <c:pt idx="7114">
                  <c:v>-121956.79147999999</c:v>
                </c:pt>
                <c:pt idx="7115">
                  <c:v>-121830.71562500003</c:v>
                </c:pt>
                <c:pt idx="7116">
                  <c:v>-121704.72672</c:v>
                </c:pt>
                <c:pt idx="7117">
                  <c:v>-121578.82473499997</c:v>
                </c:pt>
                <c:pt idx="7118">
                  <c:v>-121453.00964</c:v>
                </c:pt>
                <c:pt idx="7119">
                  <c:v>-121327.28140499997</c:v>
                </c:pt>
                <c:pt idx="7120">
                  <c:v>-121201.64000000001</c:v>
                </c:pt>
                <c:pt idx="7121">
                  <c:v>-121076.08539499999</c:v>
                </c:pt>
                <c:pt idx="7122">
                  <c:v>-120950.61756000001</c:v>
                </c:pt>
                <c:pt idx="7123">
                  <c:v>-120825.236465</c:v>
                </c:pt>
                <c:pt idx="7124">
                  <c:v>-120699.94208000001</c:v>
                </c:pt>
                <c:pt idx="7125">
                  <c:v>-120574.734375</c:v>
                </c:pt>
                <c:pt idx="7126">
                  <c:v>-120449.61331999997</c:v>
                </c:pt>
                <c:pt idx="7127">
                  <c:v>-120324.57888500002</c:v>
                </c:pt>
                <c:pt idx="7128">
                  <c:v>-120199.63104</c:v>
                </c:pt>
                <c:pt idx="7129">
                  <c:v>-120074.76975500002</c:v>
                </c:pt>
                <c:pt idx="7130">
                  <c:v>-119949.995</c:v>
                </c:pt>
                <c:pt idx="7131">
                  <c:v>-119825.30674500002</c:v>
                </c:pt>
                <c:pt idx="7132">
                  <c:v>-119700.70495999999</c:v>
                </c:pt>
                <c:pt idx="7133">
                  <c:v>-119576.18961500001</c:v>
                </c:pt>
                <c:pt idx="7134">
                  <c:v>-119451.76068</c:v>
                </c:pt>
                <c:pt idx="7135">
                  <c:v>-119327.41812499998</c:v>
                </c:pt>
                <c:pt idx="7136">
                  <c:v>-119203.16192000001</c:v>
                </c:pt>
                <c:pt idx="7137">
                  <c:v>-119078.99203499999</c:v>
                </c:pt>
                <c:pt idx="7138">
                  <c:v>-118954.90844</c:v>
                </c:pt>
                <c:pt idx="7139">
                  <c:v>-118830.91110499999</c:v>
                </c:pt>
                <c:pt idx="7140">
                  <c:v>-118707.00000000001</c:v>
                </c:pt>
                <c:pt idx="7141">
                  <c:v>-118583.17509499998</c:v>
                </c:pt>
                <c:pt idx="7142">
                  <c:v>-118459.43635999999</c:v>
                </c:pt>
                <c:pt idx="7143">
                  <c:v>-118335.783765</c:v>
                </c:pt>
                <c:pt idx="7144">
                  <c:v>-118212.21727999998</c:v>
                </c:pt>
                <c:pt idx="7145">
                  <c:v>-118088.73687500002</c:v>
                </c:pt>
                <c:pt idx="7146">
                  <c:v>-117965.34251999999</c:v>
                </c:pt>
                <c:pt idx="7147">
                  <c:v>-117842.034185</c:v>
                </c:pt>
                <c:pt idx="7148">
                  <c:v>-117718.81183999998</c:v>
                </c:pt>
                <c:pt idx="7149">
                  <c:v>-117595.675455</c:v>
                </c:pt>
                <c:pt idx="7150">
                  <c:v>-117472.625</c:v>
                </c:pt>
                <c:pt idx="7151">
                  <c:v>-117349.66044499997</c:v>
                </c:pt>
                <c:pt idx="7152">
                  <c:v>-117226.78176000001</c:v>
                </c:pt>
                <c:pt idx="7153">
                  <c:v>-117103.98891499998</c:v>
                </c:pt>
                <c:pt idx="7154">
                  <c:v>-116981.28188000001</c:v>
                </c:pt>
                <c:pt idx="7155">
                  <c:v>-116858.66062499999</c:v>
                </c:pt>
                <c:pt idx="7156">
                  <c:v>-116736.12512000003</c:v>
                </c:pt>
                <c:pt idx="7157">
                  <c:v>-116613.67533499998</c:v>
                </c:pt>
                <c:pt idx="7158">
                  <c:v>-116491.31124000001</c:v>
                </c:pt>
                <c:pt idx="7159">
                  <c:v>-116369.03280500001</c:v>
                </c:pt>
                <c:pt idx="7160">
                  <c:v>-116246.83999999998</c:v>
                </c:pt>
                <c:pt idx="7161">
                  <c:v>-116124.732795</c:v>
                </c:pt>
                <c:pt idx="7162">
                  <c:v>-116002.71116</c:v>
                </c:pt>
                <c:pt idx="7163">
                  <c:v>-115880.77506500001</c:v>
                </c:pt>
                <c:pt idx="7164">
                  <c:v>-115758.92447999999</c:v>
                </c:pt>
                <c:pt idx="7165">
                  <c:v>-115637.15937500003</c:v>
                </c:pt>
                <c:pt idx="7166">
                  <c:v>-115515.47971999999</c:v>
                </c:pt>
                <c:pt idx="7167">
                  <c:v>-115393.88548499999</c:v>
                </c:pt>
                <c:pt idx="7168">
                  <c:v>-115272.37664000002</c:v>
                </c:pt>
                <c:pt idx="7169">
                  <c:v>-115150.95315499998</c:v>
                </c:pt>
                <c:pt idx="7170">
                  <c:v>-115029.615</c:v>
                </c:pt>
                <c:pt idx="7171">
                  <c:v>-114908.36214499999</c:v>
                </c:pt>
                <c:pt idx="7172">
                  <c:v>-114787.19456</c:v>
                </c:pt>
                <c:pt idx="7173">
                  <c:v>-114666.11221499999</c:v>
                </c:pt>
                <c:pt idx="7174">
                  <c:v>-114545.11508000002</c:v>
                </c:pt>
                <c:pt idx="7175">
                  <c:v>-114424.203125</c:v>
                </c:pt>
                <c:pt idx="7176">
                  <c:v>-114303.37632</c:v>
                </c:pt>
                <c:pt idx="7177">
                  <c:v>-114182.63463500001</c:v>
                </c:pt>
                <c:pt idx="7178">
                  <c:v>-114061.97803999999</c:v>
                </c:pt>
                <c:pt idx="7179">
                  <c:v>-113941.40650500002</c:v>
                </c:pt>
                <c:pt idx="7180">
                  <c:v>-113820.92</c:v>
                </c:pt>
                <c:pt idx="7181">
                  <c:v>-113700.51849500001</c:v>
                </c:pt>
                <c:pt idx="7182">
                  <c:v>-113580.20195999999</c:v>
                </c:pt>
                <c:pt idx="7183">
                  <c:v>-113459.97036500002</c:v>
                </c:pt>
                <c:pt idx="7184">
                  <c:v>-113339.82367999999</c:v>
                </c:pt>
                <c:pt idx="7185">
                  <c:v>-113219.76187499998</c:v>
                </c:pt>
                <c:pt idx="7186">
                  <c:v>-113099.78492</c:v>
                </c:pt>
                <c:pt idx="7187">
                  <c:v>-112979.89278499999</c:v>
                </c:pt>
                <c:pt idx="7188">
                  <c:v>-112860.08544000001</c:v>
                </c:pt>
                <c:pt idx="7189">
                  <c:v>-112740.362855</c:v>
                </c:pt>
                <c:pt idx="7190">
                  <c:v>-112620.72500000002</c:v>
                </c:pt>
                <c:pt idx="7191">
                  <c:v>-112501.171845</c:v>
                </c:pt>
                <c:pt idx="7192">
                  <c:v>-112381.70335999998</c:v>
                </c:pt>
                <c:pt idx="7193">
                  <c:v>-112262.31951500001</c:v>
                </c:pt>
                <c:pt idx="7194">
                  <c:v>-112143.02027999997</c:v>
                </c:pt>
                <c:pt idx="7195">
                  <c:v>-112023.805625</c:v>
                </c:pt>
                <c:pt idx="7196">
                  <c:v>-111904.67551999998</c:v>
                </c:pt>
                <c:pt idx="7197">
                  <c:v>-111785.62993500002</c:v>
                </c:pt>
                <c:pt idx="7198">
                  <c:v>-111666.66884</c:v>
                </c:pt>
                <c:pt idx="7199">
                  <c:v>-111547.79220500002</c:v>
                </c:pt>
                <c:pt idx="7200">
                  <c:v>-111429.0</c:v>
                </c:pt>
                <c:pt idx="7201">
                  <c:v>-111310.29219499999</c:v>
                </c:pt>
                <c:pt idx="7202">
                  <c:v>-111191.66876000002</c:v>
                </c:pt>
                <c:pt idx="7203">
                  <c:v>-111073.12966499999</c:v>
                </c:pt>
                <c:pt idx="7204">
                  <c:v>-110954.67488</c:v>
                </c:pt>
                <c:pt idx="7205">
                  <c:v>-110836.30437499999</c:v>
                </c:pt>
                <c:pt idx="7206">
                  <c:v>-110718.01812000004</c:v>
                </c:pt>
                <c:pt idx="7207">
                  <c:v>-110599.816085</c:v>
                </c:pt>
                <c:pt idx="7208">
                  <c:v>-110481.69824000003</c:v>
                </c:pt>
                <c:pt idx="7209">
                  <c:v>-110363.664555</c:v>
                </c:pt>
                <c:pt idx="7210">
                  <c:v>-110245.71499999998</c:v>
                </c:pt>
                <c:pt idx="7211">
                  <c:v>-110127.84954499999</c:v>
                </c:pt>
                <c:pt idx="7212">
                  <c:v>-110010.06815999998</c:v>
                </c:pt>
                <c:pt idx="7213">
                  <c:v>-109892.37081500002</c:v>
                </c:pt>
                <c:pt idx="7214">
                  <c:v>-109774.75748</c:v>
                </c:pt>
                <c:pt idx="7215">
                  <c:v>-109657.22812500001</c:v>
                </c:pt>
                <c:pt idx="7216">
                  <c:v>-109539.78272</c:v>
                </c:pt>
                <c:pt idx="7217">
                  <c:v>-109422.42123499997</c:v>
                </c:pt>
                <c:pt idx="7218">
                  <c:v>-109305.14364000002</c:v>
                </c:pt>
                <c:pt idx="7219">
                  <c:v>-109187.94990499999</c:v>
                </c:pt>
                <c:pt idx="7220">
                  <c:v>-109070.84</c:v>
                </c:pt>
                <c:pt idx="7221">
                  <c:v>-108953.81389499998</c:v>
                </c:pt>
                <c:pt idx="7222">
                  <c:v>-108836.87156000001</c:v>
                </c:pt>
                <c:pt idx="7223">
                  <c:v>-108720.01296499999</c:v>
                </c:pt>
                <c:pt idx="7224">
                  <c:v>-108603.23808000001</c:v>
                </c:pt>
                <c:pt idx="7225">
                  <c:v>-108486.546875</c:v>
                </c:pt>
                <c:pt idx="7226">
                  <c:v>-108369.93931999998</c:v>
                </c:pt>
                <c:pt idx="7227">
                  <c:v>-108253.41538499999</c:v>
                </c:pt>
                <c:pt idx="7228">
                  <c:v>-108136.97503999999</c:v>
                </c:pt>
                <c:pt idx="7229">
                  <c:v>-108020.61825500002</c:v>
                </c:pt>
                <c:pt idx="7230">
                  <c:v>-107904.34499999999</c:v>
                </c:pt>
                <c:pt idx="7231">
                  <c:v>-107788.15524500003</c:v>
                </c:pt>
                <c:pt idx="7232">
                  <c:v>-107672.04895999999</c:v>
                </c:pt>
                <c:pt idx="7233">
                  <c:v>-107556.02611500002</c:v>
                </c:pt>
                <c:pt idx="7234">
                  <c:v>-107440.08668</c:v>
                </c:pt>
                <c:pt idx="7235">
                  <c:v>-107324.23062499998</c:v>
                </c:pt>
                <c:pt idx="7236">
                  <c:v>-107208.45791999999</c:v>
                </c:pt>
                <c:pt idx="7237">
                  <c:v>-107092.768535</c:v>
                </c:pt>
                <c:pt idx="7238">
                  <c:v>-106977.16244</c:v>
                </c:pt>
                <c:pt idx="7239">
                  <c:v>-106861.639605</c:v>
                </c:pt>
                <c:pt idx="7240">
                  <c:v>-106746.20000000003</c:v>
                </c:pt>
                <c:pt idx="7241">
                  <c:v>-106630.843595</c:v>
                </c:pt>
                <c:pt idx="7242">
                  <c:v>-106515.57035999998</c:v>
                </c:pt>
                <c:pt idx="7243">
                  <c:v>-106400.380265</c:v>
                </c:pt>
                <c:pt idx="7244">
                  <c:v>-106285.27327999996</c:v>
                </c:pt>
                <c:pt idx="7245">
                  <c:v>-106170.24937500001</c:v>
                </c:pt>
                <c:pt idx="7246">
                  <c:v>-106055.30851999999</c:v>
                </c:pt>
                <c:pt idx="7247">
                  <c:v>-105940.45068500002</c:v>
                </c:pt>
                <c:pt idx="7248">
                  <c:v>-105825.67584</c:v>
                </c:pt>
                <c:pt idx="7249">
                  <c:v>-105710.98395500002</c:v>
                </c:pt>
                <c:pt idx="7250">
                  <c:v>-105596.375</c:v>
                </c:pt>
                <c:pt idx="7251">
                  <c:v>-105481.84894499998</c:v>
                </c:pt>
                <c:pt idx="7252">
                  <c:v>-105367.40576</c:v>
                </c:pt>
                <c:pt idx="7253">
                  <c:v>-105253.04541499999</c:v>
                </c:pt>
                <c:pt idx="7254">
                  <c:v>-105138.76788000001</c:v>
                </c:pt>
                <c:pt idx="7255">
                  <c:v>-105024.573125</c:v>
                </c:pt>
                <c:pt idx="7256">
                  <c:v>-104910.46112000002</c:v>
                </c:pt>
                <c:pt idx="7257">
                  <c:v>-104796.431835</c:v>
                </c:pt>
                <c:pt idx="7258">
                  <c:v>-104682.48524000001</c:v>
                </c:pt>
                <c:pt idx="7259">
                  <c:v>-104568.621305</c:v>
                </c:pt>
                <c:pt idx="7260">
                  <c:v>-104454.83999999998</c:v>
                </c:pt>
                <c:pt idx="7261">
                  <c:v>-104341.141295</c:v>
                </c:pt>
                <c:pt idx="7262">
                  <c:v>-104227.52515999999</c:v>
                </c:pt>
                <c:pt idx="7263">
                  <c:v>-104113.99156500002</c:v>
                </c:pt>
                <c:pt idx="7264">
                  <c:v>-104000.54048</c:v>
                </c:pt>
                <c:pt idx="7265">
                  <c:v>-103887.17187500003</c:v>
                </c:pt>
                <c:pt idx="7266">
                  <c:v>-103773.88572</c:v>
                </c:pt>
                <c:pt idx="7267">
                  <c:v>-103660.68198499997</c:v>
                </c:pt>
                <c:pt idx="7268">
                  <c:v>-103547.56064000001</c:v>
                </c:pt>
                <c:pt idx="7269">
                  <c:v>-103434.52165499997</c:v>
                </c:pt>
                <c:pt idx="7270">
                  <c:v>-103321.565</c:v>
                </c:pt>
                <c:pt idx="7271">
                  <c:v>-103208.69064499998</c:v>
                </c:pt>
                <c:pt idx="7272">
                  <c:v>-103095.89856000002</c:v>
                </c:pt>
                <c:pt idx="7273">
                  <c:v>-102983.188715</c:v>
                </c:pt>
                <c:pt idx="7274">
                  <c:v>-102870.56108000001</c:v>
                </c:pt>
                <c:pt idx="7275">
                  <c:v>-102758.015625</c:v>
                </c:pt>
                <c:pt idx="7276">
                  <c:v>-102645.55231999997</c:v>
                </c:pt>
                <c:pt idx="7277">
                  <c:v>-102533.17113500001</c:v>
                </c:pt>
                <c:pt idx="7278">
                  <c:v>-102420.87203999999</c:v>
                </c:pt>
                <c:pt idx="7279">
                  <c:v>-102308.65500500002</c:v>
                </c:pt>
                <c:pt idx="7280">
                  <c:v>-102196.51999999999</c:v>
                </c:pt>
                <c:pt idx="7281">
                  <c:v>-102084.46699500002</c:v>
                </c:pt>
                <c:pt idx="7282">
                  <c:v>-101972.49595999999</c:v>
                </c:pt>
                <c:pt idx="7283">
                  <c:v>-101860.60686500001</c:v>
                </c:pt>
                <c:pt idx="7284">
                  <c:v>-101748.79968</c:v>
                </c:pt>
                <c:pt idx="7285">
                  <c:v>-101637.07437499998</c:v>
                </c:pt>
                <c:pt idx="7286">
                  <c:v>-101525.43092</c:v>
                </c:pt>
                <c:pt idx="7287">
                  <c:v>-101413.86928499998</c:v>
                </c:pt>
                <c:pt idx="7288">
                  <c:v>-101302.38944000003</c:v>
                </c:pt>
                <c:pt idx="7289">
                  <c:v>-101190.991355</c:v>
                </c:pt>
                <c:pt idx="7290">
                  <c:v>-101079.67500000002</c:v>
                </c:pt>
                <c:pt idx="7291">
                  <c:v>-100968.44034500001</c:v>
                </c:pt>
                <c:pt idx="7292">
                  <c:v>-100857.28735999997</c:v>
                </c:pt>
                <c:pt idx="7293">
                  <c:v>-100746.216015</c:v>
                </c:pt>
                <c:pt idx="7294">
                  <c:v>-100635.22627999999</c:v>
                </c:pt>
                <c:pt idx="7295">
                  <c:v>-100524.31812499999</c:v>
                </c:pt>
                <c:pt idx="7296">
                  <c:v>-100413.49152</c:v>
                </c:pt>
                <c:pt idx="7297">
                  <c:v>-100302.74643500001</c:v>
                </c:pt>
                <c:pt idx="7298">
                  <c:v>-100192.08284</c:v>
                </c:pt>
                <c:pt idx="7299">
                  <c:v>-100081.50070500001</c:v>
                </c:pt>
                <c:pt idx="7300">
                  <c:v>-99971.0</c:v>
                </c:pt>
                <c:pt idx="7301">
                  <c:v>-99860.58069499998</c:v>
                </c:pt>
                <c:pt idx="7302">
                  <c:v>-99750.24276000001</c:v>
                </c:pt>
                <c:pt idx="7303">
                  <c:v>-99639.98616499998</c:v>
                </c:pt>
                <c:pt idx="7304">
                  <c:v>-99529.81088</c:v>
                </c:pt>
                <c:pt idx="7305">
                  <c:v>-99419.716875</c:v>
                </c:pt>
                <c:pt idx="7306">
                  <c:v>-99309.70412000002</c:v>
                </c:pt>
                <c:pt idx="7307">
                  <c:v>-99199.772585</c:v>
                </c:pt>
                <c:pt idx="7308">
                  <c:v>-99089.92224000001</c:v>
                </c:pt>
                <c:pt idx="7309">
                  <c:v>-98980.15305499999</c:v>
                </c:pt>
                <c:pt idx="7310">
                  <c:v>-98870.46499999998</c:v>
                </c:pt>
                <c:pt idx="7311">
                  <c:v>-98760.858045</c:v>
                </c:pt>
                <c:pt idx="7312">
                  <c:v>-98651.33215999998</c:v>
                </c:pt>
                <c:pt idx="7313">
                  <c:v>-98541.88731500001</c:v>
                </c:pt>
                <c:pt idx="7314">
                  <c:v>-98432.52347999999</c:v>
                </c:pt>
                <c:pt idx="7315">
                  <c:v>-98323.24062500002</c:v>
                </c:pt>
                <c:pt idx="7316">
                  <c:v>-98214.03872000001</c:v>
                </c:pt>
                <c:pt idx="7317">
                  <c:v>-98104.91773499998</c:v>
                </c:pt>
                <c:pt idx="7318">
                  <c:v>-97995.87764000002</c:v>
                </c:pt>
                <c:pt idx="7319">
                  <c:v>-97886.91840499997</c:v>
                </c:pt>
                <c:pt idx="7320">
                  <c:v>-97778.04</c:v>
                </c:pt>
                <c:pt idx="7321">
                  <c:v>-97669.242395</c:v>
                </c:pt>
                <c:pt idx="7322">
                  <c:v>-97560.52556000002</c:v>
                </c:pt>
                <c:pt idx="7323">
                  <c:v>-97451.88946499999</c:v>
                </c:pt>
                <c:pt idx="7324">
                  <c:v>-97343.33408000003</c:v>
                </c:pt>
                <c:pt idx="7325">
                  <c:v>-97234.859375</c:v>
                </c:pt>
                <c:pt idx="7326">
                  <c:v>-97126.46531999999</c:v>
                </c:pt>
                <c:pt idx="7327">
                  <c:v>-97018.151885</c:v>
                </c:pt>
                <c:pt idx="7328">
                  <c:v>-96909.91904</c:v>
                </c:pt>
                <c:pt idx="7329">
                  <c:v>-96801.766755</c:v>
                </c:pt>
                <c:pt idx="7330">
                  <c:v>-96693.69499999999</c:v>
                </c:pt>
                <c:pt idx="7331">
                  <c:v>-96585.70374500002</c:v>
                </c:pt>
                <c:pt idx="7332">
                  <c:v>-96477.79295999998</c:v>
                </c:pt>
                <c:pt idx="7333">
                  <c:v>-96369.96261500001</c:v>
                </c:pt>
                <c:pt idx="7334">
                  <c:v>-96262.21268</c:v>
                </c:pt>
                <c:pt idx="7335">
                  <c:v>-96154.54312499998</c:v>
                </c:pt>
                <c:pt idx="7336">
                  <c:v>-96046.95392</c:v>
                </c:pt>
                <c:pt idx="7337">
                  <c:v>-95939.445035</c:v>
                </c:pt>
                <c:pt idx="7338">
                  <c:v>-95832.01644000002</c:v>
                </c:pt>
                <c:pt idx="7339">
                  <c:v>-95724.668105</c:v>
                </c:pt>
                <c:pt idx="7340">
                  <c:v>-95617.40000000001</c:v>
                </c:pt>
                <c:pt idx="7341">
                  <c:v>-95510.21209500001</c:v>
                </c:pt>
                <c:pt idx="7342">
                  <c:v>-95403.10435999997</c:v>
                </c:pt>
                <c:pt idx="7343">
                  <c:v>-95296.076765</c:v>
                </c:pt>
                <c:pt idx="7344">
                  <c:v>-95189.12927999998</c:v>
                </c:pt>
                <c:pt idx="7345">
                  <c:v>-95082.261875</c:v>
                </c:pt>
                <c:pt idx="7346">
                  <c:v>-94975.47451999999</c:v>
                </c:pt>
                <c:pt idx="7347">
                  <c:v>-94868.76718500002</c:v>
                </c:pt>
                <c:pt idx="7348">
                  <c:v>-94762.13983999999</c:v>
                </c:pt>
                <c:pt idx="7349">
                  <c:v>-94655.59245500003</c:v>
                </c:pt>
                <c:pt idx="7350">
                  <c:v>-94549.125</c:v>
                </c:pt>
                <c:pt idx="7351">
                  <c:v>-94442.73744499999</c:v>
                </c:pt>
                <c:pt idx="7352">
                  <c:v>-94336.42976</c:v>
                </c:pt>
                <c:pt idx="7353">
                  <c:v>-94230.20191500001</c:v>
                </c:pt>
                <c:pt idx="7354">
                  <c:v>-94124.05388000002</c:v>
                </c:pt>
                <c:pt idx="7355">
                  <c:v>-94017.985625</c:v>
                </c:pt>
                <c:pt idx="7356">
                  <c:v>-93911.99712000003</c:v>
                </c:pt>
                <c:pt idx="7357">
                  <c:v>-93806.088335</c:v>
                </c:pt>
                <c:pt idx="7358">
                  <c:v>-93700.25924000001</c:v>
                </c:pt>
                <c:pt idx="7359">
                  <c:v>-93594.509805</c:v>
                </c:pt>
                <c:pt idx="7360">
                  <c:v>-93488.84</c:v>
                </c:pt>
                <c:pt idx="7361">
                  <c:v>-93383.249795</c:v>
                </c:pt>
                <c:pt idx="7362">
                  <c:v>-93277.73915999998</c:v>
                </c:pt>
                <c:pt idx="7363">
                  <c:v>-93172.308065</c:v>
                </c:pt>
                <c:pt idx="7364">
                  <c:v>-93066.95648</c:v>
                </c:pt>
                <c:pt idx="7365">
                  <c:v>-92961.68437500001</c:v>
                </c:pt>
                <c:pt idx="7366">
                  <c:v>-92856.49172</c:v>
                </c:pt>
                <c:pt idx="7367">
                  <c:v>-92751.378485</c:v>
                </c:pt>
                <c:pt idx="7368">
                  <c:v>-92646.34464000001</c:v>
                </c:pt>
                <c:pt idx="7369">
                  <c:v>-92541.39015499999</c:v>
                </c:pt>
                <c:pt idx="7370">
                  <c:v>-92436.515</c:v>
                </c:pt>
                <c:pt idx="7371">
                  <c:v>-92331.719145</c:v>
                </c:pt>
                <c:pt idx="7372">
                  <c:v>-92227.00256000002</c:v>
                </c:pt>
                <c:pt idx="7373">
                  <c:v>-92122.365215</c:v>
                </c:pt>
                <c:pt idx="7374">
                  <c:v>-92017.80708000001</c:v>
                </c:pt>
                <c:pt idx="7375">
                  <c:v>-91913.328125</c:v>
                </c:pt>
                <c:pt idx="7376">
                  <c:v>-91808.92831999999</c:v>
                </c:pt>
                <c:pt idx="7377">
                  <c:v>-91704.60763500002</c:v>
                </c:pt>
                <c:pt idx="7378">
                  <c:v>-91600.36604000001</c:v>
                </c:pt>
                <c:pt idx="7379">
                  <c:v>-91496.203505</c:v>
                </c:pt>
                <c:pt idx="7380">
                  <c:v>-91392.12000000001</c:v>
                </c:pt>
                <c:pt idx="7381">
                  <c:v>-91288.11549500002</c:v>
                </c:pt>
                <c:pt idx="7382">
                  <c:v>-91184.18995999999</c:v>
                </c:pt>
                <c:pt idx="7383">
                  <c:v>-91080.34336500001</c:v>
                </c:pt>
                <c:pt idx="7384">
                  <c:v>-90976.57568</c:v>
                </c:pt>
                <c:pt idx="7385">
                  <c:v>-90872.886875</c:v>
                </c:pt>
                <c:pt idx="7386">
                  <c:v>-90769.27691999999</c:v>
                </c:pt>
                <c:pt idx="7387">
                  <c:v>-90665.74578499999</c:v>
                </c:pt>
                <c:pt idx="7388">
                  <c:v>-90562.29344000001</c:v>
                </c:pt>
                <c:pt idx="7389">
                  <c:v>-90458.919855</c:v>
                </c:pt>
                <c:pt idx="7390">
                  <c:v>-90355.62500000001</c:v>
                </c:pt>
                <c:pt idx="7391">
                  <c:v>-90252.408845</c:v>
                </c:pt>
                <c:pt idx="7392">
                  <c:v>-90149.27135999998</c:v>
                </c:pt>
                <c:pt idx="7393">
                  <c:v>-90046.212515</c:v>
                </c:pt>
                <c:pt idx="7394">
                  <c:v>-89943.23227999998</c:v>
                </c:pt>
                <c:pt idx="7395">
                  <c:v>-89840.33062499999</c:v>
                </c:pt>
                <c:pt idx="7396">
                  <c:v>-89737.50751999997</c:v>
                </c:pt>
                <c:pt idx="7397">
                  <c:v>-89634.762935</c:v>
                </c:pt>
                <c:pt idx="7398">
                  <c:v>-89532.09683999998</c:v>
                </c:pt>
                <c:pt idx="7399">
                  <c:v>-89429.50920500001</c:v>
                </c:pt>
                <c:pt idx="7400">
                  <c:v>-89327.0</c:v>
                </c:pt>
                <c:pt idx="7401">
                  <c:v>-89224.56919499999</c:v>
                </c:pt>
                <c:pt idx="7402">
                  <c:v>-89122.21676000001</c:v>
                </c:pt>
                <c:pt idx="7403">
                  <c:v>-89019.94266499998</c:v>
                </c:pt>
                <c:pt idx="7404">
                  <c:v>-88917.74688000002</c:v>
                </c:pt>
                <c:pt idx="7405">
                  <c:v>-88815.62937499999</c:v>
                </c:pt>
                <c:pt idx="7406">
                  <c:v>-88713.59012000002</c:v>
                </c:pt>
                <c:pt idx="7407">
                  <c:v>-88611.62908500001</c:v>
                </c:pt>
                <c:pt idx="7408">
                  <c:v>-88509.74624000001</c:v>
                </c:pt>
                <c:pt idx="7409">
                  <c:v>-88407.94155499998</c:v>
                </c:pt>
                <c:pt idx="7410">
                  <c:v>-88306.21499999997</c:v>
                </c:pt>
                <c:pt idx="7411">
                  <c:v>-88204.566545</c:v>
                </c:pt>
                <c:pt idx="7412">
                  <c:v>-88102.99616</c:v>
                </c:pt>
                <c:pt idx="7413">
                  <c:v>-88001.503815</c:v>
                </c:pt>
                <c:pt idx="7414">
                  <c:v>-87900.08948000001</c:v>
                </c:pt>
                <c:pt idx="7415">
                  <c:v>-87798.75312500003</c:v>
                </c:pt>
                <c:pt idx="7416">
                  <c:v>-87697.49472</c:v>
                </c:pt>
                <c:pt idx="7417">
                  <c:v>-87596.314235</c:v>
                </c:pt>
                <c:pt idx="7418">
                  <c:v>-87495.21164000002</c:v>
                </c:pt>
                <c:pt idx="7419">
                  <c:v>-87394.18690499997</c:v>
                </c:pt>
                <c:pt idx="7420">
                  <c:v>-87293.24</c:v>
                </c:pt>
                <c:pt idx="7421">
                  <c:v>-87192.370895</c:v>
                </c:pt>
                <c:pt idx="7422">
                  <c:v>-87091.57956</c:v>
                </c:pt>
                <c:pt idx="7423">
                  <c:v>-86990.865965</c:v>
                </c:pt>
                <c:pt idx="7424">
                  <c:v>-86890.23008000002</c:v>
                </c:pt>
                <c:pt idx="7425">
                  <c:v>-86789.671875</c:v>
                </c:pt>
                <c:pt idx="7426">
                  <c:v>-86689.19131999998</c:v>
                </c:pt>
                <c:pt idx="7427">
                  <c:v>-86588.788385</c:v>
                </c:pt>
                <c:pt idx="7428">
                  <c:v>-86488.46303999999</c:v>
                </c:pt>
                <c:pt idx="7429">
                  <c:v>-86388.215255</c:v>
                </c:pt>
                <c:pt idx="7430">
                  <c:v>-86288.04499999998</c:v>
                </c:pt>
                <c:pt idx="7431">
                  <c:v>-86187.95224500002</c:v>
                </c:pt>
                <c:pt idx="7432">
                  <c:v>-86087.93695999999</c:v>
                </c:pt>
                <c:pt idx="7433">
                  <c:v>-85987.99911500001</c:v>
                </c:pt>
                <c:pt idx="7434">
                  <c:v>-85888.13867999999</c:v>
                </c:pt>
                <c:pt idx="7435">
                  <c:v>-85788.35562499998</c:v>
                </c:pt>
                <c:pt idx="7436">
                  <c:v>-85688.64992000001</c:v>
                </c:pt>
                <c:pt idx="7437">
                  <c:v>-85589.02153499999</c:v>
                </c:pt>
                <c:pt idx="7438">
                  <c:v>-85489.47044</c:v>
                </c:pt>
                <c:pt idx="7439">
                  <c:v>-85389.996605</c:v>
                </c:pt>
                <c:pt idx="7440">
                  <c:v>-85290.60000000002</c:v>
                </c:pt>
                <c:pt idx="7441">
                  <c:v>-85191.28059500002</c:v>
                </c:pt>
                <c:pt idx="7442">
                  <c:v>-85092.03835999999</c:v>
                </c:pt>
                <c:pt idx="7443">
                  <c:v>-84992.87326500002</c:v>
                </c:pt>
                <c:pt idx="7444">
                  <c:v>-84893.78527999998</c:v>
                </c:pt>
                <c:pt idx="7445">
                  <c:v>-84794.774375</c:v>
                </c:pt>
                <c:pt idx="7446">
                  <c:v>-84695.84051999998</c:v>
                </c:pt>
                <c:pt idx="7447">
                  <c:v>-84596.983685</c:v>
                </c:pt>
                <c:pt idx="7448">
                  <c:v>-84498.20384</c:v>
                </c:pt>
                <c:pt idx="7449">
                  <c:v>-84399.50095500001</c:v>
                </c:pt>
                <c:pt idx="7450">
                  <c:v>-84300.875</c:v>
                </c:pt>
                <c:pt idx="7451">
                  <c:v>-84202.32594499999</c:v>
                </c:pt>
                <c:pt idx="7452">
                  <c:v>-84103.85376</c:v>
                </c:pt>
                <c:pt idx="7453">
                  <c:v>-84005.458415</c:v>
                </c:pt>
                <c:pt idx="7454">
                  <c:v>-83907.13988000002</c:v>
                </c:pt>
                <c:pt idx="7455">
                  <c:v>-83808.898125</c:v>
                </c:pt>
                <c:pt idx="7456">
                  <c:v>-83710.73312000002</c:v>
                </c:pt>
                <c:pt idx="7457">
                  <c:v>-83612.64483499998</c:v>
                </c:pt>
                <c:pt idx="7458">
                  <c:v>-83514.63324000001</c:v>
                </c:pt>
                <c:pt idx="7459">
                  <c:v>-83416.698305</c:v>
                </c:pt>
                <c:pt idx="7460">
                  <c:v>-83318.84</c:v>
                </c:pt>
                <c:pt idx="7461">
                  <c:v>-83221.058295</c:v>
                </c:pt>
                <c:pt idx="7462">
                  <c:v>-83123.35315999998</c:v>
                </c:pt>
                <c:pt idx="7463">
                  <c:v>-83025.72456500001</c:v>
                </c:pt>
                <c:pt idx="7464">
                  <c:v>-82928.17248</c:v>
                </c:pt>
                <c:pt idx="7465">
                  <c:v>-82830.69687500001</c:v>
                </c:pt>
                <c:pt idx="7466">
                  <c:v>-82733.29772</c:v>
                </c:pt>
                <c:pt idx="7467">
                  <c:v>-82635.97498499998</c:v>
                </c:pt>
                <c:pt idx="7468">
                  <c:v>-82538.72864000002</c:v>
                </c:pt>
                <c:pt idx="7469">
                  <c:v>-82441.55865499999</c:v>
                </c:pt>
                <c:pt idx="7470">
                  <c:v>-82344.465</c:v>
                </c:pt>
                <c:pt idx="7471">
                  <c:v>-82247.447645</c:v>
                </c:pt>
                <c:pt idx="7472">
                  <c:v>-82150.50656000001</c:v>
                </c:pt>
                <c:pt idx="7473">
                  <c:v>-82053.64171499999</c:v>
                </c:pt>
                <c:pt idx="7474">
                  <c:v>-81956.85308000002</c:v>
                </c:pt>
                <c:pt idx="7475">
                  <c:v>-81860.140625</c:v>
                </c:pt>
                <c:pt idx="7476">
                  <c:v>-81763.50432</c:v>
                </c:pt>
                <c:pt idx="7477">
                  <c:v>-81666.94413500001</c:v>
                </c:pt>
                <c:pt idx="7478">
                  <c:v>-81570.46003999999</c:v>
                </c:pt>
                <c:pt idx="7479">
                  <c:v>-81474.052005</c:v>
                </c:pt>
                <c:pt idx="7480">
                  <c:v>-81377.72</c:v>
                </c:pt>
                <c:pt idx="7481">
                  <c:v>-81281.46399500001</c:v>
                </c:pt>
                <c:pt idx="7482">
                  <c:v>-81185.28395999999</c:v>
                </c:pt>
                <c:pt idx="7483">
                  <c:v>-81089.17986500001</c:v>
                </c:pt>
                <c:pt idx="7484">
                  <c:v>-80993.15168</c:v>
                </c:pt>
                <c:pt idx="7485">
                  <c:v>-80897.19937499998</c:v>
                </c:pt>
                <c:pt idx="7486">
                  <c:v>-80801.32292</c:v>
                </c:pt>
                <c:pt idx="7487">
                  <c:v>-80705.522285</c:v>
                </c:pt>
                <c:pt idx="7488">
                  <c:v>-80609.79744000001</c:v>
                </c:pt>
                <c:pt idx="7489">
                  <c:v>-80514.148355</c:v>
                </c:pt>
                <c:pt idx="7490">
                  <c:v>-80418.57500000001</c:v>
                </c:pt>
                <c:pt idx="7491">
                  <c:v>-80323.077345</c:v>
                </c:pt>
                <c:pt idx="7492">
                  <c:v>-80227.65535999999</c:v>
                </c:pt>
                <c:pt idx="7493">
                  <c:v>-80132.309015</c:v>
                </c:pt>
                <c:pt idx="7494">
                  <c:v>-80037.03827999998</c:v>
                </c:pt>
                <c:pt idx="7495">
                  <c:v>-79941.843125</c:v>
                </c:pt>
                <c:pt idx="7496">
                  <c:v>-79846.72352</c:v>
                </c:pt>
                <c:pt idx="7497">
                  <c:v>-79751.67943500001</c:v>
                </c:pt>
                <c:pt idx="7498">
                  <c:v>-79656.71083999999</c:v>
                </c:pt>
                <c:pt idx="7499">
                  <c:v>-79561.81770500001</c:v>
                </c:pt>
                <c:pt idx="7500">
                  <c:v>-79467.0</c:v>
                </c:pt>
                <c:pt idx="7501">
                  <c:v>-79372.25769499998</c:v>
                </c:pt>
                <c:pt idx="7502">
                  <c:v>-79277.59076</c:v>
                </c:pt>
                <c:pt idx="7503">
                  <c:v>-79182.99916499999</c:v>
                </c:pt>
                <c:pt idx="7504">
                  <c:v>-79088.48288000001</c:v>
                </c:pt>
                <c:pt idx="7505">
                  <c:v>-78994.04187500001</c:v>
                </c:pt>
                <c:pt idx="7506">
                  <c:v>-78899.67612000002</c:v>
                </c:pt>
                <c:pt idx="7507">
                  <c:v>-78805.38558499998</c:v>
                </c:pt>
                <c:pt idx="7508">
                  <c:v>-78711.17024</c:v>
                </c:pt>
                <c:pt idx="7509">
                  <c:v>-78617.030055</c:v>
                </c:pt>
                <c:pt idx="7510">
                  <c:v>-78522.965</c:v>
                </c:pt>
                <c:pt idx="7511">
                  <c:v>-78428.975045</c:v>
                </c:pt>
                <c:pt idx="7512">
                  <c:v>-78335.06016</c:v>
                </c:pt>
                <c:pt idx="7513">
                  <c:v>-78241.22031500001</c:v>
                </c:pt>
                <c:pt idx="7514">
                  <c:v>-78147.45547999999</c:v>
                </c:pt>
                <c:pt idx="7515">
                  <c:v>-78053.76562500001</c:v>
                </c:pt>
                <c:pt idx="7516">
                  <c:v>-77960.15072</c:v>
                </c:pt>
                <c:pt idx="7517">
                  <c:v>-77866.61073499998</c:v>
                </c:pt>
                <c:pt idx="7518">
                  <c:v>-77773.14564000002</c:v>
                </c:pt>
                <c:pt idx="7519">
                  <c:v>-77679.75540499997</c:v>
                </c:pt>
                <c:pt idx="7520">
                  <c:v>-77586.44</c:v>
                </c:pt>
                <c:pt idx="7521">
                  <c:v>-77493.19939499999</c:v>
                </c:pt>
                <c:pt idx="7522">
                  <c:v>-77400.03356000001</c:v>
                </c:pt>
                <c:pt idx="7523">
                  <c:v>-77306.942465</c:v>
                </c:pt>
                <c:pt idx="7524">
                  <c:v>-77213.92608000002</c:v>
                </c:pt>
                <c:pt idx="7525">
                  <c:v>-77120.984375</c:v>
                </c:pt>
                <c:pt idx="7526">
                  <c:v>-77028.11731999999</c:v>
                </c:pt>
                <c:pt idx="7527">
                  <c:v>-76935.32488500001</c:v>
                </c:pt>
                <c:pt idx="7528">
                  <c:v>-76842.60703999999</c:v>
                </c:pt>
                <c:pt idx="7529">
                  <c:v>-76749.96375500002</c:v>
                </c:pt>
                <c:pt idx="7530">
                  <c:v>-76657.39499999999</c:v>
                </c:pt>
                <c:pt idx="7531">
                  <c:v>-76564.90074500004</c:v>
                </c:pt>
                <c:pt idx="7532">
                  <c:v>-76472.48096</c:v>
                </c:pt>
                <c:pt idx="7533">
                  <c:v>-76380.135615</c:v>
                </c:pt>
                <c:pt idx="7534">
                  <c:v>-76287.86468</c:v>
                </c:pt>
                <c:pt idx="7535">
                  <c:v>-76195.66812499998</c:v>
                </c:pt>
                <c:pt idx="7536">
                  <c:v>-76103.54592</c:v>
                </c:pt>
                <c:pt idx="7537">
                  <c:v>-76011.49803499998</c:v>
                </c:pt>
                <c:pt idx="7538">
                  <c:v>-75919.52444000001</c:v>
                </c:pt>
                <c:pt idx="7539">
                  <c:v>-75827.625105</c:v>
                </c:pt>
                <c:pt idx="7540">
                  <c:v>-75735.80000000003</c:v>
                </c:pt>
                <c:pt idx="7541">
                  <c:v>-75644.04909500001</c:v>
                </c:pt>
                <c:pt idx="7542">
                  <c:v>-75552.37235999998</c:v>
                </c:pt>
                <c:pt idx="7543">
                  <c:v>-75460.769765</c:v>
                </c:pt>
                <c:pt idx="7544">
                  <c:v>-75369.24127999997</c:v>
                </c:pt>
                <c:pt idx="7545">
                  <c:v>-75277.78687499999</c:v>
                </c:pt>
                <c:pt idx="7546">
                  <c:v>-75186.40651999999</c:v>
                </c:pt>
                <c:pt idx="7547">
                  <c:v>-75095.100185</c:v>
                </c:pt>
                <c:pt idx="7548">
                  <c:v>-75003.86783999999</c:v>
                </c:pt>
                <c:pt idx="7549">
                  <c:v>-74912.70945500002</c:v>
                </c:pt>
                <c:pt idx="7550">
                  <c:v>-74821.625</c:v>
                </c:pt>
                <c:pt idx="7551">
                  <c:v>-74730.61444499998</c:v>
                </c:pt>
                <c:pt idx="7552">
                  <c:v>-74639.67776</c:v>
                </c:pt>
                <c:pt idx="7553">
                  <c:v>-74548.814915</c:v>
                </c:pt>
                <c:pt idx="7554">
                  <c:v>-74458.02588</c:v>
                </c:pt>
                <c:pt idx="7555">
                  <c:v>-74367.310625</c:v>
                </c:pt>
                <c:pt idx="7556">
                  <c:v>-74276.66912000002</c:v>
                </c:pt>
                <c:pt idx="7557">
                  <c:v>-74186.10133499998</c:v>
                </c:pt>
                <c:pt idx="7558">
                  <c:v>-74095.60724000001</c:v>
                </c:pt>
                <c:pt idx="7559">
                  <c:v>-74005.186805</c:v>
                </c:pt>
                <c:pt idx="7560">
                  <c:v>-73914.83999999998</c:v>
                </c:pt>
                <c:pt idx="7561">
                  <c:v>-73824.566795</c:v>
                </c:pt>
                <c:pt idx="7562">
                  <c:v>-73734.36716</c:v>
                </c:pt>
                <c:pt idx="7563">
                  <c:v>-73644.24106500001</c:v>
                </c:pt>
                <c:pt idx="7564">
                  <c:v>-73554.18848</c:v>
                </c:pt>
                <c:pt idx="7565">
                  <c:v>-73464.20937500002</c:v>
                </c:pt>
                <c:pt idx="7566">
                  <c:v>-73374.30372</c:v>
                </c:pt>
                <c:pt idx="7567">
                  <c:v>-73284.471485</c:v>
                </c:pt>
                <c:pt idx="7568">
                  <c:v>-73194.71264000001</c:v>
                </c:pt>
                <c:pt idx="7569">
                  <c:v>-73105.02715499999</c:v>
                </c:pt>
                <c:pt idx="7570">
                  <c:v>-73015.415</c:v>
                </c:pt>
                <c:pt idx="7571">
                  <c:v>-72925.87614499999</c:v>
                </c:pt>
                <c:pt idx="7572">
                  <c:v>-72836.41056</c:v>
                </c:pt>
                <c:pt idx="7573">
                  <c:v>-72747.01821499999</c:v>
                </c:pt>
                <c:pt idx="7574">
                  <c:v>-72657.69908</c:v>
                </c:pt>
                <c:pt idx="7575">
                  <c:v>-72568.453125</c:v>
                </c:pt>
                <c:pt idx="7576">
                  <c:v>-72479.28031999998</c:v>
                </c:pt>
                <c:pt idx="7577">
                  <c:v>-72390.18063500001</c:v>
                </c:pt>
                <c:pt idx="7578">
                  <c:v>-72301.15404</c:v>
                </c:pt>
                <c:pt idx="7579">
                  <c:v>-72212.20050500002</c:v>
                </c:pt>
                <c:pt idx="7580">
                  <c:v>-72123.32</c:v>
                </c:pt>
                <c:pt idx="7581">
                  <c:v>-72034.51249500002</c:v>
                </c:pt>
                <c:pt idx="7582">
                  <c:v>-71945.77796</c:v>
                </c:pt>
                <c:pt idx="7583">
                  <c:v>-71857.11636500001</c:v>
                </c:pt>
                <c:pt idx="7584">
                  <c:v>-71768.52768</c:v>
                </c:pt>
                <c:pt idx="7585">
                  <c:v>-71680.011875</c:v>
                </c:pt>
                <c:pt idx="7586">
                  <c:v>-71591.56892</c:v>
                </c:pt>
                <c:pt idx="7587">
                  <c:v>-71503.19878499999</c:v>
                </c:pt>
                <c:pt idx="7588">
                  <c:v>-71414.90144000002</c:v>
                </c:pt>
                <c:pt idx="7589">
                  <c:v>-71326.676855</c:v>
                </c:pt>
                <c:pt idx="7590">
                  <c:v>-71238.52500000001</c:v>
                </c:pt>
                <c:pt idx="7591">
                  <c:v>-71150.445845</c:v>
                </c:pt>
                <c:pt idx="7592">
                  <c:v>-71062.43935999999</c:v>
                </c:pt>
                <c:pt idx="7593">
                  <c:v>-70974.50551500001</c:v>
                </c:pt>
                <c:pt idx="7594">
                  <c:v>-70886.64427999998</c:v>
                </c:pt>
                <c:pt idx="7595">
                  <c:v>-70798.855625</c:v>
                </c:pt>
                <c:pt idx="7596">
                  <c:v>-70711.13952</c:v>
                </c:pt>
                <c:pt idx="7597">
                  <c:v>-70623.49593500001</c:v>
                </c:pt>
                <c:pt idx="7598">
                  <c:v>-70535.92483999999</c:v>
                </c:pt>
                <c:pt idx="7599">
                  <c:v>-70448.42620500001</c:v>
                </c:pt>
                <c:pt idx="7600">
                  <c:v>-70361.0</c:v>
                </c:pt>
                <c:pt idx="7601">
                  <c:v>-70273.646195</c:v>
                </c:pt>
                <c:pt idx="7602">
                  <c:v>-70186.36476000001</c:v>
                </c:pt>
                <c:pt idx="7603">
                  <c:v>-70099.15566499998</c:v>
                </c:pt>
                <c:pt idx="7604">
                  <c:v>-70012.01888</c:v>
                </c:pt>
                <c:pt idx="7605">
                  <c:v>-69924.954375</c:v>
                </c:pt>
                <c:pt idx="7606">
                  <c:v>-69837.96212000001</c:v>
                </c:pt>
                <c:pt idx="7607">
                  <c:v>-69751.042085</c:v>
                </c:pt>
                <c:pt idx="7608">
                  <c:v>-69664.19424000001</c:v>
                </c:pt>
                <c:pt idx="7609">
                  <c:v>-69577.418555</c:v>
                </c:pt>
                <c:pt idx="7610">
                  <c:v>-69490.71499999998</c:v>
                </c:pt>
                <c:pt idx="7611">
                  <c:v>-69404.083545</c:v>
                </c:pt>
                <c:pt idx="7612">
                  <c:v>-69317.52415999999</c:v>
                </c:pt>
                <c:pt idx="7613">
                  <c:v>-69231.036815</c:v>
                </c:pt>
                <c:pt idx="7614">
                  <c:v>-69144.62147999999</c:v>
                </c:pt>
                <c:pt idx="7615">
                  <c:v>-69058.27812500001</c:v>
                </c:pt>
                <c:pt idx="7616">
                  <c:v>-68972.00672</c:v>
                </c:pt>
                <c:pt idx="7617">
                  <c:v>-68885.807235</c:v>
                </c:pt>
                <c:pt idx="7618">
                  <c:v>-68799.67964</c:v>
                </c:pt>
                <c:pt idx="7619">
                  <c:v>-68713.62390499999</c:v>
                </c:pt>
                <c:pt idx="7620">
                  <c:v>-68627.64</c:v>
                </c:pt>
                <c:pt idx="7621">
                  <c:v>-68541.72789499999</c:v>
                </c:pt>
                <c:pt idx="7622">
                  <c:v>-68455.88756000002</c:v>
                </c:pt>
                <c:pt idx="7623">
                  <c:v>-68370.118965</c:v>
                </c:pt>
                <c:pt idx="7624">
                  <c:v>-68284.42208000002</c:v>
                </c:pt>
                <c:pt idx="7625">
                  <c:v>-68198.796875</c:v>
                </c:pt>
                <c:pt idx="7626">
                  <c:v>-68113.24332</c:v>
                </c:pt>
                <c:pt idx="7627">
                  <c:v>-68027.761385</c:v>
                </c:pt>
                <c:pt idx="7628">
                  <c:v>-67942.35104000001</c:v>
                </c:pt>
                <c:pt idx="7629">
                  <c:v>-67857.01225500002</c:v>
                </c:pt>
                <c:pt idx="7630">
                  <c:v>-67771.745</c:v>
                </c:pt>
                <c:pt idx="7631">
                  <c:v>-67686.54924500002</c:v>
                </c:pt>
                <c:pt idx="7632">
                  <c:v>-67601.42495999999</c:v>
                </c:pt>
                <c:pt idx="7633">
                  <c:v>-67516.37211500002</c:v>
                </c:pt>
                <c:pt idx="7634">
                  <c:v>-67431.39068</c:v>
                </c:pt>
                <c:pt idx="7635">
                  <c:v>-67346.480625</c:v>
                </c:pt>
                <c:pt idx="7636">
                  <c:v>-67261.64192000001</c:v>
                </c:pt>
                <c:pt idx="7637">
                  <c:v>-67176.874535</c:v>
                </c:pt>
                <c:pt idx="7638">
                  <c:v>-67092.17844</c:v>
                </c:pt>
                <c:pt idx="7639">
                  <c:v>-67007.553605</c:v>
                </c:pt>
                <c:pt idx="7640">
                  <c:v>-66923.00000000001</c:v>
                </c:pt>
                <c:pt idx="7641">
                  <c:v>-66838.51759500001</c:v>
                </c:pt>
                <c:pt idx="7642">
                  <c:v>-66754.10635999999</c:v>
                </c:pt>
                <c:pt idx="7643">
                  <c:v>-66669.76626500001</c:v>
                </c:pt>
                <c:pt idx="7644">
                  <c:v>-66585.49727999998</c:v>
                </c:pt>
                <c:pt idx="7645">
                  <c:v>-66501.299375</c:v>
                </c:pt>
                <c:pt idx="7646">
                  <c:v>-66417.17252</c:v>
                </c:pt>
                <c:pt idx="7647">
                  <c:v>-66333.11668500002</c:v>
                </c:pt>
                <c:pt idx="7648">
                  <c:v>-66249.13184</c:v>
                </c:pt>
                <c:pt idx="7649">
                  <c:v>-66165.21795500001</c:v>
                </c:pt>
                <c:pt idx="7650">
                  <c:v>-66081.375</c:v>
                </c:pt>
                <c:pt idx="7651">
                  <c:v>-65997.60294499999</c:v>
                </c:pt>
                <c:pt idx="7652">
                  <c:v>-65913.90176000001</c:v>
                </c:pt>
                <c:pt idx="7653">
                  <c:v>-65830.271415</c:v>
                </c:pt>
                <c:pt idx="7654">
                  <c:v>-65746.71188</c:v>
                </c:pt>
                <c:pt idx="7655">
                  <c:v>-65663.22312499999</c:v>
                </c:pt>
                <c:pt idx="7656">
                  <c:v>-65579.80512</c:v>
                </c:pt>
                <c:pt idx="7657">
                  <c:v>-65496.457834999994</c:v>
                </c:pt>
                <c:pt idx="7658">
                  <c:v>-65413.18124000002</c:v>
                </c:pt>
                <c:pt idx="7659">
                  <c:v>-65329.97530500001</c:v>
                </c:pt>
                <c:pt idx="7660">
                  <c:v>-65246.83999999998</c:v>
                </c:pt>
                <c:pt idx="7661">
                  <c:v>-65163.775295000014</c:v>
                </c:pt>
                <c:pt idx="7662">
                  <c:v>-65080.78116</c:v>
                </c:pt>
                <c:pt idx="7663">
                  <c:v>-64997.85756500001</c:v>
                </c:pt>
                <c:pt idx="7664">
                  <c:v>-64915.004479999996</c:v>
                </c:pt>
                <c:pt idx="7665">
                  <c:v>-64832.22187500002</c:v>
                </c:pt>
                <c:pt idx="7666">
                  <c:v>-64749.509719999995</c:v>
                </c:pt>
                <c:pt idx="7667">
                  <c:v>-64666.86798499998</c:v>
                </c:pt>
                <c:pt idx="7668">
                  <c:v>-64584.29664000001</c:v>
                </c:pt>
                <c:pt idx="7669">
                  <c:v>-64501.795654999994</c:v>
                </c:pt>
                <c:pt idx="7670">
                  <c:v>-64419.365000000005</c:v>
                </c:pt>
                <c:pt idx="7671">
                  <c:v>-64337.00464499999</c:v>
                </c:pt>
                <c:pt idx="7672">
                  <c:v>-64254.71456000001</c:v>
                </c:pt>
                <c:pt idx="7673">
                  <c:v>-64172.494715</c:v>
                </c:pt>
                <c:pt idx="7674">
                  <c:v>-64090.345080000014</c:v>
                </c:pt>
                <c:pt idx="7675">
                  <c:v>-64008.265625</c:v>
                </c:pt>
                <c:pt idx="7676">
                  <c:v>-63926.25631999999</c:v>
                </c:pt>
                <c:pt idx="7677">
                  <c:v>-63844.317135000005</c:v>
                </c:pt>
                <c:pt idx="7678">
                  <c:v>-63762.448039999996</c:v>
                </c:pt>
                <c:pt idx="7679">
                  <c:v>-63680.64900500001</c:v>
                </c:pt>
                <c:pt idx="7680">
                  <c:v>-63598.92</c:v>
                </c:pt>
                <c:pt idx="7681">
                  <c:v>-63517.26099500001</c:v>
                </c:pt>
                <c:pt idx="7682">
                  <c:v>-63435.67195999999</c:v>
                </c:pt>
                <c:pt idx="7683">
                  <c:v>-63354.15286500002</c:v>
                </c:pt>
                <c:pt idx="7684">
                  <c:v>-63272.70368000001</c:v>
                </c:pt>
                <c:pt idx="7685">
                  <c:v>-63191.32437499998</c:v>
                </c:pt>
                <c:pt idx="7686">
                  <c:v>-63110.01492</c:v>
                </c:pt>
                <c:pt idx="7687">
                  <c:v>-63028.77528499998</c:v>
                </c:pt>
                <c:pt idx="7688">
                  <c:v>-62947.60544000001</c:v>
                </c:pt>
                <c:pt idx="7689">
                  <c:v>-62866.505355</c:v>
                </c:pt>
                <c:pt idx="7690">
                  <c:v>-62785.47500000001</c:v>
                </c:pt>
                <c:pt idx="7691">
                  <c:v>-62704.51434499999</c:v>
                </c:pt>
                <c:pt idx="7692">
                  <c:v>-62623.62335999998</c:v>
                </c:pt>
                <c:pt idx="7693">
                  <c:v>-62542.802015</c:v>
                </c:pt>
                <c:pt idx="7694">
                  <c:v>-62462.05027999999</c:v>
                </c:pt>
                <c:pt idx="7695">
                  <c:v>-62381.36812500001</c:v>
                </c:pt>
                <c:pt idx="7696">
                  <c:v>-62300.75552</c:v>
                </c:pt>
                <c:pt idx="7697">
                  <c:v>-62220.212435</c:v>
                </c:pt>
                <c:pt idx="7698">
                  <c:v>-62139.73884</c:v>
                </c:pt>
                <c:pt idx="7699">
                  <c:v>-62059.334705000016</c:v>
                </c:pt>
                <c:pt idx="7700">
                  <c:v>-61979.0</c:v>
                </c:pt>
                <c:pt idx="7701">
                  <c:v>-61898.734694999985</c:v>
                </c:pt>
                <c:pt idx="7702">
                  <c:v>-61818.53876</c:v>
                </c:pt>
                <c:pt idx="7703">
                  <c:v>-61738.412165</c:v>
                </c:pt>
                <c:pt idx="7704">
                  <c:v>-61658.354880000006</c:v>
                </c:pt>
                <c:pt idx="7705">
                  <c:v>-61578.366875</c:v>
                </c:pt>
                <c:pt idx="7706">
                  <c:v>-61498.448120000015</c:v>
                </c:pt>
                <c:pt idx="7707">
                  <c:v>-61418.59858499999</c:v>
                </c:pt>
                <c:pt idx="7708">
                  <c:v>-61338.818240000015</c:v>
                </c:pt>
                <c:pt idx="7709">
                  <c:v>-61259.10705500001</c:v>
                </c:pt>
                <c:pt idx="7710">
                  <c:v>-61179.46499999999</c:v>
                </c:pt>
                <c:pt idx="7711">
                  <c:v>-61099.892045</c:v>
                </c:pt>
                <c:pt idx="7712">
                  <c:v>-61020.38815999999</c:v>
                </c:pt>
                <c:pt idx="7713">
                  <c:v>-60940.953315000006</c:v>
                </c:pt>
                <c:pt idx="7714">
                  <c:v>-60861.587479999995</c:v>
                </c:pt>
                <c:pt idx="7715">
                  <c:v>-60782.290625000016</c:v>
                </c:pt>
                <c:pt idx="7716">
                  <c:v>-60703.062719999994</c:v>
                </c:pt>
                <c:pt idx="7717">
                  <c:v>-60623.903734999985</c:v>
                </c:pt>
                <c:pt idx="7718">
                  <c:v>-60544.81364000001</c:v>
                </c:pt>
                <c:pt idx="7719">
                  <c:v>-60465.792404999986</c:v>
                </c:pt>
                <c:pt idx="7720">
                  <c:v>-60386.840000000004</c:v>
                </c:pt>
                <c:pt idx="7721">
                  <c:v>-60307.956394999994</c:v>
                </c:pt>
                <c:pt idx="7722">
                  <c:v>-60229.14156000001</c:v>
                </c:pt>
                <c:pt idx="7723">
                  <c:v>-60150.395464999994</c:v>
                </c:pt>
                <c:pt idx="7724">
                  <c:v>-60071.718080000006</c:v>
                </c:pt>
                <c:pt idx="7725">
                  <c:v>-59993.109375</c:v>
                </c:pt>
                <c:pt idx="7726">
                  <c:v>-59914.56931999999</c:v>
                </c:pt>
                <c:pt idx="7727">
                  <c:v>-59836.09788500001</c:v>
                </c:pt>
                <c:pt idx="7728">
                  <c:v>-59757.69503999999</c:v>
                </c:pt>
                <c:pt idx="7729">
                  <c:v>-59679.360755</c:v>
                </c:pt>
                <c:pt idx="7730">
                  <c:v>-59601.094999999994</c:v>
                </c:pt>
                <c:pt idx="7731">
                  <c:v>-59522.89774500001</c:v>
                </c:pt>
                <c:pt idx="7732">
                  <c:v>-59444.768959999994</c:v>
                </c:pt>
                <c:pt idx="7733">
                  <c:v>-59366.70861500001</c:v>
                </c:pt>
                <c:pt idx="7734">
                  <c:v>-59288.716680000005</c:v>
                </c:pt>
                <c:pt idx="7735">
                  <c:v>-59210.79312499998</c:v>
                </c:pt>
                <c:pt idx="7736">
                  <c:v>-59132.937920000004</c:v>
                </c:pt>
                <c:pt idx="7737">
                  <c:v>-59055.151034999995</c:v>
                </c:pt>
                <c:pt idx="7738">
                  <c:v>-58977.432440000004</c:v>
                </c:pt>
                <c:pt idx="7739">
                  <c:v>-58899.782105</c:v>
                </c:pt>
                <c:pt idx="7740">
                  <c:v>-58822.200000000004</c:v>
                </c:pt>
                <c:pt idx="7741">
                  <c:v>-58744.68609499999</c:v>
                </c:pt>
                <c:pt idx="7742">
                  <c:v>-58667.24035999999</c:v>
                </c:pt>
                <c:pt idx="7743">
                  <c:v>-58589.862765000005</c:v>
                </c:pt>
                <c:pt idx="7744">
                  <c:v>-58512.55328</c:v>
                </c:pt>
                <c:pt idx="7745">
                  <c:v>-58435.31187500001</c:v>
                </c:pt>
                <c:pt idx="7746">
                  <c:v>-58358.13851999999</c:v>
                </c:pt>
                <c:pt idx="7747">
                  <c:v>-58281.033185000015</c:v>
                </c:pt>
                <c:pt idx="7748">
                  <c:v>-58203.99583999999</c:v>
                </c:pt>
                <c:pt idx="7749">
                  <c:v>-58127.026455000014</c:v>
                </c:pt>
                <c:pt idx="7750">
                  <c:v>-58050.125</c:v>
                </c:pt>
                <c:pt idx="7751">
                  <c:v>-57973.291444999995</c:v>
                </c:pt>
                <c:pt idx="7752">
                  <c:v>-57896.525760000004</c:v>
                </c:pt>
                <c:pt idx="7753">
                  <c:v>-57819.827915</c:v>
                </c:pt>
                <c:pt idx="7754">
                  <c:v>-57743.19788000001</c:v>
                </c:pt>
                <c:pt idx="7755">
                  <c:v>-57666.63562499999</c:v>
                </c:pt>
                <c:pt idx="7756">
                  <c:v>-57590.14112000001</c:v>
                </c:pt>
                <c:pt idx="7757">
                  <c:v>-57513.714335</c:v>
                </c:pt>
                <c:pt idx="7758">
                  <c:v>-57437.35524000001</c:v>
                </c:pt>
                <c:pt idx="7759">
                  <c:v>-57361.063805000005</c:v>
                </c:pt>
                <c:pt idx="7760">
                  <c:v>-57284.83999999998</c:v>
                </c:pt>
                <c:pt idx="7761">
                  <c:v>-57208.683795</c:v>
                </c:pt>
                <c:pt idx="7762">
                  <c:v>-57132.59515999999</c:v>
                </c:pt>
                <c:pt idx="7763">
                  <c:v>-57056.574065</c:v>
                </c:pt>
                <c:pt idx="7764">
                  <c:v>-56980.62048</c:v>
                </c:pt>
                <c:pt idx="7765">
                  <c:v>-56904.734375000015</c:v>
                </c:pt>
                <c:pt idx="7766">
                  <c:v>-56828.91572</c:v>
                </c:pt>
                <c:pt idx="7767">
                  <c:v>-56753.16448499999</c:v>
                </c:pt>
                <c:pt idx="7768">
                  <c:v>-56677.48064000001</c:v>
                </c:pt>
                <c:pt idx="7769">
                  <c:v>-56601.86415499999</c:v>
                </c:pt>
                <c:pt idx="7770">
                  <c:v>-56526.31500000001</c:v>
                </c:pt>
                <c:pt idx="7771">
                  <c:v>-56450.833145</c:v>
                </c:pt>
                <c:pt idx="7772">
                  <c:v>-56375.418560000006</c:v>
                </c:pt>
                <c:pt idx="7773">
                  <c:v>-56300.071214999996</c:v>
                </c:pt>
                <c:pt idx="7774">
                  <c:v>-56224.79108000002</c:v>
                </c:pt>
                <c:pt idx="7775">
                  <c:v>-56149.578125</c:v>
                </c:pt>
                <c:pt idx="7776">
                  <c:v>-56074.43231999999</c:v>
                </c:pt>
                <c:pt idx="7777">
                  <c:v>-55999.35363500001</c:v>
                </c:pt>
                <c:pt idx="7778">
                  <c:v>-55924.342039999996</c:v>
                </c:pt>
                <c:pt idx="7779">
                  <c:v>-55849.397505</c:v>
                </c:pt>
                <c:pt idx="7780">
                  <c:v>-55774.51999999999</c:v>
                </c:pt>
                <c:pt idx="7781">
                  <c:v>-55699.70949500001</c:v>
                </c:pt>
                <c:pt idx="7782">
                  <c:v>-55624.965959999994</c:v>
                </c:pt>
                <c:pt idx="7783">
                  <c:v>-55550.28936500002</c:v>
                </c:pt>
                <c:pt idx="7784">
                  <c:v>-55475.67968000001</c:v>
                </c:pt>
                <c:pt idx="7785">
                  <c:v>-55401.13687499999</c:v>
                </c:pt>
                <c:pt idx="7786">
                  <c:v>-55326.66092</c:v>
                </c:pt>
                <c:pt idx="7787">
                  <c:v>-55252.25178499999</c:v>
                </c:pt>
                <c:pt idx="7788">
                  <c:v>-55177.90944</c:v>
                </c:pt>
                <c:pt idx="7789">
                  <c:v>-55103.633855</c:v>
                </c:pt>
                <c:pt idx="7790">
                  <c:v>-55029.42500000002</c:v>
                </c:pt>
                <c:pt idx="7791">
                  <c:v>-54955.282844999994</c:v>
                </c:pt>
                <c:pt idx="7792">
                  <c:v>-54881.207359999986</c:v>
                </c:pt>
                <c:pt idx="7793">
                  <c:v>-54807.198515000004</c:v>
                </c:pt>
                <c:pt idx="7794">
                  <c:v>-54733.25627999999</c:v>
                </c:pt>
                <c:pt idx="7795">
                  <c:v>-54659.38062500001</c:v>
                </c:pt>
                <c:pt idx="7796">
                  <c:v>-54585.57152</c:v>
                </c:pt>
                <c:pt idx="7797">
                  <c:v>-54511.828935</c:v>
                </c:pt>
                <c:pt idx="7798">
                  <c:v>-54438.152839999995</c:v>
                </c:pt>
                <c:pt idx="7799">
                  <c:v>-54364.54320500001</c:v>
                </c:pt>
                <c:pt idx="7800">
                  <c:v>-54291.0</c:v>
                </c:pt>
                <c:pt idx="7801">
                  <c:v>-54217.52319499999</c:v>
                </c:pt>
                <c:pt idx="7802">
                  <c:v>-54144.11276</c:v>
                </c:pt>
                <c:pt idx="7803">
                  <c:v>-54070.768664999996</c:v>
                </c:pt>
                <c:pt idx="7804">
                  <c:v>-53997.490880000005</c:v>
                </c:pt>
                <c:pt idx="7805">
                  <c:v>-53924.27937499999</c:v>
                </c:pt>
                <c:pt idx="7806">
                  <c:v>-53851.13412</c:v>
                </c:pt>
                <c:pt idx="7807">
                  <c:v>-53778.05508500001</c:v>
                </c:pt>
                <c:pt idx="7808">
                  <c:v>-53705.04224000002</c:v>
                </c:pt>
                <c:pt idx="7809">
                  <c:v>-53632.095555</c:v>
                </c:pt>
                <c:pt idx="7810">
                  <c:v>-53559.21499999998</c:v>
                </c:pt>
                <c:pt idx="7811">
                  <c:v>-53486.400545000004</c:v>
                </c:pt>
                <c:pt idx="7812">
                  <c:v>-53413.65216</c:v>
                </c:pt>
                <c:pt idx="7813">
                  <c:v>-53340.969815000004</c:v>
                </c:pt>
                <c:pt idx="7814">
                  <c:v>-53268.35348</c:v>
                </c:pt>
                <c:pt idx="7815">
                  <c:v>-53195.80312500002</c:v>
                </c:pt>
                <c:pt idx="7816">
                  <c:v>-53123.318719999996</c:v>
                </c:pt>
                <c:pt idx="7817">
                  <c:v>-53050.90023499999</c:v>
                </c:pt>
                <c:pt idx="7818">
                  <c:v>-52978.547640000004</c:v>
                </c:pt>
                <c:pt idx="7819">
                  <c:v>-52906.260904999996</c:v>
                </c:pt>
                <c:pt idx="7820">
                  <c:v>-52834.040000000015</c:v>
                </c:pt>
                <c:pt idx="7821">
                  <c:v>-52761.884894999996</c:v>
                </c:pt>
                <c:pt idx="7822">
                  <c:v>-52689.795560000006</c:v>
                </c:pt>
                <c:pt idx="7823">
                  <c:v>-52617.77196499999</c:v>
                </c:pt>
                <c:pt idx="7824">
                  <c:v>-52545.814080000004</c:v>
                </c:pt>
                <c:pt idx="7825">
                  <c:v>-52473.921875</c:v>
                </c:pt>
                <c:pt idx="7826">
                  <c:v>-52402.09531999999</c:v>
                </c:pt>
                <c:pt idx="7827">
                  <c:v>-52330.33438500001</c:v>
                </c:pt>
                <c:pt idx="7828">
                  <c:v>-52258.63903999999</c:v>
                </c:pt>
                <c:pt idx="7829">
                  <c:v>-52187.009255000004</c:v>
                </c:pt>
                <c:pt idx="7830">
                  <c:v>-52115.444999999985</c:v>
                </c:pt>
                <c:pt idx="7831">
                  <c:v>-52043.94624500001</c:v>
                </c:pt>
                <c:pt idx="7832">
                  <c:v>-51972.51296000001</c:v>
                </c:pt>
                <c:pt idx="7833">
                  <c:v>-51901.14511500001</c:v>
                </c:pt>
                <c:pt idx="7834">
                  <c:v>-51829.84268</c:v>
                </c:pt>
                <c:pt idx="7835">
                  <c:v>-51758.60562499998</c:v>
                </c:pt>
                <c:pt idx="7836">
                  <c:v>-51687.43392</c:v>
                </c:pt>
                <c:pt idx="7837">
                  <c:v>-51616.32753499999</c:v>
                </c:pt>
                <c:pt idx="7838">
                  <c:v>-51545.28644</c:v>
                </c:pt>
                <c:pt idx="7839">
                  <c:v>-51474.310605</c:v>
                </c:pt>
                <c:pt idx="7840">
                  <c:v>-51403.400000000016</c:v>
                </c:pt>
                <c:pt idx="7841">
                  <c:v>-51332.554595</c:v>
                </c:pt>
                <c:pt idx="7842">
                  <c:v>-51261.77435999999</c:v>
                </c:pt>
                <c:pt idx="7843">
                  <c:v>-51191.059265</c:v>
                </c:pt>
                <c:pt idx="7844">
                  <c:v>-51120.40928</c:v>
                </c:pt>
                <c:pt idx="7845">
                  <c:v>-51049.82437500001</c:v>
                </c:pt>
                <c:pt idx="7846">
                  <c:v>-50979.30452</c:v>
                </c:pt>
                <c:pt idx="7847">
                  <c:v>-50908.84968500001</c:v>
                </c:pt>
                <c:pt idx="7848">
                  <c:v>-50838.459839999996</c:v>
                </c:pt>
                <c:pt idx="7849">
                  <c:v>-50768.13495500001</c:v>
                </c:pt>
                <c:pt idx="7850">
                  <c:v>-50697.875</c:v>
                </c:pt>
                <c:pt idx="7851">
                  <c:v>-50627.679944999996</c:v>
                </c:pt>
                <c:pt idx="7852">
                  <c:v>-50557.54976</c:v>
                </c:pt>
                <c:pt idx="7853">
                  <c:v>-50487.48441499999</c:v>
                </c:pt>
                <c:pt idx="7854">
                  <c:v>-50417.48388</c:v>
                </c:pt>
                <c:pt idx="7855">
                  <c:v>-50347.548124999994</c:v>
                </c:pt>
                <c:pt idx="7856">
                  <c:v>-50277.677120000015</c:v>
                </c:pt>
                <c:pt idx="7857">
                  <c:v>-50207.870835</c:v>
                </c:pt>
                <c:pt idx="7858">
                  <c:v>-50138.12924000002</c:v>
                </c:pt>
                <c:pt idx="7859">
                  <c:v>-50068.452305000006</c:v>
                </c:pt>
                <c:pt idx="7860">
                  <c:v>-49998.83999999998</c:v>
                </c:pt>
                <c:pt idx="7861">
                  <c:v>-49929.29229500001</c:v>
                </c:pt>
                <c:pt idx="7862">
                  <c:v>-49859.80916</c:v>
                </c:pt>
                <c:pt idx="7863">
                  <c:v>-49790.390565</c:v>
                </c:pt>
                <c:pt idx="7864">
                  <c:v>-49721.03648</c:v>
                </c:pt>
                <c:pt idx="7865">
                  <c:v>-49651.74687500001</c:v>
                </c:pt>
                <c:pt idx="7866">
                  <c:v>-49582.52172</c:v>
                </c:pt>
                <c:pt idx="7867">
                  <c:v>-49513.360984999985</c:v>
                </c:pt>
                <c:pt idx="7868">
                  <c:v>-49444.26464</c:v>
                </c:pt>
                <c:pt idx="7869">
                  <c:v>-49375.23265499999</c:v>
                </c:pt>
                <c:pt idx="7870">
                  <c:v>-49306.26500000001</c:v>
                </c:pt>
                <c:pt idx="7871">
                  <c:v>-49237.361645</c:v>
                </c:pt>
                <c:pt idx="7872">
                  <c:v>-49168.52256000001</c:v>
                </c:pt>
                <c:pt idx="7873">
                  <c:v>-49099.74771499999</c:v>
                </c:pt>
                <c:pt idx="7874">
                  <c:v>-49031.03708000002</c:v>
                </c:pt>
                <c:pt idx="7875">
                  <c:v>-48962.390625</c:v>
                </c:pt>
                <c:pt idx="7876">
                  <c:v>-48893.80831999999</c:v>
                </c:pt>
                <c:pt idx="7877">
                  <c:v>-48825.290135</c:v>
                </c:pt>
                <c:pt idx="7878">
                  <c:v>-48756.83604</c:v>
                </c:pt>
                <c:pt idx="7879">
                  <c:v>-48688.446005</c:v>
                </c:pt>
                <c:pt idx="7880">
                  <c:v>-48620.11999999999</c:v>
                </c:pt>
                <c:pt idx="7881">
                  <c:v>-48551.857995000006</c:v>
                </c:pt>
                <c:pt idx="7882">
                  <c:v>-48483.659960000005</c:v>
                </c:pt>
                <c:pt idx="7883">
                  <c:v>-48415.52586500002</c:v>
                </c:pt>
                <c:pt idx="7884">
                  <c:v>-48347.45568</c:v>
                </c:pt>
                <c:pt idx="7885">
                  <c:v>-48279.44937499999</c:v>
                </c:pt>
                <c:pt idx="7886">
                  <c:v>-48211.50692000001</c:v>
                </c:pt>
                <c:pt idx="7887">
                  <c:v>-48143.628285</c:v>
                </c:pt>
                <c:pt idx="7888">
                  <c:v>-48075.813440000005</c:v>
                </c:pt>
                <c:pt idx="7889">
                  <c:v>-48008.062354999995</c:v>
                </c:pt>
                <c:pt idx="7890">
                  <c:v>-47940.375000000015</c:v>
                </c:pt>
                <c:pt idx="7891">
                  <c:v>-47872.751345</c:v>
                </c:pt>
                <c:pt idx="7892">
                  <c:v>-47805.19135999998</c:v>
                </c:pt>
                <c:pt idx="7893">
                  <c:v>-47737.695015</c:v>
                </c:pt>
                <c:pt idx="7894">
                  <c:v>-47670.26227999999</c:v>
                </c:pt>
                <c:pt idx="7895">
                  <c:v>-47602.89312500001</c:v>
                </c:pt>
                <c:pt idx="7896">
                  <c:v>-47535.587519999994</c:v>
                </c:pt>
                <c:pt idx="7897">
                  <c:v>-47468.34543500001</c:v>
                </c:pt>
                <c:pt idx="7898">
                  <c:v>-47401.16684</c:v>
                </c:pt>
                <c:pt idx="7899">
                  <c:v>-47334.05170500001</c:v>
                </c:pt>
                <c:pt idx="7900">
                  <c:v>-47267.0</c:v>
                </c:pt>
                <c:pt idx="7901">
                  <c:v>-47200.01169499999</c:v>
                </c:pt>
                <c:pt idx="7902">
                  <c:v>-47133.086760000006</c:v>
                </c:pt>
                <c:pt idx="7903">
                  <c:v>-47066.225164999996</c:v>
                </c:pt>
                <c:pt idx="7904">
                  <c:v>-46999.42688</c:v>
                </c:pt>
                <c:pt idx="7905">
                  <c:v>-46932.691875</c:v>
                </c:pt>
                <c:pt idx="7906">
                  <c:v>-46866.02012</c:v>
                </c:pt>
                <c:pt idx="7907">
                  <c:v>-46799.411585</c:v>
                </c:pt>
                <c:pt idx="7908">
                  <c:v>-46732.86624000002</c:v>
                </c:pt>
                <c:pt idx="7909">
                  <c:v>-46666.38405500001</c:v>
                </c:pt>
                <c:pt idx="7910">
                  <c:v>-46599.96499999999</c:v>
                </c:pt>
                <c:pt idx="7911">
                  <c:v>-46533.609045</c:v>
                </c:pt>
                <c:pt idx="7912">
                  <c:v>-46467.31615999999</c:v>
                </c:pt>
                <c:pt idx="7913">
                  <c:v>-46401.08631500001</c:v>
                </c:pt>
                <c:pt idx="7914">
                  <c:v>-46334.91948</c:v>
                </c:pt>
                <c:pt idx="7915">
                  <c:v>-46268.81562500001</c:v>
                </c:pt>
                <c:pt idx="7916">
                  <c:v>-46202.774719999994</c:v>
                </c:pt>
                <c:pt idx="7917">
                  <c:v>-46136.79673499999</c:v>
                </c:pt>
                <c:pt idx="7918">
                  <c:v>-46070.88163999999</c:v>
                </c:pt>
                <c:pt idx="7919">
                  <c:v>-46005.029405</c:v>
                </c:pt>
                <c:pt idx="7920">
                  <c:v>-45939.24</c:v>
                </c:pt>
                <c:pt idx="7921">
                  <c:v>-45873.513394999994</c:v>
                </c:pt>
                <c:pt idx="7922">
                  <c:v>-45807.84956000001</c:v>
                </c:pt>
                <c:pt idx="7923">
                  <c:v>-45742.24846499999</c:v>
                </c:pt>
                <c:pt idx="7924">
                  <c:v>-45676.710080000004</c:v>
                </c:pt>
                <c:pt idx="7925">
                  <c:v>-45611.234375</c:v>
                </c:pt>
                <c:pt idx="7926">
                  <c:v>-45545.821319999995</c:v>
                </c:pt>
                <c:pt idx="7927">
                  <c:v>-45480.470884999995</c:v>
                </c:pt>
                <c:pt idx="7928">
                  <c:v>-45415.183039999996</c:v>
                </c:pt>
                <c:pt idx="7929">
                  <c:v>-45349.957755</c:v>
                </c:pt>
                <c:pt idx="7930">
                  <c:v>-45284.795</c:v>
                </c:pt>
                <c:pt idx="7931">
                  <c:v>-45219.69474500001</c:v>
                </c:pt>
                <c:pt idx="7932">
                  <c:v>-45154.65696</c:v>
                </c:pt>
                <c:pt idx="7933">
                  <c:v>-45089.68161500001</c:v>
                </c:pt>
                <c:pt idx="7934">
                  <c:v>-45024.76868</c:v>
                </c:pt>
                <c:pt idx="7935">
                  <c:v>-44959.91812499999</c:v>
                </c:pt>
                <c:pt idx="7936">
                  <c:v>-44895.12992000001</c:v>
                </c:pt>
                <c:pt idx="7937">
                  <c:v>-44830.40403499999</c:v>
                </c:pt>
                <c:pt idx="7938">
                  <c:v>-44765.74044000001</c:v>
                </c:pt>
                <c:pt idx="7939">
                  <c:v>-44701.139104999995</c:v>
                </c:pt>
                <c:pt idx="7940">
                  <c:v>-44636.60000000002</c:v>
                </c:pt>
                <c:pt idx="7941">
                  <c:v>-44572.123094999995</c:v>
                </c:pt>
                <c:pt idx="7942">
                  <c:v>-44507.70835999999</c:v>
                </c:pt>
                <c:pt idx="7943">
                  <c:v>-44443.355765</c:v>
                </c:pt>
                <c:pt idx="7944">
                  <c:v>-44379.06527999999</c:v>
                </c:pt>
                <c:pt idx="7945">
                  <c:v>-44314.83687500001</c:v>
                </c:pt>
                <c:pt idx="7946">
                  <c:v>-44250.67052</c:v>
                </c:pt>
                <c:pt idx="7947">
                  <c:v>-44186.566184999996</c:v>
                </c:pt>
                <c:pt idx="7948">
                  <c:v>-44122.52384</c:v>
                </c:pt>
                <c:pt idx="7949">
                  <c:v>-44058.543455000006</c:v>
                </c:pt>
                <c:pt idx="7950">
                  <c:v>-43994.625</c:v>
                </c:pt>
                <c:pt idx="7951">
                  <c:v>-43930.768444999994</c:v>
                </c:pt>
                <c:pt idx="7952">
                  <c:v>-43866.973760000015</c:v>
                </c:pt>
                <c:pt idx="7953">
                  <c:v>-43803.240914999995</c:v>
                </c:pt>
                <c:pt idx="7954">
                  <c:v>-43739.56988</c:v>
                </c:pt>
                <c:pt idx="7955">
                  <c:v>-43675.96062499999</c:v>
                </c:pt>
                <c:pt idx="7956">
                  <c:v>-43612.41312000001</c:v>
                </c:pt>
                <c:pt idx="7957">
                  <c:v>-43548.927335</c:v>
                </c:pt>
                <c:pt idx="7958">
                  <c:v>-43485.50324000001</c:v>
                </c:pt>
                <c:pt idx="7959">
                  <c:v>-43422.140805</c:v>
                </c:pt>
                <c:pt idx="7960">
                  <c:v>-43358.83999999999</c:v>
                </c:pt>
                <c:pt idx="7961">
                  <c:v>-43295.600795</c:v>
                </c:pt>
                <c:pt idx="7962">
                  <c:v>-43232.42315999999</c:v>
                </c:pt>
                <c:pt idx="7963">
                  <c:v>-43169.307065000015</c:v>
                </c:pt>
                <c:pt idx="7964">
                  <c:v>-43106.252479999996</c:v>
                </c:pt>
                <c:pt idx="7965">
                  <c:v>-43043.259375000016</c:v>
                </c:pt>
                <c:pt idx="7966">
                  <c:v>-42980.327719999994</c:v>
                </c:pt>
                <c:pt idx="7967">
                  <c:v>-42917.45748499999</c:v>
                </c:pt>
                <c:pt idx="7968">
                  <c:v>-42854.64864000001</c:v>
                </c:pt>
                <c:pt idx="7969">
                  <c:v>-42791.90115499999</c:v>
                </c:pt>
                <c:pt idx="7970">
                  <c:v>-42729.21500000001</c:v>
                </c:pt>
                <c:pt idx="7971">
                  <c:v>-42666.590144999995</c:v>
                </c:pt>
                <c:pt idx="7972">
                  <c:v>-42604.02656</c:v>
                </c:pt>
                <c:pt idx="7973">
                  <c:v>-42541.524215</c:v>
                </c:pt>
                <c:pt idx="7974">
                  <c:v>-42479.08308000001</c:v>
                </c:pt>
                <c:pt idx="7975">
                  <c:v>-42416.703125</c:v>
                </c:pt>
                <c:pt idx="7976">
                  <c:v>-42354.38431999999</c:v>
                </c:pt>
                <c:pt idx="7977">
                  <c:v>-42292.126635</c:v>
                </c:pt>
                <c:pt idx="7978">
                  <c:v>-42229.93003999999</c:v>
                </c:pt>
                <c:pt idx="7979">
                  <c:v>-42167.794505000005</c:v>
                </c:pt>
                <c:pt idx="7980">
                  <c:v>-42105.719999999994</c:v>
                </c:pt>
                <c:pt idx="7981">
                  <c:v>-42043.706495000006</c:v>
                </c:pt>
                <c:pt idx="7982">
                  <c:v>-41981.75396</c:v>
                </c:pt>
                <c:pt idx="7983">
                  <c:v>-41919.862365000015</c:v>
                </c:pt>
                <c:pt idx="7984">
                  <c:v>-41858.03168</c:v>
                </c:pt>
                <c:pt idx="7985">
                  <c:v>-41796.26187499998</c:v>
                </c:pt>
                <c:pt idx="7986">
                  <c:v>-41734.55292000001</c:v>
                </c:pt>
                <c:pt idx="7987">
                  <c:v>-41672.90478499999</c:v>
                </c:pt>
                <c:pt idx="7988">
                  <c:v>-41611.317440000006</c:v>
                </c:pt>
                <c:pt idx="7989">
                  <c:v>-41549.790855</c:v>
                </c:pt>
                <c:pt idx="7990">
                  <c:v>-41488.325000000004</c:v>
                </c:pt>
                <c:pt idx="7991">
                  <c:v>-41426.919845</c:v>
                </c:pt>
                <c:pt idx="7992">
                  <c:v>-41365.57535999999</c:v>
                </c:pt>
                <c:pt idx="7993">
                  <c:v>-41304.291515</c:v>
                </c:pt>
                <c:pt idx="7994">
                  <c:v>-41243.06828</c:v>
                </c:pt>
                <c:pt idx="7995">
                  <c:v>-41181.90562500001</c:v>
                </c:pt>
                <c:pt idx="7996">
                  <c:v>-41120.803519999994</c:v>
                </c:pt>
                <c:pt idx="7997">
                  <c:v>-41059.761935</c:v>
                </c:pt>
                <c:pt idx="7998">
                  <c:v>-40998.78083999999</c:v>
                </c:pt>
                <c:pt idx="7999">
                  <c:v>-40937.860205000004</c:v>
                </c:pt>
                <c:pt idx="8000">
                  <c:v>-40877.0</c:v>
                </c:pt>
                <c:pt idx="8001">
                  <c:v>-40816.20019499999</c:v>
                </c:pt>
                <c:pt idx="8002">
                  <c:v>-40755.46076000001</c:v>
                </c:pt>
                <c:pt idx="8003">
                  <c:v>-40694.781664999995</c:v>
                </c:pt>
                <c:pt idx="8004">
                  <c:v>-40634.16288</c:v>
                </c:pt>
                <c:pt idx="8005">
                  <c:v>-40573.604374999995</c:v>
                </c:pt>
                <c:pt idx="8006">
                  <c:v>-40513.106120000004</c:v>
                </c:pt>
                <c:pt idx="8007">
                  <c:v>-40452.668085</c:v>
                </c:pt>
                <c:pt idx="8008">
                  <c:v>-40392.29024000002</c:v>
                </c:pt>
                <c:pt idx="8009">
                  <c:v>-40331.97255500001</c:v>
                </c:pt>
                <c:pt idx="8010">
                  <c:v>-40271.71499999999</c:v>
                </c:pt>
                <c:pt idx="8011">
                  <c:v>-40211.517545</c:v>
                </c:pt>
                <c:pt idx="8012">
                  <c:v>-40151.38015999999</c:v>
                </c:pt>
                <c:pt idx="8013">
                  <c:v>-40091.30281500001</c:v>
                </c:pt>
                <c:pt idx="8014">
                  <c:v>-40031.28548</c:v>
                </c:pt>
                <c:pt idx="8015">
                  <c:v>-39971.328125000015</c:v>
                </c:pt>
                <c:pt idx="8016">
                  <c:v>-39911.43072</c:v>
                </c:pt>
                <c:pt idx="8017">
                  <c:v>-39851.593234999986</c:v>
                </c:pt>
                <c:pt idx="8018">
                  <c:v>-39791.81564</c:v>
                </c:pt>
                <c:pt idx="8019">
                  <c:v>-39732.09790499999</c:v>
                </c:pt>
                <c:pt idx="8020">
                  <c:v>-39672.44000000001</c:v>
                </c:pt>
                <c:pt idx="8021">
                  <c:v>-39612.841895</c:v>
                </c:pt>
                <c:pt idx="8022">
                  <c:v>-39553.30356</c:v>
                </c:pt>
                <c:pt idx="8023">
                  <c:v>-39493.824965</c:v>
                </c:pt>
                <c:pt idx="8024">
                  <c:v>-39434.40608000001</c:v>
                </c:pt>
                <c:pt idx="8025">
                  <c:v>-39375.046875</c:v>
                </c:pt>
                <c:pt idx="8026">
                  <c:v>-39315.747319999995</c:v>
                </c:pt>
                <c:pt idx="8027">
                  <c:v>-39256.507385000004</c:v>
                </c:pt>
                <c:pt idx="8028">
                  <c:v>-39197.327040000004</c:v>
                </c:pt>
                <c:pt idx="8029">
                  <c:v>-39138.206255000005</c:v>
                </c:pt>
                <c:pt idx="8030">
                  <c:v>-39079.145</c:v>
                </c:pt>
                <c:pt idx="8031">
                  <c:v>-39020.14324500001</c:v>
                </c:pt>
                <c:pt idx="8032">
                  <c:v>-38961.200959999995</c:v>
                </c:pt>
                <c:pt idx="8033">
                  <c:v>-38902.31811500001</c:v>
                </c:pt>
                <c:pt idx="8034">
                  <c:v>-38843.494679999996</c:v>
                </c:pt>
                <c:pt idx="8035">
                  <c:v>-38784.73062499999</c:v>
                </c:pt>
                <c:pt idx="8036">
                  <c:v>-38726.02592</c:v>
                </c:pt>
                <c:pt idx="8037">
                  <c:v>-38667.38053499999</c:v>
                </c:pt>
                <c:pt idx="8038">
                  <c:v>-38608.794440000005</c:v>
                </c:pt>
                <c:pt idx="8039">
                  <c:v>-38550.267605</c:v>
                </c:pt>
                <c:pt idx="8040">
                  <c:v>-38491.80000000001</c:v>
                </c:pt>
                <c:pt idx="8041">
                  <c:v>-38433.391595</c:v>
                </c:pt>
                <c:pt idx="8042">
                  <c:v>-38375.042359999985</c:v>
                </c:pt>
                <c:pt idx="8043">
                  <c:v>-38316.752265</c:v>
                </c:pt>
                <c:pt idx="8044">
                  <c:v>-38258.52127999999</c:v>
                </c:pt>
                <c:pt idx="8045">
                  <c:v>-38200.349375000005</c:v>
                </c:pt>
                <c:pt idx="8046">
                  <c:v>-38142.23652</c:v>
                </c:pt>
                <c:pt idx="8047">
                  <c:v>-38084.18268500001</c:v>
                </c:pt>
                <c:pt idx="8048">
                  <c:v>-38026.18783999999</c:v>
                </c:pt>
                <c:pt idx="8049">
                  <c:v>-37968.25195500001</c:v>
                </c:pt>
                <c:pt idx="8050">
                  <c:v>-37910.375</c:v>
                </c:pt>
                <c:pt idx="8051">
                  <c:v>-37852.556945</c:v>
                </c:pt>
                <c:pt idx="8052">
                  <c:v>-37794.79776</c:v>
                </c:pt>
                <c:pt idx="8053">
                  <c:v>-37737.097415</c:v>
                </c:pt>
                <c:pt idx="8054">
                  <c:v>-37679.45588</c:v>
                </c:pt>
                <c:pt idx="8055">
                  <c:v>-37621.873125</c:v>
                </c:pt>
                <c:pt idx="8056">
                  <c:v>-37564.349120000006</c:v>
                </c:pt>
                <c:pt idx="8057">
                  <c:v>-37506.883835</c:v>
                </c:pt>
                <c:pt idx="8058">
                  <c:v>-37449.47724000001</c:v>
                </c:pt>
                <c:pt idx="8059">
                  <c:v>-37392.12930500001</c:v>
                </c:pt>
                <c:pt idx="8060">
                  <c:v>-37334.83999999999</c:v>
                </c:pt>
                <c:pt idx="8061">
                  <c:v>-37277.609294999995</c:v>
                </c:pt>
                <c:pt idx="8062">
                  <c:v>-37220.437159999994</c:v>
                </c:pt>
                <c:pt idx="8063">
                  <c:v>-37163.323565000006</c:v>
                </c:pt>
                <c:pt idx="8064">
                  <c:v>-37106.26848</c:v>
                </c:pt>
                <c:pt idx="8065">
                  <c:v>-37049.27187500001</c:v>
                </c:pt>
                <c:pt idx="8066">
                  <c:v>-36992.333719999995</c:v>
                </c:pt>
                <c:pt idx="8067">
                  <c:v>-36935.45398499999</c:v>
                </c:pt>
                <c:pt idx="8068">
                  <c:v>-36878.63264</c:v>
                </c:pt>
                <c:pt idx="8069">
                  <c:v>-36821.869654999995</c:v>
                </c:pt>
                <c:pt idx="8070">
                  <c:v>-36765.16500000001</c:v>
                </c:pt>
                <c:pt idx="8071">
                  <c:v>-36708.518645</c:v>
                </c:pt>
                <c:pt idx="8072">
                  <c:v>-36651.93056000001</c:v>
                </c:pt>
                <c:pt idx="8073">
                  <c:v>-36595.400714999996</c:v>
                </c:pt>
                <c:pt idx="8074">
                  <c:v>-36538.92908</c:v>
                </c:pt>
                <c:pt idx="8075">
                  <c:v>-36482.515625</c:v>
                </c:pt>
                <c:pt idx="8076">
                  <c:v>-36426.160319999995</c:v>
                </c:pt>
                <c:pt idx="8077">
                  <c:v>-36369.86313500001</c:v>
                </c:pt>
                <c:pt idx="8078">
                  <c:v>-36313.624039999995</c:v>
                </c:pt>
                <c:pt idx="8079">
                  <c:v>-36257.443005</c:v>
                </c:pt>
                <c:pt idx="8080">
                  <c:v>-36201.31999999999</c:v>
                </c:pt>
                <c:pt idx="8081">
                  <c:v>-36145.254995</c:v>
                </c:pt>
                <c:pt idx="8082">
                  <c:v>-36089.24796</c:v>
                </c:pt>
                <c:pt idx="8083">
                  <c:v>-36033.29886500001</c:v>
                </c:pt>
                <c:pt idx="8084">
                  <c:v>-35977.407680000004</c:v>
                </c:pt>
                <c:pt idx="8085">
                  <c:v>-35921.57437499999</c:v>
                </c:pt>
                <c:pt idx="8086">
                  <c:v>-35865.79892</c:v>
                </c:pt>
                <c:pt idx="8087">
                  <c:v>-35810.081285</c:v>
                </c:pt>
                <c:pt idx="8088">
                  <c:v>-35754.421440000006</c:v>
                </c:pt>
                <c:pt idx="8089">
                  <c:v>-35698.819355</c:v>
                </c:pt>
                <c:pt idx="8090">
                  <c:v>-35643.275000000016</c:v>
                </c:pt>
                <c:pt idx="8091">
                  <c:v>-35587.78834499999</c:v>
                </c:pt>
                <c:pt idx="8092">
                  <c:v>-35532.35935999999</c:v>
                </c:pt>
                <c:pt idx="8093">
                  <c:v>-35476.988015</c:v>
                </c:pt>
                <c:pt idx="8094">
                  <c:v>-35421.67427999999</c:v>
                </c:pt>
                <c:pt idx="8095">
                  <c:v>-35366.418125000004</c:v>
                </c:pt>
                <c:pt idx="8096">
                  <c:v>-35311.21952</c:v>
                </c:pt>
                <c:pt idx="8097">
                  <c:v>-35256.078434999996</c:v>
                </c:pt>
                <c:pt idx="8098">
                  <c:v>-35200.99483999999</c:v>
                </c:pt>
                <c:pt idx="8099">
                  <c:v>-35145.96870500001</c:v>
                </c:pt>
                <c:pt idx="8100">
                  <c:v>-35091.0</c:v>
                </c:pt>
                <c:pt idx="8101">
                  <c:v>-35036.08869499999</c:v>
                </c:pt>
                <c:pt idx="8102">
                  <c:v>-34981.23476000001</c:v>
                </c:pt>
                <c:pt idx="8103">
                  <c:v>-34926.43816499999</c:v>
                </c:pt>
                <c:pt idx="8104">
                  <c:v>-34871.69888</c:v>
                </c:pt>
                <c:pt idx="8105">
                  <c:v>-34817.016874999994</c:v>
                </c:pt>
                <c:pt idx="8106">
                  <c:v>-34762.39212000001</c:v>
                </c:pt>
                <c:pt idx="8107">
                  <c:v>-34707.824585</c:v>
                </c:pt>
                <c:pt idx="8108">
                  <c:v>-34653.314240000014</c:v>
                </c:pt>
                <c:pt idx="8109">
                  <c:v>-34598.86105500001</c:v>
                </c:pt>
                <c:pt idx="8110">
                  <c:v>-34544.46499999999</c:v>
                </c:pt>
                <c:pt idx="8111">
                  <c:v>-34490.126045</c:v>
                </c:pt>
                <c:pt idx="8112">
                  <c:v>-34435.84415999999</c:v>
                </c:pt>
                <c:pt idx="8113">
                  <c:v>-34381.61931500001</c:v>
                </c:pt>
                <c:pt idx="8114">
                  <c:v>-34327.451479999996</c:v>
                </c:pt>
                <c:pt idx="8115">
                  <c:v>-34273.340625000004</c:v>
                </c:pt>
                <c:pt idx="8116">
                  <c:v>-34219.28672</c:v>
                </c:pt>
                <c:pt idx="8117">
                  <c:v>-34165.289734999984</c:v>
                </c:pt>
                <c:pt idx="8118">
                  <c:v>-34111.34964</c:v>
                </c:pt>
                <c:pt idx="8119">
                  <c:v>-34057.46640499999</c:v>
                </c:pt>
                <c:pt idx="8120">
                  <c:v>-34003.64</c:v>
                </c:pt>
                <c:pt idx="8121">
                  <c:v>-33949.870395</c:v>
                </c:pt>
                <c:pt idx="8122">
                  <c:v>-33896.15756</c:v>
                </c:pt>
                <c:pt idx="8123">
                  <c:v>-33842.501464999994</c:v>
                </c:pt>
                <c:pt idx="8124">
                  <c:v>-33788.90208000001</c:v>
                </c:pt>
                <c:pt idx="8125">
                  <c:v>-33735.359375</c:v>
                </c:pt>
                <c:pt idx="8126">
                  <c:v>-33681.87332</c:v>
                </c:pt>
                <c:pt idx="8127">
                  <c:v>-33628.44388500001</c:v>
                </c:pt>
                <c:pt idx="8128">
                  <c:v>-33575.071039999995</c:v>
                </c:pt>
                <c:pt idx="8129">
                  <c:v>-33521.754755</c:v>
                </c:pt>
                <c:pt idx="8130">
                  <c:v>-33468.494999999995</c:v>
                </c:pt>
                <c:pt idx="8131">
                  <c:v>-33415.29174500001</c:v>
                </c:pt>
                <c:pt idx="8132">
                  <c:v>-33362.14496</c:v>
                </c:pt>
                <c:pt idx="8133">
                  <c:v>-33309.05461500001</c:v>
                </c:pt>
                <c:pt idx="8134">
                  <c:v>-33256.02068</c:v>
                </c:pt>
                <c:pt idx="8135">
                  <c:v>-33203.04312499999</c:v>
                </c:pt>
                <c:pt idx="8136">
                  <c:v>-33150.121920000005</c:v>
                </c:pt>
                <c:pt idx="8137">
                  <c:v>-33097.257034999995</c:v>
                </c:pt>
                <c:pt idx="8138">
                  <c:v>-33044.44844</c:v>
                </c:pt>
                <c:pt idx="8139">
                  <c:v>-32991.696105</c:v>
                </c:pt>
                <c:pt idx="8140">
                  <c:v>-32939.00000000001</c:v>
                </c:pt>
                <c:pt idx="8141">
                  <c:v>-32886.360095</c:v>
                </c:pt>
                <c:pt idx="8142">
                  <c:v>-32833.77635999999</c:v>
                </c:pt>
                <c:pt idx="8143">
                  <c:v>-32781.248765</c:v>
                </c:pt>
                <c:pt idx="8144">
                  <c:v>-32728.77727999999</c:v>
                </c:pt>
                <c:pt idx="8145">
                  <c:v>-32676.36187500001</c:v>
                </c:pt>
                <c:pt idx="8146">
                  <c:v>-32624.00251999999</c:v>
                </c:pt>
                <c:pt idx="8147">
                  <c:v>-32571.699185000005</c:v>
                </c:pt>
                <c:pt idx="8148">
                  <c:v>-32519.451839999998</c:v>
                </c:pt>
                <c:pt idx="8149">
                  <c:v>-32467.26045500001</c:v>
                </c:pt>
                <c:pt idx="8150">
                  <c:v>-32415.125</c:v>
                </c:pt>
                <c:pt idx="8151">
                  <c:v>-32363.045444999996</c:v>
                </c:pt>
                <c:pt idx="8152">
                  <c:v>-32311.02176</c:v>
                </c:pt>
                <c:pt idx="8153">
                  <c:v>-32259.053914999997</c:v>
                </c:pt>
                <c:pt idx="8154">
                  <c:v>-32207.141880000006</c:v>
                </c:pt>
                <c:pt idx="8155">
                  <c:v>-32155.285624999993</c:v>
                </c:pt>
                <c:pt idx="8156">
                  <c:v>-32103.48512000001</c:v>
                </c:pt>
                <c:pt idx="8157">
                  <c:v>-32051.740334999995</c:v>
                </c:pt>
                <c:pt idx="8158">
                  <c:v>-32000.051240000004</c:v>
                </c:pt>
                <c:pt idx="8159">
                  <c:v>-31948.417804999997</c:v>
                </c:pt>
                <c:pt idx="8160">
                  <c:v>-31896.839999999997</c:v>
                </c:pt>
                <c:pt idx="8161">
                  <c:v>-31845.317795000003</c:v>
                </c:pt>
                <c:pt idx="8162">
                  <c:v>-31793.851159999995</c:v>
                </c:pt>
                <c:pt idx="8163">
                  <c:v>-31742.440065000003</c:v>
                </c:pt>
                <c:pt idx="8164">
                  <c:v>-31691.084479999998</c:v>
                </c:pt>
                <c:pt idx="8165">
                  <c:v>-31639.784375000007</c:v>
                </c:pt>
                <c:pt idx="8166">
                  <c:v>-31588.53972</c:v>
                </c:pt>
                <c:pt idx="8167">
                  <c:v>-31537.350484999995</c:v>
                </c:pt>
                <c:pt idx="8168">
                  <c:v>-31486.21664</c:v>
                </c:pt>
                <c:pt idx="8169">
                  <c:v>-31435.138154999997</c:v>
                </c:pt>
                <c:pt idx="8170">
                  <c:v>-31384.115000000005</c:v>
                </c:pt>
                <c:pt idx="8171">
                  <c:v>-31333.147144999995</c:v>
                </c:pt>
                <c:pt idx="8172">
                  <c:v>-31282.234560000008</c:v>
                </c:pt>
                <c:pt idx="8173">
                  <c:v>-31231.377214999997</c:v>
                </c:pt>
                <c:pt idx="8174">
                  <c:v>-31180.57508000001</c:v>
                </c:pt>
                <c:pt idx="8175">
                  <c:v>-31129.828125</c:v>
                </c:pt>
                <c:pt idx="8176">
                  <c:v>-31079.13631999999</c:v>
                </c:pt>
                <c:pt idx="8177">
                  <c:v>-31028.499635</c:v>
                </c:pt>
                <c:pt idx="8178">
                  <c:v>-30977.918039999997</c:v>
                </c:pt>
                <c:pt idx="8179">
                  <c:v>-30927.391505000007</c:v>
                </c:pt>
                <c:pt idx="8180">
                  <c:v>-30876.919999999995</c:v>
                </c:pt>
                <c:pt idx="8181">
                  <c:v>-30826.503495000008</c:v>
                </c:pt>
                <c:pt idx="8182">
                  <c:v>-30776.14196</c:v>
                </c:pt>
                <c:pt idx="8183">
                  <c:v>-30725.83536500001</c:v>
                </c:pt>
                <c:pt idx="8184">
                  <c:v>-30675.58368</c:v>
                </c:pt>
                <c:pt idx="8185">
                  <c:v>-30625.386874999997</c:v>
                </c:pt>
                <c:pt idx="8186">
                  <c:v>-30575.24492</c:v>
                </c:pt>
                <c:pt idx="8187">
                  <c:v>-30525.157784999996</c:v>
                </c:pt>
                <c:pt idx="8188">
                  <c:v>-30475.125440000003</c:v>
                </c:pt>
                <c:pt idx="8189">
                  <c:v>-30425.147855000003</c:v>
                </c:pt>
                <c:pt idx="8190">
                  <c:v>-30375.22500000001</c:v>
                </c:pt>
                <c:pt idx="8191">
                  <c:v>-30325.356845</c:v>
                </c:pt>
                <c:pt idx="8192">
                  <c:v>-30275.543359999992</c:v>
                </c:pt>
                <c:pt idx="8193">
                  <c:v>-30225.784515</c:v>
                </c:pt>
                <c:pt idx="8194">
                  <c:v>-30176.080279999995</c:v>
                </c:pt>
                <c:pt idx="8195">
                  <c:v>-30126.430625000005</c:v>
                </c:pt>
                <c:pt idx="8196">
                  <c:v>-30076.835519999993</c:v>
                </c:pt>
                <c:pt idx="8197">
                  <c:v>-30027.294935000005</c:v>
                </c:pt>
                <c:pt idx="8198">
                  <c:v>-29977.808839999998</c:v>
                </c:pt>
                <c:pt idx="8199">
                  <c:v>-29928.377205000008</c:v>
                </c:pt>
                <c:pt idx="8200">
                  <c:v>-29879.0</c:v>
                </c:pt>
                <c:pt idx="8201">
                  <c:v>-29829.677194999997</c:v>
                </c:pt>
                <c:pt idx="8202">
                  <c:v>-29780.408760000002</c:v>
                </c:pt>
                <c:pt idx="8203">
                  <c:v>-29731.194664999995</c:v>
                </c:pt>
                <c:pt idx="8204">
                  <c:v>-29682.03488000001</c:v>
                </c:pt>
                <c:pt idx="8205">
                  <c:v>-29632.929374999992</c:v>
                </c:pt>
                <c:pt idx="8206">
                  <c:v>-29583.878120000005</c:v>
                </c:pt>
                <c:pt idx="8207">
                  <c:v>-29534.881085</c:v>
                </c:pt>
                <c:pt idx="8208">
                  <c:v>-29485.938240000003</c:v>
                </c:pt>
                <c:pt idx="8209">
                  <c:v>-29437.049554999998</c:v>
                </c:pt>
                <c:pt idx="8210">
                  <c:v>-29388.214999999997</c:v>
                </c:pt>
                <c:pt idx="8211">
                  <c:v>-29339.434545000004</c:v>
                </c:pt>
                <c:pt idx="8212">
                  <c:v>-29290.708159999995</c:v>
                </c:pt>
                <c:pt idx="8213">
                  <c:v>-29242.035815000007</c:v>
                </c:pt>
                <c:pt idx="8214">
                  <c:v>-29193.41748</c:v>
                </c:pt>
                <c:pt idx="8215">
                  <c:v>-29144.853125000005</c:v>
                </c:pt>
                <c:pt idx="8216">
                  <c:v>-29096.342720000004</c:v>
                </c:pt>
                <c:pt idx="8217">
                  <c:v>-29047.886234999994</c:v>
                </c:pt>
                <c:pt idx="8218">
                  <c:v>-28999.483640000002</c:v>
                </c:pt>
                <c:pt idx="8219">
                  <c:v>-28951.134904999995</c:v>
                </c:pt>
                <c:pt idx="8220">
                  <c:v>-28902.840000000004</c:v>
                </c:pt>
                <c:pt idx="8221">
                  <c:v>-28854.598894999996</c:v>
                </c:pt>
                <c:pt idx="8222">
                  <c:v>-28806.411560000004</c:v>
                </c:pt>
                <c:pt idx="8223">
                  <c:v>-28758.277965</c:v>
                </c:pt>
                <c:pt idx="8224">
                  <c:v>-28710.198080000006</c:v>
                </c:pt>
                <c:pt idx="8225">
                  <c:v>-28662.171875</c:v>
                </c:pt>
                <c:pt idx="8226">
                  <c:v>-28614.199319999992</c:v>
                </c:pt>
                <c:pt idx="8227">
                  <c:v>-28566.280385</c:v>
                </c:pt>
                <c:pt idx="8228">
                  <c:v>-28518.415039999996</c:v>
                </c:pt>
                <c:pt idx="8229">
                  <c:v>-28470.603255</c:v>
                </c:pt>
                <c:pt idx="8230">
                  <c:v>-28422.844999999994</c:v>
                </c:pt>
                <c:pt idx="8231">
                  <c:v>-28375.14024500001</c:v>
                </c:pt>
                <c:pt idx="8232">
                  <c:v>-28327.48896</c:v>
                </c:pt>
                <c:pt idx="8233">
                  <c:v>-28279.891115000006</c:v>
                </c:pt>
                <c:pt idx="8234">
                  <c:v>-28232.34668</c:v>
                </c:pt>
                <c:pt idx="8235">
                  <c:v>-28184.855624999993</c:v>
                </c:pt>
                <c:pt idx="8236">
                  <c:v>-28137.41792</c:v>
                </c:pt>
                <c:pt idx="8237">
                  <c:v>-28090.03353499999</c:v>
                </c:pt>
                <c:pt idx="8238">
                  <c:v>-28042.702440000005</c:v>
                </c:pt>
                <c:pt idx="8239">
                  <c:v>-27995.424605</c:v>
                </c:pt>
                <c:pt idx="8240">
                  <c:v>-27948.200000000008</c:v>
                </c:pt>
                <c:pt idx="8241">
                  <c:v>-27901.028595</c:v>
                </c:pt>
                <c:pt idx="8242">
                  <c:v>-27853.91035999999</c:v>
                </c:pt>
                <c:pt idx="8243">
                  <c:v>-27806.845265000004</c:v>
                </c:pt>
                <c:pt idx="8244">
                  <c:v>-27759.833279999995</c:v>
                </c:pt>
                <c:pt idx="8245">
                  <c:v>-27712.874375000007</c:v>
                </c:pt>
                <c:pt idx="8246">
                  <c:v>-27665.96851999999</c:v>
                </c:pt>
                <c:pt idx="8247">
                  <c:v>-27619.115685000008</c:v>
                </c:pt>
                <c:pt idx="8248">
                  <c:v>-27572.31584</c:v>
                </c:pt>
                <c:pt idx="8249">
                  <c:v>-27525.568955000006</c:v>
                </c:pt>
                <c:pt idx="8250">
                  <c:v>-27478.875</c:v>
                </c:pt>
                <c:pt idx="8251">
                  <c:v>-27432.233944999996</c:v>
                </c:pt>
                <c:pt idx="8252">
                  <c:v>-27385.645760000003</c:v>
                </c:pt>
                <c:pt idx="8253">
                  <c:v>-27339.110414999992</c:v>
                </c:pt>
                <c:pt idx="8254">
                  <c:v>-27292.627880000007</c:v>
                </c:pt>
                <c:pt idx="8255">
                  <c:v>-27246.198124999995</c:v>
                </c:pt>
                <c:pt idx="8256">
                  <c:v>-27199.821120000004</c:v>
                </c:pt>
                <c:pt idx="8257">
                  <c:v>-27153.496834999998</c:v>
                </c:pt>
                <c:pt idx="8258">
                  <c:v>-27107.225240000007</c:v>
                </c:pt>
                <c:pt idx="8259">
                  <c:v>-27061.006305</c:v>
                </c:pt>
                <c:pt idx="8260">
                  <c:v>-27014.839999999993</c:v>
                </c:pt>
                <c:pt idx="8261">
                  <c:v>-26968.726295</c:v>
                </c:pt>
                <c:pt idx="8262">
                  <c:v>-26922.665159999993</c:v>
                </c:pt>
                <c:pt idx="8263">
                  <c:v>-26876.656565000005</c:v>
                </c:pt>
                <c:pt idx="8264">
                  <c:v>-26830.700479999996</c:v>
                </c:pt>
                <c:pt idx="8265">
                  <c:v>-26784.796875000004</c:v>
                </c:pt>
                <c:pt idx="8266">
                  <c:v>-26738.94572</c:v>
                </c:pt>
                <c:pt idx="8267">
                  <c:v>-26693.146984999996</c:v>
                </c:pt>
                <c:pt idx="8268">
                  <c:v>-26647.40064</c:v>
                </c:pt>
                <c:pt idx="8269">
                  <c:v>-26601.706654999994</c:v>
                </c:pt>
                <c:pt idx="8270">
                  <c:v>-26556.065000000006</c:v>
                </c:pt>
                <c:pt idx="8271">
                  <c:v>-26510.475645</c:v>
                </c:pt>
                <c:pt idx="8272">
                  <c:v>-26464.938560000006</c:v>
                </c:pt>
                <c:pt idx="8273">
                  <c:v>-26419.453714999996</c:v>
                </c:pt>
                <c:pt idx="8274">
                  <c:v>-26374.02108000001</c:v>
                </c:pt>
                <c:pt idx="8275">
                  <c:v>-26328.640625</c:v>
                </c:pt>
                <c:pt idx="8276">
                  <c:v>-26283.312319999997</c:v>
                </c:pt>
                <c:pt idx="8277">
                  <c:v>-26238.036135000002</c:v>
                </c:pt>
                <c:pt idx="8278">
                  <c:v>-26192.812039999993</c:v>
                </c:pt>
                <c:pt idx="8279">
                  <c:v>-26147.640005000005</c:v>
                </c:pt>
                <c:pt idx="8280">
                  <c:v>-26102.519999999997</c:v>
                </c:pt>
                <c:pt idx="8281">
                  <c:v>-26057.451995000007</c:v>
                </c:pt>
                <c:pt idx="8282">
                  <c:v>-26012.435960000003</c:v>
                </c:pt>
                <c:pt idx="8283">
                  <c:v>-25967.471865000007</c:v>
                </c:pt>
                <c:pt idx="8284">
                  <c:v>-25922.559680000002</c:v>
                </c:pt>
                <c:pt idx="8285">
                  <c:v>-25877.699374999993</c:v>
                </c:pt>
                <c:pt idx="8286">
                  <c:v>-25832.89092</c:v>
                </c:pt>
                <c:pt idx="8287">
                  <c:v>-25788.134284999993</c:v>
                </c:pt>
                <c:pt idx="8288">
                  <c:v>-25743.429440000004</c:v>
                </c:pt>
                <c:pt idx="8289">
                  <c:v>-25698.776354999998</c:v>
                </c:pt>
                <c:pt idx="8290">
                  <c:v>-25654.175000000007</c:v>
                </c:pt>
                <c:pt idx="8291">
                  <c:v>-25609.625345</c:v>
                </c:pt>
                <c:pt idx="8292">
                  <c:v>-25565.12735999999</c:v>
                </c:pt>
                <c:pt idx="8293">
                  <c:v>-25520.681015000002</c:v>
                </c:pt>
                <c:pt idx="8294">
                  <c:v>-25476.28628</c:v>
                </c:pt>
                <c:pt idx="8295">
                  <c:v>-25431.943125</c:v>
                </c:pt>
                <c:pt idx="8296">
                  <c:v>-25387.651519999996</c:v>
                </c:pt>
                <c:pt idx="8297">
                  <c:v>-25343.411435000005</c:v>
                </c:pt>
                <c:pt idx="8298">
                  <c:v>-25299.22284</c:v>
                </c:pt>
                <c:pt idx="8299">
                  <c:v>-25255.085705000005</c:v>
                </c:pt>
                <c:pt idx="8300">
                  <c:v>-25211.0</c:v>
                </c:pt>
                <c:pt idx="8301">
                  <c:v>-25166.965694999995</c:v>
                </c:pt>
                <c:pt idx="8302">
                  <c:v>-25122.982760000003</c:v>
                </c:pt>
                <c:pt idx="8303">
                  <c:v>-25079.051164999997</c:v>
                </c:pt>
                <c:pt idx="8304">
                  <c:v>-25035.170880000005</c:v>
                </c:pt>
                <c:pt idx="8305">
                  <c:v>-24991.341874999995</c:v>
                </c:pt>
                <c:pt idx="8306">
                  <c:v>-24947.564120000003</c:v>
                </c:pt>
                <c:pt idx="8307">
                  <c:v>-24903.837585</c:v>
                </c:pt>
                <c:pt idx="8308">
                  <c:v>-24860.16224000001</c:v>
                </c:pt>
                <c:pt idx="8309">
                  <c:v>-24816.538054999997</c:v>
                </c:pt>
                <c:pt idx="8310">
                  <c:v>-24772.964999999993</c:v>
                </c:pt>
                <c:pt idx="8311">
                  <c:v>-24729.443045</c:v>
                </c:pt>
                <c:pt idx="8312">
                  <c:v>-24685.972159999994</c:v>
                </c:pt>
                <c:pt idx="8313">
                  <c:v>-24642.552315000008</c:v>
                </c:pt>
                <c:pt idx="8314">
                  <c:v>-24599.18348</c:v>
                </c:pt>
                <c:pt idx="8315">
                  <c:v>-24555.86562500001</c:v>
                </c:pt>
                <c:pt idx="8316">
                  <c:v>-24512.59872</c:v>
                </c:pt>
                <c:pt idx="8317">
                  <c:v>-24469.382735</c:v>
                </c:pt>
                <c:pt idx="8318">
                  <c:v>-24426.21764</c:v>
                </c:pt>
                <c:pt idx="8319">
                  <c:v>-24383.103404999998</c:v>
                </c:pt>
                <c:pt idx="8320">
                  <c:v>-24340.040000000005</c:v>
                </c:pt>
                <c:pt idx="8321">
                  <c:v>-24297.027394999994</c:v>
                </c:pt>
                <c:pt idx="8322">
                  <c:v>-24254.065560000006</c:v>
                </c:pt>
                <c:pt idx="8323">
                  <c:v>-24211.154464999996</c:v>
                </c:pt>
                <c:pt idx="8324">
                  <c:v>-24168.294080000007</c:v>
                </c:pt>
                <c:pt idx="8325">
                  <c:v>-24125.484375</c:v>
                </c:pt>
                <c:pt idx="8326">
                  <c:v>-24082.725319999994</c:v>
                </c:pt>
                <c:pt idx="8327">
                  <c:v>-24040.016885</c:v>
                </c:pt>
                <c:pt idx="8328">
                  <c:v>-23997.359039999996</c:v>
                </c:pt>
                <c:pt idx="8329">
                  <c:v>-23954.751755</c:v>
                </c:pt>
                <c:pt idx="8330">
                  <c:v>-23912.194999999996</c:v>
                </c:pt>
                <c:pt idx="8331">
                  <c:v>-23869.688745000007</c:v>
                </c:pt>
                <c:pt idx="8332">
                  <c:v>-23827.23296</c:v>
                </c:pt>
                <c:pt idx="8333">
                  <c:v>-23784.827615000006</c:v>
                </c:pt>
                <c:pt idx="8334">
                  <c:v>-23742.47268</c:v>
                </c:pt>
                <c:pt idx="8335">
                  <c:v>-23700.168124999993</c:v>
                </c:pt>
                <c:pt idx="8336">
                  <c:v>-23657.913920000003</c:v>
                </c:pt>
                <c:pt idx="8337">
                  <c:v>-23615.710034999996</c:v>
                </c:pt>
                <c:pt idx="8338">
                  <c:v>-23573.55644</c:v>
                </c:pt>
                <c:pt idx="8339">
                  <c:v>-23531.453104999997</c:v>
                </c:pt>
                <c:pt idx="8340">
                  <c:v>-23489.400000000005</c:v>
                </c:pt>
                <c:pt idx="8341">
                  <c:v>-23447.397095000004</c:v>
                </c:pt>
                <c:pt idx="8342">
                  <c:v>-23405.444359999994</c:v>
                </c:pt>
                <c:pt idx="8343">
                  <c:v>-23363.541764999998</c:v>
                </c:pt>
                <c:pt idx="8344">
                  <c:v>-23321.689279999995</c:v>
                </c:pt>
                <c:pt idx="8345">
                  <c:v>-23279.886875000004</c:v>
                </c:pt>
                <c:pt idx="8346">
                  <c:v>-23238.134519999992</c:v>
                </c:pt>
                <c:pt idx="8347">
                  <c:v>-23196.43218500001</c:v>
                </c:pt>
                <c:pt idx="8348">
                  <c:v>-23154.779840000003</c:v>
                </c:pt>
                <c:pt idx="8349">
                  <c:v>-23113.177455000005</c:v>
                </c:pt>
                <c:pt idx="8350">
                  <c:v>-23071.625</c:v>
                </c:pt>
                <c:pt idx="8351">
                  <c:v>-23030.122444999994</c:v>
                </c:pt>
                <c:pt idx="8352">
                  <c:v>-22988.669759999997</c:v>
                </c:pt>
                <c:pt idx="8353">
                  <c:v>-22947.266914999993</c:v>
                </c:pt>
                <c:pt idx="8354">
                  <c:v>-22905.913880000007</c:v>
                </c:pt>
                <c:pt idx="8355">
                  <c:v>-22864.610624999994</c:v>
                </c:pt>
                <c:pt idx="8356">
                  <c:v>-22823.357120000004</c:v>
                </c:pt>
                <c:pt idx="8357">
                  <c:v>-22782.153335</c:v>
                </c:pt>
                <c:pt idx="8358">
                  <c:v>-22740.99924000001</c:v>
                </c:pt>
                <c:pt idx="8359">
                  <c:v>-22699.894805</c:v>
                </c:pt>
                <c:pt idx="8360">
                  <c:v>-22658.839999999993</c:v>
                </c:pt>
                <c:pt idx="8361">
                  <c:v>-22617.834795000002</c:v>
                </c:pt>
                <c:pt idx="8362">
                  <c:v>-22576.879159999997</c:v>
                </c:pt>
                <c:pt idx="8363">
                  <c:v>-22535.973065000002</c:v>
                </c:pt>
                <c:pt idx="8364">
                  <c:v>-22495.116479999997</c:v>
                </c:pt>
                <c:pt idx="8365">
                  <c:v>-22454.309375000004</c:v>
                </c:pt>
                <c:pt idx="8366">
                  <c:v>-22413.551720000003</c:v>
                </c:pt>
                <c:pt idx="8367">
                  <c:v>-22372.843484999994</c:v>
                </c:pt>
                <c:pt idx="8368">
                  <c:v>-22332.184640000003</c:v>
                </c:pt>
                <c:pt idx="8369">
                  <c:v>-22291.575154999995</c:v>
                </c:pt>
                <c:pt idx="8370">
                  <c:v>-22251.015000000003</c:v>
                </c:pt>
                <c:pt idx="8371">
                  <c:v>-22210.504145</c:v>
                </c:pt>
                <c:pt idx="8372">
                  <c:v>-22170.042560000005</c:v>
                </c:pt>
                <c:pt idx="8373">
                  <c:v>-22129.630214999997</c:v>
                </c:pt>
                <c:pt idx="8374">
                  <c:v>-22089.26708</c:v>
                </c:pt>
                <c:pt idx="8375">
                  <c:v>-22048.953125</c:v>
                </c:pt>
                <c:pt idx="8376">
                  <c:v>-22008.688319999994</c:v>
                </c:pt>
                <c:pt idx="8377">
                  <c:v>-21968.472635</c:v>
                </c:pt>
                <c:pt idx="8378">
                  <c:v>-21928.30604</c:v>
                </c:pt>
                <c:pt idx="8379">
                  <c:v>-21888.188505000006</c:v>
                </c:pt>
                <c:pt idx="8380">
                  <c:v>-21848.119999999995</c:v>
                </c:pt>
                <c:pt idx="8381">
                  <c:v>-21808.100495000002</c:v>
                </c:pt>
                <c:pt idx="8382">
                  <c:v>-21768.12996</c:v>
                </c:pt>
                <c:pt idx="8383">
                  <c:v>-21728.208365000002</c:v>
                </c:pt>
                <c:pt idx="8384">
                  <c:v>-21688.33568</c:v>
                </c:pt>
                <c:pt idx="8385">
                  <c:v>-21648.511874999997</c:v>
                </c:pt>
                <c:pt idx="8386">
                  <c:v>-21608.736919999996</c:v>
                </c:pt>
                <c:pt idx="8387">
                  <c:v>-21569.010784999995</c:v>
                </c:pt>
                <c:pt idx="8388">
                  <c:v>-21529.333440000006</c:v>
                </c:pt>
                <c:pt idx="8389">
                  <c:v>-21489.704855</c:v>
                </c:pt>
                <c:pt idx="8390">
                  <c:v>-21450.125000000004</c:v>
                </c:pt>
                <c:pt idx="8391">
                  <c:v>-21410.593845</c:v>
                </c:pt>
                <c:pt idx="8392">
                  <c:v>-21371.11135999999</c:v>
                </c:pt>
                <c:pt idx="8393">
                  <c:v>-21331.677515</c:v>
                </c:pt>
                <c:pt idx="8394">
                  <c:v>-21292.292279999994</c:v>
                </c:pt>
                <c:pt idx="8395">
                  <c:v>-21252.95562500001</c:v>
                </c:pt>
                <c:pt idx="8396">
                  <c:v>-21213.667519999995</c:v>
                </c:pt>
                <c:pt idx="8397">
                  <c:v>-21174.427935000007</c:v>
                </c:pt>
                <c:pt idx="8398">
                  <c:v>-21135.236839999998</c:v>
                </c:pt>
                <c:pt idx="8399">
                  <c:v>-21096.09420500001</c:v>
                </c:pt>
                <c:pt idx="8400">
                  <c:v>-21057.0</c:v>
                </c:pt>
                <c:pt idx="8401">
                  <c:v>-21017.954195000002</c:v>
                </c:pt>
                <c:pt idx="8402">
                  <c:v>-20978.95676</c:v>
                </c:pt>
                <c:pt idx="8403">
                  <c:v>-20940.007665</c:v>
                </c:pt>
                <c:pt idx="8404">
                  <c:v>-20901.106880000007</c:v>
                </c:pt>
                <c:pt idx="8405">
                  <c:v>-20862.254374999997</c:v>
                </c:pt>
                <c:pt idx="8406">
                  <c:v>-20823.450119999998</c:v>
                </c:pt>
                <c:pt idx="8407">
                  <c:v>-20784.694085</c:v>
                </c:pt>
                <c:pt idx="8408">
                  <c:v>-20745.986240000002</c:v>
                </c:pt>
                <c:pt idx="8409">
                  <c:v>-20707.326555</c:v>
                </c:pt>
                <c:pt idx="8410">
                  <c:v>-20668.715</c:v>
                </c:pt>
                <c:pt idx="8411">
                  <c:v>-20630.151544999997</c:v>
                </c:pt>
                <c:pt idx="8412">
                  <c:v>-20591.636160000002</c:v>
                </c:pt>
                <c:pt idx="8413">
                  <c:v>-20553.168814999997</c:v>
                </c:pt>
                <c:pt idx="8414">
                  <c:v>-20514.74948</c:v>
                </c:pt>
                <c:pt idx="8415">
                  <c:v>-20476.378125</c:v>
                </c:pt>
                <c:pt idx="8416">
                  <c:v>-20438.05472</c:v>
                </c:pt>
                <c:pt idx="8417">
                  <c:v>-20399.779235</c:v>
                </c:pt>
                <c:pt idx="8418">
                  <c:v>-20361.55164</c:v>
                </c:pt>
                <c:pt idx="8419">
                  <c:v>-20323.371905</c:v>
                </c:pt>
                <c:pt idx="8420">
                  <c:v>-20285.24</c:v>
                </c:pt>
                <c:pt idx="8421">
                  <c:v>-20247.155894999996</c:v>
                </c:pt>
                <c:pt idx="8422">
                  <c:v>-20209.11956</c:v>
                </c:pt>
                <c:pt idx="8423">
                  <c:v>-20171.130965</c:v>
                </c:pt>
                <c:pt idx="8424">
                  <c:v>-20133.190079999997</c:v>
                </c:pt>
                <c:pt idx="8425">
                  <c:v>-20095.296875</c:v>
                </c:pt>
                <c:pt idx="8426">
                  <c:v>-20057.451320000004</c:v>
                </c:pt>
                <c:pt idx="8427">
                  <c:v>-20019.653385</c:v>
                </c:pt>
                <c:pt idx="8428">
                  <c:v>-19981.90304</c:v>
                </c:pt>
                <c:pt idx="8429">
                  <c:v>-19944.200255000003</c:v>
                </c:pt>
                <c:pt idx="8430">
                  <c:v>-19906.544999999995</c:v>
                </c:pt>
                <c:pt idx="8431">
                  <c:v>-19868.937244999997</c:v>
                </c:pt>
                <c:pt idx="8432">
                  <c:v>-19831.376959999998</c:v>
                </c:pt>
                <c:pt idx="8433">
                  <c:v>-19793.864114999997</c:v>
                </c:pt>
                <c:pt idx="8434">
                  <c:v>-19756.398680000002</c:v>
                </c:pt>
                <c:pt idx="8435">
                  <c:v>-19718.980625000004</c:v>
                </c:pt>
                <c:pt idx="8436">
                  <c:v>-19681.60992</c:v>
                </c:pt>
                <c:pt idx="8437">
                  <c:v>-19644.286535000003</c:v>
                </c:pt>
                <c:pt idx="8438">
                  <c:v>-19607.010439999995</c:v>
                </c:pt>
                <c:pt idx="8439">
                  <c:v>-19569.781605</c:v>
                </c:pt>
                <c:pt idx="8440">
                  <c:v>-19532.6</c:v>
                </c:pt>
                <c:pt idx="8441">
                  <c:v>-19495.465594999998</c:v>
                </c:pt>
                <c:pt idx="8442">
                  <c:v>-19458.378360000002</c:v>
                </c:pt>
                <c:pt idx="8443">
                  <c:v>-19421.338265000002</c:v>
                </c:pt>
                <c:pt idx="8444">
                  <c:v>-19384.345280000005</c:v>
                </c:pt>
                <c:pt idx="8445">
                  <c:v>-19347.399375000005</c:v>
                </c:pt>
                <c:pt idx="8446">
                  <c:v>-19310.500519999994</c:v>
                </c:pt>
                <c:pt idx="8447">
                  <c:v>-19273.648684999996</c:v>
                </c:pt>
                <c:pt idx="8448">
                  <c:v>-19236.84384</c:v>
                </c:pt>
                <c:pt idx="8449">
                  <c:v>-19200.085955</c:v>
                </c:pt>
                <c:pt idx="8450">
                  <c:v>-19163.375</c:v>
                </c:pt>
                <c:pt idx="8451">
                  <c:v>-19126.710945</c:v>
                </c:pt>
                <c:pt idx="8452">
                  <c:v>-19090.09376</c:v>
                </c:pt>
                <c:pt idx="8453">
                  <c:v>-19053.523415000003</c:v>
                </c:pt>
                <c:pt idx="8454">
                  <c:v>-19016.999880000003</c:v>
                </c:pt>
                <c:pt idx="8455">
                  <c:v>-18980.523124999996</c:v>
                </c:pt>
                <c:pt idx="8456">
                  <c:v>-18944.093119999998</c:v>
                </c:pt>
                <c:pt idx="8457">
                  <c:v>-18907.709834999998</c:v>
                </c:pt>
                <c:pt idx="8458">
                  <c:v>-18871.37324</c:v>
                </c:pt>
                <c:pt idx="8459">
                  <c:v>-18835.083305</c:v>
                </c:pt>
                <c:pt idx="8460">
                  <c:v>-18798.84</c:v>
                </c:pt>
                <c:pt idx="8461">
                  <c:v>-18762.643295</c:v>
                </c:pt>
                <c:pt idx="8462">
                  <c:v>-18726.493160000005</c:v>
                </c:pt>
                <c:pt idx="8463">
                  <c:v>-18690.389564999998</c:v>
                </c:pt>
                <c:pt idx="8464">
                  <c:v>-18654.332479999997</c:v>
                </c:pt>
                <c:pt idx="8465">
                  <c:v>-18618.321874999998</c:v>
                </c:pt>
                <c:pt idx="8466">
                  <c:v>-18582.35772</c:v>
                </c:pt>
                <c:pt idx="8467">
                  <c:v>-18546.439985</c:v>
                </c:pt>
                <c:pt idx="8468">
                  <c:v>-18510.56864</c:v>
                </c:pt>
                <c:pt idx="8469">
                  <c:v>-18474.743655000002</c:v>
                </c:pt>
                <c:pt idx="8470">
                  <c:v>-18438.965000000004</c:v>
                </c:pt>
                <c:pt idx="8471">
                  <c:v>-18403.232644999996</c:v>
                </c:pt>
                <c:pt idx="8472">
                  <c:v>-18367.54656</c:v>
                </c:pt>
                <c:pt idx="8473">
                  <c:v>-18331.906715</c:v>
                </c:pt>
                <c:pt idx="8474">
                  <c:v>-18296.313079999996</c:v>
                </c:pt>
                <c:pt idx="8475">
                  <c:v>-18260.765625</c:v>
                </c:pt>
                <c:pt idx="8476">
                  <c:v>-18225.264320000002</c:v>
                </c:pt>
                <c:pt idx="8477">
                  <c:v>-18189.809135</c:v>
                </c:pt>
                <c:pt idx="8478">
                  <c:v>-18154.40004</c:v>
                </c:pt>
                <c:pt idx="8479">
                  <c:v>-18119.037005000006</c:v>
                </c:pt>
                <c:pt idx="8480">
                  <c:v>-18083.719999999998</c:v>
                </c:pt>
                <c:pt idx="8481">
                  <c:v>-18048.448995</c:v>
                </c:pt>
                <c:pt idx="8482">
                  <c:v>-18013.22396</c:v>
                </c:pt>
                <c:pt idx="8483">
                  <c:v>-17978.044865</c:v>
                </c:pt>
                <c:pt idx="8484">
                  <c:v>-17942.91168</c:v>
                </c:pt>
                <c:pt idx="8485">
                  <c:v>-17907.824375</c:v>
                </c:pt>
                <c:pt idx="8486">
                  <c:v>-17872.78292</c:v>
                </c:pt>
                <c:pt idx="8487">
                  <c:v>-17837.787285000002</c:v>
                </c:pt>
                <c:pt idx="8488">
                  <c:v>-17802.83744</c:v>
                </c:pt>
                <c:pt idx="8489">
                  <c:v>-17767.933354999997</c:v>
                </c:pt>
                <c:pt idx="8490">
                  <c:v>-17733.074999999997</c:v>
                </c:pt>
                <c:pt idx="8491">
                  <c:v>-17698.262345</c:v>
                </c:pt>
                <c:pt idx="8492">
                  <c:v>-17663.49536</c:v>
                </c:pt>
                <c:pt idx="8493">
                  <c:v>-17628.774015</c:v>
                </c:pt>
                <c:pt idx="8494">
                  <c:v>-17594.09828</c:v>
                </c:pt>
                <c:pt idx="8495">
                  <c:v>-17559.468125000007</c:v>
                </c:pt>
                <c:pt idx="8496">
                  <c:v>-17524.883519999996</c:v>
                </c:pt>
                <c:pt idx="8497">
                  <c:v>-17490.344435</c:v>
                </c:pt>
                <c:pt idx="8498">
                  <c:v>-17455.85084</c:v>
                </c:pt>
                <c:pt idx="8499">
                  <c:v>-17421.402705</c:v>
                </c:pt>
                <c:pt idx="8500">
                  <c:v>-17387.0</c:v>
                </c:pt>
                <c:pt idx="8501">
                  <c:v>-17352.642695000002</c:v>
                </c:pt>
                <c:pt idx="8502">
                  <c:v>-17318.33076</c:v>
                </c:pt>
                <c:pt idx="8503">
                  <c:v>-17284.064165</c:v>
                </c:pt>
                <c:pt idx="8504">
                  <c:v>-17249.842880000007</c:v>
                </c:pt>
                <c:pt idx="8505">
                  <c:v>-17215.666875</c:v>
                </c:pt>
                <c:pt idx="8506">
                  <c:v>-17181.536119999997</c:v>
                </c:pt>
                <c:pt idx="8507">
                  <c:v>-17147.450585</c:v>
                </c:pt>
                <c:pt idx="8508">
                  <c:v>-17113.41024</c:v>
                </c:pt>
                <c:pt idx="8509">
                  <c:v>-17079.415055</c:v>
                </c:pt>
                <c:pt idx="8510">
                  <c:v>-17045.465</c:v>
                </c:pt>
                <c:pt idx="8511">
                  <c:v>-17011.560045000002</c:v>
                </c:pt>
                <c:pt idx="8512">
                  <c:v>-16977.70016</c:v>
                </c:pt>
                <c:pt idx="8513">
                  <c:v>-16943.885315</c:v>
                </c:pt>
                <c:pt idx="8514">
                  <c:v>-16910.11548</c:v>
                </c:pt>
                <c:pt idx="8515">
                  <c:v>-16876.390624999996</c:v>
                </c:pt>
                <c:pt idx="8516">
                  <c:v>-16842.71072</c:v>
                </c:pt>
                <c:pt idx="8517">
                  <c:v>-16809.075735000002</c:v>
                </c:pt>
                <c:pt idx="8518">
                  <c:v>-16775.48564</c:v>
                </c:pt>
                <c:pt idx="8519">
                  <c:v>-16741.940405</c:v>
                </c:pt>
                <c:pt idx="8520">
                  <c:v>-16708.440000000006</c:v>
                </c:pt>
                <c:pt idx="8521">
                  <c:v>-16674.984394999996</c:v>
                </c:pt>
                <c:pt idx="8522">
                  <c:v>-16641.573559999997</c:v>
                </c:pt>
                <c:pt idx="8523">
                  <c:v>-16608.207465</c:v>
                </c:pt>
                <c:pt idx="8524">
                  <c:v>-16574.886079999997</c:v>
                </c:pt>
                <c:pt idx="8525">
                  <c:v>-16541.609375</c:v>
                </c:pt>
                <c:pt idx="8526">
                  <c:v>-16508.37732</c:v>
                </c:pt>
                <c:pt idx="8527">
                  <c:v>-16475.189885</c:v>
                </c:pt>
                <c:pt idx="8528">
                  <c:v>-16442.04704</c:v>
                </c:pt>
                <c:pt idx="8529">
                  <c:v>-16408.948755</c:v>
                </c:pt>
                <c:pt idx="8530">
                  <c:v>-16375.894999999999</c:v>
                </c:pt>
                <c:pt idx="8531">
                  <c:v>-16342.885744999998</c:v>
                </c:pt>
                <c:pt idx="8532">
                  <c:v>-16309.92096</c:v>
                </c:pt>
                <c:pt idx="8533">
                  <c:v>-16277.000614999999</c:v>
                </c:pt>
                <c:pt idx="8534">
                  <c:v>-16244.124679999999</c:v>
                </c:pt>
                <c:pt idx="8535">
                  <c:v>-16211.293125000002</c:v>
                </c:pt>
                <c:pt idx="8536">
                  <c:v>-16178.505920000001</c:v>
                </c:pt>
                <c:pt idx="8537">
                  <c:v>-16145.763035000002</c:v>
                </c:pt>
                <c:pt idx="8538">
                  <c:v>-16113.064439999996</c:v>
                </c:pt>
                <c:pt idx="8539">
                  <c:v>-16080.410104999997</c:v>
                </c:pt>
                <c:pt idx="8540">
                  <c:v>-16047.8</c:v>
                </c:pt>
                <c:pt idx="8541">
                  <c:v>-16015.234095</c:v>
                </c:pt>
                <c:pt idx="8542">
                  <c:v>-15982.712360000001</c:v>
                </c:pt>
                <c:pt idx="8543">
                  <c:v>-15950.234765</c:v>
                </c:pt>
                <c:pt idx="8544">
                  <c:v>-15917.801280000001</c:v>
                </c:pt>
                <c:pt idx="8545">
                  <c:v>-15885.411875000002</c:v>
                </c:pt>
                <c:pt idx="8546">
                  <c:v>-15853.06652</c:v>
                </c:pt>
                <c:pt idx="8547">
                  <c:v>-15820.765184999998</c:v>
                </c:pt>
                <c:pt idx="8548">
                  <c:v>-15788.507839999998</c:v>
                </c:pt>
                <c:pt idx="8549">
                  <c:v>-15756.294455000001</c:v>
                </c:pt>
                <c:pt idx="8550">
                  <c:v>-15724.125</c:v>
                </c:pt>
                <c:pt idx="8551">
                  <c:v>-15691.999445</c:v>
                </c:pt>
                <c:pt idx="8552">
                  <c:v>-15659.917760000002</c:v>
                </c:pt>
                <c:pt idx="8553">
                  <c:v>-15627.879915000001</c:v>
                </c:pt>
                <c:pt idx="8554">
                  <c:v>-15595.88588</c:v>
                </c:pt>
                <c:pt idx="8555">
                  <c:v>-15563.935624999996</c:v>
                </c:pt>
                <c:pt idx="8556">
                  <c:v>-15532.02912</c:v>
                </c:pt>
                <c:pt idx="8557">
                  <c:v>-15500.166335</c:v>
                </c:pt>
                <c:pt idx="8558">
                  <c:v>-15468.34724</c:v>
                </c:pt>
                <c:pt idx="8559">
                  <c:v>-15436.571805</c:v>
                </c:pt>
                <c:pt idx="8560">
                  <c:v>-15404.840000000002</c:v>
                </c:pt>
                <c:pt idx="8561">
                  <c:v>-15373.151795000003</c:v>
                </c:pt>
                <c:pt idx="8562">
                  <c:v>-15341.507160000001</c:v>
                </c:pt>
                <c:pt idx="8563">
                  <c:v>-15309.906064999997</c:v>
                </c:pt>
                <c:pt idx="8564">
                  <c:v>-15278.348479999999</c:v>
                </c:pt>
                <c:pt idx="8565">
                  <c:v>-15246.834374999997</c:v>
                </c:pt>
                <c:pt idx="8566">
                  <c:v>-15215.36372</c:v>
                </c:pt>
                <c:pt idx="8567">
                  <c:v>-15183.936485</c:v>
                </c:pt>
                <c:pt idx="8568">
                  <c:v>-15152.55264</c:v>
                </c:pt>
                <c:pt idx="8569">
                  <c:v>-15121.212155000001</c:v>
                </c:pt>
                <c:pt idx="8570">
                  <c:v>-15089.915</c:v>
                </c:pt>
                <c:pt idx="8571">
                  <c:v>-15058.661144999998</c:v>
                </c:pt>
                <c:pt idx="8572">
                  <c:v>-15027.450559999997</c:v>
                </c:pt>
                <c:pt idx="8573">
                  <c:v>-14996.283214999998</c:v>
                </c:pt>
                <c:pt idx="8574">
                  <c:v>-14965.15908</c:v>
                </c:pt>
                <c:pt idx="8575">
                  <c:v>-14934.078125</c:v>
                </c:pt>
                <c:pt idx="8576">
                  <c:v>-14903.040320000002</c:v>
                </c:pt>
                <c:pt idx="8577">
                  <c:v>-14872.045635000002</c:v>
                </c:pt>
                <c:pt idx="8578">
                  <c:v>-14841.094040000004</c:v>
                </c:pt>
                <c:pt idx="8579">
                  <c:v>-14810.185505000001</c:v>
                </c:pt>
                <c:pt idx="8580">
                  <c:v>-14779.32</c:v>
                </c:pt>
                <c:pt idx="8581">
                  <c:v>-14748.497495</c:v>
                </c:pt>
                <c:pt idx="8582">
                  <c:v>-14717.71796</c:v>
                </c:pt>
                <c:pt idx="8583">
                  <c:v>-14686.981364999998</c:v>
                </c:pt>
                <c:pt idx="8584">
                  <c:v>-14656.287680000001</c:v>
                </c:pt>
                <c:pt idx="8585">
                  <c:v>-14625.636875000002</c:v>
                </c:pt>
                <c:pt idx="8586">
                  <c:v>-14595.02892</c:v>
                </c:pt>
                <c:pt idx="8587">
                  <c:v>-14564.463785000002</c:v>
                </c:pt>
                <c:pt idx="8588">
                  <c:v>-14533.941439999999</c:v>
                </c:pt>
                <c:pt idx="8589">
                  <c:v>-14503.461854999998</c:v>
                </c:pt>
                <c:pt idx="8590">
                  <c:v>-14473.025</c:v>
                </c:pt>
                <c:pt idx="8591">
                  <c:v>-14442.630845</c:v>
                </c:pt>
                <c:pt idx="8592">
                  <c:v>-14412.279359999999</c:v>
                </c:pt>
                <c:pt idx="8593">
                  <c:v>-14381.970514999999</c:v>
                </c:pt>
                <c:pt idx="8594">
                  <c:v>-14351.704280000002</c:v>
                </c:pt>
                <c:pt idx="8595">
                  <c:v>-14321.480625000002</c:v>
                </c:pt>
                <c:pt idx="8596">
                  <c:v>-14291.299519999999</c:v>
                </c:pt>
                <c:pt idx="8597">
                  <c:v>-14261.160934999998</c:v>
                </c:pt>
                <c:pt idx="8598">
                  <c:v>-14231.064839999997</c:v>
                </c:pt>
                <c:pt idx="8599">
                  <c:v>-14201.011205</c:v>
                </c:pt>
                <c:pt idx="8600">
                  <c:v>-14171.0</c:v>
                </c:pt>
                <c:pt idx="8601">
                  <c:v>-14141.031195000001</c:v>
                </c:pt>
                <c:pt idx="8602">
                  <c:v>-14111.104760000002</c:v>
                </c:pt>
                <c:pt idx="8603">
                  <c:v>-14081.220665000003</c:v>
                </c:pt>
                <c:pt idx="8604">
                  <c:v>-14051.378880000002</c:v>
                </c:pt>
                <c:pt idx="8605">
                  <c:v>-14021.579374999998</c:v>
                </c:pt>
                <c:pt idx="8606">
                  <c:v>-13991.822119999997</c:v>
                </c:pt>
                <c:pt idx="8607">
                  <c:v>-13962.107085</c:v>
                </c:pt>
                <c:pt idx="8608">
                  <c:v>-13932.43424</c:v>
                </c:pt>
                <c:pt idx="8609">
                  <c:v>-13902.803555</c:v>
                </c:pt>
                <c:pt idx="8610">
                  <c:v>-13873.215000000002</c:v>
                </c:pt>
                <c:pt idx="8611">
                  <c:v>-13843.668545000002</c:v>
                </c:pt>
                <c:pt idx="8612">
                  <c:v>-13814.164160000002</c:v>
                </c:pt>
                <c:pt idx="8613">
                  <c:v>-13784.701814999999</c:v>
                </c:pt>
                <c:pt idx="8614">
                  <c:v>-13755.281479999998</c:v>
                </c:pt>
                <c:pt idx="8615">
                  <c:v>-13725.903124999997</c:v>
                </c:pt>
                <c:pt idx="8616">
                  <c:v>-13696.56672</c:v>
                </c:pt>
                <c:pt idx="8617">
                  <c:v>-13667.272235</c:v>
                </c:pt>
                <c:pt idx="8618">
                  <c:v>-13638.019639999999</c:v>
                </c:pt>
                <c:pt idx="8619">
                  <c:v>-13608.808905</c:v>
                </c:pt>
                <c:pt idx="8620">
                  <c:v>-13579.640000000001</c:v>
                </c:pt>
                <c:pt idx="8621">
                  <c:v>-13550.512894999998</c:v>
                </c:pt>
                <c:pt idx="8622">
                  <c:v>-13521.427559999996</c:v>
                </c:pt>
                <c:pt idx="8623">
                  <c:v>-13492.383964999999</c:v>
                </c:pt>
                <c:pt idx="8624">
                  <c:v>-13463.38208</c:v>
                </c:pt>
                <c:pt idx="8625">
                  <c:v>-13434.421875</c:v>
                </c:pt>
                <c:pt idx="8626">
                  <c:v>-13405.503319999998</c:v>
                </c:pt>
                <c:pt idx="8627">
                  <c:v>-13376.626385000001</c:v>
                </c:pt>
                <c:pt idx="8628">
                  <c:v>-13347.791040000002</c:v>
                </c:pt>
                <c:pt idx="8629">
                  <c:v>-13318.997255000002</c:v>
                </c:pt>
                <c:pt idx="8630">
                  <c:v>-13290.244999999997</c:v>
                </c:pt>
                <c:pt idx="8631">
                  <c:v>-13261.534244999999</c:v>
                </c:pt>
                <c:pt idx="8632">
                  <c:v>-13232.864959999999</c:v>
                </c:pt>
                <c:pt idx="8633">
                  <c:v>-13204.237115000002</c:v>
                </c:pt>
                <c:pt idx="8634">
                  <c:v>-13175.650679999999</c:v>
                </c:pt>
                <c:pt idx="8635">
                  <c:v>-13147.105625000002</c:v>
                </c:pt>
                <c:pt idx="8636">
                  <c:v>-13118.601920000003</c:v>
                </c:pt>
                <c:pt idx="8637">
                  <c:v>-13090.139535</c:v>
                </c:pt>
                <c:pt idx="8638">
                  <c:v>-13061.718439999997</c:v>
                </c:pt>
                <c:pt idx="8639">
                  <c:v>-13033.338604999999</c:v>
                </c:pt>
                <c:pt idx="8640">
                  <c:v>-13004.999999999998</c:v>
                </c:pt>
                <c:pt idx="8641">
                  <c:v>-12976.702595</c:v>
                </c:pt>
                <c:pt idx="8642">
                  <c:v>-12948.44636</c:v>
                </c:pt>
                <c:pt idx="8643">
                  <c:v>-12920.231265</c:v>
                </c:pt>
                <c:pt idx="8644">
                  <c:v>-12892.057280000003</c:v>
                </c:pt>
                <c:pt idx="8645">
                  <c:v>-12863.924375</c:v>
                </c:pt>
                <c:pt idx="8646">
                  <c:v>-12835.832519999998</c:v>
                </c:pt>
                <c:pt idx="8647">
                  <c:v>-12807.781685</c:v>
                </c:pt>
                <c:pt idx="8648">
                  <c:v>-12779.77184</c:v>
                </c:pt>
                <c:pt idx="8649">
                  <c:v>-12751.802955000001</c:v>
                </c:pt>
                <c:pt idx="8650">
                  <c:v>-12723.875</c:v>
                </c:pt>
                <c:pt idx="8651">
                  <c:v>-12695.987944999999</c:v>
                </c:pt>
                <c:pt idx="8652">
                  <c:v>-12668.14176</c:v>
                </c:pt>
                <c:pt idx="8653">
                  <c:v>-12640.336415000002</c:v>
                </c:pt>
                <c:pt idx="8654">
                  <c:v>-12612.571880000001</c:v>
                </c:pt>
                <c:pt idx="8655">
                  <c:v>-12584.848124999999</c:v>
                </c:pt>
                <c:pt idx="8656">
                  <c:v>-12557.165119999998</c:v>
                </c:pt>
                <c:pt idx="8657">
                  <c:v>-12529.522834999998</c:v>
                </c:pt>
                <c:pt idx="8658">
                  <c:v>-12501.921240000001</c:v>
                </c:pt>
                <c:pt idx="8659">
                  <c:v>-12474.360305</c:v>
                </c:pt>
                <c:pt idx="8660">
                  <c:v>-12446.840000000002</c:v>
                </c:pt>
                <c:pt idx="8661">
                  <c:v>-12419.360295000002</c:v>
                </c:pt>
                <c:pt idx="8662">
                  <c:v>-12391.921160000004</c:v>
                </c:pt>
                <c:pt idx="8663">
                  <c:v>-12364.522565</c:v>
                </c:pt>
                <c:pt idx="8664">
                  <c:v>-12337.164479999998</c:v>
                </c:pt>
                <c:pt idx="8665">
                  <c:v>-12309.846874999997</c:v>
                </c:pt>
                <c:pt idx="8666">
                  <c:v>-12282.56972</c:v>
                </c:pt>
                <c:pt idx="8667">
                  <c:v>-12255.332985000001</c:v>
                </c:pt>
                <c:pt idx="8668">
                  <c:v>-12228.13664</c:v>
                </c:pt>
                <c:pt idx="8669">
                  <c:v>-12200.980655000003</c:v>
                </c:pt>
                <c:pt idx="8670">
                  <c:v>-12173.865000000002</c:v>
                </c:pt>
                <c:pt idx="8671">
                  <c:v>-12146.789644999997</c:v>
                </c:pt>
                <c:pt idx="8672">
                  <c:v>-12119.75456</c:v>
                </c:pt>
                <c:pt idx="8673">
                  <c:v>-12092.759714999998</c:v>
                </c:pt>
                <c:pt idx="8674">
                  <c:v>-12065.805079999998</c:v>
                </c:pt>
                <c:pt idx="8675">
                  <c:v>-12038.890625</c:v>
                </c:pt>
                <c:pt idx="8676">
                  <c:v>-12012.016319999999</c:v>
                </c:pt>
                <c:pt idx="8677">
                  <c:v>-11985.182135000003</c:v>
                </c:pt>
                <c:pt idx="8678">
                  <c:v>-11958.388040000002</c:v>
                </c:pt>
                <c:pt idx="8679">
                  <c:v>-11931.634005000002</c:v>
                </c:pt>
                <c:pt idx="8680">
                  <c:v>-11904.92</c:v>
                </c:pt>
                <c:pt idx="8681">
                  <c:v>-11878.245994999997</c:v>
                </c:pt>
                <c:pt idx="8682">
                  <c:v>-11851.61196</c:v>
                </c:pt>
                <c:pt idx="8683">
                  <c:v>-11825.017865000002</c:v>
                </c:pt>
                <c:pt idx="8684">
                  <c:v>-11798.463679999999</c:v>
                </c:pt>
                <c:pt idx="8685">
                  <c:v>-11771.949375</c:v>
                </c:pt>
                <c:pt idx="8686">
                  <c:v>-11745.474920000002</c:v>
                </c:pt>
                <c:pt idx="8687">
                  <c:v>-11719.040285000001</c:v>
                </c:pt>
                <c:pt idx="8688">
                  <c:v>-11692.645439999998</c:v>
                </c:pt>
                <c:pt idx="8689">
                  <c:v>-11666.290355</c:v>
                </c:pt>
                <c:pt idx="8690">
                  <c:v>-11639.974999999999</c:v>
                </c:pt>
                <c:pt idx="8691">
                  <c:v>-11613.699345</c:v>
                </c:pt>
                <c:pt idx="8692">
                  <c:v>-11587.46336</c:v>
                </c:pt>
                <c:pt idx="8693">
                  <c:v>-11561.267014999998</c:v>
                </c:pt>
                <c:pt idx="8694">
                  <c:v>-11535.110280000003</c:v>
                </c:pt>
                <c:pt idx="8695">
                  <c:v>-11508.993125</c:v>
                </c:pt>
                <c:pt idx="8696">
                  <c:v>-11482.915519999997</c:v>
                </c:pt>
                <c:pt idx="8697">
                  <c:v>-11456.877434999999</c:v>
                </c:pt>
                <c:pt idx="8698">
                  <c:v>-11430.878839999998</c:v>
                </c:pt>
                <c:pt idx="8699">
                  <c:v>-11404.919705</c:v>
                </c:pt>
                <c:pt idx="8700">
                  <c:v>-11379.0</c:v>
                </c:pt>
                <c:pt idx="8701">
                  <c:v>-11353.119695</c:v>
                </c:pt>
                <c:pt idx="8702">
                  <c:v>-11327.278760000003</c:v>
                </c:pt>
                <c:pt idx="8703">
                  <c:v>-11301.477165000002</c:v>
                </c:pt>
                <c:pt idx="8704">
                  <c:v>-11275.71488</c:v>
                </c:pt>
                <c:pt idx="8705">
                  <c:v>-11249.991874999998</c:v>
                </c:pt>
                <c:pt idx="8706">
                  <c:v>-11224.308119999998</c:v>
                </c:pt>
                <c:pt idx="8707">
                  <c:v>-11198.663585000002</c:v>
                </c:pt>
                <c:pt idx="8708">
                  <c:v>-11173.05824</c:v>
                </c:pt>
                <c:pt idx="8709">
                  <c:v>-11147.492055</c:v>
                </c:pt>
                <c:pt idx="8710">
                  <c:v>-11121.965000000002</c:v>
                </c:pt>
                <c:pt idx="8711">
                  <c:v>-11096.477045000001</c:v>
                </c:pt>
                <c:pt idx="8712">
                  <c:v>-11071.028160000003</c:v>
                </c:pt>
                <c:pt idx="8713">
                  <c:v>-11045.618315</c:v>
                </c:pt>
                <c:pt idx="8714">
                  <c:v>-11020.247479999998</c:v>
                </c:pt>
                <c:pt idx="8715">
                  <c:v>-10994.915624999998</c:v>
                </c:pt>
                <c:pt idx="8716">
                  <c:v>-10969.622720000001</c:v>
                </c:pt>
                <c:pt idx="8717">
                  <c:v>-10944.368735</c:v>
                </c:pt>
                <c:pt idx="8718">
                  <c:v>-10919.15364</c:v>
                </c:pt>
                <c:pt idx="8719">
                  <c:v>-10893.977405</c:v>
                </c:pt>
                <c:pt idx="8720">
                  <c:v>-10868.840000000002</c:v>
                </c:pt>
                <c:pt idx="8721">
                  <c:v>-10843.741395</c:v>
                </c:pt>
                <c:pt idx="8722">
                  <c:v>-10818.681559999999</c:v>
                </c:pt>
                <c:pt idx="8723">
                  <c:v>-10793.660464999999</c:v>
                </c:pt>
                <c:pt idx="8724">
                  <c:v>-10768.678080000002</c:v>
                </c:pt>
                <c:pt idx="8725">
                  <c:v>-10743.734375</c:v>
                </c:pt>
                <c:pt idx="8726">
                  <c:v>-10718.829319999999</c:v>
                </c:pt>
                <c:pt idx="8727">
                  <c:v>-10693.962885</c:v>
                </c:pt>
                <c:pt idx="8728">
                  <c:v>-10669.135040000001</c:v>
                </c:pt>
                <c:pt idx="8729">
                  <c:v>-10644.345755000002</c:v>
                </c:pt>
                <c:pt idx="8730">
                  <c:v>-10619.595</c:v>
                </c:pt>
                <c:pt idx="8731">
                  <c:v>-10594.882744999999</c:v>
                </c:pt>
                <c:pt idx="8732">
                  <c:v>-10570.20896</c:v>
                </c:pt>
                <c:pt idx="8733">
                  <c:v>-10545.573615000001</c:v>
                </c:pt>
                <c:pt idx="8734">
                  <c:v>-10520.97668</c:v>
                </c:pt>
                <c:pt idx="8735">
                  <c:v>-10496.418125000002</c:v>
                </c:pt>
                <c:pt idx="8736">
                  <c:v>-10471.897920000001</c:v>
                </c:pt>
                <c:pt idx="8737">
                  <c:v>-10447.416035</c:v>
                </c:pt>
                <c:pt idx="8738">
                  <c:v>-10422.97244</c:v>
                </c:pt>
                <c:pt idx="8739">
                  <c:v>-10398.567104999998</c:v>
                </c:pt>
                <c:pt idx="8740">
                  <c:v>-10374.199999999999</c:v>
                </c:pt>
                <c:pt idx="8741">
                  <c:v>-10349.871095</c:v>
                </c:pt>
                <c:pt idx="8742">
                  <c:v>-10325.58036</c:v>
                </c:pt>
                <c:pt idx="8743">
                  <c:v>-10301.327765</c:v>
                </c:pt>
                <c:pt idx="8744">
                  <c:v>-10277.113280000001</c:v>
                </c:pt>
                <c:pt idx="8745">
                  <c:v>-10252.936875</c:v>
                </c:pt>
                <c:pt idx="8746">
                  <c:v>-10228.798519999998</c:v>
                </c:pt>
                <c:pt idx="8747">
                  <c:v>-10204.698185</c:v>
                </c:pt>
                <c:pt idx="8748">
                  <c:v>-10180.635839999999</c:v>
                </c:pt>
                <c:pt idx="8749">
                  <c:v>-10156.611455</c:v>
                </c:pt>
                <c:pt idx="8750">
                  <c:v>-10132.625</c:v>
                </c:pt>
                <c:pt idx="8751">
                  <c:v>-10108.676445000001</c:v>
                </c:pt>
                <c:pt idx="8752">
                  <c:v>-10084.76576</c:v>
                </c:pt>
                <c:pt idx="8753">
                  <c:v>-10060.892915</c:v>
                </c:pt>
                <c:pt idx="8754">
                  <c:v>-10037.05788</c:v>
                </c:pt>
                <c:pt idx="8755">
                  <c:v>-10013.260624999999</c:v>
                </c:pt>
                <c:pt idx="8756">
                  <c:v>-9989.501119999999</c:v>
                </c:pt>
                <c:pt idx="8757">
                  <c:v>-9965.779335</c:v>
                </c:pt>
                <c:pt idx="8758">
                  <c:v>-9942.09524</c:v>
                </c:pt>
                <c:pt idx="8759">
                  <c:v>-9918.448805</c:v>
                </c:pt>
                <c:pt idx="8760">
                  <c:v>-9894.840000000002</c:v>
                </c:pt>
                <c:pt idx="8761">
                  <c:v>-9871.268795000002</c:v>
                </c:pt>
                <c:pt idx="8762">
                  <c:v>-9847.735160000002</c:v>
                </c:pt>
                <c:pt idx="8763">
                  <c:v>-9824.239064999998</c:v>
                </c:pt>
                <c:pt idx="8764">
                  <c:v>-9800.780479999998</c:v>
                </c:pt>
                <c:pt idx="8765">
                  <c:v>-9777.359374999998</c:v>
                </c:pt>
                <c:pt idx="8766">
                  <c:v>-9753.97572</c:v>
                </c:pt>
                <c:pt idx="8767">
                  <c:v>-9730.629485000001</c:v>
                </c:pt>
                <c:pt idx="8768">
                  <c:v>-9707.32064</c:v>
                </c:pt>
                <c:pt idx="8769">
                  <c:v>-9684.049155000002</c:v>
                </c:pt>
                <c:pt idx="8770">
                  <c:v>-9660.815000000002</c:v>
                </c:pt>
                <c:pt idx="8771">
                  <c:v>-9637.618144999999</c:v>
                </c:pt>
                <c:pt idx="8772">
                  <c:v>-9614.458559999997</c:v>
                </c:pt>
                <c:pt idx="8773">
                  <c:v>-9591.336214999998</c:v>
                </c:pt>
                <c:pt idx="8774">
                  <c:v>-9568.25108</c:v>
                </c:pt>
                <c:pt idx="8775">
                  <c:v>-9545.203125</c:v>
                </c:pt>
                <c:pt idx="8776">
                  <c:v>-9522.19232</c:v>
                </c:pt>
                <c:pt idx="8777">
                  <c:v>-9499.218635000001</c:v>
                </c:pt>
                <c:pt idx="8778">
                  <c:v>-9476.282040000002</c:v>
                </c:pt>
                <c:pt idx="8779">
                  <c:v>-9453.382505000001</c:v>
                </c:pt>
                <c:pt idx="8780">
                  <c:v>-9430.519999999999</c:v>
                </c:pt>
                <c:pt idx="8781">
                  <c:v>-9407.694494999998</c:v>
                </c:pt>
                <c:pt idx="8782">
                  <c:v>-9384.90596</c:v>
                </c:pt>
                <c:pt idx="8783">
                  <c:v>-9362.154365</c:v>
                </c:pt>
                <c:pt idx="8784">
                  <c:v>-9339.439680000001</c:v>
                </c:pt>
                <c:pt idx="8785">
                  <c:v>-9316.761875000002</c:v>
                </c:pt>
                <c:pt idx="8786">
                  <c:v>-9294.120920000001</c:v>
                </c:pt>
                <c:pt idx="8787">
                  <c:v>-9271.516785000002</c:v>
                </c:pt>
                <c:pt idx="8788">
                  <c:v>-9248.949439999999</c:v>
                </c:pt>
                <c:pt idx="8789">
                  <c:v>-9226.418855</c:v>
                </c:pt>
                <c:pt idx="8790">
                  <c:v>-9203.925</c:v>
                </c:pt>
                <c:pt idx="8791">
                  <c:v>-9181.467845000001</c:v>
                </c:pt>
                <c:pt idx="8792">
                  <c:v>-9159.04736</c:v>
                </c:pt>
                <c:pt idx="8793">
                  <c:v>-9136.663515</c:v>
                </c:pt>
                <c:pt idx="8794">
                  <c:v>-9114.316280000001</c:v>
                </c:pt>
                <c:pt idx="8795">
                  <c:v>-9092.005625000002</c:v>
                </c:pt>
                <c:pt idx="8796">
                  <c:v>-9069.731519999998</c:v>
                </c:pt>
                <c:pt idx="8797">
                  <c:v>-9047.493934999999</c:v>
                </c:pt>
                <c:pt idx="8798">
                  <c:v>-9025.29284</c:v>
                </c:pt>
                <c:pt idx="8799">
                  <c:v>-9003.128204999999</c:v>
                </c:pt>
                <c:pt idx="8800">
                  <c:v>-8981.0</c:v>
                </c:pt>
                <c:pt idx="8801">
                  <c:v>-8958.908195000002</c:v>
                </c:pt>
                <c:pt idx="8802">
                  <c:v>-8936.852760000002</c:v>
                </c:pt>
                <c:pt idx="8803">
                  <c:v>-8914.833665</c:v>
                </c:pt>
                <c:pt idx="8804">
                  <c:v>-8892.85088</c:v>
                </c:pt>
                <c:pt idx="8805">
                  <c:v>-8870.904374999998</c:v>
                </c:pt>
                <c:pt idx="8806">
                  <c:v>-8848.99412</c:v>
                </c:pt>
                <c:pt idx="8807">
                  <c:v>-8827.120084999999</c:v>
                </c:pt>
                <c:pt idx="8808">
                  <c:v>-8805.28224</c:v>
                </c:pt>
                <c:pt idx="8809">
                  <c:v>-8783.480555</c:v>
                </c:pt>
                <c:pt idx="8810">
                  <c:v>-8761.715</c:v>
                </c:pt>
                <c:pt idx="8811">
                  <c:v>-8739.985545000001</c:v>
                </c:pt>
                <c:pt idx="8812">
                  <c:v>-8718.29216</c:v>
                </c:pt>
                <c:pt idx="8813">
                  <c:v>-8696.634815</c:v>
                </c:pt>
                <c:pt idx="8814">
                  <c:v>-8675.01348</c:v>
                </c:pt>
                <c:pt idx="8815">
                  <c:v>-8653.428124999997</c:v>
                </c:pt>
                <c:pt idx="8816">
                  <c:v>-8631.878719999999</c:v>
                </c:pt>
                <c:pt idx="8817">
                  <c:v>-8610.365235000001</c:v>
                </c:pt>
                <c:pt idx="8818">
                  <c:v>-8588.88764</c:v>
                </c:pt>
                <c:pt idx="8819">
                  <c:v>-8567.445905</c:v>
                </c:pt>
                <c:pt idx="8820">
                  <c:v>-8546.04</c:v>
                </c:pt>
                <c:pt idx="8821">
                  <c:v>-8524.669894999999</c:v>
                </c:pt>
                <c:pt idx="8822">
                  <c:v>-8503.33556</c:v>
                </c:pt>
                <c:pt idx="8823">
                  <c:v>-8482.036965</c:v>
                </c:pt>
                <c:pt idx="8824">
                  <c:v>-8460.774080000001</c:v>
                </c:pt>
                <c:pt idx="8825">
                  <c:v>-8439.546875</c:v>
                </c:pt>
                <c:pt idx="8826">
                  <c:v>-8418.35532</c:v>
                </c:pt>
                <c:pt idx="8827">
                  <c:v>-8397.199385</c:v>
                </c:pt>
                <c:pt idx="8828">
                  <c:v>-8376.07904</c:v>
                </c:pt>
                <c:pt idx="8829">
                  <c:v>-8354.994255000001</c:v>
                </c:pt>
                <c:pt idx="8830">
                  <c:v>-8333.944999999998</c:v>
                </c:pt>
                <c:pt idx="8831">
                  <c:v>-8312.931245</c:v>
                </c:pt>
                <c:pt idx="8832">
                  <c:v>-8291.95296</c:v>
                </c:pt>
                <c:pt idx="8833">
                  <c:v>-8271.010115</c:v>
                </c:pt>
                <c:pt idx="8834">
                  <c:v>-8250.10268</c:v>
                </c:pt>
                <c:pt idx="8835">
                  <c:v>-8229.230625</c:v>
                </c:pt>
                <c:pt idx="8836">
                  <c:v>-8208.393920000002</c:v>
                </c:pt>
                <c:pt idx="8837">
                  <c:v>-8187.592535000002</c:v>
                </c:pt>
                <c:pt idx="8838">
                  <c:v>-8166.826439999998</c:v>
                </c:pt>
                <c:pt idx="8839">
                  <c:v>-8146.0956049999995</c:v>
                </c:pt>
                <c:pt idx="8840">
                  <c:v>-8125.4</c:v>
                </c:pt>
                <c:pt idx="8841">
                  <c:v>-8104.739595</c:v>
                </c:pt>
                <c:pt idx="8842">
                  <c:v>-8084.1143600000005</c:v>
                </c:pt>
                <c:pt idx="8843">
                  <c:v>-8063.524265000001</c:v>
                </c:pt>
                <c:pt idx="8844">
                  <c:v>-8042.969280000001</c:v>
                </c:pt>
                <c:pt idx="8845">
                  <c:v>-8022.449375000001</c:v>
                </c:pt>
                <c:pt idx="8846">
                  <c:v>-8001.964519999999</c:v>
                </c:pt>
                <c:pt idx="8847">
                  <c:v>-7981.514684999999</c:v>
                </c:pt>
                <c:pt idx="8848">
                  <c:v>-7961.09984</c:v>
                </c:pt>
                <c:pt idx="8849">
                  <c:v>-7940.719955</c:v>
                </c:pt>
                <c:pt idx="8850">
                  <c:v>-7920.375</c:v>
                </c:pt>
                <c:pt idx="8851">
                  <c:v>-7900.064945000001</c:v>
                </c:pt>
                <c:pt idx="8852">
                  <c:v>-7879.789760000001</c:v>
                </c:pt>
                <c:pt idx="8853">
                  <c:v>-7859.549415000001</c:v>
                </c:pt>
                <c:pt idx="8854">
                  <c:v>-7839.343880000001</c:v>
                </c:pt>
                <c:pt idx="8855">
                  <c:v>-7819.173124999999</c:v>
                </c:pt>
                <c:pt idx="8856">
                  <c:v>-7799.037119999998</c:v>
                </c:pt>
                <c:pt idx="8857">
                  <c:v>-7778.935834999999</c:v>
                </c:pt>
                <c:pt idx="8858">
                  <c:v>-7758.86924</c:v>
                </c:pt>
                <c:pt idx="8859">
                  <c:v>-7738.837305</c:v>
                </c:pt>
                <c:pt idx="8860">
                  <c:v>-7718.84</c:v>
                </c:pt>
                <c:pt idx="8861">
                  <c:v>-7698.877295000002</c:v>
                </c:pt>
                <c:pt idx="8862">
                  <c:v>-7678.949160000001</c:v>
                </c:pt>
                <c:pt idx="8863">
                  <c:v>-7659.055564999998</c:v>
                </c:pt>
                <c:pt idx="8864">
                  <c:v>-7639.196479999998</c:v>
                </c:pt>
                <c:pt idx="8865">
                  <c:v>-7619.371875</c:v>
                </c:pt>
                <c:pt idx="8866">
                  <c:v>-7599.58172</c:v>
                </c:pt>
                <c:pt idx="8867">
                  <c:v>-7579.8259849999995</c:v>
                </c:pt>
                <c:pt idx="8868">
                  <c:v>-7560.104640000001</c:v>
                </c:pt>
                <c:pt idx="8869">
                  <c:v>-7540.417655</c:v>
                </c:pt>
                <c:pt idx="8870">
                  <c:v>-7520.765</c:v>
                </c:pt>
                <c:pt idx="8871">
                  <c:v>-7501.146644999999</c:v>
                </c:pt>
                <c:pt idx="8872">
                  <c:v>-7481.56256</c:v>
                </c:pt>
                <c:pt idx="8873">
                  <c:v>-7462.012715</c:v>
                </c:pt>
                <c:pt idx="8874">
                  <c:v>-7442.497079999999</c:v>
                </c:pt>
                <c:pt idx="8875">
                  <c:v>-7423.015625</c:v>
                </c:pt>
                <c:pt idx="8876">
                  <c:v>-7403.56832</c:v>
                </c:pt>
                <c:pt idx="8877">
                  <c:v>-7384.155135000001</c:v>
                </c:pt>
                <c:pt idx="8878">
                  <c:v>-7364.776040000001</c:v>
                </c:pt>
                <c:pt idx="8879">
                  <c:v>-7345.431005000001</c:v>
                </c:pt>
                <c:pt idx="8880">
                  <c:v>-7326.119999999999</c:v>
                </c:pt>
                <c:pt idx="8881">
                  <c:v>-7306.842994999999</c:v>
                </c:pt>
                <c:pt idx="8882">
                  <c:v>-7287.59996</c:v>
                </c:pt>
                <c:pt idx="8883">
                  <c:v>-7268.390865</c:v>
                </c:pt>
                <c:pt idx="8884">
                  <c:v>-7249.21568</c:v>
                </c:pt>
                <c:pt idx="8885">
                  <c:v>-7230.074375000001</c:v>
                </c:pt>
                <c:pt idx="8886">
                  <c:v>-7210.966920000002</c:v>
                </c:pt>
                <c:pt idx="8887">
                  <c:v>-7191.893285000003</c:v>
                </c:pt>
                <c:pt idx="8888">
                  <c:v>-7172.853439999998</c:v>
                </c:pt>
                <c:pt idx="8889">
                  <c:v>-7153.847354999999</c:v>
                </c:pt>
                <c:pt idx="8890">
                  <c:v>-7134.874999999999</c:v>
                </c:pt>
                <c:pt idx="8891">
                  <c:v>-7115.936345</c:v>
                </c:pt>
                <c:pt idx="8892">
                  <c:v>-7097.03136</c:v>
                </c:pt>
                <c:pt idx="8893">
                  <c:v>-7078.160015</c:v>
                </c:pt>
                <c:pt idx="8894">
                  <c:v>-7059.322280000001</c:v>
                </c:pt>
                <c:pt idx="8895">
                  <c:v>-7040.518125000001</c:v>
                </c:pt>
                <c:pt idx="8896">
                  <c:v>-7021.747519999999</c:v>
                </c:pt>
                <c:pt idx="8897">
                  <c:v>-7003.010434999998</c:v>
                </c:pt>
                <c:pt idx="8898">
                  <c:v>-6984.306839999999</c:v>
                </c:pt>
                <c:pt idx="8899">
                  <c:v>-6965.636704999999</c:v>
                </c:pt>
                <c:pt idx="8900">
                  <c:v>-6947.0</c:v>
                </c:pt>
                <c:pt idx="8901">
                  <c:v>-6928.396695</c:v>
                </c:pt>
                <c:pt idx="8902">
                  <c:v>-6909.82676</c:v>
                </c:pt>
                <c:pt idx="8903">
                  <c:v>-6891.290165</c:v>
                </c:pt>
                <c:pt idx="8904">
                  <c:v>-6872.7868800000015</c:v>
                </c:pt>
                <c:pt idx="8905">
                  <c:v>-6854.316874999999</c:v>
                </c:pt>
                <c:pt idx="8906">
                  <c:v>-6835.880119999999</c:v>
                </c:pt>
                <c:pt idx="8907">
                  <c:v>-6817.476584999999</c:v>
                </c:pt>
                <c:pt idx="8908">
                  <c:v>-6799.10624</c:v>
                </c:pt>
                <c:pt idx="8909">
                  <c:v>-6780.769055</c:v>
                </c:pt>
                <c:pt idx="8910">
                  <c:v>-6762.465000000001</c:v>
                </c:pt>
                <c:pt idx="8911">
                  <c:v>-6744.194045000001</c:v>
                </c:pt>
                <c:pt idx="8912">
                  <c:v>-6725.956160000002</c:v>
                </c:pt>
                <c:pt idx="8913">
                  <c:v>-6707.751314999999</c:v>
                </c:pt>
                <c:pt idx="8914">
                  <c:v>-6689.5794799999985</c:v>
                </c:pt>
                <c:pt idx="8915">
                  <c:v>-6671.440624999998</c:v>
                </c:pt>
                <c:pt idx="8916">
                  <c:v>-6653.334720000001</c:v>
                </c:pt>
                <c:pt idx="8917">
                  <c:v>-6635.261735</c:v>
                </c:pt>
                <c:pt idx="8918">
                  <c:v>-6617.221640000001</c:v>
                </c:pt>
                <c:pt idx="8919">
                  <c:v>-6599.214405000001</c:v>
                </c:pt>
                <c:pt idx="8920">
                  <c:v>-6581.240000000001</c:v>
                </c:pt>
                <c:pt idx="8921">
                  <c:v>-6563.298394999999</c:v>
                </c:pt>
                <c:pt idx="8922">
                  <c:v>-6545.38956</c:v>
                </c:pt>
                <c:pt idx="8923">
                  <c:v>-6527.513465</c:v>
                </c:pt>
                <c:pt idx="8924">
                  <c:v>-6509.670079999999</c:v>
                </c:pt>
                <c:pt idx="8925">
                  <c:v>-6491.859375</c:v>
                </c:pt>
                <c:pt idx="8926">
                  <c:v>-6474.08132</c:v>
                </c:pt>
                <c:pt idx="8927">
                  <c:v>-6456.335885</c:v>
                </c:pt>
                <c:pt idx="8928">
                  <c:v>-6438.623040000001</c:v>
                </c:pt>
                <c:pt idx="8929">
                  <c:v>-6420.942755000002</c:v>
                </c:pt>
                <c:pt idx="8930">
                  <c:v>-6403.294999999998</c:v>
                </c:pt>
                <c:pt idx="8931">
                  <c:v>-6385.6797449999995</c:v>
                </c:pt>
                <c:pt idx="8932">
                  <c:v>-6368.09696</c:v>
                </c:pt>
                <c:pt idx="8933">
                  <c:v>-6350.546615</c:v>
                </c:pt>
                <c:pt idx="8934">
                  <c:v>-6333.02868</c:v>
                </c:pt>
                <c:pt idx="8935">
                  <c:v>-6315.543125000001</c:v>
                </c:pt>
                <c:pt idx="8936">
                  <c:v>-6298.089920000002</c:v>
                </c:pt>
                <c:pt idx="8937">
                  <c:v>-6280.669035000003</c:v>
                </c:pt>
                <c:pt idx="8938">
                  <c:v>-6263.280439999999</c:v>
                </c:pt>
                <c:pt idx="8939">
                  <c:v>-6245.924104999999</c:v>
                </c:pt>
                <c:pt idx="8940">
                  <c:v>-6228.599999999999</c:v>
                </c:pt>
                <c:pt idx="8941">
                  <c:v>-6211.308095</c:v>
                </c:pt>
                <c:pt idx="8942">
                  <c:v>-6194.04836</c:v>
                </c:pt>
                <c:pt idx="8943">
                  <c:v>-6176.820765000001</c:v>
                </c:pt>
                <c:pt idx="8944">
                  <c:v>-6159.625280000001</c:v>
                </c:pt>
                <c:pt idx="8945">
                  <c:v>-6142.461875000001</c:v>
                </c:pt>
                <c:pt idx="8946">
                  <c:v>-6125.330519999999</c:v>
                </c:pt>
                <c:pt idx="8947">
                  <c:v>-6108.231184999999</c:v>
                </c:pt>
                <c:pt idx="8948">
                  <c:v>-6091.163839999999</c:v>
                </c:pt>
                <c:pt idx="8949">
                  <c:v>-6074.128454999999</c:v>
                </c:pt>
                <c:pt idx="8950">
                  <c:v>-6057.125</c:v>
                </c:pt>
                <c:pt idx="8951">
                  <c:v>-6040.153445000001</c:v>
                </c:pt>
                <c:pt idx="8952">
                  <c:v>-6023.21376</c:v>
                </c:pt>
                <c:pt idx="8953">
                  <c:v>-6006.305915</c:v>
                </c:pt>
                <c:pt idx="8954">
                  <c:v>-5989.4298800000015</c:v>
                </c:pt>
                <c:pt idx="8955">
                  <c:v>-5972.585624999999</c:v>
                </c:pt>
                <c:pt idx="8956">
                  <c:v>-5955.773119999998</c:v>
                </c:pt>
                <c:pt idx="8957">
                  <c:v>-5938.992335</c:v>
                </c:pt>
                <c:pt idx="8958">
                  <c:v>-5922.24324</c:v>
                </c:pt>
                <c:pt idx="8959">
                  <c:v>-5905.525804999999</c:v>
                </c:pt>
                <c:pt idx="8960">
                  <c:v>-5888.839999999999</c:v>
                </c:pt>
                <c:pt idx="8961">
                  <c:v>-5872.185795000001</c:v>
                </c:pt>
                <c:pt idx="8962">
                  <c:v>-5855.5631600000015</c:v>
                </c:pt>
                <c:pt idx="8963">
                  <c:v>-5838.972064999999</c:v>
                </c:pt>
                <c:pt idx="8964">
                  <c:v>-5822.412479999999</c:v>
                </c:pt>
                <c:pt idx="8965">
                  <c:v>-5805.884375</c:v>
                </c:pt>
                <c:pt idx="8966">
                  <c:v>-5789.38772</c:v>
                </c:pt>
                <c:pt idx="8967">
                  <c:v>-5772.922485</c:v>
                </c:pt>
                <c:pt idx="8968">
                  <c:v>-5756.4886400000005</c:v>
                </c:pt>
                <c:pt idx="8969">
                  <c:v>-5740.086155000002</c:v>
                </c:pt>
                <c:pt idx="8970">
                  <c:v>-5723.715000000002</c:v>
                </c:pt>
                <c:pt idx="8971">
                  <c:v>-5707.375144999999</c:v>
                </c:pt>
                <c:pt idx="8972">
                  <c:v>-5691.066559999998</c:v>
                </c:pt>
                <c:pt idx="8973">
                  <c:v>-5674.789215000001</c:v>
                </c:pt>
                <c:pt idx="8974">
                  <c:v>-5658.54308</c:v>
                </c:pt>
                <c:pt idx="8975">
                  <c:v>-5642.328125</c:v>
                </c:pt>
                <c:pt idx="8976">
                  <c:v>-5626.144320000001</c:v>
                </c:pt>
                <c:pt idx="8977">
                  <c:v>-5609.991635</c:v>
                </c:pt>
                <c:pt idx="8978">
                  <c:v>-5593.870040000002</c:v>
                </c:pt>
                <c:pt idx="8979">
                  <c:v>-5577.779505000001</c:v>
                </c:pt>
                <c:pt idx="8980">
                  <c:v>-5561.719999999999</c:v>
                </c:pt>
                <c:pt idx="8981">
                  <c:v>-5545.691494999999</c:v>
                </c:pt>
                <c:pt idx="8982">
                  <c:v>-5529.693959999999</c:v>
                </c:pt>
                <c:pt idx="8983">
                  <c:v>-5513.727365</c:v>
                </c:pt>
                <c:pt idx="8984">
                  <c:v>-5497.791680000001</c:v>
                </c:pt>
                <c:pt idx="8985">
                  <c:v>-5481.886875000001</c:v>
                </c:pt>
                <c:pt idx="8986">
                  <c:v>-5466.01292</c:v>
                </c:pt>
                <c:pt idx="8987">
                  <c:v>-5450.169785000002</c:v>
                </c:pt>
                <c:pt idx="8988">
                  <c:v>-5434.357439999999</c:v>
                </c:pt>
                <c:pt idx="8989">
                  <c:v>-5418.575854999999</c:v>
                </c:pt>
                <c:pt idx="8990">
                  <c:v>-5402.825</c:v>
                </c:pt>
                <c:pt idx="8991">
                  <c:v>-5387.104845000001</c:v>
                </c:pt>
                <c:pt idx="8992">
                  <c:v>-5371.41536</c:v>
                </c:pt>
                <c:pt idx="8993">
                  <c:v>-5355.756515000001</c:v>
                </c:pt>
                <c:pt idx="8994">
                  <c:v>-5340.128280000001</c:v>
                </c:pt>
                <c:pt idx="8995">
                  <c:v>-5324.530625</c:v>
                </c:pt>
                <c:pt idx="8996">
                  <c:v>-5308.963519999998</c:v>
                </c:pt>
                <c:pt idx="8997">
                  <c:v>-5293.4269349999995</c:v>
                </c:pt>
                <c:pt idx="8998">
                  <c:v>-5277.92084</c:v>
                </c:pt>
                <c:pt idx="8999">
                  <c:v>-5262.445204999999</c:v>
                </c:pt>
                <c:pt idx="9000">
                  <c:v>-5247.0</c:v>
                </c:pt>
                <c:pt idx="9001">
                  <c:v>-5231.585195000001</c:v>
                </c:pt>
                <c:pt idx="9002">
                  <c:v>-5216.20076</c:v>
                </c:pt>
                <c:pt idx="9003">
                  <c:v>-5200.846665000001</c:v>
                </c:pt>
                <c:pt idx="9004">
                  <c:v>-5185.522880000001</c:v>
                </c:pt>
                <c:pt idx="9005">
                  <c:v>-5170.229375</c:v>
                </c:pt>
                <c:pt idx="9006">
                  <c:v>-5154.966119999999</c:v>
                </c:pt>
                <c:pt idx="9007">
                  <c:v>-5139.733084999999</c:v>
                </c:pt>
                <c:pt idx="9008">
                  <c:v>-5124.53024</c:v>
                </c:pt>
                <c:pt idx="9009">
                  <c:v>-5109.357555</c:v>
                </c:pt>
                <c:pt idx="9010">
                  <c:v>-5094.215000000001</c:v>
                </c:pt>
                <c:pt idx="9011">
                  <c:v>-5079.102545000001</c:v>
                </c:pt>
                <c:pt idx="9012">
                  <c:v>-5064.020160000001</c:v>
                </c:pt>
                <c:pt idx="9013">
                  <c:v>-5048.967814999999</c:v>
                </c:pt>
                <c:pt idx="9014">
                  <c:v>-5033.945479999999</c:v>
                </c:pt>
                <c:pt idx="9015">
                  <c:v>-5018.953125</c:v>
                </c:pt>
                <c:pt idx="9016">
                  <c:v>-5003.99072</c:v>
                </c:pt>
                <c:pt idx="9017">
                  <c:v>-4989.0582349999995</c:v>
                </c:pt>
                <c:pt idx="9018">
                  <c:v>-4974.155640000001</c:v>
                </c:pt>
                <c:pt idx="9019">
                  <c:v>-4959.282905000001</c:v>
                </c:pt>
                <c:pt idx="9020">
                  <c:v>-4944.4400000000005</c:v>
                </c:pt>
                <c:pt idx="9021">
                  <c:v>-4929.626894999998</c:v>
                </c:pt>
                <c:pt idx="9022">
                  <c:v>-4914.843559999999</c:v>
                </c:pt>
                <c:pt idx="9023">
                  <c:v>-4900.089964999999</c:v>
                </c:pt>
                <c:pt idx="9024">
                  <c:v>-4885.366079999999</c:v>
                </c:pt>
                <c:pt idx="9025">
                  <c:v>-4870.671875</c:v>
                </c:pt>
                <c:pt idx="9026">
                  <c:v>-4856.007320000001</c:v>
                </c:pt>
                <c:pt idx="9027">
                  <c:v>-4841.372385000001</c:v>
                </c:pt>
                <c:pt idx="9028">
                  <c:v>-4826.767040000001</c:v>
                </c:pt>
                <c:pt idx="9029">
                  <c:v>-4812.191255000001</c:v>
                </c:pt>
                <c:pt idx="9030">
                  <c:v>-4797.6449999999995</c:v>
                </c:pt>
                <c:pt idx="9031">
                  <c:v>-4783.128244999999</c:v>
                </c:pt>
                <c:pt idx="9032">
                  <c:v>-4768.64096</c:v>
                </c:pt>
                <c:pt idx="9033">
                  <c:v>-4754.183115</c:v>
                </c:pt>
                <c:pt idx="9034">
                  <c:v>-4739.75468</c:v>
                </c:pt>
                <c:pt idx="9035">
                  <c:v>-4725.355625</c:v>
                </c:pt>
                <c:pt idx="9036">
                  <c:v>-4710.985920000001</c:v>
                </c:pt>
                <c:pt idx="9037">
                  <c:v>-4696.645535000001</c:v>
                </c:pt>
                <c:pt idx="9038">
                  <c:v>-4682.334439999999</c:v>
                </c:pt>
                <c:pt idx="9039">
                  <c:v>-4668.052604999999</c:v>
                </c:pt>
                <c:pt idx="9040">
                  <c:v>-4653.799999999999</c:v>
                </c:pt>
                <c:pt idx="9041">
                  <c:v>-4639.576595</c:v>
                </c:pt>
                <c:pt idx="9042">
                  <c:v>-4625.3823600000005</c:v>
                </c:pt>
                <c:pt idx="9043">
                  <c:v>-4611.217265</c:v>
                </c:pt>
                <c:pt idx="9044">
                  <c:v>-4597.08128</c:v>
                </c:pt>
                <c:pt idx="9045">
                  <c:v>-4582.974375000001</c:v>
                </c:pt>
                <c:pt idx="9046">
                  <c:v>-4568.896519999998</c:v>
                </c:pt>
                <c:pt idx="9047">
                  <c:v>-4554.847685</c:v>
                </c:pt>
                <c:pt idx="9048">
                  <c:v>-4540.82784</c:v>
                </c:pt>
                <c:pt idx="9049">
                  <c:v>-4526.836954999999</c:v>
                </c:pt>
                <c:pt idx="9050">
                  <c:v>-4512.875</c:v>
                </c:pt>
                <c:pt idx="9051">
                  <c:v>-4498.941945000001</c:v>
                </c:pt>
                <c:pt idx="9052">
                  <c:v>-4485.03776</c:v>
                </c:pt>
                <c:pt idx="9053">
                  <c:v>-4471.162415000001</c:v>
                </c:pt>
                <c:pt idx="9054">
                  <c:v>-4457.315880000001</c:v>
                </c:pt>
                <c:pt idx="9055">
                  <c:v>-4443.498124999999</c:v>
                </c:pt>
                <c:pt idx="9056">
                  <c:v>-4429.7091199999995</c:v>
                </c:pt>
                <c:pt idx="9057">
                  <c:v>-4415.948834999999</c:v>
                </c:pt>
                <c:pt idx="9058">
                  <c:v>-4402.21724</c:v>
                </c:pt>
                <c:pt idx="9059">
                  <c:v>-4388.514305</c:v>
                </c:pt>
                <c:pt idx="9060">
                  <c:v>-4374.84</c:v>
                </c:pt>
                <c:pt idx="9061">
                  <c:v>-4361.194295000001</c:v>
                </c:pt>
                <c:pt idx="9062">
                  <c:v>-4347.577160000001</c:v>
                </c:pt>
                <c:pt idx="9063">
                  <c:v>-4333.988564999999</c:v>
                </c:pt>
                <c:pt idx="9064">
                  <c:v>-4320.428479999999</c:v>
                </c:pt>
                <c:pt idx="9065">
                  <c:v>-4306.896875</c:v>
                </c:pt>
                <c:pt idx="9066">
                  <c:v>-4293.39372</c:v>
                </c:pt>
                <c:pt idx="9067">
                  <c:v>-4279.918985</c:v>
                </c:pt>
                <c:pt idx="9068">
                  <c:v>-4266.472640000001</c:v>
                </c:pt>
                <c:pt idx="9069">
                  <c:v>-4253.054655000001</c:v>
                </c:pt>
                <c:pt idx="9070">
                  <c:v>-4239.665000000001</c:v>
                </c:pt>
                <c:pt idx="9071">
                  <c:v>-4226.303644999998</c:v>
                </c:pt>
                <c:pt idx="9072">
                  <c:v>-4212.970559999999</c:v>
                </c:pt>
                <c:pt idx="9073">
                  <c:v>-4199.665714999999</c:v>
                </c:pt>
                <c:pt idx="9074">
                  <c:v>-4186.389079999999</c:v>
                </c:pt>
                <c:pt idx="9075">
                  <c:v>-4173.140625</c:v>
                </c:pt>
                <c:pt idx="9076">
                  <c:v>-4159.92032</c:v>
                </c:pt>
                <c:pt idx="9077">
                  <c:v>-4146.728135</c:v>
                </c:pt>
                <c:pt idx="9078">
                  <c:v>-4133.564040000001</c:v>
                </c:pt>
                <c:pt idx="9079">
                  <c:v>-4120.428005000001</c:v>
                </c:pt>
                <c:pt idx="9080">
                  <c:v>-4107.32</c:v>
                </c:pt>
                <c:pt idx="9081">
                  <c:v>-4094.2399949999995</c:v>
                </c:pt>
                <c:pt idx="9082">
                  <c:v>-4081.1879599999997</c:v>
                </c:pt>
                <c:pt idx="9083">
                  <c:v>-4068.163865</c:v>
                </c:pt>
                <c:pt idx="9084">
                  <c:v>-4055.16768</c:v>
                </c:pt>
                <c:pt idx="9085">
                  <c:v>-4042.1993750000006</c:v>
                </c:pt>
                <c:pt idx="9086">
                  <c:v>-4029.258920000001</c:v>
                </c:pt>
                <c:pt idx="9087">
                  <c:v>-4016.346285000001</c:v>
                </c:pt>
                <c:pt idx="9088">
                  <c:v>-4003.4614399999987</c:v>
                </c:pt>
                <c:pt idx="9089">
                  <c:v>-3990.6043549999995</c:v>
                </c:pt>
                <c:pt idx="9090">
                  <c:v>-3977.7749999999996</c:v>
                </c:pt>
                <c:pt idx="9091">
                  <c:v>-3964.973345</c:v>
                </c:pt>
                <c:pt idx="9092">
                  <c:v>-3952.19936</c:v>
                </c:pt>
                <c:pt idx="9093">
                  <c:v>-3939.453015</c:v>
                </c:pt>
                <c:pt idx="9094">
                  <c:v>-3926.73428</c:v>
                </c:pt>
                <c:pt idx="9095">
                  <c:v>-3914.043125000001</c:v>
                </c:pt>
                <c:pt idx="9096">
                  <c:v>-3901.379519999999</c:v>
                </c:pt>
                <c:pt idx="9097">
                  <c:v>-3888.7434349999994</c:v>
                </c:pt>
                <c:pt idx="9098">
                  <c:v>-3876.1348399999993</c:v>
                </c:pt>
                <c:pt idx="9099">
                  <c:v>-3863.553705</c:v>
                </c:pt>
                <c:pt idx="9100">
                  <c:v>-3851.0</c:v>
                </c:pt>
                <c:pt idx="9101">
                  <c:v>-3838.473695</c:v>
                </c:pt>
                <c:pt idx="9102">
                  <c:v>-3825.974760000001</c:v>
                </c:pt>
                <c:pt idx="9103">
                  <c:v>-3813.5031650000005</c:v>
                </c:pt>
                <c:pt idx="9104">
                  <c:v>-3801.058880000001</c:v>
                </c:pt>
                <c:pt idx="9105">
                  <c:v>-3788.6418749999993</c:v>
                </c:pt>
                <c:pt idx="9106">
                  <c:v>-3776.2521199999996</c:v>
                </c:pt>
                <c:pt idx="9107">
                  <c:v>-3763.8895849999994</c:v>
                </c:pt>
                <c:pt idx="9108">
                  <c:v>-3751.5542400000004</c:v>
                </c:pt>
                <c:pt idx="9109">
                  <c:v>-3739.246055</c:v>
                </c:pt>
                <c:pt idx="9110">
                  <c:v>-3726.965</c:v>
                </c:pt>
                <c:pt idx="9111">
                  <c:v>-3714.711045000001</c:v>
                </c:pt>
                <c:pt idx="9112">
                  <c:v>-3702.4841600000004</c:v>
                </c:pt>
                <c:pt idx="9113">
                  <c:v>-3690.284314999999</c:v>
                </c:pt>
                <c:pt idx="9114">
                  <c:v>-3678.1114799999996</c:v>
                </c:pt>
                <c:pt idx="9115">
                  <c:v>-3665.965625</c:v>
                </c:pt>
                <c:pt idx="9116">
                  <c:v>-3653.84672</c:v>
                </c:pt>
                <c:pt idx="9117">
                  <c:v>-3641.754735</c:v>
                </c:pt>
                <c:pt idx="9118">
                  <c:v>-3629.6896400000005</c:v>
                </c:pt>
                <c:pt idx="9119">
                  <c:v>-3617.651405</c:v>
                </c:pt>
                <c:pt idx="9120">
                  <c:v>-3605.6400000000012</c:v>
                </c:pt>
                <c:pt idx="9121">
                  <c:v>-3593.655394999999</c:v>
                </c:pt>
                <c:pt idx="9122">
                  <c:v>-3581.6975599999996</c:v>
                </c:pt>
                <c:pt idx="9123">
                  <c:v>-3569.7664649999992</c:v>
                </c:pt>
                <c:pt idx="9124">
                  <c:v>-3557.86208</c:v>
                </c:pt>
                <c:pt idx="9125">
                  <c:v>-3545.984375</c:v>
                </c:pt>
                <c:pt idx="9126">
                  <c:v>-3534.1333200000004</c:v>
                </c:pt>
                <c:pt idx="9127">
                  <c:v>-3522.308885000001</c:v>
                </c:pt>
                <c:pt idx="9128">
                  <c:v>-3510.5110400000003</c:v>
                </c:pt>
                <c:pt idx="9129">
                  <c:v>-3498.739755000001</c:v>
                </c:pt>
                <c:pt idx="9130">
                  <c:v>-3486.994999999999</c:v>
                </c:pt>
                <c:pt idx="9131">
                  <c:v>-3475.2767449999997</c:v>
                </c:pt>
                <c:pt idx="9132">
                  <c:v>-3463.5849599999992</c:v>
                </c:pt>
                <c:pt idx="9133">
                  <c:v>-3451.919615</c:v>
                </c:pt>
                <c:pt idx="9134">
                  <c:v>-3440.28068</c:v>
                </c:pt>
                <c:pt idx="9135">
                  <c:v>-3428.668125</c:v>
                </c:pt>
                <c:pt idx="9136">
                  <c:v>-3417.0819200000005</c:v>
                </c:pt>
                <c:pt idx="9137">
                  <c:v>-3405.5220350000013</c:v>
                </c:pt>
                <c:pt idx="9138">
                  <c:v>-3393.9884399999996</c:v>
                </c:pt>
                <c:pt idx="9139">
                  <c:v>-3382.4811049999994</c:v>
                </c:pt>
                <c:pt idx="9140">
                  <c:v>-3371.0</c:v>
                </c:pt>
                <c:pt idx="9141">
                  <c:v>-3359.545095</c:v>
                </c:pt>
                <c:pt idx="9142">
                  <c:v>-3348.11636</c:v>
                </c:pt>
                <c:pt idx="9143">
                  <c:v>-3336.7137650000004</c:v>
                </c:pt>
                <c:pt idx="9144">
                  <c:v>-3325.33728</c:v>
                </c:pt>
                <c:pt idx="9145">
                  <c:v>-3313.986875000001</c:v>
                </c:pt>
                <c:pt idx="9146">
                  <c:v>-3302.6625199999985</c:v>
                </c:pt>
                <c:pt idx="9147">
                  <c:v>-3291.364185</c:v>
                </c:pt>
                <c:pt idx="9148">
                  <c:v>-3280.0918399999996</c:v>
                </c:pt>
                <c:pt idx="9149">
                  <c:v>-3268.845455</c:v>
                </c:pt>
                <c:pt idx="9150">
                  <c:v>-3257.625</c:v>
                </c:pt>
                <c:pt idx="9151">
                  <c:v>-3246.430445</c:v>
                </c:pt>
                <c:pt idx="9152">
                  <c:v>-3235.2617600000003</c:v>
                </c:pt>
                <c:pt idx="9153">
                  <c:v>-3224.1189150000005</c:v>
                </c:pt>
                <c:pt idx="9154">
                  <c:v>-3213.001880000001</c:v>
                </c:pt>
                <c:pt idx="9155">
                  <c:v>-3201.9106249999986</c:v>
                </c:pt>
                <c:pt idx="9156">
                  <c:v>-3190.8451199999995</c:v>
                </c:pt>
                <c:pt idx="9157">
                  <c:v>-3179.805335</c:v>
                </c:pt>
                <c:pt idx="9158">
                  <c:v>-3168.7912400000005</c:v>
                </c:pt>
                <c:pt idx="9159">
                  <c:v>-3157.8028050000003</c:v>
                </c:pt>
                <c:pt idx="9160">
                  <c:v>-3146.84</c:v>
                </c:pt>
                <c:pt idx="9161">
                  <c:v>-3135.902795000001</c:v>
                </c:pt>
                <c:pt idx="9162">
                  <c:v>-3124.991160000001</c:v>
                </c:pt>
                <c:pt idx="9163">
                  <c:v>-3114.1050649999993</c:v>
                </c:pt>
                <c:pt idx="9164">
                  <c:v>-3103.2444799999994</c:v>
                </c:pt>
                <c:pt idx="9165">
                  <c:v>-3092.409375</c:v>
                </c:pt>
                <c:pt idx="9166">
                  <c:v>-3081.5997199999997</c:v>
                </c:pt>
                <c:pt idx="9167">
                  <c:v>-3070.8154849999996</c:v>
                </c:pt>
                <c:pt idx="9168">
                  <c:v>-3060.0566400000007</c:v>
                </c:pt>
                <c:pt idx="9169">
                  <c:v>-3049.323155</c:v>
                </c:pt>
                <c:pt idx="9170">
                  <c:v>-3038.615000000001</c:v>
                </c:pt>
                <c:pt idx="9171">
                  <c:v>-3027.932144999999</c:v>
                </c:pt>
                <c:pt idx="9172">
                  <c:v>-3017.2745599999994</c:v>
                </c:pt>
                <c:pt idx="9173">
                  <c:v>-3006.6422149999994</c:v>
                </c:pt>
                <c:pt idx="9174">
                  <c:v>-2996.03508</c:v>
                </c:pt>
                <c:pt idx="9175">
                  <c:v>-2985.453125</c:v>
                </c:pt>
                <c:pt idx="9176">
                  <c:v>-2974.89632</c:v>
                </c:pt>
                <c:pt idx="9177">
                  <c:v>-2964.364635000001</c:v>
                </c:pt>
                <c:pt idx="9178">
                  <c:v>-2953.8580400000005</c:v>
                </c:pt>
                <c:pt idx="9179">
                  <c:v>-2943.376505000001</c:v>
                </c:pt>
                <c:pt idx="9180">
                  <c:v>-2932.919999999999</c:v>
                </c:pt>
                <c:pt idx="9181">
                  <c:v>-2922.4884949999996</c:v>
                </c:pt>
                <c:pt idx="9182">
                  <c:v>-2912.081959999999</c:v>
                </c:pt>
                <c:pt idx="9183">
                  <c:v>-2901.7003650000006</c:v>
                </c:pt>
                <c:pt idx="9184">
                  <c:v>-2891.3436800000004</c:v>
                </c:pt>
                <c:pt idx="9185">
                  <c:v>-2881.0118749999997</c:v>
                </c:pt>
                <c:pt idx="9186">
                  <c:v>-2870.704920000001</c:v>
                </c:pt>
                <c:pt idx="9187">
                  <c:v>-2860.422785</c:v>
                </c:pt>
                <c:pt idx="9188">
                  <c:v>-2850.1654399999993</c:v>
                </c:pt>
                <c:pt idx="9189">
                  <c:v>-2839.9328549999996</c:v>
                </c:pt>
                <c:pt idx="9190">
                  <c:v>-2829.7249999999995</c:v>
                </c:pt>
                <c:pt idx="9191">
                  <c:v>-2819.5418449999997</c:v>
                </c:pt>
                <c:pt idx="9192">
                  <c:v>-2809.38336</c:v>
                </c:pt>
                <c:pt idx="9193">
                  <c:v>-2799.249515</c:v>
                </c:pt>
                <c:pt idx="9194">
                  <c:v>-2789.1402800000005</c:v>
                </c:pt>
                <c:pt idx="9195">
                  <c:v>-2779.055625000001</c:v>
                </c:pt>
                <c:pt idx="9196">
                  <c:v>-2768.9955199999986</c:v>
                </c:pt>
                <c:pt idx="9197">
                  <c:v>-2758.9599349999994</c:v>
                </c:pt>
                <c:pt idx="9198">
                  <c:v>-2748.9488399999996</c:v>
                </c:pt>
                <c:pt idx="9199">
                  <c:v>-2738.962205</c:v>
                </c:pt>
                <c:pt idx="9200">
                  <c:v>-2729.0</c:v>
                </c:pt>
                <c:pt idx="9201">
                  <c:v>-2719.062195</c:v>
                </c:pt>
                <c:pt idx="9202">
                  <c:v>-2709.1487600000005</c:v>
                </c:pt>
                <c:pt idx="9203">
                  <c:v>-2699.2596649999996</c:v>
                </c:pt>
                <c:pt idx="9204">
                  <c:v>-2689.3948800000003</c:v>
                </c:pt>
                <c:pt idx="9205">
                  <c:v>-2679.554375</c:v>
                </c:pt>
                <c:pt idx="9206">
                  <c:v>-2669.7381200000004</c:v>
                </c:pt>
                <c:pt idx="9207">
                  <c:v>-2659.9460849999996</c:v>
                </c:pt>
                <c:pt idx="9208">
                  <c:v>-2650.17824</c:v>
                </c:pt>
                <c:pt idx="9209">
                  <c:v>-2640.4345550000003</c:v>
                </c:pt>
                <c:pt idx="9210">
                  <c:v>-2630.715</c:v>
                </c:pt>
                <c:pt idx="9211">
                  <c:v>-2621.0195449999997</c:v>
                </c:pt>
                <c:pt idx="9212">
                  <c:v>-2611.3481599999996</c:v>
                </c:pt>
                <c:pt idx="9213">
                  <c:v>-2601.700815</c:v>
                </c:pt>
                <c:pt idx="9214">
                  <c:v>-2592.0774800000004</c:v>
                </c:pt>
                <c:pt idx="9215">
                  <c:v>-2582.4781249999996</c:v>
                </c:pt>
                <c:pt idx="9216">
                  <c:v>-2572.9027199999996</c:v>
                </c:pt>
                <c:pt idx="9217">
                  <c:v>-2563.351235</c:v>
                </c:pt>
                <c:pt idx="9218">
                  <c:v>-2553.82364</c:v>
                </c:pt>
                <c:pt idx="9219">
                  <c:v>-2544.3199049999994</c:v>
                </c:pt>
                <c:pt idx="9220">
                  <c:v>-2534.8399999999997</c:v>
                </c:pt>
                <c:pt idx="9221">
                  <c:v>-2525.383895</c:v>
                </c:pt>
                <c:pt idx="9222">
                  <c:v>-2515.9515600000004</c:v>
                </c:pt>
                <c:pt idx="9223">
                  <c:v>-2506.5429649999996</c:v>
                </c:pt>
                <c:pt idx="9224">
                  <c:v>-2497.15808</c:v>
                </c:pt>
                <c:pt idx="9225">
                  <c:v>-2487.796875</c:v>
                </c:pt>
                <c:pt idx="9226">
                  <c:v>-2478.45932</c:v>
                </c:pt>
                <c:pt idx="9227">
                  <c:v>-2469.1453850000003</c:v>
                </c:pt>
                <c:pt idx="9228">
                  <c:v>-2459.85504</c:v>
                </c:pt>
                <c:pt idx="9229">
                  <c:v>-2450.588255</c:v>
                </c:pt>
                <c:pt idx="9230">
                  <c:v>-2441.345</c:v>
                </c:pt>
                <c:pt idx="9231">
                  <c:v>-2432.1252450000006</c:v>
                </c:pt>
                <c:pt idx="9232">
                  <c:v>-2422.9289599999997</c:v>
                </c:pt>
                <c:pt idx="9233">
                  <c:v>-2413.756115</c:v>
                </c:pt>
                <c:pt idx="9234">
                  <c:v>-2404.6066800000003</c:v>
                </c:pt>
                <c:pt idx="9235">
                  <c:v>-2395.480625</c:v>
                </c:pt>
                <c:pt idx="9236">
                  <c:v>-2386.37792</c:v>
                </c:pt>
                <c:pt idx="9237">
                  <c:v>-2377.2985349999994</c:v>
                </c:pt>
                <c:pt idx="9238">
                  <c:v>-2368.24244</c:v>
                </c:pt>
                <c:pt idx="9239">
                  <c:v>-2359.209605</c:v>
                </c:pt>
                <c:pt idx="9240">
                  <c:v>-2350.2</c:v>
                </c:pt>
                <c:pt idx="9241">
                  <c:v>-2341.2135949999997</c:v>
                </c:pt>
                <c:pt idx="9242">
                  <c:v>-2332.25036</c:v>
                </c:pt>
                <c:pt idx="9243">
                  <c:v>-2323.3102650000005</c:v>
                </c:pt>
                <c:pt idx="9244">
                  <c:v>-2314.39328</c:v>
                </c:pt>
                <c:pt idx="9245">
                  <c:v>-2305.499375</c:v>
                </c:pt>
                <c:pt idx="9246">
                  <c:v>-2296.6285199999998</c:v>
                </c:pt>
                <c:pt idx="9247">
                  <c:v>-2287.780685</c:v>
                </c:pt>
                <c:pt idx="9248">
                  <c:v>-2278.9558399999996</c:v>
                </c:pt>
                <c:pt idx="9249">
                  <c:v>-2270.153955</c:v>
                </c:pt>
                <c:pt idx="9250">
                  <c:v>-2261.375</c:v>
                </c:pt>
                <c:pt idx="9251">
                  <c:v>-2252.618945</c:v>
                </c:pt>
                <c:pt idx="9252">
                  <c:v>-2243.8857600000006</c:v>
                </c:pt>
                <c:pt idx="9253">
                  <c:v>-2235.1754149999992</c:v>
                </c:pt>
                <c:pt idx="9254">
                  <c:v>-2226.48788</c:v>
                </c:pt>
                <c:pt idx="9255">
                  <c:v>-2217.823125</c:v>
                </c:pt>
                <c:pt idx="9256">
                  <c:v>-2209.18112</c:v>
                </c:pt>
                <c:pt idx="9257">
                  <c:v>-2200.5618349999995</c:v>
                </c:pt>
                <c:pt idx="9258">
                  <c:v>-2191.96524</c:v>
                </c:pt>
                <c:pt idx="9259">
                  <c:v>-2183.391305</c:v>
                </c:pt>
                <c:pt idx="9260">
                  <c:v>-2174.84</c:v>
                </c:pt>
                <c:pt idx="9261">
                  <c:v>-2166.311295</c:v>
                </c:pt>
                <c:pt idx="9262">
                  <c:v>-2157.80516</c:v>
                </c:pt>
                <c:pt idx="9263">
                  <c:v>-2149.321565</c:v>
                </c:pt>
                <c:pt idx="9264">
                  <c:v>-2140.86048</c:v>
                </c:pt>
                <c:pt idx="9265">
                  <c:v>-2132.421875</c:v>
                </c:pt>
                <c:pt idx="9266">
                  <c:v>-2124.0057199999997</c:v>
                </c:pt>
                <c:pt idx="9267">
                  <c:v>-2115.6119849999995</c:v>
                </c:pt>
                <c:pt idx="9268">
                  <c:v>-2107.24064</c:v>
                </c:pt>
                <c:pt idx="9269">
                  <c:v>-2098.8916549999994</c:v>
                </c:pt>
                <c:pt idx="9270">
                  <c:v>-2090.565</c:v>
                </c:pt>
                <c:pt idx="9271">
                  <c:v>-2082.2606450000003</c:v>
                </c:pt>
                <c:pt idx="9272">
                  <c:v>-2073.9785600000005</c:v>
                </c:pt>
                <c:pt idx="9273">
                  <c:v>-2065.718715</c:v>
                </c:pt>
                <c:pt idx="9274">
                  <c:v>-2057.4810799999996</c:v>
                </c:pt>
                <c:pt idx="9275">
                  <c:v>-2049.265625</c:v>
                </c:pt>
                <c:pt idx="9276">
                  <c:v>-2041.0723200000002</c:v>
                </c:pt>
                <c:pt idx="9277">
                  <c:v>-2032.9011350000003</c:v>
                </c:pt>
                <c:pt idx="9278">
                  <c:v>-2024.75204</c:v>
                </c:pt>
                <c:pt idx="9279">
                  <c:v>-2016.625005</c:v>
                </c:pt>
                <c:pt idx="9280">
                  <c:v>-2008.5200000000002</c:v>
                </c:pt>
                <c:pt idx="9281">
                  <c:v>-2000.436995</c:v>
                </c:pt>
                <c:pt idx="9282">
                  <c:v>-1992.3759599999998</c:v>
                </c:pt>
                <c:pt idx="9283">
                  <c:v>-1984.336865</c:v>
                </c:pt>
                <c:pt idx="9284">
                  <c:v>-1976.31968</c:v>
                </c:pt>
                <c:pt idx="9285">
                  <c:v>-1968.3243750000004</c:v>
                </c:pt>
                <c:pt idx="9286">
                  <c:v>-1960.3509199999999</c:v>
                </c:pt>
                <c:pt idx="9287">
                  <c:v>-1952.399285</c:v>
                </c:pt>
                <c:pt idx="9288">
                  <c:v>-1944.46944</c:v>
                </c:pt>
                <c:pt idx="9289">
                  <c:v>-1936.5613550000003</c:v>
                </c:pt>
                <c:pt idx="9290">
                  <c:v>-1928.6749999999997</c:v>
                </c:pt>
                <c:pt idx="9291">
                  <c:v>-1920.8103449999999</c:v>
                </c:pt>
                <c:pt idx="9292">
                  <c:v>-1912.96736</c:v>
                </c:pt>
                <c:pt idx="9293">
                  <c:v>-1905.1460150000003</c:v>
                </c:pt>
                <c:pt idx="9294">
                  <c:v>-1897.34628</c:v>
                </c:pt>
                <c:pt idx="9295">
                  <c:v>-1889.568125</c:v>
                </c:pt>
                <c:pt idx="9296">
                  <c:v>-1881.8115199999997</c:v>
                </c:pt>
                <c:pt idx="9297">
                  <c:v>-1874.076435</c:v>
                </c:pt>
                <c:pt idx="9298">
                  <c:v>-1866.3628399999996</c:v>
                </c:pt>
                <c:pt idx="9299">
                  <c:v>-1858.6707049999995</c:v>
                </c:pt>
                <c:pt idx="9300">
                  <c:v>-1851.0</c:v>
                </c:pt>
                <c:pt idx="9301">
                  <c:v>-1843.350695</c:v>
                </c:pt>
                <c:pt idx="9302">
                  <c:v>-1835.7227600000006</c:v>
                </c:pt>
                <c:pt idx="9303">
                  <c:v>-1828.116165</c:v>
                </c:pt>
                <c:pt idx="9304">
                  <c:v>-1820.53088</c:v>
                </c:pt>
                <c:pt idx="9305">
                  <c:v>-1812.966875</c:v>
                </c:pt>
                <c:pt idx="9306">
                  <c:v>-1805.4241200000001</c:v>
                </c:pt>
                <c:pt idx="9307">
                  <c:v>-1797.9025849999998</c:v>
                </c:pt>
                <c:pt idx="9308">
                  <c:v>-1790.40224</c:v>
                </c:pt>
                <c:pt idx="9309">
                  <c:v>-1782.923055</c:v>
                </c:pt>
                <c:pt idx="9310">
                  <c:v>-1775.4650000000004</c:v>
                </c:pt>
                <c:pt idx="9311">
                  <c:v>-1768.0280449999996</c:v>
                </c:pt>
                <c:pt idx="9312">
                  <c:v>-1760.61216</c:v>
                </c:pt>
                <c:pt idx="9313">
                  <c:v>-1753.2173149999999</c:v>
                </c:pt>
                <c:pt idx="9314">
                  <c:v>-1745.8434800000002</c:v>
                </c:pt>
                <c:pt idx="9315">
                  <c:v>-1738.4906249999997</c:v>
                </c:pt>
                <c:pt idx="9316">
                  <c:v>-1731.15872</c:v>
                </c:pt>
                <c:pt idx="9317">
                  <c:v>-1723.847735</c:v>
                </c:pt>
                <c:pt idx="9318">
                  <c:v>-1716.5576400000002</c:v>
                </c:pt>
                <c:pt idx="9319">
                  <c:v>-1709.2884049999996</c:v>
                </c:pt>
                <c:pt idx="9320">
                  <c:v>-1702.04</c:v>
                </c:pt>
                <c:pt idx="9321">
                  <c:v>-1694.812395</c:v>
                </c:pt>
                <c:pt idx="9322">
                  <c:v>-1687.6055600000002</c:v>
                </c:pt>
                <c:pt idx="9323">
                  <c:v>-1680.4194649999995</c:v>
                </c:pt>
                <c:pt idx="9324">
                  <c:v>-1673.25408</c:v>
                </c:pt>
                <c:pt idx="9325">
                  <c:v>-1666.109375</c:v>
                </c:pt>
                <c:pt idx="9326">
                  <c:v>-1658.98532</c:v>
                </c:pt>
                <c:pt idx="9327">
                  <c:v>-1651.8818850000005</c:v>
                </c:pt>
                <c:pt idx="9328">
                  <c:v>-1644.7990399999999</c:v>
                </c:pt>
                <c:pt idx="9329">
                  <c:v>-1637.7367550000001</c:v>
                </c:pt>
                <c:pt idx="9330">
                  <c:v>-1630.695</c:v>
                </c:pt>
                <c:pt idx="9331">
                  <c:v>-1623.6737450000003</c:v>
                </c:pt>
                <c:pt idx="9332">
                  <c:v>-1616.6729599999996</c:v>
                </c:pt>
                <c:pt idx="9333">
                  <c:v>-1609.6926149999997</c:v>
                </c:pt>
                <c:pt idx="9334">
                  <c:v>-1602.73268</c:v>
                </c:pt>
                <c:pt idx="9335">
                  <c:v>-1595.7931250000001</c:v>
                </c:pt>
                <c:pt idx="9336">
                  <c:v>-1588.87392</c:v>
                </c:pt>
                <c:pt idx="9337">
                  <c:v>-1581.975035</c:v>
                </c:pt>
                <c:pt idx="9338">
                  <c:v>-1575.0964399999998</c:v>
                </c:pt>
                <c:pt idx="9339">
                  <c:v>-1568.2381050000001</c:v>
                </c:pt>
                <c:pt idx="9340">
                  <c:v>-1561.3999999999999</c:v>
                </c:pt>
                <c:pt idx="9341">
                  <c:v>-1554.5820949999998</c:v>
                </c:pt>
                <c:pt idx="9342">
                  <c:v>-1547.7843599999999</c:v>
                </c:pt>
                <c:pt idx="9343">
                  <c:v>-1541.0067650000003</c:v>
                </c:pt>
                <c:pt idx="9344">
                  <c:v>-1534.2492799999998</c:v>
                </c:pt>
                <c:pt idx="9345">
                  <c:v>-1527.5118750000001</c:v>
                </c:pt>
                <c:pt idx="9346">
                  <c:v>-1520.79452</c:v>
                </c:pt>
                <c:pt idx="9347">
                  <c:v>-1514.097185</c:v>
                </c:pt>
                <c:pt idx="9348">
                  <c:v>-1507.4198399999996</c:v>
                </c:pt>
                <c:pt idx="9349">
                  <c:v>-1500.7624549999996</c:v>
                </c:pt>
                <c:pt idx="9350">
                  <c:v>-1494.125</c:v>
                </c:pt>
                <c:pt idx="9351">
                  <c:v>-1487.5074450000002</c:v>
                </c:pt>
                <c:pt idx="9352">
                  <c:v>-1480.9097600000002</c:v>
                </c:pt>
                <c:pt idx="9353">
                  <c:v>-1474.331915</c:v>
                </c:pt>
                <c:pt idx="9354">
                  <c:v>-1467.77388</c:v>
                </c:pt>
                <c:pt idx="9355">
                  <c:v>-1461.235625</c:v>
                </c:pt>
                <c:pt idx="9356">
                  <c:v>-1454.7171200000005</c:v>
                </c:pt>
                <c:pt idx="9357">
                  <c:v>-1448.2183349999996</c:v>
                </c:pt>
                <c:pt idx="9358">
                  <c:v>-1441.73924</c:v>
                </c:pt>
                <c:pt idx="9359">
                  <c:v>-1435.2798050000004</c:v>
                </c:pt>
                <c:pt idx="9360">
                  <c:v>-1428.8400000000004</c:v>
                </c:pt>
                <c:pt idx="9361">
                  <c:v>-1422.4197949999998</c:v>
                </c:pt>
                <c:pt idx="9362">
                  <c:v>-1416.01916</c:v>
                </c:pt>
                <c:pt idx="9363">
                  <c:v>-1409.6380649999999</c:v>
                </c:pt>
                <c:pt idx="9364">
                  <c:v>-1403.2764800000002</c:v>
                </c:pt>
                <c:pt idx="9365">
                  <c:v>-1396.9343749999998</c:v>
                </c:pt>
                <c:pt idx="9366">
                  <c:v>-1390.6117199999999</c:v>
                </c:pt>
                <c:pt idx="9367">
                  <c:v>-1384.308485</c:v>
                </c:pt>
                <c:pt idx="9368">
                  <c:v>-1378.0246400000003</c:v>
                </c:pt>
                <c:pt idx="9369">
                  <c:v>-1371.760155</c:v>
                </c:pt>
                <c:pt idx="9370">
                  <c:v>-1365.5149999999999</c:v>
                </c:pt>
                <c:pt idx="9371">
                  <c:v>-1359.289145</c:v>
                </c:pt>
                <c:pt idx="9372">
                  <c:v>-1353.08256</c:v>
                </c:pt>
                <c:pt idx="9373">
                  <c:v>-1346.8952149999998</c:v>
                </c:pt>
                <c:pt idx="9374">
                  <c:v>-1340.72708</c:v>
                </c:pt>
                <c:pt idx="9375">
                  <c:v>-1334.578125</c:v>
                </c:pt>
                <c:pt idx="9376">
                  <c:v>-1328.44832</c:v>
                </c:pt>
                <c:pt idx="9377">
                  <c:v>-1322.3376350000003</c:v>
                </c:pt>
                <c:pt idx="9378">
                  <c:v>-1316.24604</c:v>
                </c:pt>
                <c:pt idx="9379">
                  <c:v>-1310.1735050000002</c:v>
                </c:pt>
                <c:pt idx="9380">
                  <c:v>-1304.1200000000001</c:v>
                </c:pt>
                <c:pt idx="9381">
                  <c:v>-1298.0854950000003</c:v>
                </c:pt>
                <c:pt idx="9382">
                  <c:v>-1292.0699599999998</c:v>
                </c:pt>
                <c:pt idx="9383">
                  <c:v>-1286.073365</c:v>
                </c:pt>
                <c:pt idx="9384">
                  <c:v>-1280.0956800000001</c:v>
                </c:pt>
                <c:pt idx="9385">
                  <c:v>-1274.1368750000004</c:v>
                </c:pt>
                <c:pt idx="9386">
                  <c:v>-1268.1969199999999</c:v>
                </c:pt>
                <c:pt idx="9387">
                  <c:v>-1262.275785</c:v>
                </c:pt>
                <c:pt idx="9388">
                  <c:v>-1256.3734399999998</c:v>
                </c:pt>
                <c:pt idx="9389">
                  <c:v>-1250.489855</c:v>
                </c:pt>
                <c:pt idx="9390">
                  <c:v>-1244.6249999999998</c:v>
                </c:pt>
                <c:pt idx="9391">
                  <c:v>-1238.7788449999998</c:v>
                </c:pt>
                <c:pt idx="9392">
                  <c:v>-1232.9513600000002</c:v>
                </c:pt>
                <c:pt idx="9393">
                  <c:v>-1227.1425150000002</c:v>
                </c:pt>
                <c:pt idx="9394">
                  <c:v>-1221.3522799999998</c:v>
                </c:pt>
                <c:pt idx="9395">
                  <c:v>-1215.580625</c:v>
                </c:pt>
                <c:pt idx="9396">
                  <c:v>-1209.8275199999998</c:v>
                </c:pt>
                <c:pt idx="9397">
                  <c:v>-1204.0929350000001</c:v>
                </c:pt>
                <c:pt idx="9398">
                  <c:v>-1198.3768399999997</c:v>
                </c:pt>
                <c:pt idx="9399">
                  <c:v>-1192.679205</c:v>
                </c:pt>
                <c:pt idx="9400">
                  <c:v>-1187.0</c:v>
                </c:pt>
                <c:pt idx="9401">
                  <c:v>-1181.339195</c:v>
                </c:pt>
                <c:pt idx="9402">
                  <c:v>-1175.6967600000003</c:v>
                </c:pt>
                <c:pt idx="9403">
                  <c:v>-1170.072665</c:v>
                </c:pt>
                <c:pt idx="9404">
                  <c:v>-1164.4668800000002</c:v>
                </c:pt>
                <c:pt idx="9405">
                  <c:v>-1158.879375</c:v>
                </c:pt>
                <c:pt idx="9406">
                  <c:v>-1153.31012</c:v>
                </c:pt>
                <c:pt idx="9407">
                  <c:v>-1147.759085</c:v>
                </c:pt>
                <c:pt idx="9408">
                  <c:v>-1142.2262399999997</c:v>
                </c:pt>
                <c:pt idx="9409">
                  <c:v>-1136.711555</c:v>
                </c:pt>
                <c:pt idx="9410">
                  <c:v>-1131.2150000000004</c:v>
                </c:pt>
                <c:pt idx="9411">
                  <c:v>-1125.736545</c:v>
                </c:pt>
                <c:pt idx="9412">
                  <c:v>-1120.2761600000001</c:v>
                </c:pt>
                <c:pt idx="9413">
                  <c:v>-1114.833815</c:v>
                </c:pt>
                <c:pt idx="9414">
                  <c:v>-1109.40948</c:v>
                </c:pt>
                <c:pt idx="9415">
                  <c:v>-1104.0031249999997</c:v>
                </c:pt>
                <c:pt idx="9416">
                  <c:v>-1098.6147199999998</c:v>
                </c:pt>
                <c:pt idx="9417">
                  <c:v>-1093.2442350000001</c:v>
                </c:pt>
                <c:pt idx="9418">
                  <c:v>-1087.8916400000003</c:v>
                </c:pt>
                <c:pt idx="9419">
                  <c:v>-1082.556905</c:v>
                </c:pt>
                <c:pt idx="9420">
                  <c:v>-1077.24</c:v>
                </c:pt>
                <c:pt idx="9421">
                  <c:v>-1071.940895</c:v>
                </c:pt>
                <c:pt idx="9422">
                  <c:v>-1066.65956</c:v>
                </c:pt>
                <c:pt idx="9423">
                  <c:v>-1061.3959649999997</c:v>
                </c:pt>
                <c:pt idx="9424">
                  <c:v>-1056.15008</c:v>
                </c:pt>
                <c:pt idx="9425">
                  <c:v>-1050.921875</c:v>
                </c:pt>
                <c:pt idx="9426">
                  <c:v>-1045.7113200000001</c:v>
                </c:pt>
                <c:pt idx="9427">
                  <c:v>-1040.5183850000003</c:v>
                </c:pt>
                <c:pt idx="9428">
                  <c:v>-1035.3430399999997</c:v>
                </c:pt>
                <c:pt idx="9429">
                  <c:v>-1030.1852549999999</c:v>
                </c:pt>
                <c:pt idx="9430">
                  <c:v>-1025.045</c:v>
                </c:pt>
                <c:pt idx="9431">
                  <c:v>-1019.9222450000002</c:v>
                </c:pt>
                <c:pt idx="9432">
                  <c:v>-1014.8169599999998</c:v>
                </c:pt>
                <c:pt idx="9433">
                  <c:v>-1009.7291149999999</c:v>
                </c:pt>
                <c:pt idx="9434">
                  <c:v>-1004.6586800000001</c:v>
                </c:pt>
                <c:pt idx="9435">
                  <c:v>-999.6056250000001</c:v>
                </c:pt>
                <c:pt idx="9436">
                  <c:v>-994.5699199999999</c:v>
                </c:pt>
                <c:pt idx="9437">
                  <c:v>-989.551535</c:v>
                </c:pt>
                <c:pt idx="9438">
                  <c:v>-984.5504400000001</c:v>
                </c:pt>
                <c:pt idx="9439">
                  <c:v>-979.5666050000002</c:v>
                </c:pt>
                <c:pt idx="9440">
                  <c:v>-974.5999999999998</c:v>
                </c:pt>
                <c:pt idx="9441">
                  <c:v>-969.650595</c:v>
                </c:pt>
                <c:pt idx="9442">
                  <c:v>-964.7183600000001</c:v>
                </c:pt>
                <c:pt idx="9443">
                  <c:v>-959.8032650000002</c:v>
                </c:pt>
                <c:pt idx="9444">
                  <c:v>-954.9052799999997</c:v>
                </c:pt>
                <c:pt idx="9445">
                  <c:v>-950.0243749999998</c:v>
                </c:pt>
                <c:pt idx="9446">
                  <c:v>-945.16052</c:v>
                </c:pt>
                <c:pt idx="9447">
                  <c:v>-940.3136850000001</c:v>
                </c:pt>
                <c:pt idx="9448">
                  <c:v>-935.4838399999998</c:v>
                </c:pt>
                <c:pt idx="9449">
                  <c:v>-930.6709549999998</c:v>
                </c:pt>
                <c:pt idx="9450">
                  <c:v>-925.875</c:v>
                </c:pt>
                <c:pt idx="9451">
                  <c:v>-921.0959450000001</c:v>
                </c:pt>
                <c:pt idx="9452">
                  <c:v>-916.3337600000002</c:v>
                </c:pt>
                <c:pt idx="9453">
                  <c:v>-911.5884149999999</c:v>
                </c:pt>
                <c:pt idx="9454">
                  <c:v>-906.85988</c:v>
                </c:pt>
                <c:pt idx="9455">
                  <c:v>-902.1481250000002</c:v>
                </c:pt>
                <c:pt idx="9456">
                  <c:v>-897.4531200000001</c:v>
                </c:pt>
                <c:pt idx="9457">
                  <c:v>-892.7748349999997</c:v>
                </c:pt>
                <c:pt idx="9458">
                  <c:v>-888.11324</c:v>
                </c:pt>
                <c:pt idx="9459">
                  <c:v>-883.4683050000001</c:v>
                </c:pt>
                <c:pt idx="9460">
                  <c:v>-878.8400000000003</c:v>
                </c:pt>
                <c:pt idx="9461">
                  <c:v>-874.2282949999999</c:v>
                </c:pt>
                <c:pt idx="9462">
                  <c:v>-869.6331599999999</c:v>
                </c:pt>
                <c:pt idx="9463">
                  <c:v>-865.054565</c:v>
                </c:pt>
                <c:pt idx="9464">
                  <c:v>-860.4924800000002</c:v>
                </c:pt>
                <c:pt idx="9465">
                  <c:v>-855.9468749999997</c:v>
                </c:pt>
                <c:pt idx="9466">
                  <c:v>-851.41772</c:v>
                </c:pt>
                <c:pt idx="9467">
                  <c:v>-846.9049850000001</c:v>
                </c:pt>
                <c:pt idx="9468">
                  <c:v>-842.4086400000002</c:v>
                </c:pt>
                <c:pt idx="9469">
                  <c:v>-837.9286549999998</c:v>
                </c:pt>
                <c:pt idx="9470">
                  <c:v>-833.4649999999998</c:v>
                </c:pt>
                <c:pt idx="9471">
                  <c:v>-829.017645</c:v>
                </c:pt>
                <c:pt idx="9472">
                  <c:v>-824.5865600000001</c:v>
                </c:pt>
                <c:pt idx="9473">
                  <c:v>-820.1717149999997</c:v>
                </c:pt>
                <c:pt idx="9474">
                  <c:v>-815.7730799999998</c:v>
                </c:pt>
                <c:pt idx="9475">
                  <c:v>-811.390625</c:v>
                </c:pt>
                <c:pt idx="9476">
                  <c:v>-807.0243200000001</c:v>
                </c:pt>
                <c:pt idx="9477">
                  <c:v>-802.6741350000002</c:v>
                </c:pt>
                <c:pt idx="9478">
                  <c:v>-798.3400399999998</c:v>
                </c:pt>
                <c:pt idx="9479">
                  <c:v>-794.0220049999999</c:v>
                </c:pt>
                <c:pt idx="9480">
                  <c:v>-789.72</c:v>
                </c:pt>
                <c:pt idx="9481">
                  <c:v>-785.4339950000002</c:v>
                </c:pt>
                <c:pt idx="9482">
                  <c:v>-781.1639599999999</c:v>
                </c:pt>
                <c:pt idx="9483">
                  <c:v>-776.909865</c:v>
                </c:pt>
                <c:pt idx="9484">
                  <c:v>-772.6716800000002</c:v>
                </c:pt>
                <c:pt idx="9485">
                  <c:v>-768.4493750000003</c:v>
                </c:pt>
                <c:pt idx="9486">
                  <c:v>-764.2429199999998</c:v>
                </c:pt>
                <c:pt idx="9487">
                  <c:v>-760.052285</c:v>
                </c:pt>
                <c:pt idx="9488">
                  <c:v>-755.8774400000002</c:v>
                </c:pt>
                <c:pt idx="9489">
                  <c:v>-751.7183550000002</c:v>
                </c:pt>
                <c:pt idx="9490">
                  <c:v>-747.5749999999998</c:v>
                </c:pt>
                <c:pt idx="9491">
                  <c:v>-743.4473449999998</c:v>
                </c:pt>
                <c:pt idx="9492">
                  <c:v>-739.3353600000002</c:v>
                </c:pt>
                <c:pt idx="9493">
                  <c:v>-735.2390150000001</c:v>
                </c:pt>
                <c:pt idx="9494">
                  <c:v>-731.1582799999998</c:v>
                </c:pt>
                <c:pt idx="9495">
                  <c:v>-727.0931249999999</c:v>
                </c:pt>
                <c:pt idx="9496">
                  <c:v>-723.0435200000001</c:v>
                </c:pt>
                <c:pt idx="9497">
                  <c:v>-719.0094350000002</c:v>
                </c:pt>
                <c:pt idx="9498">
                  <c:v>-714.9908399999998</c:v>
                </c:pt>
                <c:pt idx="9499">
                  <c:v>-710.9877049999999</c:v>
                </c:pt>
                <c:pt idx="9500">
                  <c:v>-707.0</c:v>
                </c:pt>
                <c:pt idx="9501">
                  <c:v>-703.0276950000001</c:v>
                </c:pt>
                <c:pt idx="9502">
                  <c:v>-699.0707600000003</c:v>
                </c:pt>
                <c:pt idx="9503">
                  <c:v>-695.1291649999998</c:v>
                </c:pt>
                <c:pt idx="9504">
                  <c:v>-691.20288</c:v>
                </c:pt>
                <c:pt idx="9505">
                  <c:v>-687.2918750000001</c:v>
                </c:pt>
                <c:pt idx="9506">
                  <c:v>-683.3961200000001</c:v>
                </c:pt>
                <c:pt idx="9507">
                  <c:v>-679.5155849999999</c:v>
                </c:pt>
                <c:pt idx="9508">
                  <c:v>-675.6502399999998</c:v>
                </c:pt>
                <c:pt idx="9509">
                  <c:v>-671.800055</c:v>
                </c:pt>
                <c:pt idx="9510">
                  <c:v>-667.9650000000001</c:v>
                </c:pt>
                <c:pt idx="9511">
                  <c:v>-664.1450449999999</c:v>
                </c:pt>
                <c:pt idx="9512">
                  <c:v>-660.3401599999999</c:v>
                </c:pt>
                <c:pt idx="9513">
                  <c:v>-656.5503150000001</c:v>
                </c:pt>
                <c:pt idx="9514">
                  <c:v>-652.7754800000001</c:v>
                </c:pt>
                <c:pt idx="9515">
                  <c:v>-649.0156249999998</c:v>
                </c:pt>
                <c:pt idx="9516">
                  <c:v>-645.2707199999999</c:v>
                </c:pt>
                <c:pt idx="9517">
                  <c:v>-641.540735</c:v>
                </c:pt>
                <c:pt idx="9518">
                  <c:v>-637.8256400000001</c:v>
                </c:pt>
                <c:pt idx="9519">
                  <c:v>-634.1254049999999</c:v>
                </c:pt>
                <c:pt idx="9520">
                  <c:v>-630.4399999999999</c:v>
                </c:pt>
                <c:pt idx="9521">
                  <c:v>-626.769395</c:v>
                </c:pt>
                <c:pt idx="9522">
                  <c:v>-623.1135600000001</c:v>
                </c:pt>
                <c:pt idx="9523">
                  <c:v>-619.4724649999998</c:v>
                </c:pt>
                <c:pt idx="9524">
                  <c:v>-615.8460799999999</c:v>
                </c:pt>
                <c:pt idx="9525">
                  <c:v>-612.234375</c:v>
                </c:pt>
                <c:pt idx="9526">
                  <c:v>-608.6373200000002</c:v>
                </c:pt>
                <c:pt idx="9527">
                  <c:v>-605.0548850000002</c:v>
                </c:pt>
                <c:pt idx="9528">
                  <c:v>-601.4870399999999</c:v>
                </c:pt>
                <c:pt idx="9529">
                  <c:v>-597.933755</c:v>
                </c:pt>
                <c:pt idx="9530">
                  <c:v>-594.3950000000001</c:v>
                </c:pt>
                <c:pt idx="9531">
                  <c:v>-590.8707450000002</c:v>
                </c:pt>
                <c:pt idx="9532">
                  <c:v>-587.3609599999999</c:v>
                </c:pt>
                <c:pt idx="9533">
                  <c:v>-583.8656149999999</c:v>
                </c:pt>
                <c:pt idx="9534">
                  <c:v>-580.3846800000001</c:v>
                </c:pt>
                <c:pt idx="9535">
                  <c:v>-576.9181250000001</c:v>
                </c:pt>
                <c:pt idx="9536">
                  <c:v>-573.4659199999999</c:v>
                </c:pt>
                <c:pt idx="9537">
                  <c:v>-570.0280349999999</c:v>
                </c:pt>
                <c:pt idx="9538">
                  <c:v>-566.6044400000001</c:v>
                </c:pt>
                <c:pt idx="9539">
                  <c:v>-563.1951050000001</c:v>
                </c:pt>
                <c:pt idx="9540">
                  <c:v>-559.8</c:v>
                </c:pt>
                <c:pt idx="9541">
                  <c:v>-556.419095</c:v>
                </c:pt>
                <c:pt idx="9542">
                  <c:v>-553.05236</c:v>
                </c:pt>
                <c:pt idx="9543">
                  <c:v>-549.6997650000002</c:v>
                </c:pt>
                <c:pt idx="9544">
                  <c:v>-546.3612799999997</c:v>
                </c:pt>
                <c:pt idx="9545">
                  <c:v>-543.0368749999999</c:v>
                </c:pt>
                <c:pt idx="9546">
                  <c:v>-539.72652</c:v>
                </c:pt>
                <c:pt idx="9547">
                  <c:v>-536.430185</c:v>
                </c:pt>
                <c:pt idx="9548">
                  <c:v>-533.1478399999999</c:v>
                </c:pt>
                <c:pt idx="9549">
                  <c:v>-529.8794549999999</c:v>
                </c:pt>
                <c:pt idx="9550">
                  <c:v>-526.625</c:v>
                </c:pt>
                <c:pt idx="9551">
                  <c:v>-523.3844450000001</c:v>
                </c:pt>
                <c:pt idx="9552">
                  <c:v>-520.15776</c:v>
                </c:pt>
                <c:pt idx="9553">
                  <c:v>-516.9449149999999</c:v>
                </c:pt>
                <c:pt idx="9554">
                  <c:v>-513.74588</c:v>
                </c:pt>
                <c:pt idx="9555">
                  <c:v>-510.5606250000001</c:v>
                </c:pt>
                <c:pt idx="9556">
                  <c:v>-507.3891200000001</c:v>
                </c:pt>
                <c:pt idx="9557">
                  <c:v>-504.23133499999994</c:v>
                </c:pt>
                <c:pt idx="9558">
                  <c:v>-501.08723999999995</c:v>
                </c:pt>
                <c:pt idx="9559">
                  <c:v>-497.9568050000001</c:v>
                </c:pt>
                <c:pt idx="9560">
                  <c:v>-494.84000000000015</c:v>
                </c:pt>
                <c:pt idx="9561">
                  <c:v>-491.7367949999999</c:v>
                </c:pt>
                <c:pt idx="9562">
                  <c:v>-488.64716</c:v>
                </c:pt>
                <c:pt idx="9563">
                  <c:v>-485.5710650000001</c:v>
                </c:pt>
                <c:pt idx="9564">
                  <c:v>-482.5084800000001</c:v>
                </c:pt>
                <c:pt idx="9565">
                  <c:v>-479.45937499999985</c:v>
                </c:pt>
                <c:pt idx="9566">
                  <c:v>-476.4237199999999</c:v>
                </c:pt>
                <c:pt idx="9567">
                  <c:v>-473.401485</c:v>
                </c:pt>
                <c:pt idx="9568">
                  <c:v>-470.39264000000003</c:v>
                </c:pt>
                <c:pt idx="9569">
                  <c:v>-467.39715499999994</c:v>
                </c:pt>
                <c:pt idx="9570">
                  <c:v>-464.41499999999996</c:v>
                </c:pt>
                <c:pt idx="9571">
                  <c:v>-461.44614500000006</c:v>
                </c:pt>
                <c:pt idx="9572">
                  <c:v>-458.49056</c:v>
                </c:pt>
                <c:pt idx="9573">
                  <c:v>-455.54821499999986</c:v>
                </c:pt>
                <c:pt idx="9574">
                  <c:v>-452.61907999999994</c:v>
                </c:pt>
                <c:pt idx="9575">
                  <c:v>-449.703125</c:v>
                </c:pt>
                <c:pt idx="9576">
                  <c:v>-446.80032000000006</c:v>
                </c:pt>
                <c:pt idx="9577">
                  <c:v>-443.9106350000001</c:v>
                </c:pt>
                <c:pt idx="9578">
                  <c:v>-441.03403999999995</c:v>
                </c:pt>
                <c:pt idx="9579">
                  <c:v>-438.170505</c:v>
                </c:pt>
                <c:pt idx="9580">
                  <c:v>-435.32000000000005</c:v>
                </c:pt>
                <c:pt idx="9581">
                  <c:v>-432.48249500000014</c:v>
                </c:pt>
                <c:pt idx="9582">
                  <c:v>-429.65795999999995</c:v>
                </c:pt>
                <c:pt idx="9583">
                  <c:v>-426.846365</c:v>
                </c:pt>
                <c:pt idx="9584">
                  <c:v>-424.04768000000007</c:v>
                </c:pt>
                <c:pt idx="9585">
                  <c:v>-421.2618750000001</c:v>
                </c:pt>
                <c:pt idx="9586">
                  <c:v>-418.48891999999995</c:v>
                </c:pt>
                <c:pt idx="9587">
                  <c:v>-415.728785</c:v>
                </c:pt>
                <c:pt idx="9588">
                  <c:v>-412.98144</c:v>
                </c:pt>
                <c:pt idx="9589">
                  <c:v>-410.24685500000004</c:v>
                </c:pt>
                <c:pt idx="9590">
                  <c:v>-407.5249999999999</c:v>
                </c:pt>
                <c:pt idx="9591">
                  <c:v>-404.81584499999985</c:v>
                </c:pt>
                <c:pt idx="9592">
                  <c:v>-402.1193600000001</c:v>
                </c:pt>
                <c:pt idx="9593">
                  <c:v>-399.43551500000007</c:v>
                </c:pt>
                <c:pt idx="9594">
                  <c:v>-396.76427999999987</c:v>
                </c:pt>
                <c:pt idx="9595">
                  <c:v>-394.1056249999999</c:v>
                </c:pt>
                <c:pt idx="9596">
                  <c:v>-391.45952</c:v>
                </c:pt>
                <c:pt idx="9597">
                  <c:v>-388.8259350000001</c:v>
                </c:pt>
                <c:pt idx="9598">
                  <c:v>-386.2048399999998</c:v>
                </c:pt>
                <c:pt idx="9599">
                  <c:v>-383.5962049999999</c:v>
                </c:pt>
                <c:pt idx="9600">
                  <c:v>-381.0</c:v>
                </c:pt>
                <c:pt idx="9601">
                  <c:v>-378.4161950000001</c:v>
                </c:pt>
                <c:pt idx="9602">
                  <c:v>-375.84476</c:v>
                </c:pt>
                <c:pt idx="9603">
                  <c:v>-373.28566500000005</c:v>
                </c:pt>
                <c:pt idx="9604">
                  <c:v>-370.73888</c:v>
                </c:pt>
                <c:pt idx="9605">
                  <c:v>-368.204375</c:v>
                </c:pt>
                <c:pt idx="9606">
                  <c:v>-365.68211999999994</c:v>
                </c:pt>
                <c:pt idx="9607">
                  <c:v>-363.17208500000004</c:v>
                </c:pt>
                <c:pt idx="9608">
                  <c:v>-360.67423999999994</c:v>
                </c:pt>
                <c:pt idx="9609">
                  <c:v>-358.18855500000006</c:v>
                </c:pt>
                <c:pt idx="9610">
                  <c:v>-355.715</c:v>
                </c:pt>
                <c:pt idx="9611">
                  <c:v>-353.2535450000001</c:v>
                </c:pt>
                <c:pt idx="9612">
                  <c:v>-350.80415999999997</c:v>
                </c:pt>
                <c:pt idx="9613">
                  <c:v>-348.36681500000003</c:v>
                </c:pt>
                <c:pt idx="9614">
                  <c:v>-345.94147999999996</c:v>
                </c:pt>
                <c:pt idx="9615">
                  <c:v>-343.528125</c:v>
                </c:pt>
                <c:pt idx="9616">
                  <c:v>-341.1267199999999</c:v>
                </c:pt>
                <c:pt idx="9617">
                  <c:v>-338.73723500000006</c:v>
                </c:pt>
                <c:pt idx="9618">
                  <c:v>-336.35963999999996</c:v>
                </c:pt>
                <c:pt idx="9619">
                  <c:v>-333.993905</c:v>
                </c:pt>
                <c:pt idx="9620">
                  <c:v>-331.63999999999993</c:v>
                </c:pt>
                <c:pt idx="9621">
                  <c:v>-329.29789500000004</c:v>
                </c:pt>
                <c:pt idx="9622">
                  <c:v>-326.96755999999993</c:v>
                </c:pt>
                <c:pt idx="9623">
                  <c:v>-324.648965</c:v>
                </c:pt>
                <c:pt idx="9624">
                  <c:v>-322.3420799999999</c:v>
                </c:pt>
                <c:pt idx="9625">
                  <c:v>-320.046875</c:v>
                </c:pt>
                <c:pt idx="9626">
                  <c:v>-317.76332000000014</c:v>
                </c:pt>
                <c:pt idx="9627">
                  <c:v>-315.49138500000004</c:v>
                </c:pt>
                <c:pt idx="9628">
                  <c:v>-313.23104000000006</c:v>
                </c:pt>
                <c:pt idx="9629">
                  <c:v>-310.982255</c:v>
                </c:pt>
                <c:pt idx="9630">
                  <c:v>-308.74500000000006</c:v>
                </c:pt>
                <c:pt idx="9631">
                  <c:v>-306.51924499999996</c:v>
                </c:pt>
                <c:pt idx="9632">
                  <c:v>-304.30496</c:v>
                </c:pt>
                <c:pt idx="9633">
                  <c:v>-302.10211499999997</c:v>
                </c:pt>
                <c:pt idx="9634">
                  <c:v>-299.91068000000007</c:v>
                </c:pt>
                <c:pt idx="9635">
                  <c:v>-297.730625</c:v>
                </c:pt>
                <c:pt idx="9636">
                  <c:v>-295.56192000000004</c:v>
                </c:pt>
                <c:pt idx="9637">
                  <c:v>-293.40453499999995</c:v>
                </c:pt>
                <c:pt idx="9638">
                  <c:v>-291.25844000000006</c:v>
                </c:pt>
                <c:pt idx="9639">
                  <c:v>-289.12360499999994</c:v>
                </c:pt>
                <c:pt idx="9640">
                  <c:v>-287.00000000000006</c:v>
                </c:pt>
                <c:pt idx="9641">
                  <c:v>-284.887595</c:v>
                </c:pt>
                <c:pt idx="9642">
                  <c:v>-282.78636</c:v>
                </c:pt>
                <c:pt idx="9643">
                  <c:v>-280.696265</c:v>
                </c:pt>
                <c:pt idx="9644">
                  <c:v>-278.61728000000005</c:v>
                </c:pt>
                <c:pt idx="9645">
                  <c:v>-276.54937499999994</c:v>
                </c:pt>
                <c:pt idx="9646">
                  <c:v>-274.49252</c:v>
                </c:pt>
                <c:pt idx="9647">
                  <c:v>-272.446685</c:v>
                </c:pt>
                <c:pt idx="9648">
                  <c:v>-270.41184</c:v>
                </c:pt>
                <c:pt idx="9649">
                  <c:v>-268.3879549999999</c:v>
                </c:pt>
                <c:pt idx="9650">
                  <c:v>-266.375</c:v>
                </c:pt>
                <c:pt idx="9651">
                  <c:v>-264.3729450000001</c:v>
                </c:pt>
                <c:pt idx="9652">
                  <c:v>-262.38176</c:v>
                </c:pt>
                <c:pt idx="9653">
                  <c:v>-260.40141500000004</c:v>
                </c:pt>
                <c:pt idx="9654">
                  <c:v>-258.43188</c:v>
                </c:pt>
                <c:pt idx="9655">
                  <c:v>-256.47312500000004</c:v>
                </c:pt>
                <c:pt idx="9656">
                  <c:v>-254.52512</c:v>
                </c:pt>
                <c:pt idx="9657">
                  <c:v>-252.587835</c:v>
                </c:pt>
                <c:pt idx="9658">
                  <c:v>-250.66123999999996</c:v>
                </c:pt>
                <c:pt idx="9659">
                  <c:v>-248.74530500000003</c:v>
                </c:pt>
                <c:pt idx="9660">
                  <c:v>-246.83999999999997</c:v>
                </c:pt>
                <c:pt idx="9661">
                  <c:v>-244.94529500000002</c:v>
                </c:pt>
                <c:pt idx="9662">
                  <c:v>-243.06115999999997</c:v>
                </c:pt>
                <c:pt idx="9663">
                  <c:v>-241.187565</c:v>
                </c:pt>
                <c:pt idx="9664">
                  <c:v>-239.32447999999997</c:v>
                </c:pt>
                <c:pt idx="9665">
                  <c:v>-237.471875</c:v>
                </c:pt>
                <c:pt idx="9666">
                  <c:v>-235.62972</c:v>
                </c:pt>
                <c:pt idx="9667">
                  <c:v>-233.797985</c:v>
                </c:pt>
                <c:pt idx="9668">
                  <c:v>-231.97664</c:v>
                </c:pt>
                <c:pt idx="9669">
                  <c:v>-230.16565500000002</c:v>
                </c:pt>
                <c:pt idx="9670">
                  <c:v>-228.365</c:v>
                </c:pt>
                <c:pt idx="9671">
                  <c:v>-226.574645</c:v>
                </c:pt>
                <c:pt idx="9672">
                  <c:v>-224.79455999999996</c:v>
                </c:pt>
                <c:pt idx="9673">
                  <c:v>-223.024715</c:v>
                </c:pt>
                <c:pt idx="9674">
                  <c:v>-221.26507999999995</c:v>
                </c:pt>
                <c:pt idx="9675">
                  <c:v>-219.515625</c:v>
                </c:pt>
                <c:pt idx="9676">
                  <c:v>-217.77632000000003</c:v>
                </c:pt>
                <c:pt idx="9677">
                  <c:v>-216.047135</c:v>
                </c:pt>
                <c:pt idx="9678">
                  <c:v>-214.32804000000007</c:v>
                </c:pt>
                <c:pt idx="9679">
                  <c:v>-212.61900500000002</c:v>
                </c:pt>
                <c:pt idx="9680">
                  <c:v>-210.92000000000004</c:v>
                </c:pt>
                <c:pt idx="9681">
                  <c:v>-209.230995</c:v>
                </c:pt>
                <c:pt idx="9682">
                  <c:v>-207.55196000000004</c:v>
                </c:pt>
                <c:pt idx="9683">
                  <c:v>-205.88286499999998</c:v>
                </c:pt>
                <c:pt idx="9684">
                  <c:v>-204.22368000000003</c:v>
                </c:pt>
                <c:pt idx="9685">
                  <c:v>-202.57437499999997</c:v>
                </c:pt>
                <c:pt idx="9686">
                  <c:v>-200.93492</c:v>
                </c:pt>
                <c:pt idx="9687">
                  <c:v>-199.30528499999997</c:v>
                </c:pt>
                <c:pt idx="9688">
                  <c:v>-197.68544000000003</c:v>
                </c:pt>
                <c:pt idx="9689">
                  <c:v>-196.075355</c:v>
                </c:pt>
                <c:pt idx="9690">
                  <c:v>-194.47500000000002</c:v>
                </c:pt>
                <c:pt idx="9691">
                  <c:v>-192.884345</c:v>
                </c:pt>
                <c:pt idx="9692">
                  <c:v>-191.30336000000003</c:v>
                </c:pt>
                <c:pt idx="9693">
                  <c:v>-189.73201499999996</c:v>
                </c:pt>
                <c:pt idx="9694">
                  <c:v>-188.17028000000002</c:v>
                </c:pt>
                <c:pt idx="9695">
                  <c:v>-186.61812499999996</c:v>
                </c:pt>
                <c:pt idx="9696">
                  <c:v>-185.07552000000004</c:v>
                </c:pt>
                <c:pt idx="9697">
                  <c:v>-183.54243499999995</c:v>
                </c:pt>
                <c:pt idx="9698">
                  <c:v>-182.01884</c:v>
                </c:pt>
                <c:pt idx="9699">
                  <c:v>-180.50470499999997</c:v>
                </c:pt>
                <c:pt idx="9700">
                  <c:v>-179.0</c:v>
                </c:pt>
                <c:pt idx="9701">
                  <c:v>-177.50469500000003</c:v>
                </c:pt>
                <c:pt idx="9702">
                  <c:v>-176.01876</c:v>
                </c:pt>
                <c:pt idx="9703">
                  <c:v>-174.54216500000004</c:v>
                </c:pt>
                <c:pt idx="9704">
                  <c:v>-173.07487999999998</c:v>
                </c:pt>
                <c:pt idx="9705">
                  <c:v>-171.61687500000002</c:v>
                </c:pt>
                <c:pt idx="9706">
                  <c:v>-170.16812</c:v>
                </c:pt>
                <c:pt idx="9707">
                  <c:v>-168.728585</c:v>
                </c:pt>
                <c:pt idx="9708">
                  <c:v>-167.29823999999996</c:v>
                </c:pt>
                <c:pt idx="9709">
                  <c:v>-165.877055</c:v>
                </c:pt>
                <c:pt idx="9710">
                  <c:v>-164.46499999999997</c:v>
                </c:pt>
                <c:pt idx="9711">
                  <c:v>-163.06204499999998</c:v>
                </c:pt>
                <c:pt idx="9712">
                  <c:v>-161.66816</c:v>
                </c:pt>
                <c:pt idx="9713">
                  <c:v>-160.28331500000002</c:v>
                </c:pt>
                <c:pt idx="9714">
                  <c:v>-158.90748</c:v>
                </c:pt>
                <c:pt idx="9715">
                  <c:v>-157.540625</c:v>
                </c:pt>
                <c:pt idx="9716">
                  <c:v>-156.18272</c:v>
                </c:pt>
                <c:pt idx="9717">
                  <c:v>-154.83373500000002</c:v>
                </c:pt>
                <c:pt idx="9718">
                  <c:v>-153.49364</c:v>
                </c:pt>
                <c:pt idx="9719">
                  <c:v>-152.162405</c:v>
                </c:pt>
                <c:pt idx="9720">
                  <c:v>-150.83999999999997</c:v>
                </c:pt>
                <c:pt idx="9721">
                  <c:v>-149.526395</c:v>
                </c:pt>
                <c:pt idx="9722">
                  <c:v>-148.22155999999998</c:v>
                </c:pt>
                <c:pt idx="9723">
                  <c:v>-146.925465</c:v>
                </c:pt>
                <c:pt idx="9724">
                  <c:v>-145.63807999999997</c:v>
                </c:pt>
                <c:pt idx="9725">
                  <c:v>-144.359375</c:v>
                </c:pt>
                <c:pt idx="9726">
                  <c:v>-143.08932000000004</c:v>
                </c:pt>
                <c:pt idx="9727">
                  <c:v>-141.82788499999998</c:v>
                </c:pt>
                <c:pt idx="9728">
                  <c:v>-140.57504</c:v>
                </c:pt>
                <c:pt idx="9729">
                  <c:v>-139.330755</c:v>
                </c:pt>
                <c:pt idx="9730">
                  <c:v>-138.09500000000003</c:v>
                </c:pt>
                <c:pt idx="9731">
                  <c:v>-136.86774499999999</c:v>
                </c:pt>
                <c:pt idx="9732">
                  <c:v>-135.64896000000005</c:v>
                </c:pt>
                <c:pt idx="9733">
                  <c:v>-134.43861500000003</c:v>
                </c:pt>
                <c:pt idx="9734">
                  <c:v>-133.23668000000004</c:v>
                </c:pt>
                <c:pt idx="9735">
                  <c:v>-132.04312499999997</c:v>
                </c:pt>
                <c:pt idx="9736">
                  <c:v>-130.85792</c:v>
                </c:pt>
                <c:pt idx="9737">
                  <c:v>-129.68103499999998</c:v>
                </c:pt>
                <c:pt idx="9738">
                  <c:v>-128.51244000000003</c:v>
                </c:pt>
                <c:pt idx="9739">
                  <c:v>-127.35210499999998</c:v>
                </c:pt>
                <c:pt idx="9740">
                  <c:v>-126.19999999999999</c:v>
                </c:pt>
                <c:pt idx="9741">
                  <c:v>-125.05609499999998</c:v>
                </c:pt>
                <c:pt idx="9742">
                  <c:v>-123.92036</c:v>
                </c:pt>
                <c:pt idx="9743">
                  <c:v>-122.79276499999997</c:v>
                </c:pt>
                <c:pt idx="9744">
                  <c:v>-121.67328000000003</c:v>
                </c:pt>
                <c:pt idx="9745">
                  <c:v>-120.56187499999999</c:v>
                </c:pt>
                <c:pt idx="9746">
                  <c:v>-119.45852000000002</c:v>
                </c:pt>
                <c:pt idx="9747">
                  <c:v>-118.36318499999999</c:v>
                </c:pt>
                <c:pt idx="9748">
                  <c:v>-117.27584</c:v>
                </c:pt>
                <c:pt idx="9749">
                  <c:v>-116.19645499999999</c:v>
                </c:pt>
                <c:pt idx="9750">
                  <c:v>-115.125</c:v>
                </c:pt>
                <c:pt idx="9751">
                  <c:v>-114.06144500000002</c:v>
                </c:pt>
                <c:pt idx="9752">
                  <c:v>-113.00576</c:v>
                </c:pt>
                <c:pt idx="9753">
                  <c:v>-111.95791500000001</c:v>
                </c:pt>
                <c:pt idx="9754">
                  <c:v>-110.91787999999998</c:v>
                </c:pt>
                <c:pt idx="9755">
                  <c:v>-109.885625</c:v>
                </c:pt>
                <c:pt idx="9756">
                  <c:v>-108.86112</c:v>
                </c:pt>
                <c:pt idx="9757">
                  <c:v>-107.84433500000002</c:v>
                </c:pt>
                <c:pt idx="9758">
                  <c:v>-106.83524</c:v>
                </c:pt>
                <c:pt idx="9759">
                  <c:v>-105.83380500000003</c:v>
                </c:pt>
                <c:pt idx="9760">
                  <c:v>-104.83999999999999</c:v>
                </c:pt>
                <c:pt idx="9761">
                  <c:v>-103.853795</c:v>
                </c:pt>
                <c:pt idx="9762">
                  <c:v>-102.87516</c:v>
                </c:pt>
                <c:pt idx="9763">
                  <c:v>-101.90406500000002</c:v>
                </c:pt>
                <c:pt idx="9764">
                  <c:v>-100.94048</c:v>
                </c:pt>
                <c:pt idx="9765">
                  <c:v>-99.984375</c:v>
                </c:pt>
                <c:pt idx="9766">
                  <c:v>-99.03571999999998</c:v>
                </c:pt>
                <c:pt idx="9767">
                  <c:v>-98.094485</c:v>
                </c:pt>
                <c:pt idx="9768">
                  <c:v>-97.16063999999997</c:v>
                </c:pt>
                <c:pt idx="9769">
                  <c:v>-96.23415500000002</c:v>
                </c:pt>
                <c:pt idx="9770">
                  <c:v>-95.315</c:v>
                </c:pt>
                <c:pt idx="9771">
                  <c:v>-94.40314500000001</c:v>
                </c:pt>
                <c:pt idx="9772">
                  <c:v>-93.49855999999998</c:v>
                </c:pt>
                <c:pt idx="9773">
                  <c:v>-92.60121500000001</c:v>
                </c:pt>
                <c:pt idx="9774">
                  <c:v>-91.71107999999998</c:v>
                </c:pt>
                <c:pt idx="9775">
                  <c:v>-90.828125</c:v>
                </c:pt>
                <c:pt idx="9776">
                  <c:v>-89.95232000000001</c:v>
                </c:pt>
                <c:pt idx="9777">
                  <c:v>-89.083635</c:v>
                </c:pt>
                <c:pt idx="9778">
                  <c:v>-88.22204</c:v>
                </c:pt>
                <c:pt idx="9779">
                  <c:v>-87.367505</c:v>
                </c:pt>
                <c:pt idx="9780">
                  <c:v>-86.52000000000001</c:v>
                </c:pt>
                <c:pt idx="9781">
                  <c:v>-85.679495</c:v>
                </c:pt>
                <c:pt idx="9782">
                  <c:v>-84.84596000000002</c:v>
                </c:pt>
                <c:pt idx="9783">
                  <c:v>-84.019365</c:v>
                </c:pt>
                <c:pt idx="9784">
                  <c:v>-83.19968000000001</c:v>
                </c:pt>
                <c:pt idx="9785">
                  <c:v>-82.38687499999999</c:v>
                </c:pt>
                <c:pt idx="9786">
                  <c:v>-81.58092</c:v>
                </c:pt>
                <c:pt idx="9787">
                  <c:v>-80.78178499999999</c:v>
                </c:pt>
                <c:pt idx="9788">
                  <c:v>-79.98944</c:v>
                </c:pt>
                <c:pt idx="9789">
                  <c:v>-79.20385499999999</c:v>
                </c:pt>
                <c:pt idx="9790">
                  <c:v>-78.42500000000001</c:v>
                </c:pt>
                <c:pt idx="9791">
                  <c:v>-77.65284499999999</c:v>
                </c:pt>
                <c:pt idx="9792">
                  <c:v>-76.88736</c:v>
                </c:pt>
                <c:pt idx="9793">
                  <c:v>-76.128515</c:v>
                </c:pt>
                <c:pt idx="9794">
                  <c:v>-75.37628000000001</c:v>
                </c:pt>
                <c:pt idx="9795">
                  <c:v>-74.63062499999998</c:v>
                </c:pt>
                <c:pt idx="9796">
                  <c:v>-73.89152000000001</c:v>
                </c:pt>
                <c:pt idx="9797">
                  <c:v>-73.15893499999999</c:v>
                </c:pt>
                <c:pt idx="9798">
                  <c:v>-72.43284</c:v>
                </c:pt>
                <c:pt idx="9799">
                  <c:v>-71.71320499999999</c:v>
                </c:pt>
                <c:pt idx="9800">
                  <c:v>-71.0</c:v>
                </c:pt>
                <c:pt idx="9801">
                  <c:v>-70.293195</c:v>
                </c:pt>
                <c:pt idx="9802">
                  <c:v>-69.59276</c:v>
                </c:pt>
                <c:pt idx="9803">
                  <c:v>-68.898665</c:v>
                </c:pt>
                <c:pt idx="9804">
                  <c:v>-68.21088</c:v>
                </c:pt>
                <c:pt idx="9805">
                  <c:v>-67.52937499999999</c:v>
                </c:pt>
                <c:pt idx="9806">
                  <c:v>-66.85412</c:v>
                </c:pt>
                <c:pt idx="9807">
                  <c:v>-66.18508499999999</c:v>
                </c:pt>
                <c:pt idx="9808">
                  <c:v>-65.52223999999998</c:v>
                </c:pt>
                <c:pt idx="9809">
                  <c:v>-64.865555</c:v>
                </c:pt>
                <c:pt idx="9810">
                  <c:v>-64.21499999999999</c:v>
                </c:pt>
                <c:pt idx="9811">
                  <c:v>-63.570544999999996</c:v>
                </c:pt>
                <c:pt idx="9812">
                  <c:v>-62.932159999999996</c:v>
                </c:pt>
                <c:pt idx="9813">
                  <c:v>-62.29981500000001</c:v>
                </c:pt>
                <c:pt idx="9814">
                  <c:v>-61.673480000000005</c:v>
                </c:pt>
                <c:pt idx="9815">
                  <c:v>-61.05312500000001</c:v>
                </c:pt>
                <c:pt idx="9816">
                  <c:v>-60.43872</c:v>
                </c:pt>
                <c:pt idx="9817">
                  <c:v>-59.83023500000001</c:v>
                </c:pt>
                <c:pt idx="9818">
                  <c:v>-59.22764</c:v>
                </c:pt>
                <c:pt idx="9819">
                  <c:v>-58.630905000000006</c:v>
                </c:pt>
                <c:pt idx="9820">
                  <c:v>-58.04</c:v>
                </c:pt>
                <c:pt idx="9821">
                  <c:v>-57.454895</c:v>
                </c:pt>
                <c:pt idx="9822">
                  <c:v>-56.87556000000001</c:v>
                </c:pt>
                <c:pt idx="9823">
                  <c:v>-56.301965</c:v>
                </c:pt>
                <c:pt idx="9824">
                  <c:v>-55.73408</c:v>
                </c:pt>
                <c:pt idx="9825">
                  <c:v>-55.171875</c:v>
                </c:pt>
                <c:pt idx="9826">
                  <c:v>-54.61532</c:v>
                </c:pt>
                <c:pt idx="9827">
                  <c:v>-54.064385</c:v>
                </c:pt>
                <c:pt idx="9828">
                  <c:v>-53.51904</c:v>
                </c:pt>
                <c:pt idx="9829">
                  <c:v>-52.979254999999995</c:v>
                </c:pt>
                <c:pt idx="9830">
                  <c:v>-52.445</c:v>
                </c:pt>
                <c:pt idx="9831">
                  <c:v>-51.916245</c:v>
                </c:pt>
                <c:pt idx="9832">
                  <c:v>-51.392959999999995</c:v>
                </c:pt>
                <c:pt idx="9833">
                  <c:v>-50.875114999999994</c:v>
                </c:pt>
                <c:pt idx="9834">
                  <c:v>-50.36268</c:v>
                </c:pt>
                <c:pt idx="9835">
                  <c:v>-49.855625</c:v>
                </c:pt>
                <c:pt idx="9836">
                  <c:v>-49.353919999999995</c:v>
                </c:pt>
                <c:pt idx="9837">
                  <c:v>-48.857535</c:v>
                </c:pt>
                <c:pt idx="9838">
                  <c:v>-48.366440000000004</c:v>
                </c:pt>
                <c:pt idx="9839">
                  <c:v>-47.88060500000001</c:v>
                </c:pt>
                <c:pt idx="9840">
                  <c:v>-47.400000000000006</c:v>
                </c:pt>
                <c:pt idx="9841">
                  <c:v>-46.924595000000004</c:v>
                </c:pt>
                <c:pt idx="9842">
                  <c:v>-46.45436000000001</c:v>
                </c:pt>
                <c:pt idx="9843">
                  <c:v>-45.989265</c:v>
                </c:pt>
                <c:pt idx="9844">
                  <c:v>-45.52928</c:v>
                </c:pt>
                <c:pt idx="9845">
                  <c:v>-45.074375</c:v>
                </c:pt>
                <c:pt idx="9846">
                  <c:v>-44.624520000000004</c:v>
                </c:pt>
                <c:pt idx="9847">
                  <c:v>-44.179685</c:v>
                </c:pt>
                <c:pt idx="9848">
                  <c:v>-43.73984</c:v>
                </c:pt>
                <c:pt idx="9849">
                  <c:v>-43.304955</c:v>
                </c:pt>
                <c:pt idx="9850">
                  <c:v>-42.875</c:v>
                </c:pt>
                <c:pt idx="9851">
                  <c:v>-42.449945</c:v>
                </c:pt>
                <c:pt idx="9852">
                  <c:v>-42.029759999999996</c:v>
                </c:pt>
                <c:pt idx="9853">
                  <c:v>-41.614414999999994</c:v>
                </c:pt>
                <c:pt idx="9854">
                  <c:v>-41.20388</c:v>
                </c:pt>
                <c:pt idx="9855">
                  <c:v>-40.798125</c:v>
                </c:pt>
                <c:pt idx="9856">
                  <c:v>-40.39712</c:v>
                </c:pt>
                <c:pt idx="9857">
                  <c:v>-40.000834999999995</c:v>
                </c:pt>
                <c:pt idx="9858">
                  <c:v>-39.60923999999999</c:v>
                </c:pt>
                <c:pt idx="9859">
                  <c:v>-39.222305</c:v>
                </c:pt>
                <c:pt idx="9860">
                  <c:v>-38.839999999999996</c:v>
                </c:pt>
                <c:pt idx="9861">
                  <c:v>-38.462295</c:v>
                </c:pt>
                <c:pt idx="9862">
                  <c:v>-38.08915999999999</c:v>
                </c:pt>
                <c:pt idx="9863">
                  <c:v>-37.72056500000001</c:v>
                </c:pt>
                <c:pt idx="9864">
                  <c:v>-37.356480000000005</c:v>
                </c:pt>
                <c:pt idx="9865">
                  <c:v>-36.996875</c:v>
                </c:pt>
                <c:pt idx="9866">
                  <c:v>-36.64172000000001</c:v>
                </c:pt>
                <c:pt idx="9867">
                  <c:v>-36.290985000000006</c:v>
                </c:pt>
                <c:pt idx="9868">
                  <c:v>-35.94464</c:v>
                </c:pt>
                <c:pt idx="9869">
                  <c:v>-35.602655</c:v>
                </c:pt>
                <c:pt idx="9870">
                  <c:v>-35.265</c:v>
                </c:pt>
                <c:pt idx="9871">
                  <c:v>-34.931645</c:v>
                </c:pt>
                <c:pt idx="9872">
                  <c:v>-34.602560000000004</c:v>
                </c:pt>
                <c:pt idx="9873">
                  <c:v>-34.277715</c:v>
                </c:pt>
                <c:pt idx="9874">
                  <c:v>-33.957080000000005</c:v>
                </c:pt>
                <c:pt idx="9875">
                  <c:v>-33.640625</c:v>
                </c:pt>
                <c:pt idx="9876">
                  <c:v>-33.328320000000005</c:v>
                </c:pt>
                <c:pt idx="9877">
                  <c:v>-33.020134999999996</c:v>
                </c:pt>
                <c:pt idx="9878">
                  <c:v>-32.71604</c:v>
                </c:pt>
                <c:pt idx="9879">
                  <c:v>-32.416005</c:v>
                </c:pt>
                <c:pt idx="9880">
                  <c:v>-32.12</c:v>
                </c:pt>
                <c:pt idx="9881">
                  <c:v>-31.827995</c:v>
                </c:pt>
                <c:pt idx="9882">
                  <c:v>-31.539959999999997</c:v>
                </c:pt>
                <c:pt idx="9883">
                  <c:v>-31.255865</c:v>
                </c:pt>
                <c:pt idx="9884">
                  <c:v>-30.975679999999997</c:v>
                </c:pt>
                <c:pt idx="9885">
                  <c:v>-30.699374999999996</c:v>
                </c:pt>
                <c:pt idx="9886">
                  <c:v>-30.426919999999996</c:v>
                </c:pt>
                <c:pt idx="9887">
                  <c:v>-30.158284999999996</c:v>
                </c:pt>
                <c:pt idx="9888">
                  <c:v>-29.893440000000002</c:v>
                </c:pt>
                <c:pt idx="9889">
                  <c:v>-29.632355000000004</c:v>
                </c:pt>
                <c:pt idx="9890">
                  <c:v>-29.375000000000004</c:v>
                </c:pt>
                <c:pt idx="9891">
                  <c:v>-29.121345</c:v>
                </c:pt>
                <c:pt idx="9892">
                  <c:v>-28.871360000000003</c:v>
                </c:pt>
                <c:pt idx="9893">
                  <c:v>-28.625015</c:v>
                </c:pt>
                <c:pt idx="9894">
                  <c:v>-28.38228</c:v>
                </c:pt>
                <c:pt idx="9895">
                  <c:v>-28.143125</c:v>
                </c:pt>
                <c:pt idx="9896">
                  <c:v>-27.90752</c:v>
                </c:pt>
                <c:pt idx="9897">
                  <c:v>-27.675435</c:v>
                </c:pt>
                <c:pt idx="9898">
                  <c:v>-27.44684</c:v>
                </c:pt>
                <c:pt idx="9899">
                  <c:v>-27.221705</c:v>
                </c:pt>
                <c:pt idx="9900">
                  <c:v>-27.0</c:v>
                </c:pt>
                <c:pt idx="9901">
                  <c:v>-26.781695</c:v>
                </c:pt>
                <c:pt idx="9902">
                  <c:v>-26.56676</c:v>
                </c:pt>
                <c:pt idx="9903">
                  <c:v>-26.355165</c:v>
                </c:pt>
                <c:pt idx="9904">
                  <c:v>-26.14688</c:v>
                </c:pt>
                <c:pt idx="9905">
                  <c:v>-25.941875</c:v>
                </c:pt>
                <c:pt idx="9906">
                  <c:v>-25.740119999999997</c:v>
                </c:pt>
                <c:pt idx="9907">
                  <c:v>-25.541585</c:v>
                </c:pt>
                <c:pt idx="9908">
                  <c:v>-25.34624</c:v>
                </c:pt>
                <c:pt idx="9909">
                  <c:v>-25.154055</c:v>
                </c:pt>
                <c:pt idx="9910">
                  <c:v>-24.965</c:v>
                </c:pt>
                <c:pt idx="9911">
                  <c:v>-24.779045</c:v>
                </c:pt>
                <c:pt idx="9912">
                  <c:v>-24.596159999999998</c:v>
                </c:pt>
                <c:pt idx="9913">
                  <c:v>-24.416314999999997</c:v>
                </c:pt>
                <c:pt idx="9914">
                  <c:v>-24.23948</c:v>
                </c:pt>
                <c:pt idx="9915">
                  <c:v>-24.065625</c:v>
                </c:pt>
                <c:pt idx="9916">
                  <c:v>-23.89472</c:v>
                </c:pt>
                <c:pt idx="9917">
                  <c:v>-23.726734999999998</c:v>
                </c:pt>
                <c:pt idx="9918">
                  <c:v>-23.56164</c:v>
                </c:pt>
                <c:pt idx="9919">
                  <c:v>-23.399405</c:v>
                </c:pt>
                <c:pt idx="9920">
                  <c:v>-23.240000000000002</c:v>
                </c:pt>
                <c:pt idx="9921">
                  <c:v>-23.083395000000003</c:v>
                </c:pt>
                <c:pt idx="9922">
                  <c:v>-22.929560000000002</c:v>
                </c:pt>
                <c:pt idx="9923">
                  <c:v>-22.778465</c:v>
                </c:pt>
                <c:pt idx="9924">
                  <c:v>-22.63008</c:v>
                </c:pt>
                <c:pt idx="9925">
                  <c:v>-22.484375</c:v>
                </c:pt>
                <c:pt idx="9926">
                  <c:v>-22.34132</c:v>
                </c:pt>
                <c:pt idx="9927">
                  <c:v>-22.200885</c:v>
                </c:pt>
                <c:pt idx="9928">
                  <c:v>-22.06304</c:v>
                </c:pt>
                <c:pt idx="9929">
                  <c:v>-21.927754999999998</c:v>
                </c:pt>
                <c:pt idx="9930">
                  <c:v>-21.794999999999998</c:v>
                </c:pt>
                <c:pt idx="9931">
                  <c:v>-21.664745</c:v>
                </c:pt>
                <c:pt idx="9932">
                  <c:v>-21.53696</c:v>
                </c:pt>
                <c:pt idx="9933">
                  <c:v>-21.411615</c:v>
                </c:pt>
                <c:pt idx="9934">
                  <c:v>-21.28868</c:v>
                </c:pt>
                <c:pt idx="9935">
                  <c:v>-21.168125</c:v>
                </c:pt>
                <c:pt idx="9936">
                  <c:v>-21.04992</c:v>
                </c:pt>
                <c:pt idx="9937">
                  <c:v>-20.934035</c:v>
                </c:pt>
                <c:pt idx="9938">
                  <c:v>-20.82044</c:v>
                </c:pt>
                <c:pt idx="9939">
                  <c:v>-20.709105</c:v>
                </c:pt>
                <c:pt idx="9940">
                  <c:v>-20.6</c:v>
                </c:pt>
                <c:pt idx="9941">
                  <c:v>-20.493095</c:v>
                </c:pt>
                <c:pt idx="9942">
                  <c:v>-20.38836</c:v>
                </c:pt>
                <c:pt idx="9943">
                  <c:v>-20.285764999999998</c:v>
                </c:pt>
                <c:pt idx="9944">
                  <c:v>-20.18528</c:v>
                </c:pt>
                <c:pt idx="9945">
                  <c:v>-20.086875</c:v>
                </c:pt>
                <c:pt idx="9946">
                  <c:v>-19.99052</c:v>
                </c:pt>
                <c:pt idx="9947">
                  <c:v>-19.896185</c:v>
                </c:pt>
                <c:pt idx="9948">
                  <c:v>-19.80384</c:v>
                </c:pt>
                <c:pt idx="9949">
                  <c:v>-19.713455</c:v>
                </c:pt>
                <c:pt idx="9950">
                  <c:v>-19.625</c:v>
                </c:pt>
                <c:pt idx="9951">
                  <c:v>-19.538445</c:v>
                </c:pt>
                <c:pt idx="9952">
                  <c:v>-19.45376</c:v>
                </c:pt>
                <c:pt idx="9953">
                  <c:v>-19.370915</c:v>
                </c:pt>
                <c:pt idx="9954">
                  <c:v>-19.28988</c:v>
                </c:pt>
                <c:pt idx="9955">
                  <c:v>-19.210625</c:v>
                </c:pt>
                <c:pt idx="9956">
                  <c:v>-19.133119999999998</c:v>
                </c:pt>
                <c:pt idx="9957">
                  <c:v>-19.057335000000002</c:v>
                </c:pt>
                <c:pt idx="9958">
                  <c:v>-18.98324</c:v>
                </c:pt>
                <c:pt idx="9959">
                  <c:v>-18.910805</c:v>
                </c:pt>
                <c:pt idx="9960">
                  <c:v>-18.84</c:v>
                </c:pt>
                <c:pt idx="9961">
                  <c:v>-18.770795</c:v>
                </c:pt>
                <c:pt idx="9962">
                  <c:v>-18.70316</c:v>
                </c:pt>
                <c:pt idx="9963">
                  <c:v>-18.637065</c:v>
                </c:pt>
                <c:pt idx="9964">
                  <c:v>-18.57248</c:v>
                </c:pt>
                <c:pt idx="9965">
                  <c:v>-18.509375</c:v>
                </c:pt>
                <c:pt idx="9966">
                  <c:v>-18.44772</c:v>
                </c:pt>
                <c:pt idx="9967">
                  <c:v>-18.387485</c:v>
                </c:pt>
                <c:pt idx="9968">
                  <c:v>-18.32864</c:v>
                </c:pt>
                <c:pt idx="9969">
                  <c:v>-18.271155</c:v>
                </c:pt>
                <c:pt idx="9970">
                  <c:v>-18.215</c:v>
                </c:pt>
                <c:pt idx="9971">
                  <c:v>-18.160145</c:v>
                </c:pt>
                <c:pt idx="9972">
                  <c:v>-18.10656</c:v>
                </c:pt>
                <c:pt idx="9973">
                  <c:v>-18.054215</c:v>
                </c:pt>
                <c:pt idx="9974">
                  <c:v>-18.00308</c:v>
                </c:pt>
                <c:pt idx="9975">
                  <c:v>-17.953125</c:v>
                </c:pt>
                <c:pt idx="9976">
                  <c:v>-17.90432</c:v>
                </c:pt>
                <c:pt idx="9977">
                  <c:v>-17.856635</c:v>
                </c:pt>
                <c:pt idx="9978">
                  <c:v>-17.81004</c:v>
                </c:pt>
                <c:pt idx="9979">
                  <c:v>-17.764505</c:v>
                </c:pt>
                <c:pt idx="9980">
                  <c:v>-17.72</c:v>
                </c:pt>
                <c:pt idx="9981">
                  <c:v>-17.676495</c:v>
                </c:pt>
                <c:pt idx="9982">
                  <c:v>-17.633960000000002</c:v>
                </c:pt>
                <c:pt idx="9983">
                  <c:v>-17.592365</c:v>
                </c:pt>
                <c:pt idx="9984">
                  <c:v>-17.55168</c:v>
                </c:pt>
                <c:pt idx="9985">
                  <c:v>-17.511875</c:v>
                </c:pt>
                <c:pt idx="9986">
                  <c:v>-17.47292</c:v>
                </c:pt>
                <c:pt idx="9987">
                  <c:v>-17.434785</c:v>
                </c:pt>
                <c:pt idx="9988">
                  <c:v>-17.39744</c:v>
                </c:pt>
                <c:pt idx="9989">
                  <c:v>-17.360855</c:v>
                </c:pt>
                <c:pt idx="9990">
                  <c:v>-17.325</c:v>
                </c:pt>
                <c:pt idx="9991">
                  <c:v>-17.289845</c:v>
                </c:pt>
                <c:pt idx="9992">
                  <c:v>-17.25536</c:v>
                </c:pt>
                <c:pt idx="9993">
                  <c:v>-17.221515</c:v>
                </c:pt>
                <c:pt idx="9994">
                  <c:v>-17.18828</c:v>
                </c:pt>
                <c:pt idx="9995">
                  <c:v>-17.155625</c:v>
                </c:pt>
                <c:pt idx="9996">
                  <c:v>-17.12352</c:v>
                </c:pt>
                <c:pt idx="9997">
                  <c:v>-17.091935</c:v>
                </c:pt>
                <c:pt idx="9998">
                  <c:v>-17.06084</c:v>
                </c:pt>
                <c:pt idx="9999">
                  <c:v>-17.030205</c:v>
                </c:pt>
                <c:pt idx="10000">
                  <c:v>-17.0</c:v>
                </c:pt>
                <c:pt idx="10001">
                  <c:v>-16.970195</c:v>
                </c:pt>
                <c:pt idx="10002">
                  <c:v>-16.94076</c:v>
                </c:pt>
                <c:pt idx="10003">
                  <c:v>-16.911665</c:v>
                </c:pt>
                <c:pt idx="10004">
                  <c:v>-16.88288</c:v>
                </c:pt>
                <c:pt idx="10005">
                  <c:v>-16.854375</c:v>
                </c:pt>
                <c:pt idx="10006">
                  <c:v>-16.82612</c:v>
                </c:pt>
                <c:pt idx="10007">
                  <c:v>-16.798085</c:v>
                </c:pt>
                <c:pt idx="10008">
                  <c:v>-16.77024</c:v>
                </c:pt>
                <c:pt idx="10009">
                  <c:v>-16.742555</c:v>
                </c:pt>
                <c:pt idx="10010">
                  <c:v>-16.715</c:v>
                </c:pt>
                <c:pt idx="10011">
                  <c:v>-16.687545</c:v>
                </c:pt>
                <c:pt idx="10012">
                  <c:v>-16.66016</c:v>
                </c:pt>
                <c:pt idx="10013">
                  <c:v>-16.632815</c:v>
                </c:pt>
                <c:pt idx="10014">
                  <c:v>-16.60548</c:v>
                </c:pt>
                <c:pt idx="10015">
                  <c:v>-16.578125</c:v>
                </c:pt>
                <c:pt idx="10016">
                  <c:v>-16.55072</c:v>
                </c:pt>
                <c:pt idx="10017">
                  <c:v>-16.523235</c:v>
                </c:pt>
                <c:pt idx="10018">
                  <c:v>-16.49564</c:v>
                </c:pt>
                <c:pt idx="10019">
                  <c:v>-16.467905</c:v>
                </c:pt>
                <c:pt idx="10020">
                  <c:v>-16.44</c:v>
                </c:pt>
                <c:pt idx="10021">
                  <c:v>-16.411895</c:v>
                </c:pt>
                <c:pt idx="10022">
                  <c:v>-16.38356</c:v>
                </c:pt>
                <c:pt idx="10023">
                  <c:v>-16.354965</c:v>
                </c:pt>
                <c:pt idx="10024">
                  <c:v>-16.32608</c:v>
                </c:pt>
                <c:pt idx="10025">
                  <c:v>-16.296875</c:v>
                </c:pt>
                <c:pt idx="10026">
                  <c:v>-16.26732</c:v>
                </c:pt>
                <c:pt idx="10027">
                  <c:v>-16.237385</c:v>
                </c:pt>
                <c:pt idx="10028">
                  <c:v>-16.20704</c:v>
                </c:pt>
                <c:pt idx="10029">
                  <c:v>-16.176255</c:v>
                </c:pt>
                <c:pt idx="10030">
                  <c:v>-16.145</c:v>
                </c:pt>
                <c:pt idx="10031">
                  <c:v>-16.113245</c:v>
                </c:pt>
                <c:pt idx="10032">
                  <c:v>-16.08096</c:v>
                </c:pt>
                <c:pt idx="10033">
                  <c:v>-16.048115</c:v>
                </c:pt>
                <c:pt idx="10034">
                  <c:v>-16.01468</c:v>
                </c:pt>
                <c:pt idx="10035">
                  <c:v>-15.980625</c:v>
                </c:pt>
                <c:pt idx="10036">
                  <c:v>-15.94592</c:v>
                </c:pt>
                <c:pt idx="10037">
                  <c:v>-15.910535</c:v>
                </c:pt>
                <c:pt idx="10038">
                  <c:v>-15.87444</c:v>
                </c:pt>
                <c:pt idx="10039">
                  <c:v>-15.837605</c:v>
                </c:pt>
                <c:pt idx="10040">
                  <c:v>-15.8</c:v>
                </c:pt>
                <c:pt idx="10041">
                  <c:v>-15.761595</c:v>
                </c:pt>
                <c:pt idx="10042">
                  <c:v>-15.72236</c:v>
                </c:pt>
                <c:pt idx="10043">
                  <c:v>-15.682265</c:v>
                </c:pt>
                <c:pt idx="10044">
                  <c:v>-15.64128</c:v>
                </c:pt>
                <c:pt idx="10045">
                  <c:v>-15.599375</c:v>
                </c:pt>
                <c:pt idx="10046">
                  <c:v>-15.556519999999999</c:v>
                </c:pt>
                <c:pt idx="10047">
                  <c:v>-15.512685000000001</c:v>
                </c:pt>
                <c:pt idx="10048">
                  <c:v>-15.46784</c:v>
                </c:pt>
                <c:pt idx="10049">
                  <c:v>-15.421955</c:v>
                </c:pt>
                <c:pt idx="10050">
                  <c:v>-15.375</c:v>
                </c:pt>
                <c:pt idx="10051">
                  <c:v>-15.326945</c:v>
                </c:pt>
                <c:pt idx="10052">
                  <c:v>-15.27776</c:v>
                </c:pt>
                <c:pt idx="10053">
                  <c:v>-15.227415</c:v>
                </c:pt>
                <c:pt idx="10054">
                  <c:v>-15.17588</c:v>
                </c:pt>
                <c:pt idx="10055">
                  <c:v>-15.123125</c:v>
                </c:pt>
                <c:pt idx="10056">
                  <c:v>-15.06912</c:v>
                </c:pt>
                <c:pt idx="10057">
                  <c:v>-15.013835</c:v>
                </c:pt>
                <c:pt idx="10058">
                  <c:v>-14.95724</c:v>
                </c:pt>
                <c:pt idx="10059">
                  <c:v>-14.899305</c:v>
                </c:pt>
                <c:pt idx="10060">
                  <c:v>-14.84</c:v>
                </c:pt>
                <c:pt idx="10061">
                  <c:v>-14.779295000000001</c:v>
                </c:pt>
                <c:pt idx="10062">
                  <c:v>-14.71716</c:v>
                </c:pt>
                <c:pt idx="10063">
                  <c:v>-14.653565</c:v>
                </c:pt>
                <c:pt idx="10064">
                  <c:v>-14.58848</c:v>
                </c:pt>
                <c:pt idx="10065">
                  <c:v>-14.521875</c:v>
                </c:pt>
                <c:pt idx="10066">
                  <c:v>-14.45372</c:v>
                </c:pt>
                <c:pt idx="10067">
                  <c:v>-14.383985</c:v>
                </c:pt>
                <c:pt idx="10068">
                  <c:v>-14.31264</c:v>
                </c:pt>
                <c:pt idx="10069">
                  <c:v>-14.239655</c:v>
                </c:pt>
                <c:pt idx="10070">
                  <c:v>-14.165000000000001</c:v>
                </c:pt>
                <c:pt idx="10071">
                  <c:v>-14.088645</c:v>
                </c:pt>
                <c:pt idx="10072">
                  <c:v>-14.01056</c:v>
                </c:pt>
                <c:pt idx="10073">
                  <c:v>-13.930715</c:v>
                </c:pt>
                <c:pt idx="10074">
                  <c:v>-13.84908</c:v>
                </c:pt>
                <c:pt idx="10075">
                  <c:v>-13.765625</c:v>
                </c:pt>
                <c:pt idx="10076">
                  <c:v>-13.680319999999998</c:v>
                </c:pt>
                <c:pt idx="10077">
                  <c:v>-13.593135</c:v>
                </c:pt>
                <c:pt idx="10078">
                  <c:v>-13.50404</c:v>
                </c:pt>
                <c:pt idx="10079">
                  <c:v>-13.413005</c:v>
                </c:pt>
                <c:pt idx="10080">
                  <c:v>-13.32</c:v>
                </c:pt>
                <c:pt idx="10081">
                  <c:v>-13.224995</c:v>
                </c:pt>
                <c:pt idx="10082">
                  <c:v>-13.12796</c:v>
                </c:pt>
                <c:pt idx="10083">
                  <c:v>-13.028865</c:v>
                </c:pt>
                <c:pt idx="10084">
                  <c:v>-12.92768</c:v>
                </c:pt>
                <c:pt idx="10085">
                  <c:v>-12.824375</c:v>
                </c:pt>
                <c:pt idx="10086">
                  <c:v>-12.71892</c:v>
                </c:pt>
                <c:pt idx="10087">
                  <c:v>-12.611285</c:v>
                </c:pt>
                <c:pt idx="10088">
                  <c:v>-12.50144</c:v>
                </c:pt>
                <c:pt idx="10089">
                  <c:v>-12.389355</c:v>
                </c:pt>
                <c:pt idx="10090">
                  <c:v>-12.274999999999999</c:v>
                </c:pt>
                <c:pt idx="10091">
                  <c:v>-12.158345</c:v>
                </c:pt>
                <c:pt idx="10092">
                  <c:v>-12.03936</c:v>
                </c:pt>
                <c:pt idx="10093">
                  <c:v>-11.918015</c:v>
                </c:pt>
                <c:pt idx="10094">
                  <c:v>-11.79428</c:v>
                </c:pt>
                <c:pt idx="10095">
                  <c:v>-11.668125</c:v>
                </c:pt>
                <c:pt idx="10096">
                  <c:v>-11.539520000000001</c:v>
                </c:pt>
                <c:pt idx="10097">
                  <c:v>-11.408435</c:v>
                </c:pt>
                <c:pt idx="10098">
                  <c:v>-11.274840000000001</c:v>
                </c:pt>
                <c:pt idx="10099">
                  <c:v>-11.138705</c:v>
                </c:pt>
                <c:pt idx="10100">
                  <c:v>-11.0</c:v>
                </c:pt>
                <c:pt idx="10101">
                  <c:v>-10.858694999999999</c:v>
                </c:pt>
                <c:pt idx="10102">
                  <c:v>-10.714759999999998</c:v>
                </c:pt>
                <c:pt idx="10103">
                  <c:v>-10.568165</c:v>
                </c:pt>
                <c:pt idx="10104">
                  <c:v>-10.41888</c:v>
                </c:pt>
                <c:pt idx="10105">
                  <c:v>-10.266874999999999</c:v>
                </c:pt>
                <c:pt idx="10106">
                  <c:v>-10.112119999999999</c:v>
                </c:pt>
                <c:pt idx="10107">
                  <c:v>-9.954585</c:v>
                </c:pt>
                <c:pt idx="10108">
                  <c:v>-9.794239999999999</c:v>
                </c:pt>
                <c:pt idx="10109">
                  <c:v>-9.631055</c:v>
                </c:pt>
                <c:pt idx="10110">
                  <c:v>-9.464999999999998</c:v>
                </c:pt>
                <c:pt idx="10111">
                  <c:v>-9.296045</c:v>
                </c:pt>
                <c:pt idx="10112">
                  <c:v>-9.12416</c:v>
                </c:pt>
                <c:pt idx="10113">
                  <c:v>-8.949315000000002</c:v>
                </c:pt>
                <c:pt idx="10114">
                  <c:v>-8.771480000000002</c:v>
                </c:pt>
                <c:pt idx="10115">
                  <c:v>-8.590625000000001</c:v>
                </c:pt>
                <c:pt idx="10116">
                  <c:v>-8.406720000000004</c:v>
                </c:pt>
                <c:pt idx="10117">
                  <c:v>-8.219735000000002</c:v>
                </c:pt>
                <c:pt idx="10118">
                  <c:v>-8.02964</c:v>
                </c:pt>
                <c:pt idx="10119">
                  <c:v>-7.836405000000001</c:v>
                </c:pt>
                <c:pt idx="10120">
                  <c:v>-7.640000000000001</c:v>
                </c:pt>
                <c:pt idx="10121">
                  <c:v>-7.440395000000002</c:v>
                </c:pt>
                <c:pt idx="10122">
                  <c:v>-7.237560000000002</c:v>
                </c:pt>
                <c:pt idx="10123">
                  <c:v>-7.0314650000000025</c:v>
                </c:pt>
                <c:pt idx="10124">
                  <c:v>-6.82208</c:v>
                </c:pt>
                <c:pt idx="10125">
                  <c:v>-6.609375</c:v>
                </c:pt>
                <c:pt idx="10126">
                  <c:v>-6.393319999999999</c:v>
                </c:pt>
                <c:pt idx="10127">
                  <c:v>-6.173884999999997</c:v>
                </c:pt>
                <c:pt idx="10128">
                  <c:v>-5.951039999999997</c:v>
                </c:pt>
                <c:pt idx="10129">
                  <c:v>-5.724754999999998</c:v>
                </c:pt>
                <c:pt idx="10130">
                  <c:v>-5.495000000000001</c:v>
                </c:pt>
                <c:pt idx="10131">
                  <c:v>-5.2617449999999995</c:v>
                </c:pt>
                <c:pt idx="10132">
                  <c:v>-5.02496</c:v>
                </c:pt>
                <c:pt idx="10133">
                  <c:v>-4.784614999999997</c:v>
                </c:pt>
                <c:pt idx="10134">
                  <c:v>-4.540679999999998</c:v>
                </c:pt>
                <c:pt idx="10135">
                  <c:v>-4.293124999999996</c:v>
                </c:pt>
                <c:pt idx="10136">
                  <c:v>-4.041919999999999</c:v>
                </c:pt>
                <c:pt idx="10137">
                  <c:v>-3.787034999999996</c:v>
                </c:pt>
                <c:pt idx="10138">
                  <c:v>-3.5284400000000034</c:v>
                </c:pt>
                <c:pt idx="10139">
                  <c:v>-3.2661050000000014</c:v>
                </c:pt>
                <c:pt idx="10140">
                  <c:v>-3.0000000000000036</c:v>
                </c:pt>
                <c:pt idx="10141">
                  <c:v>-2.7300949999999986</c:v>
                </c:pt>
                <c:pt idx="10142">
                  <c:v>-2.4563600000000037</c:v>
                </c:pt>
                <c:pt idx="10143">
                  <c:v>-2.178765000000002</c:v>
                </c:pt>
                <c:pt idx="10144">
                  <c:v>-1.8972800000000003</c:v>
                </c:pt>
                <c:pt idx="10145">
                  <c:v>-1.6118750000000013</c:v>
                </c:pt>
                <c:pt idx="10146">
                  <c:v>-1.3225200000000008</c:v>
                </c:pt>
                <c:pt idx="10147">
                  <c:v>-1.029185</c:v>
                </c:pt>
                <c:pt idx="10148">
                  <c:v>-0.7318400000000054</c:v>
                </c:pt>
                <c:pt idx="10149">
                  <c:v>-0.43045500000000203</c:v>
                </c:pt>
                <c:pt idx="10150">
                  <c:v>-0.125</c:v>
                </c:pt>
                <c:pt idx="10151">
                  <c:v>0.18455499999999958</c:v>
                </c:pt>
                <c:pt idx="10152">
                  <c:v>0.4982400000000027</c:v>
                </c:pt>
                <c:pt idx="10153">
                  <c:v>0.8160850000000011</c:v>
                </c:pt>
                <c:pt idx="10154">
                  <c:v>1.1381200000000007</c:v>
                </c:pt>
                <c:pt idx="10155">
                  <c:v>1.464375000000004</c:v>
                </c:pt>
                <c:pt idx="10156">
                  <c:v>1.7948799999999991</c:v>
                </c:pt>
                <c:pt idx="10157">
                  <c:v>2.129665000000003</c:v>
                </c:pt>
                <c:pt idx="10158">
                  <c:v>2.468760000000003</c:v>
                </c:pt>
                <c:pt idx="10159">
                  <c:v>2.8121950000000027</c:v>
                </c:pt>
                <c:pt idx="10160">
                  <c:v>3.1600000000000037</c:v>
                </c:pt>
                <c:pt idx="10161">
                  <c:v>3.5122050000000087</c:v>
                </c:pt>
                <c:pt idx="10162">
                  <c:v>3.8688399999999987</c:v>
                </c:pt>
                <c:pt idx="10163">
                  <c:v>4.229934999999994</c:v>
                </c:pt>
                <c:pt idx="10164">
                  <c:v>4.5955200000000005</c:v>
                </c:pt>
                <c:pt idx="10165">
                  <c:v>4.965624999999999</c:v>
                </c:pt>
                <c:pt idx="10166">
                  <c:v>5.34028</c:v>
                </c:pt>
                <c:pt idx="10167">
                  <c:v>5.719514999999994</c:v>
                </c:pt>
                <c:pt idx="10168">
                  <c:v>6.103359999999995</c:v>
                </c:pt>
                <c:pt idx="10169">
                  <c:v>6.491845000000001</c:v>
                </c:pt>
                <c:pt idx="10170">
                  <c:v>6.884999999999998</c:v>
                </c:pt>
                <c:pt idx="10171">
                  <c:v>7.282854999999998</c:v>
                </c:pt>
                <c:pt idx="10172">
                  <c:v>7.68544</c:v>
                </c:pt>
                <c:pt idx="10173">
                  <c:v>8.092785</c:v>
                </c:pt>
                <c:pt idx="10174">
                  <c:v>8.504919999999998</c:v>
                </c:pt>
                <c:pt idx="10175">
                  <c:v>8.921875</c:v>
                </c:pt>
                <c:pt idx="10176">
                  <c:v>9.343679999999999</c:v>
                </c:pt>
                <c:pt idx="10177">
                  <c:v>9.770365000000005</c:v>
                </c:pt>
                <c:pt idx="10178">
                  <c:v>10.201960000000003</c:v>
                </c:pt>
                <c:pt idx="10179">
                  <c:v>10.638495000000002</c:v>
                </c:pt>
                <c:pt idx="10180">
                  <c:v>11.080000000000005</c:v>
                </c:pt>
                <c:pt idx="10181">
                  <c:v>11.526505000000004</c:v>
                </c:pt>
                <c:pt idx="10182">
                  <c:v>11.978040000000004</c:v>
                </c:pt>
                <c:pt idx="10183">
                  <c:v>12.434635</c:v>
                </c:pt>
                <c:pt idx="10184">
                  <c:v>12.89632</c:v>
                </c:pt>
                <c:pt idx="10185">
                  <c:v>13.363125000000007</c:v>
                </c:pt>
                <c:pt idx="10186">
                  <c:v>13.835080000000005</c:v>
                </c:pt>
                <c:pt idx="10187">
                  <c:v>14.312215000000009</c:v>
                </c:pt>
                <c:pt idx="10188">
                  <c:v>14.794559999999993</c:v>
                </c:pt>
                <c:pt idx="10189">
                  <c:v>15.282145</c:v>
                </c:pt>
                <c:pt idx="10190">
                  <c:v>15.774999999999991</c:v>
                </c:pt>
                <c:pt idx="10191">
                  <c:v>16.273154999999996</c:v>
                </c:pt>
                <c:pt idx="10192">
                  <c:v>16.776639999999993</c:v>
                </c:pt>
                <c:pt idx="10193">
                  <c:v>17.285485</c:v>
                </c:pt>
                <c:pt idx="10194">
                  <c:v>17.79972</c:v>
                </c:pt>
                <c:pt idx="10195">
                  <c:v>18.319374999999994</c:v>
                </c:pt>
                <c:pt idx="10196">
                  <c:v>18.844479999999997</c:v>
                </c:pt>
                <c:pt idx="10197">
                  <c:v>19.375064999999992</c:v>
                </c:pt>
                <c:pt idx="10198">
                  <c:v>19.911159999999995</c:v>
                </c:pt>
                <c:pt idx="10199">
                  <c:v>20.452795000000002</c:v>
                </c:pt>
                <c:pt idx="10200">
                  <c:v>21.0</c:v>
                </c:pt>
                <c:pt idx="10201">
                  <c:v>21.552804999999985</c:v>
                </c:pt>
                <c:pt idx="10202">
                  <c:v>22.111240000000002</c:v>
                </c:pt>
                <c:pt idx="10203">
                  <c:v>22.67533499999999</c:v>
                </c:pt>
                <c:pt idx="10204">
                  <c:v>23.245120000000007</c:v>
                </c:pt>
                <c:pt idx="10205">
                  <c:v>23.820624999999986</c:v>
                </c:pt>
                <c:pt idx="10206">
                  <c:v>24.40188</c:v>
                </c:pt>
                <c:pt idx="10207">
                  <c:v>24.98891499999999</c:v>
                </c:pt>
                <c:pt idx="10208">
                  <c:v>25.58176000000001</c:v>
                </c:pt>
                <c:pt idx="10209">
                  <c:v>26.18044499999999</c:v>
                </c:pt>
                <c:pt idx="10210">
                  <c:v>26.78500000000001</c:v>
                </c:pt>
                <c:pt idx="10211">
                  <c:v>27.395454999999984</c:v>
                </c:pt>
                <c:pt idx="10212">
                  <c:v>28.011840000000007</c:v>
                </c:pt>
                <c:pt idx="10213">
                  <c:v>28.634184999999995</c:v>
                </c:pt>
                <c:pt idx="10214">
                  <c:v>29.26252000000001</c:v>
                </c:pt>
                <c:pt idx="10215">
                  <c:v>29.896874999999994</c:v>
                </c:pt>
                <c:pt idx="10216">
                  <c:v>30.53728000000001</c:v>
                </c:pt>
                <c:pt idx="10217">
                  <c:v>31.183764999999987</c:v>
                </c:pt>
                <c:pt idx="10218">
                  <c:v>31.836360000000006</c:v>
                </c:pt>
                <c:pt idx="10219">
                  <c:v>32.495095</c:v>
                </c:pt>
                <c:pt idx="10220">
                  <c:v>33.16000000000002</c:v>
                </c:pt>
                <c:pt idx="10221">
                  <c:v>33.831105</c:v>
                </c:pt>
                <c:pt idx="10222">
                  <c:v>34.50844000000001</c:v>
                </c:pt>
                <c:pt idx="10223">
                  <c:v>35.192035000000004</c:v>
                </c:pt>
                <c:pt idx="10224">
                  <c:v>35.88192000000001</c:v>
                </c:pt>
                <c:pt idx="10225">
                  <c:v>36.578125</c:v>
                </c:pt>
                <c:pt idx="10226">
                  <c:v>37.28067999999999</c:v>
                </c:pt>
                <c:pt idx="10227">
                  <c:v>37.98961500000001</c:v>
                </c:pt>
                <c:pt idx="10228">
                  <c:v>38.704959999999986</c:v>
                </c:pt>
                <c:pt idx="10229">
                  <c:v>39.426745</c:v>
                </c:pt>
                <c:pt idx="10230">
                  <c:v>40.154999999999994</c:v>
                </c:pt>
                <c:pt idx="10231">
                  <c:v>40.889755</c:v>
                </c:pt>
                <c:pt idx="10232">
                  <c:v>41.631039999999985</c:v>
                </c:pt>
                <c:pt idx="10233">
                  <c:v>42.378885000000004</c:v>
                </c:pt>
                <c:pt idx="10234">
                  <c:v>43.13331999999998</c:v>
                </c:pt>
                <c:pt idx="10235">
                  <c:v>43.894375</c:v>
                </c:pt>
                <c:pt idx="10236">
                  <c:v>44.66207999999999</c:v>
                </c:pt>
                <c:pt idx="10237">
                  <c:v>45.43646500000001</c:v>
                </c:pt>
                <c:pt idx="10238">
                  <c:v>46.21755999999999</c:v>
                </c:pt>
                <c:pt idx="10239">
                  <c:v>47.00539500000001</c:v>
                </c:pt>
                <c:pt idx="10240">
                  <c:v>47.8</c:v>
                </c:pt>
                <c:pt idx="10241">
                  <c:v>48.601405000000014</c:v>
                </c:pt>
                <c:pt idx="10242">
                  <c:v>49.409639999999996</c:v>
                </c:pt>
                <c:pt idx="10243">
                  <c:v>50.22473500000001</c:v>
                </c:pt>
                <c:pt idx="10244">
                  <c:v>51.04671999999999</c:v>
                </c:pt>
                <c:pt idx="10245">
                  <c:v>51.875625000000014</c:v>
                </c:pt>
                <c:pt idx="10246">
                  <c:v>52.71147999999998</c:v>
                </c:pt>
                <c:pt idx="10247">
                  <c:v>53.554315</c:v>
                </c:pt>
                <c:pt idx="10248">
                  <c:v>54.404160000000005</c:v>
                </c:pt>
                <c:pt idx="10249">
                  <c:v>55.261045000000024</c:v>
                </c:pt>
                <c:pt idx="10250">
                  <c:v>56.125</c:v>
                </c:pt>
                <c:pt idx="10251">
                  <c:v>56.996054999999984</c:v>
                </c:pt>
                <c:pt idx="10252">
                  <c:v>57.87424</c:v>
                </c:pt>
                <c:pt idx="10253">
                  <c:v>58.75958499999999</c:v>
                </c:pt>
                <c:pt idx="10254">
                  <c:v>59.652120000000025</c:v>
                </c:pt>
                <c:pt idx="10255">
                  <c:v>60.551874999999995</c:v>
                </c:pt>
                <c:pt idx="10256">
                  <c:v>61.45888000000002</c:v>
                </c:pt>
                <c:pt idx="10257">
                  <c:v>62.37316499999997</c:v>
                </c:pt>
                <c:pt idx="10258">
                  <c:v>63.29476000000001</c:v>
                </c:pt>
                <c:pt idx="10259">
                  <c:v>64.22369499999998</c:v>
                </c:pt>
                <c:pt idx="10260">
                  <c:v>65.16</c:v>
                </c:pt>
                <c:pt idx="10261">
                  <c:v>66.10370499999998</c:v>
                </c:pt>
                <c:pt idx="10262">
                  <c:v>67.05484</c:v>
                </c:pt>
                <c:pt idx="10263">
                  <c:v>68.01343499999999</c:v>
                </c:pt>
                <c:pt idx="10264">
                  <c:v>68.97952000000001</c:v>
                </c:pt>
                <c:pt idx="10265">
                  <c:v>69.95312499999999</c:v>
                </c:pt>
                <c:pt idx="10266">
                  <c:v>70.93428000000003</c:v>
                </c:pt>
                <c:pt idx="10267">
                  <c:v>71.923015</c:v>
                </c:pt>
                <c:pt idx="10268">
                  <c:v>72.91936000000003</c:v>
                </c:pt>
                <c:pt idx="10269">
                  <c:v>73.92334499999998</c:v>
                </c:pt>
                <c:pt idx="10270">
                  <c:v>74.93500000000003</c:v>
                </c:pt>
                <c:pt idx="10271">
                  <c:v>75.954355</c:v>
                </c:pt>
                <c:pt idx="10272">
                  <c:v>76.98144</c:v>
                </c:pt>
                <c:pt idx="10273">
                  <c:v>78.016285</c:v>
                </c:pt>
                <c:pt idx="10274">
                  <c:v>79.05892000000001</c:v>
                </c:pt>
                <c:pt idx="10275">
                  <c:v>80.109375</c:v>
                </c:pt>
                <c:pt idx="10276">
                  <c:v>81.16767999999999</c:v>
                </c:pt>
                <c:pt idx="10277">
                  <c:v>82.23386500000001</c:v>
                </c:pt>
                <c:pt idx="10278">
                  <c:v>83.30795999999998</c:v>
                </c:pt>
                <c:pt idx="10279">
                  <c:v>84.38999500000001</c:v>
                </c:pt>
                <c:pt idx="10280">
                  <c:v>85.47999999999999</c:v>
                </c:pt>
                <c:pt idx="10281">
                  <c:v>86.57800500000002</c:v>
                </c:pt>
                <c:pt idx="10282">
                  <c:v>87.68404</c:v>
                </c:pt>
                <c:pt idx="10283">
                  <c:v>88.79813500000002</c:v>
                </c:pt>
                <c:pt idx="10284">
                  <c:v>89.92031999999996</c:v>
                </c:pt>
                <c:pt idx="10285">
                  <c:v>91.050625</c:v>
                </c:pt>
                <c:pt idx="10286">
                  <c:v>92.18907999999998</c:v>
                </c:pt>
                <c:pt idx="10287">
                  <c:v>93.33571500000002</c:v>
                </c:pt>
                <c:pt idx="10288">
                  <c:v>94.49056</c:v>
                </c:pt>
                <c:pt idx="10289">
                  <c:v>95.65364500000001</c:v>
                </c:pt>
                <c:pt idx="10290">
                  <c:v>96.825</c:v>
                </c:pt>
                <c:pt idx="10291">
                  <c:v>98.00465500000003</c:v>
                </c:pt>
                <c:pt idx="10292">
                  <c:v>99.19264</c:v>
                </c:pt>
                <c:pt idx="10293">
                  <c:v>100.388985</c:v>
                </c:pt>
                <c:pt idx="10294">
                  <c:v>101.59371999999999</c:v>
                </c:pt>
                <c:pt idx="10295">
                  <c:v>102.80687500000002</c:v>
                </c:pt>
                <c:pt idx="10296">
                  <c:v>104.02847999999997</c:v>
                </c:pt>
                <c:pt idx="10297">
                  <c:v>105.25856500000002</c:v>
                </c:pt>
                <c:pt idx="10298">
                  <c:v>106.49716</c:v>
                </c:pt>
                <c:pt idx="10299">
                  <c:v>107.74429500000002</c:v>
                </c:pt>
                <c:pt idx="10300">
                  <c:v>109.0</c:v>
                </c:pt>
                <c:pt idx="10301">
                  <c:v>110.26430499999996</c:v>
                </c:pt>
                <c:pt idx="10302">
                  <c:v>111.53724</c:v>
                </c:pt>
                <c:pt idx="10303">
                  <c:v>112.81883499999995</c:v>
                </c:pt>
                <c:pt idx="10304">
                  <c:v>114.10912000000002</c:v>
                </c:pt>
                <c:pt idx="10305">
                  <c:v>115.40812499999998</c:v>
                </c:pt>
                <c:pt idx="10306">
                  <c:v>116.71588</c:v>
                </c:pt>
                <c:pt idx="10307">
                  <c:v>118.03241499999996</c:v>
                </c:pt>
                <c:pt idx="10308">
                  <c:v>119.35776000000001</c:v>
                </c:pt>
                <c:pt idx="10309">
                  <c:v>120.69194499999998</c:v>
                </c:pt>
                <c:pt idx="10310">
                  <c:v>122.03500000000003</c:v>
                </c:pt>
                <c:pt idx="10311">
                  <c:v>123.386955</c:v>
                </c:pt>
                <c:pt idx="10312">
                  <c:v>124.74784</c:v>
                </c:pt>
                <c:pt idx="10313">
                  <c:v>126.117685</c:v>
                </c:pt>
                <c:pt idx="10314">
                  <c:v>127.49652</c:v>
                </c:pt>
                <c:pt idx="10315">
                  <c:v>128.88437499999998</c:v>
                </c:pt>
                <c:pt idx="10316">
                  <c:v>130.28128</c:v>
                </c:pt>
                <c:pt idx="10317">
                  <c:v>131.68726499999997</c:v>
                </c:pt>
                <c:pt idx="10318">
                  <c:v>133.10236</c:v>
                </c:pt>
                <c:pt idx="10319">
                  <c:v>134.526595</c:v>
                </c:pt>
                <c:pt idx="10320">
                  <c:v>135.96</c:v>
                </c:pt>
                <c:pt idx="10321">
                  <c:v>137.402605</c:v>
                </c:pt>
                <c:pt idx="10322">
                  <c:v>138.85444000000004</c:v>
                </c:pt>
                <c:pt idx="10323">
                  <c:v>140.31553499999998</c:v>
                </c:pt>
                <c:pt idx="10324">
                  <c:v>141.78592</c:v>
                </c:pt>
                <c:pt idx="10325">
                  <c:v>143.265625</c:v>
                </c:pt>
                <c:pt idx="10326">
                  <c:v>144.75467999999995</c:v>
                </c:pt>
                <c:pt idx="10327">
                  <c:v>146.253115</c:v>
                </c:pt>
                <c:pt idx="10328">
                  <c:v>147.76095999999998</c:v>
                </c:pt>
                <c:pt idx="10329">
                  <c:v>149.278245</c:v>
                </c:pt>
                <c:pt idx="10330">
                  <c:v>150.805</c:v>
                </c:pt>
                <c:pt idx="10331">
                  <c:v>152.341255</c:v>
                </c:pt>
                <c:pt idx="10332">
                  <c:v>153.88703999999998</c:v>
                </c:pt>
                <c:pt idx="10333">
                  <c:v>155.44238500000003</c:v>
                </c:pt>
                <c:pt idx="10334">
                  <c:v>157.00731999999996</c:v>
                </c:pt>
                <c:pt idx="10335">
                  <c:v>158.58187500000003</c:v>
                </c:pt>
                <c:pt idx="10336">
                  <c:v>160.16608</c:v>
                </c:pt>
                <c:pt idx="10337">
                  <c:v>161.75996500000002</c:v>
                </c:pt>
                <c:pt idx="10338">
                  <c:v>163.36356</c:v>
                </c:pt>
                <c:pt idx="10339">
                  <c:v>164.97689500000004</c:v>
                </c:pt>
                <c:pt idx="10340">
                  <c:v>166.59999999999997</c:v>
                </c:pt>
                <c:pt idx="10341">
                  <c:v>168.23290500000002</c:v>
                </c:pt>
                <c:pt idx="10342">
                  <c:v>169.87563999999998</c:v>
                </c:pt>
                <c:pt idx="10343">
                  <c:v>171.52823500000002</c:v>
                </c:pt>
                <c:pt idx="10344">
                  <c:v>173.19071999999997</c:v>
                </c:pt>
                <c:pt idx="10345">
                  <c:v>174.86312500000003</c:v>
                </c:pt>
                <c:pt idx="10346">
                  <c:v>176.54548</c:v>
                </c:pt>
                <c:pt idx="10347">
                  <c:v>178.23781500000004</c:v>
                </c:pt>
                <c:pt idx="10348">
                  <c:v>179.94016</c:v>
                </c:pt>
                <c:pt idx="10349">
                  <c:v>181.65254500000006</c:v>
                </c:pt>
                <c:pt idx="10350">
                  <c:v>183.375</c:v>
                </c:pt>
                <c:pt idx="10351">
                  <c:v>185.10755499999996</c:v>
                </c:pt>
                <c:pt idx="10352">
                  <c:v>186.85023999999999</c:v>
                </c:pt>
                <c:pt idx="10353">
                  <c:v>188.603085</c:v>
                </c:pt>
                <c:pt idx="10354">
                  <c:v>190.36612000000002</c:v>
                </c:pt>
                <c:pt idx="10355">
                  <c:v>192.139375</c:v>
                </c:pt>
                <c:pt idx="10356">
                  <c:v>193.92288000000002</c:v>
                </c:pt>
                <c:pt idx="10357">
                  <c:v>195.71666499999998</c:v>
                </c:pt>
                <c:pt idx="10358">
                  <c:v>197.52076000000002</c:v>
                </c:pt>
                <c:pt idx="10359">
                  <c:v>199.335195</c:v>
                </c:pt>
                <c:pt idx="10360">
                  <c:v>201.16000000000003</c:v>
                </c:pt>
                <c:pt idx="10361">
                  <c:v>202.995205</c:v>
                </c:pt>
                <c:pt idx="10362">
                  <c:v>204.84084000000001</c:v>
                </c:pt>
                <c:pt idx="10363">
                  <c:v>206.696935</c:v>
                </c:pt>
                <c:pt idx="10364">
                  <c:v>208.56352</c:v>
                </c:pt>
                <c:pt idx="10365">
                  <c:v>210.44062499999998</c:v>
                </c:pt>
                <c:pt idx="10366">
                  <c:v>212.32828</c:v>
                </c:pt>
                <c:pt idx="10367">
                  <c:v>214.22651499999995</c:v>
                </c:pt>
                <c:pt idx="10368">
                  <c:v>216.13536</c:v>
                </c:pt>
                <c:pt idx="10369">
                  <c:v>218.05484499999997</c:v>
                </c:pt>
                <c:pt idx="10370">
                  <c:v>219.98500000000004</c:v>
                </c:pt>
                <c:pt idx="10371">
                  <c:v>221.92585499999998</c:v>
                </c:pt>
                <c:pt idx="10372">
                  <c:v>223.87744</c:v>
                </c:pt>
                <c:pt idx="10373">
                  <c:v>225.839785</c:v>
                </c:pt>
                <c:pt idx="10374">
                  <c:v>227.81292000000008</c:v>
                </c:pt>
                <c:pt idx="10375">
                  <c:v>229.796875</c:v>
                </c:pt>
                <c:pt idx="10376">
                  <c:v>231.79167999999996</c:v>
                </c:pt>
                <c:pt idx="10377">
                  <c:v>233.79736499999999</c:v>
                </c:pt>
                <c:pt idx="10378">
                  <c:v>235.81395999999998</c:v>
                </c:pt>
                <c:pt idx="10379">
                  <c:v>237.841495</c:v>
                </c:pt>
                <c:pt idx="10380">
                  <c:v>239.87999999999994</c:v>
                </c:pt>
                <c:pt idx="10381">
                  <c:v>241.929505</c:v>
                </c:pt>
                <c:pt idx="10382">
                  <c:v>243.99003999999996</c:v>
                </c:pt>
                <c:pt idx="10383">
                  <c:v>246.06163500000002</c:v>
                </c:pt>
                <c:pt idx="10384">
                  <c:v>248.14431999999994</c:v>
                </c:pt>
                <c:pt idx="10385">
                  <c:v>250.23812499999997</c:v>
                </c:pt>
                <c:pt idx="10386">
                  <c:v>252.34308</c:v>
                </c:pt>
                <c:pt idx="10387">
                  <c:v>254.45921500000003</c:v>
                </c:pt>
                <c:pt idx="10388">
                  <c:v>256.58656</c:v>
                </c:pt>
                <c:pt idx="10389">
                  <c:v>258.72514500000005</c:v>
                </c:pt>
                <c:pt idx="10390">
                  <c:v>260.87499999999994</c:v>
                </c:pt>
                <c:pt idx="10391">
                  <c:v>263.036155</c:v>
                </c:pt>
                <c:pt idx="10392">
                  <c:v>265.20863999999995</c:v>
                </c:pt>
                <c:pt idx="10393">
                  <c:v>267.3924850000001</c:v>
                </c:pt>
                <c:pt idx="10394">
                  <c:v>269.58772</c:v>
                </c:pt>
                <c:pt idx="10395">
                  <c:v>271.79437500000006</c:v>
                </c:pt>
                <c:pt idx="10396">
                  <c:v>274.01248</c:v>
                </c:pt>
                <c:pt idx="10397">
                  <c:v>276.2420650000001</c:v>
                </c:pt>
                <c:pt idx="10398">
                  <c:v>278.48316000000005</c:v>
                </c:pt>
                <c:pt idx="10399">
                  <c:v>280.7357950000001</c:v>
                </c:pt>
                <c:pt idx="10400">
                  <c:v>283.0</c:v>
                </c:pt>
                <c:pt idx="10401">
                  <c:v>285.27580499999993</c:v>
                </c:pt>
                <c:pt idx="10402">
                  <c:v>287.5632399999999</c:v>
                </c:pt>
                <c:pt idx="10403">
                  <c:v>289.86233500000003</c:v>
                </c:pt>
                <c:pt idx="10404">
                  <c:v>292.17312000000004</c:v>
                </c:pt>
                <c:pt idx="10405">
                  <c:v>294.4956249999999</c:v>
                </c:pt>
                <c:pt idx="10406">
                  <c:v>296.8298799999999</c:v>
                </c:pt>
                <c:pt idx="10407">
                  <c:v>299.1759150000001</c:v>
                </c:pt>
                <c:pt idx="10408">
                  <c:v>301.5337600000001</c:v>
                </c:pt>
                <c:pt idx="10409">
                  <c:v>303.9034449999999</c:v>
                </c:pt>
                <c:pt idx="10410">
                  <c:v>306.2849999999999</c:v>
                </c:pt>
                <c:pt idx="10411">
                  <c:v>308.67845500000004</c:v>
                </c:pt>
                <c:pt idx="10412">
                  <c:v>311.08384</c:v>
                </c:pt>
                <c:pt idx="10413">
                  <c:v>313.50118499999996</c:v>
                </c:pt>
                <c:pt idx="10414">
                  <c:v>315.93051999999994</c:v>
                </c:pt>
                <c:pt idx="10415">
                  <c:v>318.3718750000001</c:v>
                </c:pt>
                <c:pt idx="10416">
                  <c:v>320.8252800000001</c:v>
                </c:pt>
                <c:pt idx="10417">
                  <c:v>323.29076499999996</c:v>
                </c:pt>
                <c:pt idx="10418">
                  <c:v>325.76836</c:v>
                </c:pt>
                <c:pt idx="10419">
                  <c:v>328.2580950000001</c:v>
                </c:pt>
                <c:pt idx="10420">
                  <c:v>330.7600000000001</c:v>
                </c:pt>
                <c:pt idx="10421">
                  <c:v>333.274105</c:v>
                </c:pt>
                <c:pt idx="10422">
                  <c:v>335.8004399999999</c:v>
                </c:pt>
                <c:pt idx="10423">
                  <c:v>338.33903500000014</c:v>
                </c:pt>
                <c:pt idx="10424">
                  <c:v>340.8899200000001</c:v>
                </c:pt>
                <c:pt idx="10425">
                  <c:v>343.453125</c:v>
                </c:pt>
                <c:pt idx="10426">
                  <c:v>346.0286799999999</c:v>
                </c:pt>
                <c:pt idx="10427">
                  <c:v>348.61661499999985</c:v>
                </c:pt>
                <c:pt idx="10428">
                  <c:v>351.21696000000003</c:v>
                </c:pt>
                <c:pt idx="10429">
                  <c:v>353.82974500000006</c:v>
                </c:pt>
                <c:pt idx="10430">
                  <c:v>356.4549999999999</c:v>
                </c:pt>
                <c:pt idx="10431">
                  <c:v>359.09275499999995</c:v>
                </c:pt>
                <c:pt idx="10432">
                  <c:v>361.74304000000006</c:v>
                </c:pt>
                <c:pt idx="10433">
                  <c:v>364.405885</c:v>
                </c:pt>
                <c:pt idx="10434">
                  <c:v>367.0813199999999</c:v>
                </c:pt>
                <c:pt idx="10435">
                  <c:v>369.7693749999999</c:v>
                </c:pt>
                <c:pt idx="10436">
                  <c:v>372.47008000000005</c:v>
                </c:pt>
                <c:pt idx="10437">
                  <c:v>375.18346500000007</c:v>
                </c:pt>
                <c:pt idx="10438">
                  <c:v>377.90955999999994</c:v>
                </c:pt>
                <c:pt idx="10439">
                  <c:v>380.64839499999994</c:v>
                </c:pt>
                <c:pt idx="10440">
                  <c:v>383.4000000000001</c:v>
                </c:pt>
                <c:pt idx="10441">
                  <c:v>386.16440500000004</c:v>
                </c:pt>
                <c:pt idx="10442">
                  <c:v>388.94164</c:v>
                </c:pt>
                <c:pt idx="10443">
                  <c:v>391.73173499999996</c:v>
                </c:pt>
                <c:pt idx="10444">
                  <c:v>394.53472000000005</c:v>
                </c:pt>
                <c:pt idx="10445">
                  <c:v>397.35062500000004</c:v>
                </c:pt>
                <c:pt idx="10446">
                  <c:v>400.17948</c:v>
                </c:pt>
                <c:pt idx="10447">
                  <c:v>403.02131499999996</c:v>
                </c:pt>
                <c:pt idx="10448">
                  <c:v>405.8761600000001</c:v>
                </c:pt>
                <c:pt idx="10449">
                  <c:v>408.74404500000014</c:v>
                </c:pt>
                <c:pt idx="10450">
                  <c:v>411.625</c:v>
                </c:pt>
                <c:pt idx="10451">
                  <c:v>414.51905499999987</c:v>
                </c:pt>
                <c:pt idx="10452">
                  <c:v>417.4262399999999</c:v>
                </c:pt>
                <c:pt idx="10453">
                  <c:v>420.346585</c:v>
                </c:pt>
                <c:pt idx="10454">
                  <c:v>423.28012</c:v>
                </c:pt>
                <c:pt idx="10455">
                  <c:v>426.22687499999995</c:v>
                </c:pt>
                <c:pt idx="10456">
                  <c:v>429.18687999999986</c:v>
                </c:pt>
                <c:pt idx="10457">
                  <c:v>432.16016500000006</c:v>
                </c:pt>
                <c:pt idx="10458">
                  <c:v>435.14676</c:v>
                </c:pt>
                <c:pt idx="10459">
                  <c:v>438.14669499999997</c:v>
                </c:pt>
                <c:pt idx="10460">
                  <c:v>441.15999999999997</c:v>
                </c:pt>
                <c:pt idx="10461">
                  <c:v>444.1867050000001</c:v>
                </c:pt>
                <c:pt idx="10462">
                  <c:v>447.22684000000004</c:v>
                </c:pt>
                <c:pt idx="10463">
                  <c:v>450.2804349999999</c:v>
                </c:pt>
                <c:pt idx="10464">
                  <c:v>453.3475199999999</c:v>
                </c:pt>
                <c:pt idx="10465">
                  <c:v>456.4281250000001</c:v>
                </c:pt>
                <c:pt idx="10466">
                  <c:v>459.5222800000001</c:v>
                </c:pt>
                <c:pt idx="10467">
                  <c:v>462.63001499999996</c:v>
                </c:pt>
                <c:pt idx="10468">
                  <c:v>465.7513599999999</c:v>
                </c:pt>
                <c:pt idx="10469">
                  <c:v>468.88634500000006</c:v>
                </c:pt>
                <c:pt idx="10470">
                  <c:v>472.035</c:v>
                </c:pt>
                <c:pt idx="10471">
                  <c:v>475.197355</c:v>
                </c:pt>
                <c:pt idx="10472">
                  <c:v>478.37343999999996</c:v>
                </c:pt>
                <c:pt idx="10473">
                  <c:v>481.5632850000001</c:v>
                </c:pt>
                <c:pt idx="10474">
                  <c:v>484.76692000000014</c:v>
                </c:pt>
                <c:pt idx="10475">
                  <c:v>487.984375</c:v>
                </c:pt>
                <c:pt idx="10476">
                  <c:v>491.2156799999999</c:v>
                </c:pt>
                <c:pt idx="10477">
                  <c:v>494.46086499999984</c:v>
                </c:pt>
                <c:pt idx="10478">
                  <c:v>497.71996</c:v>
                </c:pt>
                <c:pt idx="10479">
                  <c:v>500.99299500000006</c:v>
                </c:pt>
                <c:pt idx="10480">
                  <c:v>504.28</c:v>
                </c:pt>
                <c:pt idx="10481">
                  <c:v>507.5810049999999</c:v>
                </c:pt>
                <c:pt idx="10482">
                  <c:v>510.8960400000002</c:v>
                </c:pt>
                <c:pt idx="10483">
                  <c:v>514.2251350000001</c:v>
                </c:pt>
                <c:pt idx="10484">
                  <c:v>517.56832</c:v>
                </c:pt>
                <c:pt idx="10485">
                  <c:v>520.9256249999999</c:v>
                </c:pt>
                <c:pt idx="10486">
                  <c:v>524.2970800000002</c:v>
                </c:pt>
                <c:pt idx="10487">
                  <c:v>527.682715</c:v>
                </c:pt>
                <c:pt idx="10488">
                  <c:v>531.08256</c:v>
                </c:pt>
                <c:pt idx="10489">
                  <c:v>534.4966449999998</c:v>
                </c:pt>
                <c:pt idx="10490">
                  <c:v>537.9250000000002</c:v>
                </c:pt>
                <c:pt idx="10491">
                  <c:v>541.3676550000001</c:v>
                </c:pt>
                <c:pt idx="10492">
                  <c:v>544.8246399999999</c:v>
                </c:pt>
                <c:pt idx="10493">
                  <c:v>548.295985</c:v>
                </c:pt>
                <c:pt idx="10494">
                  <c:v>551.7817200000002</c:v>
                </c:pt>
                <c:pt idx="10495">
                  <c:v>555.2818750000001</c:v>
                </c:pt>
                <c:pt idx="10496">
                  <c:v>558.79648</c:v>
                </c:pt>
                <c:pt idx="10497">
                  <c:v>562.3255649999999</c:v>
                </c:pt>
                <c:pt idx="10498">
                  <c:v>565.8691600000002</c:v>
                </c:pt>
                <c:pt idx="10499">
                  <c:v>569.4272950000001</c:v>
                </c:pt>
                <c:pt idx="10500">
                  <c:v>573.0</c:v>
                </c:pt>
                <c:pt idx="10501">
                  <c:v>576.5873049999999</c:v>
                </c:pt>
                <c:pt idx="10502">
                  <c:v>580.1892399999998</c:v>
                </c:pt>
                <c:pt idx="10503">
                  <c:v>583.8058350000001</c:v>
                </c:pt>
                <c:pt idx="10504">
                  <c:v>587.4371199999999</c:v>
                </c:pt>
                <c:pt idx="10505">
                  <c:v>591.0831249999999</c:v>
                </c:pt>
                <c:pt idx="10506">
                  <c:v>594.7438799999999</c:v>
                </c:pt>
                <c:pt idx="10507">
                  <c:v>598.4194150000001</c:v>
                </c:pt>
                <c:pt idx="10508">
                  <c:v>602.1097600000002</c:v>
                </c:pt>
                <c:pt idx="10509">
                  <c:v>605.8149449999999</c:v>
                </c:pt>
                <c:pt idx="10510">
                  <c:v>609.5349999999999</c:v>
                </c:pt>
                <c:pt idx="10511">
                  <c:v>613.2699550000002</c:v>
                </c:pt>
                <c:pt idx="10512">
                  <c:v>617.0198400000002</c:v>
                </c:pt>
                <c:pt idx="10513">
                  <c:v>620.7846850000001</c:v>
                </c:pt>
                <c:pt idx="10514">
                  <c:v>624.5645199999998</c:v>
                </c:pt>
                <c:pt idx="10515">
                  <c:v>628.3593750000003</c:v>
                </c:pt>
                <c:pt idx="10516">
                  <c:v>632.1692800000001</c:v>
                </c:pt>
                <c:pt idx="10517">
                  <c:v>635.9942649999999</c:v>
                </c:pt>
                <c:pt idx="10518">
                  <c:v>639.8343599999998</c:v>
                </c:pt>
                <c:pt idx="10519">
                  <c:v>643.6895950000002</c:v>
                </c:pt>
                <c:pt idx="10520">
                  <c:v>647.56</c:v>
                </c:pt>
                <c:pt idx="10521">
                  <c:v>651.445605</c:v>
                </c:pt>
                <c:pt idx="10522">
                  <c:v>655.3464399999998</c:v>
                </c:pt>
                <c:pt idx="10523">
                  <c:v>659.2625350000003</c:v>
                </c:pt>
                <c:pt idx="10524">
                  <c:v>663.19392</c:v>
                </c:pt>
                <c:pt idx="10525">
                  <c:v>667.140625</c:v>
                </c:pt>
                <c:pt idx="10526">
                  <c:v>671.1026799999999</c:v>
                </c:pt>
                <c:pt idx="10527">
                  <c:v>675.0801149999998</c:v>
                </c:pt>
                <c:pt idx="10528">
                  <c:v>679.0729600000001</c:v>
                </c:pt>
                <c:pt idx="10529">
                  <c:v>683.081245</c:v>
                </c:pt>
                <c:pt idx="10530">
                  <c:v>687.1049999999999</c:v>
                </c:pt>
                <c:pt idx="10531">
                  <c:v>691.1442549999998</c:v>
                </c:pt>
                <c:pt idx="10532">
                  <c:v>695.1990400000003</c:v>
                </c:pt>
                <c:pt idx="10533">
                  <c:v>699.269385</c:v>
                </c:pt>
                <c:pt idx="10534">
                  <c:v>703.35532</c:v>
                </c:pt>
                <c:pt idx="10535">
                  <c:v>707.4568749999997</c:v>
                </c:pt>
                <c:pt idx="10536">
                  <c:v>711.5740800000002</c:v>
                </c:pt>
                <c:pt idx="10537">
                  <c:v>715.706965</c:v>
                </c:pt>
                <c:pt idx="10538">
                  <c:v>719.85556</c:v>
                </c:pt>
                <c:pt idx="10539">
                  <c:v>724.0198949999999</c:v>
                </c:pt>
                <c:pt idx="10540">
                  <c:v>728.2000000000002</c:v>
                </c:pt>
                <c:pt idx="10541">
                  <c:v>732.3959050000001</c:v>
                </c:pt>
                <c:pt idx="10542">
                  <c:v>736.6076400000001</c:v>
                </c:pt>
                <c:pt idx="10543">
                  <c:v>740.8352349999998</c:v>
                </c:pt>
                <c:pt idx="10544">
                  <c:v>745.0787200000002</c:v>
                </c:pt>
                <c:pt idx="10545">
                  <c:v>749.3381250000002</c:v>
                </c:pt>
                <c:pt idx="10546">
                  <c:v>753.61348</c:v>
                </c:pt>
                <c:pt idx="10547">
                  <c:v>757.9048149999999</c:v>
                </c:pt>
                <c:pt idx="10548">
                  <c:v>762.2121600000003</c:v>
                </c:pt>
                <c:pt idx="10549">
                  <c:v>766.5355450000001</c:v>
                </c:pt>
                <c:pt idx="10550">
                  <c:v>770.875</c:v>
                </c:pt>
                <c:pt idx="10551">
                  <c:v>775.2305549999999</c:v>
                </c:pt>
                <c:pt idx="10552">
                  <c:v>779.6022399999998</c:v>
                </c:pt>
                <c:pt idx="10553">
                  <c:v>783.9900850000001</c:v>
                </c:pt>
                <c:pt idx="10554">
                  <c:v>788.39412</c:v>
                </c:pt>
                <c:pt idx="10555">
                  <c:v>792.8143749999998</c:v>
                </c:pt>
                <c:pt idx="10556">
                  <c:v>797.2508799999998</c:v>
                </c:pt>
                <c:pt idx="10557">
                  <c:v>801.7036650000002</c:v>
                </c:pt>
                <c:pt idx="10558">
                  <c:v>806.1727600000002</c:v>
                </c:pt>
                <c:pt idx="10559">
                  <c:v>810.6581949999999</c:v>
                </c:pt>
                <c:pt idx="10560">
                  <c:v>815.1599999999997</c:v>
                </c:pt>
                <c:pt idx="10561">
                  <c:v>819.6782050000002</c:v>
                </c:pt>
                <c:pt idx="10562">
                  <c:v>824.21284</c:v>
                </c:pt>
                <c:pt idx="10563">
                  <c:v>828.7639349999998</c:v>
                </c:pt>
                <c:pt idx="10564">
                  <c:v>833.33152</c:v>
                </c:pt>
                <c:pt idx="10565">
                  <c:v>837.9156250000001</c:v>
                </c:pt>
                <c:pt idx="10566">
                  <c:v>842.5162800000002</c:v>
                </c:pt>
                <c:pt idx="10567">
                  <c:v>847.133515</c:v>
                </c:pt>
                <c:pt idx="10568">
                  <c:v>851.7673599999997</c:v>
                </c:pt>
                <c:pt idx="10569">
                  <c:v>856.4178450000002</c:v>
                </c:pt>
                <c:pt idx="10570">
                  <c:v>861.085</c:v>
                </c:pt>
                <c:pt idx="10571">
                  <c:v>865.7688549999999</c:v>
                </c:pt>
                <c:pt idx="10572">
                  <c:v>870.4694399999998</c:v>
                </c:pt>
                <c:pt idx="10573">
                  <c:v>875.1867850000002</c:v>
                </c:pt>
                <c:pt idx="10574">
                  <c:v>879.9209200000001</c:v>
                </c:pt>
                <c:pt idx="10575">
                  <c:v>884.671875</c:v>
                </c:pt>
                <c:pt idx="10576">
                  <c:v>889.43968</c:v>
                </c:pt>
                <c:pt idx="10577">
                  <c:v>894.2243649999998</c:v>
                </c:pt>
                <c:pt idx="10578">
                  <c:v>899.02596</c:v>
                </c:pt>
                <c:pt idx="10579">
                  <c:v>903.8444950000002</c:v>
                </c:pt>
                <c:pt idx="10580">
                  <c:v>908.68</c:v>
                </c:pt>
                <c:pt idx="10581">
                  <c:v>913.5325049999998</c:v>
                </c:pt>
                <c:pt idx="10582">
                  <c:v>918.4020400000002</c:v>
                </c:pt>
                <c:pt idx="10583">
                  <c:v>923.2886350000001</c:v>
                </c:pt>
                <c:pt idx="10584">
                  <c:v>928.1923199999999</c:v>
                </c:pt>
                <c:pt idx="10585">
                  <c:v>933.1131249999996</c:v>
                </c:pt>
                <c:pt idx="10586">
                  <c:v>938.0510800000001</c:v>
                </c:pt>
                <c:pt idx="10587">
                  <c:v>943.0062150000001</c:v>
                </c:pt>
                <c:pt idx="10588">
                  <c:v>947.9785599999999</c:v>
                </c:pt>
                <c:pt idx="10589">
                  <c:v>952.9681449999998</c:v>
                </c:pt>
                <c:pt idx="10590">
                  <c:v>957.9750000000003</c:v>
                </c:pt>
                <c:pt idx="10591">
                  <c:v>962.9991550000002</c:v>
                </c:pt>
                <c:pt idx="10592">
                  <c:v>968.0406399999998</c:v>
                </c:pt>
                <c:pt idx="10593">
                  <c:v>973.099485</c:v>
                </c:pt>
                <c:pt idx="10594">
                  <c:v>978.1757200000003</c:v>
                </c:pt>
                <c:pt idx="10595">
                  <c:v>983.269375</c:v>
                </c:pt>
                <c:pt idx="10596">
                  <c:v>988.38048</c:v>
                </c:pt>
                <c:pt idx="10597">
                  <c:v>993.5090649999999</c:v>
                </c:pt>
                <c:pt idx="10598">
                  <c:v>998.6551600000003</c:v>
                </c:pt>
                <c:pt idx="10599">
                  <c:v>1003.818795</c:v>
                </c:pt>
                <c:pt idx="10600">
                  <c:v>1009.0</c:v>
                </c:pt>
                <c:pt idx="10601">
                  <c:v>1014.198805</c:v>
                </c:pt>
                <c:pt idx="10602">
                  <c:v>1019.4152399999996</c:v>
                </c:pt>
                <c:pt idx="10603">
                  <c:v>1024.649335</c:v>
                </c:pt>
                <c:pt idx="10604">
                  <c:v>1029.90112</c:v>
                </c:pt>
                <c:pt idx="10605">
                  <c:v>1035.1706250000002</c:v>
                </c:pt>
                <c:pt idx="10606">
                  <c:v>1040.4578799999997</c:v>
                </c:pt>
                <c:pt idx="10607">
                  <c:v>1045.762915</c:v>
                </c:pt>
                <c:pt idx="10608">
                  <c:v>1051.0857600000002</c:v>
                </c:pt>
                <c:pt idx="10609">
                  <c:v>1056.426445</c:v>
                </c:pt>
                <c:pt idx="10610">
                  <c:v>1061.7849999999996</c:v>
                </c:pt>
                <c:pt idx="10611">
                  <c:v>1067.1614550000002</c:v>
                </c:pt>
                <c:pt idx="10612">
                  <c:v>1072.55584</c:v>
                </c:pt>
                <c:pt idx="10613">
                  <c:v>1077.968185</c:v>
                </c:pt>
                <c:pt idx="10614">
                  <c:v>1083.3985199999997</c:v>
                </c:pt>
                <c:pt idx="10615">
                  <c:v>1088.8468750000004</c:v>
                </c:pt>
                <c:pt idx="10616">
                  <c:v>1094.31328</c:v>
                </c:pt>
                <c:pt idx="10617">
                  <c:v>1099.797765</c:v>
                </c:pt>
                <c:pt idx="10618">
                  <c:v>1105.3003599999997</c:v>
                </c:pt>
                <c:pt idx="10619">
                  <c:v>1110.8210950000002</c:v>
                </c:pt>
                <c:pt idx="10620">
                  <c:v>1116.36</c:v>
                </c:pt>
                <c:pt idx="10621">
                  <c:v>1121.917105</c:v>
                </c:pt>
                <c:pt idx="10622">
                  <c:v>1127.49244</c:v>
                </c:pt>
                <c:pt idx="10623">
                  <c:v>1133.0860350000003</c:v>
                </c:pt>
                <c:pt idx="10624">
                  <c:v>1138.69792</c:v>
                </c:pt>
                <c:pt idx="10625">
                  <c:v>1144.328125</c:v>
                </c:pt>
                <c:pt idx="10626">
                  <c:v>1149.97668</c:v>
                </c:pt>
                <c:pt idx="10627">
                  <c:v>1155.6436149999997</c:v>
                </c:pt>
                <c:pt idx="10628">
                  <c:v>1161.32896</c:v>
                </c:pt>
                <c:pt idx="10629">
                  <c:v>1167.0327449999997</c:v>
                </c:pt>
                <c:pt idx="10630">
                  <c:v>1172.755</c:v>
                </c:pt>
                <c:pt idx="10631">
                  <c:v>1178.495755</c:v>
                </c:pt>
                <c:pt idx="10632">
                  <c:v>1184.2550400000002</c:v>
                </c:pt>
                <c:pt idx="10633">
                  <c:v>1190.032885</c:v>
                </c:pt>
                <c:pt idx="10634">
                  <c:v>1195.8293199999998</c:v>
                </c:pt>
                <c:pt idx="10635">
                  <c:v>1201.6443749999999</c:v>
                </c:pt>
                <c:pt idx="10636">
                  <c:v>1207.47808</c:v>
                </c:pt>
                <c:pt idx="10637">
                  <c:v>1213.3304649999998</c:v>
                </c:pt>
                <c:pt idx="10638">
                  <c:v>1219.2015600000002</c:v>
                </c:pt>
                <c:pt idx="10639">
                  <c:v>1225.091395</c:v>
                </c:pt>
                <c:pt idx="10640">
                  <c:v>1231.0000000000002</c:v>
                </c:pt>
                <c:pt idx="10641">
                  <c:v>1236.9274050000001</c:v>
                </c:pt>
                <c:pt idx="10642">
                  <c:v>1242.87364</c:v>
                </c:pt>
                <c:pt idx="10643">
                  <c:v>1248.8387349999998</c:v>
                </c:pt>
                <c:pt idx="10644">
                  <c:v>1254.8227200000003</c:v>
                </c:pt>
                <c:pt idx="10645">
                  <c:v>1260.8256250000002</c:v>
                </c:pt>
                <c:pt idx="10646">
                  <c:v>1266.8474800000001</c:v>
                </c:pt>
                <c:pt idx="10647">
                  <c:v>1272.888315</c:v>
                </c:pt>
                <c:pt idx="10648">
                  <c:v>1278.9481600000001</c:v>
                </c:pt>
                <c:pt idx="10649">
                  <c:v>1285.0270450000003</c:v>
                </c:pt>
                <c:pt idx="10650">
                  <c:v>1291.125</c:v>
                </c:pt>
                <c:pt idx="10651">
                  <c:v>1297.2420549999997</c:v>
                </c:pt>
                <c:pt idx="10652">
                  <c:v>1303.3782399999996</c:v>
                </c:pt>
                <c:pt idx="10653">
                  <c:v>1309.5335850000001</c:v>
                </c:pt>
                <c:pt idx="10654">
                  <c:v>1315.7081199999998</c:v>
                </c:pt>
                <c:pt idx="10655">
                  <c:v>1321.901875</c:v>
                </c:pt>
                <c:pt idx="10656">
                  <c:v>1328.1148799999999</c:v>
                </c:pt>
                <c:pt idx="10657">
                  <c:v>1334.3471650000004</c:v>
                </c:pt>
                <c:pt idx="10658">
                  <c:v>1340.59876</c:v>
                </c:pt>
                <c:pt idx="10659">
                  <c:v>1346.8696949999999</c:v>
                </c:pt>
                <c:pt idx="10660">
                  <c:v>1353.16</c:v>
                </c:pt>
                <c:pt idx="10661">
                  <c:v>1359.4697050000002</c:v>
                </c:pt>
                <c:pt idx="10662">
                  <c:v>1365.79884</c:v>
                </c:pt>
                <c:pt idx="10663">
                  <c:v>1372.1474349999999</c:v>
                </c:pt>
                <c:pt idx="10664">
                  <c:v>1378.51552</c:v>
                </c:pt>
                <c:pt idx="10665">
                  <c:v>1384.9031250000003</c:v>
                </c:pt>
                <c:pt idx="10666">
                  <c:v>1391.3102800000001</c:v>
                </c:pt>
                <c:pt idx="10667">
                  <c:v>1397.737015</c:v>
                </c:pt>
                <c:pt idx="10668">
                  <c:v>1404.1833599999998</c:v>
                </c:pt>
                <c:pt idx="10669">
                  <c:v>1410.6493450000005</c:v>
                </c:pt>
                <c:pt idx="10670">
                  <c:v>1417.135</c:v>
                </c:pt>
                <c:pt idx="10671">
                  <c:v>1423.6403550000002</c:v>
                </c:pt>
                <c:pt idx="10672">
                  <c:v>1430.1654399999998</c:v>
                </c:pt>
                <c:pt idx="10673">
                  <c:v>1436.7102850000003</c:v>
                </c:pt>
                <c:pt idx="10674">
                  <c:v>1443.27492</c:v>
                </c:pt>
                <c:pt idx="10675">
                  <c:v>1449.859375</c:v>
                </c:pt>
                <c:pt idx="10676">
                  <c:v>1456.46368</c:v>
                </c:pt>
                <c:pt idx="10677">
                  <c:v>1463.0878649999995</c:v>
                </c:pt>
                <c:pt idx="10678">
                  <c:v>1469.7319600000003</c:v>
                </c:pt>
                <c:pt idx="10679">
                  <c:v>1476.3959949999999</c:v>
                </c:pt>
                <c:pt idx="10680">
                  <c:v>1483.08</c:v>
                </c:pt>
                <c:pt idx="10681">
                  <c:v>1489.7840049999998</c:v>
                </c:pt>
                <c:pt idx="10682">
                  <c:v>1496.5080400000004</c:v>
                </c:pt>
                <c:pt idx="10683">
                  <c:v>1503.252135</c:v>
                </c:pt>
                <c:pt idx="10684">
                  <c:v>1510.0163199999997</c:v>
                </c:pt>
                <c:pt idx="10685">
                  <c:v>1516.8006249999996</c:v>
                </c:pt>
                <c:pt idx="10686">
                  <c:v>1523.60508</c:v>
                </c:pt>
                <c:pt idx="10687">
                  <c:v>1530.4297149999998</c:v>
                </c:pt>
                <c:pt idx="10688">
                  <c:v>1537.27456</c:v>
                </c:pt>
                <c:pt idx="10689">
                  <c:v>1544.1396449999997</c:v>
                </c:pt>
                <c:pt idx="10690">
                  <c:v>1551.0250000000003</c:v>
                </c:pt>
                <c:pt idx="10691">
                  <c:v>1557.930655</c:v>
                </c:pt>
                <c:pt idx="10692">
                  <c:v>1564.85664</c:v>
                </c:pt>
                <c:pt idx="10693">
                  <c:v>1571.8029849999998</c:v>
                </c:pt>
                <c:pt idx="10694">
                  <c:v>1578.7697200000002</c:v>
                </c:pt>
                <c:pt idx="10695">
                  <c:v>1585.756875</c:v>
                </c:pt>
                <c:pt idx="10696">
                  <c:v>1592.76448</c:v>
                </c:pt>
                <c:pt idx="10697">
                  <c:v>1599.7925649999997</c:v>
                </c:pt>
                <c:pt idx="10698">
                  <c:v>1606.8411600000004</c:v>
                </c:pt>
                <c:pt idx="10699">
                  <c:v>1613.9102950000001</c:v>
                </c:pt>
                <c:pt idx="10700">
                  <c:v>1621.0</c:v>
                </c:pt>
                <c:pt idx="10701">
                  <c:v>1628.1103049999997</c:v>
                </c:pt>
                <c:pt idx="10702">
                  <c:v>1635.2412399999996</c:v>
                </c:pt>
                <c:pt idx="10703">
                  <c:v>1642.392835</c:v>
                </c:pt>
                <c:pt idx="10704">
                  <c:v>1649.5651199999998</c:v>
                </c:pt>
                <c:pt idx="10705">
                  <c:v>1656.758125</c:v>
                </c:pt>
                <c:pt idx="10706">
                  <c:v>1663.9718799999998</c:v>
                </c:pt>
                <c:pt idx="10707">
                  <c:v>1671.206415</c:v>
                </c:pt>
                <c:pt idx="10708">
                  <c:v>1678.4617600000001</c:v>
                </c:pt>
                <c:pt idx="10709">
                  <c:v>1685.7379449999999</c:v>
                </c:pt>
                <c:pt idx="10710">
                  <c:v>1693.0349999999999</c:v>
                </c:pt>
                <c:pt idx="10711">
                  <c:v>1700.3529550000003</c:v>
                </c:pt>
                <c:pt idx="10712">
                  <c:v>1707.6918400000002</c:v>
                </c:pt>
                <c:pt idx="10713">
                  <c:v>1715.051685</c:v>
                </c:pt>
                <c:pt idx="10714">
                  <c:v>1722.4325199999998</c:v>
                </c:pt>
                <c:pt idx="10715">
                  <c:v>1729.8343750000001</c:v>
                </c:pt>
                <c:pt idx="10716">
                  <c:v>1737.2572800000003</c:v>
                </c:pt>
                <c:pt idx="10717">
                  <c:v>1744.701265</c:v>
                </c:pt>
                <c:pt idx="10718">
                  <c:v>1752.1663599999997</c:v>
                </c:pt>
                <c:pt idx="10719">
                  <c:v>1759.652595</c:v>
                </c:pt>
                <c:pt idx="10720">
                  <c:v>1767.16</c:v>
                </c:pt>
                <c:pt idx="10721">
                  <c:v>1774.688605</c:v>
                </c:pt>
                <c:pt idx="10722">
                  <c:v>1782.2384399999999</c:v>
                </c:pt>
                <c:pt idx="10723">
                  <c:v>1789.809535</c:v>
                </c:pt>
                <c:pt idx="10724">
                  <c:v>1797.4019200000002</c:v>
                </c:pt>
                <c:pt idx="10725">
                  <c:v>1805.015625</c:v>
                </c:pt>
                <c:pt idx="10726">
                  <c:v>1812.65068</c:v>
                </c:pt>
                <c:pt idx="10727">
                  <c:v>1820.3071149999998</c:v>
                </c:pt>
                <c:pt idx="10728">
                  <c:v>1827.98496</c:v>
                </c:pt>
                <c:pt idx="10729">
                  <c:v>1835.6842450000001</c:v>
                </c:pt>
                <c:pt idx="10730">
                  <c:v>1843.4050000000002</c:v>
                </c:pt>
                <c:pt idx="10731">
                  <c:v>1851.1472549999996</c:v>
                </c:pt>
                <c:pt idx="10732">
                  <c:v>1858.9110400000002</c:v>
                </c:pt>
                <c:pt idx="10733">
                  <c:v>1866.696385</c:v>
                </c:pt>
                <c:pt idx="10734">
                  <c:v>1874.5033199999998</c:v>
                </c:pt>
                <c:pt idx="10735">
                  <c:v>1882.3318749999996</c:v>
                </c:pt>
                <c:pt idx="10736">
                  <c:v>1890.18208</c:v>
                </c:pt>
                <c:pt idx="10737">
                  <c:v>1898.0539649999998</c:v>
                </c:pt>
                <c:pt idx="10738">
                  <c:v>1905.94756</c:v>
                </c:pt>
                <c:pt idx="10739">
                  <c:v>1913.8628949999998</c:v>
                </c:pt>
                <c:pt idx="10740">
                  <c:v>1921.8000000000004</c:v>
                </c:pt>
                <c:pt idx="10741">
                  <c:v>1929.7589050000001</c:v>
                </c:pt>
                <c:pt idx="10742">
                  <c:v>1937.73964</c:v>
                </c:pt>
                <c:pt idx="10743">
                  <c:v>1945.7422349999997</c:v>
                </c:pt>
                <c:pt idx="10744">
                  <c:v>1953.76672</c:v>
                </c:pt>
                <c:pt idx="10745">
                  <c:v>1961.8131249999997</c:v>
                </c:pt>
                <c:pt idx="10746">
                  <c:v>1969.8814800000002</c:v>
                </c:pt>
                <c:pt idx="10747">
                  <c:v>1977.9718149999997</c:v>
                </c:pt>
                <c:pt idx="10748">
                  <c:v>1986.0841600000006</c:v>
                </c:pt>
                <c:pt idx="10749">
                  <c:v>1994.2185450000002</c:v>
                </c:pt>
                <c:pt idx="10750">
                  <c:v>2002.375</c:v>
                </c:pt>
                <c:pt idx="10751">
                  <c:v>2010.553555</c:v>
                </c:pt>
                <c:pt idx="10752">
                  <c:v>2018.7542399999995</c:v>
                </c:pt>
                <c:pt idx="10753">
                  <c:v>2026.9770849999998</c:v>
                </c:pt>
                <c:pt idx="10754">
                  <c:v>2035.22212</c:v>
                </c:pt>
                <c:pt idx="10755">
                  <c:v>2043.4893749999997</c:v>
                </c:pt>
                <c:pt idx="10756">
                  <c:v>2051.77888</c:v>
                </c:pt>
                <c:pt idx="10757">
                  <c:v>2060.090665</c:v>
                </c:pt>
                <c:pt idx="10758">
                  <c:v>2068.42476</c:v>
                </c:pt>
                <c:pt idx="10759">
                  <c:v>2076.781195</c:v>
                </c:pt>
                <c:pt idx="10760">
                  <c:v>2085.16</c:v>
                </c:pt>
                <c:pt idx="10761">
                  <c:v>2093.561205</c:v>
                </c:pt>
                <c:pt idx="10762">
                  <c:v>2101.98484</c:v>
                </c:pt>
                <c:pt idx="10763">
                  <c:v>2110.430935</c:v>
                </c:pt>
                <c:pt idx="10764">
                  <c:v>2118.89952</c:v>
                </c:pt>
                <c:pt idx="10765">
                  <c:v>2127.390625</c:v>
                </c:pt>
                <c:pt idx="10766">
                  <c:v>2135.90428</c:v>
                </c:pt>
                <c:pt idx="10767">
                  <c:v>2144.4405150000002</c:v>
                </c:pt>
                <c:pt idx="10768">
                  <c:v>2152.9993599999993</c:v>
                </c:pt>
                <c:pt idx="10769">
                  <c:v>2161.580845000001</c:v>
                </c:pt>
                <c:pt idx="10770">
                  <c:v>2170.185</c:v>
                </c:pt>
                <c:pt idx="10771">
                  <c:v>2178.8118550000004</c:v>
                </c:pt>
                <c:pt idx="10772">
                  <c:v>2187.4614399999996</c:v>
                </c:pt>
                <c:pt idx="10773">
                  <c:v>2196.1337850000004</c:v>
                </c:pt>
                <c:pt idx="10774">
                  <c:v>2204.82892</c:v>
                </c:pt>
                <c:pt idx="10775">
                  <c:v>2213.546875</c:v>
                </c:pt>
                <c:pt idx="10776">
                  <c:v>2222.2876800000004</c:v>
                </c:pt>
                <c:pt idx="10777">
                  <c:v>2231.0513649999994</c:v>
                </c:pt>
                <c:pt idx="10778">
                  <c:v>2239.8379600000007</c:v>
                </c:pt>
                <c:pt idx="10779">
                  <c:v>2248.647495</c:v>
                </c:pt>
                <c:pt idx="10780">
                  <c:v>2257.48</c:v>
                </c:pt>
                <c:pt idx="10781">
                  <c:v>2266.335504999999</c:v>
                </c:pt>
                <c:pt idx="10782">
                  <c:v>2275.2140400000003</c:v>
                </c:pt>
                <c:pt idx="10783">
                  <c:v>2284.115635</c:v>
                </c:pt>
                <c:pt idx="10784">
                  <c:v>2293.0403199999996</c:v>
                </c:pt>
                <c:pt idx="10785">
                  <c:v>2301.988125</c:v>
                </c:pt>
                <c:pt idx="10786">
                  <c:v>2310.95908</c:v>
                </c:pt>
                <c:pt idx="10787">
                  <c:v>2319.9532150000005</c:v>
                </c:pt>
                <c:pt idx="10788">
                  <c:v>2328.9705599999998</c:v>
                </c:pt>
                <c:pt idx="10789">
                  <c:v>2338.011145</c:v>
                </c:pt>
                <c:pt idx="10790">
                  <c:v>2347.075</c:v>
                </c:pt>
                <c:pt idx="10791">
                  <c:v>2356.1621550000004</c:v>
                </c:pt>
                <c:pt idx="10792">
                  <c:v>2365.27264</c:v>
                </c:pt>
                <c:pt idx="10793">
                  <c:v>2374.4064849999995</c:v>
                </c:pt>
                <c:pt idx="10794">
                  <c:v>2383.5637200000006</c:v>
                </c:pt>
                <c:pt idx="10795">
                  <c:v>2392.7443749999998</c:v>
                </c:pt>
                <c:pt idx="10796">
                  <c:v>2401.9484800000005</c:v>
                </c:pt>
                <c:pt idx="10797">
                  <c:v>2411.1760649999997</c:v>
                </c:pt>
                <c:pt idx="10798">
                  <c:v>2420.4271600000006</c:v>
                </c:pt>
                <c:pt idx="10799">
                  <c:v>2429.7017950000004</c:v>
                </c:pt>
                <c:pt idx="10800">
                  <c:v>2439.0</c:v>
                </c:pt>
                <c:pt idx="10801">
                  <c:v>2448.3218049999996</c:v>
                </c:pt>
                <c:pt idx="10802">
                  <c:v>2457.6672399999993</c:v>
                </c:pt>
                <c:pt idx="10803">
                  <c:v>2467.0363349999993</c:v>
                </c:pt>
                <c:pt idx="10804">
                  <c:v>2476.429119999999</c:v>
                </c:pt>
                <c:pt idx="10805">
                  <c:v>2485.845625000001</c:v>
                </c:pt>
                <c:pt idx="10806">
                  <c:v>2495.2858800000004</c:v>
                </c:pt>
                <c:pt idx="10807">
                  <c:v>2504.749915</c:v>
                </c:pt>
                <c:pt idx="10808">
                  <c:v>2514.23776</c:v>
                </c:pt>
                <c:pt idx="10809">
                  <c:v>2523.7494449999995</c:v>
                </c:pt>
                <c:pt idx="10810">
                  <c:v>2533.285</c:v>
                </c:pt>
                <c:pt idx="10811">
                  <c:v>2542.844455</c:v>
                </c:pt>
                <c:pt idx="10812">
                  <c:v>2552.427839999999</c:v>
                </c:pt>
                <c:pt idx="10813">
                  <c:v>2562.035185</c:v>
                </c:pt>
                <c:pt idx="10814">
                  <c:v>2571.6665200000007</c:v>
                </c:pt>
                <c:pt idx="10815">
                  <c:v>2581.321875</c:v>
                </c:pt>
                <c:pt idx="10816">
                  <c:v>2591.001280000001</c:v>
                </c:pt>
                <c:pt idx="10817">
                  <c:v>2600.7047650000004</c:v>
                </c:pt>
                <c:pt idx="10818">
                  <c:v>2610.4323599999993</c:v>
                </c:pt>
                <c:pt idx="10819">
                  <c:v>2620.1840949999996</c:v>
                </c:pt>
                <c:pt idx="10820">
                  <c:v>2629.959999999999</c:v>
                </c:pt>
                <c:pt idx="10821">
                  <c:v>2639.760105000001</c:v>
                </c:pt>
                <c:pt idx="10822">
                  <c:v>2649.58444</c:v>
                </c:pt>
                <c:pt idx="10823">
                  <c:v>2659.433035000001</c:v>
                </c:pt>
                <c:pt idx="10824">
                  <c:v>2669.30592</c:v>
                </c:pt>
                <c:pt idx="10825">
                  <c:v>2679.203125</c:v>
                </c:pt>
                <c:pt idx="10826">
                  <c:v>2689.1246800000004</c:v>
                </c:pt>
                <c:pt idx="10827">
                  <c:v>2699.070614999999</c:v>
                </c:pt>
                <c:pt idx="10828">
                  <c:v>2709.04096</c:v>
                </c:pt>
                <c:pt idx="10829">
                  <c:v>2719.035744999999</c:v>
                </c:pt>
                <c:pt idx="10830">
                  <c:v>2729.0550000000007</c:v>
                </c:pt>
                <c:pt idx="10831">
                  <c:v>2739.098755</c:v>
                </c:pt>
                <c:pt idx="10832">
                  <c:v>2749.1670400000003</c:v>
                </c:pt>
                <c:pt idx="10833">
                  <c:v>2759.259885</c:v>
                </c:pt>
                <c:pt idx="10834">
                  <c:v>2769.37732</c:v>
                </c:pt>
                <c:pt idx="10835">
                  <c:v>2779.519375</c:v>
                </c:pt>
                <c:pt idx="10836">
                  <c:v>2789.6860799999995</c:v>
                </c:pt>
                <c:pt idx="10837">
                  <c:v>2799.877464999999</c:v>
                </c:pt>
                <c:pt idx="10838">
                  <c:v>2810.0935600000007</c:v>
                </c:pt>
                <c:pt idx="10839">
                  <c:v>2820.3343950000008</c:v>
                </c:pt>
                <c:pt idx="10840">
                  <c:v>2830.6000000000004</c:v>
                </c:pt>
                <c:pt idx="10841">
                  <c:v>2840.890405</c:v>
                </c:pt>
                <c:pt idx="10842">
                  <c:v>2851.20564</c:v>
                </c:pt>
                <c:pt idx="10843">
                  <c:v>2861.5457349999997</c:v>
                </c:pt>
                <c:pt idx="10844">
                  <c:v>2871.9107199999994</c:v>
                </c:pt>
                <c:pt idx="10845">
                  <c:v>2882.300624999999</c:v>
                </c:pt>
                <c:pt idx="10846">
                  <c:v>2892.715480000001</c:v>
                </c:pt>
                <c:pt idx="10847">
                  <c:v>2903.1553150000004</c:v>
                </c:pt>
                <c:pt idx="10848">
                  <c:v>2913.6201600000004</c:v>
                </c:pt>
                <c:pt idx="10849">
                  <c:v>2924.1100450000004</c:v>
                </c:pt>
                <c:pt idx="10850">
                  <c:v>2934.625</c:v>
                </c:pt>
                <c:pt idx="10851">
                  <c:v>2945.165055</c:v>
                </c:pt>
                <c:pt idx="10852">
                  <c:v>2955.7302399999994</c:v>
                </c:pt>
                <c:pt idx="10853">
                  <c:v>2966.320585</c:v>
                </c:pt>
                <c:pt idx="10854">
                  <c:v>2976.936119999999</c:v>
                </c:pt>
                <c:pt idx="10855">
                  <c:v>2987.576875000001</c:v>
                </c:pt>
                <c:pt idx="10856">
                  <c:v>2998.2428800000002</c:v>
                </c:pt>
                <c:pt idx="10857">
                  <c:v>3008.9341650000006</c:v>
                </c:pt>
                <c:pt idx="10858">
                  <c:v>3019.6507600000004</c:v>
                </c:pt>
                <c:pt idx="10859">
                  <c:v>3030.392695</c:v>
                </c:pt>
                <c:pt idx="10860">
                  <c:v>3041.16</c:v>
                </c:pt>
                <c:pt idx="10861">
                  <c:v>3051.9527049999992</c:v>
                </c:pt>
                <c:pt idx="10862">
                  <c:v>3062.7708399999997</c:v>
                </c:pt>
                <c:pt idx="10863">
                  <c:v>3073.614435000001</c:v>
                </c:pt>
                <c:pt idx="10864">
                  <c:v>3084.4835200000007</c:v>
                </c:pt>
                <c:pt idx="10865">
                  <c:v>3095.378125</c:v>
                </c:pt>
                <c:pt idx="10866">
                  <c:v>3106.29828</c:v>
                </c:pt>
                <c:pt idx="10867">
                  <c:v>3117.244015</c:v>
                </c:pt>
                <c:pt idx="10868">
                  <c:v>3128.2153599999992</c:v>
                </c:pt>
                <c:pt idx="10869">
                  <c:v>3139.2123449999995</c:v>
                </c:pt>
                <c:pt idx="10870">
                  <c:v>3150.2349999999988</c:v>
                </c:pt>
                <c:pt idx="10871">
                  <c:v>3161.283355000001</c:v>
                </c:pt>
                <c:pt idx="10872">
                  <c:v>3172.3574400000007</c:v>
                </c:pt>
                <c:pt idx="10873">
                  <c:v>3183.457285000001</c:v>
                </c:pt>
                <c:pt idx="10874">
                  <c:v>3194.5829200000003</c:v>
                </c:pt>
                <c:pt idx="10875">
                  <c:v>3205.734375</c:v>
                </c:pt>
                <c:pt idx="10876">
                  <c:v>3216.91168</c:v>
                </c:pt>
                <c:pt idx="10877">
                  <c:v>3228.114864999999</c:v>
                </c:pt>
                <c:pt idx="10878">
                  <c:v>3239.3439599999992</c:v>
                </c:pt>
                <c:pt idx="10879">
                  <c:v>3250.5989949999985</c:v>
                </c:pt>
                <c:pt idx="10880">
                  <c:v>3261.880000000001</c:v>
                </c:pt>
                <c:pt idx="10881">
                  <c:v>3273.187005</c:v>
                </c:pt>
                <c:pt idx="10882">
                  <c:v>3284.5200400000003</c:v>
                </c:pt>
                <c:pt idx="10883">
                  <c:v>3295.8791349999997</c:v>
                </c:pt>
                <c:pt idx="10884">
                  <c:v>3307.2643199999998</c:v>
                </c:pt>
                <c:pt idx="10885">
                  <c:v>3318.675625</c:v>
                </c:pt>
                <c:pt idx="10886">
                  <c:v>3330.113079999999</c:v>
                </c:pt>
                <c:pt idx="10887">
                  <c:v>3341.5767149999992</c:v>
                </c:pt>
                <c:pt idx="10888">
                  <c:v>3353.0665600000007</c:v>
                </c:pt>
                <c:pt idx="10889">
                  <c:v>3364.5826450000004</c:v>
                </c:pt>
                <c:pt idx="10890">
                  <c:v>3376.125</c:v>
                </c:pt>
                <c:pt idx="10891">
                  <c:v>3387.6936550000005</c:v>
                </c:pt>
                <c:pt idx="10892">
                  <c:v>3399.2886400000007</c:v>
                </c:pt>
                <c:pt idx="10893">
                  <c:v>3410.909985</c:v>
                </c:pt>
                <c:pt idx="10894">
                  <c:v>3422.5577199999993</c:v>
                </c:pt>
                <c:pt idx="10895">
                  <c:v>3434.2318749999995</c:v>
                </c:pt>
                <c:pt idx="10896">
                  <c:v>3445.932480000001</c:v>
                </c:pt>
                <c:pt idx="10897">
                  <c:v>3457.6595650000004</c:v>
                </c:pt>
                <c:pt idx="10898">
                  <c:v>3469.413160000001</c:v>
                </c:pt>
                <c:pt idx="10899">
                  <c:v>3481.1932950000005</c:v>
                </c:pt>
                <c:pt idx="10900">
                  <c:v>3493.0</c:v>
                </c:pt>
                <c:pt idx="10901">
                  <c:v>3504.8333049999997</c:v>
                </c:pt>
                <c:pt idx="10902">
                  <c:v>3516.693239999999</c:v>
                </c:pt>
                <c:pt idx="10903">
                  <c:v>3528.5798349999995</c:v>
                </c:pt>
                <c:pt idx="10904">
                  <c:v>3540.4931199999987</c:v>
                </c:pt>
                <c:pt idx="10905">
                  <c:v>3552.4331250000014</c:v>
                </c:pt>
                <c:pt idx="10906">
                  <c:v>3564.3998800000004</c:v>
                </c:pt>
                <c:pt idx="10907">
                  <c:v>3576.3934150000005</c:v>
                </c:pt>
                <c:pt idx="10908">
                  <c:v>3588.41376</c:v>
                </c:pt>
                <c:pt idx="10909">
                  <c:v>3600.4609450000003</c:v>
                </c:pt>
                <c:pt idx="10910">
                  <c:v>3612.535</c:v>
                </c:pt>
                <c:pt idx="10911">
                  <c:v>3624.6359549999997</c:v>
                </c:pt>
                <c:pt idx="10912">
                  <c:v>3636.763839999999</c:v>
                </c:pt>
                <c:pt idx="10913">
                  <c:v>3648.918685000001</c:v>
                </c:pt>
                <c:pt idx="10914">
                  <c:v>3661.100520000001</c:v>
                </c:pt>
                <c:pt idx="10915">
                  <c:v>3673.3093750000003</c:v>
                </c:pt>
                <c:pt idx="10916">
                  <c:v>3685.54528</c:v>
                </c:pt>
                <c:pt idx="10917">
                  <c:v>3697.808265</c:v>
                </c:pt>
                <c:pt idx="10918">
                  <c:v>3710.0983599999995</c:v>
                </c:pt>
                <c:pt idx="10919">
                  <c:v>3722.415595</c:v>
                </c:pt>
                <c:pt idx="10920">
                  <c:v>3734.7599999999998</c:v>
                </c:pt>
                <c:pt idx="10921">
                  <c:v>3747.131605000001</c:v>
                </c:pt>
                <c:pt idx="10922">
                  <c:v>3759.530440000001</c:v>
                </c:pt>
                <c:pt idx="10923">
                  <c:v>3771.9565350000007</c:v>
                </c:pt>
                <c:pt idx="10924">
                  <c:v>3784.40992</c:v>
                </c:pt>
                <c:pt idx="10925">
                  <c:v>3796.890625</c:v>
                </c:pt>
                <c:pt idx="10926">
                  <c:v>3809.39868</c:v>
                </c:pt>
                <c:pt idx="10927">
                  <c:v>3821.934114999999</c:v>
                </c:pt>
                <c:pt idx="10928">
                  <c:v>3834.496959999999</c:v>
                </c:pt>
                <c:pt idx="10929">
                  <c:v>3847.0872449999983</c:v>
                </c:pt>
                <c:pt idx="10930">
                  <c:v>3859.705000000001</c:v>
                </c:pt>
                <c:pt idx="10931">
                  <c:v>3872.3502550000003</c:v>
                </c:pt>
                <c:pt idx="10932">
                  <c:v>3885.0230400000005</c:v>
                </c:pt>
                <c:pt idx="10933">
                  <c:v>3897.723385</c:v>
                </c:pt>
                <c:pt idx="10934">
                  <c:v>3910.4513199999997</c:v>
                </c:pt>
                <c:pt idx="10935">
                  <c:v>3923.2068750000003</c:v>
                </c:pt>
                <c:pt idx="10936">
                  <c:v>3935.990079999999</c:v>
                </c:pt>
                <c:pt idx="10937">
                  <c:v>3948.8009649999995</c:v>
                </c:pt>
                <c:pt idx="10938">
                  <c:v>3961.6395600000005</c:v>
                </c:pt>
                <c:pt idx="10939">
                  <c:v>3974.5058950000007</c:v>
                </c:pt>
                <c:pt idx="10940">
                  <c:v>3987.3999999999996</c:v>
                </c:pt>
                <c:pt idx="10941">
                  <c:v>4000.3219050000002</c:v>
                </c:pt>
                <c:pt idx="10942">
                  <c:v>4013.2716400000004</c:v>
                </c:pt>
                <c:pt idx="10943">
                  <c:v>4026.2492349999993</c:v>
                </c:pt>
                <c:pt idx="10944">
                  <c:v>4039.25472</c:v>
                </c:pt>
                <c:pt idx="10945">
                  <c:v>4052.288124999999</c:v>
                </c:pt>
                <c:pt idx="10946">
                  <c:v>4065.349480000001</c:v>
                </c:pt>
                <c:pt idx="10947">
                  <c:v>4078.438815000001</c:v>
                </c:pt>
                <c:pt idx="10948">
                  <c:v>4091.556160000001</c:v>
                </c:pt>
                <c:pt idx="10949">
                  <c:v>4104.701545000001</c:v>
                </c:pt>
                <c:pt idx="10950">
                  <c:v>4117.875</c:v>
                </c:pt>
                <c:pt idx="10951">
                  <c:v>4131.076555</c:v>
                </c:pt>
                <c:pt idx="10952">
                  <c:v>4144.30624</c:v>
                </c:pt>
                <c:pt idx="10953">
                  <c:v>4157.564084999999</c:v>
                </c:pt>
                <c:pt idx="10954">
                  <c:v>4170.850119999999</c:v>
                </c:pt>
                <c:pt idx="10955">
                  <c:v>4184.164375000001</c:v>
                </c:pt>
                <c:pt idx="10956">
                  <c:v>4197.506880000001</c:v>
                </c:pt>
                <c:pt idx="10957">
                  <c:v>4210.877665000001</c:v>
                </c:pt>
                <c:pt idx="10958">
                  <c:v>4224.27676</c:v>
                </c:pt>
                <c:pt idx="10959">
                  <c:v>4237.704195</c:v>
                </c:pt>
                <c:pt idx="10960">
                  <c:v>4251.16</c:v>
                </c:pt>
                <c:pt idx="10961">
                  <c:v>4264.644204999999</c:v>
                </c:pt>
                <c:pt idx="10962">
                  <c:v>4278.15684</c:v>
                </c:pt>
                <c:pt idx="10963">
                  <c:v>4291.697935000001</c:v>
                </c:pt>
                <c:pt idx="10964">
                  <c:v>4305.267520000001</c:v>
                </c:pt>
                <c:pt idx="10965">
                  <c:v>4318.865625</c:v>
                </c:pt>
                <c:pt idx="10966">
                  <c:v>4332.49228</c:v>
                </c:pt>
                <c:pt idx="10967">
                  <c:v>4346.147515000001</c:v>
                </c:pt>
                <c:pt idx="10968">
                  <c:v>4359.831359999999</c:v>
                </c:pt>
                <c:pt idx="10969">
                  <c:v>4373.543844999999</c:v>
                </c:pt>
                <c:pt idx="10970">
                  <c:v>4387.284999999999</c:v>
                </c:pt>
                <c:pt idx="10971">
                  <c:v>4401.054855000001</c:v>
                </c:pt>
                <c:pt idx="10972">
                  <c:v>4414.853440000001</c:v>
                </c:pt>
                <c:pt idx="10973">
                  <c:v>4428.6807850000005</c:v>
                </c:pt>
                <c:pt idx="10974">
                  <c:v>4442.5369200000005</c:v>
                </c:pt>
                <c:pt idx="10975">
                  <c:v>4456.421875</c:v>
                </c:pt>
                <c:pt idx="10976">
                  <c:v>4470.335679999999</c:v>
                </c:pt>
                <c:pt idx="10977">
                  <c:v>4484.278365</c:v>
                </c:pt>
                <c:pt idx="10978">
                  <c:v>4498.249959999999</c:v>
                </c:pt>
                <c:pt idx="10979">
                  <c:v>4512.250494999998</c:v>
                </c:pt>
                <c:pt idx="10980">
                  <c:v>4526.280000000001</c:v>
                </c:pt>
                <c:pt idx="10981">
                  <c:v>4540.338505000001</c:v>
                </c:pt>
                <c:pt idx="10982">
                  <c:v>4554.42604</c:v>
                </c:pt>
                <c:pt idx="10983">
                  <c:v>4568.542634999999</c:v>
                </c:pt>
                <c:pt idx="10984">
                  <c:v>4582.688319999999</c:v>
                </c:pt>
                <c:pt idx="10985">
                  <c:v>4596.863125</c:v>
                </c:pt>
                <c:pt idx="10986">
                  <c:v>4611.06708</c:v>
                </c:pt>
                <c:pt idx="10987">
                  <c:v>4625.300214999998</c:v>
                </c:pt>
                <c:pt idx="10988">
                  <c:v>4639.562560000001</c:v>
                </c:pt>
                <c:pt idx="10989">
                  <c:v>4653.854145</c:v>
                </c:pt>
                <c:pt idx="10990">
                  <c:v>4668.175</c:v>
                </c:pt>
                <c:pt idx="10991">
                  <c:v>4682.525155</c:v>
                </c:pt>
                <c:pt idx="10992">
                  <c:v>4696.904640000001</c:v>
                </c:pt>
                <c:pt idx="10993">
                  <c:v>4711.313485</c:v>
                </c:pt>
                <c:pt idx="10994">
                  <c:v>4725.751719999998</c:v>
                </c:pt>
                <c:pt idx="10995">
                  <c:v>4740.219375</c:v>
                </c:pt>
                <c:pt idx="10996">
                  <c:v>4754.716480000002</c:v>
                </c:pt>
                <c:pt idx="10997">
                  <c:v>4769.243065000001</c:v>
                </c:pt>
                <c:pt idx="10998">
                  <c:v>4783.7991600000005</c:v>
                </c:pt>
                <c:pt idx="10999">
                  <c:v>4798.384795000001</c:v>
                </c:pt>
                <c:pt idx="11000">
                  <c:v>4813.0</c:v>
                </c:pt>
                <c:pt idx="11001">
                  <c:v>4827.644804999999</c:v>
                </c:pt>
                <c:pt idx="11002">
                  <c:v>4842.31924</c:v>
                </c:pt>
                <c:pt idx="11003">
                  <c:v>4857.023335</c:v>
                </c:pt>
                <c:pt idx="11004">
                  <c:v>4871.757119999999</c:v>
                </c:pt>
                <c:pt idx="11005">
                  <c:v>4886.520625</c:v>
                </c:pt>
                <c:pt idx="11006">
                  <c:v>4901.3138800000015</c:v>
                </c:pt>
                <c:pt idx="11007">
                  <c:v>4916.136915000001</c:v>
                </c:pt>
                <c:pt idx="11008">
                  <c:v>4930.9897599999995</c:v>
                </c:pt>
                <c:pt idx="11009">
                  <c:v>4945.872445</c:v>
                </c:pt>
                <c:pt idx="11010">
                  <c:v>4960.784999999999</c:v>
                </c:pt>
                <c:pt idx="11011">
                  <c:v>4975.727454999998</c:v>
                </c:pt>
                <c:pt idx="11012">
                  <c:v>4990.699839999998</c:v>
                </c:pt>
                <c:pt idx="11013">
                  <c:v>5005.702185000002</c:v>
                </c:pt>
                <c:pt idx="11014">
                  <c:v>5020.734520000001</c:v>
                </c:pt>
                <c:pt idx="11015">
                  <c:v>5035.796875000001</c:v>
                </c:pt>
                <c:pt idx="11016">
                  <c:v>5050.88928</c:v>
                </c:pt>
                <c:pt idx="11017">
                  <c:v>5066.011765</c:v>
                </c:pt>
                <c:pt idx="11018">
                  <c:v>5081.164359999999</c:v>
                </c:pt>
                <c:pt idx="11019">
                  <c:v>5096.347094999999</c:v>
                </c:pt>
                <c:pt idx="11020">
                  <c:v>5111.5599999999995</c:v>
                </c:pt>
                <c:pt idx="11021">
                  <c:v>5126.803105000002</c:v>
                </c:pt>
                <c:pt idx="11022">
                  <c:v>5142.076440000001</c:v>
                </c:pt>
                <c:pt idx="11023">
                  <c:v>5157.380035</c:v>
                </c:pt>
                <c:pt idx="11024">
                  <c:v>5172.713920000002</c:v>
                </c:pt>
                <c:pt idx="11025">
                  <c:v>5188.078125</c:v>
                </c:pt>
                <c:pt idx="11026">
                  <c:v>5203.47268</c:v>
                </c:pt>
                <c:pt idx="11027">
                  <c:v>5218.897615</c:v>
                </c:pt>
                <c:pt idx="11028">
                  <c:v>5234.352959999999</c:v>
                </c:pt>
                <c:pt idx="11029">
                  <c:v>5249.838744999998</c:v>
                </c:pt>
                <c:pt idx="11030">
                  <c:v>5265.355000000001</c:v>
                </c:pt>
                <c:pt idx="11031">
                  <c:v>5280.901755000002</c:v>
                </c:pt>
                <c:pt idx="11032">
                  <c:v>5296.479040000001</c:v>
                </c:pt>
                <c:pt idx="11033">
                  <c:v>5312.086885</c:v>
                </c:pt>
                <c:pt idx="11034">
                  <c:v>5327.7253200000005</c:v>
                </c:pt>
                <c:pt idx="11035">
                  <c:v>5343.394375</c:v>
                </c:pt>
                <c:pt idx="11036">
                  <c:v>5359.094079999999</c:v>
                </c:pt>
                <c:pt idx="11037">
                  <c:v>5374.824464999999</c:v>
                </c:pt>
                <c:pt idx="11038">
                  <c:v>5390.585560000001</c:v>
                </c:pt>
                <c:pt idx="11039">
                  <c:v>5406.377395000001</c:v>
                </c:pt>
                <c:pt idx="11040">
                  <c:v>5422.2</c:v>
                </c:pt>
                <c:pt idx="11041">
                  <c:v>5438.053404999999</c:v>
                </c:pt>
                <c:pt idx="11042">
                  <c:v>5453.93764</c:v>
                </c:pt>
                <c:pt idx="11043">
                  <c:v>5469.8527349999995</c:v>
                </c:pt>
                <c:pt idx="11044">
                  <c:v>5485.798719999999</c:v>
                </c:pt>
                <c:pt idx="11045">
                  <c:v>5501.775624999999</c:v>
                </c:pt>
                <c:pt idx="11046">
                  <c:v>5517.783480000002</c:v>
                </c:pt>
                <c:pt idx="11047">
                  <c:v>5533.822315</c:v>
                </c:pt>
                <c:pt idx="11048">
                  <c:v>5549.89216</c:v>
                </c:pt>
                <c:pt idx="11049">
                  <c:v>5565.993045</c:v>
                </c:pt>
                <c:pt idx="11050">
                  <c:v>5582.125</c:v>
                </c:pt>
                <c:pt idx="11051">
                  <c:v>5598.288055</c:v>
                </c:pt>
                <c:pt idx="11052">
                  <c:v>5614.482239999999</c:v>
                </c:pt>
                <c:pt idx="11053">
                  <c:v>5630.707584999998</c:v>
                </c:pt>
                <c:pt idx="11054">
                  <c:v>5646.964119999998</c:v>
                </c:pt>
                <c:pt idx="11055">
                  <c:v>5663.251875000002</c:v>
                </c:pt>
                <c:pt idx="11056">
                  <c:v>5679.57088</c:v>
                </c:pt>
                <c:pt idx="11057">
                  <c:v>5695.921165000001</c:v>
                </c:pt>
                <c:pt idx="11058">
                  <c:v>5712.30276</c:v>
                </c:pt>
                <c:pt idx="11059">
                  <c:v>5728.715695000001</c:v>
                </c:pt>
                <c:pt idx="11060">
                  <c:v>5745.159999999999</c:v>
                </c:pt>
                <c:pt idx="11061">
                  <c:v>5761.635705</c:v>
                </c:pt>
                <c:pt idx="11062">
                  <c:v>5778.142839999999</c:v>
                </c:pt>
                <c:pt idx="11063">
                  <c:v>5794.681435000002</c:v>
                </c:pt>
                <c:pt idx="11064">
                  <c:v>5811.251520000002</c:v>
                </c:pt>
                <c:pt idx="11065">
                  <c:v>5827.853125000001</c:v>
                </c:pt>
                <c:pt idx="11066">
                  <c:v>5844.48628</c:v>
                </c:pt>
                <c:pt idx="11067">
                  <c:v>5861.151015</c:v>
                </c:pt>
                <c:pt idx="11068">
                  <c:v>5877.847360000001</c:v>
                </c:pt>
                <c:pt idx="11069">
                  <c:v>5894.575344999999</c:v>
                </c:pt>
                <c:pt idx="11070">
                  <c:v>5911.334999999999</c:v>
                </c:pt>
                <c:pt idx="11071">
                  <c:v>5928.126355000002</c:v>
                </c:pt>
                <c:pt idx="11072">
                  <c:v>5944.949440000001</c:v>
                </c:pt>
                <c:pt idx="11073">
                  <c:v>5961.804285</c:v>
                </c:pt>
                <c:pt idx="11074">
                  <c:v>5978.69092</c:v>
                </c:pt>
                <c:pt idx="11075">
                  <c:v>5995.609375</c:v>
                </c:pt>
                <c:pt idx="11076">
                  <c:v>6012.559679999999</c:v>
                </c:pt>
                <c:pt idx="11077">
                  <c:v>6029.541864999999</c:v>
                </c:pt>
                <c:pt idx="11078">
                  <c:v>6046.55596</c:v>
                </c:pt>
                <c:pt idx="11079">
                  <c:v>6063.601994999998</c:v>
                </c:pt>
                <c:pt idx="11080">
                  <c:v>6080.680000000001</c:v>
                </c:pt>
                <c:pt idx="11081">
                  <c:v>6097.790005000001</c:v>
                </c:pt>
                <c:pt idx="11082">
                  <c:v>6114.932040000001</c:v>
                </c:pt>
                <c:pt idx="11083">
                  <c:v>6132.106135</c:v>
                </c:pt>
                <c:pt idx="11084">
                  <c:v>6149.312320000001</c:v>
                </c:pt>
                <c:pt idx="11085">
                  <c:v>6166.550624999999</c:v>
                </c:pt>
                <c:pt idx="11086">
                  <c:v>6183.821079999998</c:v>
                </c:pt>
                <c:pt idx="11087">
                  <c:v>6201.123714999999</c:v>
                </c:pt>
                <c:pt idx="11088">
                  <c:v>6218.458560000001</c:v>
                </c:pt>
                <c:pt idx="11089">
                  <c:v>6235.825645000002</c:v>
                </c:pt>
                <c:pt idx="11090">
                  <c:v>6253.225000000001</c:v>
                </c:pt>
                <c:pt idx="11091">
                  <c:v>6270.656655</c:v>
                </c:pt>
                <c:pt idx="11092">
                  <c:v>6288.12064</c:v>
                </c:pt>
                <c:pt idx="11093">
                  <c:v>6305.616985</c:v>
                </c:pt>
                <c:pt idx="11094">
                  <c:v>6323.1457199999995</c:v>
                </c:pt>
                <c:pt idx="11095">
                  <c:v>6340.706874999998</c:v>
                </c:pt>
                <c:pt idx="11096">
                  <c:v>6358.300480000002</c:v>
                </c:pt>
                <c:pt idx="11097">
                  <c:v>6375.926565</c:v>
                </c:pt>
                <c:pt idx="11098">
                  <c:v>6393.5851600000005</c:v>
                </c:pt>
                <c:pt idx="11099">
                  <c:v>6411.276295000001</c:v>
                </c:pt>
                <c:pt idx="11100">
                  <c:v>6429.0</c:v>
                </c:pt>
                <c:pt idx="11101">
                  <c:v>6446.756304999999</c:v>
                </c:pt>
                <c:pt idx="11102">
                  <c:v>6464.5452399999995</c:v>
                </c:pt>
                <c:pt idx="11103">
                  <c:v>6482.366834999999</c:v>
                </c:pt>
                <c:pt idx="11104">
                  <c:v>6500.221119999998</c:v>
                </c:pt>
                <c:pt idx="11105">
                  <c:v>6518.108125000002</c:v>
                </c:pt>
                <c:pt idx="11106">
                  <c:v>6536.027880000001</c:v>
                </c:pt>
                <c:pt idx="11107">
                  <c:v>6553.980415000001</c:v>
                </c:pt>
                <c:pt idx="11108">
                  <c:v>6571.96576</c:v>
                </c:pt>
                <c:pt idx="11109">
                  <c:v>6589.983945</c:v>
                </c:pt>
                <c:pt idx="11110">
                  <c:v>6608.034999999999</c:v>
                </c:pt>
                <c:pt idx="11111">
                  <c:v>6626.118954999999</c:v>
                </c:pt>
                <c:pt idx="11112">
                  <c:v>6644.2358399999985</c:v>
                </c:pt>
                <c:pt idx="11113">
                  <c:v>6662.385685000002</c:v>
                </c:pt>
                <c:pt idx="11114">
                  <c:v>6680.568520000002</c:v>
                </c:pt>
                <c:pt idx="11115">
                  <c:v>6698.784375</c:v>
                </c:pt>
                <c:pt idx="11116">
                  <c:v>6717.033280000001</c:v>
                </c:pt>
                <c:pt idx="11117">
                  <c:v>6735.315265</c:v>
                </c:pt>
                <c:pt idx="11118">
                  <c:v>6753.630359999999</c:v>
                </c:pt>
                <c:pt idx="11119">
                  <c:v>6771.978594999999</c:v>
                </c:pt>
                <c:pt idx="11120">
                  <c:v>6790.359999999999</c:v>
                </c:pt>
                <c:pt idx="11121">
                  <c:v>6808.774605000001</c:v>
                </c:pt>
                <c:pt idx="11122">
                  <c:v>6827.222440000001</c:v>
                </c:pt>
                <c:pt idx="11123">
                  <c:v>6845.703535000001</c:v>
                </c:pt>
                <c:pt idx="11124">
                  <c:v>6864.217920000001</c:v>
                </c:pt>
                <c:pt idx="11125">
                  <c:v>6882.765625</c:v>
                </c:pt>
                <c:pt idx="11126">
                  <c:v>6901.346679999999</c:v>
                </c:pt>
                <c:pt idx="11127">
                  <c:v>6919.961114999999</c:v>
                </c:pt>
                <c:pt idx="11128">
                  <c:v>6938.60896</c:v>
                </c:pt>
                <c:pt idx="11129">
                  <c:v>6957.290244999998</c:v>
                </c:pt>
                <c:pt idx="11130">
                  <c:v>6976.005</c:v>
                </c:pt>
                <c:pt idx="11131">
                  <c:v>6994.7532550000005</c:v>
                </c:pt>
                <c:pt idx="11132">
                  <c:v>7013.535040000001</c:v>
                </c:pt>
                <c:pt idx="11133">
                  <c:v>7032.350385</c:v>
                </c:pt>
                <c:pt idx="11134">
                  <c:v>7051.19932</c:v>
                </c:pt>
                <c:pt idx="11135">
                  <c:v>7070.081874999999</c:v>
                </c:pt>
                <c:pt idx="11136">
                  <c:v>7088.9980799999985</c:v>
                </c:pt>
                <c:pt idx="11137">
                  <c:v>7107.9479649999985</c:v>
                </c:pt>
                <c:pt idx="11138">
                  <c:v>7126.931560000002</c:v>
                </c:pt>
                <c:pt idx="11139">
                  <c:v>7145.948895000001</c:v>
                </c:pt>
                <c:pt idx="11140">
                  <c:v>7165.0</c:v>
                </c:pt>
                <c:pt idx="11141">
                  <c:v>7184.084905000001</c:v>
                </c:pt>
                <c:pt idx="11142">
                  <c:v>7203.20364</c:v>
                </c:pt>
                <c:pt idx="11143">
                  <c:v>7222.356234999998</c:v>
                </c:pt>
                <c:pt idx="11144">
                  <c:v>7241.542719999999</c:v>
                </c:pt>
                <c:pt idx="11145">
                  <c:v>7260.7631249999995</c:v>
                </c:pt>
                <c:pt idx="11146">
                  <c:v>7280.017480000001</c:v>
                </c:pt>
                <c:pt idx="11147">
                  <c:v>7299.3058150000015</c:v>
                </c:pt>
                <c:pt idx="11148">
                  <c:v>7318.628160000001</c:v>
                </c:pt>
                <c:pt idx="11149">
                  <c:v>7337.984545</c:v>
                </c:pt>
                <c:pt idx="11150">
                  <c:v>7357.375</c:v>
                </c:pt>
                <c:pt idx="11151">
                  <c:v>7376.7995550000005</c:v>
                </c:pt>
                <c:pt idx="11152">
                  <c:v>7396.25824</c:v>
                </c:pt>
                <c:pt idx="11153">
                  <c:v>7415.751084999999</c:v>
                </c:pt>
                <c:pt idx="11154">
                  <c:v>7435.278119999998</c:v>
                </c:pt>
                <c:pt idx="11155">
                  <c:v>7454.8393750000005</c:v>
                </c:pt>
                <c:pt idx="11156">
                  <c:v>7474.434880000001</c:v>
                </c:pt>
                <c:pt idx="11157">
                  <c:v>7494.064665000001</c:v>
                </c:pt>
                <c:pt idx="11158">
                  <c:v>7513.728760000001</c:v>
                </c:pt>
                <c:pt idx="11159">
                  <c:v>7533.427194999999</c:v>
                </c:pt>
                <c:pt idx="11160">
                  <c:v>7553.16</c:v>
                </c:pt>
                <c:pt idx="11161">
                  <c:v>7572.927204999999</c:v>
                </c:pt>
                <c:pt idx="11162">
                  <c:v>7592.728839999999</c:v>
                </c:pt>
                <c:pt idx="11163">
                  <c:v>7612.564935000002</c:v>
                </c:pt>
                <c:pt idx="11164">
                  <c:v>7632.435520000002</c:v>
                </c:pt>
                <c:pt idx="11165">
                  <c:v>7652.340625000001</c:v>
                </c:pt>
                <c:pt idx="11166">
                  <c:v>7672.280280000001</c:v>
                </c:pt>
                <c:pt idx="11167">
                  <c:v>7692.254515</c:v>
                </c:pt>
                <c:pt idx="11168">
                  <c:v>7712.263359999999</c:v>
                </c:pt>
                <c:pt idx="11169">
                  <c:v>7732.306844999999</c:v>
                </c:pt>
                <c:pt idx="11170">
                  <c:v>7752.384999999998</c:v>
                </c:pt>
                <c:pt idx="11171">
                  <c:v>7772.497855000002</c:v>
                </c:pt>
                <c:pt idx="11172">
                  <c:v>7792.64544</c:v>
                </c:pt>
                <c:pt idx="11173">
                  <c:v>7812.8277849999995</c:v>
                </c:pt>
                <c:pt idx="11174">
                  <c:v>7833.044920000001</c:v>
                </c:pt>
                <c:pt idx="11175">
                  <c:v>7853.296875</c:v>
                </c:pt>
                <c:pt idx="11176">
                  <c:v>7873.58368</c:v>
                </c:pt>
                <c:pt idx="11177">
                  <c:v>7893.905365</c:v>
                </c:pt>
                <c:pt idx="11178">
                  <c:v>7914.261959999999</c:v>
                </c:pt>
                <c:pt idx="11179">
                  <c:v>7934.653494999998</c:v>
                </c:pt>
                <c:pt idx="11180">
                  <c:v>7955.080000000002</c:v>
                </c:pt>
                <c:pt idx="11181">
                  <c:v>7975.541505000001</c:v>
                </c:pt>
                <c:pt idx="11182">
                  <c:v>7996.038040000001</c:v>
                </c:pt>
                <c:pt idx="11183">
                  <c:v>8016.569635000001</c:v>
                </c:pt>
                <c:pt idx="11184">
                  <c:v>8037.13632</c:v>
                </c:pt>
                <c:pt idx="11185">
                  <c:v>8057.738124999998</c:v>
                </c:pt>
                <c:pt idx="11186">
                  <c:v>8078.37508</c:v>
                </c:pt>
                <c:pt idx="11187">
                  <c:v>8099.047214999999</c:v>
                </c:pt>
                <c:pt idx="11188">
                  <c:v>8119.754560000002</c:v>
                </c:pt>
                <c:pt idx="11189">
                  <c:v>8140.497145000002</c:v>
                </c:pt>
                <c:pt idx="11190">
                  <c:v>8161.275</c:v>
                </c:pt>
                <c:pt idx="11191">
                  <c:v>8182.0881549999995</c:v>
                </c:pt>
                <c:pt idx="11192">
                  <c:v>8202.93664</c:v>
                </c:pt>
                <c:pt idx="11193">
                  <c:v>8223.820485</c:v>
                </c:pt>
                <c:pt idx="11194">
                  <c:v>8244.739719999998</c:v>
                </c:pt>
                <c:pt idx="11195">
                  <c:v>8265.694375</c:v>
                </c:pt>
                <c:pt idx="11196">
                  <c:v>8286.684480000002</c:v>
                </c:pt>
                <c:pt idx="11197">
                  <c:v>8307.710065000001</c:v>
                </c:pt>
                <c:pt idx="11198">
                  <c:v>8328.77116</c:v>
                </c:pt>
                <c:pt idx="11199">
                  <c:v>8349.867795</c:v>
                </c:pt>
                <c:pt idx="11200">
                  <c:v>8371.0</c:v>
                </c:pt>
                <c:pt idx="11201">
                  <c:v>8392.167805</c:v>
                </c:pt>
                <c:pt idx="11202">
                  <c:v>8413.371239999999</c:v>
                </c:pt>
                <c:pt idx="11203">
                  <c:v>8434.610334999998</c:v>
                </c:pt>
                <c:pt idx="11204">
                  <c:v>8455.885119999999</c:v>
                </c:pt>
                <c:pt idx="11205">
                  <c:v>8477.195625</c:v>
                </c:pt>
                <c:pt idx="11206">
                  <c:v>8498.541880000002</c:v>
                </c:pt>
                <c:pt idx="11207">
                  <c:v>8519.923915</c:v>
                </c:pt>
                <c:pt idx="11208">
                  <c:v>8541.34176</c:v>
                </c:pt>
                <c:pt idx="11209">
                  <c:v>8562.795445000002</c:v>
                </c:pt>
                <c:pt idx="11210">
                  <c:v>8584.285</c:v>
                </c:pt>
                <c:pt idx="11211">
                  <c:v>8605.810454999999</c:v>
                </c:pt>
                <c:pt idx="11212">
                  <c:v>8627.371839999998</c:v>
                </c:pt>
                <c:pt idx="11213">
                  <c:v>8648.969185</c:v>
                </c:pt>
                <c:pt idx="11214">
                  <c:v>8670.60252</c:v>
                </c:pt>
                <c:pt idx="11215">
                  <c:v>8692.271875</c:v>
                </c:pt>
                <c:pt idx="11216">
                  <c:v>8713.977280000001</c:v>
                </c:pt>
                <c:pt idx="11217">
                  <c:v>8735.718765</c:v>
                </c:pt>
                <c:pt idx="11218">
                  <c:v>8757.496360000001</c:v>
                </c:pt>
                <c:pt idx="11219">
                  <c:v>8779.310094999999</c:v>
                </c:pt>
                <c:pt idx="11220">
                  <c:v>8801.159999999998</c:v>
                </c:pt>
                <c:pt idx="11221">
                  <c:v>8823.046105000001</c:v>
                </c:pt>
                <c:pt idx="11222">
                  <c:v>8844.96844</c:v>
                </c:pt>
                <c:pt idx="11223">
                  <c:v>8866.927035</c:v>
                </c:pt>
                <c:pt idx="11224">
                  <c:v>8888.921919999999</c:v>
                </c:pt>
                <c:pt idx="11225">
                  <c:v>8910.953125</c:v>
                </c:pt>
                <c:pt idx="11226">
                  <c:v>8933.02068</c:v>
                </c:pt>
                <c:pt idx="11227">
                  <c:v>8955.124614999999</c:v>
                </c:pt>
                <c:pt idx="11228">
                  <c:v>8977.264959999999</c:v>
                </c:pt>
                <c:pt idx="11229">
                  <c:v>8999.441744999998</c:v>
                </c:pt>
                <c:pt idx="11230">
                  <c:v>9021.655000000002</c:v>
                </c:pt>
                <c:pt idx="11231">
                  <c:v>9043.904755000001</c:v>
                </c:pt>
                <c:pt idx="11232">
                  <c:v>9066.19104</c:v>
                </c:pt>
                <c:pt idx="11233">
                  <c:v>9088.513885</c:v>
                </c:pt>
                <c:pt idx="11234">
                  <c:v>9110.87332</c:v>
                </c:pt>
                <c:pt idx="11235">
                  <c:v>9133.269374999998</c:v>
                </c:pt>
                <c:pt idx="11236">
                  <c:v>9155.70208</c:v>
                </c:pt>
                <c:pt idx="11237">
                  <c:v>9178.171465</c:v>
                </c:pt>
                <c:pt idx="11238">
                  <c:v>9200.677560000002</c:v>
                </c:pt>
                <c:pt idx="11239">
                  <c:v>9223.220395000002</c:v>
                </c:pt>
                <c:pt idx="11240">
                  <c:v>9245.800000000001</c:v>
                </c:pt>
                <c:pt idx="11241">
                  <c:v>9268.416405</c:v>
                </c:pt>
                <c:pt idx="11242">
                  <c:v>9291.06964</c:v>
                </c:pt>
                <c:pt idx="11243">
                  <c:v>9313.759735</c:v>
                </c:pt>
                <c:pt idx="11244">
                  <c:v>9336.486719999999</c:v>
                </c:pt>
                <c:pt idx="11245">
                  <c:v>9359.250625</c:v>
                </c:pt>
                <c:pt idx="11246">
                  <c:v>9382.051480000002</c:v>
                </c:pt>
                <c:pt idx="11247">
                  <c:v>9404.889315</c:v>
                </c:pt>
                <c:pt idx="11248">
                  <c:v>9427.76416</c:v>
                </c:pt>
                <c:pt idx="11249">
                  <c:v>9450.676045</c:v>
                </c:pt>
                <c:pt idx="11250">
                  <c:v>9473.625</c:v>
                </c:pt>
                <c:pt idx="11251">
                  <c:v>9496.611055</c:v>
                </c:pt>
                <c:pt idx="11252">
                  <c:v>9519.63424</c:v>
                </c:pt>
                <c:pt idx="11253">
                  <c:v>9542.694585</c:v>
                </c:pt>
                <c:pt idx="11254">
                  <c:v>9565.79212</c:v>
                </c:pt>
                <c:pt idx="11255">
                  <c:v>9588.926875000001</c:v>
                </c:pt>
                <c:pt idx="11256">
                  <c:v>9612.098880000001</c:v>
                </c:pt>
                <c:pt idx="11257">
                  <c:v>9635.308165</c:v>
                </c:pt>
                <c:pt idx="11258">
                  <c:v>9658.554759999999</c:v>
                </c:pt>
                <c:pt idx="11259">
                  <c:v>9681.838695</c:v>
                </c:pt>
                <c:pt idx="11260">
                  <c:v>9705.159999999998</c:v>
                </c:pt>
                <c:pt idx="11261">
                  <c:v>9728.518704999999</c:v>
                </c:pt>
                <c:pt idx="11262">
                  <c:v>9751.91484</c:v>
                </c:pt>
                <c:pt idx="11263">
                  <c:v>9775.348435000002</c:v>
                </c:pt>
                <c:pt idx="11264">
                  <c:v>9798.819520000003</c:v>
                </c:pt>
                <c:pt idx="11265">
                  <c:v>9822.328125000002</c:v>
                </c:pt>
                <c:pt idx="11266">
                  <c:v>9845.87428</c:v>
                </c:pt>
                <c:pt idx="11267">
                  <c:v>9869.458015</c:v>
                </c:pt>
                <c:pt idx="11268">
                  <c:v>9893.07936</c:v>
                </c:pt>
                <c:pt idx="11269">
                  <c:v>9916.738344999998</c:v>
                </c:pt>
                <c:pt idx="11270">
                  <c:v>9940.435</c:v>
                </c:pt>
                <c:pt idx="11271">
                  <c:v>9964.169355000002</c:v>
                </c:pt>
                <c:pt idx="11272">
                  <c:v>9987.941440000002</c:v>
                </c:pt>
                <c:pt idx="11273">
                  <c:v>10011.751285000002</c:v>
                </c:pt>
                <c:pt idx="11274">
                  <c:v>10035.598919999999</c:v>
                </c:pt>
                <c:pt idx="11275">
                  <c:v>10059.484375</c:v>
                </c:pt>
                <c:pt idx="11276">
                  <c:v>10083.40768</c:v>
                </c:pt>
                <c:pt idx="11277">
                  <c:v>10107.368864999999</c:v>
                </c:pt>
                <c:pt idx="11278">
                  <c:v>10131.367959999998</c:v>
                </c:pt>
                <c:pt idx="11279">
                  <c:v>10155.404994999999</c:v>
                </c:pt>
                <c:pt idx="11280">
                  <c:v>10179.480000000001</c:v>
                </c:pt>
                <c:pt idx="11281">
                  <c:v>10203.593005</c:v>
                </c:pt>
                <c:pt idx="11282">
                  <c:v>10227.744040000001</c:v>
                </c:pt>
                <c:pt idx="11283">
                  <c:v>10251.933135</c:v>
                </c:pt>
                <c:pt idx="11284">
                  <c:v>10276.16032</c:v>
                </c:pt>
                <c:pt idx="11285">
                  <c:v>10300.425624999996</c:v>
                </c:pt>
                <c:pt idx="11286">
                  <c:v>10324.729079999997</c:v>
                </c:pt>
                <c:pt idx="11287">
                  <c:v>10349.070714999998</c:v>
                </c:pt>
                <c:pt idx="11288">
                  <c:v>10373.450560000003</c:v>
                </c:pt>
                <c:pt idx="11289">
                  <c:v>10397.868645</c:v>
                </c:pt>
                <c:pt idx="11290">
                  <c:v>10422.325000000003</c:v>
                </c:pt>
                <c:pt idx="11291">
                  <c:v>10446.819655000001</c:v>
                </c:pt>
                <c:pt idx="11292">
                  <c:v>10471.35264</c:v>
                </c:pt>
                <c:pt idx="11293">
                  <c:v>10495.923985000001</c:v>
                </c:pt>
                <c:pt idx="11294">
                  <c:v>10520.53372</c:v>
                </c:pt>
                <c:pt idx="11295">
                  <c:v>10545.181874999997</c:v>
                </c:pt>
                <c:pt idx="11296">
                  <c:v>10569.868480000001</c:v>
                </c:pt>
                <c:pt idx="11297">
                  <c:v>10594.593565000001</c:v>
                </c:pt>
                <c:pt idx="11298">
                  <c:v>10619.357160000001</c:v>
                </c:pt>
                <c:pt idx="11299">
                  <c:v>10644.159295</c:v>
                </c:pt>
                <c:pt idx="11300">
                  <c:v>10669.0</c:v>
                </c:pt>
                <c:pt idx="11301">
                  <c:v>10693.879304999999</c:v>
                </c:pt>
                <c:pt idx="11302">
                  <c:v>10718.797239999996</c:v>
                </c:pt>
                <c:pt idx="11303">
                  <c:v>10743.753835</c:v>
                </c:pt>
                <c:pt idx="11304">
                  <c:v>10768.749119999999</c:v>
                </c:pt>
                <c:pt idx="11305">
                  <c:v>10793.783125000002</c:v>
                </c:pt>
                <c:pt idx="11306">
                  <c:v>10818.855880000001</c:v>
                </c:pt>
                <c:pt idx="11307">
                  <c:v>10843.967415</c:v>
                </c:pt>
                <c:pt idx="11308">
                  <c:v>10869.11776</c:v>
                </c:pt>
                <c:pt idx="11309">
                  <c:v>10894.306945</c:v>
                </c:pt>
                <c:pt idx="11310">
                  <c:v>10919.535</c:v>
                </c:pt>
                <c:pt idx="11311">
                  <c:v>10944.801955</c:v>
                </c:pt>
                <c:pt idx="11312">
                  <c:v>10970.107839999999</c:v>
                </c:pt>
                <c:pt idx="11313">
                  <c:v>10995.452685000002</c:v>
                </c:pt>
                <c:pt idx="11314">
                  <c:v>11020.836520000003</c:v>
                </c:pt>
                <c:pt idx="11315">
                  <c:v>11046.259375000001</c:v>
                </c:pt>
                <c:pt idx="11316">
                  <c:v>11071.72128</c:v>
                </c:pt>
                <c:pt idx="11317">
                  <c:v>11097.222265</c:v>
                </c:pt>
                <c:pt idx="11318">
                  <c:v>11122.762359999999</c:v>
                </c:pt>
                <c:pt idx="11319">
                  <c:v>11148.341594999998</c:v>
                </c:pt>
                <c:pt idx="11320">
                  <c:v>11173.960000000001</c:v>
                </c:pt>
                <c:pt idx="11321">
                  <c:v>11199.617605000001</c:v>
                </c:pt>
                <c:pt idx="11322">
                  <c:v>11225.314440000002</c:v>
                </c:pt>
                <c:pt idx="11323">
                  <c:v>11251.050535000002</c:v>
                </c:pt>
                <c:pt idx="11324">
                  <c:v>11276.82592</c:v>
                </c:pt>
                <c:pt idx="11325">
                  <c:v>11302.640625</c:v>
                </c:pt>
                <c:pt idx="11326">
                  <c:v>11328.49468</c:v>
                </c:pt>
                <c:pt idx="11327">
                  <c:v>11354.388115</c:v>
                </c:pt>
                <c:pt idx="11328">
                  <c:v>11380.32096</c:v>
                </c:pt>
                <c:pt idx="11329">
                  <c:v>11406.293244999997</c:v>
                </c:pt>
                <c:pt idx="11330">
                  <c:v>11432.305</c:v>
                </c:pt>
                <c:pt idx="11331">
                  <c:v>11458.356255000002</c:v>
                </c:pt>
                <c:pt idx="11332">
                  <c:v>11484.44704</c:v>
                </c:pt>
                <c:pt idx="11333">
                  <c:v>11510.577385</c:v>
                </c:pt>
                <c:pt idx="11334">
                  <c:v>11536.747319999999</c:v>
                </c:pt>
                <c:pt idx="11335">
                  <c:v>11562.956874999998</c:v>
                </c:pt>
                <c:pt idx="11336">
                  <c:v>11589.206079999998</c:v>
                </c:pt>
                <c:pt idx="11337">
                  <c:v>11615.494964999998</c:v>
                </c:pt>
                <c:pt idx="11338">
                  <c:v>11641.823560000003</c:v>
                </c:pt>
                <c:pt idx="11339">
                  <c:v>11668.191895000004</c:v>
                </c:pt>
                <c:pt idx="11340">
                  <c:v>11694.6</c:v>
                </c:pt>
                <c:pt idx="11341">
                  <c:v>11721.047905000001</c:v>
                </c:pt>
                <c:pt idx="11342">
                  <c:v>11747.53564</c:v>
                </c:pt>
                <c:pt idx="11343">
                  <c:v>11774.063235</c:v>
                </c:pt>
                <c:pt idx="11344">
                  <c:v>11800.630719999997</c:v>
                </c:pt>
                <c:pt idx="11345">
                  <c:v>11827.238124999998</c:v>
                </c:pt>
                <c:pt idx="11346">
                  <c:v>11853.885480000003</c:v>
                </c:pt>
                <c:pt idx="11347">
                  <c:v>11880.572815000003</c:v>
                </c:pt>
                <c:pt idx="11348">
                  <c:v>11907.30016</c:v>
                </c:pt>
                <c:pt idx="11349">
                  <c:v>11934.067545</c:v>
                </c:pt>
                <c:pt idx="11350">
                  <c:v>11960.875</c:v>
                </c:pt>
                <c:pt idx="11351">
                  <c:v>11987.722555000002</c:v>
                </c:pt>
                <c:pt idx="11352">
                  <c:v>12014.61024</c:v>
                </c:pt>
                <c:pt idx="11353">
                  <c:v>12041.538084999998</c:v>
                </c:pt>
                <c:pt idx="11354">
                  <c:v>12068.506119999996</c:v>
                </c:pt>
                <c:pt idx="11355">
                  <c:v>12095.514375</c:v>
                </c:pt>
                <c:pt idx="11356">
                  <c:v>12122.562880000003</c:v>
                </c:pt>
                <c:pt idx="11357">
                  <c:v>12149.651665</c:v>
                </c:pt>
                <c:pt idx="11358">
                  <c:v>12176.78076</c:v>
                </c:pt>
                <c:pt idx="11359">
                  <c:v>12203.950195</c:v>
                </c:pt>
                <c:pt idx="11360">
                  <c:v>12231.159999999998</c:v>
                </c:pt>
                <c:pt idx="11361">
                  <c:v>12258.410204999998</c:v>
                </c:pt>
                <c:pt idx="11362">
                  <c:v>12285.700839999998</c:v>
                </c:pt>
                <c:pt idx="11363">
                  <c:v>12313.031935</c:v>
                </c:pt>
                <c:pt idx="11364">
                  <c:v>12340.403520000002</c:v>
                </c:pt>
                <c:pt idx="11365">
                  <c:v>12367.815625000001</c:v>
                </c:pt>
                <c:pt idx="11366">
                  <c:v>12395.26828</c:v>
                </c:pt>
                <c:pt idx="11367">
                  <c:v>12422.761515</c:v>
                </c:pt>
                <c:pt idx="11368">
                  <c:v>12450.29536</c:v>
                </c:pt>
                <c:pt idx="11369">
                  <c:v>12477.869844999997</c:v>
                </c:pt>
                <c:pt idx="11370">
                  <c:v>12505.484999999999</c:v>
                </c:pt>
                <c:pt idx="11371">
                  <c:v>12533.140855000001</c:v>
                </c:pt>
                <c:pt idx="11372">
                  <c:v>12560.837440000001</c:v>
                </c:pt>
                <c:pt idx="11373">
                  <c:v>12588.574785000003</c:v>
                </c:pt>
                <c:pt idx="11374">
                  <c:v>12616.35292</c:v>
                </c:pt>
                <c:pt idx="11375">
                  <c:v>12644.171875</c:v>
                </c:pt>
                <c:pt idx="11376">
                  <c:v>12672.03168</c:v>
                </c:pt>
                <c:pt idx="11377">
                  <c:v>12699.932364999999</c:v>
                </c:pt>
                <c:pt idx="11378">
                  <c:v>12727.873959999997</c:v>
                </c:pt>
                <c:pt idx="11379">
                  <c:v>12755.856494999998</c:v>
                </c:pt>
                <c:pt idx="11380">
                  <c:v>12783.880000000003</c:v>
                </c:pt>
                <c:pt idx="11381">
                  <c:v>12811.944505000001</c:v>
                </c:pt>
                <c:pt idx="11382">
                  <c:v>12840.050039999998</c:v>
                </c:pt>
                <c:pt idx="11383">
                  <c:v>12868.196635</c:v>
                </c:pt>
                <c:pt idx="11384">
                  <c:v>12896.38432</c:v>
                </c:pt>
                <c:pt idx="11385">
                  <c:v>12924.613124999996</c:v>
                </c:pt>
                <c:pt idx="11386">
                  <c:v>12952.88308</c:v>
                </c:pt>
                <c:pt idx="11387">
                  <c:v>12981.194214999998</c:v>
                </c:pt>
                <c:pt idx="11388">
                  <c:v>13009.54656</c:v>
                </c:pt>
                <c:pt idx="11389">
                  <c:v>13037.940145000002</c:v>
                </c:pt>
                <c:pt idx="11390">
                  <c:v>13066.375000000002</c:v>
                </c:pt>
                <c:pt idx="11391">
                  <c:v>13094.851155000002</c:v>
                </c:pt>
                <c:pt idx="11392">
                  <c:v>13123.368639999999</c:v>
                </c:pt>
                <c:pt idx="11393">
                  <c:v>13151.927485</c:v>
                </c:pt>
                <c:pt idx="11394">
                  <c:v>13180.527719999998</c:v>
                </c:pt>
                <c:pt idx="11395">
                  <c:v>13209.169374999998</c:v>
                </c:pt>
                <c:pt idx="11396">
                  <c:v>13237.852480000003</c:v>
                </c:pt>
                <c:pt idx="11397">
                  <c:v>13266.577065000003</c:v>
                </c:pt>
                <c:pt idx="11398">
                  <c:v>13295.34316</c:v>
                </c:pt>
                <c:pt idx="11399">
                  <c:v>13324.150795</c:v>
                </c:pt>
                <c:pt idx="11400">
                  <c:v>13353.0</c:v>
                </c:pt>
                <c:pt idx="11401">
                  <c:v>13381.890805000001</c:v>
                </c:pt>
                <c:pt idx="11402">
                  <c:v>13410.823239999996</c:v>
                </c:pt>
                <c:pt idx="11403">
                  <c:v>13439.797334999997</c:v>
                </c:pt>
                <c:pt idx="11404">
                  <c:v>13468.813119999997</c:v>
                </c:pt>
                <c:pt idx="11405">
                  <c:v>13497.870625000001</c:v>
                </c:pt>
                <c:pt idx="11406">
                  <c:v>13526.96988</c:v>
                </c:pt>
                <c:pt idx="11407">
                  <c:v>13556.110915</c:v>
                </c:pt>
                <c:pt idx="11408">
                  <c:v>13585.293759999999</c:v>
                </c:pt>
                <c:pt idx="11409">
                  <c:v>13614.518445000002</c:v>
                </c:pt>
                <c:pt idx="11410">
                  <c:v>13643.784999999998</c:v>
                </c:pt>
                <c:pt idx="11411">
                  <c:v>13673.093454999998</c:v>
                </c:pt>
                <c:pt idx="11412">
                  <c:v>13702.44384</c:v>
                </c:pt>
                <c:pt idx="11413">
                  <c:v>13731.836185000002</c:v>
                </c:pt>
                <c:pt idx="11414">
                  <c:v>13761.270520000002</c:v>
                </c:pt>
                <c:pt idx="11415">
                  <c:v>13790.746875000003</c:v>
                </c:pt>
                <c:pt idx="11416">
                  <c:v>13820.26528</c:v>
                </c:pt>
                <c:pt idx="11417">
                  <c:v>13849.825765</c:v>
                </c:pt>
                <c:pt idx="11418">
                  <c:v>13879.42836</c:v>
                </c:pt>
                <c:pt idx="11419">
                  <c:v>13909.073095</c:v>
                </c:pt>
                <c:pt idx="11420">
                  <c:v>13938.759999999998</c:v>
                </c:pt>
                <c:pt idx="11421">
                  <c:v>13968.489105</c:v>
                </c:pt>
                <c:pt idx="11422">
                  <c:v>13998.260440000002</c:v>
                </c:pt>
                <c:pt idx="11423">
                  <c:v>14028.074035000001</c:v>
                </c:pt>
                <c:pt idx="11424">
                  <c:v>14057.92992</c:v>
                </c:pt>
                <c:pt idx="11425">
                  <c:v>14087.828125</c:v>
                </c:pt>
                <c:pt idx="11426">
                  <c:v>14117.76868</c:v>
                </c:pt>
                <c:pt idx="11427">
                  <c:v>14147.751615</c:v>
                </c:pt>
                <c:pt idx="11428">
                  <c:v>14177.77696</c:v>
                </c:pt>
                <c:pt idx="11429">
                  <c:v>14207.844744999999</c:v>
                </c:pt>
                <c:pt idx="11430">
                  <c:v>14237.955000000002</c:v>
                </c:pt>
                <c:pt idx="11431">
                  <c:v>14268.107755</c:v>
                </c:pt>
                <c:pt idx="11432">
                  <c:v>14298.30304</c:v>
                </c:pt>
                <c:pt idx="11433">
                  <c:v>14328.540885</c:v>
                </c:pt>
                <c:pt idx="11434">
                  <c:v>14358.821320000001</c:v>
                </c:pt>
                <c:pt idx="11435">
                  <c:v>14389.144374999998</c:v>
                </c:pt>
                <c:pt idx="11436">
                  <c:v>14419.510079999998</c:v>
                </c:pt>
                <c:pt idx="11437">
                  <c:v>14449.918464999997</c:v>
                </c:pt>
                <c:pt idx="11438">
                  <c:v>14480.36956</c:v>
                </c:pt>
                <c:pt idx="11439">
                  <c:v>14510.863395000002</c:v>
                </c:pt>
                <c:pt idx="11440">
                  <c:v>14541.400000000003</c:v>
                </c:pt>
                <c:pt idx="11441">
                  <c:v>14571.979404999998</c:v>
                </c:pt>
                <c:pt idx="11442">
                  <c:v>14602.60164</c:v>
                </c:pt>
                <c:pt idx="11443">
                  <c:v>14633.266735</c:v>
                </c:pt>
                <c:pt idx="11444">
                  <c:v>14663.974719999998</c:v>
                </c:pt>
                <c:pt idx="11445">
                  <c:v>14694.725624999997</c:v>
                </c:pt>
                <c:pt idx="11446">
                  <c:v>14725.51948</c:v>
                </c:pt>
                <c:pt idx="11447">
                  <c:v>14756.356315</c:v>
                </c:pt>
                <c:pt idx="11448">
                  <c:v>14787.236160000002</c:v>
                </c:pt>
                <c:pt idx="11449">
                  <c:v>14818.159044999999</c:v>
                </c:pt>
                <c:pt idx="11450">
                  <c:v>14849.125</c:v>
                </c:pt>
                <c:pt idx="11451">
                  <c:v>14880.134055</c:v>
                </c:pt>
                <c:pt idx="11452">
                  <c:v>14911.186239999999</c:v>
                </c:pt>
                <c:pt idx="11453">
                  <c:v>14942.281584999999</c:v>
                </c:pt>
                <c:pt idx="11454">
                  <c:v>14973.420119999999</c:v>
                </c:pt>
                <c:pt idx="11455">
                  <c:v>15004.601875</c:v>
                </c:pt>
                <c:pt idx="11456">
                  <c:v>15035.826880000002</c:v>
                </c:pt>
                <c:pt idx="11457">
                  <c:v>15067.095165</c:v>
                </c:pt>
                <c:pt idx="11458">
                  <c:v>15098.406760000002</c:v>
                </c:pt>
                <c:pt idx="11459">
                  <c:v>15129.761695000001</c:v>
                </c:pt>
                <c:pt idx="11460">
                  <c:v>15161.16</c:v>
                </c:pt>
                <c:pt idx="11461">
                  <c:v>15192.601705</c:v>
                </c:pt>
                <c:pt idx="11462">
                  <c:v>15224.086839999998</c:v>
                </c:pt>
                <c:pt idx="11463">
                  <c:v>15255.615435000002</c:v>
                </c:pt>
                <c:pt idx="11464">
                  <c:v>15287.187520000001</c:v>
                </c:pt>
                <c:pt idx="11465">
                  <c:v>15318.803125</c:v>
                </c:pt>
                <c:pt idx="11466">
                  <c:v>15350.462279999998</c:v>
                </c:pt>
                <c:pt idx="11467">
                  <c:v>15382.165015</c:v>
                </c:pt>
                <c:pt idx="11468">
                  <c:v>15413.911359999998</c:v>
                </c:pt>
                <c:pt idx="11469">
                  <c:v>15445.701345</c:v>
                </c:pt>
                <c:pt idx="11470">
                  <c:v>15477.534999999998</c:v>
                </c:pt>
                <c:pt idx="11471">
                  <c:v>15509.412355</c:v>
                </c:pt>
                <c:pt idx="11472">
                  <c:v>15541.33344</c:v>
                </c:pt>
                <c:pt idx="11473">
                  <c:v>15573.298285000003</c:v>
                </c:pt>
                <c:pt idx="11474">
                  <c:v>15605.306919999999</c:v>
                </c:pt>
                <c:pt idx="11475">
                  <c:v>15637.359375</c:v>
                </c:pt>
                <c:pt idx="11476">
                  <c:v>15669.45568</c:v>
                </c:pt>
                <c:pt idx="11477">
                  <c:v>15701.595865</c:v>
                </c:pt>
                <c:pt idx="11478">
                  <c:v>15733.779959999998</c:v>
                </c:pt>
                <c:pt idx="11479">
                  <c:v>15766.007994999998</c:v>
                </c:pt>
                <c:pt idx="11480">
                  <c:v>15798.280000000002</c:v>
                </c:pt>
                <c:pt idx="11481">
                  <c:v>15830.596005000001</c:v>
                </c:pt>
                <c:pt idx="11482">
                  <c:v>15862.95604</c:v>
                </c:pt>
                <c:pt idx="11483">
                  <c:v>15895.360135</c:v>
                </c:pt>
                <c:pt idx="11484">
                  <c:v>15927.80832</c:v>
                </c:pt>
                <c:pt idx="11485">
                  <c:v>15960.300624999998</c:v>
                </c:pt>
                <c:pt idx="11486">
                  <c:v>15992.837079999998</c:v>
                </c:pt>
                <c:pt idx="11487">
                  <c:v>16025.417714999998</c:v>
                </c:pt>
                <c:pt idx="11488">
                  <c:v>16058.042560000002</c:v>
                </c:pt>
                <c:pt idx="11489">
                  <c:v>16090.711645000003</c:v>
                </c:pt>
                <c:pt idx="11490">
                  <c:v>16123.425</c:v>
                </c:pt>
                <c:pt idx="11491">
                  <c:v>16156.182655</c:v>
                </c:pt>
                <c:pt idx="11492">
                  <c:v>16188.984640000002</c:v>
                </c:pt>
                <c:pt idx="11493">
                  <c:v>16221.830985</c:v>
                </c:pt>
                <c:pt idx="11494">
                  <c:v>16254.721719999996</c:v>
                </c:pt>
                <c:pt idx="11495">
                  <c:v>16287.656875</c:v>
                </c:pt>
                <c:pt idx="11496">
                  <c:v>16320.636480000005</c:v>
                </c:pt>
                <c:pt idx="11497">
                  <c:v>16353.660565</c:v>
                </c:pt>
                <c:pt idx="11498">
                  <c:v>16386.72916</c:v>
                </c:pt>
                <c:pt idx="11499">
                  <c:v>16419.842295000002</c:v>
                </c:pt>
                <c:pt idx="11500">
                  <c:v>16453.0</c:v>
                </c:pt>
                <c:pt idx="11501">
                  <c:v>16486.202305</c:v>
                </c:pt>
                <c:pt idx="11502">
                  <c:v>16519.44924</c:v>
                </c:pt>
                <c:pt idx="11503">
                  <c:v>16552.740834999997</c:v>
                </c:pt>
                <c:pt idx="11504">
                  <c:v>16586.077119999994</c:v>
                </c:pt>
                <c:pt idx="11505">
                  <c:v>16619.458125000005</c:v>
                </c:pt>
                <c:pt idx="11506">
                  <c:v>16652.88388</c:v>
                </c:pt>
                <c:pt idx="11507">
                  <c:v>16686.354414999998</c:v>
                </c:pt>
                <c:pt idx="11508">
                  <c:v>16719.86976</c:v>
                </c:pt>
                <c:pt idx="11509">
                  <c:v>16753.429945</c:v>
                </c:pt>
                <c:pt idx="11510">
                  <c:v>16787.034999999996</c:v>
                </c:pt>
                <c:pt idx="11511">
                  <c:v>16820.684955</c:v>
                </c:pt>
                <c:pt idx="11512">
                  <c:v>16854.379839999998</c:v>
                </c:pt>
                <c:pt idx="11513">
                  <c:v>16888.119685</c:v>
                </c:pt>
                <c:pt idx="11514">
                  <c:v>16921.90452</c:v>
                </c:pt>
                <c:pt idx="11515">
                  <c:v>16955.734375000004</c:v>
                </c:pt>
                <c:pt idx="11516">
                  <c:v>16989.60928</c:v>
                </c:pt>
                <c:pt idx="11517">
                  <c:v>17023.529265</c:v>
                </c:pt>
                <c:pt idx="11518">
                  <c:v>17057.49436</c:v>
                </c:pt>
                <c:pt idx="11519">
                  <c:v>17091.504595</c:v>
                </c:pt>
                <c:pt idx="11520">
                  <c:v>17125.559999999994</c:v>
                </c:pt>
                <c:pt idx="11521">
                  <c:v>17159.660605000005</c:v>
                </c:pt>
                <c:pt idx="11522">
                  <c:v>17193.80644</c:v>
                </c:pt>
                <c:pt idx="11523">
                  <c:v>17227.997535</c:v>
                </c:pt>
                <c:pt idx="11524">
                  <c:v>17262.23392</c:v>
                </c:pt>
                <c:pt idx="11525">
                  <c:v>17296.515625</c:v>
                </c:pt>
                <c:pt idx="11526">
                  <c:v>17330.842679999998</c:v>
                </c:pt>
                <c:pt idx="11527">
                  <c:v>17365.215115000003</c:v>
                </c:pt>
                <c:pt idx="11528">
                  <c:v>17399.63296</c:v>
                </c:pt>
                <c:pt idx="11529">
                  <c:v>17434.096244999993</c:v>
                </c:pt>
                <c:pt idx="11530">
                  <c:v>17468.605000000003</c:v>
                </c:pt>
                <c:pt idx="11531">
                  <c:v>17503.159255000002</c:v>
                </c:pt>
                <c:pt idx="11532">
                  <c:v>17537.75904</c:v>
                </c:pt>
                <c:pt idx="11533">
                  <c:v>17572.404384999998</c:v>
                </c:pt>
                <c:pt idx="11534">
                  <c:v>17607.09532</c:v>
                </c:pt>
                <c:pt idx="11535">
                  <c:v>17641.831875</c:v>
                </c:pt>
                <c:pt idx="11536">
                  <c:v>17676.61408</c:v>
                </c:pt>
                <c:pt idx="11537">
                  <c:v>17711.441964999998</c:v>
                </c:pt>
                <c:pt idx="11538">
                  <c:v>17746.315560000003</c:v>
                </c:pt>
                <c:pt idx="11539">
                  <c:v>17781.234895</c:v>
                </c:pt>
                <c:pt idx="11540">
                  <c:v>17816.2</c:v>
                </c:pt>
                <c:pt idx="11541">
                  <c:v>17851.210905</c:v>
                </c:pt>
                <c:pt idx="11542">
                  <c:v>17886.26764</c:v>
                </c:pt>
                <c:pt idx="11543">
                  <c:v>17921.370235</c:v>
                </c:pt>
                <c:pt idx="11544">
                  <c:v>17956.51872</c:v>
                </c:pt>
                <c:pt idx="11545">
                  <c:v>17991.713125</c:v>
                </c:pt>
                <c:pt idx="11546">
                  <c:v>18026.953480000004</c:v>
                </c:pt>
                <c:pt idx="11547">
                  <c:v>18062.239815</c:v>
                </c:pt>
                <c:pt idx="11548">
                  <c:v>18097.57216</c:v>
                </c:pt>
                <c:pt idx="11549">
                  <c:v>18132.950545</c:v>
                </c:pt>
                <c:pt idx="11550">
                  <c:v>18168.375</c:v>
                </c:pt>
                <c:pt idx="11551">
                  <c:v>18203.845554999996</c:v>
                </c:pt>
                <c:pt idx="11552">
                  <c:v>18239.362240000002</c:v>
                </c:pt>
                <c:pt idx="11553">
                  <c:v>18274.925085</c:v>
                </c:pt>
                <c:pt idx="11554">
                  <c:v>18310.534119999997</c:v>
                </c:pt>
                <c:pt idx="11555">
                  <c:v>18346.189375000005</c:v>
                </c:pt>
                <c:pt idx="11556">
                  <c:v>18381.890880000003</c:v>
                </c:pt>
                <c:pt idx="11557">
                  <c:v>18417.638665000002</c:v>
                </c:pt>
                <c:pt idx="11558">
                  <c:v>18453.432760000003</c:v>
                </c:pt>
                <c:pt idx="11559">
                  <c:v>18489.273194999998</c:v>
                </c:pt>
                <c:pt idx="11560">
                  <c:v>18525.159999999996</c:v>
                </c:pt>
                <c:pt idx="11561">
                  <c:v>18561.093205</c:v>
                </c:pt>
                <c:pt idx="11562">
                  <c:v>18597.072839999997</c:v>
                </c:pt>
                <c:pt idx="11563">
                  <c:v>18633.098935000005</c:v>
                </c:pt>
                <c:pt idx="11564">
                  <c:v>18669.17152</c:v>
                </c:pt>
                <c:pt idx="11565">
                  <c:v>18705.290625</c:v>
                </c:pt>
                <c:pt idx="11566">
                  <c:v>18741.456280000002</c:v>
                </c:pt>
                <c:pt idx="11567">
                  <c:v>18777.668514999998</c:v>
                </c:pt>
                <c:pt idx="11568">
                  <c:v>18813.927359999998</c:v>
                </c:pt>
                <c:pt idx="11569">
                  <c:v>18850.232844999995</c:v>
                </c:pt>
                <c:pt idx="11570">
                  <c:v>18886.584999999995</c:v>
                </c:pt>
                <c:pt idx="11571">
                  <c:v>18922.983855000006</c:v>
                </c:pt>
                <c:pt idx="11572">
                  <c:v>18959.429440000004</c:v>
                </c:pt>
                <c:pt idx="11573">
                  <c:v>18995.921785000002</c:v>
                </c:pt>
                <c:pt idx="11574">
                  <c:v>19032.46092</c:v>
                </c:pt>
                <c:pt idx="11575">
                  <c:v>19069.046875</c:v>
                </c:pt>
                <c:pt idx="11576">
                  <c:v>19105.679679999997</c:v>
                </c:pt>
                <c:pt idx="11577">
                  <c:v>19142.359365</c:v>
                </c:pt>
                <c:pt idx="11578">
                  <c:v>19179.085959999997</c:v>
                </c:pt>
                <c:pt idx="11579">
                  <c:v>19215.859494999997</c:v>
                </c:pt>
                <c:pt idx="11580">
                  <c:v>19252.680000000004</c:v>
                </c:pt>
                <c:pt idx="11581">
                  <c:v>19289.547505000002</c:v>
                </c:pt>
                <c:pt idx="11582">
                  <c:v>19326.462040000002</c:v>
                </c:pt>
                <c:pt idx="11583">
                  <c:v>19363.423635</c:v>
                </c:pt>
                <c:pt idx="11584">
                  <c:v>19400.43232</c:v>
                </c:pt>
                <c:pt idx="11585">
                  <c:v>19437.488125</c:v>
                </c:pt>
                <c:pt idx="11586">
                  <c:v>19474.59108</c:v>
                </c:pt>
                <c:pt idx="11587">
                  <c:v>19511.741214999995</c:v>
                </c:pt>
                <c:pt idx="11588">
                  <c:v>19548.938560000002</c:v>
                </c:pt>
                <c:pt idx="11589">
                  <c:v>19586.183145</c:v>
                </c:pt>
                <c:pt idx="11590">
                  <c:v>19623.475000000002</c:v>
                </c:pt>
                <c:pt idx="11591">
                  <c:v>19660.814155</c:v>
                </c:pt>
                <c:pt idx="11592">
                  <c:v>19698.20064</c:v>
                </c:pt>
                <c:pt idx="11593">
                  <c:v>19735.634485</c:v>
                </c:pt>
                <c:pt idx="11594">
                  <c:v>19773.115719999998</c:v>
                </c:pt>
                <c:pt idx="11595">
                  <c:v>19810.644374999996</c:v>
                </c:pt>
                <c:pt idx="11596">
                  <c:v>19848.220480000004</c:v>
                </c:pt>
                <c:pt idx="11597">
                  <c:v>19885.844065</c:v>
                </c:pt>
                <c:pt idx="11598">
                  <c:v>19923.515160000003</c:v>
                </c:pt>
                <c:pt idx="11599">
                  <c:v>19961.233795000004</c:v>
                </c:pt>
                <c:pt idx="11600">
                  <c:v>19999.0</c:v>
                </c:pt>
                <c:pt idx="11601">
                  <c:v>20036.813805000005</c:v>
                </c:pt>
                <c:pt idx="11602">
                  <c:v>20074.675239999997</c:v>
                </c:pt>
                <c:pt idx="11603">
                  <c:v>20112.584335000007</c:v>
                </c:pt>
                <c:pt idx="11604">
                  <c:v>20150.541119999994</c:v>
                </c:pt>
                <c:pt idx="11605">
                  <c:v>20188.545625000006</c:v>
                </c:pt>
                <c:pt idx="11606">
                  <c:v>20226.597879999994</c:v>
                </c:pt>
                <c:pt idx="11607">
                  <c:v>20264.697915</c:v>
                </c:pt>
                <c:pt idx="11608">
                  <c:v>20302.845759999993</c:v>
                </c:pt>
                <c:pt idx="11609">
                  <c:v>20341.041445</c:v>
                </c:pt>
                <c:pt idx="11610">
                  <c:v>20379.285000000007</c:v>
                </c:pt>
                <c:pt idx="11611">
                  <c:v>20417.576455</c:v>
                </c:pt>
                <c:pt idx="11612">
                  <c:v>20455.915840000005</c:v>
                </c:pt>
                <c:pt idx="11613">
                  <c:v>20494.303184999993</c:v>
                </c:pt>
                <c:pt idx="11614">
                  <c:v>20532.73852</c:v>
                </c:pt>
                <c:pt idx="11615">
                  <c:v>20571.221874999996</c:v>
                </c:pt>
                <c:pt idx="11616">
                  <c:v>20609.75328</c:v>
                </c:pt>
                <c:pt idx="11617">
                  <c:v>20648.332765000003</c:v>
                </c:pt>
                <c:pt idx="11618">
                  <c:v>20686.960359999997</c:v>
                </c:pt>
                <c:pt idx="11619">
                  <c:v>20725.636095000005</c:v>
                </c:pt>
                <c:pt idx="11620">
                  <c:v>20764.359999999993</c:v>
                </c:pt>
                <c:pt idx="11621">
                  <c:v>20803.132105000004</c:v>
                </c:pt>
                <c:pt idx="11622">
                  <c:v>20841.952439999997</c:v>
                </c:pt>
                <c:pt idx="11623">
                  <c:v>20880.821035</c:v>
                </c:pt>
                <c:pt idx="11624">
                  <c:v>20919.737919999992</c:v>
                </c:pt>
                <c:pt idx="11625">
                  <c:v>20958.703125</c:v>
                </c:pt>
                <c:pt idx="11626">
                  <c:v>20997.71668</c:v>
                </c:pt>
                <c:pt idx="11627">
                  <c:v>21036.778614999996</c:v>
                </c:pt>
                <c:pt idx="11628">
                  <c:v>21075.888960000008</c:v>
                </c:pt>
                <c:pt idx="11629">
                  <c:v>21115.047744999996</c:v>
                </c:pt>
                <c:pt idx="11630">
                  <c:v>21154.255</c:v>
                </c:pt>
                <c:pt idx="11631">
                  <c:v>21193.510754999992</c:v>
                </c:pt>
                <c:pt idx="11632">
                  <c:v>21232.815040000005</c:v>
                </c:pt>
                <c:pt idx="11633">
                  <c:v>21272.16788499999</c:v>
                </c:pt>
                <c:pt idx="11634">
                  <c:v>21311.569320000002</c:v>
                </c:pt>
                <c:pt idx="11635">
                  <c:v>21351.019375000003</c:v>
                </c:pt>
                <c:pt idx="11636">
                  <c:v>21390.518079999994</c:v>
                </c:pt>
                <c:pt idx="11637">
                  <c:v>21430.065465000003</c:v>
                </c:pt>
                <c:pt idx="11638">
                  <c:v>21469.661559999993</c:v>
                </c:pt>
                <c:pt idx="11639">
                  <c:v>21509.306395</c:v>
                </c:pt>
                <c:pt idx="11640">
                  <c:v>21548.999999999996</c:v>
                </c:pt>
                <c:pt idx="11641">
                  <c:v>21588.742405</c:v>
                </c:pt>
                <c:pt idx="11642">
                  <c:v>21628.533640000005</c:v>
                </c:pt>
                <c:pt idx="11643">
                  <c:v>21668.373734999997</c:v>
                </c:pt>
                <c:pt idx="11644">
                  <c:v>21708.262720000002</c:v>
                </c:pt>
                <c:pt idx="11645">
                  <c:v>21748.200624999998</c:v>
                </c:pt>
                <c:pt idx="11646">
                  <c:v>21788.187480000008</c:v>
                </c:pt>
                <c:pt idx="11647">
                  <c:v>21828.223314999996</c:v>
                </c:pt>
                <c:pt idx="11648">
                  <c:v>21868.30816</c:v>
                </c:pt>
                <c:pt idx="11649">
                  <c:v>21908.442044999996</c:v>
                </c:pt>
                <c:pt idx="11650">
                  <c:v>21948.625</c:v>
                </c:pt>
                <c:pt idx="11651">
                  <c:v>21988.857055000008</c:v>
                </c:pt>
                <c:pt idx="11652">
                  <c:v>22029.13824</c:v>
                </c:pt>
                <c:pt idx="11653">
                  <c:v>22069.468585000006</c:v>
                </c:pt>
                <c:pt idx="11654">
                  <c:v>22109.848119999995</c:v>
                </c:pt>
                <c:pt idx="11655">
                  <c:v>22150.276875000003</c:v>
                </c:pt>
                <c:pt idx="11656">
                  <c:v>22190.754879999997</c:v>
                </c:pt>
                <c:pt idx="11657">
                  <c:v>22231.282165</c:v>
                </c:pt>
                <c:pt idx="11658">
                  <c:v>22271.858759999996</c:v>
                </c:pt>
                <c:pt idx="11659">
                  <c:v>22312.484695000003</c:v>
                </c:pt>
                <c:pt idx="11660">
                  <c:v>22353.160000000007</c:v>
                </c:pt>
                <c:pt idx="11661">
                  <c:v>22393.884705</c:v>
                </c:pt>
                <c:pt idx="11662">
                  <c:v>22434.658840000004</c:v>
                </c:pt>
                <c:pt idx="11663">
                  <c:v>22475.482434999998</c:v>
                </c:pt>
                <c:pt idx="11664">
                  <c:v>22516.35552</c:v>
                </c:pt>
                <c:pt idx="11665">
                  <c:v>22557.278124999993</c:v>
                </c:pt>
                <c:pt idx="11666">
                  <c:v>22598.25028</c:v>
                </c:pt>
                <c:pt idx="11667">
                  <c:v>22639.272015000006</c:v>
                </c:pt>
                <c:pt idx="11668">
                  <c:v>22680.34336</c:v>
                </c:pt>
                <c:pt idx="11669">
                  <c:v>22721.464345000008</c:v>
                </c:pt>
                <c:pt idx="11670">
                  <c:v>22762.635</c:v>
                </c:pt>
                <c:pt idx="11671">
                  <c:v>22803.855355000003</c:v>
                </c:pt>
                <c:pt idx="11672">
                  <c:v>22845.125439999996</c:v>
                </c:pt>
                <c:pt idx="11673">
                  <c:v>22886.445284999998</c:v>
                </c:pt>
                <c:pt idx="11674">
                  <c:v>22927.814919999993</c:v>
                </c:pt>
                <c:pt idx="11675">
                  <c:v>22969.234375</c:v>
                </c:pt>
                <c:pt idx="11676">
                  <c:v>23010.703680000006</c:v>
                </c:pt>
                <c:pt idx="11677">
                  <c:v>23052.222865</c:v>
                </c:pt>
                <c:pt idx="11678">
                  <c:v>23093.791960000006</c:v>
                </c:pt>
                <c:pt idx="11679">
                  <c:v>23135.410994999995</c:v>
                </c:pt>
                <c:pt idx="11680">
                  <c:v>23177.080000000005</c:v>
                </c:pt>
                <c:pt idx="11681">
                  <c:v>23218.799004999997</c:v>
                </c:pt>
                <c:pt idx="11682">
                  <c:v>23260.568040000002</c:v>
                </c:pt>
                <c:pt idx="11683">
                  <c:v>23302.387134999997</c:v>
                </c:pt>
                <c:pt idx="11684">
                  <c:v>23344.25632</c:v>
                </c:pt>
                <c:pt idx="11685">
                  <c:v>23386.175625000007</c:v>
                </c:pt>
                <c:pt idx="11686">
                  <c:v>23428.145080000002</c:v>
                </c:pt>
                <c:pt idx="11687">
                  <c:v>23470.164715000006</c:v>
                </c:pt>
                <c:pt idx="11688">
                  <c:v>23512.234559999994</c:v>
                </c:pt>
                <c:pt idx="11689">
                  <c:v>23554.354645</c:v>
                </c:pt>
                <c:pt idx="11690">
                  <c:v>23596.52499999999</c:v>
                </c:pt>
                <c:pt idx="11691">
                  <c:v>23638.745655</c:v>
                </c:pt>
                <c:pt idx="11692">
                  <c:v>23681.016640000005</c:v>
                </c:pt>
                <c:pt idx="11693">
                  <c:v>23723.337985</c:v>
                </c:pt>
                <c:pt idx="11694">
                  <c:v>23765.709720000006</c:v>
                </c:pt>
                <c:pt idx="11695">
                  <c:v>23808.131874999995</c:v>
                </c:pt>
                <c:pt idx="11696">
                  <c:v>23850.60448</c:v>
                </c:pt>
                <c:pt idx="11697">
                  <c:v>23893.127564999995</c:v>
                </c:pt>
                <c:pt idx="11698">
                  <c:v>23935.70116</c:v>
                </c:pt>
                <c:pt idx="11699">
                  <c:v>23978.325295</c:v>
                </c:pt>
                <c:pt idx="11700">
                  <c:v>24021.0</c:v>
                </c:pt>
                <c:pt idx="11701">
                  <c:v>24063.725305000007</c:v>
                </c:pt>
                <c:pt idx="11702">
                  <c:v>24106.50124</c:v>
                </c:pt>
                <c:pt idx="11703">
                  <c:v>24149.327835000007</c:v>
                </c:pt>
                <c:pt idx="11704">
                  <c:v>24192.205119999995</c:v>
                </c:pt>
                <c:pt idx="11705">
                  <c:v>24235.133125000004</c:v>
                </c:pt>
                <c:pt idx="11706">
                  <c:v>24278.111879999997</c:v>
                </c:pt>
                <c:pt idx="11707">
                  <c:v>24321.141415</c:v>
                </c:pt>
                <c:pt idx="11708">
                  <c:v>24364.221759999993</c:v>
                </c:pt>
                <c:pt idx="11709">
                  <c:v>24407.352945</c:v>
                </c:pt>
                <c:pt idx="11710">
                  <c:v>24450.535000000007</c:v>
                </c:pt>
                <c:pt idx="11711">
                  <c:v>24493.767955</c:v>
                </c:pt>
                <c:pt idx="11712">
                  <c:v>24537.051840000004</c:v>
                </c:pt>
                <c:pt idx="11713">
                  <c:v>24580.38668499999</c:v>
                </c:pt>
                <c:pt idx="11714">
                  <c:v>24623.772520000002</c:v>
                </c:pt>
                <c:pt idx="11715">
                  <c:v>24667.209374999995</c:v>
                </c:pt>
                <c:pt idx="11716">
                  <c:v>24710.697280000004</c:v>
                </c:pt>
                <c:pt idx="11717">
                  <c:v>24754.236265000007</c:v>
                </c:pt>
                <c:pt idx="11718">
                  <c:v>24797.82636</c:v>
                </c:pt>
                <c:pt idx="11719">
                  <c:v>24841.467595000006</c:v>
                </c:pt>
                <c:pt idx="11720">
                  <c:v>24885.159999999996</c:v>
                </c:pt>
                <c:pt idx="11721">
                  <c:v>24928.903605000003</c:v>
                </c:pt>
                <c:pt idx="11722">
                  <c:v>24972.698439999996</c:v>
                </c:pt>
                <c:pt idx="11723">
                  <c:v>25016.544535</c:v>
                </c:pt>
                <c:pt idx="11724">
                  <c:v>25060.441919999997</c:v>
                </c:pt>
                <c:pt idx="11725">
                  <c:v>25104.390625</c:v>
                </c:pt>
                <c:pt idx="11726">
                  <c:v>25148.390680000008</c:v>
                </c:pt>
                <c:pt idx="11727">
                  <c:v>25192.442114999998</c:v>
                </c:pt>
                <c:pt idx="11728">
                  <c:v>25236.544960000003</c:v>
                </c:pt>
                <c:pt idx="11729">
                  <c:v>25280.699244999996</c:v>
                </c:pt>
                <c:pt idx="11730">
                  <c:v>25324.905000000002</c:v>
                </c:pt>
                <c:pt idx="11731">
                  <c:v>25369.162254999996</c:v>
                </c:pt>
                <c:pt idx="11732">
                  <c:v>25413.471039999997</c:v>
                </c:pt>
                <c:pt idx="11733">
                  <c:v>25457.831384999994</c:v>
                </c:pt>
                <c:pt idx="11734">
                  <c:v>25502.243319999998</c:v>
                </c:pt>
                <c:pt idx="11735">
                  <c:v>25546.706875000007</c:v>
                </c:pt>
                <c:pt idx="11736">
                  <c:v>25591.222079999996</c:v>
                </c:pt>
                <c:pt idx="11737">
                  <c:v>25635.788965000007</c:v>
                </c:pt>
                <c:pt idx="11738">
                  <c:v>25680.407559999996</c:v>
                </c:pt>
                <c:pt idx="11739">
                  <c:v>25725.077895000002</c:v>
                </c:pt>
                <c:pt idx="11740">
                  <c:v>25769.799999999992</c:v>
                </c:pt>
                <c:pt idx="11741">
                  <c:v>25814.573905</c:v>
                </c:pt>
                <c:pt idx="11742">
                  <c:v>25859.399640000003</c:v>
                </c:pt>
                <c:pt idx="11743">
                  <c:v>25904.277235</c:v>
                </c:pt>
                <c:pt idx="11744">
                  <c:v>25949.206720000006</c:v>
                </c:pt>
                <c:pt idx="11745">
                  <c:v>25994.188124999993</c:v>
                </c:pt>
                <c:pt idx="11746">
                  <c:v>26039.221480000007</c:v>
                </c:pt>
                <c:pt idx="11747">
                  <c:v>26084.306814999993</c:v>
                </c:pt>
                <c:pt idx="11748">
                  <c:v>26129.444160000003</c:v>
                </c:pt>
                <c:pt idx="11749">
                  <c:v>26174.633544999993</c:v>
                </c:pt>
                <c:pt idx="11750">
                  <c:v>26219.875</c:v>
                </c:pt>
                <c:pt idx="11751">
                  <c:v>26265.168555000007</c:v>
                </c:pt>
                <c:pt idx="11752">
                  <c:v>26310.51424</c:v>
                </c:pt>
                <c:pt idx="11753">
                  <c:v>26355.912085000007</c:v>
                </c:pt>
                <c:pt idx="11754">
                  <c:v>26401.362119999994</c:v>
                </c:pt>
                <c:pt idx="11755">
                  <c:v>26446.864375000005</c:v>
                </c:pt>
                <c:pt idx="11756">
                  <c:v>26492.418879999994</c:v>
                </c:pt>
                <c:pt idx="11757">
                  <c:v>26538.025665</c:v>
                </c:pt>
                <c:pt idx="11758">
                  <c:v>26583.684759999993</c:v>
                </c:pt>
                <c:pt idx="11759">
                  <c:v>26629.396194999998</c:v>
                </c:pt>
                <c:pt idx="11760">
                  <c:v>26675.160000000007</c:v>
                </c:pt>
                <c:pt idx="11761">
                  <c:v>26720.976205</c:v>
                </c:pt>
                <c:pt idx="11762">
                  <c:v>26766.84484</c:v>
                </c:pt>
                <c:pt idx="11763">
                  <c:v>26812.765934999992</c:v>
                </c:pt>
                <c:pt idx="11764">
                  <c:v>26858.739520000003</c:v>
                </c:pt>
                <c:pt idx="11765">
                  <c:v>26904.765624999996</c:v>
                </c:pt>
                <c:pt idx="11766">
                  <c:v>26950.84428</c:v>
                </c:pt>
                <c:pt idx="11767">
                  <c:v>26996.975515000006</c:v>
                </c:pt>
                <c:pt idx="11768">
                  <c:v>27043.15936</c:v>
                </c:pt>
                <c:pt idx="11769">
                  <c:v>27089.395845000006</c:v>
                </c:pt>
                <c:pt idx="11770">
                  <c:v>27135.684999999998</c:v>
                </c:pt>
                <c:pt idx="11771">
                  <c:v>27182.026855000004</c:v>
                </c:pt>
                <c:pt idx="11772">
                  <c:v>27228.421439999995</c:v>
                </c:pt>
                <c:pt idx="11773">
                  <c:v>27274.868785</c:v>
                </c:pt>
                <c:pt idx="11774">
                  <c:v>27321.368919999994</c:v>
                </c:pt>
                <c:pt idx="11775">
                  <c:v>27367.921875</c:v>
                </c:pt>
                <c:pt idx="11776">
                  <c:v>27414.527680000003</c:v>
                </c:pt>
                <c:pt idx="11777">
                  <c:v>27461.186365</c:v>
                </c:pt>
                <c:pt idx="11778">
                  <c:v>27507.897960000006</c:v>
                </c:pt>
                <c:pt idx="11779">
                  <c:v>27554.662494999997</c:v>
                </c:pt>
                <c:pt idx="11780">
                  <c:v>27601.480000000003</c:v>
                </c:pt>
                <c:pt idx="11781">
                  <c:v>27648.350505</c:v>
                </c:pt>
                <c:pt idx="11782">
                  <c:v>27695.27404</c:v>
                </c:pt>
                <c:pt idx="11783">
                  <c:v>27742.250634999993</c:v>
                </c:pt>
                <c:pt idx="11784">
                  <c:v>27789.28032</c:v>
                </c:pt>
                <c:pt idx="11785">
                  <c:v>27836.363125000007</c:v>
                </c:pt>
                <c:pt idx="11786">
                  <c:v>27883.499079999998</c:v>
                </c:pt>
                <c:pt idx="11787">
                  <c:v>27930.688215000006</c:v>
                </c:pt>
                <c:pt idx="11788">
                  <c:v>27977.930559999993</c:v>
                </c:pt>
                <c:pt idx="11789">
                  <c:v>28025.226145</c:v>
                </c:pt>
                <c:pt idx="11790">
                  <c:v>28072.574999999997</c:v>
                </c:pt>
                <c:pt idx="11791">
                  <c:v>28119.977155</c:v>
                </c:pt>
                <c:pt idx="11792">
                  <c:v>28167.432640000006</c:v>
                </c:pt>
                <c:pt idx="11793">
                  <c:v>28214.941485000003</c:v>
                </c:pt>
                <c:pt idx="11794">
                  <c:v>28262.503720000004</c:v>
                </c:pt>
                <c:pt idx="11795">
                  <c:v>28310.119374999995</c:v>
                </c:pt>
                <c:pt idx="11796">
                  <c:v>28357.788480000007</c:v>
                </c:pt>
                <c:pt idx="11797">
                  <c:v>28405.511065</c:v>
                </c:pt>
                <c:pt idx="11798">
                  <c:v>28453.287160000003</c:v>
                </c:pt>
                <c:pt idx="11799">
                  <c:v>28501.116794999994</c:v>
                </c:pt>
                <c:pt idx="11800">
                  <c:v>28549.0</c:v>
                </c:pt>
                <c:pt idx="11801">
                  <c:v>28596.93680500001</c:v>
                </c:pt>
                <c:pt idx="11802">
                  <c:v>28644.927239999997</c:v>
                </c:pt>
                <c:pt idx="11803">
                  <c:v>28692.971335000002</c:v>
                </c:pt>
                <c:pt idx="11804">
                  <c:v>28741.069119999993</c:v>
                </c:pt>
                <c:pt idx="11805">
                  <c:v>28789.220625000005</c:v>
                </c:pt>
                <c:pt idx="11806">
                  <c:v>28837.425879999995</c:v>
                </c:pt>
                <c:pt idx="11807">
                  <c:v>28885.684914999998</c:v>
                </c:pt>
                <c:pt idx="11808">
                  <c:v>28933.997759999995</c:v>
                </c:pt>
                <c:pt idx="11809">
                  <c:v>28982.364444999996</c:v>
                </c:pt>
                <c:pt idx="11810">
                  <c:v>29030.785000000007</c:v>
                </c:pt>
                <c:pt idx="11811">
                  <c:v>29079.259455</c:v>
                </c:pt>
                <c:pt idx="11812">
                  <c:v>29127.787840000005</c:v>
                </c:pt>
                <c:pt idx="11813">
                  <c:v>29176.370184999992</c:v>
                </c:pt>
                <c:pt idx="11814">
                  <c:v>29225.00652</c:v>
                </c:pt>
                <c:pt idx="11815">
                  <c:v>29273.696874999994</c:v>
                </c:pt>
                <c:pt idx="11816">
                  <c:v>29322.441280000003</c:v>
                </c:pt>
                <c:pt idx="11817">
                  <c:v>29371.23976500001</c:v>
                </c:pt>
                <c:pt idx="11818">
                  <c:v>29420.092360000002</c:v>
                </c:pt>
                <c:pt idx="11819">
                  <c:v>29468.99909500001</c:v>
                </c:pt>
                <c:pt idx="11820">
                  <c:v>29517.959999999995</c:v>
                </c:pt>
                <c:pt idx="11821">
                  <c:v>29566.975105000005</c:v>
                </c:pt>
                <c:pt idx="11822">
                  <c:v>29616.044439999998</c:v>
                </c:pt>
                <c:pt idx="11823">
                  <c:v>29665.168035000002</c:v>
                </c:pt>
                <c:pt idx="11824">
                  <c:v>29714.345919999992</c:v>
                </c:pt>
                <c:pt idx="11825">
                  <c:v>29763.578125</c:v>
                </c:pt>
                <c:pt idx="11826">
                  <c:v>29812.864680000006</c:v>
                </c:pt>
                <c:pt idx="11827">
                  <c:v>29862.205614999995</c:v>
                </c:pt>
                <c:pt idx="11828">
                  <c:v>29911.600960000007</c:v>
                </c:pt>
                <c:pt idx="11829">
                  <c:v>29961.050744999993</c:v>
                </c:pt>
                <c:pt idx="11830">
                  <c:v>30010.555000000008</c:v>
                </c:pt>
                <c:pt idx="11831">
                  <c:v>30060.113754999995</c:v>
                </c:pt>
                <c:pt idx="11832">
                  <c:v>30109.727039999998</c:v>
                </c:pt>
                <c:pt idx="11833">
                  <c:v>30159.394884999994</c:v>
                </c:pt>
                <c:pt idx="11834">
                  <c:v>30209.117319999998</c:v>
                </c:pt>
                <c:pt idx="11835">
                  <c:v>30258.894375000007</c:v>
                </c:pt>
                <c:pt idx="11836">
                  <c:v>30308.72608</c:v>
                </c:pt>
                <c:pt idx="11837">
                  <c:v>30358.612465000006</c:v>
                </c:pt>
                <c:pt idx="11838">
                  <c:v>30408.553559999997</c:v>
                </c:pt>
                <c:pt idx="11839">
                  <c:v>30458.549395000002</c:v>
                </c:pt>
                <c:pt idx="11840">
                  <c:v>30508.6</c:v>
                </c:pt>
                <c:pt idx="11841">
                  <c:v>30558.705405</c:v>
                </c:pt>
                <c:pt idx="11842">
                  <c:v>30608.865640000007</c:v>
                </c:pt>
                <c:pt idx="11843">
                  <c:v>30659.080734999996</c:v>
                </c:pt>
                <c:pt idx="11844">
                  <c:v>30709.350720000006</c:v>
                </c:pt>
                <c:pt idx="11845">
                  <c:v>30759.675624999993</c:v>
                </c:pt>
                <c:pt idx="11846">
                  <c:v>30810.055480000006</c:v>
                </c:pt>
                <c:pt idx="11847">
                  <c:v>30860.490314999995</c:v>
                </c:pt>
                <c:pt idx="11848">
                  <c:v>30910.980160000003</c:v>
                </c:pt>
                <c:pt idx="11849">
                  <c:v>30961.525044999995</c:v>
                </c:pt>
                <c:pt idx="11850">
                  <c:v>31012.125</c:v>
                </c:pt>
                <c:pt idx="11851">
                  <c:v>31062.78005500001</c:v>
                </c:pt>
                <c:pt idx="11852">
                  <c:v>31113.490239999996</c:v>
                </c:pt>
                <c:pt idx="11853">
                  <c:v>31164.255585000006</c:v>
                </c:pt>
                <c:pt idx="11854">
                  <c:v>31215.076119999994</c:v>
                </c:pt>
                <c:pt idx="11855">
                  <c:v>31265.951875000006</c:v>
                </c:pt>
                <c:pt idx="11856">
                  <c:v>31316.882879999994</c:v>
                </c:pt>
                <c:pt idx="11857">
                  <c:v>31367.869165</c:v>
                </c:pt>
                <c:pt idx="11858">
                  <c:v>31418.91075999999</c:v>
                </c:pt>
                <c:pt idx="11859">
                  <c:v>31470.007694999997</c:v>
                </c:pt>
                <c:pt idx="11860">
                  <c:v>31521.160000000007</c:v>
                </c:pt>
                <c:pt idx="11861">
                  <c:v>31572.367705</c:v>
                </c:pt>
                <c:pt idx="11862">
                  <c:v>31623.63084</c:v>
                </c:pt>
                <c:pt idx="11863">
                  <c:v>31674.949434999995</c:v>
                </c:pt>
                <c:pt idx="11864">
                  <c:v>31726.32352</c:v>
                </c:pt>
                <c:pt idx="11865">
                  <c:v>31777.753124999996</c:v>
                </c:pt>
                <c:pt idx="11866">
                  <c:v>31829.23828</c:v>
                </c:pt>
                <c:pt idx="11867">
                  <c:v>31880.779015000007</c:v>
                </c:pt>
                <c:pt idx="11868">
                  <c:v>31932.37536</c:v>
                </c:pt>
                <c:pt idx="11869">
                  <c:v>31984.02734500001</c:v>
                </c:pt>
                <c:pt idx="11870">
                  <c:v>32035.734999999997</c:v>
                </c:pt>
                <c:pt idx="11871">
                  <c:v>32087.498355000007</c:v>
                </c:pt>
                <c:pt idx="11872">
                  <c:v>32139.317439999995</c:v>
                </c:pt>
                <c:pt idx="11873">
                  <c:v>32191.192285</c:v>
                </c:pt>
                <c:pt idx="11874">
                  <c:v>32243.122919999998</c:v>
                </c:pt>
                <c:pt idx="11875">
                  <c:v>32295.109375</c:v>
                </c:pt>
                <c:pt idx="11876">
                  <c:v>32347.151680000006</c:v>
                </c:pt>
                <c:pt idx="11877">
                  <c:v>32399.249864999994</c:v>
                </c:pt>
                <c:pt idx="11878">
                  <c:v>32451.403960000003</c:v>
                </c:pt>
                <c:pt idx="11879">
                  <c:v>32503.613994999996</c:v>
                </c:pt>
                <c:pt idx="11880">
                  <c:v>32555.88</c:v>
                </c:pt>
                <c:pt idx="11881">
                  <c:v>32608.202004999992</c:v>
                </c:pt>
                <c:pt idx="11882">
                  <c:v>32660.58004</c:v>
                </c:pt>
                <c:pt idx="11883">
                  <c:v>32713.01413499999</c:v>
                </c:pt>
                <c:pt idx="11884">
                  <c:v>32765.50432</c:v>
                </c:pt>
                <c:pt idx="11885">
                  <c:v>32818.05062500001</c:v>
                </c:pt>
                <c:pt idx="11886">
                  <c:v>32870.65308</c:v>
                </c:pt>
                <c:pt idx="11887">
                  <c:v>32923.31171500001</c:v>
                </c:pt>
                <c:pt idx="11888">
                  <c:v>32976.02656</c:v>
                </c:pt>
                <c:pt idx="11889">
                  <c:v>33028.797645</c:v>
                </c:pt>
                <c:pt idx="11890">
                  <c:v>33081.62499999999</c:v>
                </c:pt>
                <c:pt idx="11891">
                  <c:v>33134.508655000005</c:v>
                </c:pt>
                <c:pt idx="11892">
                  <c:v>33187.44864000001</c:v>
                </c:pt>
                <c:pt idx="11893">
                  <c:v>33240.444985</c:v>
                </c:pt>
                <c:pt idx="11894">
                  <c:v>33293.49772000001</c:v>
                </c:pt>
                <c:pt idx="11895">
                  <c:v>33346.60687499999</c:v>
                </c:pt>
                <c:pt idx="11896">
                  <c:v>33399.77248000001</c:v>
                </c:pt>
                <c:pt idx="11897">
                  <c:v>33452.99456499999</c:v>
                </c:pt>
                <c:pt idx="11898">
                  <c:v>33506.27316000001</c:v>
                </c:pt>
                <c:pt idx="11899">
                  <c:v>33559.60829499999</c:v>
                </c:pt>
                <c:pt idx="11900">
                  <c:v>33613.0</c:v>
                </c:pt>
                <c:pt idx="11901">
                  <c:v>33666.44830500001</c:v>
                </c:pt>
                <c:pt idx="11902">
                  <c:v>33719.953239999995</c:v>
                </c:pt>
                <c:pt idx="11903">
                  <c:v>33773.514835</c:v>
                </c:pt>
                <c:pt idx="11904">
                  <c:v>33827.13312</c:v>
                </c:pt>
                <c:pt idx="11905">
                  <c:v>33880.808125</c:v>
                </c:pt>
                <c:pt idx="11906">
                  <c:v>33934.53988</c:v>
                </c:pt>
                <c:pt idx="11907">
                  <c:v>33988.328415</c:v>
                </c:pt>
                <c:pt idx="11908">
                  <c:v>34042.17375999999</c:v>
                </c:pt>
                <c:pt idx="11909">
                  <c:v>34096.07594499999</c:v>
                </c:pt>
                <c:pt idx="11910">
                  <c:v>34150.03500000001</c:v>
                </c:pt>
                <c:pt idx="11911">
                  <c:v>34204.050955</c:v>
                </c:pt>
                <c:pt idx="11912">
                  <c:v>34258.12384</c:v>
                </c:pt>
                <c:pt idx="11913">
                  <c:v>34312.253684999996</c:v>
                </c:pt>
                <c:pt idx="11914">
                  <c:v>34366.440520000004</c:v>
                </c:pt>
                <c:pt idx="11915">
                  <c:v>34420.68437499999</c:v>
                </c:pt>
                <c:pt idx="11916">
                  <c:v>34474.98528000001</c:v>
                </c:pt>
                <c:pt idx="11917">
                  <c:v>34529.34326500001</c:v>
                </c:pt>
                <c:pt idx="11918">
                  <c:v>34583.75836</c:v>
                </c:pt>
                <c:pt idx="11919">
                  <c:v>34638.23059500001</c:v>
                </c:pt>
                <c:pt idx="11920">
                  <c:v>34692.759999999995</c:v>
                </c:pt>
                <c:pt idx="11921">
                  <c:v>34747.346605000006</c:v>
                </c:pt>
                <c:pt idx="11922">
                  <c:v>34801.990439999994</c:v>
                </c:pt>
                <c:pt idx="11923">
                  <c:v>34856.691535000005</c:v>
                </c:pt>
                <c:pt idx="11924">
                  <c:v>34911.44992</c:v>
                </c:pt>
                <c:pt idx="11925">
                  <c:v>34966.265625</c:v>
                </c:pt>
                <c:pt idx="11926">
                  <c:v>35021.138680000004</c:v>
                </c:pt>
                <c:pt idx="11927">
                  <c:v>35076.06911499999</c:v>
                </c:pt>
                <c:pt idx="11928">
                  <c:v>35131.05696</c:v>
                </c:pt>
                <c:pt idx="11929">
                  <c:v>35186.102244999995</c:v>
                </c:pt>
                <c:pt idx="11930">
                  <c:v>35241.205</c:v>
                </c:pt>
                <c:pt idx="11931">
                  <c:v>35296.36525499999</c:v>
                </c:pt>
                <c:pt idx="11932">
                  <c:v>35351.583040000005</c:v>
                </c:pt>
                <c:pt idx="11933">
                  <c:v>35406.85838499999</c:v>
                </c:pt>
                <c:pt idx="11934">
                  <c:v>35462.19132</c:v>
                </c:pt>
                <c:pt idx="11935">
                  <c:v>35517.58187500001</c:v>
                </c:pt>
                <c:pt idx="11936">
                  <c:v>35573.03008</c:v>
                </c:pt>
                <c:pt idx="11937">
                  <c:v>35628.53596500001</c:v>
                </c:pt>
                <c:pt idx="11938">
                  <c:v>35684.099559999995</c:v>
                </c:pt>
                <c:pt idx="11939">
                  <c:v>35739.720895</c:v>
                </c:pt>
                <c:pt idx="11940">
                  <c:v>35795.39999999999</c:v>
                </c:pt>
                <c:pt idx="11941">
                  <c:v>35851.13690500001</c:v>
                </c:pt>
                <c:pt idx="11942">
                  <c:v>35906.93164000001</c:v>
                </c:pt>
                <c:pt idx="11943">
                  <c:v>35962.784235</c:v>
                </c:pt>
                <c:pt idx="11944">
                  <c:v>36018.69472000001</c:v>
                </c:pt>
                <c:pt idx="11945">
                  <c:v>36074.66312499999</c:v>
                </c:pt>
                <c:pt idx="11946">
                  <c:v>36130.68948000001</c:v>
                </c:pt>
                <c:pt idx="11947">
                  <c:v>36186.77381499999</c:v>
                </c:pt>
                <c:pt idx="11948">
                  <c:v>36242.91616000001</c:v>
                </c:pt>
                <c:pt idx="11949">
                  <c:v>36299.11654499999</c:v>
                </c:pt>
                <c:pt idx="11950">
                  <c:v>36355.375</c:v>
                </c:pt>
                <c:pt idx="11951">
                  <c:v>36411.691555000005</c:v>
                </c:pt>
                <c:pt idx="11952">
                  <c:v>36468.06623999999</c:v>
                </c:pt>
                <c:pt idx="11953">
                  <c:v>36524.499085</c:v>
                </c:pt>
                <c:pt idx="11954">
                  <c:v>36580.990119999995</c:v>
                </c:pt>
                <c:pt idx="11955">
                  <c:v>36637.53937500001</c:v>
                </c:pt>
                <c:pt idx="11956">
                  <c:v>36694.14687999999</c:v>
                </c:pt>
                <c:pt idx="11957">
                  <c:v>36750.812665000005</c:v>
                </c:pt>
                <c:pt idx="11958">
                  <c:v>36807.53675999998</c:v>
                </c:pt>
                <c:pt idx="11959">
                  <c:v>36864.319195</c:v>
                </c:pt>
                <c:pt idx="11960">
                  <c:v>36921.16000000001</c:v>
                </c:pt>
                <c:pt idx="11961">
                  <c:v>36978.059205</c:v>
                </c:pt>
                <c:pt idx="11962">
                  <c:v>37035.016840000004</c:v>
                </c:pt>
                <c:pt idx="11963">
                  <c:v>37092.032934999996</c:v>
                </c:pt>
                <c:pt idx="11964">
                  <c:v>37149.107520000005</c:v>
                </c:pt>
                <c:pt idx="11965">
                  <c:v>37206.240624999984</c:v>
                </c:pt>
                <c:pt idx="11966">
                  <c:v>37263.43228</c:v>
                </c:pt>
                <c:pt idx="11967">
                  <c:v>37320.682515000015</c:v>
                </c:pt>
                <c:pt idx="11968">
                  <c:v>37377.99135999999</c:v>
                </c:pt>
                <c:pt idx="11969">
                  <c:v>37435.358845</c:v>
                </c:pt>
                <c:pt idx="11970">
                  <c:v>37492.784999999996</c:v>
                </c:pt>
                <c:pt idx="11971">
                  <c:v>37550.269855</c:v>
                </c:pt>
                <c:pt idx="11972">
                  <c:v>37607.81344</c:v>
                </c:pt>
                <c:pt idx="11973">
                  <c:v>37665.415785000005</c:v>
                </c:pt>
                <c:pt idx="11974">
                  <c:v>37723.07691999999</c:v>
                </c:pt>
                <c:pt idx="11975">
                  <c:v>37780.796875</c:v>
                </c:pt>
                <c:pt idx="11976">
                  <c:v>37838.57568</c:v>
                </c:pt>
                <c:pt idx="11977">
                  <c:v>37896.41336499999</c:v>
                </c:pt>
                <c:pt idx="11978">
                  <c:v>37954.30996</c:v>
                </c:pt>
                <c:pt idx="11979">
                  <c:v>38012.26549499999</c:v>
                </c:pt>
                <c:pt idx="11980">
                  <c:v>38070.280000000006</c:v>
                </c:pt>
                <c:pt idx="11981">
                  <c:v>38128.35350499999</c:v>
                </c:pt>
                <c:pt idx="11982">
                  <c:v>38186.48604</c:v>
                </c:pt>
                <c:pt idx="11983">
                  <c:v>38244.67763499999</c:v>
                </c:pt>
                <c:pt idx="11984">
                  <c:v>38302.92832</c:v>
                </c:pt>
                <c:pt idx="11985">
                  <c:v>38361.23812500002</c:v>
                </c:pt>
                <c:pt idx="11986">
                  <c:v>38419.607079999994</c:v>
                </c:pt>
                <c:pt idx="11987">
                  <c:v>38478.035215</c:v>
                </c:pt>
                <c:pt idx="11988">
                  <c:v>38536.52255999999</c:v>
                </c:pt>
                <c:pt idx="11989">
                  <c:v>38595.06914500001</c:v>
                </c:pt>
                <c:pt idx="11990">
                  <c:v>38653.674999999996</c:v>
                </c:pt>
                <c:pt idx="11991">
                  <c:v>38712.340155000005</c:v>
                </c:pt>
                <c:pt idx="11992">
                  <c:v>38771.06464000001</c:v>
                </c:pt>
                <c:pt idx="11993">
                  <c:v>38829.848484999995</c:v>
                </c:pt>
                <c:pt idx="11994">
                  <c:v>38888.69172000001</c:v>
                </c:pt>
                <c:pt idx="11995">
                  <c:v>38947.594375</c:v>
                </c:pt>
                <c:pt idx="11996">
                  <c:v>39006.55648</c:v>
                </c:pt>
                <c:pt idx="11997">
                  <c:v>39065.578065</c:v>
                </c:pt>
                <c:pt idx="11998">
                  <c:v>39124.65916</c:v>
                </c:pt>
                <c:pt idx="11999">
                  <c:v>39183.79979499999</c:v>
                </c:pt>
                <c:pt idx="12000">
                  <c:v>39243.0</c:v>
                </c:pt>
                <c:pt idx="12001">
                  <c:v>39302.25980500001</c:v>
                </c:pt>
                <c:pt idx="12002">
                  <c:v>39361.57923999999</c:v>
                </c:pt>
                <c:pt idx="12003">
                  <c:v>39420.958335</c:v>
                </c:pt>
                <c:pt idx="12004">
                  <c:v>39480.39712</c:v>
                </c:pt>
                <c:pt idx="12005">
                  <c:v>39539.89562500001</c:v>
                </c:pt>
                <c:pt idx="12006">
                  <c:v>39599.453879999994</c:v>
                </c:pt>
                <c:pt idx="12007">
                  <c:v>39659.071915</c:v>
                </c:pt>
                <c:pt idx="12008">
                  <c:v>39718.74975999999</c:v>
                </c:pt>
                <c:pt idx="12009">
                  <c:v>39778.48744499999</c:v>
                </c:pt>
                <c:pt idx="12010">
                  <c:v>39838.28500000001</c:v>
                </c:pt>
                <c:pt idx="12011">
                  <c:v>39898.142454999994</c:v>
                </c:pt>
                <c:pt idx="12012">
                  <c:v>39958.05984000001</c:v>
                </c:pt>
                <c:pt idx="12013">
                  <c:v>40018.037184999994</c:v>
                </c:pt>
                <c:pt idx="12014">
                  <c:v>40078.07452</c:v>
                </c:pt>
                <c:pt idx="12015">
                  <c:v>40138.171874999985</c:v>
                </c:pt>
                <c:pt idx="12016">
                  <c:v>40198.329280000005</c:v>
                </c:pt>
                <c:pt idx="12017">
                  <c:v>40258.546765000014</c:v>
                </c:pt>
                <c:pt idx="12018">
                  <c:v>40318.82436</c:v>
                </c:pt>
                <c:pt idx="12019">
                  <c:v>40379.16209500001</c:v>
                </c:pt>
                <c:pt idx="12020">
                  <c:v>40439.55999999999</c:v>
                </c:pt>
                <c:pt idx="12021">
                  <c:v>40500.018105</c:v>
                </c:pt>
                <c:pt idx="12022">
                  <c:v>40560.536439999996</c:v>
                </c:pt>
                <c:pt idx="12023">
                  <c:v>40621.115035</c:v>
                </c:pt>
                <c:pt idx="12024">
                  <c:v>40681.753919999996</c:v>
                </c:pt>
                <c:pt idx="12025">
                  <c:v>40742.453125</c:v>
                </c:pt>
                <c:pt idx="12026">
                  <c:v>40803.21268000001</c:v>
                </c:pt>
                <c:pt idx="12027">
                  <c:v>40864.032615000004</c:v>
                </c:pt>
                <c:pt idx="12028">
                  <c:v>40924.91296</c:v>
                </c:pt>
                <c:pt idx="12029">
                  <c:v>40985.853745</c:v>
                </c:pt>
                <c:pt idx="12030">
                  <c:v>41046.85500000001</c:v>
                </c:pt>
                <c:pt idx="12031">
                  <c:v>41107.91675499999</c:v>
                </c:pt>
                <c:pt idx="12032">
                  <c:v>41169.03904000001</c:v>
                </c:pt>
                <c:pt idx="12033">
                  <c:v>41230.22188499999</c:v>
                </c:pt>
                <c:pt idx="12034">
                  <c:v>41291.465319999996</c:v>
                </c:pt>
                <c:pt idx="12035">
                  <c:v>41352.76937500001</c:v>
                </c:pt>
                <c:pt idx="12036">
                  <c:v>41414.13407999999</c:v>
                </c:pt>
                <c:pt idx="12037">
                  <c:v>41475.55946500001</c:v>
                </c:pt>
                <c:pt idx="12038">
                  <c:v>41537.04556</c:v>
                </c:pt>
                <c:pt idx="12039">
                  <c:v>41598.59239499999</c:v>
                </c:pt>
                <c:pt idx="12040">
                  <c:v>41660.19999999999</c:v>
                </c:pt>
                <c:pt idx="12041">
                  <c:v>41721.868405</c:v>
                </c:pt>
                <c:pt idx="12042">
                  <c:v>41783.597640000015</c:v>
                </c:pt>
                <c:pt idx="12043">
                  <c:v>41845.387735</c:v>
                </c:pt>
                <c:pt idx="12044">
                  <c:v>41907.23872000001</c:v>
                </c:pt>
                <c:pt idx="12045">
                  <c:v>41969.150624999995</c:v>
                </c:pt>
                <c:pt idx="12046">
                  <c:v>42031.12348</c:v>
                </c:pt>
                <c:pt idx="12047">
                  <c:v>42093.157315</c:v>
                </c:pt>
                <c:pt idx="12048">
                  <c:v>42155.25216000001</c:v>
                </c:pt>
                <c:pt idx="12049">
                  <c:v>42217.40804499999</c:v>
                </c:pt>
                <c:pt idx="12050">
                  <c:v>42279.625</c:v>
                </c:pt>
                <c:pt idx="12051">
                  <c:v>42341.903055</c:v>
                </c:pt>
                <c:pt idx="12052">
                  <c:v>42404.24224</c:v>
                </c:pt>
                <c:pt idx="12053">
                  <c:v>42466.642585</c:v>
                </c:pt>
                <c:pt idx="12054">
                  <c:v>42529.10412</c:v>
                </c:pt>
                <c:pt idx="12055">
                  <c:v>42591.626875</c:v>
                </c:pt>
                <c:pt idx="12056">
                  <c:v>42654.21087999999</c:v>
                </c:pt>
                <c:pt idx="12057">
                  <c:v>42716.856165000005</c:v>
                </c:pt>
                <c:pt idx="12058">
                  <c:v>42779.562759999986</c:v>
                </c:pt>
                <c:pt idx="12059">
                  <c:v>42842.33069499999</c:v>
                </c:pt>
                <c:pt idx="12060">
                  <c:v>42905.16000000002</c:v>
                </c:pt>
                <c:pt idx="12061">
                  <c:v>42968.050705</c:v>
                </c:pt>
                <c:pt idx="12062">
                  <c:v>43031.002840000016</c:v>
                </c:pt>
                <c:pt idx="12063">
                  <c:v>43094.01643499999</c:v>
                </c:pt>
                <c:pt idx="12064">
                  <c:v>43157.09152</c:v>
                </c:pt>
                <c:pt idx="12065">
                  <c:v>43220.22812499999</c:v>
                </c:pt>
                <c:pt idx="12066">
                  <c:v>43283.42628000001</c:v>
                </c:pt>
                <c:pt idx="12067">
                  <c:v>43346.686015000014</c:v>
                </c:pt>
                <c:pt idx="12068">
                  <c:v>43410.007359999996</c:v>
                </c:pt>
                <c:pt idx="12069">
                  <c:v>43473.390345000014</c:v>
                </c:pt>
                <c:pt idx="12070">
                  <c:v>43536.83499999999</c:v>
                </c:pt>
                <c:pt idx="12071">
                  <c:v>43600.341355000004</c:v>
                </c:pt>
                <c:pt idx="12072">
                  <c:v>43663.909439999996</c:v>
                </c:pt>
                <c:pt idx="12073">
                  <c:v>43727.539285</c:v>
                </c:pt>
                <c:pt idx="12074">
                  <c:v>43791.230919999995</c:v>
                </c:pt>
                <c:pt idx="12075">
                  <c:v>43854.984375</c:v>
                </c:pt>
                <c:pt idx="12076">
                  <c:v>43918.79968000001</c:v>
                </c:pt>
                <c:pt idx="12077">
                  <c:v>43982.676864999994</c:v>
                </c:pt>
                <c:pt idx="12078">
                  <c:v>44046.61596</c:v>
                </c:pt>
                <c:pt idx="12079">
                  <c:v>44110.616995</c:v>
                </c:pt>
                <c:pt idx="12080">
                  <c:v>44174.68</c:v>
                </c:pt>
                <c:pt idx="12081">
                  <c:v>44238.805004999995</c:v>
                </c:pt>
                <c:pt idx="12082">
                  <c:v>44302.99204</c:v>
                </c:pt>
                <c:pt idx="12083">
                  <c:v>44367.24113499998</c:v>
                </c:pt>
                <c:pt idx="12084">
                  <c:v>44431.552319999995</c:v>
                </c:pt>
                <c:pt idx="12085">
                  <c:v>44495.92562500001</c:v>
                </c:pt>
                <c:pt idx="12086">
                  <c:v>44560.36108</c:v>
                </c:pt>
                <c:pt idx="12087">
                  <c:v>44624.85871500001</c:v>
                </c:pt>
                <c:pt idx="12088">
                  <c:v>44689.41855999999</c:v>
                </c:pt>
                <c:pt idx="12089">
                  <c:v>44754.040644999994</c:v>
                </c:pt>
                <c:pt idx="12090">
                  <c:v>44818.724999999984</c:v>
                </c:pt>
                <c:pt idx="12091">
                  <c:v>44883.47165500001</c:v>
                </c:pt>
                <c:pt idx="12092">
                  <c:v>44948.28064000001</c:v>
                </c:pt>
                <c:pt idx="12093">
                  <c:v>45013.151985</c:v>
                </c:pt>
                <c:pt idx="12094">
                  <c:v>45078.08572</c:v>
                </c:pt>
                <c:pt idx="12095">
                  <c:v>45143.081874999996</c:v>
                </c:pt>
                <c:pt idx="12096">
                  <c:v>45208.14048</c:v>
                </c:pt>
                <c:pt idx="12097">
                  <c:v>45273.26156499999</c:v>
                </c:pt>
                <c:pt idx="12098">
                  <c:v>45338.44516</c:v>
                </c:pt>
                <c:pt idx="12099">
                  <c:v>45403.69129499999</c:v>
                </c:pt>
                <c:pt idx="12100">
                  <c:v>45469.0</c:v>
                </c:pt>
                <c:pt idx="12101">
                  <c:v>45534.371305000015</c:v>
                </c:pt>
                <c:pt idx="12102">
                  <c:v>45599.805239999994</c:v>
                </c:pt>
                <c:pt idx="12103">
                  <c:v>45665.301835000006</c:v>
                </c:pt>
                <c:pt idx="12104">
                  <c:v>45730.861119999994</c:v>
                </c:pt>
                <c:pt idx="12105">
                  <c:v>45796.483125000006</c:v>
                </c:pt>
                <c:pt idx="12106">
                  <c:v>45862.167879999986</c:v>
                </c:pt>
                <c:pt idx="12107">
                  <c:v>45927.915415</c:v>
                </c:pt>
                <c:pt idx="12108">
                  <c:v>45993.72575999999</c:v>
                </c:pt>
                <c:pt idx="12109">
                  <c:v>46059.59894499999</c:v>
                </c:pt>
                <c:pt idx="12110">
                  <c:v>46125.53500000002</c:v>
                </c:pt>
                <c:pt idx="12111">
                  <c:v>46191.533955</c:v>
                </c:pt>
                <c:pt idx="12112">
                  <c:v>46257.59584</c:v>
                </c:pt>
                <c:pt idx="12113">
                  <c:v>46323.72068499999</c:v>
                </c:pt>
                <c:pt idx="12114">
                  <c:v>46389.908520000005</c:v>
                </c:pt>
                <c:pt idx="12115">
                  <c:v>46456.159374999996</c:v>
                </c:pt>
                <c:pt idx="12116">
                  <c:v>46522.473280000006</c:v>
                </c:pt>
                <c:pt idx="12117">
                  <c:v>46588.850265000015</c:v>
                </c:pt>
                <c:pt idx="12118">
                  <c:v>46655.29036</c:v>
                </c:pt>
                <c:pt idx="12119">
                  <c:v>46721.793595</c:v>
                </c:pt>
                <c:pt idx="12120">
                  <c:v>46788.35999999999</c:v>
                </c:pt>
                <c:pt idx="12121">
                  <c:v>46854.989605</c:v>
                </c:pt>
                <c:pt idx="12122">
                  <c:v>46921.68244</c:v>
                </c:pt>
                <c:pt idx="12123">
                  <c:v>46988.43853500001</c:v>
                </c:pt>
                <c:pt idx="12124">
                  <c:v>47055.25792</c:v>
                </c:pt>
                <c:pt idx="12125">
                  <c:v>47122.140625</c:v>
                </c:pt>
                <c:pt idx="12126">
                  <c:v>47189.086680000015</c:v>
                </c:pt>
                <c:pt idx="12127">
                  <c:v>47256.09611499999</c:v>
                </c:pt>
                <c:pt idx="12128">
                  <c:v>47323.16896000001</c:v>
                </c:pt>
                <c:pt idx="12129">
                  <c:v>47390.305244999996</c:v>
                </c:pt>
                <c:pt idx="12130">
                  <c:v>47457.50500000001</c:v>
                </c:pt>
                <c:pt idx="12131">
                  <c:v>47524.768254999995</c:v>
                </c:pt>
                <c:pt idx="12132">
                  <c:v>47592.09504000001</c:v>
                </c:pt>
                <c:pt idx="12133">
                  <c:v>47659.485384999985</c:v>
                </c:pt>
                <c:pt idx="12134">
                  <c:v>47726.93932</c:v>
                </c:pt>
                <c:pt idx="12135">
                  <c:v>47794.45687500002</c:v>
                </c:pt>
                <c:pt idx="12136">
                  <c:v>47862.038080000006</c:v>
                </c:pt>
                <c:pt idx="12137">
                  <c:v>47929.68296500001</c:v>
                </c:pt>
                <c:pt idx="12138">
                  <c:v>47997.39156</c:v>
                </c:pt>
                <c:pt idx="12139">
                  <c:v>48065.163895000005</c:v>
                </c:pt>
                <c:pt idx="12140">
                  <c:v>48132.999999999985</c:v>
                </c:pt>
                <c:pt idx="12141">
                  <c:v>48200.899905000006</c:v>
                </c:pt>
                <c:pt idx="12142">
                  <c:v>48268.86364000002</c:v>
                </c:pt>
                <c:pt idx="12143">
                  <c:v>48336.891234999996</c:v>
                </c:pt>
                <c:pt idx="12144">
                  <c:v>48404.98272000001</c:v>
                </c:pt>
                <c:pt idx="12145">
                  <c:v>48473.13812499999</c:v>
                </c:pt>
                <c:pt idx="12146">
                  <c:v>48541.357480000006</c:v>
                </c:pt>
                <c:pt idx="12147">
                  <c:v>48609.640815</c:v>
                </c:pt>
                <c:pt idx="12148">
                  <c:v>48677.98816</c:v>
                </c:pt>
                <c:pt idx="12149">
                  <c:v>48746.39954499999</c:v>
                </c:pt>
                <c:pt idx="12150">
                  <c:v>48814.875</c:v>
                </c:pt>
                <c:pt idx="12151">
                  <c:v>48883.414555</c:v>
                </c:pt>
                <c:pt idx="12152">
                  <c:v>48952.01823999999</c:v>
                </c:pt>
                <c:pt idx="12153">
                  <c:v>49020.68608500001</c:v>
                </c:pt>
                <c:pt idx="12154">
                  <c:v>49089.418119999995</c:v>
                </c:pt>
                <c:pt idx="12155">
                  <c:v>49158.21437500001</c:v>
                </c:pt>
                <c:pt idx="12156">
                  <c:v>49227.07487999999</c:v>
                </c:pt>
                <c:pt idx="12157">
                  <c:v>49295.99966500001</c:v>
                </c:pt>
                <c:pt idx="12158">
                  <c:v>49364.988759999986</c:v>
                </c:pt>
                <c:pt idx="12159">
                  <c:v>49434.042194999995</c:v>
                </c:pt>
                <c:pt idx="12160">
                  <c:v>49503.16000000001</c:v>
                </c:pt>
                <c:pt idx="12161">
                  <c:v>49572.342205</c:v>
                </c:pt>
                <c:pt idx="12162">
                  <c:v>49641.588840000004</c:v>
                </c:pt>
                <c:pt idx="12163">
                  <c:v>49710.899934999994</c:v>
                </c:pt>
                <c:pt idx="12164">
                  <c:v>49780.27552</c:v>
                </c:pt>
                <c:pt idx="12165">
                  <c:v>49849.71562499998</c:v>
                </c:pt>
                <c:pt idx="12166">
                  <c:v>49919.22028000001</c:v>
                </c:pt>
                <c:pt idx="12167">
                  <c:v>49988.78951500001</c:v>
                </c:pt>
                <c:pt idx="12168">
                  <c:v>50058.42336</c:v>
                </c:pt>
                <c:pt idx="12169">
                  <c:v>50128.12184500001</c:v>
                </c:pt>
                <c:pt idx="12170">
                  <c:v>50197.88499999999</c:v>
                </c:pt>
                <c:pt idx="12171">
                  <c:v>50267.712855</c:v>
                </c:pt>
                <c:pt idx="12172">
                  <c:v>50337.60543999999</c:v>
                </c:pt>
                <c:pt idx="12173">
                  <c:v>50407.562785</c:v>
                </c:pt>
                <c:pt idx="12174">
                  <c:v>50477.584919999994</c:v>
                </c:pt>
                <c:pt idx="12175">
                  <c:v>50547.671875</c:v>
                </c:pt>
                <c:pt idx="12176">
                  <c:v>50617.82368000001</c:v>
                </c:pt>
                <c:pt idx="12177">
                  <c:v>50688.04036499999</c:v>
                </c:pt>
                <c:pt idx="12178">
                  <c:v>50758.32196000001</c:v>
                </c:pt>
                <c:pt idx="12179">
                  <c:v>50828.66849499999</c:v>
                </c:pt>
                <c:pt idx="12180">
                  <c:v>50899.08000000001</c:v>
                </c:pt>
                <c:pt idx="12181">
                  <c:v>50969.55650499999</c:v>
                </c:pt>
                <c:pt idx="12182">
                  <c:v>51040.09804</c:v>
                </c:pt>
                <c:pt idx="12183">
                  <c:v>51110.70463499998</c:v>
                </c:pt>
                <c:pt idx="12184">
                  <c:v>51181.376319999996</c:v>
                </c:pt>
                <c:pt idx="12185">
                  <c:v>51252.11312500002</c:v>
                </c:pt>
                <c:pt idx="12186">
                  <c:v>51322.91508</c:v>
                </c:pt>
                <c:pt idx="12187">
                  <c:v>51393.782215</c:v>
                </c:pt>
                <c:pt idx="12188">
                  <c:v>51464.71455999999</c:v>
                </c:pt>
                <c:pt idx="12189">
                  <c:v>51535.712145000005</c:v>
                </c:pt>
                <c:pt idx="12190">
                  <c:v>51606.77499999998</c:v>
                </c:pt>
                <c:pt idx="12191">
                  <c:v>51677.903155</c:v>
                </c:pt>
                <c:pt idx="12192">
                  <c:v>51749.09664000001</c:v>
                </c:pt>
                <c:pt idx="12193">
                  <c:v>51820.355485</c:v>
                </c:pt>
                <c:pt idx="12194">
                  <c:v>51891.67972</c:v>
                </c:pt>
                <c:pt idx="12195">
                  <c:v>51963.069374999985</c:v>
                </c:pt>
                <c:pt idx="12196">
                  <c:v>52034.52448</c:v>
                </c:pt>
                <c:pt idx="12197">
                  <c:v>52106.045065</c:v>
                </c:pt>
                <c:pt idx="12198">
                  <c:v>52177.631160000004</c:v>
                </c:pt>
                <c:pt idx="12199">
                  <c:v>52249.28279499999</c:v>
                </c:pt>
                <c:pt idx="12200">
                  <c:v>52321.0</c:v>
                </c:pt>
                <c:pt idx="12201">
                  <c:v>52392.78280500001</c:v>
                </c:pt>
                <c:pt idx="12202">
                  <c:v>52464.63123999999</c:v>
                </c:pt>
                <c:pt idx="12203">
                  <c:v>52536.545335</c:v>
                </c:pt>
                <c:pt idx="12204">
                  <c:v>52608.52511999999</c:v>
                </c:pt>
                <c:pt idx="12205">
                  <c:v>52680.570625000015</c:v>
                </c:pt>
                <c:pt idx="12206">
                  <c:v>52752.68187999999</c:v>
                </c:pt>
                <c:pt idx="12207">
                  <c:v>52824.858915</c:v>
                </c:pt>
                <c:pt idx="12208">
                  <c:v>52897.10175999999</c:v>
                </c:pt>
                <c:pt idx="12209">
                  <c:v>52969.410445</c:v>
                </c:pt>
                <c:pt idx="12210">
                  <c:v>53041.78500000002</c:v>
                </c:pt>
                <c:pt idx="12211">
                  <c:v>53114.225455</c:v>
                </c:pt>
                <c:pt idx="12212">
                  <c:v>53186.73184000001</c:v>
                </c:pt>
                <c:pt idx="12213">
                  <c:v>53259.30418499999</c:v>
                </c:pt>
                <c:pt idx="12214">
                  <c:v>53331.942520000004</c:v>
                </c:pt>
                <c:pt idx="12215">
                  <c:v>53404.646874999984</c:v>
                </c:pt>
                <c:pt idx="12216">
                  <c:v>53477.41728</c:v>
                </c:pt>
                <c:pt idx="12217">
                  <c:v>53550.253765000016</c:v>
                </c:pt>
                <c:pt idx="12218">
                  <c:v>53623.15636</c:v>
                </c:pt>
                <c:pt idx="12219">
                  <c:v>53696.125095</c:v>
                </c:pt>
                <c:pt idx="12220">
                  <c:v>53769.15999999999</c:v>
                </c:pt>
                <c:pt idx="12221">
                  <c:v>53842.261105</c:v>
                </c:pt>
                <c:pt idx="12222">
                  <c:v>53915.428439999996</c:v>
                </c:pt>
                <c:pt idx="12223">
                  <c:v>53988.662035</c:v>
                </c:pt>
                <c:pt idx="12224">
                  <c:v>54061.96191999999</c:v>
                </c:pt>
                <c:pt idx="12225">
                  <c:v>54135.328125</c:v>
                </c:pt>
                <c:pt idx="12226">
                  <c:v>54208.760680000014</c:v>
                </c:pt>
                <c:pt idx="12227">
                  <c:v>54282.259614999995</c:v>
                </c:pt>
                <c:pt idx="12228">
                  <c:v>54355.82496000001</c:v>
                </c:pt>
                <c:pt idx="12229">
                  <c:v>54429.456745</c:v>
                </c:pt>
                <c:pt idx="12230">
                  <c:v>54503.155000000006</c:v>
                </c:pt>
                <c:pt idx="12231">
                  <c:v>54576.919754999995</c:v>
                </c:pt>
                <c:pt idx="12232">
                  <c:v>54650.75104</c:v>
                </c:pt>
                <c:pt idx="12233">
                  <c:v>54724.64888499999</c:v>
                </c:pt>
                <c:pt idx="12234">
                  <c:v>54798.61332</c:v>
                </c:pt>
                <c:pt idx="12235">
                  <c:v>54872.64437500002</c:v>
                </c:pt>
                <c:pt idx="12236">
                  <c:v>54946.742079999996</c:v>
                </c:pt>
                <c:pt idx="12237">
                  <c:v>55020.906465</c:v>
                </c:pt>
                <c:pt idx="12238">
                  <c:v>55095.137559999996</c:v>
                </c:pt>
                <c:pt idx="12239">
                  <c:v>55169.435395</c:v>
                </c:pt>
                <c:pt idx="12240">
                  <c:v>55243.79999999999</c:v>
                </c:pt>
                <c:pt idx="12241">
                  <c:v>55318.231405000006</c:v>
                </c:pt>
                <c:pt idx="12242">
                  <c:v>55392.72964000001</c:v>
                </c:pt>
                <c:pt idx="12243">
                  <c:v>55467.294735</c:v>
                </c:pt>
                <c:pt idx="12244">
                  <c:v>55541.92672000001</c:v>
                </c:pt>
                <c:pt idx="12245">
                  <c:v>55616.62562499999</c:v>
                </c:pt>
                <c:pt idx="12246">
                  <c:v>55691.391480000006</c:v>
                </c:pt>
                <c:pt idx="12247">
                  <c:v>55766.224315</c:v>
                </c:pt>
                <c:pt idx="12248">
                  <c:v>55841.12416000001</c:v>
                </c:pt>
                <c:pt idx="12249">
                  <c:v>55916.091044999994</c:v>
                </c:pt>
                <c:pt idx="12250">
                  <c:v>55991.125</c:v>
                </c:pt>
                <c:pt idx="12251">
                  <c:v>56066.22605500001</c:v>
                </c:pt>
                <c:pt idx="12252">
                  <c:v>56141.394239999994</c:v>
                </c:pt>
                <c:pt idx="12253">
                  <c:v>56216.62958500001</c:v>
                </c:pt>
                <c:pt idx="12254">
                  <c:v>56291.93212</c:v>
                </c:pt>
                <c:pt idx="12255">
                  <c:v>56367.30187500001</c:v>
                </c:pt>
                <c:pt idx="12256">
                  <c:v>56442.73888</c:v>
                </c:pt>
                <c:pt idx="12257">
                  <c:v>56518.243165</c:v>
                </c:pt>
                <c:pt idx="12258">
                  <c:v>56593.81475999999</c:v>
                </c:pt>
                <c:pt idx="12259">
                  <c:v>56669.453695</c:v>
                </c:pt>
                <c:pt idx="12260">
                  <c:v>56745.16000000001</c:v>
                </c:pt>
                <c:pt idx="12261">
                  <c:v>56820.933704999996</c:v>
                </c:pt>
                <c:pt idx="12262">
                  <c:v>56896.77484</c:v>
                </c:pt>
                <c:pt idx="12263">
                  <c:v>56972.68343499999</c:v>
                </c:pt>
                <c:pt idx="12264">
                  <c:v>57048.65952000001</c:v>
                </c:pt>
                <c:pt idx="12265">
                  <c:v>57124.703124999985</c:v>
                </c:pt>
                <c:pt idx="12266">
                  <c:v>57200.81428</c:v>
                </c:pt>
                <c:pt idx="12267">
                  <c:v>57276.993015000015</c:v>
                </c:pt>
                <c:pt idx="12268">
                  <c:v>57353.23936</c:v>
                </c:pt>
                <c:pt idx="12269">
                  <c:v>57429.55334500001</c:v>
                </c:pt>
                <c:pt idx="12270">
                  <c:v>57505.93499999999</c:v>
                </c:pt>
                <c:pt idx="12271">
                  <c:v>57582.384355</c:v>
                </c:pt>
                <c:pt idx="12272">
                  <c:v>57658.90143999999</c:v>
                </c:pt>
                <c:pt idx="12273">
                  <c:v>57735.486285000006</c:v>
                </c:pt>
                <c:pt idx="12274">
                  <c:v>57812.13891999999</c:v>
                </c:pt>
                <c:pt idx="12275">
                  <c:v>57888.859375</c:v>
                </c:pt>
                <c:pt idx="12276">
                  <c:v>57965.64768000001</c:v>
                </c:pt>
                <c:pt idx="12277">
                  <c:v>58042.50386499999</c:v>
                </c:pt>
                <c:pt idx="12278">
                  <c:v>58119.42796000001</c:v>
                </c:pt>
                <c:pt idx="12279">
                  <c:v>58196.419995</c:v>
                </c:pt>
                <c:pt idx="12280">
                  <c:v>58273.48</c:v>
                </c:pt>
                <c:pt idx="12281">
                  <c:v>58350.60800499999</c:v>
                </c:pt>
                <c:pt idx="12282">
                  <c:v>58427.80404</c:v>
                </c:pt>
                <c:pt idx="12283">
                  <c:v>58505.06813499998</c:v>
                </c:pt>
                <c:pt idx="12284">
                  <c:v>58582.40031999999</c:v>
                </c:pt>
                <c:pt idx="12285">
                  <c:v>58659.80062500001</c:v>
                </c:pt>
                <c:pt idx="12286">
                  <c:v>58737.26907999999</c:v>
                </c:pt>
                <c:pt idx="12287">
                  <c:v>58814.80571500001</c:v>
                </c:pt>
                <c:pt idx="12288">
                  <c:v>58892.41055999999</c:v>
                </c:pt>
                <c:pt idx="12289">
                  <c:v>58970.083645000006</c:v>
                </c:pt>
                <c:pt idx="12290">
                  <c:v>59047.82499999999</c:v>
                </c:pt>
                <c:pt idx="12291">
                  <c:v>59125.63465500001</c:v>
                </c:pt>
                <c:pt idx="12292">
                  <c:v>59203.51264000001</c:v>
                </c:pt>
                <c:pt idx="12293">
                  <c:v>59281.458985</c:v>
                </c:pt>
                <c:pt idx="12294">
                  <c:v>59359.47372000001</c:v>
                </c:pt>
                <c:pt idx="12295">
                  <c:v>59437.556875</c:v>
                </c:pt>
                <c:pt idx="12296">
                  <c:v>59515.70848000001</c:v>
                </c:pt>
                <c:pt idx="12297">
                  <c:v>59593.928564999995</c:v>
                </c:pt>
                <c:pt idx="12298">
                  <c:v>59672.21716000001</c:v>
                </c:pt>
                <c:pt idx="12299">
                  <c:v>59750.57429499999</c:v>
                </c:pt>
                <c:pt idx="12300">
                  <c:v>59829.0</c:v>
                </c:pt>
                <c:pt idx="12301">
                  <c:v>59907.494305000015</c:v>
                </c:pt>
                <c:pt idx="12302">
                  <c:v>59986.05724</c:v>
                </c:pt>
                <c:pt idx="12303">
                  <c:v>60064.688835</c:v>
                </c:pt>
                <c:pt idx="12304">
                  <c:v>60143.38912</c:v>
                </c:pt>
                <c:pt idx="12305">
                  <c:v>60222.158125</c:v>
                </c:pt>
                <c:pt idx="12306">
                  <c:v>60300.995879999995</c:v>
                </c:pt>
                <c:pt idx="12307">
                  <c:v>60379.902415</c:v>
                </c:pt>
                <c:pt idx="12308">
                  <c:v>60458.87775999999</c:v>
                </c:pt>
                <c:pt idx="12309">
                  <c:v>60537.921944999995</c:v>
                </c:pt>
                <c:pt idx="12310">
                  <c:v>60617.03500000001</c:v>
                </c:pt>
                <c:pt idx="12311">
                  <c:v>60696.216954999996</c:v>
                </c:pt>
                <c:pt idx="12312">
                  <c:v>60775.467840000005</c:v>
                </c:pt>
                <c:pt idx="12313">
                  <c:v>60854.78768499999</c:v>
                </c:pt>
                <c:pt idx="12314">
                  <c:v>60934.17652000001</c:v>
                </c:pt>
                <c:pt idx="12315">
                  <c:v>61013.63437499998</c:v>
                </c:pt>
                <c:pt idx="12316">
                  <c:v>61093.16128000001</c:v>
                </c:pt>
                <c:pt idx="12317">
                  <c:v>61172.757265000015</c:v>
                </c:pt>
                <c:pt idx="12318">
                  <c:v>61252.42236</c:v>
                </c:pt>
                <c:pt idx="12319">
                  <c:v>61332.156595000015</c:v>
                </c:pt>
                <c:pt idx="12320">
                  <c:v>61411.95999999999</c:v>
                </c:pt>
                <c:pt idx="12321">
                  <c:v>61491.83260500001</c:v>
                </c:pt>
                <c:pt idx="12322">
                  <c:v>61571.77444</c:v>
                </c:pt>
                <c:pt idx="12323">
                  <c:v>61651.785535</c:v>
                </c:pt>
                <c:pt idx="12324">
                  <c:v>61731.86591999999</c:v>
                </c:pt>
                <c:pt idx="12325">
                  <c:v>61812.015625</c:v>
                </c:pt>
                <c:pt idx="12326">
                  <c:v>61892.23468000001</c:v>
                </c:pt>
                <c:pt idx="12327">
                  <c:v>61972.523114999996</c:v>
                </c:pt>
                <c:pt idx="12328">
                  <c:v>62052.88096000001</c:v>
                </c:pt>
                <c:pt idx="12329">
                  <c:v>62133.30824499999</c:v>
                </c:pt>
                <c:pt idx="12330">
                  <c:v>62213.80500000001</c:v>
                </c:pt>
                <c:pt idx="12331">
                  <c:v>62294.37125499999</c:v>
                </c:pt>
                <c:pt idx="12332">
                  <c:v>62375.007040000004</c:v>
                </c:pt>
                <c:pt idx="12333">
                  <c:v>62455.712384999984</c:v>
                </c:pt>
                <c:pt idx="12334">
                  <c:v>62536.48731999999</c:v>
                </c:pt>
                <c:pt idx="12335">
                  <c:v>62617.33187500002</c:v>
                </c:pt>
                <c:pt idx="12336">
                  <c:v>62698.24607999999</c:v>
                </c:pt>
                <c:pt idx="12337">
                  <c:v>62779.229965000006</c:v>
                </c:pt>
                <c:pt idx="12338">
                  <c:v>62860.283559999996</c:v>
                </c:pt>
                <c:pt idx="12339">
                  <c:v>62941.40689500001</c:v>
                </c:pt>
                <c:pt idx="12340">
                  <c:v>63022.59999999998</c:v>
                </c:pt>
                <c:pt idx="12341">
                  <c:v>63103.86290500001</c:v>
                </c:pt>
                <c:pt idx="12342">
                  <c:v>63185.19564000002</c:v>
                </c:pt>
                <c:pt idx="12343">
                  <c:v>63266.598235</c:v>
                </c:pt>
                <c:pt idx="12344">
                  <c:v>63348.07072</c:v>
                </c:pt>
                <c:pt idx="12345">
                  <c:v>63429.61312499999</c:v>
                </c:pt>
                <c:pt idx="12346">
                  <c:v>63511.22548</c:v>
                </c:pt>
                <c:pt idx="12347">
                  <c:v>63592.907815</c:v>
                </c:pt>
                <c:pt idx="12348">
                  <c:v>63674.660160000014</c:v>
                </c:pt>
                <c:pt idx="12349">
                  <c:v>63756.482544999984</c:v>
                </c:pt>
                <c:pt idx="12350">
                  <c:v>63838.375</c:v>
                </c:pt>
                <c:pt idx="12351">
                  <c:v>63920.33755500002</c:v>
                </c:pt>
                <c:pt idx="12352">
                  <c:v>64002.37024</c:v>
                </c:pt>
                <c:pt idx="12353">
                  <c:v>64084.47308500001</c:v>
                </c:pt>
                <c:pt idx="12354">
                  <c:v>64166.64612</c:v>
                </c:pt>
                <c:pt idx="12355">
                  <c:v>64248.889375000006</c:v>
                </c:pt>
                <c:pt idx="12356">
                  <c:v>64331.20287999999</c:v>
                </c:pt>
                <c:pt idx="12357">
                  <c:v>64413.586665</c:v>
                </c:pt>
                <c:pt idx="12358">
                  <c:v>64496.04075999998</c:v>
                </c:pt>
                <c:pt idx="12359">
                  <c:v>64578.565195</c:v>
                </c:pt>
                <c:pt idx="12360">
                  <c:v>64661.16000000002</c:v>
                </c:pt>
                <c:pt idx="12361">
                  <c:v>64743.825205</c:v>
                </c:pt>
                <c:pt idx="12362">
                  <c:v>64826.560840000006</c:v>
                </c:pt>
                <c:pt idx="12363">
                  <c:v>64909.36693499999</c:v>
                </c:pt>
                <c:pt idx="12364">
                  <c:v>64992.24352</c:v>
                </c:pt>
                <c:pt idx="12365">
                  <c:v>65075.190624999996</c:v>
                </c:pt>
                <c:pt idx="12366">
                  <c:v>65158.208280000006</c:v>
                </c:pt>
                <c:pt idx="12367">
                  <c:v>65241.296515000024</c:v>
                </c:pt>
                <c:pt idx="12368">
                  <c:v>65324.45535999999</c:v>
                </c:pt>
                <c:pt idx="12369">
                  <c:v>65407.68484500001</c:v>
                </c:pt>
                <c:pt idx="12370">
                  <c:v>65490.984999999986</c:v>
                </c:pt>
                <c:pt idx="12371">
                  <c:v>65574.35585500002</c:v>
                </c:pt>
                <c:pt idx="12372">
                  <c:v>65657.79744</c:v>
                </c:pt>
                <c:pt idx="12373">
                  <c:v>65741.309785</c:v>
                </c:pt>
                <c:pt idx="12374">
                  <c:v>65824.89292</c:v>
                </c:pt>
                <c:pt idx="12375">
                  <c:v>65908.546875</c:v>
                </c:pt>
                <c:pt idx="12376">
                  <c:v>65992.27168</c:v>
                </c:pt>
                <c:pt idx="12377">
                  <c:v>66076.067365</c:v>
                </c:pt>
                <c:pt idx="12378">
                  <c:v>66159.93396000001</c:v>
                </c:pt>
                <c:pt idx="12379">
                  <c:v>66243.871495</c:v>
                </c:pt>
                <c:pt idx="12380">
                  <c:v>66327.87999999999</c:v>
                </c:pt>
                <c:pt idx="12381">
                  <c:v>66411.95950499998</c:v>
                </c:pt>
                <c:pt idx="12382">
                  <c:v>66496.11004000001</c:v>
                </c:pt>
                <c:pt idx="12383">
                  <c:v>66580.331635</c:v>
                </c:pt>
                <c:pt idx="12384">
                  <c:v>66664.62432</c:v>
                </c:pt>
                <c:pt idx="12385">
                  <c:v>66748.988125</c:v>
                </c:pt>
                <c:pt idx="12386">
                  <c:v>66833.42308</c:v>
                </c:pt>
                <c:pt idx="12387">
                  <c:v>66917.92921500001</c:v>
                </c:pt>
                <c:pt idx="12388">
                  <c:v>67002.50656</c:v>
                </c:pt>
                <c:pt idx="12389">
                  <c:v>67087.155145</c:v>
                </c:pt>
                <c:pt idx="12390">
                  <c:v>67171.87499999999</c:v>
                </c:pt>
                <c:pt idx="12391">
                  <c:v>67256.666155</c:v>
                </c:pt>
                <c:pt idx="12392">
                  <c:v>67341.52864</c:v>
                </c:pt>
                <c:pt idx="12393">
                  <c:v>67426.462485</c:v>
                </c:pt>
                <c:pt idx="12394">
                  <c:v>67511.46772000002</c:v>
                </c:pt>
                <c:pt idx="12395">
                  <c:v>67596.544375</c:v>
                </c:pt>
                <c:pt idx="12396">
                  <c:v>67681.69248000001</c:v>
                </c:pt>
                <c:pt idx="12397">
                  <c:v>67766.912065</c:v>
                </c:pt>
                <c:pt idx="12398">
                  <c:v>67852.20316000002</c:v>
                </c:pt>
                <c:pt idx="12399">
                  <c:v>67937.56579499999</c:v>
                </c:pt>
                <c:pt idx="12400">
                  <c:v>68023.0</c:v>
                </c:pt>
                <c:pt idx="12401">
                  <c:v>68108.50580500001</c:v>
                </c:pt>
                <c:pt idx="12402">
                  <c:v>68194.08323999998</c:v>
                </c:pt>
                <c:pt idx="12403">
                  <c:v>68279.73233500001</c:v>
                </c:pt>
                <c:pt idx="12404">
                  <c:v>68365.45311999999</c:v>
                </c:pt>
                <c:pt idx="12405">
                  <c:v>68451.24562500001</c:v>
                </c:pt>
                <c:pt idx="12406">
                  <c:v>68537.10987999997</c:v>
                </c:pt>
                <c:pt idx="12407">
                  <c:v>68623.04591500001</c:v>
                </c:pt>
                <c:pt idx="12408">
                  <c:v>68709.05375999998</c:v>
                </c:pt>
                <c:pt idx="12409">
                  <c:v>68795.133445</c:v>
                </c:pt>
                <c:pt idx="12410">
                  <c:v>68881.28500000002</c:v>
                </c:pt>
                <c:pt idx="12411">
                  <c:v>68967.508455</c:v>
                </c:pt>
                <c:pt idx="12412">
                  <c:v>69053.80384000001</c:v>
                </c:pt>
                <c:pt idx="12413">
                  <c:v>69140.17118499998</c:v>
                </c:pt>
                <c:pt idx="12414">
                  <c:v>69226.61052</c:v>
                </c:pt>
                <c:pt idx="12415">
                  <c:v>69313.12187499998</c:v>
                </c:pt>
                <c:pt idx="12416">
                  <c:v>69399.70528</c:v>
                </c:pt>
                <c:pt idx="12417">
                  <c:v>69486.360765</c:v>
                </c:pt>
                <c:pt idx="12418">
                  <c:v>69573.08836</c:v>
                </c:pt>
                <c:pt idx="12419">
                  <c:v>69659.88809500002</c:v>
                </c:pt>
                <c:pt idx="12420">
                  <c:v>69746.76000000001</c:v>
                </c:pt>
                <c:pt idx="12421">
                  <c:v>69833.70410500001</c:v>
                </c:pt>
                <c:pt idx="12422">
                  <c:v>69920.72044</c:v>
                </c:pt>
                <c:pt idx="12423">
                  <c:v>70007.809035</c:v>
                </c:pt>
                <c:pt idx="12424">
                  <c:v>70094.96991999999</c:v>
                </c:pt>
                <c:pt idx="12425">
                  <c:v>70182.203125</c:v>
                </c:pt>
                <c:pt idx="12426">
                  <c:v>70269.50868000001</c:v>
                </c:pt>
                <c:pt idx="12427">
                  <c:v>70356.886615</c:v>
                </c:pt>
                <c:pt idx="12428">
                  <c:v>70444.33696</c:v>
                </c:pt>
                <c:pt idx="12429">
                  <c:v>70531.859745</c:v>
                </c:pt>
                <c:pt idx="12430">
                  <c:v>70619.455</c:v>
                </c:pt>
                <c:pt idx="12431">
                  <c:v>70707.12275499999</c:v>
                </c:pt>
                <c:pt idx="12432">
                  <c:v>70794.86304000003</c:v>
                </c:pt>
                <c:pt idx="12433">
                  <c:v>70882.67588499999</c:v>
                </c:pt>
                <c:pt idx="12434">
                  <c:v>70970.56132000001</c:v>
                </c:pt>
                <c:pt idx="12435">
                  <c:v>71058.51937500002</c:v>
                </c:pt>
                <c:pt idx="12436">
                  <c:v>71146.55008</c:v>
                </c:pt>
                <c:pt idx="12437">
                  <c:v>71234.65346500001</c:v>
                </c:pt>
                <c:pt idx="12438">
                  <c:v>71322.82955999998</c:v>
                </c:pt>
                <c:pt idx="12439">
                  <c:v>71411.078395</c:v>
                </c:pt>
                <c:pt idx="12440">
                  <c:v>71499.39999999998</c:v>
                </c:pt>
                <c:pt idx="12441">
                  <c:v>71587.794405</c:v>
                </c:pt>
                <c:pt idx="12442">
                  <c:v>71676.26164000001</c:v>
                </c:pt>
                <c:pt idx="12443">
                  <c:v>71764.80173499999</c:v>
                </c:pt>
                <c:pt idx="12444">
                  <c:v>71853.41472000002</c:v>
                </c:pt>
                <c:pt idx="12445">
                  <c:v>71942.100625</c:v>
                </c:pt>
                <c:pt idx="12446">
                  <c:v>72030.85948000001</c:v>
                </c:pt>
                <c:pt idx="12447">
                  <c:v>72119.691315</c:v>
                </c:pt>
                <c:pt idx="12448">
                  <c:v>72208.59616</c:v>
                </c:pt>
                <c:pt idx="12449">
                  <c:v>72297.57404499999</c:v>
                </c:pt>
                <c:pt idx="12450">
                  <c:v>72386.625</c:v>
                </c:pt>
                <c:pt idx="12451">
                  <c:v>72475.74905500001</c:v>
                </c:pt>
                <c:pt idx="12452">
                  <c:v>72564.94623999999</c:v>
                </c:pt>
                <c:pt idx="12453">
                  <c:v>72654.216585</c:v>
                </c:pt>
                <c:pt idx="12454">
                  <c:v>72743.56011999998</c:v>
                </c:pt>
                <c:pt idx="12455">
                  <c:v>72832.976875</c:v>
                </c:pt>
                <c:pt idx="12456">
                  <c:v>72922.46687999998</c:v>
                </c:pt>
                <c:pt idx="12457">
                  <c:v>73012.030165</c:v>
                </c:pt>
                <c:pt idx="12458">
                  <c:v>73101.66676</c:v>
                </c:pt>
                <c:pt idx="12459">
                  <c:v>73191.376695</c:v>
                </c:pt>
                <c:pt idx="12460">
                  <c:v>73281.16000000002</c:v>
                </c:pt>
                <c:pt idx="12461">
                  <c:v>73371.016705</c:v>
                </c:pt>
                <c:pt idx="12462">
                  <c:v>73460.94684000002</c:v>
                </c:pt>
                <c:pt idx="12463">
                  <c:v>73550.95043499999</c:v>
                </c:pt>
                <c:pt idx="12464">
                  <c:v>73641.02752</c:v>
                </c:pt>
                <c:pt idx="12465">
                  <c:v>73731.17812499999</c:v>
                </c:pt>
                <c:pt idx="12466">
                  <c:v>73821.40228000001</c:v>
                </c:pt>
                <c:pt idx="12467">
                  <c:v>73911.70001500001</c:v>
                </c:pt>
                <c:pt idx="12468">
                  <c:v>74002.07135999999</c:v>
                </c:pt>
                <c:pt idx="12469">
                  <c:v>74092.51634500003</c:v>
                </c:pt>
                <c:pt idx="12470">
                  <c:v>74183.035</c:v>
                </c:pt>
                <c:pt idx="12471">
                  <c:v>74273.62735500002</c:v>
                </c:pt>
                <c:pt idx="12472">
                  <c:v>74364.29344</c:v>
                </c:pt>
                <c:pt idx="12473">
                  <c:v>74455.03328500001</c:v>
                </c:pt>
                <c:pt idx="12474">
                  <c:v>74545.84691999998</c:v>
                </c:pt>
                <c:pt idx="12475">
                  <c:v>74636.734375</c:v>
                </c:pt>
                <c:pt idx="12476">
                  <c:v>74727.69568000002</c:v>
                </c:pt>
                <c:pt idx="12477">
                  <c:v>74818.73086499999</c:v>
                </c:pt>
                <c:pt idx="12478">
                  <c:v>74909.83996000001</c:v>
                </c:pt>
                <c:pt idx="12479">
                  <c:v>75001.02299499999</c:v>
                </c:pt>
                <c:pt idx="12480">
                  <c:v>75092.28</c:v>
                </c:pt>
                <c:pt idx="12481">
                  <c:v>75183.61100499998</c:v>
                </c:pt>
                <c:pt idx="12482">
                  <c:v>75275.01604</c:v>
                </c:pt>
                <c:pt idx="12483">
                  <c:v>75366.49513499999</c:v>
                </c:pt>
                <c:pt idx="12484">
                  <c:v>75458.04832</c:v>
                </c:pt>
                <c:pt idx="12485">
                  <c:v>75549.67562500002</c:v>
                </c:pt>
                <c:pt idx="12486">
                  <c:v>75641.37707999999</c:v>
                </c:pt>
                <c:pt idx="12487">
                  <c:v>75733.152715</c:v>
                </c:pt>
                <c:pt idx="12488">
                  <c:v>75825.00256</c:v>
                </c:pt>
                <c:pt idx="12489">
                  <c:v>75916.926645</c:v>
                </c:pt>
                <c:pt idx="12490">
                  <c:v>76008.92499999999</c:v>
                </c:pt>
                <c:pt idx="12491">
                  <c:v>76100.997655</c:v>
                </c:pt>
                <c:pt idx="12492">
                  <c:v>76193.14464000001</c:v>
                </c:pt>
                <c:pt idx="12493">
                  <c:v>76285.36598499998</c:v>
                </c:pt>
                <c:pt idx="12494">
                  <c:v>76377.66172</c:v>
                </c:pt>
                <c:pt idx="12495">
                  <c:v>76470.031875</c:v>
                </c:pt>
                <c:pt idx="12496">
                  <c:v>76562.47648</c:v>
                </c:pt>
                <c:pt idx="12497">
                  <c:v>76654.99556499999</c:v>
                </c:pt>
                <c:pt idx="12498">
                  <c:v>76747.58916000002</c:v>
                </c:pt>
                <c:pt idx="12499">
                  <c:v>76840.25729499999</c:v>
                </c:pt>
                <c:pt idx="12500">
                  <c:v>76933.0</c:v>
                </c:pt>
                <c:pt idx="12501">
                  <c:v>77025.81730500002</c:v>
                </c:pt>
                <c:pt idx="12502">
                  <c:v>77118.70924</c:v>
                </c:pt>
                <c:pt idx="12503">
                  <c:v>77211.67583500002</c:v>
                </c:pt>
                <c:pt idx="12504">
                  <c:v>77304.71711999999</c:v>
                </c:pt>
                <c:pt idx="12505">
                  <c:v>77397.83312499999</c:v>
                </c:pt>
                <c:pt idx="12506">
                  <c:v>77491.02388</c:v>
                </c:pt>
                <c:pt idx="12507">
                  <c:v>77584.289415</c:v>
                </c:pt>
                <c:pt idx="12508">
                  <c:v>77677.62976</c:v>
                </c:pt>
                <c:pt idx="12509">
                  <c:v>77771.044945</c:v>
                </c:pt>
                <c:pt idx="12510">
                  <c:v>77864.535</c:v>
                </c:pt>
                <c:pt idx="12511">
                  <c:v>77958.099955</c:v>
                </c:pt>
                <c:pt idx="12512">
                  <c:v>78051.73984000001</c:v>
                </c:pt>
                <c:pt idx="12513">
                  <c:v>78145.45468499999</c:v>
                </c:pt>
                <c:pt idx="12514">
                  <c:v>78239.24452000001</c:v>
                </c:pt>
                <c:pt idx="12515">
                  <c:v>78333.10937499999</c:v>
                </c:pt>
                <c:pt idx="12516">
                  <c:v>78427.04927999999</c:v>
                </c:pt>
                <c:pt idx="12517">
                  <c:v>78521.06426500002</c:v>
                </c:pt>
                <c:pt idx="12518">
                  <c:v>78615.15436</c:v>
                </c:pt>
                <c:pt idx="12519">
                  <c:v>78709.31959500002</c:v>
                </c:pt>
                <c:pt idx="12520">
                  <c:v>78803.56</c:v>
                </c:pt>
                <c:pt idx="12521">
                  <c:v>78897.87560500001</c:v>
                </c:pt>
                <c:pt idx="12522">
                  <c:v>78992.26643999999</c:v>
                </c:pt>
                <c:pt idx="12523">
                  <c:v>79086.732535</c:v>
                </c:pt>
                <c:pt idx="12524">
                  <c:v>79181.27391999999</c:v>
                </c:pt>
                <c:pt idx="12525">
                  <c:v>79275.890625</c:v>
                </c:pt>
                <c:pt idx="12526">
                  <c:v>79370.58268</c:v>
                </c:pt>
                <c:pt idx="12527">
                  <c:v>79465.350115</c:v>
                </c:pt>
                <c:pt idx="12528">
                  <c:v>79560.19296000001</c:v>
                </c:pt>
                <c:pt idx="12529">
                  <c:v>79655.111245</c:v>
                </c:pt>
                <c:pt idx="12530">
                  <c:v>79750.10500000001</c:v>
                </c:pt>
                <c:pt idx="12531">
                  <c:v>79845.17425499998</c:v>
                </c:pt>
                <c:pt idx="12532">
                  <c:v>79940.31904</c:v>
                </c:pt>
                <c:pt idx="12533">
                  <c:v>80035.53938499998</c:v>
                </c:pt>
                <c:pt idx="12534">
                  <c:v>80130.83532000001</c:v>
                </c:pt>
                <c:pt idx="12535">
                  <c:v>80226.20687500002</c:v>
                </c:pt>
                <c:pt idx="12536">
                  <c:v>80321.65408</c:v>
                </c:pt>
                <c:pt idx="12537">
                  <c:v>80417.17696500002</c:v>
                </c:pt>
                <c:pt idx="12538">
                  <c:v>80512.77556</c:v>
                </c:pt>
                <c:pt idx="12539">
                  <c:v>80608.449895</c:v>
                </c:pt>
                <c:pt idx="12540">
                  <c:v>80704.19999999998</c:v>
                </c:pt>
                <c:pt idx="12541">
                  <c:v>80800.02590499999</c:v>
                </c:pt>
                <c:pt idx="12542">
                  <c:v>80895.92764000002</c:v>
                </c:pt>
                <c:pt idx="12543">
                  <c:v>80991.90523499998</c:v>
                </c:pt>
                <c:pt idx="12544">
                  <c:v>81087.95872000002</c:v>
                </c:pt>
                <c:pt idx="12545">
                  <c:v>81184.08812500001</c:v>
                </c:pt>
                <c:pt idx="12546">
                  <c:v>81280.29348000001</c:v>
                </c:pt>
                <c:pt idx="12547">
                  <c:v>81376.574815</c:v>
                </c:pt>
                <c:pt idx="12548">
                  <c:v>81472.93216</c:v>
                </c:pt>
                <c:pt idx="12549">
                  <c:v>81569.36554499998</c:v>
                </c:pt>
                <c:pt idx="12550">
                  <c:v>81665.875</c:v>
                </c:pt>
                <c:pt idx="12551">
                  <c:v>81762.46055500001</c:v>
                </c:pt>
                <c:pt idx="12552">
                  <c:v>81859.12224</c:v>
                </c:pt>
                <c:pt idx="12553">
                  <c:v>81955.86008500001</c:v>
                </c:pt>
                <c:pt idx="12554">
                  <c:v>82052.67412</c:v>
                </c:pt>
                <c:pt idx="12555">
                  <c:v>82149.564375</c:v>
                </c:pt>
                <c:pt idx="12556">
                  <c:v>82246.53087999998</c:v>
                </c:pt>
                <c:pt idx="12557">
                  <c:v>82343.57366500002</c:v>
                </c:pt>
                <c:pt idx="12558">
                  <c:v>82440.69275999999</c:v>
                </c:pt>
                <c:pt idx="12559">
                  <c:v>82537.888195</c:v>
                </c:pt>
                <c:pt idx="12560">
                  <c:v>82635.16000000002</c:v>
                </c:pt>
                <c:pt idx="12561">
                  <c:v>82732.50820499999</c:v>
                </c:pt>
                <c:pt idx="12562">
                  <c:v>82829.93284</c:v>
                </c:pt>
                <c:pt idx="12563">
                  <c:v>82927.433935</c:v>
                </c:pt>
                <c:pt idx="12564">
                  <c:v>83025.01152000001</c:v>
                </c:pt>
                <c:pt idx="12565">
                  <c:v>83122.66562499998</c:v>
                </c:pt>
                <c:pt idx="12566">
                  <c:v>83220.39628</c:v>
                </c:pt>
                <c:pt idx="12567">
                  <c:v>83318.203515</c:v>
                </c:pt>
                <c:pt idx="12568">
                  <c:v>83416.08736</c:v>
                </c:pt>
                <c:pt idx="12569">
                  <c:v>83514.04784500002</c:v>
                </c:pt>
                <c:pt idx="12570">
                  <c:v>83612.08499999999</c:v>
                </c:pt>
                <c:pt idx="12571">
                  <c:v>83710.19885500001</c:v>
                </c:pt>
                <c:pt idx="12572">
                  <c:v>83808.38943999998</c:v>
                </c:pt>
                <c:pt idx="12573">
                  <c:v>83906.65678500001</c:v>
                </c:pt>
                <c:pt idx="12574">
                  <c:v>84005.00091999999</c:v>
                </c:pt>
                <c:pt idx="12575">
                  <c:v>84103.421875</c:v>
                </c:pt>
                <c:pt idx="12576">
                  <c:v>84201.91968000004</c:v>
                </c:pt>
                <c:pt idx="12577">
                  <c:v>84300.49436499999</c:v>
                </c:pt>
                <c:pt idx="12578">
                  <c:v>84399.14596000001</c:v>
                </c:pt>
                <c:pt idx="12579">
                  <c:v>84497.874495</c:v>
                </c:pt>
                <c:pt idx="12580">
                  <c:v>84596.68000000001</c:v>
                </c:pt>
                <c:pt idx="12581">
                  <c:v>84695.56250499997</c:v>
                </c:pt>
                <c:pt idx="12582">
                  <c:v>84794.52204000001</c:v>
                </c:pt>
                <c:pt idx="12583">
                  <c:v>84893.558635</c:v>
                </c:pt>
                <c:pt idx="12584">
                  <c:v>84992.67232</c:v>
                </c:pt>
                <c:pt idx="12585">
                  <c:v>85091.86312500002</c:v>
                </c:pt>
                <c:pt idx="12586">
                  <c:v>85191.13108</c:v>
                </c:pt>
                <c:pt idx="12587">
                  <c:v>85290.476215</c:v>
                </c:pt>
                <c:pt idx="12588">
                  <c:v>85389.89855999999</c:v>
                </c:pt>
                <c:pt idx="12589">
                  <c:v>85489.398145</c:v>
                </c:pt>
                <c:pt idx="12590">
                  <c:v>85588.97499999998</c:v>
                </c:pt>
                <c:pt idx="12591">
                  <c:v>85688.62915499999</c:v>
                </c:pt>
                <c:pt idx="12592">
                  <c:v>85788.36064</c:v>
                </c:pt>
                <c:pt idx="12593">
                  <c:v>85888.169485</c:v>
                </c:pt>
                <c:pt idx="12594">
                  <c:v>85988.05572000002</c:v>
                </c:pt>
                <c:pt idx="12595">
                  <c:v>86088.019375</c:v>
                </c:pt>
                <c:pt idx="12596">
                  <c:v>86188.06048000001</c:v>
                </c:pt>
                <c:pt idx="12597">
                  <c:v>86288.17906499997</c:v>
                </c:pt>
                <c:pt idx="12598">
                  <c:v>86388.37516</c:v>
                </c:pt>
                <c:pt idx="12599">
                  <c:v>86488.64879499999</c:v>
                </c:pt>
                <c:pt idx="12600">
                  <c:v>86589.0</c:v>
                </c:pt>
                <c:pt idx="12601">
                  <c:v>86689.428805</c:v>
                </c:pt>
                <c:pt idx="12602">
                  <c:v>86789.93523999999</c:v>
                </c:pt>
                <c:pt idx="12603">
                  <c:v>86890.51933500002</c:v>
                </c:pt>
                <c:pt idx="12604">
                  <c:v>86991.18111999998</c:v>
                </c:pt>
                <c:pt idx="12605">
                  <c:v>87091.92062499998</c:v>
                </c:pt>
                <c:pt idx="12606">
                  <c:v>87192.73787999999</c:v>
                </c:pt>
                <c:pt idx="12607">
                  <c:v>87293.63291500001</c:v>
                </c:pt>
                <c:pt idx="12608">
                  <c:v>87394.60575999998</c:v>
                </c:pt>
                <c:pt idx="12609">
                  <c:v>87495.656445</c:v>
                </c:pt>
                <c:pt idx="12610">
                  <c:v>87596.78500000002</c:v>
                </c:pt>
                <c:pt idx="12611">
                  <c:v>87697.991455</c:v>
                </c:pt>
                <c:pt idx="12612">
                  <c:v>87799.27584000002</c:v>
                </c:pt>
                <c:pt idx="12613">
                  <c:v>87900.638185</c:v>
                </c:pt>
                <c:pt idx="12614">
                  <c:v>88002.07852</c:v>
                </c:pt>
                <c:pt idx="12615">
                  <c:v>88103.59687499999</c:v>
                </c:pt>
                <c:pt idx="12616">
                  <c:v>88205.19327999999</c:v>
                </c:pt>
                <c:pt idx="12617">
                  <c:v>88306.867765</c:v>
                </c:pt>
                <c:pt idx="12618">
                  <c:v>88408.62036</c:v>
                </c:pt>
                <c:pt idx="12619">
                  <c:v>88510.45109500001</c:v>
                </c:pt>
                <c:pt idx="12620">
                  <c:v>88612.36</c:v>
                </c:pt>
                <c:pt idx="12621">
                  <c:v>88714.34710500001</c:v>
                </c:pt>
                <c:pt idx="12622">
                  <c:v>88816.41244</c:v>
                </c:pt>
                <c:pt idx="12623">
                  <c:v>88918.55603500002</c:v>
                </c:pt>
                <c:pt idx="12624">
                  <c:v>89020.77791999998</c:v>
                </c:pt>
                <c:pt idx="12625">
                  <c:v>89123.078125</c:v>
                </c:pt>
                <c:pt idx="12626">
                  <c:v>89225.45668000002</c:v>
                </c:pt>
                <c:pt idx="12627">
                  <c:v>89327.913615</c:v>
                </c:pt>
                <c:pt idx="12628">
                  <c:v>89430.44896000001</c:v>
                </c:pt>
                <c:pt idx="12629">
                  <c:v>89533.06274499999</c:v>
                </c:pt>
                <c:pt idx="12630">
                  <c:v>89635.75499999999</c:v>
                </c:pt>
                <c:pt idx="12631">
                  <c:v>89738.525755</c:v>
                </c:pt>
                <c:pt idx="12632">
                  <c:v>89841.37504</c:v>
                </c:pt>
                <c:pt idx="12633">
                  <c:v>89944.30288499998</c:v>
                </c:pt>
                <c:pt idx="12634">
                  <c:v>90047.30932000001</c:v>
                </c:pt>
                <c:pt idx="12635">
                  <c:v>90150.394375</c:v>
                </c:pt>
                <c:pt idx="12636">
                  <c:v>90253.55807999999</c:v>
                </c:pt>
                <c:pt idx="12637">
                  <c:v>90356.800465</c:v>
                </c:pt>
                <c:pt idx="12638">
                  <c:v>90460.12155999999</c:v>
                </c:pt>
                <c:pt idx="12639">
                  <c:v>90563.521395</c:v>
                </c:pt>
                <c:pt idx="12640">
                  <c:v>90667.0</c:v>
                </c:pt>
                <c:pt idx="12641">
                  <c:v>90770.55740499999</c:v>
                </c:pt>
                <c:pt idx="12642">
                  <c:v>90874.19364000001</c:v>
                </c:pt>
                <c:pt idx="12643">
                  <c:v>90977.90873499999</c:v>
                </c:pt>
                <c:pt idx="12644">
                  <c:v>91081.70272000002</c:v>
                </c:pt>
                <c:pt idx="12645">
                  <c:v>91185.575625</c:v>
                </c:pt>
                <c:pt idx="12646">
                  <c:v>91289.52748000002</c:v>
                </c:pt>
                <c:pt idx="12647">
                  <c:v>91393.558315</c:v>
                </c:pt>
                <c:pt idx="12648">
                  <c:v>91497.66816</c:v>
                </c:pt>
                <c:pt idx="12649">
                  <c:v>91601.857045</c:v>
                </c:pt>
                <c:pt idx="12650">
                  <c:v>91706.125</c:v>
                </c:pt>
                <c:pt idx="12651">
                  <c:v>91810.47205500002</c:v>
                </c:pt>
                <c:pt idx="12652">
                  <c:v>91914.89823999998</c:v>
                </c:pt>
                <c:pt idx="12653">
                  <c:v>92019.40358500001</c:v>
                </c:pt>
                <c:pt idx="12654">
                  <c:v>92123.98812</c:v>
                </c:pt>
                <c:pt idx="12655">
                  <c:v>92228.65187500001</c:v>
                </c:pt>
                <c:pt idx="12656">
                  <c:v>92333.39487999999</c:v>
                </c:pt>
                <c:pt idx="12657">
                  <c:v>92438.21716500001</c:v>
                </c:pt>
                <c:pt idx="12658">
                  <c:v>92543.11875999998</c:v>
                </c:pt>
                <c:pt idx="12659">
                  <c:v>92648.099695</c:v>
                </c:pt>
                <c:pt idx="12660">
                  <c:v>92753.16000000002</c:v>
                </c:pt>
                <c:pt idx="12661">
                  <c:v>92858.299705</c:v>
                </c:pt>
                <c:pt idx="12662">
                  <c:v>92963.51884000002</c:v>
                </c:pt>
                <c:pt idx="12663">
                  <c:v>93068.81743499999</c:v>
                </c:pt>
                <c:pt idx="12664">
                  <c:v>93174.19552000001</c:v>
                </c:pt>
                <c:pt idx="12665">
                  <c:v>93279.65312499997</c:v>
                </c:pt>
                <c:pt idx="12666">
                  <c:v>93385.19028000001</c:v>
                </c:pt>
                <c:pt idx="12667">
                  <c:v>93490.80701500001</c:v>
                </c:pt>
                <c:pt idx="12668">
                  <c:v>93596.50335999999</c:v>
                </c:pt>
                <c:pt idx="12669">
                  <c:v>93702.27934500003</c:v>
                </c:pt>
                <c:pt idx="12670">
                  <c:v>93808.135</c:v>
                </c:pt>
                <c:pt idx="12671">
                  <c:v>93914.07035500002</c:v>
                </c:pt>
                <c:pt idx="12672">
                  <c:v>94020.08543999998</c:v>
                </c:pt>
                <c:pt idx="12673">
                  <c:v>94126.18028500001</c:v>
                </c:pt>
                <c:pt idx="12674">
                  <c:v>94232.35491999998</c:v>
                </c:pt>
                <c:pt idx="12675">
                  <c:v>94338.609375</c:v>
                </c:pt>
                <c:pt idx="12676">
                  <c:v>94444.94368000003</c:v>
                </c:pt>
                <c:pt idx="12677">
                  <c:v>94551.357865</c:v>
                </c:pt>
                <c:pt idx="12678">
                  <c:v>94657.85196000001</c:v>
                </c:pt>
                <c:pt idx="12679">
                  <c:v>94764.42599499998</c:v>
                </c:pt>
                <c:pt idx="12680">
                  <c:v>94871.08</c:v>
                </c:pt>
                <c:pt idx="12681">
                  <c:v>94977.81400499996</c:v>
                </c:pt>
                <c:pt idx="12682">
                  <c:v>95084.62804000001</c:v>
                </c:pt>
                <c:pt idx="12683">
                  <c:v>95191.52213499999</c:v>
                </c:pt>
                <c:pt idx="12684">
                  <c:v>95298.49632</c:v>
                </c:pt>
                <c:pt idx="12685">
                  <c:v>95405.55062500002</c:v>
                </c:pt>
                <c:pt idx="12686">
                  <c:v>95512.68507999998</c:v>
                </c:pt>
                <c:pt idx="12687">
                  <c:v>95619.89971500002</c:v>
                </c:pt>
                <c:pt idx="12688">
                  <c:v>95727.19455999999</c:v>
                </c:pt>
                <c:pt idx="12689">
                  <c:v>95834.56964500001</c:v>
                </c:pt>
                <c:pt idx="12690">
                  <c:v>95942.02499999998</c:v>
                </c:pt>
                <c:pt idx="12691">
                  <c:v>96049.560655</c:v>
                </c:pt>
                <c:pt idx="12692">
                  <c:v>96157.17664000002</c:v>
                </c:pt>
                <c:pt idx="12693">
                  <c:v>96264.872985</c:v>
                </c:pt>
                <c:pt idx="12694">
                  <c:v>96372.64972000003</c:v>
                </c:pt>
                <c:pt idx="12695">
                  <c:v>96480.506875</c:v>
                </c:pt>
                <c:pt idx="12696">
                  <c:v>96588.44448</c:v>
                </c:pt>
                <c:pt idx="12697">
                  <c:v>96696.462565</c:v>
                </c:pt>
                <c:pt idx="12698">
                  <c:v>96804.56116</c:v>
                </c:pt>
                <c:pt idx="12699">
                  <c:v>96912.740295</c:v>
                </c:pt>
                <c:pt idx="12700">
                  <c:v>97021.0</c:v>
                </c:pt>
                <c:pt idx="12701">
                  <c:v>97129.34030500002</c:v>
                </c:pt>
                <c:pt idx="12702">
                  <c:v>97237.76124</c:v>
                </c:pt>
                <c:pt idx="12703">
                  <c:v>97346.262835</c:v>
                </c:pt>
                <c:pt idx="12704">
                  <c:v>97454.84512</c:v>
                </c:pt>
                <c:pt idx="12705">
                  <c:v>97563.508125</c:v>
                </c:pt>
                <c:pt idx="12706">
                  <c:v>97672.25187999998</c:v>
                </c:pt>
                <c:pt idx="12707">
                  <c:v>97781.076415</c:v>
                </c:pt>
                <c:pt idx="12708">
                  <c:v>97889.98175999998</c:v>
                </c:pt>
                <c:pt idx="12709">
                  <c:v>97998.96794500001</c:v>
                </c:pt>
                <c:pt idx="12710">
                  <c:v>98108.035</c:v>
                </c:pt>
                <c:pt idx="12711">
                  <c:v>98217.182955</c:v>
                </c:pt>
                <c:pt idx="12712">
                  <c:v>98326.41184000002</c:v>
                </c:pt>
                <c:pt idx="12713">
                  <c:v>98435.72168499998</c:v>
                </c:pt>
                <c:pt idx="12714">
                  <c:v>98545.11252000001</c:v>
                </c:pt>
                <c:pt idx="12715">
                  <c:v>98654.58437499999</c:v>
                </c:pt>
                <c:pt idx="12716">
                  <c:v>98764.13728</c:v>
                </c:pt>
                <c:pt idx="12717">
                  <c:v>98873.77126500002</c:v>
                </c:pt>
                <c:pt idx="12718">
                  <c:v>98983.48636</c:v>
                </c:pt>
                <c:pt idx="12719">
                  <c:v>99093.28259500003</c:v>
                </c:pt>
                <c:pt idx="12720">
                  <c:v>99203.16</c:v>
                </c:pt>
                <c:pt idx="12721">
                  <c:v>99313.11860500001</c:v>
                </c:pt>
                <c:pt idx="12722">
                  <c:v>99423.15844</c:v>
                </c:pt>
                <c:pt idx="12723">
                  <c:v>99533.27953500001</c:v>
                </c:pt>
                <c:pt idx="12724">
                  <c:v>99643.48191999998</c:v>
                </c:pt>
                <c:pt idx="12725">
                  <c:v>99753.765625</c:v>
                </c:pt>
                <c:pt idx="12726">
                  <c:v>99864.13068</c:v>
                </c:pt>
                <c:pt idx="12727">
                  <c:v>99974.577115</c:v>
                </c:pt>
                <c:pt idx="12728">
                  <c:v>100085.10496000001</c:v>
                </c:pt>
                <c:pt idx="12729">
                  <c:v>100195.71424499997</c:v>
                </c:pt>
                <c:pt idx="12730">
                  <c:v>100306.405</c:v>
                </c:pt>
                <c:pt idx="12731">
                  <c:v>100417.17725499997</c:v>
                </c:pt>
                <c:pt idx="12732">
                  <c:v>100528.03104</c:v>
                </c:pt>
                <c:pt idx="12733">
                  <c:v>100638.96638499998</c:v>
                </c:pt>
                <c:pt idx="12734">
                  <c:v>100749.98332000001</c:v>
                </c:pt>
                <c:pt idx="12735">
                  <c:v>100861.08187500003</c:v>
                </c:pt>
                <c:pt idx="12736">
                  <c:v>100972.26207999999</c:v>
                </c:pt>
                <c:pt idx="12737">
                  <c:v>101083.52396500001</c:v>
                </c:pt>
                <c:pt idx="12738">
                  <c:v>101194.86755999998</c:v>
                </c:pt>
                <c:pt idx="12739">
                  <c:v>101306.292895</c:v>
                </c:pt>
                <c:pt idx="12740">
                  <c:v>101417.79999999997</c:v>
                </c:pt>
                <c:pt idx="12741">
                  <c:v>101529.38890499999</c:v>
                </c:pt>
                <c:pt idx="12742">
                  <c:v>101641.05964000002</c:v>
                </c:pt>
                <c:pt idx="12743">
                  <c:v>101752.81223499999</c:v>
                </c:pt>
                <c:pt idx="12744">
                  <c:v>101864.64672000002</c:v>
                </c:pt>
                <c:pt idx="12745">
                  <c:v>101976.56312499999</c:v>
                </c:pt>
                <c:pt idx="12746">
                  <c:v>102088.56148000002</c:v>
                </c:pt>
                <c:pt idx="12747">
                  <c:v>102200.641815</c:v>
                </c:pt>
                <c:pt idx="12748">
                  <c:v>102312.80416</c:v>
                </c:pt>
                <c:pt idx="12749">
                  <c:v>102425.04854499997</c:v>
                </c:pt>
                <c:pt idx="12750">
                  <c:v>102537.375</c:v>
                </c:pt>
                <c:pt idx="12751">
                  <c:v>102649.78355500002</c:v>
                </c:pt>
                <c:pt idx="12752">
                  <c:v>102762.27423999998</c:v>
                </c:pt>
                <c:pt idx="12753">
                  <c:v>102874.84708500002</c:v>
                </c:pt>
                <c:pt idx="12754">
                  <c:v>102987.50211999999</c:v>
                </c:pt>
                <c:pt idx="12755">
                  <c:v>103100.239375</c:v>
                </c:pt>
                <c:pt idx="12756">
                  <c:v>103213.05887999997</c:v>
                </c:pt>
                <c:pt idx="12757">
                  <c:v>103325.960665</c:v>
                </c:pt>
                <c:pt idx="12758">
                  <c:v>103438.94475999998</c:v>
                </c:pt>
                <c:pt idx="12759">
                  <c:v>103552.01119499998</c:v>
                </c:pt>
                <c:pt idx="12760">
                  <c:v>103665.16000000002</c:v>
                </c:pt>
                <c:pt idx="12761">
                  <c:v>103778.39120499999</c:v>
                </c:pt>
                <c:pt idx="12762">
                  <c:v>103891.70484</c:v>
                </c:pt>
                <c:pt idx="12763">
                  <c:v>104005.10093500001</c:v>
                </c:pt>
                <c:pt idx="12764">
                  <c:v>104118.57952</c:v>
                </c:pt>
                <c:pt idx="12765">
                  <c:v>104232.14062499999</c:v>
                </c:pt>
                <c:pt idx="12766">
                  <c:v>104345.78428</c:v>
                </c:pt>
                <c:pt idx="12767">
                  <c:v>104459.510515</c:v>
                </c:pt>
                <c:pt idx="12768">
                  <c:v>104573.31936</c:v>
                </c:pt>
                <c:pt idx="12769">
                  <c:v>104687.21084500002</c:v>
                </c:pt>
                <c:pt idx="12770">
                  <c:v>104801.18499999998</c:v>
                </c:pt>
                <c:pt idx="12771">
                  <c:v>104915.24185500001</c:v>
                </c:pt>
                <c:pt idx="12772">
                  <c:v>105029.38144</c:v>
                </c:pt>
                <c:pt idx="12773">
                  <c:v>105143.603785</c:v>
                </c:pt>
                <c:pt idx="12774">
                  <c:v>105257.90891999999</c:v>
                </c:pt>
                <c:pt idx="12775">
                  <c:v>105372.296875</c:v>
                </c:pt>
                <c:pt idx="12776">
                  <c:v>105486.76768000002</c:v>
                </c:pt>
                <c:pt idx="12777">
                  <c:v>105601.321365</c:v>
                </c:pt>
                <c:pt idx="12778">
                  <c:v>105715.95796000001</c:v>
                </c:pt>
                <c:pt idx="12779">
                  <c:v>105830.677495</c:v>
                </c:pt>
                <c:pt idx="12780">
                  <c:v>105945.48000000001</c:v>
                </c:pt>
                <c:pt idx="12781">
                  <c:v>106060.365505</c:v>
                </c:pt>
                <c:pt idx="12782">
                  <c:v>106175.33404000002</c:v>
                </c:pt>
                <c:pt idx="12783">
                  <c:v>106290.38563499997</c:v>
                </c:pt>
                <c:pt idx="12784">
                  <c:v>106405.52032</c:v>
                </c:pt>
                <c:pt idx="12785">
                  <c:v>106520.73812500002</c:v>
                </c:pt>
                <c:pt idx="12786">
                  <c:v>106636.03907999999</c:v>
                </c:pt>
                <c:pt idx="12787">
                  <c:v>106751.423215</c:v>
                </c:pt>
                <c:pt idx="12788">
                  <c:v>106866.89055999999</c:v>
                </c:pt>
                <c:pt idx="12789">
                  <c:v>106982.441145</c:v>
                </c:pt>
                <c:pt idx="12790">
                  <c:v>107098.07499999997</c:v>
                </c:pt>
                <c:pt idx="12791">
                  <c:v>107213.792155</c:v>
                </c:pt>
                <c:pt idx="12792">
                  <c:v>107329.59264000002</c:v>
                </c:pt>
                <c:pt idx="12793">
                  <c:v>107445.47648499999</c:v>
                </c:pt>
                <c:pt idx="12794">
                  <c:v>107561.44372000002</c:v>
                </c:pt>
                <c:pt idx="12795">
                  <c:v>107677.494375</c:v>
                </c:pt>
                <c:pt idx="12796">
                  <c:v>107793.62848000001</c:v>
                </c:pt>
                <c:pt idx="12797">
                  <c:v>107909.84606499999</c:v>
                </c:pt>
                <c:pt idx="12798">
                  <c:v>108026.14716000001</c:v>
                </c:pt>
                <c:pt idx="12799">
                  <c:v>108142.53179499999</c:v>
                </c:pt>
                <c:pt idx="12800">
                  <c:v>108259.0</c:v>
                </c:pt>
                <c:pt idx="12801">
                  <c:v>108375.55180500001</c:v>
                </c:pt>
                <c:pt idx="12802">
                  <c:v>108492.18724</c:v>
                </c:pt>
                <c:pt idx="12803">
                  <c:v>108608.90633500002</c:v>
                </c:pt>
                <c:pt idx="12804">
                  <c:v>108725.70911999997</c:v>
                </c:pt>
                <c:pt idx="12805">
                  <c:v>108842.595625</c:v>
                </c:pt>
                <c:pt idx="12806">
                  <c:v>108959.56587999998</c:v>
                </c:pt>
                <c:pt idx="12807">
                  <c:v>109076.61991500002</c:v>
                </c:pt>
                <c:pt idx="12808">
                  <c:v>109193.75775999998</c:v>
                </c:pt>
                <c:pt idx="12809">
                  <c:v>109310.979445</c:v>
                </c:pt>
                <c:pt idx="12810">
                  <c:v>109428.28500000002</c:v>
                </c:pt>
                <c:pt idx="12811">
                  <c:v>109545.67445499999</c:v>
                </c:pt>
                <c:pt idx="12812">
                  <c:v>109663.14784</c:v>
                </c:pt>
                <c:pt idx="12813">
                  <c:v>109780.70518499998</c:v>
                </c:pt>
                <c:pt idx="12814">
                  <c:v>109898.34651999999</c:v>
                </c:pt>
                <c:pt idx="12815">
                  <c:v>110016.07187499998</c:v>
                </c:pt>
                <c:pt idx="12816">
                  <c:v>110133.88127999999</c:v>
                </c:pt>
                <c:pt idx="12817">
                  <c:v>110251.77476500001</c:v>
                </c:pt>
                <c:pt idx="12818">
                  <c:v>110369.75236</c:v>
                </c:pt>
                <c:pt idx="12819">
                  <c:v>110487.81409500002</c:v>
                </c:pt>
                <c:pt idx="12820">
                  <c:v>110605.96</c:v>
                </c:pt>
                <c:pt idx="12821">
                  <c:v>110724.19010500002</c:v>
                </c:pt>
                <c:pt idx="12822">
                  <c:v>110842.50443999999</c:v>
                </c:pt>
                <c:pt idx="12823">
                  <c:v>110960.90303500001</c:v>
                </c:pt>
                <c:pt idx="12824">
                  <c:v>111079.38591999999</c:v>
                </c:pt>
                <c:pt idx="12825">
                  <c:v>111197.953125</c:v>
                </c:pt>
                <c:pt idx="12826">
                  <c:v>111316.60468000002</c:v>
                </c:pt>
                <c:pt idx="12827">
                  <c:v>111435.34061499998</c:v>
                </c:pt>
                <c:pt idx="12828">
                  <c:v>111554.16096000001</c:v>
                </c:pt>
                <c:pt idx="12829">
                  <c:v>111673.065745</c:v>
                </c:pt>
                <c:pt idx="12830">
                  <c:v>111792.05500000001</c:v>
                </c:pt>
                <c:pt idx="12831">
                  <c:v>111911.12875499997</c:v>
                </c:pt>
                <c:pt idx="12832">
                  <c:v>112030.28704000001</c:v>
                </c:pt>
                <c:pt idx="12833">
                  <c:v>112149.52988499998</c:v>
                </c:pt>
                <c:pt idx="12834">
                  <c:v>112268.85732</c:v>
                </c:pt>
                <c:pt idx="12835">
                  <c:v>112388.26937500002</c:v>
                </c:pt>
                <c:pt idx="12836">
                  <c:v>112507.76608</c:v>
                </c:pt>
                <c:pt idx="12837">
                  <c:v>112627.34746500001</c:v>
                </c:pt>
                <c:pt idx="12838">
                  <c:v>112747.01355999999</c:v>
                </c:pt>
                <c:pt idx="12839">
                  <c:v>112866.76439499999</c:v>
                </c:pt>
                <c:pt idx="12840">
                  <c:v>112986.59999999999</c:v>
                </c:pt>
                <c:pt idx="12841">
                  <c:v>113106.520405</c:v>
                </c:pt>
                <c:pt idx="12842">
                  <c:v>113226.52564</c:v>
                </c:pt>
                <c:pt idx="12843">
                  <c:v>113346.61573499997</c:v>
                </c:pt>
                <c:pt idx="12844">
                  <c:v>113466.79072000003</c:v>
                </c:pt>
                <c:pt idx="12845">
                  <c:v>113587.050625</c:v>
                </c:pt>
                <c:pt idx="12846">
                  <c:v>113707.39548000002</c:v>
                </c:pt>
                <c:pt idx="12847">
                  <c:v>113827.82531499998</c:v>
                </c:pt>
                <c:pt idx="12848">
                  <c:v>113948.34016000002</c:v>
                </c:pt>
                <c:pt idx="12849">
                  <c:v>114068.94004499998</c:v>
                </c:pt>
                <c:pt idx="12850">
                  <c:v>114189.625</c:v>
                </c:pt>
                <c:pt idx="12851">
                  <c:v>114310.39505500002</c:v>
                </c:pt>
                <c:pt idx="12852">
                  <c:v>114431.25024</c:v>
                </c:pt>
                <c:pt idx="12853">
                  <c:v>114552.190585</c:v>
                </c:pt>
                <c:pt idx="12854">
                  <c:v>114673.21611999998</c:v>
                </c:pt>
                <c:pt idx="12855">
                  <c:v>114794.32687500001</c:v>
                </c:pt>
                <c:pt idx="12856">
                  <c:v>114915.52287999997</c:v>
                </c:pt>
                <c:pt idx="12857">
                  <c:v>115036.80416500001</c:v>
                </c:pt>
                <c:pt idx="12858">
                  <c:v>115158.17075999998</c:v>
                </c:pt>
                <c:pt idx="12859">
                  <c:v>115279.622695</c:v>
                </c:pt>
                <c:pt idx="12860">
                  <c:v>115401.16000000002</c:v>
                </c:pt>
                <c:pt idx="12861">
                  <c:v>115522.782705</c:v>
                </c:pt>
                <c:pt idx="12862">
                  <c:v>115644.49084000001</c:v>
                </c:pt>
                <c:pt idx="12863">
                  <c:v>115766.284435</c:v>
                </c:pt>
                <c:pt idx="12864">
                  <c:v>115888.16352</c:v>
                </c:pt>
                <c:pt idx="12865">
                  <c:v>116010.12812499997</c:v>
                </c:pt>
                <c:pt idx="12866">
                  <c:v>116132.17828</c:v>
                </c:pt>
                <c:pt idx="12867">
                  <c:v>116254.31401500001</c:v>
                </c:pt>
                <c:pt idx="12868">
                  <c:v>116376.53536</c:v>
                </c:pt>
                <c:pt idx="12869">
                  <c:v>116498.84234500003</c:v>
                </c:pt>
                <c:pt idx="12870">
                  <c:v>116621.23499999999</c:v>
                </c:pt>
                <c:pt idx="12871">
                  <c:v>116743.71335500001</c:v>
                </c:pt>
                <c:pt idx="12872">
                  <c:v>116866.27743999999</c:v>
                </c:pt>
                <c:pt idx="12873">
                  <c:v>116988.92728500001</c:v>
                </c:pt>
                <c:pt idx="12874">
                  <c:v>117111.66291999997</c:v>
                </c:pt>
                <c:pt idx="12875">
                  <c:v>117234.484375</c:v>
                </c:pt>
                <c:pt idx="12876">
                  <c:v>117357.39168</c:v>
                </c:pt>
                <c:pt idx="12877">
                  <c:v>117480.384865</c:v>
                </c:pt>
                <c:pt idx="12878">
                  <c:v>117603.46396000002</c:v>
                </c:pt>
                <c:pt idx="12879">
                  <c:v>117726.62899499999</c:v>
                </c:pt>
                <c:pt idx="12880">
                  <c:v>117849.88</c:v>
                </c:pt>
                <c:pt idx="12881">
                  <c:v>117973.21700499997</c:v>
                </c:pt>
                <c:pt idx="12882">
                  <c:v>118096.64004</c:v>
                </c:pt>
                <c:pt idx="12883">
                  <c:v>118220.14913499999</c:v>
                </c:pt>
                <c:pt idx="12884">
                  <c:v>118343.74432</c:v>
                </c:pt>
                <c:pt idx="12885">
                  <c:v>118467.42562500002</c:v>
                </c:pt>
                <c:pt idx="12886">
                  <c:v>118591.19308</c:v>
                </c:pt>
                <c:pt idx="12887">
                  <c:v>118715.046715</c:v>
                </c:pt>
                <c:pt idx="12888">
                  <c:v>118838.98655999999</c:v>
                </c:pt>
                <c:pt idx="12889">
                  <c:v>118963.012645</c:v>
                </c:pt>
                <c:pt idx="12890">
                  <c:v>119087.12499999997</c:v>
                </c:pt>
                <c:pt idx="12891">
                  <c:v>119211.323655</c:v>
                </c:pt>
                <c:pt idx="12892">
                  <c:v>119335.60864</c:v>
                </c:pt>
                <c:pt idx="12893">
                  <c:v>119459.97998499998</c:v>
                </c:pt>
                <c:pt idx="12894">
                  <c:v>119584.43772000002</c:v>
                </c:pt>
                <c:pt idx="12895">
                  <c:v>119708.981875</c:v>
                </c:pt>
                <c:pt idx="12896">
                  <c:v>119833.61248000001</c:v>
                </c:pt>
                <c:pt idx="12897">
                  <c:v>119958.32956499998</c:v>
                </c:pt>
                <c:pt idx="12898">
                  <c:v>120083.13316</c:v>
                </c:pt>
                <c:pt idx="12899">
                  <c:v>120208.02329499996</c:v>
                </c:pt>
                <c:pt idx="12900">
                  <c:v>120333.0</c:v>
                </c:pt>
                <c:pt idx="12901">
                  <c:v>120458.06330500003</c:v>
                </c:pt>
                <c:pt idx="12902">
                  <c:v>120583.21324</c:v>
                </c:pt>
                <c:pt idx="12903">
                  <c:v>120708.449835</c:v>
                </c:pt>
                <c:pt idx="12904">
                  <c:v>120833.77311999998</c:v>
                </c:pt>
                <c:pt idx="12905">
                  <c:v>120959.18312500001</c:v>
                </c:pt>
                <c:pt idx="12906">
                  <c:v>121084.67987999998</c:v>
                </c:pt>
                <c:pt idx="12907">
                  <c:v>121210.26341500001</c:v>
                </c:pt>
                <c:pt idx="12908">
                  <c:v>121335.93376</c:v>
                </c:pt>
                <c:pt idx="12909">
                  <c:v>121461.69094500001</c:v>
                </c:pt>
                <c:pt idx="12910">
                  <c:v>121587.53500000002</c:v>
                </c:pt>
                <c:pt idx="12911">
                  <c:v>121713.465955</c:v>
                </c:pt>
                <c:pt idx="12912">
                  <c:v>121839.48384000002</c:v>
                </c:pt>
                <c:pt idx="12913">
                  <c:v>121965.58868499998</c:v>
                </c:pt>
                <c:pt idx="12914">
                  <c:v>122091.78052</c:v>
                </c:pt>
                <c:pt idx="12915">
                  <c:v>122218.05937499998</c:v>
                </c:pt>
                <c:pt idx="12916">
                  <c:v>122344.42528000001</c:v>
                </c:pt>
                <c:pt idx="12917">
                  <c:v>122470.878265</c:v>
                </c:pt>
                <c:pt idx="12918">
                  <c:v>122597.41836</c:v>
                </c:pt>
                <c:pt idx="12919">
                  <c:v>122724.04559500002</c:v>
                </c:pt>
                <c:pt idx="12920">
                  <c:v>122850.76000000001</c:v>
                </c:pt>
                <c:pt idx="12921">
                  <c:v>122977.56160500001</c:v>
                </c:pt>
                <c:pt idx="12922">
                  <c:v>123104.45043999999</c:v>
                </c:pt>
                <c:pt idx="12923">
                  <c:v>123231.426535</c:v>
                </c:pt>
                <c:pt idx="12924">
                  <c:v>123358.48991999998</c:v>
                </c:pt>
                <c:pt idx="12925">
                  <c:v>123485.640625</c:v>
                </c:pt>
                <c:pt idx="12926">
                  <c:v>123612.87868000002</c:v>
                </c:pt>
                <c:pt idx="12927">
                  <c:v>123740.20411499999</c:v>
                </c:pt>
                <c:pt idx="12928">
                  <c:v>123867.61696000001</c:v>
                </c:pt>
                <c:pt idx="12929">
                  <c:v>123995.11724499997</c:v>
                </c:pt>
                <c:pt idx="12930">
                  <c:v>124122.705</c:v>
                </c:pt>
                <c:pt idx="12931">
                  <c:v>124250.38025499998</c:v>
                </c:pt>
                <c:pt idx="12932">
                  <c:v>124378.14304</c:v>
                </c:pt>
                <c:pt idx="12933">
                  <c:v>124505.99338499998</c:v>
                </c:pt>
                <c:pt idx="12934">
                  <c:v>124633.93132</c:v>
                </c:pt>
                <c:pt idx="12935">
                  <c:v>124761.95687500002</c:v>
                </c:pt>
                <c:pt idx="12936">
                  <c:v>124890.07007999999</c:v>
                </c:pt>
                <c:pt idx="12937">
                  <c:v>125018.27096500003</c:v>
                </c:pt>
                <c:pt idx="12938">
                  <c:v>125146.55956</c:v>
                </c:pt>
                <c:pt idx="12939">
                  <c:v>125274.935895</c:v>
                </c:pt>
                <c:pt idx="12940">
                  <c:v>125403.39999999998</c:v>
                </c:pt>
                <c:pt idx="12941">
                  <c:v>125531.951905</c:v>
                </c:pt>
                <c:pt idx="12942">
                  <c:v>125660.59164000001</c:v>
                </c:pt>
                <c:pt idx="12943">
                  <c:v>125789.31923499999</c:v>
                </c:pt>
                <c:pt idx="12944">
                  <c:v>125918.13472</c:v>
                </c:pt>
                <c:pt idx="12945">
                  <c:v>126047.038125</c:v>
                </c:pt>
                <c:pt idx="12946">
                  <c:v>126176.02948000001</c:v>
                </c:pt>
                <c:pt idx="12947">
                  <c:v>126305.10881499997</c:v>
                </c:pt>
                <c:pt idx="12948">
                  <c:v>126434.27616000001</c:v>
                </c:pt>
                <c:pt idx="12949">
                  <c:v>126563.53154499998</c:v>
                </c:pt>
                <c:pt idx="12950">
                  <c:v>126692.875</c:v>
                </c:pt>
                <c:pt idx="12951">
                  <c:v>126822.30655500002</c:v>
                </c:pt>
                <c:pt idx="12952">
                  <c:v>126951.82624</c:v>
                </c:pt>
                <c:pt idx="12953">
                  <c:v>127081.43408500002</c:v>
                </c:pt>
                <c:pt idx="12954">
                  <c:v>127211.13012</c:v>
                </c:pt>
                <c:pt idx="12955">
                  <c:v>127340.91437500001</c:v>
                </c:pt>
                <c:pt idx="12956">
                  <c:v>127470.78687999999</c:v>
                </c:pt>
                <c:pt idx="12957">
                  <c:v>127600.74766500002</c:v>
                </c:pt>
                <c:pt idx="12958">
                  <c:v>127730.79675999998</c:v>
                </c:pt>
                <c:pt idx="12959">
                  <c:v>127860.93419500001</c:v>
                </c:pt>
                <c:pt idx="12960">
                  <c:v>127991.16000000002</c:v>
                </c:pt>
                <c:pt idx="12961">
                  <c:v>128121.47420499999</c:v>
                </c:pt>
                <c:pt idx="12962">
                  <c:v>128251.87684000001</c:v>
                </c:pt>
                <c:pt idx="12963">
                  <c:v>128382.36793499999</c:v>
                </c:pt>
                <c:pt idx="12964">
                  <c:v>128512.94752</c:v>
                </c:pt>
                <c:pt idx="12965">
                  <c:v>128643.61562499998</c:v>
                </c:pt>
                <c:pt idx="12966">
                  <c:v>128774.37228</c:v>
                </c:pt>
                <c:pt idx="12967">
                  <c:v>128905.21751500001</c:v>
                </c:pt>
                <c:pt idx="12968">
                  <c:v>129036.15135999999</c:v>
                </c:pt>
                <c:pt idx="12969">
                  <c:v>129167.17384500003</c:v>
                </c:pt>
                <c:pt idx="12970">
                  <c:v>129298.285</c:v>
                </c:pt>
                <c:pt idx="12971">
                  <c:v>129429.48485500002</c:v>
                </c:pt>
                <c:pt idx="12972">
                  <c:v>129560.77343999998</c:v>
                </c:pt>
                <c:pt idx="12973">
                  <c:v>129692.150785</c:v>
                </c:pt>
                <c:pt idx="12974">
                  <c:v>129823.61691999997</c:v>
                </c:pt>
                <c:pt idx="12975">
                  <c:v>129955.171875</c:v>
                </c:pt>
                <c:pt idx="12976">
                  <c:v>130086.81568000001</c:v>
                </c:pt>
                <c:pt idx="12977">
                  <c:v>130218.54836499998</c:v>
                </c:pt>
                <c:pt idx="12978">
                  <c:v>130350.36996000001</c:v>
                </c:pt>
                <c:pt idx="12979">
                  <c:v>130482.280495</c:v>
                </c:pt>
                <c:pt idx="12980">
                  <c:v>130614.27999999998</c:v>
                </c:pt>
                <c:pt idx="12981">
                  <c:v>130746.36850499996</c:v>
                </c:pt>
                <c:pt idx="12982">
                  <c:v>130878.54604000002</c:v>
                </c:pt>
                <c:pt idx="12983">
                  <c:v>131010.81263499998</c:v>
                </c:pt>
                <c:pt idx="12984">
                  <c:v>131143.16832</c:v>
                </c:pt>
                <c:pt idx="12985">
                  <c:v>131275.613125</c:v>
                </c:pt>
                <c:pt idx="12986">
                  <c:v>131408.14707999997</c:v>
                </c:pt>
                <c:pt idx="12987">
                  <c:v>131540.770215</c:v>
                </c:pt>
                <c:pt idx="12988">
                  <c:v>131673.48255999997</c:v>
                </c:pt>
                <c:pt idx="12989">
                  <c:v>131806.284145</c:v>
                </c:pt>
                <c:pt idx="12990">
                  <c:v>131939.17500000002</c:v>
                </c:pt>
                <c:pt idx="12991">
                  <c:v>132072.15515500001</c:v>
                </c:pt>
                <c:pt idx="12992">
                  <c:v>132205.22464000006</c:v>
                </c:pt>
                <c:pt idx="12993">
                  <c:v>132338.383485</c:v>
                </c:pt>
                <c:pt idx="12994">
                  <c:v>132471.63172</c:v>
                </c:pt>
                <c:pt idx="12995">
                  <c:v>132604.96937500002</c:v>
                </c:pt>
                <c:pt idx="12996">
                  <c:v>132738.39648000002</c:v>
                </c:pt>
                <c:pt idx="12997">
                  <c:v>132871.913065</c:v>
                </c:pt>
                <c:pt idx="12998">
                  <c:v>133005.51916000003</c:v>
                </c:pt>
                <c:pt idx="12999">
                  <c:v>133139.21479499998</c:v>
                </c:pt>
                <c:pt idx="13000">
                  <c:v>133273.0</c:v>
                </c:pt>
                <c:pt idx="13001">
                  <c:v>133406.87480500003</c:v>
                </c:pt>
                <c:pt idx="13002">
                  <c:v>133540.83924</c:v>
                </c:pt>
                <c:pt idx="13003">
                  <c:v>133674.893335</c:v>
                </c:pt>
                <c:pt idx="13004">
                  <c:v>133809.03712</c:v>
                </c:pt>
                <c:pt idx="13005">
                  <c:v>133943.270625</c:v>
                </c:pt>
                <c:pt idx="13006">
                  <c:v>134077.59387999997</c:v>
                </c:pt>
                <c:pt idx="13007">
                  <c:v>134212.006915</c:v>
                </c:pt>
                <c:pt idx="13008">
                  <c:v>134346.50975999996</c:v>
                </c:pt>
                <c:pt idx="13009">
                  <c:v>134481.102445</c:v>
                </c:pt>
                <c:pt idx="13010">
                  <c:v>134615.78500000003</c:v>
                </c:pt>
                <c:pt idx="13011">
                  <c:v>134750.55745499997</c:v>
                </c:pt>
                <c:pt idx="13012">
                  <c:v>134885.41984</c:v>
                </c:pt>
                <c:pt idx="13013">
                  <c:v>135020.372185</c:v>
                </c:pt>
                <c:pt idx="13014">
                  <c:v>135155.41452000002</c:v>
                </c:pt>
                <c:pt idx="13015">
                  <c:v>135290.54687499997</c:v>
                </c:pt>
                <c:pt idx="13016">
                  <c:v>135425.76928</c:v>
                </c:pt>
                <c:pt idx="13017">
                  <c:v>135561.081765</c:v>
                </c:pt>
                <c:pt idx="13018">
                  <c:v>135696.48436</c:v>
                </c:pt>
                <c:pt idx="13019">
                  <c:v>135831.977095</c:v>
                </c:pt>
                <c:pt idx="13020">
                  <c:v>135967.56</c:v>
                </c:pt>
                <c:pt idx="13021">
                  <c:v>136103.23310500002</c:v>
                </c:pt>
                <c:pt idx="13022">
                  <c:v>136238.99644</c:v>
                </c:pt>
                <c:pt idx="13023">
                  <c:v>136374.850035</c:v>
                </c:pt>
                <c:pt idx="13024">
                  <c:v>136510.79392</c:v>
                </c:pt>
                <c:pt idx="13025">
                  <c:v>136646.828125</c:v>
                </c:pt>
                <c:pt idx="13026">
                  <c:v>136782.95268000002</c:v>
                </c:pt>
                <c:pt idx="13027">
                  <c:v>136919.167615</c:v>
                </c:pt>
                <c:pt idx="13028">
                  <c:v>137055.47296</c:v>
                </c:pt>
                <c:pt idx="13029">
                  <c:v>137191.86874499999</c:v>
                </c:pt>
                <c:pt idx="13030">
                  <c:v>137328.355</c:v>
                </c:pt>
                <c:pt idx="13031">
                  <c:v>137464.93175499997</c:v>
                </c:pt>
                <c:pt idx="13032">
                  <c:v>137601.59904</c:v>
                </c:pt>
                <c:pt idx="13033">
                  <c:v>137738.356885</c:v>
                </c:pt>
                <c:pt idx="13034">
                  <c:v>137875.20532</c:v>
                </c:pt>
                <c:pt idx="13035">
                  <c:v>138012.144375</c:v>
                </c:pt>
                <c:pt idx="13036">
                  <c:v>138149.17407999997</c:v>
                </c:pt>
                <c:pt idx="13037">
                  <c:v>138286.294465</c:v>
                </c:pt>
                <c:pt idx="13038">
                  <c:v>138423.50556000002</c:v>
                </c:pt>
                <c:pt idx="13039">
                  <c:v>138560.807395</c:v>
                </c:pt>
                <c:pt idx="13040">
                  <c:v>138698.19999999998</c:v>
                </c:pt>
                <c:pt idx="13041">
                  <c:v>138835.68340500002</c:v>
                </c:pt>
                <c:pt idx="13042">
                  <c:v>138973.25764000005</c:v>
                </c:pt>
                <c:pt idx="13043">
                  <c:v>139110.922735</c:v>
                </c:pt>
                <c:pt idx="13044">
                  <c:v>139248.67872000003</c:v>
                </c:pt>
                <c:pt idx="13045">
                  <c:v>139386.525625</c:v>
                </c:pt>
                <c:pt idx="13046">
                  <c:v>139524.46348</c:v>
                </c:pt>
                <c:pt idx="13047">
                  <c:v>139662.49231499998</c:v>
                </c:pt>
                <c:pt idx="13048">
                  <c:v>139800.61216</c:v>
                </c:pt>
                <c:pt idx="13049">
                  <c:v>139938.82304499997</c:v>
                </c:pt>
                <c:pt idx="13050">
                  <c:v>140077.125</c:v>
                </c:pt>
                <c:pt idx="13051">
                  <c:v>140215.518055</c:v>
                </c:pt>
                <c:pt idx="13052">
                  <c:v>140354.00223999997</c:v>
                </c:pt>
                <c:pt idx="13053">
                  <c:v>140492.577585</c:v>
                </c:pt>
                <c:pt idx="13054">
                  <c:v>140631.24412</c:v>
                </c:pt>
                <c:pt idx="13055">
                  <c:v>140770.001875</c:v>
                </c:pt>
                <c:pt idx="13056">
                  <c:v>140908.85087999998</c:v>
                </c:pt>
                <c:pt idx="13057">
                  <c:v>141047.79116499997</c:v>
                </c:pt>
                <c:pt idx="13058">
                  <c:v>141186.82275999995</c:v>
                </c:pt>
                <c:pt idx="13059">
                  <c:v>141325.945695</c:v>
                </c:pt>
                <c:pt idx="13060">
                  <c:v>141465.16</c:v>
                </c:pt>
                <c:pt idx="13061">
                  <c:v>141604.46570499998</c:v>
                </c:pt>
                <c:pt idx="13062">
                  <c:v>141743.86284</c:v>
                </c:pt>
                <c:pt idx="13063">
                  <c:v>141883.351435</c:v>
                </c:pt>
                <c:pt idx="13064">
                  <c:v>142022.93152000004</c:v>
                </c:pt>
                <c:pt idx="13065">
                  <c:v>142162.603125</c:v>
                </c:pt>
                <c:pt idx="13066">
                  <c:v>142302.36628</c:v>
                </c:pt>
                <c:pt idx="13067">
                  <c:v>142442.22101500002</c:v>
                </c:pt>
                <c:pt idx="13068">
                  <c:v>142582.16736</c:v>
                </c:pt>
                <c:pt idx="13069">
                  <c:v>142722.20534500005</c:v>
                </c:pt>
                <c:pt idx="13070">
                  <c:v>142862.335</c:v>
                </c:pt>
                <c:pt idx="13071">
                  <c:v>143002.556355</c:v>
                </c:pt>
                <c:pt idx="13072">
                  <c:v>143142.86943999998</c:v>
                </c:pt>
                <c:pt idx="13073">
                  <c:v>143283.27428500002</c:v>
                </c:pt>
                <c:pt idx="13074">
                  <c:v>143423.77091999998</c:v>
                </c:pt>
                <c:pt idx="13075">
                  <c:v>143564.359375</c:v>
                </c:pt>
                <c:pt idx="13076">
                  <c:v>143705.03968000005</c:v>
                </c:pt>
                <c:pt idx="13077">
                  <c:v>143845.811865</c:v>
                </c:pt>
                <c:pt idx="13078">
                  <c:v>143986.67596000002</c:v>
                </c:pt>
                <c:pt idx="13079">
                  <c:v>144127.631995</c:v>
                </c:pt>
                <c:pt idx="13080">
                  <c:v>144268.68</c:v>
                </c:pt>
                <c:pt idx="13081">
                  <c:v>144409.82000499996</c:v>
                </c:pt>
                <c:pt idx="13082">
                  <c:v>144551.05204</c:v>
                </c:pt>
                <c:pt idx="13083">
                  <c:v>144692.37613499997</c:v>
                </c:pt>
                <c:pt idx="13084">
                  <c:v>144833.79232</c:v>
                </c:pt>
                <c:pt idx="13085">
                  <c:v>144975.300625</c:v>
                </c:pt>
                <c:pt idx="13086">
                  <c:v>145116.90107999995</c:v>
                </c:pt>
                <c:pt idx="13087">
                  <c:v>145258.593715</c:v>
                </c:pt>
                <c:pt idx="13088">
                  <c:v>145400.37856</c:v>
                </c:pt>
                <c:pt idx="13089">
                  <c:v>145542.25564500003</c:v>
                </c:pt>
                <c:pt idx="13090">
                  <c:v>145684.225</c:v>
                </c:pt>
                <c:pt idx="13091">
                  <c:v>145826.286655</c:v>
                </c:pt>
                <c:pt idx="13092">
                  <c:v>145968.44064000002</c:v>
                </c:pt>
                <c:pt idx="13093">
                  <c:v>146110.68698499998</c:v>
                </c:pt>
                <c:pt idx="13094">
                  <c:v>146253.02572000003</c:v>
                </c:pt>
                <c:pt idx="13095">
                  <c:v>146395.456875</c:v>
                </c:pt>
                <c:pt idx="13096">
                  <c:v>146537.98048000003</c:v>
                </c:pt>
                <c:pt idx="13097">
                  <c:v>146680.59656499999</c:v>
                </c:pt>
                <c:pt idx="13098">
                  <c:v>146823.30516</c:v>
                </c:pt>
                <c:pt idx="13099">
                  <c:v>146966.106295</c:v>
                </c:pt>
                <c:pt idx="13100">
                  <c:v>147109.0</c:v>
                </c:pt>
                <c:pt idx="13101">
                  <c:v>147251.98630500003</c:v>
                </c:pt>
                <c:pt idx="13102">
                  <c:v>147395.06524</c:v>
                </c:pt>
                <c:pt idx="13103">
                  <c:v>147538.23683500002</c:v>
                </c:pt>
                <c:pt idx="13104">
                  <c:v>147681.50112</c:v>
                </c:pt>
                <c:pt idx="13105">
                  <c:v>147824.85812500003</c:v>
                </c:pt>
                <c:pt idx="13106">
                  <c:v>147968.30787999998</c:v>
                </c:pt>
                <c:pt idx="13107">
                  <c:v>148111.850415</c:v>
                </c:pt>
                <c:pt idx="13108">
                  <c:v>148255.48575999995</c:v>
                </c:pt>
                <c:pt idx="13109">
                  <c:v>148399.213945</c:v>
                </c:pt>
                <c:pt idx="13110">
                  <c:v>148543.035</c:v>
                </c:pt>
                <c:pt idx="13111">
                  <c:v>148686.94895499997</c:v>
                </c:pt>
                <c:pt idx="13112">
                  <c:v>148830.95584</c:v>
                </c:pt>
                <c:pt idx="13113">
                  <c:v>148975.055685</c:v>
                </c:pt>
                <c:pt idx="13114">
                  <c:v>149119.24852000002</c:v>
                </c:pt>
                <c:pt idx="13115">
                  <c:v>149263.53437500002</c:v>
                </c:pt>
                <c:pt idx="13116">
                  <c:v>149407.91328</c:v>
                </c:pt>
                <c:pt idx="13117">
                  <c:v>149552.38526500002</c:v>
                </c:pt>
                <c:pt idx="13118">
                  <c:v>149696.95036</c:v>
                </c:pt>
                <c:pt idx="13119">
                  <c:v>149841.60859500003</c:v>
                </c:pt>
                <c:pt idx="13120">
                  <c:v>149986.36</c:v>
                </c:pt>
                <c:pt idx="13121">
                  <c:v>150131.204605</c:v>
                </c:pt>
                <c:pt idx="13122">
                  <c:v>150276.14244</c:v>
                </c:pt>
                <c:pt idx="13123">
                  <c:v>150421.17353499998</c:v>
                </c:pt>
                <c:pt idx="13124">
                  <c:v>150566.29791999995</c:v>
                </c:pt>
                <c:pt idx="13125">
                  <c:v>150711.515625</c:v>
                </c:pt>
                <c:pt idx="13126">
                  <c:v>150856.82668000003</c:v>
                </c:pt>
                <c:pt idx="13127">
                  <c:v>151002.23111499997</c:v>
                </c:pt>
                <c:pt idx="13128">
                  <c:v>151147.72896</c:v>
                </c:pt>
                <c:pt idx="13129">
                  <c:v>151293.32024499998</c:v>
                </c:pt>
                <c:pt idx="13130">
                  <c:v>151439.005</c:v>
                </c:pt>
                <c:pt idx="13131">
                  <c:v>151584.78325499996</c:v>
                </c:pt>
                <c:pt idx="13132">
                  <c:v>151730.65504</c:v>
                </c:pt>
                <c:pt idx="13133">
                  <c:v>151876.62038499996</c:v>
                </c:pt>
                <c:pt idx="13134">
                  <c:v>152022.67931999997</c:v>
                </c:pt>
                <c:pt idx="13135">
                  <c:v>152168.831875</c:v>
                </c:pt>
                <c:pt idx="13136">
                  <c:v>152315.07807999998</c:v>
                </c:pt>
                <c:pt idx="13137">
                  <c:v>152461.417965</c:v>
                </c:pt>
                <c:pt idx="13138">
                  <c:v>152607.85155999998</c:v>
                </c:pt>
                <c:pt idx="13139">
                  <c:v>152754.37889500003</c:v>
                </c:pt>
                <c:pt idx="13140">
                  <c:v>152900.99999999997</c:v>
                </c:pt>
                <c:pt idx="13141">
                  <c:v>153047.71490500003</c:v>
                </c:pt>
                <c:pt idx="13142">
                  <c:v>153194.52364000003</c:v>
                </c:pt>
                <c:pt idx="13143">
                  <c:v>153341.426235</c:v>
                </c:pt>
                <c:pt idx="13144">
                  <c:v>153488.42272000003</c:v>
                </c:pt>
                <c:pt idx="13145">
                  <c:v>153635.513125</c:v>
                </c:pt>
                <c:pt idx="13146">
                  <c:v>153782.69748000003</c:v>
                </c:pt>
                <c:pt idx="13147">
                  <c:v>153929.97581499998</c:v>
                </c:pt>
                <c:pt idx="13148">
                  <c:v>154077.34816000002</c:v>
                </c:pt>
                <c:pt idx="13149">
                  <c:v>154224.81454499997</c:v>
                </c:pt>
                <c:pt idx="13150">
                  <c:v>154372.375</c:v>
                </c:pt>
                <c:pt idx="13151">
                  <c:v>154520.02955500002</c:v>
                </c:pt>
                <c:pt idx="13152">
                  <c:v>154667.77823999999</c:v>
                </c:pt>
                <c:pt idx="13153">
                  <c:v>154815.62108500002</c:v>
                </c:pt>
                <c:pt idx="13154">
                  <c:v>154963.55812</c:v>
                </c:pt>
                <c:pt idx="13155">
                  <c:v>155111.589375</c:v>
                </c:pt>
                <c:pt idx="13156">
                  <c:v>155259.71487999998</c:v>
                </c:pt>
                <c:pt idx="13157">
                  <c:v>155407.93466499998</c:v>
                </c:pt>
                <c:pt idx="13158">
                  <c:v>155556.24875999996</c:v>
                </c:pt>
                <c:pt idx="13159">
                  <c:v>155704.65719499998</c:v>
                </c:pt>
                <c:pt idx="13160">
                  <c:v>155853.16</c:v>
                </c:pt>
                <c:pt idx="13161">
                  <c:v>156001.75720499997</c:v>
                </c:pt>
                <c:pt idx="13162">
                  <c:v>156150.44884</c:v>
                </c:pt>
                <c:pt idx="13163">
                  <c:v>156299.234935</c:v>
                </c:pt>
                <c:pt idx="13164">
                  <c:v>156448.11552000002</c:v>
                </c:pt>
                <c:pt idx="13165">
                  <c:v>156597.09062499998</c:v>
                </c:pt>
                <c:pt idx="13166">
                  <c:v>156746.16028</c:v>
                </c:pt>
                <c:pt idx="13167">
                  <c:v>156895.32451500004</c:v>
                </c:pt>
                <c:pt idx="13168">
                  <c:v>157044.58336000002</c:v>
                </c:pt>
                <c:pt idx="13169">
                  <c:v>157193.93684500002</c:v>
                </c:pt>
                <c:pt idx="13170">
                  <c:v>157343.385</c:v>
                </c:pt>
                <c:pt idx="13171">
                  <c:v>157492.92785500005</c:v>
                </c:pt>
                <c:pt idx="13172">
                  <c:v>157642.56543999998</c:v>
                </c:pt>
                <c:pt idx="13173">
                  <c:v>157792.297785</c:v>
                </c:pt>
                <c:pt idx="13174">
                  <c:v>157942.12491999997</c:v>
                </c:pt>
                <c:pt idx="13175">
                  <c:v>158092.046875</c:v>
                </c:pt>
                <c:pt idx="13176">
                  <c:v>158242.06368000002</c:v>
                </c:pt>
                <c:pt idx="13177">
                  <c:v>158392.175365</c:v>
                </c:pt>
                <c:pt idx="13178">
                  <c:v>158542.38196</c:v>
                </c:pt>
                <c:pt idx="13179">
                  <c:v>158692.683495</c:v>
                </c:pt>
                <c:pt idx="13180">
                  <c:v>158843.08</c:v>
                </c:pt>
                <c:pt idx="13181">
                  <c:v>158993.57150499997</c:v>
                </c:pt>
                <c:pt idx="13182">
                  <c:v>159144.15803999998</c:v>
                </c:pt>
                <c:pt idx="13183">
                  <c:v>159294.83963499998</c:v>
                </c:pt>
                <c:pt idx="13184">
                  <c:v>159445.61632</c:v>
                </c:pt>
                <c:pt idx="13185">
                  <c:v>159596.488125</c:v>
                </c:pt>
                <c:pt idx="13186">
                  <c:v>159747.45507999999</c:v>
                </c:pt>
                <c:pt idx="13187">
                  <c:v>159898.517215</c:v>
                </c:pt>
                <c:pt idx="13188">
                  <c:v>160049.67455999998</c:v>
                </c:pt>
                <c:pt idx="13189">
                  <c:v>160200.92714500002</c:v>
                </c:pt>
                <c:pt idx="13190">
                  <c:v>160352.275</c:v>
                </c:pt>
                <c:pt idx="13191">
                  <c:v>160503.718155</c:v>
                </c:pt>
                <c:pt idx="13192">
                  <c:v>160655.25664000004</c:v>
                </c:pt>
                <c:pt idx="13193">
                  <c:v>160806.89048499998</c:v>
                </c:pt>
                <c:pt idx="13194">
                  <c:v>160958.61972000002</c:v>
                </c:pt>
                <c:pt idx="13195">
                  <c:v>161110.444375</c:v>
                </c:pt>
                <c:pt idx="13196">
                  <c:v>161262.36448000002</c:v>
                </c:pt>
                <c:pt idx="13197">
                  <c:v>161414.38006499998</c:v>
                </c:pt>
                <c:pt idx="13198">
                  <c:v>161566.49116</c:v>
                </c:pt>
                <c:pt idx="13199">
                  <c:v>161718.697795</c:v>
                </c:pt>
                <c:pt idx="13200">
                  <c:v>161871.0</c:v>
                </c:pt>
                <c:pt idx="13201">
                  <c:v>162023.39780499996</c:v>
                </c:pt>
                <c:pt idx="13202">
                  <c:v>162175.89124000006</c:v>
                </c:pt>
                <c:pt idx="13203">
                  <c:v>162328.48033500003</c:v>
                </c:pt>
                <c:pt idx="13204">
                  <c:v>162481.16511999996</c:v>
                </c:pt>
                <c:pt idx="13205">
                  <c:v>162633.94562499993</c:v>
                </c:pt>
                <c:pt idx="13206">
                  <c:v>162786.82188000006</c:v>
                </c:pt>
                <c:pt idx="13207">
                  <c:v>162939.793915</c:v>
                </c:pt>
                <c:pt idx="13208">
                  <c:v>163092.86175999997</c:v>
                </c:pt>
                <c:pt idx="13209">
                  <c:v>163246.02544500004</c:v>
                </c:pt>
                <c:pt idx="13210">
                  <c:v>163399.28500000003</c:v>
                </c:pt>
                <c:pt idx="13211">
                  <c:v>163552.64045499996</c:v>
                </c:pt>
                <c:pt idx="13212">
                  <c:v>163706.09183999995</c:v>
                </c:pt>
                <c:pt idx="13213">
                  <c:v>163859.63918500007</c:v>
                </c:pt>
                <c:pt idx="13214">
                  <c:v>164013.28252</c:v>
                </c:pt>
                <c:pt idx="13215">
                  <c:v>164167.02187499998</c:v>
                </c:pt>
                <c:pt idx="13216">
                  <c:v>164320.85727999994</c:v>
                </c:pt>
                <c:pt idx="13217">
                  <c:v>164474.78876500003</c:v>
                </c:pt>
                <c:pt idx="13218">
                  <c:v>164628.81636</c:v>
                </c:pt>
                <c:pt idx="13219">
                  <c:v>164782.94009499997</c:v>
                </c:pt>
                <c:pt idx="13220">
                  <c:v>164937.16000000006</c:v>
                </c:pt>
                <c:pt idx="13221">
                  <c:v>165091.476105</c:v>
                </c:pt>
                <c:pt idx="13222">
                  <c:v>165245.88843999998</c:v>
                </c:pt>
                <c:pt idx="13223">
                  <c:v>165400.39703499994</c:v>
                </c:pt>
                <c:pt idx="13224">
                  <c:v>165555.00192000004</c:v>
                </c:pt>
                <c:pt idx="13225">
                  <c:v>165709.703125</c:v>
                </c:pt>
                <c:pt idx="13226">
                  <c:v>165864.50067999997</c:v>
                </c:pt>
                <c:pt idx="13227">
                  <c:v>166019.39461500006</c:v>
                </c:pt>
                <c:pt idx="13228">
                  <c:v>166174.38496</c:v>
                </c:pt>
                <c:pt idx="13229">
                  <c:v>166329.471745</c:v>
                </c:pt>
                <c:pt idx="13230">
                  <c:v>166484.65499999997</c:v>
                </c:pt>
                <c:pt idx="13231">
                  <c:v>166639.93475500002</c:v>
                </c:pt>
                <c:pt idx="13232">
                  <c:v>166795.31104</c:v>
                </c:pt>
                <c:pt idx="13233">
                  <c:v>166950.78388499998</c:v>
                </c:pt>
                <c:pt idx="13234">
                  <c:v>167106.35332000002</c:v>
                </c:pt>
                <c:pt idx="13235">
                  <c:v>167262.019375</c:v>
                </c:pt>
                <c:pt idx="13236">
                  <c:v>167417.78207999998</c:v>
                </c:pt>
                <c:pt idx="13237">
                  <c:v>167573.64146499994</c:v>
                </c:pt>
                <c:pt idx="13238">
                  <c:v>167729.59756000005</c:v>
                </c:pt>
                <c:pt idx="13239">
                  <c:v>167885.65039500003</c:v>
                </c:pt>
                <c:pt idx="13240">
                  <c:v>168041.8</c:v>
                </c:pt>
                <c:pt idx="13241">
                  <c:v>168198.04640499994</c:v>
                </c:pt>
                <c:pt idx="13242">
                  <c:v>168354.38964000004</c:v>
                </c:pt>
                <c:pt idx="13243">
                  <c:v>168510.829735</c:v>
                </c:pt>
                <c:pt idx="13244">
                  <c:v>168667.36672</c:v>
                </c:pt>
                <c:pt idx="13245">
                  <c:v>168824.00062500004</c:v>
                </c:pt>
                <c:pt idx="13246">
                  <c:v>168980.73148000002</c:v>
                </c:pt>
                <c:pt idx="13247">
                  <c:v>169137.559315</c:v>
                </c:pt>
                <c:pt idx="13248">
                  <c:v>169294.48415999993</c:v>
                </c:pt>
                <c:pt idx="13249">
                  <c:v>169451.50604500005</c:v>
                </c:pt>
                <c:pt idx="13250">
                  <c:v>169608.625</c:v>
                </c:pt>
                <c:pt idx="13251">
                  <c:v>169765.84105499994</c:v>
                </c:pt>
                <c:pt idx="13252">
                  <c:v>169923.15424</c:v>
                </c:pt>
                <c:pt idx="13253">
                  <c:v>170080.56458500001</c:v>
                </c:pt>
                <c:pt idx="13254">
                  <c:v>170238.07211999997</c:v>
                </c:pt>
                <c:pt idx="13255">
                  <c:v>170395.67687499995</c:v>
                </c:pt>
                <c:pt idx="13256">
                  <c:v>170553.37888000003</c:v>
                </c:pt>
                <c:pt idx="13257">
                  <c:v>170711.178165</c:v>
                </c:pt>
                <c:pt idx="13258">
                  <c:v>170869.07476</c:v>
                </c:pt>
                <c:pt idx="13259">
                  <c:v>171027.06869500005</c:v>
                </c:pt>
                <c:pt idx="13260">
                  <c:v>171185.16</c:v>
                </c:pt>
                <c:pt idx="13261">
                  <c:v>171343.34870499995</c:v>
                </c:pt>
                <c:pt idx="13262">
                  <c:v>171501.63483999993</c:v>
                </c:pt>
                <c:pt idx="13263">
                  <c:v>171660.01843500003</c:v>
                </c:pt>
                <c:pt idx="13264">
                  <c:v>171818.49952000004</c:v>
                </c:pt>
                <c:pt idx="13265">
                  <c:v>171977.078125</c:v>
                </c:pt>
                <c:pt idx="13266">
                  <c:v>172135.75427999994</c:v>
                </c:pt>
                <c:pt idx="13267">
                  <c:v>172294.52801500005</c:v>
                </c:pt>
                <c:pt idx="13268">
                  <c:v>172453.39936000004</c:v>
                </c:pt>
                <c:pt idx="13269">
                  <c:v>172612.36834499997</c:v>
                </c:pt>
                <c:pt idx="13270">
                  <c:v>172771.43500000006</c:v>
                </c:pt>
                <c:pt idx="13271">
                  <c:v>172930.59935500004</c:v>
                </c:pt>
                <c:pt idx="13272">
                  <c:v>173089.86143999995</c:v>
                </c:pt>
                <c:pt idx="13273">
                  <c:v>173249.22128499995</c:v>
                </c:pt>
                <c:pt idx="13274">
                  <c:v>173408.67892</c:v>
                </c:pt>
                <c:pt idx="13275">
                  <c:v>173568.234375</c:v>
                </c:pt>
                <c:pt idx="13276">
                  <c:v>173727.88767999996</c:v>
                </c:pt>
                <c:pt idx="13277">
                  <c:v>173887.63886500004</c:v>
                </c:pt>
                <c:pt idx="13278">
                  <c:v>174047.48796000003</c:v>
                </c:pt>
                <c:pt idx="13279">
                  <c:v>174207.434995</c:v>
                </c:pt>
                <c:pt idx="13280">
                  <c:v>174367.47999999995</c:v>
                </c:pt>
                <c:pt idx="13281">
                  <c:v>174527.62300500003</c:v>
                </c:pt>
                <c:pt idx="13282">
                  <c:v>174687.86404</c:v>
                </c:pt>
                <c:pt idx="13283">
                  <c:v>174848.20313499993</c:v>
                </c:pt>
                <c:pt idx="13284">
                  <c:v>175008.64032000006</c:v>
                </c:pt>
                <c:pt idx="13285">
                  <c:v>175169.17562500003</c:v>
                </c:pt>
                <c:pt idx="13286">
                  <c:v>175329.80907999998</c:v>
                </c:pt>
                <c:pt idx="13287">
                  <c:v>175490.54071499995</c:v>
                </c:pt>
                <c:pt idx="13288">
                  <c:v>175651.37056000004</c:v>
                </c:pt>
                <c:pt idx="13289">
                  <c:v>175812.29864500003</c:v>
                </c:pt>
                <c:pt idx="13290">
                  <c:v>175973.32499999998</c:v>
                </c:pt>
                <c:pt idx="13291">
                  <c:v>176134.44965499992</c:v>
                </c:pt>
                <c:pt idx="13292">
                  <c:v>176295.67264000006</c:v>
                </c:pt>
                <c:pt idx="13293">
                  <c:v>176456.99398499998</c:v>
                </c:pt>
                <c:pt idx="13294">
                  <c:v>176618.41371999995</c:v>
                </c:pt>
                <c:pt idx="13295">
                  <c:v>176779.93187500004</c:v>
                </c:pt>
                <c:pt idx="13296">
                  <c:v>176941.54848</c:v>
                </c:pt>
                <c:pt idx="13297">
                  <c:v>177103.26356499997</c:v>
                </c:pt>
                <c:pt idx="13298">
                  <c:v>177265.07715999996</c:v>
                </c:pt>
                <c:pt idx="13299">
                  <c:v>177426.98929500004</c:v>
                </c:pt>
                <c:pt idx="13300">
                  <c:v>177589.0</c:v>
                </c:pt>
                <c:pt idx="13301">
                  <c:v>177751.109305</c:v>
                </c:pt>
                <c:pt idx="13302">
                  <c:v>177913.31724000006</c:v>
                </c:pt>
                <c:pt idx="13303">
                  <c:v>178075.623835</c:v>
                </c:pt>
                <c:pt idx="13304">
                  <c:v>178238.02912</c:v>
                </c:pt>
                <c:pt idx="13305">
                  <c:v>178400.53312499993</c:v>
                </c:pt>
                <c:pt idx="13306">
                  <c:v>178563.13588000005</c:v>
                </c:pt>
                <c:pt idx="13307">
                  <c:v>178725.837415</c:v>
                </c:pt>
                <c:pt idx="13308">
                  <c:v>178888.63775999995</c:v>
                </c:pt>
                <c:pt idx="13309">
                  <c:v>179051.53694500006</c:v>
                </c:pt>
                <c:pt idx="13310">
                  <c:v>179214.535</c:v>
                </c:pt>
                <c:pt idx="13311">
                  <c:v>179377.631955</c:v>
                </c:pt>
                <c:pt idx="13312">
                  <c:v>179540.82783999995</c:v>
                </c:pt>
                <c:pt idx="13313">
                  <c:v>179704.12268500004</c:v>
                </c:pt>
                <c:pt idx="13314">
                  <c:v>179867.51652</c:v>
                </c:pt>
                <c:pt idx="13315">
                  <c:v>180031.009375</c:v>
                </c:pt>
                <c:pt idx="13316">
                  <c:v>180194.60127999994</c:v>
                </c:pt>
                <c:pt idx="13317">
                  <c:v>180358.29226500003</c:v>
                </c:pt>
                <c:pt idx="13318">
                  <c:v>180522.08236000003</c:v>
                </c:pt>
                <c:pt idx="13319">
                  <c:v>180685.97159499995</c:v>
                </c:pt>
                <c:pt idx="13320">
                  <c:v>180849.96000000005</c:v>
                </c:pt>
                <c:pt idx="13321">
                  <c:v>181014.04760500003</c:v>
                </c:pt>
                <c:pt idx="13322">
                  <c:v>181178.23443999997</c:v>
                </c:pt>
                <c:pt idx="13323">
                  <c:v>181342.52053499993</c:v>
                </c:pt>
                <c:pt idx="13324">
                  <c:v>181506.90592000002</c:v>
                </c:pt>
                <c:pt idx="13325">
                  <c:v>181671.390625</c:v>
                </c:pt>
                <c:pt idx="13326">
                  <c:v>181835.97467999998</c:v>
                </c:pt>
                <c:pt idx="13327">
                  <c:v>182000.65811500006</c:v>
                </c:pt>
                <c:pt idx="13328">
                  <c:v>182165.44096000004</c:v>
                </c:pt>
                <c:pt idx="13329">
                  <c:v>182330.32324499995</c:v>
                </c:pt>
                <c:pt idx="13330">
                  <c:v>182495.30499999993</c:v>
                </c:pt>
                <c:pt idx="13331">
                  <c:v>182660.38625500005</c:v>
                </c:pt>
                <c:pt idx="13332">
                  <c:v>182825.56704</c:v>
                </c:pt>
                <c:pt idx="13333">
                  <c:v>182990.84738499994</c:v>
                </c:pt>
                <c:pt idx="13334">
                  <c:v>183156.22732000003</c:v>
                </c:pt>
                <c:pt idx="13335">
                  <c:v>183321.706875</c:v>
                </c:pt>
                <c:pt idx="13336">
                  <c:v>183487.28608</c:v>
                </c:pt>
                <c:pt idx="13337">
                  <c:v>183652.96496499993</c:v>
                </c:pt>
                <c:pt idx="13338">
                  <c:v>183818.74356000006</c:v>
                </c:pt>
                <c:pt idx="13339">
                  <c:v>183984.62189500005</c:v>
                </c:pt>
                <c:pt idx="13340">
                  <c:v>184150.6</c:v>
                </c:pt>
                <c:pt idx="13341">
                  <c:v>184316.67790499996</c:v>
                </c:pt>
                <c:pt idx="13342">
                  <c:v>184482.85564000002</c:v>
                </c:pt>
                <c:pt idx="13343">
                  <c:v>184649.133235</c:v>
                </c:pt>
                <c:pt idx="13344">
                  <c:v>184815.51071999996</c:v>
                </c:pt>
                <c:pt idx="13345">
                  <c:v>184981.98812500006</c:v>
                </c:pt>
                <c:pt idx="13346">
                  <c:v>185148.56548000002</c:v>
                </c:pt>
                <c:pt idx="13347">
                  <c:v>185315.24281499998</c:v>
                </c:pt>
                <c:pt idx="13348">
                  <c:v>185482.02015999996</c:v>
                </c:pt>
                <c:pt idx="13349">
                  <c:v>185648.897545</c:v>
                </c:pt>
                <c:pt idx="13350">
                  <c:v>185815.875</c:v>
                </c:pt>
                <c:pt idx="13351">
                  <c:v>185982.95255499997</c:v>
                </c:pt>
                <c:pt idx="13352">
                  <c:v>186150.13024000006</c:v>
                </c:pt>
                <c:pt idx="13353">
                  <c:v>186317.408085</c:v>
                </c:pt>
                <c:pt idx="13354">
                  <c:v>186484.78611999998</c:v>
                </c:pt>
                <c:pt idx="13355">
                  <c:v>186652.26437499997</c:v>
                </c:pt>
                <c:pt idx="13356">
                  <c:v>186819.84288000004</c:v>
                </c:pt>
                <c:pt idx="13357">
                  <c:v>186987.52166499998</c:v>
                </c:pt>
                <c:pt idx="13358">
                  <c:v>187155.30075999995</c:v>
                </c:pt>
                <c:pt idx="13359">
                  <c:v>187323.18019500005</c:v>
                </c:pt>
                <c:pt idx="13360">
                  <c:v>187491.16</c:v>
                </c:pt>
                <c:pt idx="13361">
                  <c:v>187659.24020499998</c:v>
                </c:pt>
                <c:pt idx="13362">
                  <c:v>187827.42083999998</c:v>
                </c:pt>
                <c:pt idx="13363">
                  <c:v>187995.70193500008</c:v>
                </c:pt>
                <c:pt idx="13364">
                  <c:v>188164.08352000001</c:v>
                </c:pt>
                <c:pt idx="13365">
                  <c:v>188332.565625</c:v>
                </c:pt>
                <c:pt idx="13366">
                  <c:v>188501.14828</c:v>
                </c:pt>
                <c:pt idx="13367">
                  <c:v>188669.831515</c:v>
                </c:pt>
                <c:pt idx="13368">
                  <c:v>188838.61536000003</c:v>
                </c:pt>
                <c:pt idx="13369">
                  <c:v>189007.499845</c:v>
                </c:pt>
                <c:pt idx="13370">
                  <c:v>189176.48500000007</c:v>
                </c:pt>
                <c:pt idx="13371">
                  <c:v>189345.570855</c:v>
                </c:pt>
                <c:pt idx="13372">
                  <c:v>189514.75744</c:v>
                </c:pt>
                <c:pt idx="13373">
                  <c:v>189684.04478499998</c:v>
                </c:pt>
                <c:pt idx="13374">
                  <c:v>189853.43292000005</c:v>
                </c:pt>
                <c:pt idx="13375">
                  <c:v>190022.921875</c:v>
                </c:pt>
                <c:pt idx="13376">
                  <c:v>190192.51167999997</c:v>
                </c:pt>
                <c:pt idx="13377">
                  <c:v>190362.20236500006</c:v>
                </c:pt>
                <c:pt idx="13378">
                  <c:v>190531.99396000002</c:v>
                </c:pt>
                <c:pt idx="13379">
                  <c:v>190701.88649499998</c:v>
                </c:pt>
                <c:pt idx="13380">
                  <c:v>190871.87999999992</c:v>
                </c:pt>
                <c:pt idx="13381">
                  <c:v>191041.97450500005</c:v>
                </c:pt>
                <c:pt idx="13382">
                  <c:v>191212.17003999997</c:v>
                </c:pt>
                <c:pt idx="13383">
                  <c:v>191382.46663499996</c:v>
                </c:pt>
                <c:pt idx="13384">
                  <c:v>191552.86432000005</c:v>
                </c:pt>
                <c:pt idx="13385">
                  <c:v>191723.36312500003</c:v>
                </c:pt>
                <c:pt idx="13386">
                  <c:v>191893.96308</c:v>
                </c:pt>
                <c:pt idx="13387">
                  <c:v>192064.66421499994</c:v>
                </c:pt>
                <c:pt idx="13388">
                  <c:v>192235.46656000006</c:v>
                </c:pt>
                <c:pt idx="13389">
                  <c:v>192406.37014500005</c:v>
                </c:pt>
                <c:pt idx="13390">
                  <c:v>192577.37499999997</c:v>
                </c:pt>
                <c:pt idx="13391">
                  <c:v>192748.48115499996</c:v>
                </c:pt>
                <c:pt idx="13392">
                  <c:v>192919.68864000004</c:v>
                </c:pt>
                <c:pt idx="13393">
                  <c:v>193090.99748499997</c:v>
                </c:pt>
                <c:pt idx="13394">
                  <c:v>193262.40772</c:v>
                </c:pt>
                <c:pt idx="13395">
                  <c:v>193433.91937500008</c:v>
                </c:pt>
                <c:pt idx="13396">
                  <c:v>193605.53248000002</c:v>
                </c:pt>
                <c:pt idx="13397">
                  <c:v>193777.24706499997</c:v>
                </c:pt>
                <c:pt idx="13398">
                  <c:v>193949.06315999996</c:v>
                </c:pt>
                <c:pt idx="13399">
                  <c:v>194120.98079500004</c:v>
                </c:pt>
                <c:pt idx="13400">
                  <c:v>194293.0</c:v>
                </c:pt>
                <c:pt idx="13401">
                  <c:v>194465.12080499995</c:v>
                </c:pt>
                <c:pt idx="13402">
                  <c:v>194637.34324000005</c:v>
                </c:pt>
                <c:pt idx="13403">
                  <c:v>194809.66733500003</c:v>
                </c:pt>
                <c:pt idx="13404">
                  <c:v>194982.09311999998</c:v>
                </c:pt>
                <c:pt idx="13405">
                  <c:v>195154.62062499995</c:v>
                </c:pt>
                <c:pt idx="13406">
                  <c:v>195327.24988000005</c:v>
                </c:pt>
                <c:pt idx="13407">
                  <c:v>195499.980915</c:v>
                </c:pt>
                <c:pt idx="13408">
                  <c:v>195672.81375999996</c:v>
                </c:pt>
                <c:pt idx="13409">
                  <c:v>195845.74844500006</c:v>
                </c:pt>
                <c:pt idx="13410">
                  <c:v>196018.785</c:v>
                </c:pt>
                <c:pt idx="13411">
                  <c:v>196191.92345499998</c:v>
                </c:pt>
                <c:pt idx="13412">
                  <c:v>196365.16383999996</c:v>
                </c:pt>
                <c:pt idx="13413">
                  <c:v>196538.5061850001</c:v>
                </c:pt>
                <c:pt idx="13414">
                  <c:v>196711.95052</c:v>
                </c:pt>
                <c:pt idx="13415">
                  <c:v>196885.49687499998</c:v>
                </c:pt>
                <c:pt idx="13416">
                  <c:v>197059.14527999994</c:v>
                </c:pt>
                <c:pt idx="13417">
                  <c:v>197232.89576500002</c:v>
                </c:pt>
                <c:pt idx="13418">
                  <c:v>197406.74836</c:v>
                </c:pt>
                <c:pt idx="13419">
                  <c:v>197580.70309499998</c:v>
                </c:pt>
                <c:pt idx="13420">
                  <c:v>197754.76000000007</c:v>
                </c:pt>
                <c:pt idx="13421">
                  <c:v>197928.919105</c:v>
                </c:pt>
                <c:pt idx="13422">
                  <c:v>198103.18043999997</c:v>
                </c:pt>
                <c:pt idx="13423">
                  <c:v>198277.54403499997</c:v>
                </c:pt>
                <c:pt idx="13424">
                  <c:v>198452.00992</c:v>
                </c:pt>
                <c:pt idx="13425">
                  <c:v>198626.578125</c:v>
                </c:pt>
                <c:pt idx="13426">
                  <c:v>198801.24867999993</c:v>
                </c:pt>
                <c:pt idx="13427">
                  <c:v>198976.02161500006</c:v>
                </c:pt>
                <c:pt idx="13428">
                  <c:v>199150.89696</c:v>
                </c:pt>
                <c:pt idx="13429">
                  <c:v>199325.87474499998</c:v>
                </c:pt>
                <c:pt idx="13430">
                  <c:v>199500.95499999993</c:v>
                </c:pt>
                <c:pt idx="13431">
                  <c:v>199676.13775500003</c:v>
                </c:pt>
                <c:pt idx="13432">
                  <c:v>199851.42304000002</c:v>
                </c:pt>
                <c:pt idx="13433">
                  <c:v>200026.81088499998</c:v>
                </c:pt>
                <c:pt idx="13434">
                  <c:v>200202.30132000006</c:v>
                </c:pt>
                <c:pt idx="13435">
                  <c:v>200377.894375</c:v>
                </c:pt>
                <c:pt idx="13436">
                  <c:v>200553.59008</c:v>
                </c:pt>
                <c:pt idx="13437">
                  <c:v>200729.38846499994</c:v>
                </c:pt>
                <c:pt idx="13438">
                  <c:v>200905.28956000006</c:v>
                </c:pt>
                <c:pt idx="13439">
                  <c:v>201081.29339500002</c:v>
                </c:pt>
                <c:pt idx="13440">
                  <c:v>201257.4</c:v>
                </c:pt>
                <c:pt idx="13441">
                  <c:v>201433.60940499997</c:v>
                </c:pt>
                <c:pt idx="13442">
                  <c:v>201609.92164000004</c:v>
                </c:pt>
                <c:pt idx="13443">
                  <c:v>201786.33673500002</c:v>
                </c:pt>
                <c:pt idx="13444">
                  <c:v>201962.85471999997</c:v>
                </c:pt>
                <c:pt idx="13445">
                  <c:v>202139.47562500005</c:v>
                </c:pt>
                <c:pt idx="13446">
                  <c:v>202316.19948000004</c:v>
                </c:pt>
                <c:pt idx="13447">
                  <c:v>202493.02631499997</c:v>
                </c:pt>
                <c:pt idx="13448">
                  <c:v>202669.95615999997</c:v>
                </c:pt>
                <c:pt idx="13449">
                  <c:v>202846.98904500002</c:v>
                </c:pt>
                <c:pt idx="13450">
                  <c:v>203024.125</c:v>
                </c:pt>
                <c:pt idx="13451">
                  <c:v>203201.36405499998</c:v>
                </c:pt>
                <c:pt idx="13452">
                  <c:v>203378.7062400001</c:v>
                </c:pt>
                <c:pt idx="13453">
                  <c:v>203556.151585</c:v>
                </c:pt>
                <c:pt idx="13454">
                  <c:v>203733.70011999996</c:v>
                </c:pt>
                <c:pt idx="13455">
                  <c:v>203911.35187499993</c:v>
                </c:pt>
                <c:pt idx="13456">
                  <c:v>204089.10688000004</c:v>
                </c:pt>
                <c:pt idx="13457">
                  <c:v>204266.965165</c:v>
                </c:pt>
                <c:pt idx="13458">
                  <c:v>204444.92675999997</c:v>
                </c:pt>
                <c:pt idx="13459">
                  <c:v>204622.99169500006</c:v>
                </c:pt>
                <c:pt idx="13460">
                  <c:v>204801.16</c:v>
                </c:pt>
                <c:pt idx="13461">
                  <c:v>204979.43170499997</c:v>
                </c:pt>
                <c:pt idx="13462">
                  <c:v>205157.80683999995</c:v>
                </c:pt>
                <c:pt idx="13463">
                  <c:v>205336.28543500006</c:v>
                </c:pt>
                <c:pt idx="13464">
                  <c:v>205514.86752</c:v>
                </c:pt>
                <c:pt idx="13465">
                  <c:v>205693.553125</c:v>
                </c:pt>
                <c:pt idx="13466">
                  <c:v>205872.34227999995</c:v>
                </c:pt>
                <c:pt idx="13467">
                  <c:v>206051.23501500007</c:v>
                </c:pt>
                <c:pt idx="13468">
                  <c:v>206230.23136</c:v>
                </c:pt>
                <c:pt idx="13469">
                  <c:v>206409.33134499996</c:v>
                </c:pt>
                <c:pt idx="13470">
                  <c:v>206588.53500000006</c:v>
                </c:pt>
                <c:pt idx="13471">
                  <c:v>206767.84235500003</c:v>
                </c:pt>
                <c:pt idx="13472">
                  <c:v>206947.25343999997</c:v>
                </c:pt>
                <c:pt idx="13473">
                  <c:v>207126.76828499994</c:v>
                </c:pt>
                <c:pt idx="13474">
                  <c:v>207306.38692000005</c:v>
                </c:pt>
                <c:pt idx="13475">
                  <c:v>207486.109375</c:v>
                </c:pt>
                <c:pt idx="13476">
                  <c:v>207665.93567999997</c:v>
                </c:pt>
                <c:pt idx="13477">
                  <c:v>207845.86586500006</c:v>
                </c:pt>
                <c:pt idx="13478">
                  <c:v>208025.89996</c:v>
                </c:pt>
                <c:pt idx="13479">
                  <c:v>208206.037995</c:v>
                </c:pt>
                <c:pt idx="13480">
                  <c:v>208386.27999999994</c:v>
                </c:pt>
                <c:pt idx="13481">
                  <c:v>208566.62600500006</c:v>
                </c:pt>
                <c:pt idx="13482">
                  <c:v>208747.07603999999</c:v>
                </c:pt>
                <c:pt idx="13483">
                  <c:v>208927.63013499998</c:v>
                </c:pt>
                <c:pt idx="13484">
                  <c:v>209108.28832000005</c:v>
                </c:pt>
                <c:pt idx="13485">
                  <c:v>209289.050625</c:v>
                </c:pt>
                <c:pt idx="13486">
                  <c:v>209469.91707999998</c:v>
                </c:pt>
                <c:pt idx="13487">
                  <c:v>209650.88771499993</c:v>
                </c:pt>
                <c:pt idx="13488">
                  <c:v>209831.96256000004</c:v>
                </c:pt>
                <c:pt idx="13489">
                  <c:v>210013.14164500003</c:v>
                </c:pt>
                <c:pt idx="13490">
                  <c:v>210194.425</c:v>
                </c:pt>
                <c:pt idx="13491">
                  <c:v>210375.81265499993</c:v>
                </c:pt>
                <c:pt idx="13492">
                  <c:v>210557.30464000005</c:v>
                </c:pt>
                <c:pt idx="13493">
                  <c:v>210738.900985</c:v>
                </c:pt>
                <c:pt idx="13494">
                  <c:v>210920.60171999995</c:v>
                </c:pt>
                <c:pt idx="13495">
                  <c:v>211102.40687500007</c:v>
                </c:pt>
                <c:pt idx="13496">
                  <c:v>211284.31648000004</c:v>
                </c:pt>
                <c:pt idx="13497">
                  <c:v>211466.330565</c:v>
                </c:pt>
                <c:pt idx="13498">
                  <c:v>211648.44915999996</c:v>
                </c:pt>
                <c:pt idx="13499">
                  <c:v>211830.67229500008</c:v>
                </c:pt>
                <c:pt idx="13500">
                  <c:v>212013.0</c:v>
                </c:pt>
                <c:pt idx="13501">
                  <c:v>212195.43230499994</c:v>
                </c:pt>
                <c:pt idx="13502">
                  <c:v>212377.96924000006</c:v>
                </c:pt>
                <c:pt idx="13503">
                  <c:v>212560.610835</c:v>
                </c:pt>
                <c:pt idx="13504">
                  <c:v>212743.35711999997</c:v>
                </c:pt>
                <c:pt idx="13505">
                  <c:v>212926.20812499992</c:v>
                </c:pt>
                <c:pt idx="13506">
                  <c:v>213109.16388000007</c:v>
                </c:pt>
                <c:pt idx="13507">
                  <c:v>213292.22441500003</c:v>
                </c:pt>
                <c:pt idx="13508">
                  <c:v>213475.38975999993</c:v>
                </c:pt>
                <c:pt idx="13509">
                  <c:v>213658.65994500008</c:v>
                </c:pt>
                <c:pt idx="13510">
                  <c:v>213842.03500000003</c:v>
                </c:pt>
                <c:pt idx="13511">
                  <c:v>214025.51495499996</c:v>
                </c:pt>
                <c:pt idx="13512">
                  <c:v>214209.09983999995</c:v>
                </c:pt>
                <c:pt idx="13513">
                  <c:v>214392.78968500008</c:v>
                </c:pt>
                <c:pt idx="13514">
                  <c:v>214576.58452000003</c:v>
                </c:pt>
                <c:pt idx="13515">
                  <c:v>214760.48437499997</c:v>
                </c:pt>
                <c:pt idx="13516">
                  <c:v>214944.48927999992</c:v>
                </c:pt>
                <c:pt idx="13517">
                  <c:v>215128.59926500003</c:v>
                </c:pt>
                <c:pt idx="13518">
                  <c:v>215312.81436</c:v>
                </c:pt>
                <c:pt idx="13519">
                  <c:v>215497.13459499995</c:v>
                </c:pt>
                <c:pt idx="13520">
                  <c:v>215681.56000000008</c:v>
                </c:pt>
                <c:pt idx="13521">
                  <c:v>215866.09060500003</c:v>
                </c:pt>
                <c:pt idx="13522">
                  <c:v>216050.72644</c:v>
                </c:pt>
                <c:pt idx="13523">
                  <c:v>216235.46753499997</c:v>
                </c:pt>
                <c:pt idx="13524">
                  <c:v>216420.31392000002</c:v>
                </c:pt>
                <c:pt idx="13525">
                  <c:v>216605.265625</c:v>
                </c:pt>
                <c:pt idx="13526">
                  <c:v>216790.32267999992</c:v>
                </c:pt>
                <c:pt idx="13527">
                  <c:v>216975.48511500005</c:v>
                </c:pt>
                <c:pt idx="13528">
                  <c:v>217160.75296</c:v>
                </c:pt>
                <c:pt idx="13529">
                  <c:v>217346.126245</c:v>
                </c:pt>
                <c:pt idx="13530">
                  <c:v>217531.60499999995</c:v>
                </c:pt>
                <c:pt idx="13531">
                  <c:v>217717.189255</c:v>
                </c:pt>
                <c:pt idx="13532">
                  <c:v>217902.87904</c:v>
                </c:pt>
                <c:pt idx="13533">
                  <c:v>218088.67438499996</c:v>
                </c:pt>
                <c:pt idx="13534">
                  <c:v>218274.57532000003</c:v>
                </c:pt>
                <c:pt idx="13535">
                  <c:v>218460.581875</c:v>
                </c:pt>
                <c:pt idx="13536">
                  <c:v>218646.69408</c:v>
                </c:pt>
                <c:pt idx="13537">
                  <c:v>218832.91196499992</c:v>
                </c:pt>
                <c:pt idx="13538">
                  <c:v>219019.2355600001</c:v>
                </c:pt>
                <c:pt idx="13539">
                  <c:v>219205.66489500002</c:v>
                </c:pt>
                <c:pt idx="13540">
                  <c:v>219392.19999999998</c:v>
                </c:pt>
                <c:pt idx="13541">
                  <c:v>219578.84090499996</c:v>
                </c:pt>
                <c:pt idx="13542">
                  <c:v>219765.58764</c:v>
                </c:pt>
                <c:pt idx="13543">
                  <c:v>219952.44023500002</c:v>
                </c:pt>
                <c:pt idx="13544">
                  <c:v>220139.39871999997</c:v>
                </c:pt>
                <c:pt idx="13545">
                  <c:v>220326.46312500007</c:v>
                </c:pt>
                <c:pt idx="13546">
                  <c:v>220513.63348</c:v>
                </c:pt>
                <c:pt idx="13547">
                  <c:v>220700.909815</c:v>
                </c:pt>
                <c:pt idx="13548">
                  <c:v>220888.29215999992</c:v>
                </c:pt>
                <c:pt idx="13549">
                  <c:v>221075.78054500005</c:v>
                </c:pt>
                <c:pt idx="13550">
                  <c:v>221263.375</c:v>
                </c:pt>
                <c:pt idx="13551">
                  <c:v>221451.07555499996</c:v>
                </c:pt>
                <c:pt idx="13552">
                  <c:v>221638.88224000004</c:v>
                </c:pt>
                <c:pt idx="13553">
                  <c:v>221826.79508500002</c:v>
                </c:pt>
                <c:pt idx="13554">
                  <c:v>222014.81412</c:v>
                </c:pt>
                <c:pt idx="13555">
                  <c:v>222202.93937499993</c:v>
                </c:pt>
                <c:pt idx="13556">
                  <c:v>222391.17088000002</c:v>
                </c:pt>
                <c:pt idx="13557">
                  <c:v>222579.508665</c:v>
                </c:pt>
                <c:pt idx="13558">
                  <c:v>222767.95275999996</c:v>
                </c:pt>
                <c:pt idx="13559">
                  <c:v>222956.50319500003</c:v>
                </c:pt>
                <c:pt idx="13560">
                  <c:v>223145.16</c:v>
                </c:pt>
                <c:pt idx="13561">
                  <c:v>223333.923205</c:v>
                </c:pt>
                <c:pt idx="13562">
                  <c:v>223522.79283999995</c:v>
                </c:pt>
                <c:pt idx="13563">
                  <c:v>223711.76893500006</c:v>
                </c:pt>
                <c:pt idx="13564">
                  <c:v>223900.85152000003</c:v>
                </c:pt>
                <c:pt idx="13565">
                  <c:v>224090.040625</c:v>
                </c:pt>
                <c:pt idx="13566">
                  <c:v>224279.33627999996</c:v>
                </c:pt>
                <c:pt idx="13567">
                  <c:v>224468.73851500006</c:v>
                </c:pt>
                <c:pt idx="13568">
                  <c:v>224658.24736000004</c:v>
                </c:pt>
                <c:pt idx="13569">
                  <c:v>224847.86284499997</c:v>
                </c:pt>
                <c:pt idx="13570">
                  <c:v>225037.58500000005</c:v>
                </c:pt>
                <c:pt idx="13571">
                  <c:v>225227.413855</c:v>
                </c:pt>
                <c:pt idx="13572">
                  <c:v>225417.34944</c:v>
                </c:pt>
                <c:pt idx="13573">
                  <c:v>225607.39178499993</c:v>
                </c:pt>
                <c:pt idx="13574">
                  <c:v>225797.54092000006</c:v>
                </c:pt>
                <c:pt idx="13575">
                  <c:v>225987.796875</c:v>
                </c:pt>
                <c:pt idx="13576">
                  <c:v>226178.15967999995</c:v>
                </c:pt>
                <c:pt idx="13577">
                  <c:v>226368.6293650001</c:v>
                </c:pt>
                <c:pt idx="13578">
                  <c:v>226559.20596000002</c:v>
                </c:pt>
                <c:pt idx="13579">
                  <c:v>226749.88949499995</c:v>
                </c:pt>
                <c:pt idx="13580">
                  <c:v>226940.67999999996</c:v>
                </c:pt>
                <c:pt idx="13581">
                  <c:v>227131.57750500002</c:v>
                </c:pt>
                <c:pt idx="13582">
                  <c:v>227322.58203999998</c:v>
                </c:pt>
                <c:pt idx="13583">
                  <c:v>227513.69363499995</c:v>
                </c:pt>
                <c:pt idx="13584">
                  <c:v>227704.91232000003</c:v>
                </c:pt>
                <c:pt idx="13585">
                  <c:v>227896.238125</c:v>
                </c:pt>
                <c:pt idx="13586">
                  <c:v>228087.67108</c:v>
                </c:pt>
                <c:pt idx="13587">
                  <c:v>228279.21121499993</c:v>
                </c:pt>
                <c:pt idx="13588">
                  <c:v>228470.85856000005</c:v>
                </c:pt>
                <c:pt idx="13589">
                  <c:v>228662.613145</c:v>
                </c:pt>
                <c:pt idx="13590">
                  <c:v>228854.47499999998</c:v>
                </c:pt>
                <c:pt idx="13591">
                  <c:v>229046.44415499995</c:v>
                </c:pt>
                <c:pt idx="13592">
                  <c:v>229238.52064000006</c:v>
                </c:pt>
                <c:pt idx="13593">
                  <c:v>229430.704485</c:v>
                </c:pt>
                <c:pt idx="13594">
                  <c:v>229622.99571999998</c:v>
                </c:pt>
                <c:pt idx="13595">
                  <c:v>229815.39437500006</c:v>
                </c:pt>
                <c:pt idx="13596">
                  <c:v>230007.90048000004</c:v>
                </c:pt>
                <c:pt idx="13597">
                  <c:v>230200.514065</c:v>
                </c:pt>
                <c:pt idx="13598">
                  <c:v>230393.23515999995</c:v>
                </c:pt>
                <c:pt idx="13599">
                  <c:v>230586.06379500002</c:v>
                </c:pt>
                <c:pt idx="13600">
                  <c:v>230779.0</c:v>
                </c:pt>
                <c:pt idx="13601">
                  <c:v>230972.04380499996</c:v>
                </c:pt>
                <c:pt idx="13602">
                  <c:v>231165.19524000006</c:v>
                </c:pt>
                <c:pt idx="13603">
                  <c:v>231358.45433500002</c:v>
                </c:pt>
                <c:pt idx="13604">
                  <c:v>231551.82111999998</c:v>
                </c:pt>
                <c:pt idx="13605">
                  <c:v>231745.29562499997</c:v>
                </c:pt>
                <c:pt idx="13606">
                  <c:v>231938.87788000001</c:v>
                </c:pt>
                <c:pt idx="13607">
                  <c:v>232132.56791500002</c:v>
                </c:pt>
                <c:pt idx="13608">
                  <c:v>232326.36575999996</c:v>
                </c:pt>
                <c:pt idx="13609">
                  <c:v>232520.27144500002</c:v>
                </c:pt>
                <c:pt idx="13610">
                  <c:v>232714.285</c:v>
                </c:pt>
                <c:pt idx="13611">
                  <c:v>232908.40645499996</c:v>
                </c:pt>
                <c:pt idx="13612">
                  <c:v>233102.63583999994</c:v>
                </c:pt>
                <c:pt idx="13613">
                  <c:v>233296.97318500007</c:v>
                </c:pt>
                <c:pt idx="13614">
                  <c:v>233491.41852</c:v>
                </c:pt>
                <c:pt idx="13615">
                  <c:v>233685.97187500002</c:v>
                </c:pt>
                <c:pt idx="13616">
                  <c:v>233880.63327999995</c:v>
                </c:pt>
                <c:pt idx="13617">
                  <c:v>234075.40276500004</c:v>
                </c:pt>
                <c:pt idx="13618">
                  <c:v>234270.28035999998</c:v>
                </c:pt>
                <c:pt idx="13619">
                  <c:v>234465.26609499994</c:v>
                </c:pt>
                <c:pt idx="13620">
                  <c:v>234660.36000000007</c:v>
                </c:pt>
                <c:pt idx="13621">
                  <c:v>234855.56210500005</c:v>
                </c:pt>
                <c:pt idx="13622">
                  <c:v>235050.87244</c:v>
                </c:pt>
                <c:pt idx="13623">
                  <c:v>235246.29103499997</c:v>
                </c:pt>
                <c:pt idx="13624">
                  <c:v>235441.81792000003</c:v>
                </c:pt>
                <c:pt idx="13625">
                  <c:v>235637.453125</c:v>
                </c:pt>
                <c:pt idx="13626">
                  <c:v>235833.19667999996</c:v>
                </c:pt>
                <c:pt idx="13627">
                  <c:v>236029.04861500004</c:v>
                </c:pt>
                <c:pt idx="13628">
                  <c:v>236225.00896</c:v>
                </c:pt>
                <c:pt idx="13629">
                  <c:v>236421.077745</c:v>
                </c:pt>
                <c:pt idx="13630">
                  <c:v>236617.25499999995</c:v>
                </c:pt>
                <c:pt idx="13631">
                  <c:v>236813.54075500002</c:v>
                </c:pt>
                <c:pt idx="13632">
                  <c:v>237009.93504</c:v>
                </c:pt>
                <c:pt idx="13633">
                  <c:v>237206.43788499996</c:v>
                </c:pt>
                <c:pt idx="13634">
                  <c:v>237403.04932000008</c:v>
                </c:pt>
                <c:pt idx="13635">
                  <c:v>237599.76937500003</c:v>
                </c:pt>
                <c:pt idx="13636">
                  <c:v>237796.59808</c:v>
                </c:pt>
                <c:pt idx="13637">
                  <c:v>237993.53546499994</c:v>
                </c:pt>
                <c:pt idx="13638">
                  <c:v>238190.58156000008</c:v>
                </c:pt>
                <c:pt idx="13639">
                  <c:v>238387.73639500004</c:v>
                </c:pt>
                <c:pt idx="13640">
                  <c:v>238584.99999999997</c:v>
                </c:pt>
                <c:pt idx="13641">
                  <c:v>238782.37240499994</c:v>
                </c:pt>
                <c:pt idx="13642">
                  <c:v>238979.85364000004</c:v>
                </c:pt>
                <c:pt idx="13643">
                  <c:v>239177.443735</c:v>
                </c:pt>
                <c:pt idx="13644">
                  <c:v>239375.14271999997</c:v>
                </c:pt>
                <c:pt idx="13645">
                  <c:v>239572.95062500008</c:v>
                </c:pt>
                <c:pt idx="13646">
                  <c:v>239770.86748000002</c:v>
                </c:pt>
                <c:pt idx="13647">
                  <c:v>239968.893315</c:v>
                </c:pt>
                <c:pt idx="13648">
                  <c:v>240167.02815999993</c:v>
                </c:pt>
                <c:pt idx="13649">
                  <c:v>240365.27204500002</c:v>
                </c:pt>
                <c:pt idx="13650">
                  <c:v>240563.625</c:v>
                </c:pt>
                <c:pt idx="13651">
                  <c:v>240762.08705499998</c:v>
                </c:pt>
                <c:pt idx="13652">
                  <c:v>240960.65824000008</c:v>
                </c:pt>
                <c:pt idx="13653">
                  <c:v>241159.33858500002</c:v>
                </c:pt>
                <c:pt idx="13654">
                  <c:v>241358.12811999995</c:v>
                </c:pt>
                <c:pt idx="13655">
                  <c:v>241557.02687499992</c:v>
                </c:pt>
                <c:pt idx="13656">
                  <c:v>241756.03488000005</c:v>
                </c:pt>
                <c:pt idx="13657">
                  <c:v>241955.152165</c:v>
                </c:pt>
                <c:pt idx="13658">
                  <c:v>242154.37875999996</c:v>
                </c:pt>
                <c:pt idx="13659">
                  <c:v>242353.71469500003</c:v>
                </c:pt>
                <c:pt idx="13660">
                  <c:v>242553.16000000003</c:v>
                </c:pt>
                <c:pt idx="13661">
                  <c:v>242752.71470499996</c:v>
                </c:pt>
                <c:pt idx="13662">
                  <c:v>242952.37883999996</c:v>
                </c:pt>
                <c:pt idx="13663">
                  <c:v>243152.15243500008</c:v>
                </c:pt>
                <c:pt idx="13664">
                  <c:v>243352.03552</c:v>
                </c:pt>
                <c:pt idx="13665">
                  <c:v>243552.02812499995</c:v>
                </c:pt>
                <c:pt idx="13666">
                  <c:v>243752.13027999995</c:v>
                </c:pt>
                <c:pt idx="13667">
                  <c:v>243952.34201500006</c:v>
                </c:pt>
                <c:pt idx="13668">
                  <c:v>244152.66336</c:v>
                </c:pt>
                <c:pt idx="13669">
                  <c:v>244353.094345</c:v>
                </c:pt>
                <c:pt idx="13670">
                  <c:v>244553.63500000007</c:v>
                </c:pt>
                <c:pt idx="13671">
                  <c:v>244754.28535500003</c:v>
                </c:pt>
                <c:pt idx="13672">
                  <c:v>244955.04544</c:v>
                </c:pt>
                <c:pt idx="13673">
                  <c:v>245155.91528499994</c:v>
                </c:pt>
                <c:pt idx="13674">
                  <c:v>245356.89492000002</c:v>
                </c:pt>
                <c:pt idx="13675">
                  <c:v>245557.984375</c:v>
                </c:pt>
                <c:pt idx="13676">
                  <c:v>245759.18367999996</c:v>
                </c:pt>
                <c:pt idx="13677">
                  <c:v>245960.49286500004</c:v>
                </c:pt>
                <c:pt idx="13678">
                  <c:v>246161.91196000003</c:v>
                </c:pt>
                <c:pt idx="13679">
                  <c:v>246363.44099499995</c:v>
                </c:pt>
                <c:pt idx="13680">
                  <c:v>246565.07999999996</c:v>
                </c:pt>
                <c:pt idx="13681">
                  <c:v>246766.82900500004</c:v>
                </c:pt>
                <c:pt idx="13682">
                  <c:v>246968.68803999998</c:v>
                </c:pt>
                <c:pt idx="13683">
                  <c:v>247170.65713499996</c:v>
                </c:pt>
                <c:pt idx="13684">
                  <c:v>247372.73632000005</c:v>
                </c:pt>
                <c:pt idx="13685">
                  <c:v>247574.92562500003</c:v>
                </c:pt>
                <c:pt idx="13686">
                  <c:v>247777.22507999995</c:v>
                </c:pt>
                <c:pt idx="13687">
                  <c:v>247979.63471499993</c:v>
                </c:pt>
                <c:pt idx="13688">
                  <c:v>248182.15456000008</c:v>
                </c:pt>
                <c:pt idx="13689">
                  <c:v>248384.78464500004</c:v>
                </c:pt>
                <c:pt idx="13690">
                  <c:v>248587.52499999997</c:v>
                </c:pt>
                <c:pt idx="13691">
                  <c:v>248790.37565499992</c:v>
                </c:pt>
                <c:pt idx="13692">
                  <c:v>248993.33664000005</c:v>
                </c:pt>
                <c:pt idx="13693">
                  <c:v>249196.407985</c:v>
                </c:pt>
                <c:pt idx="13694">
                  <c:v>249399.58972</c:v>
                </c:pt>
                <c:pt idx="13695">
                  <c:v>249602.88187500008</c:v>
                </c:pt>
                <c:pt idx="13696">
                  <c:v>249806.28448000003</c:v>
                </c:pt>
                <c:pt idx="13697">
                  <c:v>250009.79756499996</c:v>
                </c:pt>
                <c:pt idx="13698">
                  <c:v>250213.42115999997</c:v>
                </c:pt>
                <c:pt idx="13699">
                  <c:v>250417.15529500006</c:v>
                </c:pt>
                <c:pt idx="13700">
                  <c:v>250621.0</c:v>
                </c:pt>
                <c:pt idx="13701">
                  <c:v>250824.95530499995</c:v>
                </c:pt>
                <c:pt idx="13702">
                  <c:v>251029.0212400001</c:v>
                </c:pt>
                <c:pt idx="13703">
                  <c:v>251233.197835</c:v>
                </c:pt>
                <c:pt idx="13704">
                  <c:v>251437.48511999997</c:v>
                </c:pt>
                <c:pt idx="13705">
                  <c:v>251641.88312499993</c:v>
                </c:pt>
                <c:pt idx="13706">
                  <c:v>251846.39188000004</c:v>
                </c:pt>
                <c:pt idx="13707">
                  <c:v>252051.01141500002</c:v>
                </c:pt>
                <c:pt idx="13708">
                  <c:v>252255.74175999995</c:v>
                </c:pt>
                <c:pt idx="13709">
                  <c:v>252460.58294500006</c:v>
                </c:pt>
                <c:pt idx="13710">
                  <c:v>252665.53500000003</c:v>
                </c:pt>
                <c:pt idx="13711">
                  <c:v>252870.59795499995</c:v>
                </c:pt>
                <c:pt idx="13712">
                  <c:v>253075.7718399999</c:v>
                </c:pt>
                <c:pt idx="13713">
                  <c:v>253281.05668500008</c:v>
                </c:pt>
                <c:pt idx="13714">
                  <c:v>253486.45252000002</c:v>
                </c:pt>
                <c:pt idx="13715">
                  <c:v>253691.95937499998</c:v>
                </c:pt>
                <c:pt idx="13716">
                  <c:v>253897.5772799999</c:v>
                </c:pt>
                <c:pt idx="13717">
                  <c:v>254103.30626500005</c:v>
                </c:pt>
                <c:pt idx="13718">
                  <c:v>254309.14635999998</c:v>
                </c:pt>
                <c:pt idx="13719">
                  <c:v>254515.09759499997</c:v>
                </c:pt>
                <c:pt idx="13720">
                  <c:v>254721.16000000006</c:v>
                </c:pt>
                <c:pt idx="13721">
                  <c:v>254927.333605</c:v>
                </c:pt>
                <c:pt idx="13722">
                  <c:v>255133.61844</c:v>
                </c:pt>
                <c:pt idx="13723">
                  <c:v>255340.01453499994</c:v>
                </c:pt>
                <c:pt idx="13724">
                  <c:v>255546.52192000003</c:v>
                </c:pt>
                <c:pt idx="13725">
                  <c:v>255753.140625</c:v>
                </c:pt>
                <c:pt idx="13726">
                  <c:v>255959.87067999996</c:v>
                </c:pt>
                <c:pt idx="13727">
                  <c:v>256166.71211500006</c:v>
                </c:pt>
                <c:pt idx="13728">
                  <c:v>256373.66496000002</c:v>
                </c:pt>
                <c:pt idx="13729">
                  <c:v>256580.72924499997</c:v>
                </c:pt>
                <c:pt idx="13730">
                  <c:v>256787.90499999997</c:v>
                </c:pt>
                <c:pt idx="13731">
                  <c:v>256995.19225500006</c:v>
                </c:pt>
                <c:pt idx="13732">
                  <c:v>257202.59104</c:v>
                </c:pt>
                <c:pt idx="13733">
                  <c:v>257410.10138499993</c:v>
                </c:pt>
                <c:pt idx="13734">
                  <c:v>257617.72332000008</c:v>
                </c:pt>
                <c:pt idx="13735">
                  <c:v>257825.456875</c:v>
                </c:pt>
                <c:pt idx="13736">
                  <c:v>258033.30207999996</c:v>
                </c:pt>
                <c:pt idx="13737">
                  <c:v>258241.2589649999</c:v>
                </c:pt>
                <c:pt idx="13738">
                  <c:v>258449.3275600001</c:v>
                </c:pt>
                <c:pt idx="13739">
                  <c:v>258657.50789500002</c:v>
                </c:pt>
                <c:pt idx="13740">
                  <c:v>258865.80000000002</c:v>
                </c:pt>
                <c:pt idx="13741">
                  <c:v>259074.20390499991</c:v>
                </c:pt>
                <c:pt idx="13742">
                  <c:v>259282.71964000005</c:v>
                </c:pt>
                <c:pt idx="13743">
                  <c:v>259491.34723499996</c:v>
                </c:pt>
                <c:pt idx="13744">
                  <c:v>259700.08671999996</c:v>
                </c:pt>
                <c:pt idx="13745">
                  <c:v>259908.93812500002</c:v>
                </c:pt>
                <c:pt idx="13746">
                  <c:v>260117.90148000003</c:v>
                </c:pt>
                <c:pt idx="13747">
                  <c:v>260326.976815</c:v>
                </c:pt>
                <c:pt idx="13748">
                  <c:v>260536.16415999996</c:v>
                </c:pt>
                <c:pt idx="13749">
                  <c:v>260745.46354500004</c:v>
                </c:pt>
                <c:pt idx="13750">
                  <c:v>260954.875</c:v>
                </c:pt>
                <c:pt idx="13751">
                  <c:v>261164.39855499993</c:v>
                </c:pt>
                <c:pt idx="13752">
                  <c:v>261374.03424000004</c:v>
                </c:pt>
                <c:pt idx="13753">
                  <c:v>261583.782085</c:v>
                </c:pt>
                <c:pt idx="13754">
                  <c:v>261793.64211999995</c:v>
                </c:pt>
                <c:pt idx="13755">
                  <c:v>262003.61437499998</c:v>
                </c:pt>
                <c:pt idx="13756">
                  <c:v>262213.69888000004</c:v>
                </c:pt>
                <c:pt idx="13757">
                  <c:v>262423.895665</c:v>
                </c:pt>
                <c:pt idx="13758">
                  <c:v>262634.20475999994</c:v>
                </c:pt>
                <c:pt idx="13759">
                  <c:v>262844.6261950001</c:v>
                </c:pt>
                <c:pt idx="13760">
                  <c:v>263055.16</c:v>
                </c:pt>
                <c:pt idx="13761">
                  <c:v>263265.806205</c:v>
                </c:pt>
                <c:pt idx="13762">
                  <c:v>263476.56483999995</c:v>
                </c:pt>
                <c:pt idx="13763">
                  <c:v>263687.4359350001</c:v>
                </c:pt>
                <c:pt idx="13764">
                  <c:v>263898.41952</c:v>
                </c:pt>
                <c:pt idx="13765">
                  <c:v>264109.515625</c:v>
                </c:pt>
                <c:pt idx="13766">
                  <c:v>264320.7242799999</c:v>
                </c:pt>
                <c:pt idx="13767">
                  <c:v>264532.045515</c:v>
                </c:pt>
                <c:pt idx="13768">
                  <c:v>264743.47936</c:v>
                </c:pt>
                <c:pt idx="13769">
                  <c:v>264955.025845</c:v>
                </c:pt>
                <c:pt idx="13770">
                  <c:v>265166.685</c:v>
                </c:pt>
                <c:pt idx="13771">
                  <c:v>265378.45685500005</c:v>
                </c:pt>
                <c:pt idx="13772">
                  <c:v>265590.34143999993</c:v>
                </c:pt>
                <c:pt idx="13773">
                  <c:v>265802.3387849999</c:v>
                </c:pt>
                <c:pt idx="13774">
                  <c:v>266014.44892000005</c:v>
                </c:pt>
                <c:pt idx="13775">
                  <c:v>266226.671875</c:v>
                </c:pt>
                <c:pt idx="13776">
                  <c:v>266439.00768</c:v>
                </c:pt>
                <c:pt idx="13777">
                  <c:v>266651.45636500005</c:v>
                </c:pt>
                <c:pt idx="13778">
                  <c:v>266864.01796</c:v>
                </c:pt>
                <c:pt idx="13779">
                  <c:v>267076.69249499997</c:v>
                </c:pt>
                <c:pt idx="13780">
                  <c:v>267289.48</c:v>
                </c:pt>
                <c:pt idx="13781">
                  <c:v>267502.380505</c:v>
                </c:pt>
                <c:pt idx="13782">
                  <c:v>267715.39404000004</c:v>
                </c:pt>
                <c:pt idx="13783">
                  <c:v>267928.52063499996</c:v>
                </c:pt>
                <c:pt idx="13784">
                  <c:v>268141.7603200001</c:v>
                </c:pt>
                <c:pt idx="13785">
                  <c:v>268355.11312500003</c:v>
                </c:pt>
                <c:pt idx="13786">
                  <c:v>268568.57908000005</c:v>
                </c:pt>
                <c:pt idx="13787">
                  <c:v>268782.1582149999</c:v>
                </c:pt>
                <c:pt idx="13788">
                  <c:v>268995.8505600001</c:v>
                </c:pt>
                <c:pt idx="13789">
                  <c:v>269209.65614499996</c:v>
                </c:pt>
                <c:pt idx="13790">
                  <c:v>269423.57499999995</c:v>
                </c:pt>
                <c:pt idx="13791">
                  <c:v>269637.6071549999</c:v>
                </c:pt>
                <c:pt idx="13792">
                  <c:v>269851.7526400001</c:v>
                </c:pt>
                <c:pt idx="13793">
                  <c:v>270066.01148499997</c:v>
                </c:pt>
                <c:pt idx="13794">
                  <c:v>270280.3837199999</c:v>
                </c:pt>
                <c:pt idx="13795">
                  <c:v>270494.869375</c:v>
                </c:pt>
                <c:pt idx="13796">
                  <c:v>270709.46848000004</c:v>
                </c:pt>
                <c:pt idx="13797">
                  <c:v>270924.181065</c:v>
                </c:pt>
                <c:pt idx="13798">
                  <c:v>271139.0071599999</c:v>
                </c:pt>
                <c:pt idx="13799">
                  <c:v>271353.94679500005</c:v>
                </c:pt>
                <c:pt idx="13800">
                  <c:v>271569.0</c:v>
                </c:pt>
                <c:pt idx="13801">
                  <c:v>271784.1668049999</c:v>
                </c:pt>
                <c:pt idx="13802">
                  <c:v>271999.44724000007</c:v>
                </c:pt>
                <c:pt idx="13803">
                  <c:v>272214.84133500006</c:v>
                </c:pt>
                <c:pt idx="13804">
                  <c:v>272430.34911999997</c:v>
                </c:pt>
                <c:pt idx="13805">
                  <c:v>272645.97062499996</c:v>
                </c:pt>
                <c:pt idx="13806">
                  <c:v>272861.70588</c:v>
                </c:pt>
                <c:pt idx="13807">
                  <c:v>273077.55491500004</c:v>
                </c:pt>
                <c:pt idx="13808">
                  <c:v>273293.51775999996</c:v>
                </c:pt>
                <c:pt idx="13809">
                  <c:v>273509.5944450001</c:v>
                </c:pt>
                <c:pt idx="13810">
                  <c:v>273725.78500000003</c:v>
                </c:pt>
                <c:pt idx="13811">
                  <c:v>273942.08945499995</c:v>
                </c:pt>
                <c:pt idx="13812">
                  <c:v>274158.5078399999</c:v>
                </c:pt>
                <c:pt idx="13813">
                  <c:v>274375.0401850001</c:v>
                </c:pt>
                <c:pt idx="13814">
                  <c:v>274591.68652</c:v>
                </c:pt>
                <c:pt idx="13815">
                  <c:v>274808.44687499997</c:v>
                </c:pt>
                <c:pt idx="13816">
                  <c:v>275025.3212799999</c:v>
                </c:pt>
                <c:pt idx="13817">
                  <c:v>275242.3097650001</c:v>
                </c:pt>
                <c:pt idx="13818">
                  <c:v>275459.41235999996</c:v>
                </c:pt>
                <c:pt idx="13819">
                  <c:v>275676.629095</c:v>
                </c:pt>
                <c:pt idx="13820">
                  <c:v>275893.9600000001</c:v>
                </c:pt>
                <c:pt idx="13821">
                  <c:v>276111.40510500007</c:v>
                </c:pt>
                <c:pt idx="13822">
                  <c:v>276328.96443999995</c:v>
                </c:pt>
                <c:pt idx="13823">
                  <c:v>276546.63803499995</c:v>
                </c:pt>
                <c:pt idx="13824">
                  <c:v>276764.42592</c:v>
                </c:pt>
                <c:pt idx="13825">
                  <c:v>276982.328125</c:v>
                </c:pt>
                <c:pt idx="13826">
                  <c:v>277200.34468000004</c:v>
                </c:pt>
                <c:pt idx="13827">
                  <c:v>277418.4756150001</c:v>
                </c:pt>
                <c:pt idx="13828">
                  <c:v>277636.72096000006</c:v>
                </c:pt>
                <c:pt idx="13829">
                  <c:v>277855.080745</c:v>
                </c:pt>
                <c:pt idx="13830">
                  <c:v>278073.55499999993</c:v>
                </c:pt>
                <c:pt idx="13831">
                  <c:v>278292.1437550001</c:v>
                </c:pt>
                <c:pt idx="13832">
                  <c:v>278510.84704</c:v>
                </c:pt>
                <c:pt idx="13833">
                  <c:v>278729.664885</c:v>
                </c:pt>
                <c:pt idx="13834">
                  <c:v>278948.5973200001</c:v>
                </c:pt>
                <c:pt idx="13835">
                  <c:v>279167.64437500003</c:v>
                </c:pt>
                <c:pt idx="13836">
                  <c:v>279386.80608</c:v>
                </c:pt>
                <c:pt idx="13837">
                  <c:v>279606.0824649999</c:v>
                </c:pt>
                <c:pt idx="13838">
                  <c:v>279825.4735600001</c:v>
                </c:pt>
                <c:pt idx="13839">
                  <c:v>280044.97939500003</c:v>
                </c:pt>
                <c:pt idx="13840">
                  <c:v>280264.6</c:v>
                </c:pt>
                <c:pt idx="13841">
                  <c:v>280484.33540499985</c:v>
                </c:pt>
                <c:pt idx="13842">
                  <c:v>280704.18564000004</c:v>
                </c:pt>
                <c:pt idx="13843">
                  <c:v>280924.150735</c:v>
                </c:pt>
                <c:pt idx="13844">
                  <c:v>281144.23071999993</c:v>
                </c:pt>
                <c:pt idx="13845">
                  <c:v>281364.42562500003</c:v>
                </c:pt>
                <c:pt idx="13846">
                  <c:v>281584.73548000003</c:v>
                </c:pt>
                <c:pt idx="13847">
                  <c:v>281805.1603149999</c:v>
                </c:pt>
                <c:pt idx="13848">
                  <c:v>282025.70015999995</c:v>
                </c:pt>
                <c:pt idx="13849">
                  <c:v>282246.35504500003</c:v>
                </c:pt>
                <c:pt idx="13850">
                  <c:v>282467.125</c:v>
                </c:pt>
                <c:pt idx="13851">
                  <c:v>282688.01005499996</c:v>
                </c:pt>
                <c:pt idx="13852">
                  <c:v>282909.01024000003</c:v>
                </c:pt>
                <c:pt idx="13853">
                  <c:v>283130.12558500003</c:v>
                </c:pt>
                <c:pt idx="13854">
                  <c:v>283351.35611999995</c:v>
                </c:pt>
                <c:pt idx="13855">
                  <c:v>283572.7018749999</c:v>
                </c:pt>
                <c:pt idx="13856">
                  <c:v>283794.1628800001</c:v>
                </c:pt>
                <c:pt idx="13857">
                  <c:v>284015.739165</c:v>
                </c:pt>
                <c:pt idx="13858">
                  <c:v>284237.43075999996</c:v>
                </c:pt>
                <c:pt idx="13859">
                  <c:v>284459.2376950001</c:v>
                </c:pt>
                <c:pt idx="13860">
                  <c:v>284681.16000000003</c:v>
                </c:pt>
                <c:pt idx="13861">
                  <c:v>284903.197705</c:v>
                </c:pt>
                <c:pt idx="13862">
                  <c:v>285125.3508399999</c:v>
                </c:pt>
                <c:pt idx="13863">
                  <c:v>285347.61943500006</c:v>
                </c:pt>
                <c:pt idx="13864">
                  <c:v>285570.00352</c:v>
                </c:pt>
                <c:pt idx="13865">
                  <c:v>285792.503125</c:v>
                </c:pt>
                <c:pt idx="13866">
                  <c:v>286015.11827999994</c:v>
                </c:pt>
                <c:pt idx="13867">
                  <c:v>286237.84901500004</c:v>
                </c:pt>
                <c:pt idx="13868">
                  <c:v>286460.69535999995</c:v>
                </c:pt>
                <c:pt idx="13869">
                  <c:v>286683.65734499996</c:v>
                </c:pt>
                <c:pt idx="13870">
                  <c:v>286906.73500000004</c:v>
                </c:pt>
                <c:pt idx="13871">
                  <c:v>287129.928355</c:v>
                </c:pt>
                <c:pt idx="13872">
                  <c:v>287353.23743999994</c:v>
                </c:pt>
                <c:pt idx="13873">
                  <c:v>287576.6622849999</c:v>
                </c:pt>
                <c:pt idx="13874">
                  <c:v>287800.20292</c:v>
                </c:pt>
                <c:pt idx="13875">
                  <c:v>288023.859375</c:v>
                </c:pt>
                <c:pt idx="13876">
                  <c:v>288247.63168</c:v>
                </c:pt>
                <c:pt idx="13877">
                  <c:v>288471.51986500004</c:v>
                </c:pt>
                <c:pt idx="13878">
                  <c:v>288695.52396</c:v>
                </c:pt>
                <c:pt idx="13879">
                  <c:v>288919.643995</c:v>
                </c:pt>
                <c:pt idx="13880">
                  <c:v>289143.87999999995</c:v>
                </c:pt>
                <c:pt idx="13881">
                  <c:v>289368.23200500006</c:v>
                </c:pt>
                <c:pt idx="13882">
                  <c:v>289592.7000400001</c:v>
                </c:pt>
                <c:pt idx="13883">
                  <c:v>289817.28413499997</c:v>
                </c:pt>
                <c:pt idx="13884">
                  <c:v>290041.98432000005</c:v>
                </c:pt>
                <c:pt idx="13885">
                  <c:v>290266.80062500003</c:v>
                </c:pt>
                <c:pt idx="13886">
                  <c:v>290491.73308000003</c:v>
                </c:pt>
                <c:pt idx="13887">
                  <c:v>290716.78171499993</c:v>
                </c:pt>
                <c:pt idx="13888">
                  <c:v>290941.94656000007</c:v>
                </c:pt>
                <c:pt idx="13889">
                  <c:v>291167.227645</c:v>
                </c:pt>
                <c:pt idx="13890">
                  <c:v>291392.625</c:v>
                </c:pt>
                <c:pt idx="13891">
                  <c:v>291618.13865499996</c:v>
                </c:pt>
                <c:pt idx="13892">
                  <c:v>291843.7686400001</c:v>
                </c:pt>
                <c:pt idx="13893">
                  <c:v>292069.51498499996</c:v>
                </c:pt>
                <c:pt idx="13894">
                  <c:v>292295.37771999993</c:v>
                </c:pt>
                <c:pt idx="13895">
                  <c:v>292521.356875</c:v>
                </c:pt>
                <c:pt idx="13896">
                  <c:v>292747.45248000004</c:v>
                </c:pt>
                <c:pt idx="13897">
                  <c:v>292973.664565</c:v>
                </c:pt>
                <c:pt idx="13898">
                  <c:v>293199.99315999995</c:v>
                </c:pt>
                <c:pt idx="13899">
                  <c:v>293426.438295</c:v>
                </c:pt>
                <c:pt idx="13900">
                  <c:v>293653.0</c:v>
                </c:pt>
                <c:pt idx="13901">
                  <c:v>293879.678305</c:v>
                </c:pt>
                <c:pt idx="13902">
                  <c:v>294106.4732400001</c:v>
                </c:pt>
                <c:pt idx="13903">
                  <c:v>294333.38483500003</c:v>
                </c:pt>
                <c:pt idx="13904">
                  <c:v>294560.4131199999</c:v>
                </c:pt>
                <c:pt idx="13905">
                  <c:v>294787.558125</c:v>
                </c:pt>
                <c:pt idx="13906">
                  <c:v>295014.8198800001</c:v>
                </c:pt>
                <c:pt idx="13907">
                  <c:v>295242.19841500005</c:v>
                </c:pt>
                <c:pt idx="13908">
                  <c:v>295469.69375999994</c:v>
                </c:pt>
                <c:pt idx="13909">
                  <c:v>295697.3059450001</c:v>
                </c:pt>
                <c:pt idx="13910">
                  <c:v>295925.03500000003</c:v>
                </c:pt>
                <c:pt idx="13911">
                  <c:v>296152.880955</c:v>
                </c:pt>
                <c:pt idx="13912">
                  <c:v>296380.8438399999</c:v>
                </c:pt>
                <c:pt idx="13913">
                  <c:v>296608.92368500005</c:v>
                </c:pt>
                <c:pt idx="13914">
                  <c:v>296837.12052</c:v>
                </c:pt>
                <c:pt idx="13915">
                  <c:v>297065.434375</c:v>
                </c:pt>
                <c:pt idx="13916">
                  <c:v>297293.86527999985</c:v>
                </c:pt>
                <c:pt idx="13917">
                  <c:v>297522.413265</c:v>
                </c:pt>
                <c:pt idx="13918">
                  <c:v>297751.07836</c:v>
                </c:pt>
                <c:pt idx="13919">
                  <c:v>297979.860595</c:v>
                </c:pt>
                <c:pt idx="13920">
                  <c:v>298208.76</c:v>
                </c:pt>
                <c:pt idx="13921">
                  <c:v>298437.776605</c:v>
                </c:pt>
                <c:pt idx="13922">
                  <c:v>298666.91043999995</c:v>
                </c:pt>
                <c:pt idx="13923">
                  <c:v>298896.1615349999</c:v>
                </c:pt>
                <c:pt idx="13924">
                  <c:v>299125.52992</c:v>
                </c:pt>
                <c:pt idx="13925">
                  <c:v>299355.015625</c:v>
                </c:pt>
                <c:pt idx="13926">
                  <c:v>299584.61867999996</c:v>
                </c:pt>
                <c:pt idx="13927">
                  <c:v>299814.3391150001</c:v>
                </c:pt>
                <c:pt idx="13928">
                  <c:v>300044.17696000007</c:v>
                </c:pt>
                <c:pt idx="13929">
                  <c:v>300274.132245</c:v>
                </c:pt>
                <c:pt idx="13930">
                  <c:v>300504.20499999996</c:v>
                </c:pt>
                <c:pt idx="13931">
                  <c:v>300734.3952550001</c:v>
                </c:pt>
                <c:pt idx="13932">
                  <c:v>300964.70304</c:v>
                </c:pt>
                <c:pt idx="13933">
                  <c:v>301195.12838499993</c:v>
                </c:pt>
                <c:pt idx="13934">
                  <c:v>301425.6713200001</c:v>
                </c:pt>
                <c:pt idx="13935">
                  <c:v>301656.33187500003</c:v>
                </c:pt>
                <c:pt idx="13936">
                  <c:v>301887.11007999995</c:v>
                </c:pt>
                <c:pt idx="13937">
                  <c:v>302118.00596499996</c:v>
                </c:pt>
                <c:pt idx="13938">
                  <c:v>302349.01956000004</c:v>
                </c:pt>
                <c:pt idx="13939">
                  <c:v>302580.150895</c:v>
                </c:pt>
                <c:pt idx="13940">
                  <c:v>302811.4</c:v>
                </c:pt>
                <c:pt idx="13941">
                  <c:v>303042.7669049999</c:v>
                </c:pt>
                <c:pt idx="13942">
                  <c:v>303274.25164000003</c:v>
                </c:pt>
                <c:pt idx="13943">
                  <c:v>303505.854235</c:v>
                </c:pt>
                <c:pt idx="13944">
                  <c:v>303737.57472</c:v>
                </c:pt>
                <c:pt idx="13945">
                  <c:v>303969.4131250001</c:v>
                </c:pt>
                <c:pt idx="13946">
                  <c:v>304201.36948</c:v>
                </c:pt>
                <c:pt idx="13947">
                  <c:v>304433.44381499995</c:v>
                </c:pt>
                <c:pt idx="13948">
                  <c:v>304665.63615999994</c:v>
                </c:pt>
                <c:pt idx="13949">
                  <c:v>304897.946545</c:v>
                </c:pt>
                <c:pt idx="13950">
                  <c:v>305130.375</c:v>
                </c:pt>
                <c:pt idx="13951">
                  <c:v>305362.92155499995</c:v>
                </c:pt>
                <c:pt idx="13952">
                  <c:v>305595.58624000003</c:v>
                </c:pt>
                <c:pt idx="13953">
                  <c:v>305828.369085</c:v>
                </c:pt>
                <c:pt idx="13954">
                  <c:v>306061.27012</c:v>
                </c:pt>
                <c:pt idx="13955">
                  <c:v>306294.28937499993</c:v>
                </c:pt>
                <c:pt idx="13956">
                  <c:v>306527.42688000004</c:v>
                </c:pt>
                <c:pt idx="13957">
                  <c:v>306760.68266500003</c:v>
                </c:pt>
                <c:pt idx="13958">
                  <c:v>306994.05675999995</c:v>
                </c:pt>
                <c:pt idx="13959">
                  <c:v>307227.5491950001</c:v>
                </c:pt>
                <c:pt idx="13960">
                  <c:v>307461.16000000003</c:v>
                </c:pt>
                <c:pt idx="13961">
                  <c:v>307694.889205</c:v>
                </c:pt>
                <c:pt idx="13962">
                  <c:v>307928.7368399999</c:v>
                </c:pt>
                <c:pt idx="13963">
                  <c:v>308162.70293500007</c:v>
                </c:pt>
                <c:pt idx="13964">
                  <c:v>308396.78752</c:v>
                </c:pt>
                <c:pt idx="13965">
                  <c:v>308630.990625</c:v>
                </c:pt>
                <c:pt idx="13966">
                  <c:v>308865.3122799999</c:v>
                </c:pt>
                <c:pt idx="13967">
                  <c:v>309099.75251500006</c:v>
                </c:pt>
                <c:pt idx="13968">
                  <c:v>309334.31136</c:v>
                </c:pt>
                <c:pt idx="13969">
                  <c:v>309568.9888449999</c:v>
                </c:pt>
                <c:pt idx="13970">
                  <c:v>309803.7850000001</c:v>
                </c:pt>
                <c:pt idx="13971">
                  <c:v>310038.6998550001</c:v>
                </c:pt>
                <c:pt idx="13972">
                  <c:v>310273.7334399999</c:v>
                </c:pt>
                <c:pt idx="13973">
                  <c:v>310508.88578499993</c:v>
                </c:pt>
                <c:pt idx="13974">
                  <c:v>310744.15692000004</c:v>
                </c:pt>
                <c:pt idx="13975">
                  <c:v>310979.546875</c:v>
                </c:pt>
                <c:pt idx="13976">
                  <c:v>311215.05568</c:v>
                </c:pt>
                <c:pt idx="13977">
                  <c:v>311450.68336500006</c:v>
                </c:pt>
                <c:pt idx="13978">
                  <c:v>311686.4299600001</c:v>
                </c:pt>
                <c:pt idx="13979">
                  <c:v>311922.29549499997</c:v>
                </c:pt>
                <c:pt idx="13980">
                  <c:v>312158.27999999997</c:v>
                </c:pt>
                <c:pt idx="13981">
                  <c:v>312394.38350500003</c:v>
                </c:pt>
                <c:pt idx="13982">
                  <c:v>312630.60604000004</c:v>
                </c:pt>
                <c:pt idx="13983">
                  <c:v>312866.94763499993</c:v>
                </c:pt>
                <c:pt idx="13984">
                  <c:v>313103.4083200001</c:v>
                </c:pt>
                <c:pt idx="13985">
                  <c:v>313339.98812500003</c:v>
                </c:pt>
                <c:pt idx="13986">
                  <c:v>313576.68708</c:v>
                </c:pt>
                <c:pt idx="13987">
                  <c:v>313813.50521499995</c:v>
                </c:pt>
                <c:pt idx="13988">
                  <c:v>314050.44256000005</c:v>
                </c:pt>
                <c:pt idx="13989">
                  <c:v>314287.499145</c:v>
                </c:pt>
                <c:pt idx="13990">
                  <c:v>314524.675</c:v>
                </c:pt>
                <c:pt idx="13991">
                  <c:v>314761.9701549999</c:v>
                </c:pt>
                <c:pt idx="13992">
                  <c:v>314999.38464000006</c:v>
                </c:pt>
                <c:pt idx="13993">
                  <c:v>315236.918485</c:v>
                </c:pt>
                <c:pt idx="13994">
                  <c:v>315474.57171999995</c:v>
                </c:pt>
                <c:pt idx="13995">
                  <c:v>315712.34437500004</c:v>
                </c:pt>
                <c:pt idx="13996">
                  <c:v>315950.23648</c:v>
                </c:pt>
                <c:pt idx="13997">
                  <c:v>316188.24806499993</c:v>
                </c:pt>
                <c:pt idx="13998">
                  <c:v>316426.3791599999</c:v>
                </c:pt>
                <c:pt idx="13999">
                  <c:v>316664.629795</c:v>
                </c:pt>
                <c:pt idx="14000">
                  <c:v>316903.0</c:v>
                </c:pt>
                <c:pt idx="14001">
                  <c:v>317141.48980499996</c:v>
                </c:pt>
                <c:pt idx="14002">
                  <c:v>317380.09924000007</c:v>
                </c:pt>
                <c:pt idx="14003">
                  <c:v>317618.828335</c:v>
                </c:pt>
                <c:pt idx="14004">
                  <c:v>317857.67711999995</c:v>
                </c:pt>
                <c:pt idx="14005">
                  <c:v>318096.64562499995</c:v>
                </c:pt>
                <c:pt idx="14006">
                  <c:v>318335.73388</c:v>
                </c:pt>
                <c:pt idx="14007">
                  <c:v>318574.94191500003</c:v>
                </c:pt>
                <c:pt idx="14008">
                  <c:v>318814.26975999994</c:v>
                </c:pt>
                <c:pt idx="14009">
                  <c:v>319053.71744500013</c:v>
                </c:pt>
                <c:pt idx="14010">
                  <c:v>319293.28500000003</c:v>
                </c:pt>
                <c:pt idx="14011">
                  <c:v>319532.972455</c:v>
                </c:pt>
                <c:pt idx="14012">
                  <c:v>319772.77984</c:v>
                </c:pt>
                <c:pt idx="14013">
                  <c:v>320012.70718500006</c:v>
                </c:pt>
                <c:pt idx="14014">
                  <c:v>320252.75451999996</c:v>
                </c:pt>
                <c:pt idx="14015">
                  <c:v>320492.921875</c:v>
                </c:pt>
                <c:pt idx="14016">
                  <c:v>320733.2092799999</c:v>
                </c:pt>
                <c:pt idx="14017">
                  <c:v>320973.61676500004</c:v>
                </c:pt>
                <c:pt idx="14018">
                  <c:v>321214.14436</c:v>
                </c:pt>
                <c:pt idx="14019">
                  <c:v>321454.7920949999</c:v>
                </c:pt>
                <c:pt idx="14020">
                  <c:v>321695.56</c:v>
                </c:pt>
                <c:pt idx="14021">
                  <c:v>321936.448105</c:v>
                </c:pt>
                <c:pt idx="14022">
                  <c:v>322177.4564399999</c:v>
                </c:pt>
                <c:pt idx="14023">
                  <c:v>322418.58503499994</c:v>
                </c:pt>
                <c:pt idx="14024">
                  <c:v>322659.83392</c:v>
                </c:pt>
                <c:pt idx="14025">
                  <c:v>322901.203125</c:v>
                </c:pt>
                <c:pt idx="14026">
                  <c:v>323142.69268</c:v>
                </c:pt>
                <c:pt idx="14027">
                  <c:v>323384.30261500005</c:v>
                </c:pt>
                <c:pt idx="14028">
                  <c:v>323626.0329600001</c:v>
                </c:pt>
                <c:pt idx="14029">
                  <c:v>323867.883745</c:v>
                </c:pt>
                <c:pt idx="14030">
                  <c:v>324109.8549999999</c:v>
                </c:pt>
                <c:pt idx="14031">
                  <c:v>324351.94675500004</c:v>
                </c:pt>
                <c:pt idx="14032">
                  <c:v>324594.15904</c:v>
                </c:pt>
                <c:pt idx="14033">
                  <c:v>324836.49188499997</c:v>
                </c:pt>
                <c:pt idx="14034">
                  <c:v>325078.9453200001</c:v>
                </c:pt>
                <c:pt idx="14035">
                  <c:v>325321.51937500003</c:v>
                </c:pt>
                <c:pt idx="14036">
                  <c:v>325564.21408</c:v>
                </c:pt>
                <c:pt idx="14037">
                  <c:v>325807.0294649999</c:v>
                </c:pt>
                <c:pt idx="14038">
                  <c:v>326049.96556000004</c:v>
                </c:pt>
                <c:pt idx="14039">
                  <c:v>326293.022395</c:v>
                </c:pt>
                <c:pt idx="14040">
                  <c:v>326536.19999999995</c:v>
                </c:pt>
                <c:pt idx="14041">
                  <c:v>326779.49840499996</c:v>
                </c:pt>
                <c:pt idx="14042">
                  <c:v>327022.91764000006</c:v>
                </c:pt>
                <c:pt idx="14043">
                  <c:v>327266.457735</c:v>
                </c:pt>
                <c:pt idx="14044">
                  <c:v>327510.1187199999</c:v>
                </c:pt>
                <c:pt idx="14045">
                  <c:v>327753.900625</c:v>
                </c:pt>
                <c:pt idx="14046">
                  <c:v>327997.80348</c:v>
                </c:pt>
                <c:pt idx="14047">
                  <c:v>328241.827315</c:v>
                </c:pt>
                <c:pt idx="14048">
                  <c:v>328485.97215999995</c:v>
                </c:pt>
                <c:pt idx="14049">
                  <c:v>328730.238045</c:v>
                </c:pt>
                <c:pt idx="14050">
                  <c:v>328974.625</c:v>
                </c:pt>
                <c:pt idx="14051">
                  <c:v>329219.133055</c:v>
                </c:pt>
                <c:pt idx="14052">
                  <c:v>329463.76224000007</c:v>
                </c:pt>
                <c:pt idx="14053">
                  <c:v>329708.512585</c:v>
                </c:pt>
                <c:pt idx="14054">
                  <c:v>329953.38412</c:v>
                </c:pt>
                <c:pt idx="14055">
                  <c:v>330198.37687499996</c:v>
                </c:pt>
                <c:pt idx="14056">
                  <c:v>330443.49088</c:v>
                </c:pt>
                <c:pt idx="14057">
                  <c:v>330688.726165</c:v>
                </c:pt>
                <c:pt idx="14058">
                  <c:v>330934.08275999996</c:v>
                </c:pt>
                <c:pt idx="14059">
                  <c:v>331179.5606950001</c:v>
                </c:pt>
                <c:pt idx="14060">
                  <c:v>331425.1600000001</c:v>
                </c:pt>
                <c:pt idx="14061">
                  <c:v>331670.880705</c:v>
                </c:pt>
                <c:pt idx="14062">
                  <c:v>331916.72283999994</c:v>
                </c:pt>
                <c:pt idx="14063">
                  <c:v>332162.6864350001</c:v>
                </c:pt>
                <c:pt idx="14064">
                  <c:v>332408.77152000007</c:v>
                </c:pt>
                <c:pt idx="14065">
                  <c:v>332654.97812499997</c:v>
                </c:pt>
                <c:pt idx="14066">
                  <c:v>332901.30627999996</c:v>
                </c:pt>
                <c:pt idx="14067">
                  <c:v>333147.75601500005</c:v>
                </c:pt>
                <c:pt idx="14068">
                  <c:v>333394.32735999994</c:v>
                </c:pt>
                <c:pt idx="14069">
                  <c:v>333641.0203449999</c:v>
                </c:pt>
                <c:pt idx="14070">
                  <c:v>333887.8350000001</c:v>
                </c:pt>
                <c:pt idx="14071">
                  <c:v>334134.771355</c:v>
                </c:pt>
                <c:pt idx="14072">
                  <c:v>334381.8294399999</c:v>
                </c:pt>
                <c:pt idx="14073">
                  <c:v>334629.00928499986</c:v>
                </c:pt>
                <c:pt idx="14074">
                  <c:v>334876.3109200001</c:v>
                </c:pt>
                <c:pt idx="14075">
                  <c:v>335123.734375</c:v>
                </c:pt>
                <c:pt idx="14076">
                  <c:v>335371.27968</c:v>
                </c:pt>
                <c:pt idx="14077">
                  <c:v>335618.9468650001</c:v>
                </c:pt>
                <c:pt idx="14078">
                  <c:v>335866.73596</c:v>
                </c:pt>
                <c:pt idx="14079">
                  <c:v>336114.646995</c:v>
                </c:pt>
                <c:pt idx="14080">
                  <c:v>336362.67999999993</c:v>
                </c:pt>
                <c:pt idx="14081">
                  <c:v>336610.83500500006</c:v>
                </c:pt>
                <c:pt idx="14082">
                  <c:v>336859.11204000004</c:v>
                </c:pt>
                <c:pt idx="14083">
                  <c:v>337107.511135</c:v>
                </c:pt>
                <c:pt idx="14084">
                  <c:v>337356.0323200001</c:v>
                </c:pt>
                <c:pt idx="14085">
                  <c:v>337604.67562500003</c:v>
                </c:pt>
                <c:pt idx="14086">
                  <c:v>337853.44108</c:v>
                </c:pt>
                <c:pt idx="14087">
                  <c:v>338102.32871499995</c:v>
                </c:pt>
                <c:pt idx="14088">
                  <c:v>338351.3385600001</c:v>
                </c:pt>
                <c:pt idx="14089">
                  <c:v>338600.470645</c:v>
                </c:pt>
                <c:pt idx="14090">
                  <c:v>338849.725</c:v>
                </c:pt>
                <c:pt idx="14091">
                  <c:v>339099.1016549999</c:v>
                </c:pt>
                <c:pt idx="14092">
                  <c:v>339348.6006400001</c:v>
                </c:pt>
                <c:pt idx="14093">
                  <c:v>339598.22198499995</c:v>
                </c:pt>
                <c:pt idx="14094">
                  <c:v>339847.9657199999</c:v>
                </c:pt>
                <c:pt idx="14095">
                  <c:v>340097.83187500003</c:v>
                </c:pt>
                <c:pt idx="14096">
                  <c:v>340347.8204800001</c:v>
                </c:pt>
                <c:pt idx="14097">
                  <c:v>340597.931565</c:v>
                </c:pt>
                <c:pt idx="14098">
                  <c:v>340848.1651599999</c:v>
                </c:pt>
                <c:pt idx="14099">
                  <c:v>341098.52129500004</c:v>
                </c:pt>
                <c:pt idx="14100">
                  <c:v>341349.0</c:v>
                </c:pt>
                <c:pt idx="14101">
                  <c:v>341599.60130499996</c:v>
                </c:pt>
                <c:pt idx="14102">
                  <c:v>341850.32524000003</c:v>
                </c:pt>
                <c:pt idx="14103">
                  <c:v>342101.171835</c:v>
                </c:pt>
                <c:pt idx="14104">
                  <c:v>342352.14112000004</c:v>
                </c:pt>
                <c:pt idx="14105">
                  <c:v>342603.2331249999</c:v>
                </c:pt>
                <c:pt idx="14106">
                  <c:v>342854.44788</c:v>
                </c:pt>
                <c:pt idx="14107">
                  <c:v>343105.78541500005</c:v>
                </c:pt>
                <c:pt idx="14108">
                  <c:v>343357.24575999996</c:v>
                </c:pt>
                <c:pt idx="14109">
                  <c:v>343608.8289450001</c:v>
                </c:pt>
                <c:pt idx="14110">
                  <c:v>343860.53500000003</c:v>
                </c:pt>
                <c:pt idx="14111">
                  <c:v>344112.363955</c:v>
                </c:pt>
                <c:pt idx="14112">
                  <c:v>344364.3158399999</c:v>
                </c:pt>
                <c:pt idx="14113">
                  <c:v>344616.3906850001</c:v>
                </c:pt>
                <c:pt idx="14114">
                  <c:v>344868.58852</c:v>
                </c:pt>
                <c:pt idx="14115">
                  <c:v>345120.909375</c:v>
                </c:pt>
                <c:pt idx="14116">
                  <c:v>345373.3532799999</c:v>
                </c:pt>
                <c:pt idx="14117">
                  <c:v>345625.920265</c:v>
                </c:pt>
                <c:pt idx="14118">
                  <c:v>345878.61035999993</c:v>
                </c:pt>
                <c:pt idx="14119">
                  <c:v>346131.42359499994</c:v>
                </c:pt>
                <c:pt idx="14120">
                  <c:v>346384.3600000001</c:v>
                </c:pt>
                <c:pt idx="14121">
                  <c:v>346637.41960500006</c:v>
                </c:pt>
                <c:pt idx="14122">
                  <c:v>346890.60243999993</c:v>
                </c:pt>
                <c:pt idx="14123">
                  <c:v>347143.908535</c:v>
                </c:pt>
                <c:pt idx="14124">
                  <c:v>347397.3379200001</c:v>
                </c:pt>
                <c:pt idx="14125">
                  <c:v>347650.890625</c:v>
                </c:pt>
                <c:pt idx="14126">
                  <c:v>347904.56668</c:v>
                </c:pt>
                <c:pt idx="14127">
                  <c:v>348158.36611500004</c:v>
                </c:pt>
                <c:pt idx="14128">
                  <c:v>348412.2889600001</c:v>
                </c:pt>
                <c:pt idx="14129">
                  <c:v>348666.33524499997</c:v>
                </c:pt>
                <c:pt idx="14130">
                  <c:v>348920.50499999995</c:v>
                </c:pt>
                <c:pt idx="14131">
                  <c:v>349174.7982550001</c:v>
                </c:pt>
                <c:pt idx="14132">
                  <c:v>349429.21504000004</c:v>
                </c:pt>
                <c:pt idx="14133">
                  <c:v>349683.7553849999</c:v>
                </c:pt>
                <c:pt idx="14134">
                  <c:v>349938.4193200001</c:v>
                </c:pt>
                <c:pt idx="14135">
                  <c:v>350193.206875</c:v>
                </c:pt>
                <c:pt idx="14136">
                  <c:v>350448.11808</c:v>
                </c:pt>
                <c:pt idx="14137">
                  <c:v>350703.1529649999</c:v>
                </c:pt>
                <c:pt idx="14138">
                  <c:v>350958.3115600001</c:v>
                </c:pt>
                <c:pt idx="14139">
                  <c:v>351213.59389500006</c:v>
                </c:pt>
                <c:pt idx="14140">
                  <c:v>351469.0</c:v>
                </c:pt>
                <c:pt idx="14141">
                  <c:v>351724.5299049999</c:v>
                </c:pt>
                <c:pt idx="14142">
                  <c:v>351980.18364000006</c:v>
                </c:pt>
                <c:pt idx="14143">
                  <c:v>352235.96123499994</c:v>
                </c:pt>
                <c:pt idx="14144">
                  <c:v>352491.86272</c:v>
                </c:pt>
                <c:pt idx="14145">
                  <c:v>352747.888125</c:v>
                </c:pt>
                <c:pt idx="14146">
                  <c:v>353004.03747999994</c:v>
                </c:pt>
                <c:pt idx="14147">
                  <c:v>353260.3108149999</c:v>
                </c:pt>
                <c:pt idx="14148">
                  <c:v>353516.70816</c:v>
                </c:pt>
                <c:pt idx="14149">
                  <c:v>353773.229545</c:v>
                </c:pt>
                <c:pt idx="14150">
                  <c:v>354029.875</c:v>
                </c:pt>
                <c:pt idx="14151">
                  <c:v>354286.64455499995</c:v>
                </c:pt>
                <c:pt idx="14152">
                  <c:v>354543.5382400001</c:v>
                </c:pt>
                <c:pt idx="14153">
                  <c:v>354800.55608500005</c:v>
                </c:pt>
                <c:pt idx="14154">
                  <c:v>355057.69811999996</c:v>
                </c:pt>
                <c:pt idx="14155">
                  <c:v>355314.9643749999</c:v>
                </c:pt>
                <c:pt idx="14156">
                  <c:v>355572.35488000006</c:v>
                </c:pt>
                <c:pt idx="14157">
                  <c:v>355829.869665</c:v>
                </c:pt>
                <c:pt idx="14158">
                  <c:v>356087.50875999994</c:v>
                </c:pt>
                <c:pt idx="14159">
                  <c:v>356345.2721950001</c:v>
                </c:pt>
                <c:pt idx="14160">
                  <c:v>356603.16</c:v>
                </c:pt>
                <c:pt idx="14161">
                  <c:v>356861.172205</c:v>
                </c:pt>
                <c:pt idx="14162">
                  <c:v>357119.30883999995</c:v>
                </c:pt>
                <c:pt idx="14163">
                  <c:v>357377.5699350001</c:v>
                </c:pt>
                <c:pt idx="14164">
                  <c:v>357635.95551999996</c:v>
                </c:pt>
                <c:pt idx="14165">
                  <c:v>357894.46562499995</c:v>
                </c:pt>
                <c:pt idx="14166">
                  <c:v>358153.1002799999</c:v>
                </c:pt>
                <c:pt idx="14167">
                  <c:v>358411.8595150001</c:v>
                </c:pt>
                <c:pt idx="14168">
                  <c:v>358670.74335999996</c:v>
                </c:pt>
                <c:pt idx="14169">
                  <c:v>358929.751845</c:v>
                </c:pt>
                <c:pt idx="14170">
                  <c:v>359188.885</c:v>
                </c:pt>
                <c:pt idx="14171">
                  <c:v>359448.142855</c:v>
                </c:pt>
                <c:pt idx="14172">
                  <c:v>359707.52543999994</c:v>
                </c:pt>
                <c:pt idx="14173">
                  <c:v>359967.03278499993</c:v>
                </c:pt>
                <c:pt idx="14174">
                  <c:v>360226.66492</c:v>
                </c:pt>
                <c:pt idx="14175">
                  <c:v>360486.421875</c:v>
                </c:pt>
                <c:pt idx="14176">
                  <c:v>360746.30367999995</c:v>
                </c:pt>
                <c:pt idx="14177">
                  <c:v>361006.3103650001</c:v>
                </c:pt>
                <c:pt idx="14178">
                  <c:v>361266.44196</c:v>
                </c:pt>
                <c:pt idx="14179">
                  <c:v>361526.6984949999</c:v>
                </c:pt>
                <c:pt idx="14180">
                  <c:v>361787.07999999996</c:v>
                </c:pt>
                <c:pt idx="14181">
                  <c:v>362047.5865050001</c:v>
                </c:pt>
                <c:pt idx="14182">
                  <c:v>362308.21804000007</c:v>
                </c:pt>
                <c:pt idx="14183">
                  <c:v>362568.974635</c:v>
                </c:pt>
                <c:pt idx="14184">
                  <c:v>362829.85632000014</c:v>
                </c:pt>
                <c:pt idx="14185">
                  <c:v>363090.86312500003</c:v>
                </c:pt>
                <c:pt idx="14186">
                  <c:v>363351.99508</c:v>
                </c:pt>
                <c:pt idx="14187">
                  <c:v>363613.2522149999</c:v>
                </c:pt>
                <c:pt idx="14188">
                  <c:v>363874.63456000003</c:v>
                </c:pt>
                <c:pt idx="14189">
                  <c:v>364136.142145</c:v>
                </c:pt>
                <c:pt idx="14190">
                  <c:v>364397.775</c:v>
                </c:pt>
                <c:pt idx="14191">
                  <c:v>364659.5331549999</c:v>
                </c:pt>
                <c:pt idx="14192">
                  <c:v>364921.41664</c:v>
                </c:pt>
                <c:pt idx="14193">
                  <c:v>365183.42548499996</c:v>
                </c:pt>
                <c:pt idx="14194">
                  <c:v>365445.55971999996</c:v>
                </c:pt>
                <c:pt idx="14195">
                  <c:v>365707.8193750001</c:v>
                </c:pt>
                <c:pt idx="14196">
                  <c:v>365970.20448</c:v>
                </c:pt>
                <c:pt idx="14197">
                  <c:v>366232.71506499994</c:v>
                </c:pt>
                <c:pt idx="14198">
                  <c:v>366495.3511599999</c:v>
                </c:pt>
                <c:pt idx="14199">
                  <c:v>366758.112795</c:v>
                </c:pt>
                <c:pt idx="14200">
                  <c:v>367021.0</c:v>
                </c:pt>
                <c:pt idx="14201">
                  <c:v>367284.012805</c:v>
                </c:pt>
                <c:pt idx="14202">
                  <c:v>367547.1512400001</c:v>
                </c:pt>
                <c:pt idx="14203">
                  <c:v>367810.4153350001</c:v>
                </c:pt>
                <c:pt idx="14204">
                  <c:v>368073.80512</c:v>
                </c:pt>
                <c:pt idx="14205">
                  <c:v>368337.32062499993</c:v>
                </c:pt>
                <c:pt idx="14206">
                  <c:v>368600.9618800001</c:v>
                </c:pt>
                <c:pt idx="14207">
                  <c:v>368864.728915</c:v>
                </c:pt>
                <c:pt idx="14208">
                  <c:v>369128.6217599999</c:v>
                </c:pt>
                <c:pt idx="14209">
                  <c:v>369392.64044500014</c:v>
                </c:pt>
                <c:pt idx="14210">
                  <c:v>369656.78500000003</c:v>
                </c:pt>
                <c:pt idx="14211">
                  <c:v>369921.05545499997</c:v>
                </c:pt>
                <c:pt idx="14212">
                  <c:v>370185.4518399999</c:v>
                </c:pt>
                <c:pt idx="14213">
                  <c:v>370449.9741850001</c:v>
                </c:pt>
                <c:pt idx="14214">
                  <c:v>370714.62252</c:v>
                </c:pt>
                <c:pt idx="14215">
                  <c:v>370979.396875</c:v>
                </c:pt>
                <c:pt idx="14216">
                  <c:v>371244.2972799999</c:v>
                </c:pt>
                <c:pt idx="14217">
                  <c:v>371509.32376500004</c:v>
                </c:pt>
                <c:pt idx="14218">
                  <c:v>371774.47636</c:v>
                </c:pt>
                <c:pt idx="14219">
                  <c:v>372039.755095</c:v>
                </c:pt>
                <c:pt idx="14220">
                  <c:v>372305.1600000001</c:v>
                </c:pt>
                <c:pt idx="14221">
                  <c:v>372570.691105</c:v>
                </c:pt>
                <c:pt idx="14222">
                  <c:v>372836.3484399999</c:v>
                </c:pt>
                <c:pt idx="14223">
                  <c:v>373102.1320349999</c:v>
                </c:pt>
                <c:pt idx="14224">
                  <c:v>373368.04192</c:v>
                </c:pt>
                <c:pt idx="14225">
                  <c:v>373634.078125</c:v>
                </c:pt>
                <c:pt idx="14226">
                  <c:v>373900.24068</c:v>
                </c:pt>
                <c:pt idx="14227">
                  <c:v>374166.5296150001</c:v>
                </c:pt>
                <c:pt idx="14228">
                  <c:v>374432.9449600001</c:v>
                </c:pt>
                <c:pt idx="14229">
                  <c:v>374699.486745</c:v>
                </c:pt>
                <c:pt idx="14230">
                  <c:v>374966.15499999997</c:v>
                </c:pt>
                <c:pt idx="14231">
                  <c:v>375232.94975500007</c:v>
                </c:pt>
                <c:pt idx="14232">
                  <c:v>375499.87104</c:v>
                </c:pt>
                <c:pt idx="14233">
                  <c:v>375766.91888499993</c:v>
                </c:pt>
                <c:pt idx="14234">
                  <c:v>376034.09332000016</c:v>
                </c:pt>
                <c:pt idx="14235">
                  <c:v>376301.39437500003</c:v>
                </c:pt>
                <c:pt idx="14236">
                  <c:v>376568.82208</c:v>
                </c:pt>
                <c:pt idx="14237">
                  <c:v>376836.376465</c:v>
                </c:pt>
                <c:pt idx="14238">
                  <c:v>377104.05756000004</c:v>
                </c:pt>
                <c:pt idx="14239">
                  <c:v>377371.86539500003</c:v>
                </c:pt>
                <c:pt idx="14240">
                  <c:v>377639.79999999993</c:v>
                </c:pt>
                <c:pt idx="14241">
                  <c:v>377907.86140499986</c:v>
                </c:pt>
                <c:pt idx="14242">
                  <c:v>378176.04964000004</c:v>
                </c:pt>
                <c:pt idx="14243">
                  <c:v>378444.364735</c:v>
                </c:pt>
                <c:pt idx="14244">
                  <c:v>378712.80672</c:v>
                </c:pt>
                <c:pt idx="14245">
                  <c:v>378981.37562500004</c:v>
                </c:pt>
                <c:pt idx="14246">
                  <c:v>379250.07148000004</c:v>
                </c:pt>
                <c:pt idx="14247">
                  <c:v>379518.8943149999</c:v>
                </c:pt>
                <c:pt idx="14248">
                  <c:v>379787.8441599999</c:v>
                </c:pt>
                <c:pt idx="14249">
                  <c:v>380056.921045</c:v>
                </c:pt>
                <c:pt idx="14250">
                  <c:v>380326.125</c:v>
                </c:pt>
                <c:pt idx="14251">
                  <c:v>380595.45605499996</c:v>
                </c:pt>
                <c:pt idx="14252">
                  <c:v>380864.91424000013</c:v>
                </c:pt>
                <c:pt idx="14253">
                  <c:v>381134.4995850001</c:v>
                </c:pt>
                <c:pt idx="14254">
                  <c:v>381404.2121199999</c:v>
                </c:pt>
                <c:pt idx="14255">
                  <c:v>381674.05187499995</c:v>
                </c:pt>
                <c:pt idx="14256">
                  <c:v>381944.0188800001</c:v>
                </c:pt>
                <c:pt idx="14257">
                  <c:v>382214.113165</c:v>
                </c:pt>
                <c:pt idx="14258">
                  <c:v>382484.33475999994</c:v>
                </c:pt>
                <c:pt idx="14259">
                  <c:v>382754.68369500013</c:v>
                </c:pt>
                <c:pt idx="14260">
                  <c:v>383025.16000000003</c:v>
                </c:pt>
                <c:pt idx="14261">
                  <c:v>383295.76370500005</c:v>
                </c:pt>
                <c:pt idx="14262">
                  <c:v>383566.49483999994</c:v>
                </c:pt>
                <c:pt idx="14263">
                  <c:v>383837.35343500006</c:v>
                </c:pt>
                <c:pt idx="14264">
                  <c:v>384108.33952000004</c:v>
                </c:pt>
                <c:pt idx="14265">
                  <c:v>384379.453125</c:v>
                </c:pt>
                <c:pt idx="14266">
                  <c:v>384650.6942799999</c:v>
                </c:pt>
                <c:pt idx="14267">
                  <c:v>384922.0630150001</c:v>
                </c:pt>
                <c:pt idx="14268">
                  <c:v>385193.55935999996</c:v>
                </c:pt>
                <c:pt idx="14269">
                  <c:v>385465.18334499997</c:v>
                </c:pt>
                <c:pt idx="14270">
                  <c:v>385736.93500000006</c:v>
                </c:pt>
                <c:pt idx="14271">
                  <c:v>386008.81435500004</c:v>
                </c:pt>
                <c:pt idx="14272">
                  <c:v>386280.82143999997</c:v>
                </c:pt>
                <c:pt idx="14273">
                  <c:v>386552.9562849999</c:v>
                </c:pt>
                <c:pt idx="14274">
                  <c:v>386825.21892</c:v>
                </c:pt>
                <c:pt idx="14275">
                  <c:v>387097.609375</c:v>
                </c:pt>
                <c:pt idx="14276">
                  <c:v>387370.12768000003</c:v>
                </c:pt>
                <c:pt idx="14277">
                  <c:v>387642.7738650001</c:v>
                </c:pt>
                <c:pt idx="14278">
                  <c:v>387915.5479600001</c:v>
                </c:pt>
                <c:pt idx="14279">
                  <c:v>388188.449995</c:v>
                </c:pt>
                <c:pt idx="14280">
                  <c:v>388461.4799999999</c:v>
                </c:pt>
                <c:pt idx="14281">
                  <c:v>388734.638005</c:v>
                </c:pt>
                <c:pt idx="14282">
                  <c:v>389007.92404000007</c:v>
                </c:pt>
                <c:pt idx="14283">
                  <c:v>389281.3381349999</c:v>
                </c:pt>
                <c:pt idx="14284">
                  <c:v>389554.8803200001</c:v>
                </c:pt>
                <c:pt idx="14285">
                  <c:v>389828.55062500003</c:v>
                </c:pt>
                <c:pt idx="14286">
                  <c:v>390102.34908</c:v>
                </c:pt>
                <c:pt idx="14287">
                  <c:v>390376.27571499994</c:v>
                </c:pt>
                <c:pt idx="14288">
                  <c:v>390650.3305600001</c:v>
                </c:pt>
                <c:pt idx="14289">
                  <c:v>390924.513645</c:v>
                </c:pt>
                <c:pt idx="14290">
                  <c:v>391198.82499999995</c:v>
                </c:pt>
                <c:pt idx="14291">
                  <c:v>391473.2646549999</c:v>
                </c:pt>
                <c:pt idx="14292">
                  <c:v>391747.83264000004</c:v>
                </c:pt>
                <c:pt idx="14293">
                  <c:v>392022.528985</c:v>
                </c:pt>
                <c:pt idx="14294">
                  <c:v>392297.35371999996</c:v>
                </c:pt>
                <c:pt idx="14295">
                  <c:v>392572.306875</c:v>
                </c:pt>
                <c:pt idx="14296">
                  <c:v>392847.38848</c:v>
                </c:pt>
                <c:pt idx="14297">
                  <c:v>393122.59856499993</c:v>
                </c:pt>
                <c:pt idx="14298">
                  <c:v>393397.93716</c:v>
                </c:pt>
                <c:pt idx="14299">
                  <c:v>393673.404295</c:v>
                </c:pt>
                <c:pt idx="14300">
                  <c:v>393949.0</c:v>
                </c:pt>
                <c:pt idx="14301">
                  <c:v>394224.72430500004</c:v>
                </c:pt>
                <c:pt idx="14302">
                  <c:v>394500.5772400001</c:v>
                </c:pt>
                <c:pt idx="14303">
                  <c:v>394776.55883500003</c:v>
                </c:pt>
                <c:pt idx="14304">
                  <c:v>395052.66912</c:v>
                </c:pt>
                <c:pt idx="14305">
                  <c:v>395328.90812499996</c:v>
                </c:pt>
                <c:pt idx="14306">
                  <c:v>395605.2758800001</c:v>
                </c:pt>
                <c:pt idx="14307">
                  <c:v>395881.7724150001</c:v>
                </c:pt>
                <c:pt idx="14308">
                  <c:v>396158.39775999996</c:v>
                </c:pt>
                <c:pt idx="14309">
                  <c:v>396435.15194500017</c:v>
                </c:pt>
                <c:pt idx="14310">
                  <c:v>396712.0350000001</c:v>
                </c:pt>
                <c:pt idx="14311">
                  <c:v>396989.04695499997</c:v>
                </c:pt>
                <c:pt idx="14312">
                  <c:v>397266.18783999997</c:v>
                </c:pt>
                <c:pt idx="14313">
                  <c:v>397543.45768500003</c:v>
                </c:pt>
                <c:pt idx="14314">
                  <c:v>397820.85652000003</c:v>
                </c:pt>
                <c:pt idx="14315">
                  <c:v>398098.38437499997</c:v>
                </c:pt>
                <c:pt idx="14316">
                  <c:v>398376.0412799999</c:v>
                </c:pt>
                <c:pt idx="14317">
                  <c:v>398653.827265</c:v>
                </c:pt>
                <c:pt idx="14318">
                  <c:v>398931.74236</c:v>
                </c:pt>
                <c:pt idx="14319">
                  <c:v>399209.7865949999</c:v>
                </c:pt>
                <c:pt idx="14320">
                  <c:v>399487.9600000001</c:v>
                </c:pt>
                <c:pt idx="14321">
                  <c:v>399766.26260500005</c:v>
                </c:pt>
                <c:pt idx="14322">
                  <c:v>400044.69443999993</c:v>
                </c:pt>
                <c:pt idx="14323">
                  <c:v>400323.25553499995</c:v>
                </c:pt>
                <c:pt idx="14324">
                  <c:v>400601.94591999997</c:v>
                </c:pt>
                <c:pt idx="14325">
                  <c:v>400880.765625</c:v>
                </c:pt>
                <c:pt idx="14326">
                  <c:v>401159.71468</c:v>
                </c:pt>
                <c:pt idx="14327">
                  <c:v>401438.7931150001</c:v>
                </c:pt>
                <c:pt idx="14328">
                  <c:v>401718.0009600001</c:v>
                </c:pt>
                <c:pt idx="14329">
                  <c:v>401997.338245</c:v>
                </c:pt>
                <c:pt idx="14330">
                  <c:v>402276.8049999999</c:v>
                </c:pt>
                <c:pt idx="14331">
                  <c:v>402556.40125500003</c:v>
                </c:pt>
                <c:pt idx="14332">
                  <c:v>402836.12704000005</c:v>
                </c:pt>
                <c:pt idx="14333">
                  <c:v>403115.9823849999</c:v>
                </c:pt>
                <c:pt idx="14334">
                  <c:v>403395.96732000005</c:v>
                </c:pt>
                <c:pt idx="14335">
                  <c:v>403676.081875</c:v>
                </c:pt>
                <c:pt idx="14336">
                  <c:v>403956.32608</c:v>
                </c:pt>
                <c:pt idx="14337">
                  <c:v>404236.699965</c:v>
                </c:pt>
                <c:pt idx="14338">
                  <c:v>404517.20356000005</c:v>
                </c:pt>
                <c:pt idx="14339">
                  <c:v>404797.836895</c:v>
                </c:pt>
                <c:pt idx="14340">
                  <c:v>405078.5999999999</c:v>
                </c:pt>
                <c:pt idx="14341">
                  <c:v>405359.49290499993</c:v>
                </c:pt>
                <c:pt idx="14342">
                  <c:v>405640.51564000006</c:v>
                </c:pt>
                <c:pt idx="14343">
                  <c:v>405921.668235</c:v>
                </c:pt>
                <c:pt idx="14344">
                  <c:v>406202.9507199999</c:v>
                </c:pt>
                <c:pt idx="14345">
                  <c:v>406484.36312500003</c:v>
                </c:pt>
                <c:pt idx="14346">
                  <c:v>406765.90548</c:v>
                </c:pt>
                <c:pt idx="14347">
                  <c:v>407047.57781499997</c:v>
                </c:pt>
                <c:pt idx="14348">
                  <c:v>407329.38015999994</c:v>
                </c:pt>
                <c:pt idx="14349">
                  <c:v>407611.312545</c:v>
                </c:pt>
                <c:pt idx="14350">
                  <c:v>407893.375</c:v>
                </c:pt>
                <c:pt idx="14351">
                  <c:v>408175.56755499996</c:v>
                </c:pt>
                <c:pt idx="14352">
                  <c:v>408457.89024000004</c:v>
                </c:pt>
                <c:pt idx="14353">
                  <c:v>408740.34308500006</c:v>
                </c:pt>
                <c:pt idx="14354">
                  <c:v>409022.92611999996</c:v>
                </c:pt>
                <c:pt idx="14355">
                  <c:v>409305.6393749999</c:v>
                </c:pt>
                <c:pt idx="14356">
                  <c:v>409588.4828800001</c:v>
                </c:pt>
                <c:pt idx="14357">
                  <c:v>409871.45666500006</c:v>
                </c:pt>
                <c:pt idx="14358">
                  <c:v>410154.5607599999</c:v>
                </c:pt>
                <c:pt idx="14359">
                  <c:v>410437.79519500013</c:v>
                </c:pt>
                <c:pt idx="14360">
                  <c:v>410721.1600000001</c:v>
                </c:pt>
                <c:pt idx="14361">
                  <c:v>411004.655205</c:v>
                </c:pt>
                <c:pt idx="14362">
                  <c:v>411288.28083999996</c:v>
                </c:pt>
                <c:pt idx="14363">
                  <c:v>411572.03693500004</c:v>
                </c:pt>
                <c:pt idx="14364">
                  <c:v>411855.92352</c:v>
                </c:pt>
                <c:pt idx="14365">
                  <c:v>412139.940625</c:v>
                </c:pt>
                <c:pt idx="14366">
                  <c:v>412424.08827999985</c:v>
                </c:pt>
                <c:pt idx="14367">
                  <c:v>412708.36651500006</c:v>
                </c:pt>
                <c:pt idx="14368">
                  <c:v>412992.77535999997</c:v>
                </c:pt>
                <c:pt idx="14369">
                  <c:v>413277.314845</c:v>
                </c:pt>
                <c:pt idx="14370">
                  <c:v>413561.9850000001</c:v>
                </c:pt>
                <c:pt idx="14371">
                  <c:v>413846.785855</c:v>
                </c:pt>
                <c:pt idx="14372">
                  <c:v>414131.7174399999</c:v>
                </c:pt>
                <c:pt idx="14373">
                  <c:v>414416.77978499996</c:v>
                </c:pt>
                <c:pt idx="14374">
                  <c:v>414701.97292</c:v>
                </c:pt>
                <c:pt idx="14375">
                  <c:v>414987.296875</c:v>
                </c:pt>
                <c:pt idx="14376">
                  <c:v>415272.75168</c:v>
                </c:pt>
                <c:pt idx="14377">
                  <c:v>415558.33736500016</c:v>
                </c:pt>
                <c:pt idx="14378">
                  <c:v>415844.05396000005</c:v>
                </c:pt>
                <c:pt idx="14379">
                  <c:v>416129.901495</c:v>
                </c:pt>
                <c:pt idx="14380">
                  <c:v>416415.8799999999</c:v>
                </c:pt>
                <c:pt idx="14381">
                  <c:v>416701.9895050001</c:v>
                </c:pt>
                <c:pt idx="14382">
                  <c:v>416988.23004</c:v>
                </c:pt>
                <c:pt idx="14383">
                  <c:v>417274.60163499997</c:v>
                </c:pt>
                <c:pt idx="14384">
                  <c:v>417561.1043200001</c:v>
                </c:pt>
                <c:pt idx="14385">
                  <c:v>417847.738125</c:v>
                </c:pt>
                <c:pt idx="14386">
                  <c:v>418134.50308000005</c:v>
                </c:pt>
                <c:pt idx="14387">
                  <c:v>418421.399215</c:v>
                </c:pt>
                <c:pt idx="14388">
                  <c:v>418708.42656000005</c:v>
                </c:pt>
                <c:pt idx="14389">
                  <c:v>418995.585145</c:v>
                </c:pt>
                <c:pt idx="14390">
                  <c:v>419282.87499999994</c:v>
                </c:pt>
                <c:pt idx="14391">
                  <c:v>419570.2961549999</c:v>
                </c:pt>
                <c:pt idx="14392">
                  <c:v>419857.84864000004</c:v>
                </c:pt>
                <c:pt idx="14393">
                  <c:v>420145.532485</c:v>
                </c:pt>
                <c:pt idx="14394">
                  <c:v>420433.34771999996</c:v>
                </c:pt>
                <c:pt idx="14395">
                  <c:v>420721.29437500006</c:v>
                </c:pt>
                <c:pt idx="14396">
                  <c:v>421009.37248</c:v>
                </c:pt>
                <c:pt idx="14397">
                  <c:v>421297.5820649999</c:v>
                </c:pt>
                <c:pt idx="14398">
                  <c:v>421585.9231599999</c:v>
                </c:pt>
                <c:pt idx="14399">
                  <c:v>421874.395795</c:v>
                </c:pt>
                <c:pt idx="14400">
                  <c:v>422163.0</c:v>
                </c:pt>
                <c:pt idx="14401">
                  <c:v>422451.73580499995</c:v>
                </c:pt>
                <c:pt idx="14402">
                  <c:v>422740.6032400001</c:v>
                </c:pt>
                <c:pt idx="14403">
                  <c:v>423029.60233500006</c:v>
                </c:pt>
                <c:pt idx="14404">
                  <c:v>423318.73311999993</c:v>
                </c:pt>
                <c:pt idx="14405">
                  <c:v>423607.995625</c:v>
                </c:pt>
                <c:pt idx="14406">
                  <c:v>423897.38988000003</c:v>
                </c:pt>
                <c:pt idx="14407">
                  <c:v>424186.915915</c:v>
                </c:pt>
                <c:pt idx="14408">
                  <c:v>424476.57375999994</c:v>
                </c:pt>
                <c:pt idx="14409">
                  <c:v>424766.36344500014</c:v>
                </c:pt>
                <c:pt idx="14410">
                  <c:v>425056.2850000001</c:v>
                </c:pt>
                <c:pt idx="14411">
                  <c:v>425346.338455</c:v>
                </c:pt>
                <c:pt idx="14412">
                  <c:v>425636.52383999986</c:v>
                </c:pt>
                <c:pt idx="14413">
                  <c:v>425926.84118500014</c:v>
                </c:pt>
                <c:pt idx="14414">
                  <c:v>426217.29052</c:v>
                </c:pt>
                <c:pt idx="14415">
                  <c:v>426507.871875</c:v>
                </c:pt>
                <c:pt idx="14416">
                  <c:v>426798.5852799999</c:v>
                </c:pt>
                <c:pt idx="14417">
                  <c:v>427089.43076500006</c:v>
                </c:pt>
                <c:pt idx="14418">
                  <c:v>427380.40836</c:v>
                </c:pt>
                <c:pt idx="14419">
                  <c:v>427671.51809499995</c:v>
                </c:pt>
                <c:pt idx="14420">
                  <c:v>427962.76000000007</c:v>
                </c:pt>
                <c:pt idx="14421">
                  <c:v>428254.134105</c:v>
                </c:pt>
                <c:pt idx="14422">
                  <c:v>428545.64044</c:v>
                </c:pt>
                <c:pt idx="14423">
                  <c:v>428837.27903499996</c:v>
                </c:pt>
                <c:pt idx="14424">
                  <c:v>429129.04992</c:v>
                </c:pt>
                <c:pt idx="14425">
                  <c:v>429420.953125</c:v>
                </c:pt>
                <c:pt idx="14426">
                  <c:v>429712.98867999995</c:v>
                </c:pt>
                <c:pt idx="14427">
                  <c:v>430005.1566150001</c:v>
                </c:pt>
                <c:pt idx="14428">
                  <c:v>430297.45696000004</c:v>
                </c:pt>
                <c:pt idx="14429">
                  <c:v>430589.889745</c:v>
                </c:pt>
                <c:pt idx="14430">
                  <c:v>430882.45499999996</c:v>
                </c:pt>
                <c:pt idx="14431">
                  <c:v>431175.15275500005</c:v>
                </c:pt>
                <c:pt idx="14432">
                  <c:v>431467.98304</c:v>
                </c:pt>
                <c:pt idx="14433">
                  <c:v>431760.9458849999</c:v>
                </c:pt>
                <c:pt idx="14434">
                  <c:v>432054.04132000013</c:v>
                </c:pt>
                <c:pt idx="14435">
                  <c:v>432347.2693750001</c:v>
                </c:pt>
                <c:pt idx="14436">
                  <c:v>432640.63008</c:v>
                </c:pt>
                <c:pt idx="14437">
                  <c:v>432934.1234649999</c:v>
                </c:pt>
                <c:pt idx="14438">
                  <c:v>433227.7495600001</c:v>
                </c:pt>
                <c:pt idx="14439">
                  <c:v>433521.50839499995</c:v>
                </c:pt>
                <c:pt idx="14440">
                  <c:v>433815.39999999997</c:v>
                </c:pt>
                <c:pt idx="14441">
                  <c:v>434109.4244049999</c:v>
                </c:pt>
                <c:pt idx="14442">
                  <c:v>434403.58164000005</c:v>
                </c:pt>
                <c:pt idx="14443">
                  <c:v>434697.871735</c:v>
                </c:pt>
                <c:pt idx="14444">
                  <c:v>434992.29471999995</c:v>
                </c:pt>
                <c:pt idx="14445">
                  <c:v>435286.8506250001</c:v>
                </c:pt>
                <c:pt idx="14446">
                  <c:v>435581.53948000004</c:v>
                </c:pt>
                <c:pt idx="14447">
                  <c:v>435876.36131499993</c:v>
                </c:pt>
                <c:pt idx="14448">
                  <c:v>436171.31615999993</c:v>
                </c:pt>
                <c:pt idx="14449">
                  <c:v>436466.4040450001</c:v>
                </c:pt>
                <c:pt idx="14450">
                  <c:v>436761.625</c:v>
                </c:pt>
                <c:pt idx="14451">
                  <c:v>437056.979055</c:v>
                </c:pt>
                <c:pt idx="14452">
                  <c:v>437352.46624000015</c:v>
                </c:pt>
                <c:pt idx="14453">
                  <c:v>437648.08658500004</c:v>
                </c:pt>
                <c:pt idx="14454">
                  <c:v>437943.84012</c:v>
                </c:pt>
                <c:pt idx="14455">
                  <c:v>438239.72687499993</c:v>
                </c:pt>
                <c:pt idx="14456">
                  <c:v>438535.7468800001</c:v>
                </c:pt>
                <c:pt idx="14457">
                  <c:v>438831.900165</c:v>
                </c:pt>
                <c:pt idx="14458">
                  <c:v>439128.18675999995</c:v>
                </c:pt>
                <c:pt idx="14459">
                  <c:v>439424.6066950002</c:v>
                </c:pt>
                <c:pt idx="14460">
                  <c:v>439721.16000000003</c:v>
                </c:pt>
                <c:pt idx="14461">
                  <c:v>440017.84670500003</c:v>
                </c:pt>
                <c:pt idx="14462">
                  <c:v>440314.6668399999</c:v>
                </c:pt>
                <c:pt idx="14463">
                  <c:v>440611.62043500005</c:v>
                </c:pt>
                <c:pt idx="14464">
                  <c:v>440908.70752000005</c:v>
                </c:pt>
                <c:pt idx="14465">
                  <c:v>441205.928125</c:v>
                </c:pt>
                <c:pt idx="14466">
                  <c:v>441503.28227999987</c:v>
                </c:pt>
                <c:pt idx="14467">
                  <c:v>441800.7700150001</c:v>
                </c:pt>
                <c:pt idx="14468">
                  <c:v>442098.39136</c:v>
                </c:pt>
                <c:pt idx="14469">
                  <c:v>442396.14634499996</c:v>
                </c:pt>
                <c:pt idx="14470">
                  <c:v>442694.0350000001</c:v>
                </c:pt>
                <c:pt idx="14471">
                  <c:v>442992.057355</c:v>
                </c:pt>
                <c:pt idx="14472">
                  <c:v>443290.21343999996</c:v>
                </c:pt>
                <c:pt idx="14473">
                  <c:v>443588.50328499987</c:v>
                </c:pt>
                <c:pt idx="14474">
                  <c:v>443886.92692</c:v>
                </c:pt>
                <c:pt idx="14475">
                  <c:v>444185.484375</c:v>
                </c:pt>
                <c:pt idx="14476">
                  <c:v>444484.17568</c:v>
                </c:pt>
                <c:pt idx="14477">
                  <c:v>444783.0008650001</c:v>
                </c:pt>
                <c:pt idx="14478">
                  <c:v>445081.95996</c:v>
                </c:pt>
                <c:pt idx="14479">
                  <c:v>445381.0529949999</c:v>
                </c:pt>
                <c:pt idx="14480">
                  <c:v>445680.2799999999</c:v>
                </c:pt>
                <c:pt idx="14481">
                  <c:v>445979.6410050001</c:v>
                </c:pt>
                <c:pt idx="14482">
                  <c:v>446279.13604</c:v>
                </c:pt>
                <c:pt idx="14483">
                  <c:v>446578.765135</c:v>
                </c:pt>
                <c:pt idx="14484">
                  <c:v>446878.5283200001</c:v>
                </c:pt>
                <c:pt idx="14485">
                  <c:v>447178.42562500003</c:v>
                </c:pt>
                <c:pt idx="14486">
                  <c:v>447478.45708</c:v>
                </c:pt>
                <c:pt idx="14487">
                  <c:v>447778.6227149999</c:v>
                </c:pt>
                <c:pt idx="14488">
                  <c:v>448078.9225600001</c:v>
                </c:pt>
                <c:pt idx="14489">
                  <c:v>448379.356645</c:v>
                </c:pt>
                <c:pt idx="14490">
                  <c:v>448679.92499999993</c:v>
                </c:pt>
                <c:pt idx="14491">
                  <c:v>448980.6276549999</c:v>
                </c:pt>
                <c:pt idx="14492">
                  <c:v>449281.4646400001</c:v>
                </c:pt>
                <c:pt idx="14493">
                  <c:v>449582.43598499993</c:v>
                </c:pt>
                <c:pt idx="14494">
                  <c:v>449883.54172</c:v>
                </c:pt>
                <c:pt idx="14495">
                  <c:v>450184.78187500004</c:v>
                </c:pt>
                <c:pt idx="14496">
                  <c:v>450486.15648</c:v>
                </c:pt>
                <c:pt idx="14497">
                  <c:v>450787.6655649999</c:v>
                </c:pt>
                <c:pt idx="14498">
                  <c:v>451089.30915999995</c:v>
                </c:pt>
                <c:pt idx="14499">
                  <c:v>451391.087295</c:v>
                </c:pt>
                <c:pt idx="14500">
                  <c:v>451693.0</c:v>
                </c:pt>
                <c:pt idx="14501">
                  <c:v>451995.047305</c:v>
                </c:pt>
                <c:pt idx="14502">
                  <c:v>452297.2292400001</c:v>
                </c:pt>
                <c:pt idx="14503">
                  <c:v>452599.54583500006</c:v>
                </c:pt>
                <c:pt idx="14504">
                  <c:v>452901.99711999996</c:v>
                </c:pt>
                <c:pt idx="14505">
                  <c:v>453204.58312499995</c:v>
                </c:pt>
                <c:pt idx="14506">
                  <c:v>453507.30388000014</c:v>
                </c:pt>
                <c:pt idx="14507">
                  <c:v>453810.15941500006</c:v>
                </c:pt>
                <c:pt idx="14508">
                  <c:v>454113.14975999994</c:v>
                </c:pt>
                <c:pt idx="14509">
                  <c:v>454416.2749450001</c:v>
                </c:pt>
                <c:pt idx="14510">
                  <c:v>454719.53500000003</c:v>
                </c:pt>
                <c:pt idx="14511">
                  <c:v>455022.92995500006</c:v>
                </c:pt>
                <c:pt idx="14512">
                  <c:v>455326.45983999997</c:v>
                </c:pt>
                <c:pt idx="14513">
                  <c:v>455630.1246850001</c:v>
                </c:pt>
                <c:pt idx="14514">
                  <c:v>455933.92452</c:v>
                </c:pt>
                <c:pt idx="14515">
                  <c:v>456237.859375</c:v>
                </c:pt>
                <c:pt idx="14516">
                  <c:v>456541.9292799999</c:v>
                </c:pt>
                <c:pt idx="14517">
                  <c:v>456846.13426500006</c:v>
                </c:pt>
                <c:pt idx="14518">
                  <c:v>457150.47435999993</c:v>
                </c:pt>
                <c:pt idx="14519">
                  <c:v>457454.94959499995</c:v>
                </c:pt>
                <c:pt idx="14520">
                  <c:v>457759.56</c:v>
                </c:pt>
                <c:pt idx="14521">
                  <c:v>458064.30560500006</c:v>
                </c:pt>
                <c:pt idx="14522">
                  <c:v>458369.18643999996</c:v>
                </c:pt>
                <c:pt idx="14523">
                  <c:v>458674.20253499993</c:v>
                </c:pt>
                <c:pt idx="14524">
                  <c:v>458979.35391999997</c:v>
                </c:pt>
                <c:pt idx="14525">
                  <c:v>459284.640625</c:v>
                </c:pt>
                <c:pt idx="14526">
                  <c:v>459590.06268</c:v>
                </c:pt>
                <c:pt idx="14527">
                  <c:v>459895.6201150001</c:v>
                </c:pt>
                <c:pt idx="14528">
                  <c:v>460201.31296000007</c:v>
                </c:pt>
                <c:pt idx="14529">
                  <c:v>460507.14124499995</c:v>
                </c:pt>
                <c:pt idx="14530">
                  <c:v>460813.1049999999</c:v>
                </c:pt>
                <c:pt idx="14531">
                  <c:v>461119.2042550001</c:v>
                </c:pt>
                <c:pt idx="14532">
                  <c:v>461425.43904</c:v>
                </c:pt>
                <c:pt idx="14533">
                  <c:v>461731.8093849999</c:v>
                </c:pt>
                <c:pt idx="14534">
                  <c:v>462038.3153200001</c:v>
                </c:pt>
                <c:pt idx="14535">
                  <c:v>462344.95687500003</c:v>
                </c:pt>
                <c:pt idx="14536">
                  <c:v>462651.73407999997</c:v>
                </c:pt>
                <c:pt idx="14537">
                  <c:v>462958.6469649999</c:v>
                </c:pt>
                <c:pt idx="14538">
                  <c:v>463265.6955600001</c:v>
                </c:pt>
                <c:pt idx="14539">
                  <c:v>463572.87989499996</c:v>
                </c:pt>
                <c:pt idx="14540">
                  <c:v>463880.19999999995</c:v>
                </c:pt>
                <c:pt idx="14541">
                  <c:v>464187.6559049999</c:v>
                </c:pt>
                <c:pt idx="14542">
                  <c:v>464495.24764</c:v>
                </c:pt>
                <c:pt idx="14543">
                  <c:v>464802.97523499996</c:v>
                </c:pt>
                <c:pt idx="14544">
                  <c:v>465110.8387199999</c:v>
                </c:pt>
                <c:pt idx="14545">
                  <c:v>465418.838125</c:v>
                </c:pt>
                <c:pt idx="14546">
                  <c:v>465726.97348000004</c:v>
                </c:pt>
                <c:pt idx="14547">
                  <c:v>466035.2448149999</c:v>
                </c:pt>
                <c:pt idx="14548">
                  <c:v>466343.6521599999</c:v>
                </c:pt>
                <c:pt idx="14549">
                  <c:v>466652.1955450001</c:v>
                </c:pt>
                <c:pt idx="14550">
                  <c:v>466960.875</c:v>
                </c:pt>
                <c:pt idx="14551">
                  <c:v>467269.6905549999</c:v>
                </c:pt>
                <c:pt idx="14552">
                  <c:v>467578.6422400001</c:v>
                </c:pt>
                <c:pt idx="14553">
                  <c:v>467887.7300850001</c:v>
                </c:pt>
                <c:pt idx="14554">
                  <c:v>468196.95411999995</c:v>
                </c:pt>
                <c:pt idx="14555">
                  <c:v>468506.31437499996</c:v>
                </c:pt>
                <c:pt idx="14556">
                  <c:v>468815.8108800001</c:v>
                </c:pt>
                <c:pt idx="14557">
                  <c:v>469125.443665</c:v>
                </c:pt>
                <c:pt idx="14558">
                  <c:v>469435.2127599999</c:v>
                </c:pt>
                <c:pt idx="14559">
                  <c:v>469745.1181950001</c:v>
                </c:pt>
                <c:pt idx="14560">
                  <c:v>470055.16000000003</c:v>
                </c:pt>
                <c:pt idx="14561">
                  <c:v>470365.33820500004</c:v>
                </c:pt>
                <c:pt idx="14562">
                  <c:v>470675.6528399999</c:v>
                </c:pt>
                <c:pt idx="14563">
                  <c:v>470986.103935</c:v>
                </c:pt>
                <c:pt idx="14564">
                  <c:v>471296.69152000005</c:v>
                </c:pt>
                <c:pt idx="14565">
                  <c:v>471607.415625</c:v>
                </c:pt>
                <c:pt idx="14566">
                  <c:v>471918.2762799999</c:v>
                </c:pt>
                <c:pt idx="14567">
                  <c:v>472229.27351500007</c:v>
                </c:pt>
                <c:pt idx="14568">
                  <c:v>472540.40735999995</c:v>
                </c:pt>
                <c:pt idx="14569">
                  <c:v>472851.6778449999</c:v>
                </c:pt>
                <c:pt idx="14570">
                  <c:v>473163.0850000001</c:v>
                </c:pt>
                <c:pt idx="14571">
                  <c:v>473474.628855</c:v>
                </c:pt>
                <c:pt idx="14572">
                  <c:v>473786.3094399999</c:v>
                </c:pt>
                <c:pt idx="14573">
                  <c:v>474098.1267849999</c:v>
                </c:pt>
                <c:pt idx="14574">
                  <c:v>474410.08092000004</c:v>
                </c:pt>
                <c:pt idx="14575">
                  <c:v>474722.171875</c:v>
                </c:pt>
                <c:pt idx="14576">
                  <c:v>475034.3996799999</c:v>
                </c:pt>
                <c:pt idx="14577">
                  <c:v>475346.7643650001</c:v>
                </c:pt>
                <c:pt idx="14578">
                  <c:v>475659.26596000005</c:v>
                </c:pt>
                <c:pt idx="14579">
                  <c:v>475971.904495</c:v>
                </c:pt>
                <c:pt idx="14580">
                  <c:v>476284.67999999993</c:v>
                </c:pt>
                <c:pt idx="14581">
                  <c:v>476597.59250500007</c:v>
                </c:pt>
                <c:pt idx="14582">
                  <c:v>476910.64204000006</c:v>
                </c:pt>
                <c:pt idx="14583">
                  <c:v>477223.828635</c:v>
                </c:pt>
                <c:pt idx="14584">
                  <c:v>477537.1523200001</c:v>
                </c:pt>
                <c:pt idx="14585">
                  <c:v>477850.61312500003</c:v>
                </c:pt>
                <c:pt idx="14586">
                  <c:v>478164.21108</c:v>
                </c:pt>
                <c:pt idx="14587">
                  <c:v>478477.94621499995</c:v>
                </c:pt>
                <c:pt idx="14588">
                  <c:v>478791.8185600001</c:v>
                </c:pt>
                <c:pt idx="14589">
                  <c:v>479105.828145</c:v>
                </c:pt>
                <c:pt idx="14590">
                  <c:v>479419.97500000003</c:v>
                </c:pt>
                <c:pt idx="14591">
                  <c:v>479734.25915499986</c:v>
                </c:pt>
                <c:pt idx="14592">
                  <c:v>480048.6806400001</c:v>
                </c:pt>
                <c:pt idx="14593">
                  <c:v>480363.23948499997</c:v>
                </c:pt>
                <c:pt idx="14594">
                  <c:v>480677.93571999995</c:v>
                </c:pt>
                <c:pt idx="14595">
                  <c:v>480992.7693750001</c:v>
                </c:pt>
                <c:pt idx="14596">
                  <c:v>481307.74048000004</c:v>
                </c:pt>
                <c:pt idx="14597">
                  <c:v>481622.8490649999</c:v>
                </c:pt>
                <c:pt idx="14598">
                  <c:v>481938.0951599999</c:v>
                </c:pt>
                <c:pt idx="14599">
                  <c:v>482253.47879500006</c:v>
                </c:pt>
                <c:pt idx="14600">
                  <c:v>482569.0</c:v>
                </c:pt>
                <c:pt idx="14601">
                  <c:v>482884.658805</c:v>
                </c:pt>
                <c:pt idx="14602">
                  <c:v>483200.45524000016</c:v>
                </c:pt>
                <c:pt idx="14603">
                  <c:v>483516.3893350001</c:v>
                </c:pt>
                <c:pt idx="14604">
                  <c:v>483832.46112</c:v>
                </c:pt>
                <c:pt idx="14605">
                  <c:v>484148.67062499997</c:v>
                </c:pt>
                <c:pt idx="14606">
                  <c:v>484465.01788000006</c:v>
                </c:pt>
                <c:pt idx="14607">
                  <c:v>484781.502915</c:v>
                </c:pt>
                <c:pt idx="14608">
                  <c:v>485098.12575999997</c:v>
                </c:pt>
                <c:pt idx="14609">
                  <c:v>485414.8864450001</c:v>
                </c:pt>
                <c:pt idx="14610">
                  <c:v>485731.78500000003</c:v>
                </c:pt>
                <c:pt idx="14611">
                  <c:v>486048.821455</c:v>
                </c:pt>
                <c:pt idx="14612">
                  <c:v>486365.99583999993</c:v>
                </c:pt>
                <c:pt idx="14613">
                  <c:v>486683.3081850001</c:v>
                </c:pt>
                <c:pt idx="14614">
                  <c:v>487000.75852</c:v>
                </c:pt>
                <c:pt idx="14615">
                  <c:v>487318.346875</c:v>
                </c:pt>
                <c:pt idx="14616">
                  <c:v>487636.0732799999</c:v>
                </c:pt>
                <c:pt idx="14617">
                  <c:v>487953.93776500004</c:v>
                </c:pt>
                <c:pt idx="14618">
                  <c:v>488271.94035999995</c:v>
                </c:pt>
                <c:pt idx="14619">
                  <c:v>488590.081095</c:v>
                </c:pt>
                <c:pt idx="14620">
                  <c:v>488908.36000000004</c:v>
                </c:pt>
                <c:pt idx="14621">
                  <c:v>489226.777105</c:v>
                </c:pt>
                <c:pt idx="14622">
                  <c:v>489545.33243999997</c:v>
                </c:pt>
                <c:pt idx="14623">
                  <c:v>489864.0260349999</c:v>
                </c:pt>
                <c:pt idx="14624">
                  <c:v>490182.85792000004</c:v>
                </c:pt>
                <c:pt idx="14625">
                  <c:v>490501.828125</c:v>
                </c:pt>
                <c:pt idx="14626">
                  <c:v>490820.9366799999</c:v>
                </c:pt>
                <c:pt idx="14627">
                  <c:v>491140.1836150001</c:v>
                </c:pt>
                <c:pt idx="14628">
                  <c:v>491459.56896000006</c:v>
                </c:pt>
                <c:pt idx="14629">
                  <c:v>491779.092745</c:v>
                </c:pt>
                <c:pt idx="14630">
                  <c:v>492098.7549999999</c:v>
                </c:pt>
                <c:pt idx="14631">
                  <c:v>492418.5557550001</c:v>
                </c:pt>
                <c:pt idx="14632">
                  <c:v>492738.49504000007</c:v>
                </c:pt>
                <c:pt idx="14633">
                  <c:v>493058.5728849999</c:v>
                </c:pt>
                <c:pt idx="14634">
                  <c:v>493378.78932000016</c:v>
                </c:pt>
                <c:pt idx="14635">
                  <c:v>493699.14437500003</c:v>
                </c:pt>
                <c:pt idx="14636">
                  <c:v>494019.63807999995</c:v>
                </c:pt>
                <c:pt idx="14637">
                  <c:v>494340.2704649999</c:v>
                </c:pt>
                <c:pt idx="14638">
                  <c:v>494661.0415600001</c:v>
                </c:pt>
                <c:pt idx="14639">
                  <c:v>494981.951395</c:v>
                </c:pt>
                <c:pt idx="14640">
                  <c:v>495303.0</c:v>
                </c:pt>
                <c:pt idx="14641">
                  <c:v>495624.1874049998</c:v>
                </c:pt>
                <c:pt idx="14642">
                  <c:v>495945.5136400001</c:v>
                </c:pt>
                <c:pt idx="14643">
                  <c:v>496266.978735</c:v>
                </c:pt>
                <c:pt idx="14644">
                  <c:v>496588.58271999995</c:v>
                </c:pt>
                <c:pt idx="14645">
                  <c:v>496910.32562500006</c:v>
                </c:pt>
                <c:pt idx="14646">
                  <c:v>497232.20748000004</c:v>
                </c:pt>
                <c:pt idx="14647">
                  <c:v>497554.2283149999</c:v>
                </c:pt>
                <c:pt idx="14648">
                  <c:v>497876.3881599999</c:v>
                </c:pt>
                <c:pt idx="14649">
                  <c:v>498198.68704499997</c:v>
                </c:pt>
                <c:pt idx="14650">
                  <c:v>498521.125</c:v>
                </c:pt>
                <c:pt idx="14651">
                  <c:v>498843.702055</c:v>
                </c:pt>
                <c:pt idx="14652">
                  <c:v>499166.4182400001</c:v>
                </c:pt>
                <c:pt idx="14653">
                  <c:v>499489.2735850001</c:v>
                </c:pt>
                <c:pt idx="14654">
                  <c:v>499812.26812</c:v>
                </c:pt>
                <c:pt idx="14655">
                  <c:v>500135.4018749999</c:v>
                </c:pt>
                <c:pt idx="14656">
                  <c:v>500458.67488000006</c:v>
                </c:pt>
                <c:pt idx="14657">
                  <c:v>500782.08716500003</c:v>
                </c:pt>
                <c:pt idx="14658">
                  <c:v>501105.63875999994</c:v>
                </c:pt>
                <c:pt idx="14659">
                  <c:v>501429.32969500014</c:v>
                </c:pt>
                <c:pt idx="14660">
                  <c:v>501753.16000000003</c:v>
                </c:pt>
                <c:pt idx="14661">
                  <c:v>502077.12970499997</c:v>
                </c:pt>
                <c:pt idx="14662">
                  <c:v>502401.23883999995</c:v>
                </c:pt>
                <c:pt idx="14663">
                  <c:v>502725.4874350001</c:v>
                </c:pt>
                <c:pt idx="14664">
                  <c:v>503049.87552000006</c:v>
                </c:pt>
                <c:pt idx="14665">
                  <c:v>503374.40312499995</c:v>
                </c:pt>
                <c:pt idx="14666">
                  <c:v>503699.07027999987</c:v>
                </c:pt>
                <c:pt idx="14667">
                  <c:v>504023.87701500003</c:v>
                </c:pt>
                <c:pt idx="14668">
                  <c:v>504348.82336</c:v>
                </c:pt>
                <c:pt idx="14669">
                  <c:v>504673.90934499993</c:v>
                </c:pt>
                <c:pt idx="14670">
                  <c:v>504999.13500000007</c:v>
                </c:pt>
                <c:pt idx="14671">
                  <c:v>505324.5003550001</c:v>
                </c:pt>
                <c:pt idx="14672">
                  <c:v>505650.0054399999</c:v>
                </c:pt>
                <c:pt idx="14673">
                  <c:v>505975.65028499987</c:v>
                </c:pt>
                <c:pt idx="14674">
                  <c:v>506301.43492</c:v>
                </c:pt>
                <c:pt idx="14675">
                  <c:v>506627.359375</c:v>
                </c:pt>
                <c:pt idx="14676">
                  <c:v>506953.42368</c:v>
                </c:pt>
                <c:pt idx="14677">
                  <c:v>507279.6278650001</c:v>
                </c:pt>
                <c:pt idx="14678">
                  <c:v>507605.9719600001</c:v>
                </c:pt>
                <c:pt idx="14679">
                  <c:v>507932.45599499997</c:v>
                </c:pt>
                <c:pt idx="14680">
                  <c:v>508259.0799999999</c:v>
                </c:pt>
                <c:pt idx="14681">
                  <c:v>508585.844005</c:v>
                </c:pt>
                <c:pt idx="14682">
                  <c:v>508912.74804000003</c:v>
                </c:pt>
                <c:pt idx="14683">
                  <c:v>509239.79213499994</c:v>
                </c:pt>
                <c:pt idx="14684">
                  <c:v>509566.97632000013</c:v>
                </c:pt>
                <c:pt idx="14685">
                  <c:v>509894.3006250001</c:v>
                </c:pt>
                <c:pt idx="14686">
                  <c:v>510221.76508</c:v>
                </c:pt>
                <c:pt idx="14687">
                  <c:v>510549.3697149999</c:v>
                </c:pt>
                <c:pt idx="14688">
                  <c:v>510877.1145600001</c:v>
                </c:pt>
                <c:pt idx="14689">
                  <c:v>511204.999645</c:v>
                </c:pt>
                <c:pt idx="14690">
                  <c:v>511533.02499999997</c:v>
                </c:pt>
                <c:pt idx="14691">
                  <c:v>511861.1906549999</c:v>
                </c:pt>
                <c:pt idx="14692">
                  <c:v>512189.49664</c:v>
                </c:pt>
                <c:pt idx="14693">
                  <c:v>512517.9429849999</c:v>
                </c:pt>
                <c:pt idx="14694">
                  <c:v>512846.52971999993</c:v>
                </c:pt>
                <c:pt idx="14695">
                  <c:v>513175.25687500014</c:v>
                </c:pt>
                <c:pt idx="14696">
                  <c:v>513504.12448000006</c:v>
                </c:pt>
                <c:pt idx="14697">
                  <c:v>513833.1325649999</c:v>
                </c:pt>
                <c:pt idx="14698">
                  <c:v>514162.28115999984</c:v>
                </c:pt>
                <c:pt idx="14699">
                  <c:v>514491.57029500004</c:v>
                </c:pt>
                <c:pt idx="14700">
                  <c:v>514821.0</c:v>
                </c:pt>
                <c:pt idx="14701">
                  <c:v>515150.57030499994</c:v>
                </c:pt>
                <c:pt idx="14702">
                  <c:v>515480.28124000016</c:v>
                </c:pt>
                <c:pt idx="14703">
                  <c:v>515810.13283500005</c:v>
                </c:pt>
                <c:pt idx="14704">
                  <c:v>516140.12512</c:v>
                </c:pt>
                <c:pt idx="14705">
                  <c:v>516470.2581249999</c:v>
                </c:pt>
                <c:pt idx="14706">
                  <c:v>516800.5318800001</c:v>
                </c:pt>
                <c:pt idx="14707">
                  <c:v>517130.9464150001</c:v>
                </c:pt>
                <c:pt idx="14708">
                  <c:v>517461.50175999996</c:v>
                </c:pt>
                <c:pt idx="14709">
                  <c:v>517792.19794500014</c:v>
                </c:pt>
                <c:pt idx="14710">
                  <c:v>518123.03500000003</c:v>
                </c:pt>
                <c:pt idx="14711">
                  <c:v>518454.012955</c:v>
                </c:pt>
                <c:pt idx="14712">
                  <c:v>518785.13183999987</c:v>
                </c:pt>
                <c:pt idx="14713">
                  <c:v>519116.3916850001</c:v>
                </c:pt>
                <c:pt idx="14714">
                  <c:v>519447.79252</c:v>
                </c:pt>
                <c:pt idx="14715">
                  <c:v>519779.334375</c:v>
                </c:pt>
                <c:pt idx="14716">
                  <c:v>520111.01727999985</c:v>
                </c:pt>
                <c:pt idx="14717">
                  <c:v>520442.8412650001</c:v>
                </c:pt>
                <c:pt idx="14718">
                  <c:v>520774.80636</c:v>
                </c:pt>
                <c:pt idx="14719">
                  <c:v>521106.9125949998</c:v>
                </c:pt>
                <c:pt idx="14720">
                  <c:v>521439.1600000001</c:v>
                </c:pt>
                <c:pt idx="14721">
                  <c:v>521771.54860500013</c:v>
                </c:pt>
                <c:pt idx="14722">
                  <c:v>522104.07843999995</c:v>
                </c:pt>
                <c:pt idx="14723">
                  <c:v>522436.7495349999</c:v>
                </c:pt>
                <c:pt idx="14724">
                  <c:v>522769.56192</c:v>
                </c:pt>
                <c:pt idx="14725">
                  <c:v>523102.515625</c:v>
                </c:pt>
                <c:pt idx="14726">
                  <c:v>523435.6106799999</c:v>
                </c:pt>
                <c:pt idx="14727">
                  <c:v>523768.8471150001</c:v>
                </c:pt>
                <c:pt idx="14728">
                  <c:v>524102.2249600001</c:v>
                </c:pt>
                <c:pt idx="14729">
                  <c:v>524435.7442450001</c:v>
                </c:pt>
                <c:pt idx="14730">
                  <c:v>524769.405</c:v>
                </c:pt>
                <c:pt idx="14731">
                  <c:v>525103.2072550001</c:v>
                </c:pt>
                <c:pt idx="14732">
                  <c:v>525437.15104</c:v>
                </c:pt>
                <c:pt idx="14733">
                  <c:v>525771.2363849999</c:v>
                </c:pt>
                <c:pt idx="14734">
                  <c:v>526105.4633200002</c:v>
                </c:pt>
                <c:pt idx="14735">
                  <c:v>526439.831875</c:v>
                </c:pt>
                <c:pt idx="14736">
                  <c:v>526774.3420799999</c:v>
                </c:pt>
                <c:pt idx="14737">
                  <c:v>527108.9939649999</c:v>
                </c:pt>
                <c:pt idx="14738">
                  <c:v>527443.7875600001</c:v>
                </c:pt>
                <c:pt idx="14739">
                  <c:v>527778.7228950001</c:v>
                </c:pt>
                <c:pt idx="14740">
                  <c:v>528113.7999999998</c:v>
                </c:pt>
                <c:pt idx="14741">
                  <c:v>528449.0189049998</c:v>
                </c:pt>
                <c:pt idx="14742">
                  <c:v>528784.3796400002</c:v>
                </c:pt>
                <c:pt idx="14743">
                  <c:v>529119.882235</c:v>
                </c:pt>
                <c:pt idx="14744">
                  <c:v>529455.52672</c:v>
                </c:pt>
                <c:pt idx="14745">
                  <c:v>529791.3131250001</c:v>
                </c:pt>
                <c:pt idx="14746">
                  <c:v>530127.2414800001</c:v>
                </c:pt>
                <c:pt idx="14747">
                  <c:v>530463.311815</c:v>
                </c:pt>
                <c:pt idx="14748">
                  <c:v>530799.5241599999</c:v>
                </c:pt>
                <c:pt idx="14749">
                  <c:v>531135.8785450001</c:v>
                </c:pt>
                <c:pt idx="14750">
                  <c:v>531472.375</c:v>
                </c:pt>
                <c:pt idx="14751">
                  <c:v>531809.013555</c:v>
                </c:pt>
                <c:pt idx="14752">
                  <c:v>532145.7942400002</c:v>
                </c:pt>
                <c:pt idx="14753">
                  <c:v>532482.717085</c:v>
                </c:pt>
                <c:pt idx="14754">
                  <c:v>532819.78212</c:v>
                </c:pt>
                <c:pt idx="14755">
                  <c:v>533156.9893749999</c:v>
                </c:pt>
                <c:pt idx="14756">
                  <c:v>533494.3388800002</c:v>
                </c:pt>
                <c:pt idx="14757">
                  <c:v>533831.8306649999</c:v>
                </c:pt>
                <c:pt idx="14758">
                  <c:v>534169.46476</c:v>
                </c:pt>
                <c:pt idx="14759">
                  <c:v>534507.2411950001</c:v>
                </c:pt>
                <c:pt idx="14760">
                  <c:v>534845.16</c:v>
                </c:pt>
                <c:pt idx="14761">
                  <c:v>535183.221205</c:v>
                </c:pt>
                <c:pt idx="14762">
                  <c:v>535521.4248399999</c:v>
                </c:pt>
                <c:pt idx="14763">
                  <c:v>535859.770935</c:v>
                </c:pt>
                <c:pt idx="14764">
                  <c:v>536198.2595200001</c:v>
                </c:pt>
                <c:pt idx="14765">
                  <c:v>536536.8906249999</c:v>
                </c:pt>
                <c:pt idx="14766">
                  <c:v>536875.6642799999</c:v>
                </c:pt>
                <c:pt idx="14767">
                  <c:v>537214.580515</c:v>
                </c:pt>
                <c:pt idx="14768">
                  <c:v>537553.63936</c:v>
                </c:pt>
                <c:pt idx="14769">
                  <c:v>537892.8408449999</c:v>
                </c:pt>
                <c:pt idx="14770">
                  <c:v>538232.185</c:v>
                </c:pt>
                <c:pt idx="14771">
                  <c:v>538571.6718550001</c:v>
                </c:pt>
                <c:pt idx="14772">
                  <c:v>538911.30144</c:v>
                </c:pt>
                <c:pt idx="14773">
                  <c:v>539251.0737849999</c:v>
                </c:pt>
                <c:pt idx="14774">
                  <c:v>539590.98892</c:v>
                </c:pt>
                <c:pt idx="14775">
                  <c:v>539931.046875</c:v>
                </c:pt>
                <c:pt idx="14776">
                  <c:v>540271.2476799999</c:v>
                </c:pt>
                <c:pt idx="14777">
                  <c:v>540611.5913650002</c:v>
                </c:pt>
                <c:pt idx="14778">
                  <c:v>540952.07796</c:v>
                </c:pt>
                <c:pt idx="14779">
                  <c:v>541292.7074949999</c:v>
                </c:pt>
                <c:pt idx="14780">
                  <c:v>541633.4799999999</c:v>
                </c:pt>
                <c:pt idx="14781">
                  <c:v>541974.3955050001</c:v>
                </c:pt>
                <c:pt idx="14782">
                  <c:v>542315.45404</c:v>
                </c:pt>
                <c:pt idx="14783">
                  <c:v>542656.6556349999</c:v>
                </c:pt>
                <c:pt idx="14784">
                  <c:v>542998.0003200001</c:v>
                </c:pt>
                <c:pt idx="14785">
                  <c:v>543339.4881250001</c:v>
                </c:pt>
                <c:pt idx="14786">
                  <c:v>543681.11908</c:v>
                </c:pt>
                <c:pt idx="14787">
                  <c:v>544022.8932149999</c:v>
                </c:pt>
                <c:pt idx="14788">
                  <c:v>544364.81056</c:v>
                </c:pt>
                <c:pt idx="14789">
                  <c:v>544706.8711450001</c:v>
                </c:pt>
                <c:pt idx="14790">
                  <c:v>545049.075</c:v>
                </c:pt>
                <c:pt idx="14791">
                  <c:v>545391.4221549998</c:v>
                </c:pt>
                <c:pt idx="14792">
                  <c:v>545733.91264</c:v>
                </c:pt>
                <c:pt idx="14793">
                  <c:v>546076.5464849999</c:v>
                </c:pt>
                <c:pt idx="14794">
                  <c:v>546419.3237199999</c:v>
                </c:pt>
                <c:pt idx="14795">
                  <c:v>546762.244375</c:v>
                </c:pt>
                <c:pt idx="14796">
                  <c:v>547105.3084800001</c:v>
                </c:pt>
                <c:pt idx="14797">
                  <c:v>547448.5160650001</c:v>
                </c:pt>
                <c:pt idx="14798">
                  <c:v>547791.8671599999</c:v>
                </c:pt>
                <c:pt idx="14799">
                  <c:v>548135.361795</c:v>
                </c:pt>
                <c:pt idx="14800">
                  <c:v>548479.0</c:v>
                </c:pt>
                <c:pt idx="14801">
                  <c:v>548822.7818049999</c:v>
                </c:pt>
                <c:pt idx="14802">
                  <c:v>549166.7072400001</c:v>
                </c:pt>
                <c:pt idx="14803">
                  <c:v>549510.776335</c:v>
                </c:pt>
                <c:pt idx="14804">
                  <c:v>549854.9891199999</c:v>
                </c:pt>
                <c:pt idx="14805">
                  <c:v>550199.345625</c:v>
                </c:pt>
                <c:pt idx="14806">
                  <c:v>550543.8458800002</c:v>
                </c:pt>
                <c:pt idx="14807">
                  <c:v>550888.489915</c:v>
                </c:pt>
                <c:pt idx="14808">
                  <c:v>551233.27776</c:v>
                </c:pt>
                <c:pt idx="14809">
                  <c:v>551578.2094450002</c:v>
                </c:pt>
                <c:pt idx="14810">
                  <c:v>551923.2850000001</c:v>
                </c:pt>
                <c:pt idx="14811">
                  <c:v>552268.504455</c:v>
                </c:pt>
                <c:pt idx="14812">
                  <c:v>552613.8678399998</c:v>
                </c:pt>
                <c:pt idx="14813">
                  <c:v>552959.375185</c:v>
                </c:pt>
                <c:pt idx="14814">
                  <c:v>553305.0265200001</c:v>
                </c:pt>
                <c:pt idx="14815">
                  <c:v>553650.8218749999</c:v>
                </c:pt>
                <c:pt idx="14816">
                  <c:v>553996.7612799999</c:v>
                </c:pt>
                <c:pt idx="14817">
                  <c:v>554342.844765</c:v>
                </c:pt>
                <c:pt idx="14818">
                  <c:v>554689.07236</c:v>
                </c:pt>
                <c:pt idx="14819">
                  <c:v>555035.4440949998</c:v>
                </c:pt>
                <c:pt idx="14820">
                  <c:v>555381.9600000001</c:v>
                </c:pt>
                <c:pt idx="14821">
                  <c:v>555728.6201050001</c:v>
                </c:pt>
                <c:pt idx="14822">
                  <c:v>556075.42444</c:v>
                </c:pt>
                <c:pt idx="14823">
                  <c:v>556422.3730349997</c:v>
                </c:pt>
                <c:pt idx="14824">
                  <c:v>556769.4659200001</c:v>
                </c:pt>
                <c:pt idx="14825">
                  <c:v>557116.703125</c:v>
                </c:pt>
                <c:pt idx="14826">
                  <c:v>557464.08468</c:v>
                </c:pt>
                <c:pt idx="14827">
                  <c:v>557811.6106150001</c:v>
                </c:pt>
                <c:pt idx="14828">
                  <c:v>558159.28096</c:v>
                </c:pt>
                <c:pt idx="14829">
                  <c:v>558507.0957449999</c:v>
                </c:pt>
                <c:pt idx="14830">
                  <c:v>558855.0549999999</c:v>
                </c:pt>
                <c:pt idx="14831">
                  <c:v>559203.1587550002</c:v>
                </c:pt>
                <c:pt idx="14832">
                  <c:v>559551.40704</c:v>
                </c:pt>
                <c:pt idx="14833">
                  <c:v>559899.799885</c:v>
                </c:pt>
                <c:pt idx="14834">
                  <c:v>560248.3373200002</c:v>
                </c:pt>
                <c:pt idx="14835">
                  <c:v>560597.0193750001</c:v>
                </c:pt>
                <c:pt idx="14836">
                  <c:v>560945.84608</c:v>
                </c:pt>
                <c:pt idx="14837">
                  <c:v>561294.817465</c:v>
                </c:pt>
                <c:pt idx="14838">
                  <c:v>561643.9335600002</c:v>
                </c:pt>
                <c:pt idx="14839">
                  <c:v>561993.194395</c:v>
                </c:pt>
                <c:pt idx="14840">
                  <c:v>562342.6</c:v>
                </c:pt>
                <c:pt idx="14841">
                  <c:v>562692.1504049998</c:v>
                </c:pt>
                <c:pt idx="14842">
                  <c:v>563041.8456400001</c:v>
                </c:pt>
                <c:pt idx="14843">
                  <c:v>563391.6857350001</c:v>
                </c:pt>
                <c:pt idx="14844">
                  <c:v>563741.6707199999</c:v>
                </c:pt>
                <c:pt idx="14845">
                  <c:v>564091.800625</c:v>
                </c:pt>
                <c:pt idx="14846">
                  <c:v>564442.07548</c:v>
                </c:pt>
                <c:pt idx="14847">
                  <c:v>564792.495315</c:v>
                </c:pt>
                <c:pt idx="14848">
                  <c:v>565143.0601599998</c:v>
                </c:pt>
                <c:pt idx="14849">
                  <c:v>565493.7700450001</c:v>
                </c:pt>
                <c:pt idx="14850">
                  <c:v>565844.625</c:v>
                </c:pt>
                <c:pt idx="14851">
                  <c:v>566195.6250550001</c:v>
                </c:pt>
                <c:pt idx="14852">
                  <c:v>566546.7702400001</c:v>
                </c:pt>
                <c:pt idx="14853">
                  <c:v>566898.060585</c:v>
                </c:pt>
                <c:pt idx="14854">
                  <c:v>567249.4961199999</c:v>
                </c:pt>
                <c:pt idx="14855">
                  <c:v>567601.0768749999</c:v>
                </c:pt>
                <c:pt idx="14856">
                  <c:v>567952.8028800001</c:v>
                </c:pt>
                <c:pt idx="14857">
                  <c:v>568304.674165</c:v>
                </c:pt>
                <c:pt idx="14858">
                  <c:v>568656.6907599999</c:v>
                </c:pt>
                <c:pt idx="14859">
                  <c:v>569008.8526950001</c:v>
                </c:pt>
                <c:pt idx="14860">
                  <c:v>569361.16</c:v>
                </c:pt>
                <c:pt idx="14861">
                  <c:v>569713.612705</c:v>
                </c:pt>
                <c:pt idx="14862">
                  <c:v>570066.21084</c:v>
                </c:pt>
                <c:pt idx="14863">
                  <c:v>570418.9544350001</c:v>
                </c:pt>
                <c:pt idx="14864">
                  <c:v>570771.8435200001</c:v>
                </c:pt>
                <c:pt idx="14865">
                  <c:v>571124.8781249999</c:v>
                </c:pt>
                <c:pt idx="14866">
                  <c:v>571478.0582799999</c:v>
                </c:pt>
                <c:pt idx="14867">
                  <c:v>571831.3840150001</c:v>
                </c:pt>
                <c:pt idx="14868">
                  <c:v>572184.85536</c:v>
                </c:pt>
                <c:pt idx="14869">
                  <c:v>572538.4723449998</c:v>
                </c:pt>
                <c:pt idx="14870">
                  <c:v>572892.2350000001</c:v>
                </c:pt>
                <c:pt idx="14871">
                  <c:v>573246.1433550001</c:v>
                </c:pt>
                <c:pt idx="14872">
                  <c:v>573600.19744</c:v>
                </c:pt>
                <c:pt idx="14873">
                  <c:v>573954.3972849998</c:v>
                </c:pt>
                <c:pt idx="14874">
                  <c:v>574308.74292</c:v>
                </c:pt>
                <c:pt idx="14875">
                  <c:v>574663.234375</c:v>
                </c:pt>
                <c:pt idx="14876">
                  <c:v>575017.87168</c:v>
                </c:pt>
                <c:pt idx="14877">
                  <c:v>575372.6548650002</c:v>
                </c:pt>
                <c:pt idx="14878">
                  <c:v>575727.5839600001</c:v>
                </c:pt>
                <c:pt idx="14879">
                  <c:v>576082.658995</c:v>
                </c:pt>
                <c:pt idx="14880">
                  <c:v>576437.8799999999</c:v>
                </c:pt>
                <c:pt idx="14881">
                  <c:v>576793.2470050002</c:v>
                </c:pt>
                <c:pt idx="14882">
                  <c:v>577148.76004</c:v>
                </c:pt>
                <c:pt idx="14883">
                  <c:v>577504.4191349999</c:v>
                </c:pt>
                <c:pt idx="14884">
                  <c:v>577860.2243200002</c:v>
                </c:pt>
                <c:pt idx="14885">
                  <c:v>578216.1756250001</c:v>
                </c:pt>
                <c:pt idx="14886">
                  <c:v>578572.2730799998</c:v>
                </c:pt>
                <c:pt idx="14887">
                  <c:v>578928.5167149999</c:v>
                </c:pt>
                <c:pt idx="14888">
                  <c:v>579284.9065600001</c:v>
                </c:pt>
                <c:pt idx="14889">
                  <c:v>579641.442645</c:v>
                </c:pt>
                <c:pt idx="14890">
                  <c:v>579998.1249999999</c:v>
                </c:pt>
                <c:pt idx="14891">
                  <c:v>580354.9536549998</c:v>
                </c:pt>
                <c:pt idx="14892">
                  <c:v>580711.92864</c:v>
                </c:pt>
                <c:pt idx="14893">
                  <c:v>581069.049985</c:v>
                </c:pt>
                <c:pt idx="14894">
                  <c:v>581426.3177199999</c:v>
                </c:pt>
                <c:pt idx="14895">
                  <c:v>581783.7318750002</c:v>
                </c:pt>
                <c:pt idx="14896">
                  <c:v>582141.2924800001</c:v>
                </c:pt>
                <c:pt idx="14897">
                  <c:v>582498.999565</c:v>
                </c:pt>
                <c:pt idx="14898">
                  <c:v>582856.8531599998</c:v>
                </c:pt>
                <c:pt idx="14899">
                  <c:v>583214.8532949999</c:v>
                </c:pt>
                <c:pt idx="14900">
                  <c:v>583573.0</c:v>
                </c:pt>
                <c:pt idx="14901">
                  <c:v>583931.293305</c:v>
                </c:pt>
                <c:pt idx="14902">
                  <c:v>584289.7332400002</c:v>
                </c:pt>
                <c:pt idx="14903">
                  <c:v>584648.3198350001</c:v>
                </c:pt>
                <c:pt idx="14904">
                  <c:v>585007.0531199999</c:v>
                </c:pt>
                <c:pt idx="14905">
                  <c:v>585365.9331249999</c:v>
                </c:pt>
                <c:pt idx="14906">
                  <c:v>585724.9598800001</c:v>
                </c:pt>
                <c:pt idx="14907">
                  <c:v>586084.1334149999</c:v>
                </c:pt>
                <c:pt idx="14908">
                  <c:v>586443.45376</c:v>
                </c:pt>
                <c:pt idx="14909">
                  <c:v>586802.9209450003</c:v>
                </c:pt>
                <c:pt idx="14910">
                  <c:v>587162.535</c:v>
                </c:pt>
                <c:pt idx="14911">
                  <c:v>587522.2959549999</c:v>
                </c:pt>
                <c:pt idx="14912">
                  <c:v>587882.2038399999</c:v>
                </c:pt>
                <c:pt idx="14913">
                  <c:v>588242.2586850001</c:v>
                </c:pt>
                <c:pt idx="14914">
                  <c:v>588602.4605200001</c:v>
                </c:pt>
                <c:pt idx="14915">
                  <c:v>588962.809375</c:v>
                </c:pt>
                <c:pt idx="14916">
                  <c:v>589323.3052799999</c:v>
                </c:pt>
                <c:pt idx="14917">
                  <c:v>589683.948265</c:v>
                </c:pt>
                <c:pt idx="14918">
                  <c:v>590044.7383600001</c:v>
                </c:pt>
                <c:pt idx="14919">
                  <c:v>590405.6755949998</c:v>
                </c:pt>
                <c:pt idx="14920">
                  <c:v>590766.7600000001</c:v>
                </c:pt>
                <c:pt idx="14921">
                  <c:v>591127.991605</c:v>
                </c:pt>
                <c:pt idx="14922">
                  <c:v>591489.37044</c:v>
                </c:pt>
                <c:pt idx="14923">
                  <c:v>591850.8965349998</c:v>
                </c:pt>
                <c:pt idx="14924">
                  <c:v>592212.56992</c:v>
                </c:pt>
                <c:pt idx="14925">
                  <c:v>592574.390625</c:v>
                </c:pt>
                <c:pt idx="14926">
                  <c:v>592936.35868</c:v>
                </c:pt>
                <c:pt idx="14927">
                  <c:v>593298.4741150001</c:v>
                </c:pt>
                <c:pt idx="14928">
                  <c:v>593660.73696</c:v>
                </c:pt>
                <c:pt idx="14929">
                  <c:v>594023.1472449999</c:v>
                </c:pt>
                <c:pt idx="14930">
                  <c:v>594385.705</c:v>
                </c:pt>
                <c:pt idx="14931">
                  <c:v>594748.4102550001</c:v>
                </c:pt>
                <c:pt idx="14932">
                  <c:v>595111.26304</c:v>
                </c:pt>
                <c:pt idx="14933">
                  <c:v>595474.2633849998</c:v>
                </c:pt>
                <c:pt idx="14934">
                  <c:v>595837.4113200001</c:v>
                </c:pt>
                <c:pt idx="14935">
                  <c:v>596200.7068750001</c:v>
                </c:pt>
                <c:pt idx="14936">
                  <c:v>596564.1500799999</c:v>
                </c:pt>
                <c:pt idx="14937">
                  <c:v>596927.7409649999</c:v>
                </c:pt>
                <c:pt idx="14938">
                  <c:v>597291.4795600002</c:v>
                </c:pt>
                <c:pt idx="14939">
                  <c:v>597655.365895</c:v>
                </c:pt>
                <c:pt idx="14940">
                  <c:v>598019.3999999999</c:v>
                </c:pt>
                <c:pt idx="14941">
                  <c:v>598383.5819049998</c:v>
                </c:pt>
                <c:pt idx="14942">
                  <c:v>598747.9116400001</c:v>
                </c:pt>
                <c:pt idx="14943">
                  <c:v>599112.389235</c:v>
                </c:pt>
                <c:pt idx="14944">
                  <c:v>599477.0147199999</c:v>
                </c:pt>
                <c:pt idx="14945">
                  <c:v>599841.7881250001</c:v>
                </c:pt>
                <c:pt idx="14946">
                  <c:v>600206.7094800001</c:v>
                </c:pt>
                <c:pt idx="14947">
                  <c:v>600571.778815</c:v>
                </c:pt>
                <c:pt idx="14948">
                  <c:v>600936.9961599999</c:v>
                </c:pt>
                <c:pt idx="14949">
                  <c:v>601302.3615450001</c:v>
                </c:pt>
                <c:pt idx="14950">
                  <c:v>601667.875</c:v>
                </c:pt>
                <c:pt idx="14951">
                  <c:v>602033.536555</c:v>
                </c:pt>
                <c:pt idx="14952">
                  <c:v>602399.3462400002</c:v>
                </c:pt>
                <c:pt idx="14953">
                  <c:v>602765.304085</c:v>
                </c:pt>
                <c:pt idx="14954">
                  <c:v>603131.41012</c:v>
                </c:pt>
                <c:pt idx="14955">
                  <c:v>603497.6643749999</c:v>
                </c:pt>
                <c:pt idx="14956">
                  <c:v>603864.0668800002</c:v>
                </c:pt>
                <c:pt idx="14957">
                  <c:v>604230.617665</c:v>
                </c:pt>
                <c:pt idx="14958">
                  <c:v>604597.31676</c:v>
                </c:pt>
                <c:pt idx="14959">
                  <c:v>604964.1641950002</c:v>
                </c:pt>
                <c:pt idx="14960">
                  <c:v>605331.1600000001</c:v>
                </c:pt>
                <c:pt idx="14961">
                  <c:v>605698.3042049999</c:v>
                </c:pt>
                <c:pt idx="14962">
                  <c:v>606065.5968399999</c:v>
                </c:pt>
                <c:pt idx="14963">
                  <c:v>606433.0379350001</c:v>
                </c:pt>
                <c:pt idx="14964">
                  <c:v>606800.6275200001</c:v>
                </c:pt>
                <c:pt idx="14965">
                  <c:v>607168.3656249999</c:v>
                </c:pt>
                <c:pt idx="14966">
                  <c:v>607536.2522799998</c:v>
                </c:pt>
                <c:pt idx="14967">
                  <c:v>607904.2875150001</c:v>
                </c:pt>
                <c:pt idx="14968">
                  <c:v>608272.4713600001</c:v>
                </c:pt>
                <c:pt idx="14969">
                  <c:v>608640.8038449999</c:v>
                </c:pt>
                <c:pt idx="14970">
                  <c:v>609009.285</c:v>
                </c:pt>
                <c:pt idx="14971">
                  <c:v>609377.9148550001</c:v>
                </c:pt>
                <c:pt idx="14972">
                  <c:v>609746.69344</c:v>
                </c:pt>
                <c:pt idx="14973">
                  <c:v>610115.6207849998</c:v>
                </c:pt>
                <c:pt idx="14974">
                  <c:v>610484.69692</c:v>
                </c:pt>
                <c:pt idx="14975">
                  <c:v>610853.921875</c:v>
                </c:pt>
                <c:pt idx="14976">
                  <c:v>611223.29568</c:v>
                </c:pt>
                <c:pt idx="14977">
                  <c:v>611592.8183650002</c:v>
                </c:pt>
                <c:pt idx="14978">
                  <c:v>611962.4899599999</c:v>
                </c:pt>
                <c:pt idx="14979">
                  <c:v>612332.310495</c:v>
                </c:pt>
                <c:pt idx="14980">
                  <c:v>612702.28</c:v>
                </c:pt>
                <c:pt idx="14981">
                  <c:v>613072.398505</c:v>
                </c:pt>
                <c:pt idx="14982">
                  <c:v>613442.6660399999</c:v>
                </c:pt>
                <c:pt idx="14983">
                  <c:v>613813.082635</c:v>
                </c:pt>
                <c:pt idx="14984">
                  <c:v>614183.6483200002</c:v>
                </c:pt>
                <c:pt idx="14985">
                  <c:v>614554.363125</c:v>
                </c:pt>
                <c:pt idx="14986">
                  <c:v>614925.2270799999</c:v>
                </c:pt>
                <c:pt idx="14987">
                  <c:v>615296.2402149999</c:v>
                </c:pt>
                <c:pt idx="14988">
                  <c:v>615667.4025600001</c:v>
                </c:pt>
                <c:pt idx="14989">
                  <c:v>616038.7141450001</c:v>
                </c:pt>
                <c:pt idx="14990">
                  <c:v>616410.1749999999</c:v>
                </c:pt>
                <c:pt idx="14991">
                  <c:v>616781.7851549999</c:v>
                </c:pt>
                <c:pt idx="14992">
                  <c:v>617153.54464</c:v>
                </c:pt>
                <c:pt idx="14993">
                  <c:v>617525.4534850001</c:v>
                </c:pt>
                <c:pt idx="14994">
                  <c:v>617897.5117199998</c:v>
                </c:pt>
                <c:pt idx="14995">
                  <c:v>618269.7193750001</c:v>
                </c:pt>
                <c:pt idx="14996">
                  <c:v>618642.07648</c:v>
                </c:pt>
                <c:pt idx="14997">
                  <c:v>619014.583065</c:v>
                </c:pt>
                <c:pt idx="14998">
                  <c:v>619387.2391599998</c:v>
                </c:pt>
                <c:pt idx="14999">
                  <c:v>619760.0447950001</c:v>
                </c:pt>
                <c:pt idx="15000">
                  <c:v>620133.0</c:v>
                </c:pt>
                <c:pt idx="15001">
                  <c:v>620506.1048049999</c:v>
                </c:pt>
                <c:pt idx="15002">
                  <c:v>620879.3592400001</c:v>
                </c:pt>
                <c:pt idx="15003">
                  <c:v>621252.763335</c:v>
                </c:pt>
                <c:pt idx="15004">
                  <c:v>621626.3171199999</c:v>
                </c:pt>
                <c:pt idx="15005">
                  <c:v>622000.0206249999</c:v>
                </c:pt>
                <c:pt idx="15006">
                  <c:v>622373.8738800002</c:v>
                </c:pt>
                <c:pt idx="15007">
                  <c:v>622747.876915</c:v>
                </c:pt>
                <c:pt idx="15008">
                  <c:v>623122.02976</c:v>
                </c:pt>
                <c:pt idx="15009">
                  <c:v>623496.3324450002</c:v>
                </c:pt>
                <c:pt idx="15010">
                  <c:v>623870.785</c:v>
                </c:pt>
                <c:pt idx="15011">
                  <c:v>624245.387455</c:v>
                </c:pt>
                <c:pt idx="15012">
                  <c:v>624620.13984</c:v>
                </c:pt>
                <c:pt idx="15013">
                  <c:v>624995.0421850001</c:v>
                </c:pt>
                <c:pt idx="15014">
                  <c:v>625370.09452</c:v>
                </c:pt>
                <c:pt idx="15015">
                  <c:v>625745.2968749999</c:v>
                </c:pt>
                <c:pt idx="15016">
                  <c:v>626120.6492799999</c:v>
                </c:pt>
                <c:pt idx="15017">
                  <c:v>626496.1517650002</c:v>
                </c:pt>
                <c:pt idx="15018">
                  <c:v>626871.80436</c:v>
                </c:pt>
                <c:pt idx="15019">
                  <c:v>627247.6070949998</c:v>
                </c:pt>
                <c:pt idx="15020">
                  <c:v>627623.56</c:v>
                </c:pt>
                <c:pt idx="15021">
                  <c:v>627999.663105</c:v>
                </c:pt>
                <c:pt idx="15022">
                  <c:v>628375.91644</c:v>
                </c:pt>
                <c:pt idx="15023">
                  <c:v>628752.3200349999</c:v>
                </c:pt>
                <c:pt idx="15024">
                  <c:v>629128.87392</c:v>
                </c:pt>
                <c:pt idx="15025">
                  <c:v>629505.578125</c:v>
                </c:pt>
                <c:pt idx="15026">
                  <c:v>629882.43268</c:v>
                </c:pt>
                <c:pt idx="15027">
                  <c:v>630259.4376150001</c:v>
                </c:pt>
                <c:pt idx="15028">
                  <c:v>630636.59296</c:v>
                </c:pt>
                <c:pt idx="15029">
                  <c:v>631013.898745</c:v>
                </c:pt>
                <c:pt idx="15030">
                  <c:v>631391.3549999999</c:v>
                </c:pt>
                <c:pt idx="15031">
                  <c:v>631768.961755</c:v>
                </c:pt>
                <c:pt idx="15032">
                  <c:v>632146.71904</c:v>
                </c:pt>
                <c:pt idx="15033">
                  <c:v>632524.6268849999</c:v>
                </c:pt>
                <c:pt idx="15034">
                  <c:v>632902.6853200002</c:v>
                </c:pt>
                <c:pt idx="15035">
                  <c:v>633280.8943750001</c:v>
                </c:pt>
                <c:pt idx="15036">
                  <c:v>633659.25408</c:v>
                </c:pt>
                <c:pt idx="15037">
                  <c:v>634037.764465</c:v>
                </c:pt>
                <c:pt idx="15038">
                  <c:v>634416.4255600001</c:v>
                </c:pt>
                <c:pt idx="15039">
                  <c:v>634795.2373950001</c:v>
                </c:pt>
                <c:pt idx="15040">
                  <c:v>635174.2</c:v>
                </c:pt>
                <c:pt idx="15041">
                  <c:v>635553.3134049999</c:v>
                </c:pt>
                <c:pt idx="15042">
                  <c:v>635932.57764</c:v>
                </c:pt>
                <c:pt idx="15043">
                  <c:v>636311.9927350001</c:v>
                </c:pt>
                <c:pt idx="15044">
                  <c:v>636691.5587199999</c:v>
                </c:pt>
                <c:pt idx="15045">
                  <c:v>637071.275625</c:v>
                </c:pt>
                <c:pt idx="15046">
                  <c:v>637451.1434800001</c:v>
                </c:pt>
                <c:pt idx="15047">
                  <c:v>637831.162315</c:v>
                </c:pt>
                <c:pt idx="15048">
                  <c:v>638211.3321599999</c:v>
                </c:pt>
                <c:pt idx="15049">
                  <c:v>638591.653045</c:v>
                </c:pt>
                <c:pt idx="15050">
                  <c:v>638972.125</c:v>
                </c:pt>
                <c:pt idx="15051">
                  <c:v>639352.7480549999</c:v>
                </c:pt>
                <c:pt idx="15052">
                  <c:v>639733.5222400002</c:v>
                </c:pt>
                <c:pt idx="15053">
                  <c:v>640114.447585</c:v>
                </c:pt>
                <c:pt idx="15054">
                  <c:v>640495.52412</c:v>
                </c:pt>
                <c:pt idx="15055">
                  <c:v>640876.751875</c:v>
                </c:pt>
                <c:pt idx="15056">
                  <c:v>641258.1308800002</c:v>
                </c:pt>
                <c:pt idx="15057">
                  <c:v>641639.6611649999</c:v>
                </c:pt>
                <c:pt idx="15058">
                  <c:v>642021.34276</c:v>
                </c:pt>
                <c:pt idx="15059">
                  <c:v>642403.1756950002</c:v>
                </c:pt>
                <c:pt idx="15060">
                  <c:v>642785.1600000001</c:v>
                </c:pt>
                <c:pt idx="15061">
                  <c:v>643167.295705</c:v>
                </c:pt>
                <c:pt idx="15062">
                  <c:v>643549.5828399999</c:v>
                </c:pt>
                <c:pt idx="15063">
                  <c:v>643932.0214350001</c:v>
                </c:pt>
                <c:pt idx="15064">
                  <c:v>644314.61152</c:v>
                </c:pt>
                <c:pt idx="15065">
                  <c:v>644697.3531249999</c:v>
                </c:pt>
                <c:pt idx="15066">
                  <c:v>645080.2462799997</c:v>
                </c:pt>
                <c:pt idx="15067">
                  <c:v>645463.2910150001</c:v>
                </c:pt>
                <c:pt idx="15068">
                  <c:v>645846.48736</c:v>
                </c:pt>
                <c:pt idx="15069">
                  <c:v>646229.8353449999</c:v>
                </c:pt>
                <c:pt idx="15070">
                  <c:v>646613.3350000001</c:v>
                </c:pt>
                <c:pt idx="15071">
                  <c:v>646996.986355</c:v>
                </c:pt>
                <c:pt idx="15072">
                  <c:v>647380.78944</c:v>
                </c:pt>
                <c:pt idx="15073">
                  <c:v>647764.7442849998</c:v>
                </c:pt>
                <c:pt idx="15074">
                  <c:v>648148.8509200001</c:v>
                </c:pt>
                <c:pt idx="15075">
                  <c:v>648533.109375</c:v>
                </c:pt>
                <c:pt idx="15076">
                  <c:v>648917.5196799999</c:v>
                </c:pt>
                <c:pt idx="15077">
                  <c:v>649302.0818650002</c:v>
                </c:pt>
                <c:pt idx="15078">
                  <c:v>649686.7959599999</c:v>
                </c:pt>
                <c:pt idx="15079">
                  <c:v>650071.661995</c:v>
                </c:pt>
                <c:pt idx="15080">
                  <c:v>650456.6799999999</c:v>
                </c:pt>
                <c:pt idx="15081">
                  <c:v>650841.850005</c:v>
                </c:pt>
                <c:pt idx="15082">
                  <c:v>651227.17204</c:v>
                </c:pt>
                <c:pt idx="15083">
                  <c:v>651612.6461349999</c:v>
                </c:pt>
                <c:pt idx="15084">
                  <c:v>651998.2723200002</c:v>
                </c:pt>
                <c:pt idx="15085">
                  <c:v>652384.0506250003</c:v>
                </c:pt>
                <c:pt idx="15086">
                  <c:v>652769.9810799999</c:v>
                </c:pt>
                <c:pt idx="15087">
                  <c:v>653156.0637149999</c:v>
                </c:pt>
                <c:pt idx="15088">
                  <c:v>653542.2985600001</c:v>
                </c:pt>
                <c:pt idx="15089">
                  <c:v>653928.6856450001</c:v>
                </c:pt>
                <c:pt idx="15090">
                  <c:v>654315.225</c:v>
                </c:pt>
                <c:pt idx="15091">
                  <c:v>654701.916655</c:v>
                </c:pt>
                <c:pt idx="15092">
                  <c:v>655088.7606400001</c:v>
                </c:pt>
                <c:pt idx="15093">
                  <c:v>655475.7569850001</c:v>
                </c:pt>
                <c:pt idx="15094">
                  <c:v>655862.9057199999</c:v>
                </c:pt>
                <c:pt idx="15095">
                  <c:v>656250.206875</c:v>
                </c:pt>
                <c:pt idx="15096">
                  <c:v>656637.66048</c:v>
                </c:pt>
                <c:pt idx="15097">
                  <c:v>657025.266565</c:v>
                </c:pt>
                <c:pt idx="15098">
                  <c:v>657413.0251599998</c:v>
                </c:pt>
                <c:pt idx="15099">
                  <c:v>657800.9362950001</c:v>
                </c:pt>
                <c:pt idx="15100">
                  <c:v>658189.0</c:v>
                </c:pt>
                <c:pt idx="15101">
                  <c:v>658577.2163049999</c:v>
                </c:pt>
                <c:pt idx="15102">
                  <c:v>658965.5852400002</c:v>
                </c:pt>
                <c:pt idx="15103">
                  <c:v>659354.1068350001</c:v>
                </c:pt>
                <c:pt idx="15104">
                  <c:v>659742.78112</c:v>
                </c:pt>
                <c:pt idx="15105">
                  <c:v>660131.6081249999</c:v>
                </c:pt>
                <c:pt idx="15106">
                  <c:v>660520.5878800001</c:v>
                </c:pt>
                <c:pt idx="15107">
                  <c:v>660909.720415</c:v>
                </c:pt>
                <c:pt idx="15108">
                  <c:v>661299.00576</c:v>
                </c:pt>
                <c:pt idx="15109">
                  <c:v>661688.4439450001</c:v>
                </c:pt>
                <c:pt idx="15110">
                  <c:v>662078.035</c:v>
                </c:pt>
                <c:pt idx="15111">
                  <c:v>662467.7789549999</c:v>
                </c:pt>
                <c:pt idx="15112">
                  <c:v>662857.6758399999</c:v>
                </c:pt>
                <c:pt idx="15113">
                  <c:v>663247.7256850002</c:v>
                </c:pt>
                <c:pt idx="15114">
                  <c:v>663637.9285200001</c:v>
                </c:pt>
                <c:pt idx="15115">
                  <c:v>664028.2843749998</c:v>
                </c:pt>
                <c:pt idx="15116">
                  <c:v>664418.7932799999</c:v>
                </c:pt>
                <c:pt idx="15117">
                  <c:v>664809.4552650001</c:v>
                </c:pt>
                <c:pt idx="15118">
                  <c:v>665200.2703600001</c:v>
                </c:pt>
                <c:pt idx="15119">
                  <c:v>665591.238595</c:v>
                </c:pt>
                <c:pt idx="15120">
                  <c:v>665982.3600000001</c:v>
                </c:pt>
                <c:pt idx="15121">
                  <c:v>666373.6346050001</c:v>
                </c:pt>
                <c:pt idx="15122">
                  <c:v>666765.06244</c:v>
                </c:pt>
                <c:pt idx="15123">
                  <c:v>667156.6435349999</c:v>
                </c:pt>
                <c:pt idx="15124">
                  <c:v>667548.37792</c:v>
                </c:pt>
                <c:pt idx="15125">
                  <c:v>667940.265625</c:v>
                </c:pt>
                <c:pt idx="15126">
                  <c:v>668332.3066799999</c:v>
                </c:pt>
                <c:pt idx="15127">
                  <c:v>668724.5011150001</c:v>
                </c:pt>
                <c:pt idx="15128">
                  <c:v>669116.8489600001</c:v>
                </c:pt>
                <c:pt idx="15129">
                  <c:v>669509.3502450001</c:v>
                </c:pt>
                <c:pt idx="15130">
                  <c:v>669902.0049999999</c:v>
                </c:pt>
                <c:pt idx="15131">
                  <c:v>670294.8132550002</c:v>
                </c:pt>
                <c:pt idx="15132">
                  <c:v>670687.77504</c:v>
                </c:pt>
                <c:pt idx="15133">
                  <c:v>671080.8903849999</c:v>
                </c:pt>
                <c:pt idx="15134">
                  <c:v>671474.1593200001</c:v>
                </c:pt>
                <c:pt idx="15135">
                  <c:v>671867.5818750001</c:v>
                </c:pt>
                <c:pt idx="15136">
                  <c:v>672261.15808</c:v>
                </c:pt>
                <c:pt idx="15137">
                  <c:v>672654.887965</c:v>
                </c:pt>
                <c:pt idx="15138">
                  <c:v>673048.7715600001</c:v>
                </c:pt>
                <c:pt idx="15139">
                  <c:v>673442.8088950001</c:v>
                </c:pt>
                <c:pt idx="15140">
                  <c:v>673836.9999999998</c:v>
                </c:pt>
                <c:pt idx="15141">
                  <c:v>674231.3449049998</c:v>
                </c:pt>
                <c:pt idx="15142">
                  <c:v>674625.84364</c:v>
                </c:pt>
                <c:pt idx="15143">
                  <c:v>675020.496235</c:v>
                </c:pt>
                <c:pt idx="15144">
                  <c:v>675415.3027199998</c:v>
                </c:pt>
                <c:pt idx="15145">
                  <c:v>675810.2631250002</c:v>
                </c:pt>
                <c:pt idx="15146">
                  <c:v>676205.37748</c:v>
                </c:pt>
                <c:pt idx="15147">
                  <c:v>676600.6458149999</c:v>
                </c:pt>
                <c:pt idx="15148">
                  <c:v>676996.0681599998</c:v>
                </c:pt>
                <c:pt idx="15149">
                  <c:v>677391.6445450002</c:v>
                </c:pt>
                <c:pt idx="15150">
                  <c:v>677787.375</c:v>
                </c:pt>
                <c:pt idx="15151">
                  <c:v>678183.259555</c:v>
                </c:pt>
                <c:pt idx="15152">
                  <c:v>678579.2982400003</c:v>
                </c:pt>
                <c:pt idx="15153">
                  <c:v>678975.491085</c:v>
                </c:pt>
                <c:pt idx="15154">
                  <c:v>679371.83812</c:v>
                </c:pt>
                <c:pt idx="15155">
                  <c:v>679768.3393749997</c:v>
                </c:pt>
                <c:pt idx="15156">
                  <c:v>680164.9948800001</c:v>
                </c:pt>
                <c:pt idx="15157">
                  <c:v>680561.804665</c:v>
                </c:pt>
                <c:pt idx="15158">
                  <c:v>680958.76876</c:v>
                </c:pt>
                <c:pt idx="15159">
                  <c:v>681355.8871950001</c:v>
                </c:pt>
                <c:pt idx="15160">
                  <c:v>681753.1600000001</c:v>
                </c:pt>
                <c:pt idx="15161">
                  <c:v>682150.5872049999</c:v>
                </c:pt>
                <c:pt idx="15162">
                  <c:v>682548.1688399998</c:v>
                </c:pt>
                <c:pt idx="15163">
                  <c:v>682945.9049350002</c:v>
                </c:pt>
                <c:pt idx="15164">
                  <c:v>683343.7955200002</c:v>
                </c:pt>
                <c:pt idx="15165">
                  <c:v>683741.840625</c:v>
                </c:pt>
                <c:pt idx="15166">
                  <c:v>684140.04028</c:v>
                </c:pt>
                <c:pt idx="15167">
                  <c:v>684538.394515</c:v>
                </c:pt>
                <c:pt idx="15168">
                  <c:v>684936.90336</c:v>
                </c:pt>
                <c:pt idx="15169">
                  <c:v>685335.5668449999</c:v>
                </c:pt>
                <c:pt idx="15170">
                  <c:v>685734.3850000001</c:v>
                </c:pt>
                <c:pt idx="15171">
                  <c:v>686133.357855</c:v>
                </c:pt>
                <c:pt idx="15172">
                  <c:v>686532.4854400001</c:v>
                </c:pt>
                <c:pt idx="15173">
                  <c:v>686931.7677849998</c:v>
                </c:pt>
                <c:pt idx="15174">
                  <c:v>687331.20492</c:v>
                </c:pt>
                <c:pt idx="15175">
                  <c:v>687730.796875</c:v>
                </c:pt>
                <c:pt idx="15176">
                  <c:v>688130.54368</c:v>
                </c:pt>
                <c:pt idx="15177">
                  <c:v>688530.4453650002</c:v>
                </c:pt>
                <c:pt idx="15178">
                  <c:v>688930.5019599999</c:v>
                </c:pt>
                <c:pt idx="15179">
                  <c:v>689330.713495</c:v>
                </c:pt>
                <c:pt idx="15180">
                  <c:v>689731.0799999998</c:v>
                </c:pt>
                <c:pt idx="15181">
                  <c:v>690131.601505</c:v>
                </c:pt>
                <c:pt idx="15182">
                  <c:v>690532.2780399999</c:v>
                </c:pt>
                <c:pt idx="15183">
                  <c:v>690933.1096349999</c:v>
                </c:pt>
                <c:pt idx="15184">
                  <c:v>691334.0963200001</c:v>
                </c:pt>
                <c:pt idx="15185">
                  <c:v>691735.2381250001</c:v>
                </c:pt>
                <c:pt idx="15186">
                  <c:v>692136.5350800001</c:v>
                </c:pt>
                <c:pt idx="15187">
                  <c:v>692537.9872149997</c:v>
                </c:pt>
                <c:pt idx="15188">
                  <c:v>692939.5945600001</c:v>
                </c:pt>
                <c:pt idx="15189">
                  <c:v>693341.3571450001</c:v>
                </c:pt>
                <c:pt idx="15190">
                  <c:v>693743.2749999999</c:v>
                </c:pt>
                <c:pt idx="15191">
                  <c:v>694145.3481549998</c:v>
                </c:pt>
                <c:pt idx="15192">
                  <c:v>694547.5766400001</c:v>
                </c:pt>
                <c:pt idx="15193">
                  <c:v>694949.960485</c:v>
                </c:pt>
                <c:pt idx="15194">
                  <c:v>695352.4997199997</c:v>
                </c:pt>
                <c:pt idx="15195">
                  <c:v>695755.1943750001</c:v>
                </c:pt>
                <c:pt idx="15196">
                  <c:v>696158.04448</c:v>
                </c:pt>
                <c:pt idx="15197">
                  <c:v>696561.050065</c:v>
                </c:pt>
                <c:pt idx="15198">
                  <c:v>696964.2111599998</c:v>
                </c:pt>
                <c:pt idx="15199">
                  <c:v>697367.527795</c:v>
                </c:pt>
                <c:pt idx="15200">
                  <c:v>697771.0</c:v>
                </c:pt>
                <c:pt idx="15201">
                  <c:v>698174.6278049999</c:v>
                </c:pt>
                <c:pt idx="15202">
                  <c:v>698578.4112400002</c:v>
                </c:pt>
                <c:pt idx="15203">
                  <c:v>698982.3503350001</c:v>
                </c:pt>
                <c:pt idx="15204">
                  <c:v>699386.4451199999</c:v>
                </c:pt>
                <c:pt idx="15205">
                  <c:v>699790.6956249999</c:v>
                </c:pt>
                <c:pt idx="15206">
                  <c:v>700195.1018800002</c:v>
                </c:pt>
                <c:pt idx="15207">
                  <c:v>700599.6639149999</c:v>
                </c:pt>
                <c:pt idx="15208">
                  <c:v>701004.3817599998</c:v>
                </c:pt>
                <c:pt idx="15209">
                  <c:v>701409.255445</c:v>
                </c:pt>
                <c:pt idx="15210">
                  <c:v>701814.285</c:v>
                </c:pt>
                <c:pt idx="15211">
                  <c:v>702219.470455</c:v>
                </c:pt>
                <c:pt idx="15212">
                  <c:v>702624.8118399999</c:v>
                </c:pt>
                <c:pt idx="15213">
                  <c:v>703030.309185</c:v>
                </c:pt>
                <c:pt idx="15214">
                  <c:v>703435.9625200001</c:v>
                </c:pt>
                <c:pt idx="15215">
                  <c:v>703841.771875</c:v>
                </c:pt>
                <c:pt idx="15216">
                  <c:v>704247.7372799998</c:v>
                </c:pt>
                <c:pt idx="15217">
                  <c:v>704653.858765</c:v>
                </c:pt>
                <c:pt idx="15218">
                  <c:v>705060.13636</c:v>
                </c:pt>
                <c:pt idx="15219">
                  <c:v>705466.5700949999</c:v>
                </c:pt>
                <c:pt idx="15220">
                  <c:v>705873.16</c:v>
                </c:pt>
                <c:pt idx="15221">
                  <c:v>706279.906105</c:v>
                </c:pt>
                <c:pt idx="15222">
                  <c:v>706686.80844</c:v>
                </c:pt>
                <c:pt idx="15223">
                  <c:v>707093.8670349999</c:v>
                </c:pt>
                <c:pt idx="15224">
                  <c:v>707501.08192</c:v>
                </c:pt>
                <c:pt idx="15225">
                  <c:v>707908.453125</c:v>
                </c:pt>
                <c:pt idx="15226">
                  <c:v>708315.98068</c:v>
                </c:pt>
                <c:pt idx="15227">
                  <c:v>708723.6646150002</c:v>
                </c:pt>
                <c:pt idx="15228">
                  <c:v>709131.5049599999</c:v>
                </c:pt>
                <c:pt idx="15229">
                  <c:v>709539.5017449999</c:v>
                </c:pt>
                <c:pt idx="15230">
                  <c:v>709947.655</c:v>
                </c:pt>
                <c:pt idx="15231">
                  <c:v>710355.9647550001</c:v>
                </c:pt>
                <c:pt idx="15232">
                  <c:v>710764.4310399999</c:v>
                </c:pt>
                <c:pt idx="15233">
                  <c:v>711173.0538849998</c:v>
                </c:pt>
                <c:pt idx="15234">
                  <c:v>711581.8333200001</c:v>
                </c:pt>
                <c:pt idx="15235">
                  <c:v>711990.769375</c:v>
                </c:pt>
                <c:pt idx="15236">
                  <c:v>712399.86208</c:v>
                </c:pt>
                <c:pt idx="15237">
                  <c:v>712809.1114649998</c:v>
                </c:pt>
                <c:pt idx="15238">
                  <c:v>713218.5175600001</c:v>
                </c:pt>
                <c:pt idx="15239">
                  <c:v>713628.080395</c:v>
                </c:pt>
                <c:pt idx="15240">
                  <c:v>714037.7999999999</c:v>
                </c:pt>
                <c:pt idx="15241">
                  <c:v>714447.6764049998</c:v>
                </c:pt>
                <c:pt idx="15242">
                  <c:v>714857.70964</c:v>
                </c:pt>
                <c:pt idx="15243">
                  <c:v>715267.899735</c:v>
                </c:pt>
                <c:pt idx="15244">
                  <c:v>715678.2467199999</c:v>
                </c:pt>
                <c:pt idx="15245">
                  <c:v>716088.7506250001</c:v>
                </c:pt>
                <c:pt idx="15246">
                  <c:v>716499.4114800001</c:v>
                </c:pt>
                <c:pt idx="15247">
                  <c:v>716910.2293149999</c:v>
                </c:pt>
                <c:pt idx="15248">
                  <c:v>717321.2041599998</c:v>
                </c:pt>
                <c:pt idx="15249">
                  <c:v>717732.336045</c:v>
                </c:pt>
                <c:pt idx="15250">
                  <c:v>718143.625</c:v>
                </c:pt>
                <c:pt idx="15251">
                  <c:v>718555.071055</c:v>
                </c:pt>
                <c:pt idx="15252">
                  <c:v>718966.6742400002</c:v>
                </c:pt>
                <c:pt idx="15253">
                  <c:v>719378.434585</c:v>
                </c:pt>
                <c:pt idx="15254">
                  <c:v>719790.35212</c:v>
                </c:pt>
                <c:pt idx="15255">
                  <c:v>720202.4268749999</c:v>
                </c:pt>
                <c:pt idx="15256">
                  <c:v>720614.6588800002</c:v>
                </c:pt>
                <c:pt idx="15257">
                  <c:v>721027.048165</c:v>
                </c:pt>
                <c:pt idx="15258">
                  <c:v>721439.59476</c:v>
                </c:pt>
                <c:pt idx="15259">
                  <c:v>721852.2986950001</c:v>
                </c:pt>
                <c:pt idx="15260">
                  <c:v>722265.16</c:v>
                </c:pt>
                <c:pt idx="15261">
                  <c:v>722678.178705</c:v>
                </c:pt>
                <c:pt idx="15262">
                  <c:v>723091.3548399999</c:v>
                </c:pt>
                <c:pt idx="15263">
                  <c:v>723504.6884350001</c:v>
                </c:pt>
                <c:pt idx="15264">
                  <c:v>723918.17952</c:v>
                </c:pt>
                <c:pt idx="15265">
                  <c:v>724331.8281249999</c:v>
                </c:pt>
                <c:pt idx="15266">
                  <c:v>724745.6342799999</c:v>
                </c:pt>
                <c:pt idx="15267">
                  <c:v>725159.5980150001</c:v>
                </c:pt>
                <c:pt idx="15268">
                  <c:v>725573.7193600001</c:v>
                </c:pt>
                <c:pt idx="15269">
                  <c:v>725987.998345</c:v>
                </c:pt>
                <c:pt idx="15270">
                  <c:v>726402.435</c:v>
                </c:pt>
                <c:pt idx="15271">
                  <c:v>726817.0293550001</c:v>
                </c:pt>
                <c:pt idx="15272">
                  <c:v>727231.7814399999</c:v>
                </c:pt>
                <c:pt idx="15273">
                  <c:v>727646.6912849998</c:v>
                </c:pt>
                <c:pt idx="15274">
                  <c:v>728061.7589199999</c:v>
                </c:pt>
                <c:pt idx="15275">
                  <c:v>728476.984375</c:v>
                </c:pt>
                <c:pt idx="15276">
                  <c:v>728892.3676799999</c:v>
                </c:pt>
                <c:pt idx="15277">
                  <c:v>729307.9088650001</c:v>
                </c:pt>
                <c:pt idx="15278">
                  <c:v>729723.6079599999</c:v>
                </c:pt>
                <c:pt idx="15279">
                  <c:v>730139.464995</c:v>
                </c:pt>
                <c:pt idx="15280">
                  <c:v>730555.48</c:v>
                </c:pt>
                <c:pt idx="15281">
                  <c:v>730971.6530050001</c:v>
                </c:pt>
                <c:pt idx="15282">
                  <c:v>731387.9840399999</c:v>
                </c:pt>
                <c:pt idx="15283">
                  <c:v>731804.473135</c:v>
                </c:pt>
                <c:pt idx="15284">
                  <c:v>732221.1203200002</c:v>
                </c:pt>
                <c:pt idx="15285">
                  <c:v>732637.9256250001</c:v>
                </c:pt>
                <c:pt idx="15286">
                  <c:v>733054.88908</c:v>
                </c:pt>
                <c:pt idx="15287">
                  <c:v>733472.0107149999</c:v>
                </c:pt>
                <c:pt idx="15288">
                  <c:v>733889.2905600001</c:v>
                </c:pt>
                <c:pt idx="15289">
                  <c:v>734306.728645</c:v>
                </c:pt>
                <c:pt idx="15290">
                  <c:v>734724.325</c:v>
                </c:pt>
                <c:pt idx="15291">
                  <c:v>735142.0796549999</c:v>
                </c:pt>
                <c:pt idx="15292">
                  <c:v>735559.9926400002</c:v>
                </c:pt>
                <c:pt idx="15293">
                  <c:v>735978.063985</c:v>
                </c:pt>
                <c:pt idx="15294">
                  <c:v>736396.29372</c:v>
                </c:pt>
                <c:pt idx="15295">
                  <c:v>736814.6818750001</c:v>
                </c:pt>
                <c:pt idx="15296">
                  <c:v>737233.2284799999</c:v>
                </c:pt>
                <c:pt idx="15297">
                  <c:v>737651.933565</c:v>
                </c:pt>
                <c:pt idx="15298">
                  <c:v>738070.7971599998</c:v>
                </c:pt>
                <c:pt idx="15299">
                  <c:v>738489.819295</c:v>
                </c:pt>
                <c:pt idx="15300">
                  <c:v>738909.0</c:v>
                </c:pt>
                <c:pt idx="15301">
                  <c:v>739328.339305</c:v>
                </c:pt>
                <c:pt idx="15302">
                  <c:v>739747.8372400003</c:v>
                </c:pt>
                <c:pt idx="15303">
                  <c:v>740167.4938350001</c:v>
                </c:pt>
                <c:pt idx="15304">
                  <c:v>740587.3091199999</c:v>
                </c:pt>
                <c:pt idx="15305">
                  <c:v>741007.283125</c:v>
                </c:pt>
                <c:pt idx="15306">
                  <c:v>741427.4158800002</c:v>
                </c:pt>
                <c:pt idx="15307">
                  <c:v>741847.707415</c:v>
                </c:pt>
                <c:pt idx="15308">
                  <c:v>742268.15776</c:v>
                </c:pt>
                <c:pt idx="15309">
                  <c:v>742688.7669450002</c:v>
                </c:pt>
                <c:pt idx="15310">
                  <c:v>743109.5350000001</c:v>
                </c:pt>
                <c:pt idx="15311">
                  <c:v>743530.461955</c:v>
                </c:pt>
                <c:pt idx="15312">
                  <c:v>743951.5478399999</c:v>
                </c:pt>
                <c:pt idx="15313">
                  <c:v>744372.792685</c:v>
                </c:pt>
                <c:pt idx="15314">
                  <c:v>744794.19652</c:v>
                </c:pt>
                <c:pt idx="15315">
                  <c:v>745215.7593749999</c:v>
                </c:pt>
                <c:pt idx="15316">
                  <c:v>745637.4812799997</c:v>
                </c:pt>
                <c:pt idx="15317">
                  <c:v>746059.3622650001</c:v>
                </c:pt>
                <c:pt idx="15318">
                  <c:v>746481.4023600001</c:v>
                </c:pt>
                <c:pt idx="15319">
                  <c:v>746903.6015949999</c:v>
                </c:pt>
                <c:pt idx="15320">
                  <c:v>747325.9600000001</c:v>
                </c:pt>
                <c:pt idx="15321">
                  <c:v>747748.4776049999</c:v>
                </c:pt>
                <c:pt idx="15322">
                  <c:v>748171.1544400001</c:v>
                </c:pt>
                <c:pt idx="15323">
                  <c:v>748593.9905349998</c:v>
                </c:pt>
                <c:pt idx="15324">
                  <c:v>749016.9859200001</c:v>
                </c:pt>
                <c:pt idx="15325">
                  <c:v>749440.140625</c:v>
                </c:pt>
                <c:pt idx="15326">
                  <c:v>749863.45468</c:v>
                </c:pt>
                <c:pt idx="15327">
                  <c:v>750286.9281150001</c:v>
                </c:pt>
                <c:pt idx="15328">
                  <c:v>750710.56096</c:v>
                </c:pt>
                <c:pt idx="15329">
                  <c:v>751134.3532449999</c:v>
                </c:pt>
                <c:pt idx="15330">
                  <c:v>751558.3049999998</c:v>
                </c:pt>
                <c:pt idx="15331">
                  <c:v>751982.4162550002</c:v>
                </c:pt>
                <c:pt idx="15332">
                  <c:v>752406.68704</c:v>
                </c:pt>
                <c:pt idx="15333">
                  <c:v>752831.117385</c:v>
                </c:pt>
                <c:pt idx="15334">
                  <c:v>753255.7073200002</c:v>
                </c:pt>
                <c:pt idx="15335">
                  <c:v>753680.4568750001</c:v>
                </c:pt>
                <c:pt idx="15336">
                  <c:v>754105.3660799998</c:v>
                </c:pt>
                <c:pt idx="15337">
                  <c:v>754530.4349649998</c:v>
                </c:pt>
                <c:pt idx="15338">
                  <c:v>754955.6635600001</c:v>
                </c:pt>
                <c:pt idx="15339">
                  <c:v>755381.051895</c:v>
                </c:pt>
                <c:pt idx="15340">
                  <c:v>755806.5999999999</c:v>
                </c:pt>
                <c:pt idx="15341">
                  <c:v>756232.3079049999</c:v>
                </c:pt>
                <c:pt idx="15342">
                  <c:v>756658.17564</c:v>
                </c:pt>
                <c:pt idx="15343">
                  <c:v>757084.2032349999</c:v>
                </c:pt>
                <c:pt idx="15344">
                  <c:v>757510.3907199998</c:v>
                </c:pt>
                <c:pt idx="15345">
                  <c:v>757936.7381249999</c:v>
                </c:pt>
                <c:pt idx="15346">
                  <c:v>758363.24548</c:v>
                </c:pt>
                <c:pt idx="15347">
                  <c:v>758789.9128149999</c:v>
                </c:pt>
                <c:pt idx="15348">
                  <c:v>759216.7401599998</c:v>
                </c:pt>
                <c:pt idx="15349">
                  <c:v>759643.727545</c:v>
                </c:pt>
                <c:pt idx="15350">
                  <c:v>760070.875</c:v>
                </c:pt>
                <c:pt idx="15351">
                  <c:v>760498.1825549998</c:v>
                </c:pt>
                <c:pt idx="15352">
                  <c:v>760925.6502400003</c:v>
                </c:pt>
                <c:pt idx="15353">
                  <c:v>761353.278085</c:v>
                </c:pt>
                <c:pt idx="15354">
                  <c:v>761781.06612</c:v>
                </c:pt>
                <c:pt idx="15355">
                  <c:v>762209.014375</c:v>
                </c:pt>
                <c:pt idx="15356">
                  <c:v>762637.1228800003</c:v>
                </c:pt>
                <c:pt idx="15357">
                  <c:v>763065.3916650001</c:v>
                </c:pt>
                <c:pt idx="15358">
                  <c:v>763493.8207599999</c:v>
                </c:pt>
                <c:pt idx="15359">
                  <c:v>763922.4101950002</c:v>
                </c:pt>
                <c:pt idx="15360">
                  <c:v>764351.16</c:v>
                </c:pt>
                <c:pt idx="15361">
                  <c:v>764780.070205</c:v>
                </c:pt>
                <c:pt idx="15362">
                  <c:v>765209.1408399998</c:v>
                </c:pt>
                <c:pt idx="15363">
                  <c:v>765638.3719350001</c:v>
                </c:pt>
                <c:pt idx="15364">
                  <c:v>766067.7635200002</c:v>
                </c:pt>
                <c:pt idx="15365">
                  <c:v>766497.3156249999</c:v>
                </c:pt>
                <c:pt idx="15366">
                  <c:v>766927.0282799999</c:v>
                </c:pt>
                <c:pt idx="15367">
                  <c:v>767356.901515</c:v>
                </c:pt>
                <c:pt idx="15368">
                  <c:v>767786.9353600001</c:v>
                </c:pt>
                <c:pt idx="15369">
                  <c:v>768217.1298449998</c:v>
                </c:pt>
                <c:pt idx="15370">
                  <c:v>768647.4850000001</c:v>
                </c:pt>
                <c:pt idx="15371">
                  <c:v>769078.0008550001</c:v>
                </c:pt>
                <c:pt idx="15372">
                  <c:v>769508.6774399999</c:v>
                </c:pt>
                <c:pt idx="15373">
                  <c:v>769939.5147849999</c:v>
                </c:pt>
                <c:pt idx="15374">
                  <c:v>770370.5129200001</c:v>
                </c:pt>
                <c:pt idx="15375">
                  <c:v>770801.671875</c:v>
                </c:pt>
                <c:pt idx="15376">
                  <c:v>771232.9916799999</c:v>
                </c:pt>
                <c:pt idx="15377">
                  <c:v>771664.4723650003</c:v>
                </c:pt>
                <c:pt idx="15378">
                  <c:v>772096.11396</c:v>
                </c:pt>
                <c:pt idx="15379">
                  <c:v>772527.9164949999</c:v>
                </c:pt>
                <c:pt idx="15380">
                  <c:v>772959.8799999999</c:v>
                </c:pt>
                <c:pt idx="15381">
                  <c:v>773392.0045050002</c:v>
                </c:pt>
                <c:pt idx="15382">
                  <c:v>773824.2900399999</c:v>
                </c:pt>
                <c:pt idx="15383">
                  <c:v>774256.7366349999</c:v>
                </c:pt>
                <c:pt idx="15384">
                  <c:v>774689.3443200001</c:v>
                </c:pt>
                <c:pt idx="15385">
                  <c:v>775122.113125</c:v>
                </c:pt>
                <c:pt idx="15386">
                  <c:v>775555.04308</c:v>
                </c:pt>
                <c:pt idx="15387">
                  <c:v>775988.134215</c:v>
                </c:pt>
                <c:pt idx="15388">
                  <c:v>776421.3865600001</c:v>
                </c:pt>
                <c:pt idx="15389">
                  <c:v>776854.800145</c:v>
                </c:pt>
                <c:pt idx="15390">
                  <c:v>777288.3749999999</c:v>
                </c:pt>
                <c:pt idx="15391">
                  <c:v>777722.1111549998</c:v>
                </c:pt>
                <c:pt idx="15392">
                  <c:v>778156.00864</c:v>
                </c:pt>
                <c:pt idx="15393">
                  <c:v>778590.067485</c:v>
                </c:pt>
                <c:pt idx="15394">
                  <c:v>779024.2877199998</c:v>
                </c:pt>
                <c:pt idx="15395">
                  <c:v>779458.669375</c:v>
                </c:pt>
                <c:pt idx="15396">
                  <c:v>779893.21248</c:v>
                </c:pt>
                <c:pt idx="15397">
                  <c:v>780327.917065</c:v>
                </c:pt>
                <c:pt idx="15398">
                  <c:v>780762.7831599999</c:v>
                </c:pt>
                <c:pt idx="15399">
                  <c:v>781197.810795</c:v>
                </c:pt>
                <c:pt idx="15400">
                  <c:v>781633.0</c:v>
                </c:pt>
                <c:pt idx="15401">
                  <c:v>782068.3508049998</c:v>
                </c:pt>
                <c:pt idx="15402">
                  <c:v>782503.8632400002</c:v>
                </c:pt>
                <c:pt idx="15403">
                  <c:v>782939.537335</c:v>
                </c:pt>
                <c:pt idx="15404">
                  <c:v>783375.37312</c:v>
                </c:pt>
                <c:pt idx="15405">
                  <c:v>783811.3706249999</c:v>
                </c:pt>
                <c:pt idx="15406">
                  <c:v>784247.5298800002</c:v>
                </c:pt>
                <c:pt idx="15407">
                  <c:v>784683.850915</c:v>
                </c:pt>
                <c:pt idx="15408">
                  <c:v>785120.33376</c:v>
                </c:pt>
                <c:pt idx="15409">
                  <c:v>785556.9784450002</c:v>
                </c:pt>
                <c:pt idx="15410">
                  <c:v>785993.785</c:v>
                </c:pt>
                <c:pt idx="15411">
                  <c:v>786430.753455</c:v>
                </c:pt>
                <c:pt idx="15412">
                  <c:v>786867.8838399999</c:v>
                </c:pt>
                <c:pt idx="15413">
                  <c:v>787305.176185</c:v>
                </c:pt>
                <c:pt idx="15414">
                  <c:v>787742.63052</c:v>
                </c:pt>
                <c:pt idx="15415">
                  <c:v>788180.2468750001</c:v>
                </c:pt>
                <c:pt idx="15416">
                  <c:v>788618.0252799997</c:v>
                </c:pt>
                <c:pt idx="15417">
                  <c:v>789055.965765</c:v>
                </c:pt>
                <c:pt idx="15418">
                  <c:v>789494.06836</c:v>
                </c:pt>
                <c:pt idx="15419">
                  <c:v>789932.3330949999</c:v>
                </c:pt>
                <c:pt idx="15420">
                  <c:v>790370.76</c:v>
                </c:pt>
                <c:pt idx="15421">
                  <c:v>790809.349105</c:v>
                </c:pt>
                <c:pt idx="15422">
                  <c:v>791248.1004400001</c:v>
                </c:pt>
                <c:pt idx="15423">
                  <c:v>791687.0140349999</c:v>
                </c:pt>
                <c:pt idx="15424">
                  <c:v>792126.0899200002</c:v>
                </c:pt>
                <c:pt idx="15425">
                  <c:v>792565.328125</c:v>
                </c:pt>
                <c:pt idx="15426">
                  <c:v>793004.7286799998</c:v>
                </c:pt>
                <c:pt idx="15427">
                  <c:v>793444.2916150002</c:v>
                </c:pt>
                <c:pt idx="15428">
                  <c:v>793884.01696</c:v>
                </c:pt>
                <c:pt idx="15429">
                  <c:v>794323.9047450001</c:v>
                </c:pt>
                <c:pt idx="15430">
                  <c:v>794763.955</c:v>
                </c:pt>
                <c:pt idx="15431">
                  <c:v>795204.1677550002</c:v>
                </c:pt>
                <c:pt idx="15432">
                  <c:v>795644.54304</c:v>
                </c:pt>
                <c:pt idx="15433">
                  <c:v>796085.080885</c:v>
                </c:pt>
                <c:pt idx="15434">
                  <c:v>796525.7813200002</c:v>
                </c:pt>
                <c:pt idx="15435">
                  <c:v>796966.6443750001</c:v>
                </c:pt>
                <c:pt idx="15436">
                  <c:v>797407.67008</c:v>
                </c:pt>
                <c:pt idx="15437">
                  <c:v>797848.8584649998</c:v>
                </c:pt>
                <c:pt idx="15438">
                  <c:v>798290.2095600001</c:v>
                </c:pt>
                <c:pt idx="15439">
                  <c:v>798731.7233950001</c:v>
                </c:pt>
                <c:pt idx="15440">
                  <c:v>799173.3999999999</c:v>
                </c:pt>
                <c:pt idx="15441">
                  <c:v>799615.2394049998</c:v>
                </c:pt>
                <c:pt idx="15442">
                  <c:v>800057.2416400001</c:v>
                </c:pt>
                <c:pt idx="15443">
                  <c:v>800499.406735</c:v>
                </c:pt>
                <c:pt idx="15444">
                  <c:v>800941.7347199998</c:v>
                </c:pt>
                <c:pt idx="15445">
                  <c:v>801384.2256250002</c:v>
                </c:pt>
                <c:pt idx="15446">
                  <c:v>801826.8794800001</c:v>
                </c:pt>
                <c:pt idx="15447">
                  <c:v>802269.696315</c:v>
                </c:pt>
                <c:pt idx="15448">
                  <c:v>802712.6761599997</c:v>
                </c:pt>
                <c:pt idx="15449">
                  <c:v>803155.8190450001</c:v>
                </c:pt>
                <c:pt idx="15450">
                  <c:v>803599.125</c:v>
                </c:pt>
                <c:pt idx="15451">
                  <c:v>804042.594055</c:v>
                </c:pt>
                <c:pt idx="15452">
                  <c:v>804486.2262400001</c:v>
                </c:pt>
                <c:pt idx="15453">
                  <c:v>804930.0215850001</c:v>
                </c:pt>
                <c:pt idx="15454">
                  <c:v>805373.98012</c:v>
                </c:pt>
                <c:pt idx="15455">
                  <c:v>805818.1018749998</c:v>
                </c:pt>
                <c:pt idx="15456">
                  <c:v>806262.3868800002</c:v>
                </c:pt>
                <c:pt idx="15457">
                  <c:v>806706.8351649999</c:v>
                </c:pt>
                <c:pt idx="15458">
                  <c:v>807151.4467599998</c:v>
                </c:pt>
                <c:pt idx="15459">
                  <c:v>807596.2216950002</c:v>
                </c:pt>
                <c:pt idx="15460">
                  <c:v>808041.1600000001</c:v>
                </c:pt>
                <c:pt idx="15461">
                  <c:v>808486.261705</c:v>
                </c:pt>
                <c:pt idx="15462">
                  <c:v>808931.5268399998</c:v>
                </c:pt>
                <c:pt idx="15463">
                  <c:v>809376.9554350002</c:v>
                </c:pt>
                <c:pt idx="15464">
                  <c:v>809822.54752</c:v>
                </c:pt>
                <c:pt idx="15465">
                  <c:v>810268.3031249999</c:v>
                </c:pt>
                <c:pt idx="15466">
                  <c:v>810714.2222799998</c:v>
                </c:pt>
                <c:pt idx="15467">
                  <c:v>811160.305015</c:v>
                </c:pt>
                <c:pt idx="15468">
                  <c:v>811606.55136</c:v>
                </c:pt>
                <c:pt idx="15469">
                  <c:v>812052.9613449998</c:v>
                </c:pt>
                <c:pt idx="15470">
                  <c:v>812499.5350000001</c:v>
                </c:pt>
                <c:pt idx="15471">
                  <c:v>812946.272355</c:v>
                </c:pt>
                <c:pt idx="15472">
                  <c:v>813393.1734399999</c:v>
                </c:pt>
                <c:pt idx="15473">
                  <c:v>813840.2382849997</c:v>
                </c:pt>
                <c:pt idx="15474">
                  <c:v>814287.4669200002</c:v>
                </c:pt>
                <c:pt idx="15475">
                  <c:v>814734.859375</c:v>
                </c:pt>
                <c:pt idx="15476">
                  <c:v>815182.41568</c:v>
                </c:pt>
                <c:pt idx="15477">
                  <c:v>815630.1358650001</c:v>
                </c:pt>
                <c:pt idx="15478">
                  <c:v>816078.01996</c:v>
                </c:pt>
                <c:pt idx="15479">
                  <c:v>816526.0679949998</c:v>
                </c:pt>
                <c:pt idx="15480">
                  <c:v>816974.2799999999</c:v>
                </c:pt>
                <c:pt idx="15481">
                  <c:v>817422.6560050001</c:v>
                </c:pt>
                <c:pt idx="15482">
                  <c:v>817871.19604</c:v>
                </c:pt>
                <c:pt idx="15483">
                  <c:v>818319.9001349999</c:v>
                </c:pt>
                <c:pt idx="15484">
                  <c:v>818768.7683200001</c:v>
                </c:pt>
                <c:pt idx="15485">
                  <c:v>819217.8006250001</c:v>
                </c:pt>
                <c:pt idx="15486">
                  <c:v>819666.99708</c:v>
                </c:pt>
                <c:pt idx="15487">
                  <c:v>820116.3577149998</c:v>
                </c:pt>
                <c:pt idx="15488">
                  <c:v>820565.8825600002</c:v>
                </c:pt>
                <c:pt idx="15489">
                  <c:v>821015.571645</c:v>
                </c:pt>
                <c:pt idx="15490">
                  <c:v>821465.4249999998</c:v>
                </c:pt>
                <c:pt idx="15491">
                  <c:v>821915.4426549999</c:v>
                </c:pt>
                <c:pt idx="15492">
                  <c:v>822365.62464</c:v>
                </c:pt>
                <c:pt idx="15493">
                  <c:v>822815.970985</c:v>
                </c:pt>
                <c:pt idx="15494">
                  <c:v>823266.4817199998</c:v>
                </c:pt>
                <c:pt idx="15495">
                  <c:v>823717.1568750001</c:v>
                </c:pt>
                <c:pt idx="15496">
                  <c:v>824167.99648</c:v>
                </c:pt>
                <c:pt idx="15497">
                  <c:v>824619.0005649999</c:v>
                </c:pt>
                <c:pt idx="15498">
                  <c:v>825070.1691599997</c:v>
                </c:pt>
                <c:pt idx="15499">
                  <c:v>825521.502295</c:v>
                </c:pt>
                <c:pt idx="15500">
                  <c:v>825973.0</c:v>
                </c:pt>
                <c:pt idx="15501">
                  <c:v>826424.6623049999</c:v>
                </c:pt>
                <c:pt idx="15502">
                  <c:v>826876.4892400003</c:v>
                </c:pt>
                <c:pt idx="15503">
                  <c:v>827328.480835</c:v>
                </c:pt>
                <c:pt idx="15504">
                  <c:v>827780.63712</c:v>
                </c:pt>
                <c:pt idx="15505">
                  <c:v>828232.9581249999</c:v>
                </c:pt>
                <c:pt idx="15506">
                  <c:v>828685.4438800003</c:v>
                </c:pt>
                <c:pt idx="15507">
                  <c:v>829138.0944149999</c:v>
                </c:pt>
                <c:pt idx="15508">
                  <c:v>829590.90976</c:v>
                </c:pt>
                <c:pt idx="15509">
                  <c:v>830043.8899450002</c:v>
                </c:pt>
                <c:pt idx="15510">
                  <c:v>830497.0350000001</c:v>
                </c:pt>
                <c:pt idx="15511">
                  <c:v>830950.3449549999</c:v>
                </c:pt>
                <c:pt idx="15512">
                  <c:v>831403.8198399998</c:v>
                </c:pt>
                <c:pt idx="15513">
                  <c:v>831857.4596850001</c:v>
                </c:pt>
                <c:pt idx="15514">
                  <c:v>832311.26452</c:v>
                </c:pt>
                <c:pt idx="15515">
                  <c:v>832765.2343749999</c:v>
                </c:pt>
                <c:pt idx="15516">
                  <c:v>833219.3692799998</c:v>
                </c:pt>
                <c:pt idx="15517">
                  <c:v>833673.6692650001</c:v>
                </c:pt>
                <c:pt idx="15518">
                  <c:v>834128.1343599999</c:v>
                </c:pt>
                <c:pt idx="15519">
                  <c:v>834582.7645949998</c:v>
                </c:pt>
                <c:pt idx="15520">
                  <c:v>835037.5600000002</c:v>
                </c:pt>
                <c:pt idx="15521">
                  <c:v>835492.5206050001</c:v>
                </c:pt>
                <c:pt idx="15522">
                  <c:v>835947.64644</c:v>
                </c:pt>
                <c:pt idx="15523">
                  <c:v>836402.9375349998</c:v>
                </c:pt>
                <c:pt idx="15524">
                  <c:v>836858.39392</c:v>
                </c:pt>
                <c:pt idx="15525">
                  <c:v>837314.015625</c:v>
                </c:pt>
                <c:pt idx="15526">
                  <c:v>837769.8026800001</c:v>
                </c:pt>
                <c:pt idx="15527">
                  <c:v>838225.7551150003</c:v>
                </c:pt>
                <c:pt idx="15528">
                  <c:v>838681.87296</c:v>
                </c:pt>
                <c:pt idx="15529">
                  <c:v>839138.1562449998</c:v>
                </c:pt>
                <c:pt idx="15530">
                  <c:v>839594.6049999999</c:v>
                </c:pt>
                <c:pt idx="15531">
                  <c:v>840051.2192550002</c:v>
                </c:pt>
                <c:pt idx="15532">
                  <c:v>840507.99904</c:v>
                </c:pt>
                <c:pt idx="15533">
                  <c:v>840964.944385</c:v>
                </c:pt>
                <c:pt idx="15534">
                  <c:v>841422.0553200002</c:v>
                </c:pt>
                <c:pt idx="15535">
                  <c:v>841879.331875</c:v>
                </c:pt>
                <c:pt idx="15536">
                  <c:v>842336.7740799999</c:v>
                </c:pt>
                <c:pt idx="15537">
                  <c:v>842794.3819649998</c:v>
                </c:pt>
                <c:pt idx="15538">
                  <c:v>843252.1555600002</c:v>
                </c:pt>
                <c:pt idx="15539">
                  <c:v>843710.0948950001</c:v>
                </c:pt>
                <c:pt idx="15540">
                  <c:v>844168.1999999998</c:v>
                </c:pt>
                <c:pt idx="15541">
                  <c:v>844626.4709049999</c:v>
                </c:pt>
                <c:pt idx="15542">
                  <c:v>845084.9076400001</c:v>
                </c:pt>
                <c:pt idx="15543">
                  <c:v>845543.510235</c:v>
                </c:pt>
                <c:pt idx="15544">
                  <c:v>846002.2787199998</c:v>
                </c:pt>
                <c:pt idx="15545">
                  <c:v>846461.213125</c:v>
                </c:pt>
                <c:pt idx="15546">
                  <c:v>846920.3134799999</c:v>
                </c:pt>
                <c:pt idx="15547">
                  <c:v>847379.579815</c:v>
                </c:pt>
                <c:pt idx="15548">
                  <c:v>847839.0121599998</c:v>
                </c:pt>
                <c:pt idx="15549">
                  <c:v>848298.6105450001</c:v>
                </c:pt>
                <c:pt idx="15550">
                  <c:v>848758.375</c:v>
                </c:pt>
                <c:pt idx="15551">
                  <c:v>849218.305555</c:v>
                </c:pt>
                <c:pt idx="15552">
                  <c:v>849678.4022400002</c:v>
                </c:pt>
                <c:pt idx="15553">
                  <c:v>850138.6650850001</c:v>
                </c:pt>
                <c:pt idx="15554">
                  <c:v>850599.0941199999</c:v>
                </c:pt>
                <c:pt idx="15555">
                  <c:v>851059.689375</c:v>
                </c:pt>
                <c:pt idx="15556">
                  <c:v>851520.4508800001</c:v>
                </c:pt>
                <c:pt idx="15557">
                  <c:v>851981.378665</c:v>
                </c:pt>
                <c:pt idx="15558">
                  <c:v>852442.4727599999</c:v>
                </c:pt>
                <c:pt idx="15559">
                  <c:v>852903.7331950001</c:v>
                </c:pt>
                <c:pt idx="15560">
                  <c:v>853365.1600000001</c:v>
                </c:pt>
                <c:pt idx="15561">
                  <c:v>853826.7532049998</c:v>
                </c:pt>
                <c:pt idx="15562">
                  <c:v>854288.51284</c:v>
                </c:pt>
                <c:pt idx="15563">
                  <c:v>854750.4389350001</c:v>
                </c:pt>
                <c:pt idx="15564">
                  <c:v>855212.5315200002</c:v>
                </c:pt>
                <c:pt idx="15565">
                  <c:v>855674.7906249999</c:v>
                </c:pt>
                <c:pt idx="15566">
                  <c:v>856137.2162799997</c:v>
                </c:pt>
                <c:pt idx="15567">
                  <c:v>856599.8085150002</c:v>
                </c:pt>
                <c:pt idx="15568">
                  <c:v>857062.56736</c:v>
                </c:pt>
                <c:pt idx="15569">
                  <c:v>857525.4928449999</c:v>
                </c:pt>
                <c:pt idx="15570">
                  <c:v>857988.5850000001</c:v>
                </c:pt>
                <c:pt idx="15571">
                  <c:v>858451.843855</c:v>
                </c:pt>
                <c:pt idx="15572">
                  <c:v>858915.26944</c:v>
                </c:pt>
                <c:pt idx="15573">
                  <c:v>859378.8617849998</c:v>
                </c:pt>
                <c:pt idx="15574">
                  <c:v>859842.62092</c:v>
                </c:pt>
                <c:pt idx="15575">
                  <c:v>860306.546875</c:v>
                </c:pt>
                <c:pt idx="15576">
                  <c:v>860770.6396799999</c:v>
                </c:pt>
                <c:pt idx="15577">
                  <c:v>861234.8993650002</c:v>
                </c:pt>
                <c:pt idx="15578">
                  <c:v>861699.3259599999</c:v>
                </c:pt>
                <c:pt idx="15579">
                  <c:v>862163.9194949999</c:v>
                </c:pt>
                <c:pt idx="15580">
                  <c:v>862628.6799999998</c:v>
                </c:pt>
                <c:pt idx="15581">
                  <c:v>863093.6075050001</c:v>
                </c:pt>
                <c:pt idx="15582">
                  <c:v>863558.70204</c:v>
                </c:pt>
                <c:pt idx="15583">
                  <c:v>864023.9636349999</c:v>
                </c:pt>
                <c:pt idx="15584">
                  <c:v>864489.3923200002</c:v>
                </c:pt>
                <c:pt idx="15585">
                  <c:v>864954.9881250001</c:v>
                </c:pt>
                <c:pt idx="15586">
                  <c:v>865420.75108</c:v>
                </c:pt>
                <c:pt idx="15587">
                  <c:v>865886.681215</c:v>
                </c:pt>
                <c:pt idx="15588">
                  <c:v>866352.7785600002</c:v>
                </c:pt>
                <c:pt idx="15589">
                  <c:v>866819.0431450001</c:v>
                </c:pt>
                <c:pt idx="15590">
                  <c:v>867285.4749999999</c:v>
                </c:pt>
                <c:pt idx="15591">
                  <c:v>867752.0741549998</c:v>
                </c:pt>
                <c:pt idx="15592">
                  <c:v>868218.8406400001</c:v>
                </c:pt>
                <c:pt idx="15593">
                  <c:v>868685.7744850001</c:v>
                </c:pt>
                <c:pt idx="15594">
                  <c:v>869152.8757199998</c:v>
                </c:pt>
                <c:pt idx="15595">
                  <c:v>869620.144375</c:v>
                </c:pt>
                <c:pt idx="15596">
                  <c:v>870087.5804800001</c:v>
                </c:pt>
                <c:pt idx="15597">
                  <c:v>870555.184065</c:v>
                </c:pt>
                <c:pt idx="15598">
                  <c:v>871022.9551599998</c:v>
                </c:pt>
                <c:pt idx="15599">
                  <c:v>871490.893795</c:v>
                </c:pt>
                <c:pt idx="15600">
                  <c:v>871959.0</c:v>
                </c:pt>
                <c:pt idx="15601">
                  <c:v>872427.2738049999</c:v>
                </c:pt>
                <c:pt idx="15602">
                  <c:v>872895.7152400002</c:v>
                </c:pt>
                <c:pt idx="15603">
                  <c:v>873364.324335</c:v>
                </c:pt>
                <c:pt idx="15604">
                  <c:v>873833.10112</c:v>
                </c:pt>
                <c:pt idx="15605">
                  <c:v>874302.0456249999</c:v>
                </c:pt>
                <c:pt idx="15606">
                  <c:v>874771.1578800002</c:v>
                </c:pt>
                <c:pt idx="15607">
                  <c:v>875240.4379149999</c:v>
                </c:pt>
                <c:pt idx="15608">
                  <c:v>875709.8857599999</c:v>
                </c:pt>
                <c:pt idx="15609">
                  <c:v>876179.5014450003</c:v>
                </c:pt>
                <c:pt idx="15610">
                  <c:v>876649.285</c:v>
                </c:pt>
                <c:pt idx="15611">
                  <c:v>877119.2364549999</c:v>
                </c:pt>
                <c:pt idx="15612">
                  <c:v>877589.3558399999</c:v>
                </c:pt>
                <c:pt idx="15613">
                  <c:v>878059.6431850002</c:v>
                </c:pt>
                <c:pt idx="15614">
                  <c:v>878530.0985200001</c:v>
                </c:pt>
                <c:pt idx="15615">
                  <c:v>879000.7218749998</c:v>
                </c:pt>
                <c:pt idx="15616">
                  <c:v>879471.5132799998</c:v>
                </c:pt>
                <c:pt idx="15617">
                  <c:v>879942.4727650001</c:v>
                </c:pt>
                <c:pt idx="15618">
                  <c:v>880413.60036</c:v>
                </c:pt>
                <c:pt idx="15619">
                  <c:v>880884.8960949997</c:v>
                </c:pt>
                <c:pt idx="15620">
                  <c:v>881356.3600000001</c:v>
                </c:pt>
                <c:pt idx="15621">
                  <c:v>881827.992105</c:v>
                </c:pt>
                <c:pt idx="15622">
                  <c:v>882299.79244</c:v>
                </c:pt>
                <c:pt idx="15623">
                  <c:v>882771.7610349997</c:v>
                </c:pt>
                <c:pt idx="15624">
                  <c:v>883243.89792</c:v>
                </c:pt>
                <c:pt idx="15625">
                  <c:v>883716.203125</c:v>
                </c:pt>
                <c:pt idx="15626">
                  <c:v>884188.6766799999</c:v>
                </c:pt>
                <c:pt idx="15627">
                  <c:v>884661.3186150002</c:v>
                </c:pt>
                <c:pt idx="15628">
                  <c:v>885134.12896</c:v>
                </c:pt>
                <c:pt idx="15629">
                  <c:v>885607.1077449999</c:v>
                </c:pt>
                <c:pt idx="15630">
                  <c:v>886080.2549999999</c:v>
                </c:pt>
                <c:pt idx="15631">
                  <c:v>886553.5707550002</c:v>
                </c:pt>
                <c:pt idx="15632">
                  <c:v>887027.0550399999</c:v>
                </c:pt>
                <c:pt idx="15633">
                  <c:v>887500.7078849999</c:v>
                </c:pt>
                <c:pt idx="15634">
                  <c:v>887974.5293200002</c:v>
                </c:pt>
                <c:pt idx="15635">
                  <c:v>888448.5193750001</c:v>
                </c:pt>
                <c:pt idx="15636">
                  <c:v>888922.67808</c:v>
                </c:pt>
                <c:pt idx="15637">
                  <c:v>889397.0054649998</c:v>
                </c:pt>
                <c:pt idx="15638">
                  <c:v>889871.5015600001</c:v>
                </c:pt>
                <c:pt idx="15639">
                  <c:v>890346.1663950001</c:v>
                </c:pt>
                <c:pt idx="15640">
                  <c:v>890820.9999999999</c:v>
                </c:pt>
                <c:pt idx="15641">
                  <c:v>891296.0024049998</c:v>
                </c:pt>
                <c:pt idx="15642">
                  <c:v>891771.1736400002</c:v>
                </c:pt>
                <c:pt idx="15643">
                  <c:v>892246.5137349999</c:v>
                </c:pt>
                <c:pt idx="15644">
                  <c:v>892722.0227199998</c:v>
                </c:pt>
                <c:pt idx="15645">
                  <c:v>893197.7006250002</c:v>
                </c:pt>
                <c:pt idx="15646">
                  <c:v>893673.5474800001</c:v>
                </c:pt>
                <c:pt idx="15647">
                  <c:v>894149.563315</c:v>
                </c:pt>
                <c:pt idx="15648">
                  <c:v>894625.7481599998</c:v>
                </c:pt>
                <c:pt idx="15649">
                  <c:v>895102.1020450001</c:v>
                </c:pt>
                <c:pt idx="15650">
                  <c:v>895578.625</c:v>
                </c:pt>
                <c:pt idx="15651">
                  <c:v>896055.3170549999</c:v>
                </c:pt>
                <c:pt idx="15652">
                  <c:v>896532.1782400002</c:v>
                </c:pt>
                <c:pt idx="15653">
                  <c:v>897009.208585</c:v>
                </c:pt>
                <c:pt idx="15654">
                  <c:v>897486.4081199999</c:v>
                </c:pt>
                <c:pt idx="15655">
                  <c:v>897963.7768749999</c:v>
                </c:pt>
                <c:pt idx="15656">
                  <c:v>898441.3148800001</c:v>
                </c:pt>
                <c:pt idx="15657">
                  <c:v>898919.022165</c:v>
                </c:pt>
                <c:pt idx="15658">
                  <c:v>899396.89876</c:v>
                </c:pt>
                <c:pt idx="15659">
                  <c:v>899874.9446950002</c:v>
                </c:pt>
                <c:pt idx="15660">
                  <c:v>900353.1600000001</c:v>
                </c:pt>
                <c:pt idx="15661">
                  <c:v>900831.5447049999</c:v>
                </c:pt>
                <c:pt idx="15662">
                  <c:v>901310.0988399999</c:v>
                </c:pt>
                <c:pt idx="15663">
                  <c:v>901788.8224350002</c:v>
                </c:pt>
                <c:pt idx="15664">
                  <c:v>902267.7155200001</c:v>
                </c:pt>
                <c:pt idx="15665">
                  <c:v>902746.778125</c:v>
                </c:pt>
                <c:pt idx="15666">
                  <c:v>903226.0102799998</c:v>
                </c:pt>
                <c:pt idx="15667">
                  <c:v>903705.4120150001</c:v>
                </c:pt>
                <c:pt idx="15668">
                  <c:v>904184.98336</c:v>
                </c:pt>
                <c:pt idx="15669">
                  <c:v>904664.7243449999</c:v>
                </c:pt>
                <c:pt idx="15670">
                  <c:v>905144.6350000001</c:v>
                </c:pt>
                <c:pt idx="15671">
                  <c:v>905624.715355</c:v>
                </c:pt>
                <c:pt idx="15672">
                  <c:v>906104.9654399999</c:v>
                </c:pt>
                <c:pt idx="15673">
                  <c:v>906585.3852849997</c:v>
                </c:pt>
                <c:pt idx="15674">
                  <c:v>907065.9749200001</c:v>
                </c:pt>
                <c:pt idx="15675">
                  <c:v>907546.734375</c:v>
                </c:pt>
                <c:pt idx="15676">
                  <c:v>908027.66368</c:v>
                </c:pt>
                <c:pt idx="15677">
                  <c:v>908508.7628650002</c:v>
                </c:pt>
                <c:pt idx="15678">
                  <c:v>908990.0319599999</c:v>
                </c:pt>
                <c:pt idx="15679">
                  <c:v>909471.4709949999</c:v>
                </c:pt>
                <c:pt idx="15680">
                  <c:v>909953.08</c:v>
                </c:pt>
                <c:pt idx="15681">
                  <c:v>910434.8590050002</c:v>
                </c:pt>
                <c:pt idx="15682">
                  <c:v>910916.80804</c:v>
                </c:pt>
                <c:pt idx="15683">
                  <c:v>911398.9271349999</c:v>
                </c:pt>
                <c:pt idx="15684">
                  <c:v>911881.2163200001</c:v>
                </c:pt>
                <c:pt idx="15685">
                  <c:v>912363.6756250001</c:v>
                </c:pt>
                <c:pt idx="15686">
                  <c:v>912846.3050799998</c:v>
                </c:pt>
                <c:pt idx="15687">
                  <c:v>913329.1047149999</c:v>
                </c:pt>
                <c:pt idx="15688">
                  <c:v>913812.0745600002</c:v>
                </c:pt>
                <c:pt idx="15689">
                  <c:v>914295.2146450001</c:v>
                </c:pt>
                <c:pt idx="15690">
                  <c:v>914778.5249999999</c:v>
                </c:pt>
                <c:pt idx="15691">
                  <c:v>915262.0056549996</c:v>
                </c:pt>
                <c:pt idx="15692">
                  <c:v>915745.6566400001</c:v>
                </c:pt>
                <c:pt idx="15693">
                  <c:v>916229.4779849999</c:v>
                </c:pt>
                <c:pt idx="15694">
                  <c:v>916713.4697199998</c:v>
                </c:pt>
                <c:pt idx="15695">
                  <c:v>917197.6318750001</c:v>
                </c:pt>
                <c:pt idx="15696">
                  <c:v>917681.9644800001</c:v>
                </c:pt>
                <c:pt idx="15697">
                  <c:v>918166.467565</c:v>
                </c:pt>
                <c:pt idx="15698">
                  <c:v>918651.1411599998</c:v>
                </c:pt>
                <c:pt idx="15699">
                  <c:v>919135.9852950001</c:v>
                </c:pt>
                <c:pt idx="15700">
                  <c:v>919621.0</c:v>
                </c:pt>
                <c:pt idx="15701">
                  <c:v>920106.1853049999</c:v>
                </c:pt>
                <c:pt idx="15702">
                  <c:v>920591.5412400002</c:v>
                </c:pt>
                <c:pt idx="15703">
                  <c:v>921077.067835</c:v>
                </c:pt>
                <c:pt idx="15704">
                  <c:v>921562.7651199999</c:v>
                </c:pt>
                <c:pt idx="15705">
                  <c:v>922048.6331249998</c:v>
                </c:pt>
                <c:pt idx="15706">
                  <c:v>922534.67188</c:v>
                </c:pt>
                <c:pt idx="15707">
                  <c:v>923020.8814150001</c:v>
                </c:pt>
                <c:pt idx="15708">
                  <c:v>923507.2617599999</c:v>
                </c:pt>
                <c:pt idx="15709">
                  <c:v>923993.8129450002</c:v>
                </c:pt>
                <c:pt idx="15710">
                  <c:v>924480.5350000003</c:v>
                </c:pt>
                <c:pt idx="15711">
                  <c:v>924967.427955</c:v>
                </c:pt>
                <c:pt idx="15712">
                  <c:v>925454.4918399999</c:v>
                </c:pt>
                <c:pt idx="15713">
                  <c:v>925941.7266850001</c:v>
                </c:pt>
                <c:pt idx="15714">
                  <c:v>926429.13252</c:v>
                </c:pt>
                <c:pt idx="15715">
                  <c:v>926916.709375</c:v>
                </c:pt>
                <c:pt idx="15716">
                  <c:v>927404.4572799999</c:v>
                </c:pt>
                <c:pt idx="15717">
                  <c:v>927892.3762650001</c:v>
                </c:pt>
                <c:pt idx="15718">
                  <c:v>928380.46636</c:v>
                </c:pt>
                <c:pt idx="15719">
                  <c:v>928868.7275949998</c:v>
                </c:pt>
                <c:pt idx="15720">
                  <c:v>929357.16</c:v>
                </c:pt>
                <c:pt idx="15721">
                  <c:v>929845.763605</c:v>
                </c:pt>
                <c:pt idx="15722">
                  <c:v>930334.53844</c:v>
                </c:pt>
                <c:pt idx="15723">
                  <c:v>930823.4845349998</c:v>
                </c:pt>
                <c:pt idx="15724">
                  <c:v>931312.60192</c:v>
                </c:pt>
                <c:pt idx="15725">
                  <c:v>931801.890625</c:v>
                </c:pt>
                <c:pt idx="15726">
                  <c:v>932291.3506799999</c:v>
                </c:pt>
                <c:pt idx="15727">
                  <c:v>932780.9821150003</c:v>
                </c:pt>
                <c:pt idx="15728">
                  <c:v>933270.7849600001</c:v>
                </c:pt>
                <c:pt idx="15729">
                  <c:v>933760.7592450001</c:v>
                </c:pt>
                <c:pt idx="15730">
                  <c:v>934250.9049999999</c:v>
                </c:pt>
                <c:pt idx="15731">
                  <c:v>934741.2222550001</c:v>
                </c:pt>
                <c:pt idx="15732">
                  <c:v>935231.71104</c:v>
                </c:pt>
                <c:pt idx="15733">
                  <c:v>935722.371385</c:v>
                </c:pt>
                <c:pt idx="15734">
                  <c:v>936213.2033200001</c:v>
                </c:pt>
                <c:pt idx="15735">
                  <c:v>936704.206875</c:v>
                </c:pt>
                <c:pt idx="15736">
                  <c:v>937195.3820799999</c:v>
                </c:pt>
                <c:pt idx="15737">
                  <c:v>937686.7289649999</c:v>
                </c:pt>
                <c:pt idx="15738">
                  <c:v>938178.2475600002</c:v>
                </c:pt>
                <c:pt idx="15739">
                  <c:v>938669.937895</c:v>
                </c:pt>
                <c:pt idx="15740">
                  <c:v>939161.7999999998</c:v>
                </c:pt>
                <c:pt idx="15741">
                  <c:v>939653.8339049998</c:v>
                </c:pt>
                <c:pt idx="15742">
                  <c:v>940146.0396400001</c:v>
                </c:pt>
                <c:pt idx="15743">
                  <c:v>940638.417235</c:v>
                </c:pt>
                <c:pt idx="15744">
                  <c:v>941130.9667199999</c:v>
                </c:pt>
                <c:pt idx="15745">
                  <c:v>941623.6881250001</c:v>
                </c:pt>
                <c:pt idx="15746">
                  <c:v>942116.5814800002</c:v>
                </c:pt>
                <c:pt idx="15747">
                  <c:v>942609.646815</c:v>
                </c:pt>
                <c:pt idx="15748">
                  <c:v>943102.8841599998</c:v>
                </c:pt>
                <c:pt idx="15749">
                  <c:v>943596.2935450001</c:v>
                </c:pt>
                <c:pt idx="15750">
                  <c:v>944089.875</c:v>
                </c:pt>
                <c:pt idx="15751">
                  <c:v>944583.628555</c:v>
                </c:pt>
                <c:pt idx="15752">
                  <c:v>945077.5542400001</c:v>
                </c:pt>
                <c:pt idx="15753">
                  <c:v>945571.6520850001</c:v>
                </c:pt>
                <c:pt idx="15754">
                  <c:v>946065.92212</c:v>
                </c:pt>
                <c:pt idx="15755">
                  <c:v>946560.3643749999</c:v>
                </c:pt>
                <c:pt idx="15756">
                  <c:v>947054.9788800002</c:v>
                </c:pt>
                <c:pt idx="15757">
                  <c:v>947549.7656650001</c:v>
                </c:pt>
                <c:pt idx="15758">
                  <c:v>948044.7247599999</c:v>
                </c:pt>
                <c:pt idx="15759">
                  <c:v>948539.8561950001</c:v>
                </c:pt>
                <c:pt idx="15760">
                  <c:v>949035.1600000001</c:v>
                </c:pt>
                <c:pt idx="15761">
                  <c:v>949530.6362049999</c:v>
                </c:pt>
                <c:pt idx="15762">
                  <c:v>950026.2848399999</c:v>
                </c:pt>
                <c:pt idx="15763">
                  <c:v>950522.1059350001</c:v>
                </c:pt>
                <c:pt idx="15764">
                  <c:v>951018.09952</c:v>
                </c:pt>
                <c:pt idx="15765">
                  <c:v>951514.2656249998</c:v>
                </c:pt>
                <c:pt idx="15766">
                  <c:v>952010.6042799997</c:v>
                </c:pt>
                <c:pt idx="15767">
                  <c:v>952507.1155150001</c:v>
                </c:pt>
                <c:pt idx="15768">
                  <c:v>953003.7993600001</c:v>
                </c:pt>
                <c:pt idx="15769">
                  <c:v>953500.6558449998</c:v>
                </c:pt>
                <c:pt idx="15770">
                  <c:v>953997.6850000002</c:v>
                </c:pt>
                <c:pt idx="15771">
                  <c:v>954494.8868549999</c:v>
                </c:pt>
                <c:pt idx="15772">
                  <c:v>954992.2614399999</c:v>
                </c:pt>
                <c:pt idx="15773">
                  <c:v>955489.8087849998</c:v>
                </c:pt>
                <c:pt idx="15774">
                  <c:v>955987.5289200001</c:v>
                </c:pt>
                <c:pt idx="15775">
                  <c:v>956485.421875</c:v>
                </c:pt>
                <c:pt idx="15776">
                  <c:v>956983.48768</c:v>
                </c:pt>
                <c:pt idx="15777">
                  <c:v>957481.7263650002</c:v>
                </c:pt>
                <c:pt idx="15778">
                  <c:v>957980.13796</c:v>
                </c:pt>
                <c:pt idx="15779">
                  <c:v>958478.7224949999</c:v>
                </c:pt>
                <c:pt idx="15780">
                  <c:v>958977.4799999997</c:v>
                </c:pt>
                <c:pt idx="15781">
                  <c:v>959476.4105050002</c:v>
                </c:pt>
                <c:pt idx="15782">
                  <c:v>959975.5140399999</c:v>
                </c:pt>
                <c:pt idx="15783">
                  <c:v>960474.790635</c:v>
                </c:pt>
                <c:pt idx="15784">
                  <c:v>960974.2403200001</c:v>
                </c:pt>
                <c:pt idx="15785">
                  <c:v>961473.8631250001</c:v>
                </c:pt>
                <c:pt idx="15786">
                  <c:v>961973.6590799999</c:v>
                </c:pt>
                <c:pt idx="15787">
                  <c:v>962473.6282149999</c:v>
                </c:pt>
                <c:pt idx="15788">
                  <c:v>962973.7705600001</c:v>
                </c:pt>
                <c:pt idx="15789">
                  <c:v>963474.0861450001</c:v>
                </c:pt>
                <c:pt idx="15790">
                  <c:v>963974.575</c:v>
                </c:pt>
                <c:pt idx="15791">
                  <c:v>964475.2371549999</c:v>
                </c:pt>
                <c:pt idx="15792">
                  <c:v>964976.0726400001</c:v>
                </c:pt>
                <c:pt idx="15793">
                  <c:v>965477.081485</c:v>
                </c:pt>
                <c:pt idx="15794">
                  <c:v>965978.2637199998</c:v>
                </c:pt>
                <c:pt idx="15795">
                  <c:v>966479.6193750001</c:v>
                </c:pt>
                <c:pt idx="15796">
                  <c:v>966981.14848</c:v>
                </c:pt>
                <c:pt idx="15797">
                  <c:v>967482.8510649999</c:v>
                </c:pt>
                <c:pt idx="15798">
                  <c:v>967984.7271599997</c:v>
                </c:pt>
                <c:pt idx="15799">
                  <c:v>968486.7767950002</c:v>
                </c:pt>
                <c:pt idx="15800">
                  <c:v>968989.0</c:v>
                </c:pt>
                <c:pt idx="15801">
                  <c:v>969491.3968049999</c:v>
                </c:pt>
                <c:pt idx="15802">
                  <c:v>969993.9672400003</c:v>
                </c:pt>
                <c:pt idx="15803">
                  <c:v>970496.7113349999</c:v>
                </c:pt>
                <c:pt idx="15804">
                  <c:v>970999.62912</c:v>
                </c:pt>
                <c:pt idx="15805">
                  <c:v>971502.7206249998</c:v>
                </c:pt>
                <c:pt idx="15806">
                  <c:v>972005.98588</c:v>
                </c:pt>
                <c:pt idx="15807">
                  <c:v>972509.424915</c:v>
                </c:pt>
                <c:pt idx="15808">
                  <c:v>973013.03776</c:v>
                </c:pt>
                <c:pt idx="15809">
                  <c:v>973516.8244450002</c:v>
                </c:pt>
                <c:pt idx="15810">
                  <c:v>974020.7850000001</c:v>
                </c:pt>
                <c:pt idx="15811">
                  <c:v>974524.919455</c:v>
                </c:pt>
                <c:pt idx="15812">
                  <c:v>975029.2278399998</c:v>
                </c:pt>
                <c:pt idx="15813">
                  <c:v>975533.7101850001</c:v>
                </c:pt>
                <c:pt idx="15814">
                  <c:v>976038.36652</c:v>
                </c:pt>
                <c:pt idx="15815">
                  <c:v>976543.1968749999</c:v>
                </c:pt>
                <c:pt idx="15816">
                  <c:v>977048.2012799999</c:v>
                </c:pt>
                <c:pt idx="15817">
                  <c:v>977553.3797650001</c:v>
                </c:pt>
                <c:pt idx="15818">
                  <c:v>978058.7323600001</c:v>
                </c:pt>
                <c:pt idx="15819">
                  <c:v>978564.2590949999</c:v>
                </c:pt>
                <c:pt idx="15820">
                  <c:v>979069.9600000001</c:v>
                </c:pt>
                <c:pt idx="15821">
                  <c:v>979575.8351050001</c:v>
                </c:pt>
                <c:pt idx="15822">
                  <c:v>980081.88444</c:v>
                </c:pt>
                <c:pt idx="15823">
                  <c:v>980588.1080349998</c:v>
                </c:pt>
                <c:pt idx="15824">
                  <c:v>981094.50592</c:v>
                </c:pt>
                <c:pt idx="15825">
                  <c:v>981601.078125</c:v>
                </c:pt>
                <c:pt idx="15826">
                  <c:v>982107.82468</c:v>
                </c:pt>
                <c:pt idx="15827">
                  <c:v>982614.7456150003</c:v>
                </c:pt>
                <c:pt idx="15828">
                  <c:v>983121.8409600001</c:v>
                </c:pt>
                <c:pt idx="15829">
                  <c:v>983629.110745</c:v>
                </c:pt>
                <c:pt idx="15830">
                  <c:v>984136.5549999999</c:v>
                </c:pt>
                <c:pt idx="15831">
                  <c:v>984644.1737550002</c:v>
                </c:pt>
                <c:pt idx="15832">
                  <c:v>985151.96704</c:v>
                </c:pt>
                <c:pt idx="15833">
                  <c:v>985659.9348849998</c:v>
                </c:pt>
                <c:pt idx="15834">
                  <c:v>986168.07732</c:v>
                </c:pt>
                <c:pt idx="15835">
                  <c:v>986676.3943750003</c:v>
                </c:pt>
                <c:pt idx="15836">
                  <c:v>987184.88608</c:v>
                </c:pt>
                <c:pt idx="15837">
                  <c:v>987693.5524649997</c:v>
                </c:pt>
                <c:pt idx="15838">
                  <c:v>988202.3935600001</c:v>
                </c:pt>
                <c:pt idx="15839">
                  <c:v>988711.4093950001</c:v>
                </c:pt>
                <c:pt idx="15840">
                  <c:v>989220.6</c:v>
                </c:pt>
                <c:pt idx="15841">
                  <c:v>989729.9654049998</c:v>
                </c:pt>
                <c:pt idx="15842">
                  <c:v>990239.50564</c:v>
                </c:pt>
                <c:pt idx="15843">
                  <c:v>990749.2207350001</c:v>
                </c:pt>
                <c:pt idx="15844">
                  <c:v>991259.1107199999</c:v>
                </c:pt>
                <c:pt idx="15845">
                  <c:v>991769.175625</c:v>
                </c:pt>
                <c:pt idx="15846">
                  <c:v>992279.41548</c:v>
                </c:pt>
                <c:pt idx="15847">
                  <c:v>992789.830315</c:v>
                </c:pt>
                <c:pt idx="15848">
                  <c:v>993300.4201599997</c:v>
                </c:pt>
                <c:pt idx="15849">
                  <c:v>993811.185045</c:v>
                </c:pt>
                <c:pt idx="15850">
                  <c:v>994322.125</c:v>
                </c:pt>
                <c:pt idx="15851">
                  <c:v>994833.240055</c:v>
                </c:pt>
                <c:pt idx="15852">
                  <c:v>995344.5302400002</c:v>
                </c:pt>
                <c:pt idx="15853">
                  <c:v>995855.995585</c:v>
                </c:pt>
                <c:pt idx="15854">
                  <c:v>996367.6361199999</c:v>
                </c:pt>
                <c:pt idx="15855">
                  <c:v>996879.4518749998</c:v>
                </c:pt>
                <c:pt idx="15856">
                  <c:v>997391.4428800001</c:v>
                </c:pt>
                <c:pt idx="15857">
                  <c:v>997903.6091649999</c:v>
                </c:pt>
                <c:pt idx="15858">
                  <c:v>998415.9507599998</c:v>
                </c:pt>
                <c:pt idx="15859">
                  <c:v>998928.4676950001</c:v>
                </c:pt>
                <c:pt idx="15860">
                  <c:v>999441.16</c:v>
                </c:pt>
                <c:pt idx="15861">
                  <c:v>999954.027705</c:v>
                </c:pt>
                <c:pt idx="15862">
                  <c:v>1000467.0708399998</c:v>
                </c:pt>
                <c:pt idx="15863">
                  <c:v>1000980.2894350002</c:v>
                </c:pt>
                <c:pt idx="15864">
                  <c:v>1001493.68352</c:v>
                </c:pt>
                <c:pt idx="15865">
                  <c:v>1002007.2531249999</c:v>
                </c:pt>
                <c:pt idx="15866">
                  <c:v>1002520.9982799997</c:v>
                </c:pt>
                <c:pt idx="15867">
                  <c:v>1003034.9190150002</c:v>
                </c:pt>
                <c:pt idx="15868">
                  <c:v>1003549.01536</c:v>
                </c:pt>
                <c:pt idx="15869">
                  <c:v>1004063.2873449997</c:v>
                </c:pt>
                <c:pt idx="15870">
                  <c:v>1004577.7350000001</c:v>
                </c:pt>
                <c:pt idx="15871">
                  <c:v>1005092.358355</c:v>
                </c:pt>
                <c:pt idx="15872">
                  <c:v>1005607.1574399999</c:v>
                </c:pt>
                <c:pt idx="15873">
                  <c:v>1006122.1322849998</c:v>
                </c:pt>
                <c:pt idx="15874">
                  <c:v>1006637.2829200001</c:v>
                </c:pt>
                <c:pt idx="15875">
                  <c:v>1007152.609375</c:v>
                </c:pt>
                <c:pt idx="15876">
                  <c:v>1007668.11168</c:v>
                </c:pt>
                <c:pt idx="15877">
                  <c:v>1008183.7898650002</c:v>
                </c:pt>
                <c:pt idx="15878">
                  <c:v>1008699.64396</c:v>
                </c:pt>
                <c:pt idx="15879">
                  <c:v>1009215.6739950001</c:v>
                </c:pt>
                <c:pt idx="15880">
                  <c:v>1009731.8799999999</c:v>
                </c:pt>
                <c:pt idx="15881">
                  <c:v>1010248.2620050003</c:v>
                </c:pt>
                <c:pt idx="15882">
                  <c:v>1010764.82004</c:v>
                </c:pt>
                <c:pt idx="15883">
                  <c:v>1011281.554135</c:v>
                </c:pt>
                <c:pt idx="15884">
                  <c:v>1011798.4643200001</c:v>
                </c:pt>
                <c:pt idx="15885">
                  <c:v>1012315.550625</c:v>
                </c:pt>
                <c:pt idx="15886">
                  <c:v>1012832.81308</c:v>
                </c:pt>
                <c:pt idx="15887">
                  <c:v>1013350.2517149998</c:v>
                </c:pt>
                <c:pt idx="15888">
                  <c:v>1013867.86656</c:v>
                </c:pt>
                <c:pt idx="15889">
                  <c:v>1014385.6576450001</c:v>
                </c:pt>
                <c:pt idx="15890">
                  <c:v>1014903.6249999999</c:v>
                </c:pt>
                <c:pt idx="15891">
                  <c:v>1015421.7686549999</c:v>
                </c:pt>
                <c:pt idx="15892">
                  <c:v>1015940.0886400001</c:v>
                </c:pt>
                <c:pt idx="15893">
                  <c:v>1016458.5849850001</c:v>
                </c:pt>
                <c:pt idx="15894">
                  <c:v>1016977.2577199998</c:v>
                </c:pt>
                <c:pt idx="15895">
                  <c:v>1017496.106875</c:v>
                </c:pt>
                <c:pt idx="15896">
                  <c:v>1018015.13248</c:v>
                </c:pt>
                <c:pt idx="15897">
                  <c:v>1018534.3345649999</c:v>
                </c:pt>
                <c:pt idx="15898">
                  <c:v>1019053.7131599998</c:v>
                </c:pt>
                <c:pt idx="15899">
                  <c:v>1019573.2682950001</c:v>
                </c:pt>
                <c:pt idx="15900">
                  <c:v>1020093.0</c:v>
                </c:pt>
                <c:pt idx="15901">
                  <c:v>1020612.9083049998</c:v>
                </c:pt>
                <c:pt idx="15902">
                  <c:v>1021132.9932400002</c:v>
                </c:pt>
                <c:pt idx="15903">
                  <c:v>1021653.2548349999</c:v>
                </c:pt>
                <c:pt idx="15904">
                  <c:v>1022173.69312</c:v>
                </c:pt>
                <c:pt idx="15905">
                  <c:v>1022694.3081249997</c:v>
                </c:pt>
                <c:pt idx="15906">
                  <c:v>1023215.0998800002</c:v>
                </c:pt>
                <c:pt idx="15907">
                  <c:v>1023736.068415</c:v>
                </c:pt>
                <c:pt idx="15908">
                  <c:v>1024257.21376</c:v>
                </c:pt>
                <c:pt idx="15909">
                  <c:v>1024778.5359450002</c:v>
                </c:pt>
                <c:pt idx="15910">
                  <c:v>1025300.0350000001</c:v>
                </c:pt>
                <c:pt idx="15911">
                  <c:v>1025821.710955</c:v>
                </c:pt>
                <c:pt idx="15912">
                  <c:v>1026343.5638399998</c:v>
                </c:pt>
                <c:pt idx="15913">
                  <c:v>1026865.5936850001</c:v>
                </c:pt>
                <c:pt idx="15914">
                  <c:v>1027387.80052</c:v>
                </c:pt>
                <c:pt idx="15915">
                  <c:v>1027910.184375</c:v>
                </c:pt>
                <c:pt idx="15916">
                  <c:v>1028432.7452799998</c:v>
                </c:pt>
                <c:pt idx="15917">
                  <c:v>1028955.4832650002</c:v>
                </c:pt>
                <c:pt idx="15918">
                  <c:v>1029478.39836</c:v>
                </c:pt>
                <c:pt idx="15919">
                  <c:v>1030001.4905949997</c:v>
                </c:pt>
                <c:pt idx="15920">
                  <c:v>1030524.7600000001</c:v>
                </c:pt>
                <c:pt idx="15921">
                  <c:v>1031048.206605</c:v>
                </c:pt>
                <c:pt idx="15922">
                  <c:v>1031571.8304399999</c:v>
                </c:pt>
                <c:pt idx="15923">
                  <c:v>1032095.6315349997</c:v>
                </c:pt>
                <c:pt idx="15924">
                  <c:v>1032619.6099200001</c:v>
                </c:pt>
                <c:pt idx="15925">
                  <c:v>1033143.765625</c:v>
                </c:pt>
                <c:pt idx="15926">
                  <c:v>1033668.0986799999</c:v>
                </c:pt>
                <c:pt idx="15927">
                  <c:v>1034192.6091150002</c:v>
                </c:pt>
                <c:pt idx="15928">
                  <c:v>1034717.2969600001</c:v>
                </c:pt>
                <c:pt idx="15929">
                  <c:v>1035242.1622449999</c:v>
                </c:pt>
                <c:pt idx="15930">
                  <c:v>1035767.2049999998</c:v>
                </c:pt>
                <c:pt idx="15931">
                  <c:v>1036292.4252550001</c:v>
                </c:pt>
                <c:pt idx="15932">
                  <c:v>1036817.82304</c:v>
                </c:pt>
                <c:pt idx="15933">
                  <c:v>1037343.398385</c:v>
                </c:pt>
                <c:pt idx="15934">
                  <c:v>1037869.1513200002</c:v>
                </c:pt>
                <c:pt idx="15935">
                  <c:v>1038395.0818750001</c:v>
                </c:pt>
                <c:pt idx="15936">
                  <c:v>1038921.1900799999</c:v>
                </c:pt>
                <c:pt idx="15937">
                  <c:v>1039447.4759649998</c:v>
                </c:pt>
                <c:pt idx="15938">
                  <c:v>1039973.9395600001</c:v>
                </c:pt>
                <c:pt idx="15939">
                  <c:v>1040500.5808950001</c:v>
                </c:pt>
                <c:pt idx="15940">
                  <c:v>1041027.3999999999</c:v>
                </c:pt>
                <c:pt idx="15941">
                  <c:v>1041554.3969049999</c:v>
                </c:pt>
                <c:pt idx="15942">
                  <c:v>1042081.5716400001</c:v>
                </c:pt>
                <c:pt idx="15943">
                  <c:v>1042608.924235</c:v>
                </c:pt>
                <c:pt idx="15944">
                  <c:v>1043136.4547199998</c:v>
                </c:pt>
                <c:pt idx="15945">
                  <c:v>1043664.1631250003</c:v>
                </c:pt>
                <c:pt idx="15946">
                  <c:v>1044192.04948</c:v>
                </c:pt>
                <c:pt idx="15947">
                  <c:v>1044720.113815</c:v>
                </c:pt>
                <c:pt idx="15948">
                  <c:v>1045248.3561599997</c:v>
                </c:pt>
                <c:pt idx="15949">
                  <c:v>1045776.776545</c:v>
                </c:pt>
                <c:pt idx="15950">
                  <c:v>1046305.375</c:v>
                </c:pt>
                <c:pt idx="15951">
                  <c:v>1046834.1515549999</c:v>
                </c:pt>
                <c:pt idx="15952">
                  <c:v>1047363.1062400001</c:v>
                </c:pt>
                <c:pt idx="15953">
                  <c:v>1047892.239085</c:v>
                </c:pt>
                <c:pt idx="15954">
                  <c:v>1048421.5501199998</c:v>
                </c:pt>
                <c:pt idx="15955">
                  <c:v>1048951.0393749997</c:v>
                </c:pt>
                <c:pt idx="15956">
                  <c:v>1049480.7068800002</c:v>
                </c:pt>
                <c:pt idx="15957">
                  <c:v>1050010.5526649999</c:v>
                </c:pt>
                <c:pt idx="15958">
                  <c:v>1050540.57676</c:v>
                </c:pt>
                <c:pt idx="15959">
                  <c:v>1051070.7791950002</c:v>
                </c:pt>
                <c:pt idx="15960">
                  <c:v>1051601.16</c:v>
                </c:pt>
                <c:pt idx="15961">
                  <c:v>1052131.719205</c:v>
                </c:pt>
                <c:pt idx="15962">
                  <c:v>1052662.4568399999</c:v>
                </c:pt>
                <c:pt idx="15963">
                  <c:v>1053193.372935</c:v>
                </c:pt>
                <c:pt idx="15964">
                  <c:v>1053724.46752</c:v>
                </c:pt>
                <c:pt idx="15965">
                  <c:v>1054255.7406249996</c:v>
                </c:pt>
                <c:pt idx="15966">
                  <c:v>1054787.1922799998</c:v>
                </c:pt>
                <c:pt idx="15967">
                  <c:v>1055318.822515</c:v>
                </c:pt>
                <c:pt idx="15968">
                  <c:v>1055850.6313600002</c:v>
                </c:pt>
                <c:pt idx="15969">
                  <c:v>1056382.618845</c:v>
                </c:pt>
                <c:pt idx="15970">
                  <c:v>1056914.7850000004</c:v>
                </c:pt>
                <c:pt idx="15971">
                  <c:v>1057447.129855</c:v>
                </c:pt>
                <c:pt idx="15972">
                  <c:v>1057979.6534399998</c:v>
                </c:pt>
                <c:pt idx="15973">
                  <c:v>1058512.3557849997</c:v>
                </c:pt>
                <c:pt idx="15974">
                  <c:v>1059045.23692</c:v>
                </c:pt>
                <c:pt idx="15975">
                  <c:v>1059578.296875</c:v>
                </c:pt>
                <c:pt idx="15976">
                  <c:v>1060111.5356799997</c:v>
                </c:pt>
                <c:pt idx="15977">
                  <c:v>1060644.9533650002</c:v>
                </c:pt>
                <c:pt idx="15978">
                  <c:v>1061178.5499600002</c:v>
                </c:pt>
                <c:pt idx="15979">
                  <c:v>1061712.3254950002</c:v>
                </c:pt>
                <c:pt idx="15980">
                  <c:v>1062246.2799999998</c:v>
                </c:pt>
                <c:pt idx="15981">
                  <c:v>1062780.413505</c:v>
                </c:pt>
                <c:pt idx="15982">
                  <c:v>1063314.7260399999</c:v>
                </c:pt>
                <c:pt idx="15983">
                  <c:v>1063849.217635</c:v>
                </c:pt>
                <c:pt idx="15984">
                  <c:v>1064383.8883200004</c:v>
                </c:pt>
                <c:pt idx="15985">
                  <c:v>1064918.7381250001</c:v>
                </c:pt>
                <c:pt idx="15986">
                  <c:v>1065453.7670800001</c:v>
                </c:pt>
                <c:pt idx="15987">
                  <c:v>1065988.975215</c:v>
                </c:pt>
                <c:pt idx="15988">
                  <c:v>1066524.36256</c:v>
                </c:pt>
                <c:pt idx="15989">
                  <c:v>1067059.929145</c:v>
                </c:pt>
                <c:pt idx="15990">
                  <c:v>1067595.675</c:v>
                </c:pt>
                <c:pt idx="15991">
                  <c:v>1068131.6001549996</c:v>
                </c:pt>
                <c:pt idx="15992">
                  <c:v>1068667.7046400001</c:v>
                </c:pt>
                <c:pt idx="15993">
                  <c:v>1069203.9884849999</c:v>
                </c:pt>
                <c:pt idx="15994">
                  <c:v>1069740.45172</c:v>
                </c:pt>
                <c:pt idx="15995">
                  <c:v>1070277.0943750003</c:v>
                </c:pt>
                <c:pt idx="15996">
                  <c:v>1070813.91648</c:v>
                </c:pt>
                <c:pt idx="15997">
                  <c:v>1071350.9180649999</c:v>
                </c:pt>
                <c:pt idx="15998">
                  <c:v>1071888.0991599998</c:v>
                </c:pt>
                <c:pt idx="15999">
                  <c:v>1072425.459795</c:v>
                </c:pt>
                <c:pt idx="16000">
                  <c:v>1072963.0</c:v>
                </c:pt>
                <c:pt idx="16001">
                  <c:v>1073500.719805</c:v>
                </c:pt>
                <c:pt idx="16002">
                  <c:v>1074038.6192400001</c:v>
                </c:pt>
                <c:pt idx="16003">
                  <c:v>1074576.6983350003</c:v>
                </c:pt>
                <c:pt idx="16004">
                  <c:v>1075114.9571200002</c:v>
                </c:pt>
                <c:pt idx="16005">
                  <c:v>1075653.395625</c:v>
                </c:pt>
                <c:pt idx="16006">
                  <c:v>1076192.01388</c:v>
                </c:pt>
                <c:pt idx="16007">
                  <c:v>1076730.811915</c:v>
                </c:pt>
                <c:pt idx="16008">
                  <c:v>1077269.7897599998</c:v>
                </c:pt>
                <c:pt idx="16009">
                  <c:v>1077808.947445</c:v>
                </c:pt>
                <c:pt idx="16010">
                  <c:v>1078348.2850000001</c:v>
                </c:pt>
                <c:pt idx="16011">
                  <c:v>1078887.802455</c:v>
                </c:pt>
                <c:pt idx="16012">
                  <c:v>1079427.49984</c:v>
                </c:pt>
                <c:pt idx="16013">
                  <c:v>1079967.377185</c:v>
                </c:pt>
                <c:pt idx="16014">
                  <c:v>1080507.43452</c:v>
                </c:pt>
                <c:pt idx="16015">
                  <c:v>1081047.671875</c:v>
                </c:pt>
                <c:pt idx="16016">
                  <c:v>1081588.0892799997</c:v>
                </c:pt>
                <c:pt idx="16017">
                  <c:v>1082128.686765</c:v>
                </c:pt>
                <c:pt idx="16018">
                  <c:v>1082669.46436</c:v>
                </c:pt>
                <c:pt idx="16019">
                  <c:v>1083210.422095</c:v>
                </c:pt>
                <c:pt idx="16020">
                  <c:v>1083751.5600000003</c:v>
                </c:pt>
                <c:pt idx="16021">
                  <c:v>1084292.878105</c:v>
                </c:pt>
                <c:pt idx="16022">
                  <c:v>1084834.3764399998</c:v>
                </c:pt>
                <c:pt idx="16023">
                  <c:v>1085376.055035</c:v>
                </c:pt>
                <c:pt idx="16024">
                  <c:v>1085917.91392</c:v>
                </c:pt>
                <c:pt idx="16025">
                  <c:v>1086459.953125</c:v>
                </c:pt>
                <c:pt idx="16026">
                  <c:v>1087002.1726799998</c:v>
                </c:pt>
                <c:pt idx="16027">
                  <c:v>1087544.5726150002</c:v>
                </c:pt>
                <c:pt idx="16028">
                  <c:v>1088087.15296</c:v>
                </c:pt>
                <c:pt idx="16029">
                  <c:v>1088629.913745</c:v>
                </c:pt>
                <c:pt idx="16030">
                  <c:v>1089172.8549999997</c:v>
                </c:pt>
                <c:pt idx="16031">
                  <c:v>1089715.976755</c:v>
                </c:pt>
                <c:pt idx="16032">
                  <c:v>1090259.27904</c:v>
                </c:pt>
                <c:pt idx="16033">
                  <c:v>1090802.761885</c:v>
                </c:pt>
                <c:pt idx="16034">
                  <c:v>1091346.4253200002</c:v>
                </c:pt>
                <c:pt idx="16035">
                  <c:v>1091890.269375</c:v>
                </c:pt>
                <c:pt idx="16036">
                  <c:v>1092434.29408</c:v>
                </c:pt>
                <c:pt idx="16037">
                  <c:v>1092978.4994650001</c:v>
                </c:pt>
                <c:pt idx="16038">
                  <c:v>1093522.88556</c:v>
                </c:pt>
                <c:pt idx="16039">
                  <c:v>1094067.452395</c:v>
                </c:pt>
                <c:pt idx="16040">
                  <c:v>1094612.1999999997</c:v>
                </c:pt>
                <c:pt idx="16041">
                  <c:v>1095157.1284049999</c:v>
                </c:pt>
                <c:pt idx="16042">
                  <c:v>1095702.2376400002</c:v>
                </c:pt>
                <c:pt idx="16043">
                  <c:v>1096247.527735</c:v>
                </c:pt>
                <c:pt idx="16044">
                  <c:v>1096792.9987199998</c:v>
                </c:pt>
                <c:pt idx="16045">
                  <c:v>1097338.6506250002</c:v>
                </c:pt>
                <c:pt idx="16046">
                  <c:v>1097884.48348</c:v>
                </c:pt>
                <c:pt idx="16047">
                  <c:v>1098430.497315</c:v>
                </c:pt>
                <c:pt idx="16048">
                  <c:v>1098976.6921599999</c:v>
                </c:pt>
                <c:pt idx="16049">
                  <c:v>1099523.068045</c:v>
                </c:pt>
                <c:pt idx="16050">
                  <c:v>1100069.625</c:v>
                </c:pt>
                <c:pt idx="16051">
                  <c:v>1100616.3630549998</c:v>
                </c:pt>
                <c:pt idx="16052">
                  <c:v>1101163.2822400003</c:v>
                </c:pt>
                <c:pt idx="16053">
                  <c:v>1101710.382585</c:v>
                </c:pt>
                <c:pt idx="16054">
                  <c:v>1102257.66412</c:v>
                </c:pt>
                <c:pt idx="16055">
                  <c:v>1102805.1268749998</c:v>
                </c:pt>
                <c:pt idx="16056">
                  <c:v>1103352.7708800002</c:v>
                </c:pt>
                <c:pt idx="16057">
                  <c:v>1103900.596165</c:v>
                </c:pt>
                <c:pt idx="16058">
                  <c:v>1104448.60276</c:v>
                </c:pt>
                <c:pt idx="16059">
                  <c:v>1104996.7906950002</c:v>
                </c:pt>
                <c:pt idx="16060">
                  <c:v>1105545.1600000001</c:v>
                </c:pt>
                <c:pt idx="16061">
                  <c:v>1106093.710705</c:v>
                </c:pt>
                <c:pt idx="16062">
                  <c:v>1106642.44284</c:v>
                </c:pt>
                <c:pt idx="16063">
                  <c:v>1107191.356435</c:v>
                </c:pt>
                <c:pt idx="16064">
                  <c:v>1107740.4515200001</c:v>
                </c:pt>
                <c:pt idx="16065">
                  <c:v>1108289.728125</c:v>
                </c:pt>
                <c:pt idx="16066">
                  <c:v>1108839.1862799998</c:v>
                </c:pt>
                <c:pt idx="16067">
                  <c:v>1109388.8260150002</c:v>
                </c:pt>
                <c:pt idx="16068">
                  <c:v>1109938.64736</c:v>
                </c:pt>
                <c:pt idx="16069">
                  <c:v>1110488.650345</c:v>
                </c:pt>
                <c:pt idx="16070">
                  <c:v>1111038.8350000002</c:v>
                </c:pt>
                <c:pt idx="16071">
                  <c:v>1111589.201355</c:v>
                </c:pt>
                <c:pt idx="16072">
                  <c:v>1112139.74944</c:v>
                </c:pt>
                <c:pt idx="16073">
                  <c:v>1112690.479285</c:v>
                </c:pt>
                <c:pt idx="16074">
                  <c:v>1113241.3909200002</c:v>
                </c:pt>
                <c:pt idx="16075">
                  <c:v>1113792.484375</c:v>
                </c:pt>
                <c:pt idx="16076">
                  <c:v>1114343.75968</c:v>
                </c:pt>
                <c:pt idx="16077">
                  <c:v>1114895.2168650003</c:v>
                </c:pt>
                <c:pt idx="16078">
                  <c:v>1115446.85596</c:v>
                </c:pt>
                <c:pt idx="16079">
                  <c:v>1115998.676995</c:v>
                </c:pt>
                <c:pt idx="16080">
                  <c:v>1116550.6799999997</c:v>
                </c:pt>
                <c:pt idx="16081">
                  <c:v>1117102.865005</c:v>
                </c:pt>
                <c:pt idx="16082">
                  <c:v>1117655.2320400001</c:v>
                </c:pt>
                <c:pt idx="16083">
                  <c:v>1118207.7811349998</c:v>
                </c:pt>
                <c:pt idx="16084">
                  <c:v>1118760.5123200002</c:v>
                </c:pt>
                <c:pt idx="16085">
                  <c:v>1119313.4256250001</c:v>
                </c:pt>
                <c:pt idx="16086">
                  <c:v>1119866.5210799999</c:v>
                </c:pt>
                <c:pt idx="16087">
                  <c:v>1120419.798715</c:v>
                </c:pt>
                <c:pt idx="16088">
                  <c:v>1120973.25856</c:v>
                </c:pt>
                <c:pt idx="16089">
                  <c:v>1121526.900645</c:v>
                </c:pt>
                <c:pt idx="16090">
                  <c:v>1122080.7249999999</c:v>
                </c:pt>
                <c:pt idx="16091">
                  <c:v>1122634.7316549998</c:v>
                </c:pt>
                <c:pt idx="16092">
                  <c:v>1123188.9206400001</c:v>
                </c:pt>
                <c:pt idx="16093">
                  <c:v>1123743.291985</c:v>
                </c:pt>
                <c:pt idx="16094">
                  <c:v>1124297.8457199999</c:v>
                </c:pt>
                <c:pt idx="16095">
                  <c:v>1124852.5818750004</c:v>
                </c:pt>
                <c:pt idx="16096">
                  <c:v>1125407.50048</c:v>
                </c:pt>
                <c:pt idx="16097">
                  <c:v>1125962.601565</c:v>
                </c:pt>
                <c:pt idx="16098">
                  <c:v>1126517.8851599998</c:v>
                </c:pt>
                <c:pt idx="16099">
                  <c:v>1127073.3512950002</c:v>
                </c:pt>
                <c:pt idx="16100">
                  <c:v>1127629.0</c:v>
                </c:pt>
                <c:pt idx="16101">
                  <c:v>1128184.8313049998</c:v>
                </c:pt>
                <c:pt idx="16102">
                  <c:v>1128740.8452400002</c:v>
                </c:pt>
                <c:pt idx="16103">
                  <c:v>1129297.041835</c:v>
                </c:pt>
                <c:pt idx="16104">
                  <c:v>1129853.42112</c:v>
                </c:pt>
                <c:pt idx="16105">
                  <c:v>1130409.9831249998</c:v>
                </c:pt>
                <c:pt idx="16106">
                  <c:v>1130966.72788</c:v>
                </c:pt>
                <c:pt idx="16107">
                  <c:v>1131523.6554150002</c:v>
                </c:pt>
                <c:pt idx="16108">
                  <c:v>1132080.76576</c:v>
                </c:pt>
                <c:pt idx="16109">
                  <c:v>1132638.0589450002</c:v>
                </c:pt>
                <c:pt idx="16110">
                  <c:v>1133195.5350000001</c:v>
                </c:pt>
                <c:pt idx="16111">
                  <c:v>1133753.193955</c:v>
                </c:pt>
                <c:pt idx="16112">
                  <c:v>1134311.03584</c:v>
                </c:pt>
                <c:pt idx="16113">
                  <c:v>1134869.060685</c:v>
                </c:pt>
                <c:pt idx="16114">
                  <c:v>1135427.26852</c:v>
                </c:pt>
                <c:pt idx="16115">
                  <c:v>1135985.6593749998</c:v>
                </c:pt>
                <c:pt idx="16116">
                  <c:v>1136544.2332799998</c:v>
                </c:pt>
                <c:pt idx="16117">
                  <c:v>1137102.990265</c:v>
                </c:pt>
                <c:pt idx="16118">
                  <c:v>1137661.93036</c:v>
                </c:pt>
                <c:pt idx="16119">
                  <c:v>1138221.053595</c:v>
                </c:pt>
                <c:pt idx="16120">
                  <c:v>1138780.3600000003</c:v>
                </c:pt>
                <c:pt idx="16121">
                  <c:v>1139339.8496049999</c:v>
                </c:pt>
                <c:pt idx="16122">
                  <c:v>1139899.5224399997</c:v>
                </c:pt>
                <c:pt idx="16123">
                  <c:v>1140459.378535</c:v>
                </c:pt>
                <c:pt idx="16124">
                  <c:v>1141019.4179200002</c:v>
                </c:pt>
                <c:pt idx="16125">
                  <c:v>1141579.640625</c:v>
                </c:pt>
                <c:pt idx="16126">
                  <c:v>1142140.0466799997</c:v>
                </c:pt>
                <c:pt idx="16127">
                  <c:v>1142700.6361150004</c:v>
                </c:pt>
                <c:pt idx="16128">
                  <c:v>1143261.4089600001</c:v>
                </c:pt>
                <c:pt idx="16129">
                  <c:v>1143822.365245</c:v>
                </c:pt>
                <c:pt idx="16130">
                  <c:v>1144383.505</c:v>
                </c:pt>
                <c:pt idx="16131">
                  <c:v>1144944.828255</c:v>
                </c:pt>
                <c:pt idx="16132">
                  <c:v>1145506.3350399998</c:v>
                </c:pt>
                <c:pt idx="16133">
                  <c:v>1146068.0253849998</c:v>
                </c:pt>
                <c:pt idx="16134">
                  <c:v>1146629.89932</c:v>
                </c:pt>
                <c:pt idx="16135">
                  <c:v>1147191.9568750001</c:v>
                </c:pt>
                <c:pt idx="16136">
                  <c:v>1147754.19808</c:v>
                </c:pt>
                <c:pt idx="16137">
                  <c:v>1148316.6229649999</c:v>
                </c:pt>
                <c:pt idx="16138">
                  <c:v>1148879.2315600002</c:v>
                </c:pt>
                <c:pt idx="16139">
                  <c:v>1149442.0238949999</c:v>
                </c:pt>
                <c:pt idx="16140">
                  <c:v>1150005.0</c:v>
                </c:pt>
                <c:pt idx="16141">
                  <c:v>1150568.1599049997</c:v>
                </c:pt>
                <c:pt idx="16142">
                  <c:v>1151131.50364</c:v>
                </c:pt>
                <c:pt idx="16143">
                  <c:v>1151695.0312350001</c:v>
                </c:pt>
                <c:pt idx="16144">
                  <c:v>1152258.7427199997</c:v>
                </c:pt>
                <c:pt idx="16145">
                  <c:v>1152822.6381250003</c:v>
                </c:pt>
                <c:pt idx="16146">
                  <c:v>1153386.7174799999</c:v>
                </c:pt>
                <c:pt idx="16147">
                  <c:v>1153950.980815</c:v>
                </c:pt>
                <c:pt idx="16148">
                  <c:v>1154515.4281599997</c:v>
                </c:pt>
                <c:pt idx="16149">
                  <c:v>1155080.059545</c:v>
                </c:pt>
                <c:pt idx="16150">
                  <c:v>1155644.875</c:v>
                </c:pt>
                <c:pt idx="16151">
                  <c:v>1156209.8745549999</c:v>
                </c:pt>
                <c:pt idx="16152">
                  <c:v>1156775.0582400004</c:v>
                </c:pt>
                <c:pt idx="16153">
                  <c:v>1157340.4260850002</c:v>
                </c:pt>
                <c:pt idx="16154">
                  <c:v>1157905.97812</c:v>
                </c:pt>
                <c:pt idx="16155">
                  <c:v>1158471.7143749997</c:v>
                </c:pt>
                <c:pt idx="16156">
                  <c:v>1159037.6348800003</c:v>
                </c:pt>
                <c:pt idx="16157">
                  <c:v>1159603.7396649998</c:v>
                </c:pt>
                <c:pt idx="16158">
                  <c:v>1160170.02876</c:v>
                </c:pt>
                <c:pt idx="16159">
                  <c:v>1160736.5021950002</c:v>
                </c:pt>
                <c:pt idx="16160">
                  <c:v>1161303.16</c:v>
                </c:pt>
                <c:pt idx="16161">
                  <c:v>1161870.0022050003</c:v>
                </c:pt>
                <c:pt idx="16162">
                  <c:v>1162437.0288399998</c:v>
                </c:pt>
                <c:pt idx="16163">
                  <c:v>1163004.239935</c:v>
                </c:pt>
                <c:pt idx="16164">
                  <c:v>1163571.63552</c:v>
                </c:pt>
                <c:pt idx="16165">
                  <c:v>1164139.2156249997</c:v>
                </c:pt>
                <c:pt idx="16166">
                  <c:v>1164706.9802799998</c:v>
                </c:pt>
                <c:pt idx="16167">
                  <c:v>1165274.9295150002</c:v>
                </c:pt>
                <c:pt idx="16168">
                  <c:v>1165843.06336</c:v>
                </c:pt>
                <c:pt idx="16169">
                  <c:v>1166411.3818449997</c:v>
                </c:pt>
                <c:pt idx="16170">
                  <c:v>1166979.8850000002</c:v>
                </c:pt>
                <c:pt idx="16171">
                  <c:v>1167548.572855</c:v>
                </c:pt>
                <c:pt idx="16172">
                  <c:v>1168117.4454399997</c:v>
                </c:pt>
                <c:pt idx="16173">
                  <c:v>1168686.5027849996</c:v>
                </c:pt>
                <c:pt idx="16174">
                  <c:v>1169255.7449200002</c:v>
                </c:pt>
                <c:pt idx="16175">
                  <c:v>1169825.171875</c:v>
                </c:pt>
                <c:pt idx="16176">
                  <c:v>1170394.7836799999</c:v>
                </c:pt>
                <c:pt idx="16177">
                  <c:v>1170964.5803650003</c:v>
                </c:pt>
                <c:pt idx="16178">
                  <c:v>1171534.5619600003</c:v>
                </c:pt>
                <c:pt idx="16179">
                  <c:v>1172104.728495</c:v>
                </c:pt>
                <c:pt idx="16180">
                  <c:v>1172675.0799999998</c:v>
                </c:pt>
                <c:pt idx="16181">
                  <c:v>1173245.6165050003</c:v>
                </c:pt>
                <c:pt idx="16182">
                  <c:v>1173816.33804</c:v>
                </c:pt>
                <c:pt idx="16183">
                  <c:v>1174387.244635</c:v>
                </c:pt>
                <c:pt idx="16184">
                  <c:v>1174958.3363200002</c:v>
                </c:pt>
                <c:pt idx="16185">
                  <c:v>1175529.6131250001</c:v>
                </c:pt>
                <c:pt idx="16186">
                  <c:v>1176101.0750799999</c:v>
                </c:pt>
                <c:pt idx="16187">
                  <c:v>1176672.7222149998</c:v>
                </c:pt>
                <c:pt idx="16188">
                  <c:v>1177244.55456</c:v>
                </c:pt>
                <c:pt idx="16189">
                  <c:v>1177816.5721449999</c:v>
                </c:pt>
                <c:pt idx="16190">
                  <c:v>1178388.775</c:v>
                </c:pt>
                <c:pt idx="16191">
                  <c:v>1178961.163155</c:v>
                </c:pt>
                <c:pt idx="16192">
                  <c:v>1179533.73664</c:v>
                </c:pt>
                <c:pt idx="16193">
                  <c:v>1180106.495485</c:v>
                </c:pt>
                <c:pt idx="16194">
                  <c:v>1180679.43972</c:v>
                </c:pt>
                <c:pt idx="16195">
                  <c:v>1181252.5693750002</c:v>
                </c:pt>
                <c:pt idx="16196">
                  <c:v>1181825.8844799998</c:v>
                </c:pt>
                <c:pt idx="16197">
                  <c:v>1182399.3850649998</c:v>
                </c:pt>
                <c:pt idx="16198">
                  <c:v>1182973.0711599998</c:v>
                </c:pt>
                <c:pt idx="16199">
                  <c:v>1183546.9427950003</c:v>
                </c:pt>
                <c:pt idx="16200">
                  <c:v>1184121.0</c:v>
                </c:pt>
                <c:pt idx="16201">
                  <c:v>1184695.2428049997</c:v>
                </c:pt>
                <c:pt idx="16202">
                  <c:v>1185269.6712400003</c:v>
                </c:pt>
                <c:pt idx="16203">
                  <c:v>1185844.2853350001</c:v>
                </c:pt>
                <c:pt idx="16204">
                  <c:v>1186419.08512</c:v>
                </c:pt>
                <c:pt idx="16205">
                  <c:v>1186994.0706249997</c:v>
                </c:pt>
                <c:pt idx="16206">
                  <c:v>1187569.24188</c:v>
                </c:pt>
                <c:pt idx="16207">
                  <c:v>1188144.598915</c:v>
                </c:pt>
                <c:pt idx="16208">
                  <c:v>1188720.14176</c:v>
                </c:pt>
                <c:pt idx="16209">
                  <c:v>1189295.8704450002</c:v>
                </c:pt>
                <c:pt idx="16210">
                  <c:v>1189871.7850000001</c:v>
                </c:pt>
                <c:pt idx="16211">
                  <c:v>1190447.8854550002</c:v>
                </c:pt>
                <c:pt idx="16212">
                  <c:v>1191024.17184</c:v>
                </c:pt>
                <c:pt idx="16213">
                  <c:v>1191600.6441849999</c:v>
                </c:pt>
                <c:pt idx="16214">
                  <c:v>1192177.30252</c:v>
                </c:pt>
                <c:pt idx="16215">
                  <c:v>1192754.1468749999</c:v>
                </c:pt>
                <c:pt idx="16216">
                  <c:v>1193331.1772799997</c:v>
                </c:pt>
                <c:pt idx="16217">
                  <c:v>1193908.3937650002</c:v>
                </c:pt>
                <c:pt idx="16218">
                  <c:v>1194485.79636</c:v>
                </c:pt>
                <c:pt idx="16219">
                  <c:v>1195063.385095</c:v>
                </c:pt>
                <c:pt idx="16220">
                  <c:v>1195641.1600000004</c:v>
                </c:pt>
                <c:pt idx="16221">
                  <c:v>1196219.1211050001</c:v>
                </c:pt>
                <c:pt idx="16222">
                  <c:v>1196797.2684399998</c:v>
                </c:pt>
                <c:pt idx="16223">
                  <c:v>1197375.6020349998</c:v>
                </c:pt>
                <c:pt idx="16224">
                  <c:v>1197954.1219200003</c:v>
                </c:pt>
                <c:pt idx="16225">
                  <c:v>1198532.828125</c:v>
                </c:pt>
                <c:pt idx="16226">
                  <c:v>1199111.72068</c:v>
                </c:pt>
                <c:pt idx="16227">
                  <c:v>1199690.7996150001</c:v>
                </c:pt>
                <c:pt idx="16228">
                  <c:v>1200270.0649600003</c:v>
                </c:pt>
                <c:pt idx="16229">
                  <c:v>1200849.516745</c:v>
                </c:pt>
                <c:pt idx="16230">
                  <c:v>1201429.1549999998</c:v>
                </c:pt>
                <c:pt idx="16231">
                  <c:v>1202008.979755</c:v>
                </c:pt>
                <c:pt idx="16232">
                  <c:v>1202588.99104</c:v>
                </c:pt>
                <c:pt idx="16233">
                  <c:v>1203169.1888849998</c:v>
                </c:pt>
                <c:pt idx="16234">
                  <c:v>1203749.57332</c:v>
                </c:pt>
                <c:pt idx="16235">
                  <c:v>1204330.1443750004</c:v>
                </c:pt>
                <c:pt idx="16236">
                  <c:v>1204910.90208</c:v>
                </c:pt>
                <c:pt idx="16237">
                  <c:v>1205491.8464649997</c:v>
                </c:pt>
                <c:pt idx="16238">
                  <c:v>1206072.97756</c:v>
                </c:pt>
                <c:pt idx="16239">
                  <c:v>1206654.295395</c:v>
                </c:pt>
                <c:pt idx="16240">
                  <c:v>1207235.7999999998</c:v>
                </c:pt>
                <c:pt idx="16241">
                  <c:v>1207817.491405</c:v>
                </c:pt>
                <c:pt idx="16242">
                  <c:v>1208399.3696400002</c:v>
                </c:pt>
                <c:pt idx="16243">
                  <c:v>1208981.4347350001</c:v>
                </c:pt>
                <c:pt idx="16244">
                  <c:v>1209563.6867199999</c:v>
                </c:pt>
                <c:pt idx="16245">
                  <c:v>1210146.1256250003</c:v>
                </c:pt>
                <c:pt idx="16246">
                  <c:v>1210728.7514799999</c:v>
                </c:pt>
                <c:pt idx="16247">
                  <c:v>1211311.5643149999</c:v>
                </c:pt>
                <c:pt idx="16248">
                  <c:v>1211894.5641599996</c:v>
                </c:pt>
                <c:pt idx="16249">
                  <c:v>1212477.751045</c:v>
                </c:pt>
                <c:pt idx="16250">
                  <c:v>1213061.125</c:v>
                </c:pt>
                <c:pt idx="16251">
                  <c:v>1213644.686055</c:v>
                </c:pt>
                <c:pt idx="16252">
                  <c:v>1214228.4342400003</c:v>
                </c:pt>
                <c:pt idx="16253">
                  <c:v>1214812.3695850002</c:v>
                </c:pt>
                <c:pt idx="16254">
                  <c:v>1215396.49212</c:v>
                </c:pt>
                <c:pt idx="16255">
                  <c:v>1215980.801875</c:v>
                </c:pt>
                <c:pt idx="16256">
                  <c:v>1216565.29888</c:v>
                </c:pt>
                <c:pt idx="16257">
                  <c:v>1217149.983165</c:v>
                </c:pt>
                <c:pt idx="16258">
                  <c:v>1217734.85476</c:v>
                </c:pt>
                <c:pt idx="16259">
                  <c:v>1218319.9136950003</c:v>
                </c:pt>
                <c:pt idx="16260">
                  <c:v>1218905.1600000001</c:v>
                </c:pt>
                <c:pt idx="16261">
                  <c:v>1219490.593705</c:v>
                </c:pt>
                <c:pt idx="16262">
                  <c:v>1220076.2148399998</c:v>
                </c:pt>
                <c:pt idx="16263">
                  <c:v>1220662.0234349999</c:v>
                </c:pt>
                <c:pt idx="16264">
                  <c:v>1221248.01952</c:v>
                </c:pt>
                <c:pt idx="16265">
                  <c:v>1221834.2031249998</c:v>
                </c:pt>
                <c:pt idx="16266">
                  <c:v>1222420.5742799996</c:v>
                </c:pt>
                <c:pt idx="16267">
                  <c:v>1223007.133015</c:v>
                </c:pt>
                <c:pt idx="16268">
                  <c:v>1223593.87936</c:v>
                </c:pt>
                <c:pt idx="16269">
                  <c:v>1224180.813345</c:v>
                </c:pt>
                <c:pt idx="16270">
                  <c:v>1224767.935</c:v>
                </c:pt>
                <c:pt idx="16271">
                  <c:v>1225355.2443549999</c:v>
                </c:pt>
                <c:pt idx="16272">
                  <c:v>1225942.7414399998</c:v>
                </c:pt>
                <c:pt idx="16273">
                  <c:v>1226530.4262849998</c:v>
                </c:pt>
                <c:pt idx="16274">
                  <c:v>1227118.2989200002</c:v>
                </c:pt>
                <c:pt idx="16275">
                  <c:v>1227706.359375</c:v>
                </c:pt>
                <c:pt idx="16276">
                  <c:v>1228294.60768</c:v>
                </c:pt>
                <c:pt idx="16277">
                  <c:v>1228883.0438650001</c:v>
                </c:pt>
                <c:pt idx="16278">
                  <c:v>1229471.6679600002</c:v>
                </c:pt>
                <c:pt idx="16279">
                  <c:v>1230060.4799950002</c:v>
                </c:pt>
                <c:pt idx="16280">
                  <c:v>1230649.4799999997</c:v>
                </c:pt>
                <c:pt idx="16281">
                  <c:v>1231238.668005</c:v>
                </c:pt>
                <c:pt idx="16282">
                  <c:v>1231828.04404</c:v>
                </c:pt>
                <c:pt idx="16283">
                  <c:v>1232417.6081349999</c:v>
                </c:pt>
                <c:pt idx="16284">
                  <c:v>1233007.3603200002</c:v>
                </c:pt>
                <c:pt idx="16285">
                  <c:v>1233597.300625</c:v>
                </c:pt>
                <c:pt idx="16286">
                  <c:v>1234187.42908</c:v>
                </c:pt>
                <c:pt idx="16287">
                  <c:v>1234777.745715</c:v>
                </c:pt>
                <c:pt idx="16288">
                  <c:v>1235368.25056</c:v>
                </c:pt>
                <c:pt idx="16289">
                  <c:v>1235958.943645</c:v>
                </c:pt>
                <c:pt idx="16290">
                  <c:v>1236549.8249999997</c:v>
                </c:pt>
                <c:pt idx="16291">
                  <c:v>1237140.8946549997</c:v>
                </c:pt>
                <c:pt idx="16292">
                  <c:v>1237732.1526400002</c:v>
                </c:pt>
                <c:pt idx="16293">
                  <c:v>1238323.598985</c:v>
                </c:pt>
                <c:pt idx="16294">
                  <c:v>1238915.23372</c:v>
                </c:pt>
                <c:pt idx="16295">
                  <c:v>1239507.0568750002</c:v>
                </c:pt>
                <c:pt idx="16296">
                  <c:v>1240099.06848</c:v>
                </c:pt>
                <c:pt idx="16297">
                  <c:v>1240691.268565</c:v>
                </c:pt>
                <c:pt idx="16298">
                  <c:v>1241283.6571599997</c:v>
                </c:pt>
                <c:pt idx="16299">
                  <c:v>1241876.2342949999</c:v>
                </c:pt>
                <c:pt idx="16300">
                  <c:v>1242469.0</c:v>
                </c:pt>
                <c:pt idx="16301">
                  <c:v>1243061.9543050001</c:v>
                </c:pt>
                <c:pt idx="16302">
                  <c:v>1243655.09724</c:v>
                </c:pt>
                <c:pt idx="16303">
                  <c:v>1244248.4288350001</c:v>
                </c:pt>
                <c:pt idx="16304">
                  <c:v>1244841.94912</c:v>
                </c:pt>
                <c:pt idx="16305">
                  <c:v>1245435.6581249998</c:v>
                </c:pt>
                <c:pt idx="16306">
                  <c:v>1246029.55588</c:v>
                </c:pt>
                <c:pt idx="16307">
                  <c:v>1246623.642415</c:v>
                </c:pt>
                <c:pt idx="16308">
                  <c:v>1247217.9177599999</c:v>
                </c:pt>
                <c:pt idx="16309">
                  <c:v>1247812.3819450003</c:v>
                </c:pt>
                <c:pt idx="16310">
                  <c:v>1248407.0350000001</c:v>
                </c:pt>
                <c:pt idx="16311">
                  <c:v>1249001.876955</c:v>
                </c:pt>
                <c:pt idx="16312">
                  <c:v>1249596.90784</c:v>
                </c:pt>
                <c:pt idx="16313">
                  <c:v>1250192.127685</c:v>
                </c:pt>
                <c:pt idx="16314">
                  <c:v>1250787.5365199998</c:v>
                </c:pt>
                <c:pt idx="16315">
                  <c:v>1251383.134375</c:v>
                </c:pt>
                <c:pt idx="16316">
                  <c:v>1251978.92128</c:v>
                </c:pt>
                <c:pt idx="16317">
                  <c:v>1252574.8972650003</c:v>
                </c:pt>
                <c:pt idx="16318">
                  <c:v>1253171.06236</c:v>
                </c:pt>
                <c:pt idx="16319">
                  <c:v>1253767.416595</c:v>
                </c:pt>
                <c:pt idx="16320">
                  <c:v>1254363.9600000002</c:v>
                </c:pt>
                <c:pt idx="16321">
                  <c:v>1254960.692605</c:v>
                </c:pt>
                <c:pt idx="16322">
                  <c:v>1255557.61444</c:v>
                </c:pt>
                <c:pt idx="16323">
                  <c:v>1256154.7255349997</c:v>
                </c:pt>
                <c:pt idx="16324">
                  <c:v>1256752.02592</c:v>
                </c:pt>
                <c:pt idx="16325">
                  <c:v>1257349.515625</c:v>
                </c:pt>
                <c:pt idx="16326">
                  <c:v>1257947.19468</c:v>
                </c:pt>
                <c:pt idx="16327">
                  <c:v>1258545.063115</c:v>
                </c:pt>
                <c:pt idx="16328">
                  <c:v>1259143.1209600002</c:v>
                </c:pt>
                <c:pt idx="16329">
                  <c:v>1259741.368245</c:v>
                </c:pt>
                <c:pt idx="16330">
                  <c:v>1260339.8049999997</c:v>
                </c:pt>
                <c:pt idx="16331">
                  <c:v>1260938.431255</c:v>
                </c:pt>
                <c:pt idx="16332">
                  <c:v>1261537.2470399998</c:v>
                </c:pt>
                <c:pt idx="16333">
                  <c:v>1262136.252385</c:v>
                </c:pt>
                <c:pt idx="16334">
                  <c:v>1262735.4473200003</c:v>
                </c:pt>
                <c:pt idx="16335">
                  <c:v>1263334.8318750001</c:v>
                </c:pt>
                <c:pt idx="16336">
                  <c:v>1263934.40608</c:v>
                </c:pt>
                <c:pt idx="16337">
                  <c:v>1264534.169965</c:v>
                </c:pt>
                <c:pt idx="16338">
                  <c:v>1265134.12356</c:v>
                </c:pt>
                <c:pt idx="16339">
                  <c:v>1265734.266895</c:v>
                </c:pt>
                <c:pt idx="16340">
                  <c:v>1266334.5999999999</c:v>
                </c:pt>
                <c:pt idx="16341">
                  <c:v>1266935.1229049996</c:v>
                </c:pt>
                <c:pt idx="16342">
                  <c:v>1267535.8356400002</c:v>
                </c:pt>
                <c:pt idx="16343">
                  <c:v>1268136.7382349998</c:v>
                </c:pt>
                <c:pt idx="16344">
                  <c:v>1268737.83072</c:v>
                </c:pt>
                <c:pt idx="16345">
                  <c:v>1269339.1131250004</c:v>
                </c:pt>
                <c:pt idx="16346">
                  <c:v>1269940.58548</c:v>
                </c:pt>
                <c:pt idx="16347">
                  <c:v>1270542.247815</c:v>
                </c:pt>
                <c:pt idx="16348">
                  <c:v>1271144.1001599997</c:v>
                </c:pt>
                <c:pt idx="16349">
                  <c:v>1271746.142545</c:v>
                </c:pt>
                <c:pt idx="16350">
                  <c:v>1272348.375</c:v>
                </c:pt>
                <c:pt idx="16351">
                  <c:v>1272950.797555</c:v>
                </c:pt>
                <c:pt idx="16352">
                  <c:v>1273553.41024</c:v>
                </c:pt>
                <c:pt idx="16353">
                  <c:v>1274156.2130850002</c:v>
                </c:pt>
                <c:pt idx="16354">
                  <c:v>1274759.20612</c:v>
                </c:pt>
                <c:pt idx="16355">
                  <c:v>1275362.3893749996</c:v>
                </c:pt>
                <c:pt idx="16356">
                  <c:v>1275965.7628799998</c:v>
                </c:pt>
                <c:pt idx="16357">
                  <c:v>1276569.326665</c:v>
                </c:pt>
                <c:pt idx="16358">
                  <c:v>1277173.08076</c:v>
                </c:pt>
                <c:pt idx="16359">
                  <c:v>1277777.0251950002</c:v>
                </c:pt>
                <c:pt idx="16360">
                  <c:v>1278381.1600000001</c:v>
                </c:pt>
                <c:pt idx="16361">
                  <c:v>1278985.485205</c:v>
                </c:pt>
                <c:pt idx="16362">
                  <c:v>1279590.0008399999</c:v>
                </c:pt>
                <c:pt idx="16363">
                  <c:v>1280194.706935</c:v>
                </c:pt>
                <c:pt idx="16364">
                  <c:v>1280799.60352</c:v>
                </c:pt>
                <c:pt idx="16365">
                  <c:v>1281404.6906249998</c:v>
                </c:pt>
                <c:pt idx="16366">
                  <c:v>1282009.96828</c:v>
                </c:pt>
                <c:pt idx="16367">
                  <c:v>1282615.4365150002</c:v>
                </c:pt>
                <c:pt idx="16368">
                  <c:v>1283221.0953600002</c:v>
                </c:pt>
                <c:pt idx="16369">
                  <c:v>1283826.9448449998</c:v>
                </c:pt>
                <c:pt idx="16370">
                  <c:v>1284432.9850000003</c:v>
                </c:pt>
                <c:pt idx="16371">
                  <c:v>1285039.215855</c:v>
                </c:pt>
                <c:pt idx="16372">
                  <c:v>1285645.6374399997</c:v>
                </c:pt>
                <c:pt idx="16373">
                  <c:v>1286252.2497849998</c:v>
                </c:pt>
                <c:pt idx="16374">
                  <c:v>1286859.05292</c:v>
                </c:pt>
                <c:pt idx="16375">
                  <c:v>1287466.046875</c:v>
                </c:pt>
                <c:pt idx="16376">
                  <c:v>1288073.23168</c:v>
                </c:pt>
                <c:pt idx="16377">
                  <c:v>1288680.6073650003</c:v>
                </c:pt>
                <c:pt idx="16378">
                  <c:v>1289288.17396</c:v>
                </c:pt>
                <c:pt idx="16379">
                  <c:v>1289895.931495</c:v>
                </c:pt>
                <c:pt idx="16380">
                  <c:v>1290503.88</c:v>
                </c:pt>
                <c:pt idx="16381">
                  <c:v>1291112.0195050002</c:v>
                </c:pt>
                <c:pt idx="16382">
                  <c:v>1291720.35004</c:v>
                </c:pt>
                <c:pt idx="16383">
                  <c:v>1292328.871635</c:v>
                </c:pt>
                <c:pt idx="16384">
                  <c:v>1292937.5843200004</c:v>
                </c:pt>
                <c:pt idx="16385">
                  <c:v>1293546.4881250001</c:v>
                </c:pt>
                <c:pt idx="16386">
                  <c:v>1294155.58308</c:v>
                </c:pt>
                <c:pt idx="16387">
                  <c:v>1294764.8692149997</c:v>
                </c:pt>
                <c:pt idx="16388">
                  <c:v>1295374.34656</c:v>
                </c:pt>
                <c:pt idx="16389">
                  <c:v>1295984.015145</c:v>
                </c:pt>
                <c:pt idx="16390">
                  <c:v>1296593.875</c:v>
                </c:pt>
                <c:pt idx="16391">
                  <c:v>1297203.926155</c:v>
                </c:pt>
                <c:pt idx="16392">
                  <c:v>1297814.1686400003</c:v>
                </c:pt>
                <c:pt idx="16393">
                  <c:v>1298424.602485</c:v>
                </c:pt>
                <c:pt idx="16394">
                  <c:v>1299035.2277199998</c:v>
                </c:pt>
                <c:pt idx="16395">
                  <c:v>1299646.044375</c:v>
                </c:pt>
                <c:pt idx="16396">
                  <c:v>1300257.05248</c:v>
                </c:pt>
                <c:pt idx="16397">
                  <c:v>1300868.252065</c:v>
                </c:pt>
                <c:pt idx="16398">
                  <c:v>1301479.64316</c:v>
                </c:pt>
                <c:pt idx="16399">
                  <c:v>1302091.225795</c:v>
                </c:pt>
                <c:pt idx="16400">
                  <c:v>1302703.0</c:v>
                </c:pt>
                <c:pt idx="16401">
                  <c:v>1303314.9658050004</c:v>
                </c:pt>
                <c:pt idx="16402">
                  <c:v>1303927.1232399999</c:v>
                </c:pt>
                <c:pt idx="16403">
                  <c:v>1304539.472335</c:v>
                </c:pt>
                <c:pt idx="16404">
                  <c:v>1305152.0131200007</c:v>
                </c:pt>
                <c:pt idx="16405">
                  <c:v>1305764.7456249997</c:v>
                </c:pt>
                <c:pt idx="16406">
                  <c:v>1306377.6698800002</c:v>
                </c:pt>
                <c:pt idx="16407">
                  <c:v>1306990.7859149994</c:v>
                </c:pt>
                <c:pt idx="16408">
                  <c:v>1307604.0937599998</c:v>
                </c:pt>
                <c:pt idx="16409">
                  <c:v>1308217.5934450002</c:v>
                </c:pt>
                <c:pt idx="16410">
                  <c:v>1308831.2849999995</c:v>
                </c:pt>
                <c:pt idx="16411">
                  <c:v>1309445.168455</c:v>
                </c:pt>
                <c:pt idx="16412">
                  <c:v>1310059.2438400006</c:v>
                </c:pt>
                <c:pt idx="16413">
                  <c:v>1310673.5111849997</c:v>
                </c:pt>
                <c:pt idx="16414">
                  <c:v>1311287.9705199997</c:v>
                </c:pt>
                <c:pt idx="16415">
                  <c:v>1311902.6218750002</c:v>
                </c:pt>
                <c:pt idx="16416">
                  <c:v>1312517.4652799997</c:v>
                </c:pt>
                <c:pt idx="16417">
                  <c:v>1313132.5007649998</c:v>
                </c:pt>
                <c:pt idx="16418">
                  <c:v>1313747.7283600005</c:v>
                </c:pt>
                <c:pt idx="16419">
                  <c:v>1314363.148095</c:v>
                </c:pt>
                <c:pt idx="16420">
                  <c:v>1314978.7600000005</c:v>
                </c:pt>
                <c:pt idx="16421">
                  <c:v>1315594.5641049994</c:v>
                </c:pt>
                <c:pt idx="16422">
                  <c:v>1316210.5604399997</c:v>
                </c:pt>
                <c:pt idx="16423">
                  <c:v>1316826.749035</c:v>
                </c:pt>
                <c:pt idx="16424">
                  <c:v>1317443.1299199995</c:v>
                </c:pt>
                <c:pt idx="16425">
                  <c:v>1318059.703125</c:v>
                </c:pt>
                <c:pt idx="16426">
                  <c:v>1318676.4686800004</c:v>
                </c:pt>
                <c:pt idx="16427">
                  <c:v>1319293.426615</c:v>
                </c:pt>
                <c:pt idx="16428">
                  <c:v>1319910.5769600002</c:v>
                </c:pt>
                <c:pt idx="16429">
                  <c:v>1320527.9197450005</c:v>
                </c:pt>
                <c:pt idx="16430">
                  <c:v>1321145.4549999996</c:v>
                </c:pt>
                <c:pt idx="16431">
                  <c:v>1321763.1827550002</c:v>
                </c:pt>
                <c:pt idx="16432">
                  <c:v>1322381.1030399993</c:v>
                </c:pt>
                <c:pt idx="16433">
                  <c:v>1322999.2158849998</c:v>
                </c:pt>
                <c:pt idx="16434">
                  <c:v>1323617.52132</c:v>
                </c:pt>
                <c:pt idx="16435">
                  <c:v>1324236.0193749997</c:v>
                </c:pt>
                <c:pt idx="16436">
                  <c:v>1324854.71008</c:v>
                </c:pt>
                <c:pt idx="16437">
                  <c:v>1325473.5934650002</c:v>
                </c:pt>
                <c:pt idx="16438">
                  <c:v>1326092.6695599996</c:v>
                </c:pt>
                <c:pt idx="16439">
                  <c:v>1326711.9383949998</c:v>
                </c:pt>
                <c:pt idx="16440">
                  <c:v>1327331.4000000004</c:v>
                </c:pt>
                <c:pt idx="16441">
                  <c:v>1327951.0544049996</c:v>
                </c:pt>
                <c:pt idx="16442">
                  <c:v>1328570.90164</c:v>
                </c:pt>
                <c:pt idx="16443">
                  <c:v>1329190.9417350006</c:v>
                </c:pt>
                <c:pt idx="16444">
                  <c:v>1329811.17472</c:v>
                </c:pt>
                <c:pt idx="16445">
                  <c:v>1330431.6006250002</c:v>
                </c:pt>
                <c:pt idx="16446">
                  <c:v>1331052.2194799993</c:v>
                </c:pt>
                <c:pt idx="16447">
                  <c:v>1331673.0313149998</c:v>
                </c:pt>
                <c:pt idx="16448">
                  <c:v>1332294.0361600004</c:v>
                </c:pt>
                <c:pt idx="16449">
                  <c:v>1332915.2340449996</c:v>
                </c:pt>
                <c:pt idx="16450">
                  <c:v>1333536.625</c:v>
                </c:pt>
                <c:pt idx="16451">
                  <c:v>1334158.2090550005</c:v>
                </c:pt>
                <c:pt idx="16452">
                  <c:v>1334779.9862399998</c:v>
                </c:pt>
                <c:pt idx="16453">
                  <c:v>1335401.956585</c:v>
                </c:pt>
                <c:pt idx="16454">
                  <c:v>1336024.1201200006</c:v>
                </c:pt>
                <c:pt idx="16455">
                  <c:v>1336646.4768749997</c:v>
                </c:pt>
                <c:pt idx="16456">
                  <c:v>1337269.0268799998</c:v>
                </c:pt>
                <c:pt idx="16457">
                  <c:v>1337891.7701649996</c:v>
                </c:pt>
                <c:pt idx="16458">
                  <c:v>1338514.70676</c:v>
                </c:pt>
                <c:pt idx="16459">
                  <c:v>1339137.8366950003</c:v>
                </c:pt>
                <c:pt idx="16460">
                  <c:v>1339761.1599999997</c:v>
                </c:pt>
                <c:pt idx="16461">
                  <c:v>1340384.6767050002</c:v>
                </c:pt>
                <c:pt idx="16462">
                  <c:v>1341008.3868400005</c:v>
                </c:pt>
                <c:pt idx="16463">
                  <c:v>1341632.2904349999</c:v>
                </c:pt>
                <c:pt idx="16464">
                  <c:v>1342256.3875199999</c:v>
                </c:pt>
                <c:pt idx="16465">
                  <c:v>1342880.6781250003</c:v>
                </c:pt>
                <c:pt idx="16466">
                  <c:v>1343505.16228</c:v>
                </c:pt>
                <c:pt idx="16467">
                  <c:v>1344129.840015</c:v>
                </c:pt>
                <c:pt idx="16468">
                  <c:v>1344754.7113600003</c:v>
                </c:pt>
                <c:pt idx="16469">
                  <c:v>1345379.7763449997</c:v>
                </c:pt>
                <c:pt idx="16470">
                  <c:v>1346005.0350000004</c:v>
                </c:pt>
                <c:pt idx="16471">
                  <c:v>1346630.4873549994</c:v>
                </c:pt>
                <c:pt idx="16472">
                  <c:v>1347256.1334399998</c:v>
                </c:pt>
                <c:pt idx="16473">
                  <c:v>1347881.973285</c:v>
                </c:pt>
                <c:pt idx="16474">
                  <c:v>1348508.0069199996</c:v>
                </c:pt>
                <c:pt idx="16475">
                  <c:v>1349134.234375</c:v>
                </c:pt>
                <c:pt idx="16476">
                  <c:v>1349760.6556800003</c:v>
                </c:pt>
                <c:pt idx="16477">
                  <c:v>1350387.2708649996</c:v>
                </c:pt>
                <c:pt idx="16478">
                  <c:v>1351014.0799600002</c:v>
                </c:pt>
                <c:pt idx="16479">
                  <c:v>1351641.0829950005</c:v>
                </c:pt>
                <c:pt idx="16480">
                  <c:v>1352268.2799999996</c:v>
                </c:pt>
                <c:pt idx="16481">
                  <c:v>1352895.6710050004</c:v>
                </c:pt>
                <c:pt idx="16482">
                  <c:v>1353523.2560399994</c:v>
                </c:pt>
                <c:pt idx="16483">
                  <c:v>1354151.0351349998</c:v>
                </c:pt>
                <c:pt idx="16484">
                  <c:v>1354779.0083200003</c:v>
                </c:pt>
                <c:pt idx="16485">
                  <c:v>1355407.1756249997</c:v>
                </c:pt>
                <c:pt idx="16486">
                  <c:v>1356035.53708</c:v>
                </c:pt>
                <c:pt idx="16487">
                  <c:v>1356664.0927150003</c:v>
                </c:pt>
                <c:pt idx="16488">
                  <c:v>1357292.8425599998</c:v>
                </c:pt>
                <c:pt idx="16489">
                  <c:v>1357921.786645</c:v>
                </c:pt>
                <c:pt idx="16490">
                  <c:v>1358550.9250000003</c:v>
                </c:pt>
                <c:pt idx="16491">
                  <c:v>1359180.2576549998</c:v>
                </c:pt>
                <c:pt idx="16492">
                  <c:v>1359809.78464</c:v>
                </c:pt>
                <c:pt idx="16493">
                  <c:v>1360439.5059850006</c:v>
                </c:pt>
                <c:pt idx="16494">
                  <c:v>1361069.42172</c:v>
                </c:pt>
                <c:pt idx="16495">
                  <c:v>1361699.5318750003</c:v>
                </c:pt>
                <c:pt idx="16496">
                  <c:v>1362329.8364799994</c:v>
                </c:pt>
                <c:pt idx="16497">
                  <c:v>1362960.3355649998</c:v>
                </c:pt>
                <c:pt idx="16498">
                  <c:v>1363591.0291600002</c:v>
                </c:pt>
                <c:pt idx="16499">
                  <c:v>1364221.9172949996</c:v>
                </c:pt>
                <c:pt idx="16500">
                  <c:v>1364853.0</c:v>
                </c:pt>
                <c:pt idx="16501">
                  <c:v>1365484.2773050005</c:v>
                </c:pt>
                <c:pt idx="16502">
                  <c:v>1366115.7492399996</c:v>
                </c:pt>
                <c:pt idx="16503">
                  <c:v>1366747.4158350003</c:v>
                </c:pt>
                <c:pt idx="16504">
                  <c:v>1367379.2771200002</c:v>
                </c:pt>
                <c:pt idx="16505">
                  <c:v>1368011.333125</c:v>
                </c:pt>
                <c:pt idx="16506">
                  <c:v>1368643.58388</c:v>
                </c:pt>
                <c:pt idx="16507">
                  <c:v>1369276.0294149995</c:v>
                </c:pt>
                <c:pt idx="16508">
                  <c:v>1369908.6697599997</c:v>
                </c:pt>
                <c:pt idx="16509">
                  <c:v>1370541.5049450004</c:v>
                </c:pt>
                <c:pt idx="16510">
                  <c:v>1371174.5349999997</c:v>
                </c:pt>
                <c:pt idx="16511">
                  <c:v>1371807.759955</c:v>
                </c:pt>
                <c:pt idx="16512">
                  <c:v>1372441.1798400006</c:v>
                </c:pt>
                <c:pt idx="16513">
                  <c:v>1373074.7946849996</c:v>
                </c:pt>
                <c:pt idx="16514">
                  <c:v>1373708.60452</c:v>
                </c:pt>
                <c:pt idx="16515">
                  <c:v>1374342.6093750005</c:v>
                </c:pt>
                <c:pt idx="16516">
                  <c:v>1374976.80928</c:v>
                </c:pt>
                <c:pt idx="16517">
                  <c:v>1375611.204265</c:v>
                </c:pt>
                <c:pt idx="16518">
                  <c:v>1376245.7943600004</c:v>
                </c:pt>
                <c:pt idx="16519">
                  <c:v>1376880.579595</c:v>
                </c:pt>
                <c:pt idx="16520">
                  <c:v>1377515.56</c:v>
                </c:pt>
                <c:pt idx="16521">
                  <c:v>1378150.7356049996</c:v>
                </c:pt>
                <c:pt idx="16522">
                  <c:v>1378786.1064399998</c:v>
                </c:pt>
                <c:pt idx="16523">
                  <c:v>1379421.6725350001</c:v>
                </c:pt>
                <c:pt idx="16524">
                  <c:v>1380057.4339199995</c:v>
                </c:pt>
                <c:pt idx="16525">
                  <c:v>1380693.390625</c:v>
                </c:pt>
                <c:pt idx="16526">
                  <c:v>1381329.5426800002</c:v>
                </c:pt>
                <c:pt idx="16527">
                  <c:v>1381965.8901149996</c:v>
                </c:pt>
                <c:pt idx="16528">
                  <c:v>1382602.4329600004</c:v>
                </c:pt>
                <c:pt idx="16529">
                  <c:v>1383239.1712450003</c:v>
                </c:pt>
                <c:pt idx="16530">
                  <c:v>1383876.105</c:v>
                </c:pt>
                <c:pt idx="16531">
                  <c:v>1384513.234255</c:v>
                </c:pt>
                <c:pt idx="16532">
                  <c:v>1385150.5590399995</c:v>
                </c:pt>
                <c:pt idx="16533">
                  <c:v>1385788.0793849998</c:v>
                </c:pt>
                <c:pt idx="16534">
                  <c:v>1386425.7953200003</c:v>
                </c:pt>
                <c:pt idx="16535">
                  <c:v>1387063.7068749997</c:v>
                </c:pt>
                <c:pt idx="16536">
                  <c:v>1387701.8140800002</c:v>
                </c:pt>
                <c:pt idx="16537">
                  <c:v>1388340.1169650003</c:v>
                </c:pt>
                <c:pt idx="16538">
                  <c:v>1388978.6155599996</c:v>
                </c:pt>
                <c:pt idx="16539">
                  <c:v>1389617.309895</c:v>
                </c:pt>
                <c:pt idx="16540">
                  <c:v>1390256.2000000002</c:v>
                </c:pt>
                <c:pt idx="16541">
                  <c:v>1390895.2859049996</c:v>
                </c:pt>
                <c:pt idx="16542">
                  <c:v>1391534.5676400003</c:v>
                </c:pt>
                <c:pt idx="16543">
                  <c:v>1392174.0452350003</c:v>
                </c:pt>
                <c:pt idx="16544">
                  <c:v>1392813.7187199998</c:v>
                </c:pt>
                <c:pt idx="16545">
                  <c:v>1393453.5881250002</c:v>
                </c:pt>
                <c:pt idx="16546">
                  <c:v>1394093.6534799996</c:v>
                </c:pt>
                <c:pt idx="16547">
                  <c:v>1394733.9148149996</c:v>
                </c:pt>
                <c:pt idx="16548">
                  <c:v>1395374.37216</c:v>
                </c:pt>
                <c:pt idx="16549">
                  <c:v>1396015.0255449996</c:v>
                </c:pt>
                <c:pt idx="16550">
                  <c:v>1396655.875</c:v>
                </c:pt>
                <c:pt idx="16551">
                  <c:v>1397296.9205550002</c:v>
                </c:pt>
                <c:pt idx="16552">
                  <c:v>1397938.1622399997</c:v>
                </c:pt>
                <c:pt idx="16553">
                  <c:v>1398579.600085</c:v>
                </c:pt>
                <c:pt idx="16554">
                  <c:v>1399221.2341200006</c:v>
                </c:pt>
                <c:pt idx="16555">
                  <c:v>1399863.0643749996</c:v>
                </c:pt>
                <c:pt idx="16556">
                  <c:v>1400505.09088</c:v>
                </c:pt>
                <c:pt idx="16557">
                  <c:v>1401147.3136649996</c:v>
                </c:pt>
                <c:pt idx="16558">
                  <c:v>1401789.7327599998</c:v>
                </c:pt>
                <c:pt idx="16559">
                  <c:v>1402432.348195</c:v>
                </c:pt>
                <c:pt idx="16560">
                  <c:v>1403075.1599999997</c:v>
                </c:pt>
                <c:pt idx="16561">
                  <c:v>1403718.1682050002</c:v>
                </c:pt>
                <c:pt idx="16562">
                  <c:v>1404361.3728400005</c:v>
                </c:pt>
                <c:pt idx="16563">
                  <c:v>1405004.7739349997</c:v>
                </c:pt>
                <c:pt idx="16564">
                  <c:v>1405648.37152</c:v>
                </c:pt>
                <c:pt idx="16565">
                  <c:v>1406292.1656250004</c:v>
                </c:pt>
                <c:pt idx="16566">
                  <c:v>1406936.1562799995</c:v>
                </c:pt>
                <c:pt idx="16567">
                  <c:v>1407580.343515</c:v>
                </c:pt>
                <c:pt idx="16568">
                  <c:v>1408224.7273600006</c:v>
                </c:pt>
                <c:pt idx="16569">
                  <c:v>1408869.3078449997</c:v>
                </c:pt>
                <c:pt idx="16570">
                  <c:v>1409514.0850000004</c:v>
                </c:pt>
                <c:pt idx="16571">
                  <c:v>1410159.0588549997</c:v>
                </c:pt>
                <c:pt idx="16572">
                  <c:v>1410804.2294399997</c:v>
                </c:pt>
                <c:pt idx="16573">
                  <c:v>1411449.596785</c:v>
                </c:pt>
                <c:pt idx="16574">
                  <c:v>1412095.1609199997</c:v>
                </c:pt>
                <c:pt idx="16575">
                  <c:v>1412740.921875</c:v>
                </c:pt>
                <c:pt idx="16576">
                  <c:v>1413386.8796800002</c:v>
                </c:pt>
                <c:pt idx="16577">
                  <c:v>1414033.0343649997</c:v>
                </c:pt>
                <c:pt idx="16578">
                  <c:v>1414679.38596</c:v>
                </c:pt>
                <c:pt idx="16579">
                  <c:v>1415325.9344950004</c:v>
                </c:pt>
                <c:pt idx="16580">
                  <c:v>1415972.6799999997</c:v>
                </c:pt>
                <c:pt idx="16581">
                  <c:v>1416619.6225050003</c:v>
                </c:pt>
                <c:pt idx="16582">
                  <c:v>1417266.7620399992</c:v>
                </c:pt>
                <c:pt idx="16583">
                  <c:v>1417914.098635</c:v>
                </c:pt>
                <c:pt idx="16584">
                  <c:v>1418561.6323200003</c:v>
                </c:pt>
                <c:pt idx="16585">
                  <c:v>1419209.3631249997</c:v>
                </c:pt>
                <c:pt idx="16586">
                  <c:v>1419857.2910799999</c:v>
                </c:pt>
                <c:pt idx="16587">
                  <c:v>1420505.4162150002</c:v>
                </c:pt>
                <c:pt idx="16588">
                  <c:v>1421153.7385599995</c:v>
                </c:pt>
                <c:pt idx="16589">
                  <c:v>1421802.2581449999</c:v>
                </c:pt>
                <c:pt idx="16590">
                  <c:v>1422450.975</c:v>
                </c:pt>
                <c:pt idx="16591">
                  <c:v>1423099.8891549997</c:v>
                </c:pt>
                <c:pt idx="16592">
                  <c:v>1423749.00064</c:v>
                </c:pt>
                <c:pt idx="16593">
                  <c:v>1424398.3094850006</c:v>
                </c:pt>
                <c:pt idx="16594">
                  <c:v>1425047.8157199998</c:v>
                </c:pt>
                <c:pt idx="16595">
                  <c:v>1425697.5193750001</c:v>
                </c:pt>
                <c:pt idx="16596">
                  <c:v>1426347.4204799994</c:v>
                </c:pt>
                <c:pt idx="16597">
                  <c:v>1426997.519065</c:v>
                </c:pt>
                <c:pt idx="16598">
                  <c:v>1427647.8151600002</c:v>
                </c:pt>
                <c:pt idx="16599">
                  <c:v>1428298.3087949997</c:v>
                </c:pt>
                <c:pt idx="16600">
                  <c:v>1428949.0</c:v>
                </c:pt>
                <c:pt idx="16601">
                  <c:v>1429599.8888050003</c:v>
                </c:pt>
                <c:pt idx="16602">
                  <c:v>1430250.9752399998</c:v>
                </c:pt>
                <c:pt idx="16603">
                  <c:v>1430902.2593350003</c:v>
                </c:pt>
                <c:pt idx="16604">
                  <c:v>1431553.7411200006</c:v>
                </c:pt>
                <c:pt idx="16605">
                  <c:v>1432205.4206249998</c:v>
                </c:pt>
                <c:pt idx="16606">
                  <c:v>1432857.29788</c:v>
                </c:pt>
                <c:pt idx="16607">
                  <c:v>1433509.3729149995</c:v>
                </c:pt>
                <c:pt idx="16608">
                  <c:v>1434161.64576</c:v>
                </c:pt>
                <c:pt idx="16609">
                  <c:v>1434814.1164450003</c:v>
                </c:pt>
                <c:pt idx="16610">
                  <c:v>1435466.7849999997</c:v>
                </c:pt>
                <c:pt idx="16611">
                  <c:v>1436119.651455</c:v>
                </c:pt>
                <c:pt idx="16612">
                  <c:v>1436772.7158400007</c:v>
                </c:pt>
                <c:pt idx="16613">
                  <c:v>1437425.978185</c:v>
                </c:pt>
                <c:pt idx="16614">
                  <c:v>1438079.4385199999</c:v>
                </c:pt>
                <c:pt idx="16615">
                  <c:v>1438733.0968750003</c:v>
                </c:pt>
                <c:pt idx="16616">
                  <c:v>1439386.9532799996</c:v>
                </c:pt>
                <c:pt idx="16617">
                  <c:v>1440041.007765</c:v>
                </c:pt>
                <c:pt idx="16618">
                  <c:v>1440695.2603600004</c:v>
                </c:pt>
                <c:pt idx="16619">
                  <c:v>1441349.711095</c:v>
                </c:pt>
                <c:pt idx="16620">
                  <c:v>1442004.3600000003</c:v>
                </c:pt>
                <c:pt idx="16621">
                  <c:v>1442659.2071049993</c:v>
                </c:pt>
                <c:pt idx="16622">
                  <c:v>1443314.25244</c:v>
                </c:pt>
                <c:pt idx="16623">
                  <c:v>1443969.496035</c:v>
                </c:pt>
                <c:pt idx="16624">
                  <c:v>1444624.9379199997</c:v>
                </c:pt>
                <c:pt idx="16625">
                  <c:v>1445280.578125</c:v>
                </c:pt>
                <c:pt idx="16626">
                  <c:v>1445936.4166800003</c:v>
                </c:pt>
                <c:pt idx="16627">
                  <c:v>1446592.4536149998</c:v>
                </c:pt>
                <c:pt idx="16628">
                  <c:v>1447248.6889600002</c:v>
                </c:pt>
                <c:pt idx="16629">
                  <c:v>1447905.1227450005</c:v>
                </c:pt>
                <c:pt idx="16630">
                  <c:v>1448561.755</c:v>
                </c:pt>
                <c:pt idx="16631">
                  <c:v>1449218.585755</c:v>
                </c:pt>
                <c:pt idx="16632">
                  <c:v>1449875.6150399996</c:v>
                </c:pt>
                <c:pt idx="16633">
                  <c:v>1450532.842885</c:v>
                </c:pt>
                <c:pt idx="16634">
                  <c:v>1451190.2693200002</c:v>
                </c:pt>
                <c:pt idx="16635">
                  <c:v>1451847.8943749997</c:v>
                </c:pt>
                <c:pt idx="16636">
                  <c:v>1452505.7180800003</c:v>
                </c:pt>
                <c:pt idx="16637">
                  <c:v>1453163.7404650005</c:v>
                </c:pt>
                <c:pt idx="16638">
                  <c:v>1453821.9615599995</c:v>
                </c:pt>
                <c:pt idx="16639">
                  <c:v>1454480.3813949998</c:v>
                </c:pt>
                <c:pt idx="16640">
                  <c:v>1455139.0000000005</c:v>
                </c:pt>
                <c:pt idx="16641">
                  <c:v>1455797.8174049999</c:v>
                </c:pt>
                <c:pt idx="16642">
                  <c:v>1456456.83364</c:v>
                </c:pt>
                <c:pt idx="16643">
                  <c:v>1457116.0487350004</c:v>
                </c:pt>
                <c:pt idx="16644">
                  <c:v>1457775.46272</c:v>
                </c:pt>
                <c:pt idx="16645">
                  <c:v>1458435.0756250003</c:v>
                </c:pt>
                <c:pt idx="16646">
                  <c:v>1459094.8874799993</c:v>
                </c:pt>
                <c:pt idx="16647">
                  <c:v>1459754.8983149999</c:v>
                </c:pt>
                <c:pt idx="16648">
                  <c:v>1460415.10816</c:v>
                </c:pt>
                <c:pt idx="16649">
                  <c:v>1461075.5170449996</c:v>
                </c:pt>
                <c:pt idx="16650">
                  <c:v>1461736.125</c:v>
                </c:pt>
                <c:pt idx="16651">
                  <c:v>1462396.9320550004</c:v>
                </c:pt>
                <c:pt idx="16652">
                  <c:v>1463057.9382399998</c:v>
                </c:pt>
                <c:pt idx="16653">
                  <c:v>1463719.1435850002</c:v>
                </c:pt>
                <c:pt idx="16654">
                  <c:v>1464380.5481200006</c:v>
                </c:pt>
                <c:pt idx="16655">
                  <c:v>1465042.1518749997</c:v>
                </c:pt>
                <c:pt idx="16656">
                  <c:v>1465703.95488</c:v>
                </c:pt>
                <c:pt idx="16657">
                  <c:v>1466365.9571649996</c:v>
                </c:pt>
                <c:pt idx="16658">
                  <c:v>1467028.1587599998</c:v>
                </c:pt>
                <c:pt idx="16659">
                  <c:v>1467690.5596950003</c:v>
                </c:pt>
                <c:pt idx="16660">
                  <c:v>1468353.1599999995</c:v>
                </c:pt>
                <c:pt idx="16661">
                  <c:v>1469015.9597049998</c:v>
                </c:pt>
                <c:pt idx="16662">
                  <c:v>1469678.9588400007</c:v>
                </c:pt>
                <c:pt idx="16663">
                  <c:v>1470342.1574349997</c:v>
                </c:pt>
                <c:pt idx="16664">
                  <c:v>1471005.55552</c:v>
                </c:pt>
                <c:pt idx="16665">
                  <c:v>1471669.1531250002</c:v>
                </c:pt>
                <c:pt idx="16666">
                  <c:v>1472332.9502799998</c:v>
                </c:pt>
                <c:pt idx="16667">
                  <c:v>1472996.947015</c:v>
                </c:pt>
                <c:pt idx="16668">
                  <c:v>1473661.1433600006</c:v>
                </c:pt>
                <c:pt idx="16669">
                  <c:v>1474325.539345</c:v>
                </c:pt>
                <c:pt idx="16670">
                  <c:v>1474990.1350000002</c:v>
                </c:pt>
                <c:pt idx="16671">
                  <c:v>1475654.9303549994</c:v>
                </c:pt>
                <c:pt idx="16672">
                  <c:v>1476319.92544</c:v>
                </c:pt>
                <c:pt idx="16673">
                  <c:v>1476985.1202850002</c:v>
                </c:pt>
                <c:pt idx="16674">
                  <c:v>1477650.5149199995</c:v>
                </c:pt>
                <c:pt idx="16675">
                  <c:v>1478316.109375</c:v>
                </c:pt>
                <c:pt idx="16676">
                  <c:v>1478981.9036800005</c:v>
                </c:pt>
                <c:pt idx="16677">
                  <c:v>1479647.897865</c:v>
                </c:pt>
                <c:pt idx="16678">
                  <c:v>1480314.0919600003</c:v>
                </c:pt>
                <c:pt idx="16679">
                  <c:v>1480980.4859950005</c:v>
                </c:pt>
                <c:pt idx="16680">
                  <c:v>1481647.0799999998</c:v>
                </c:pt>
                <c:pt idx="16681">
                  <c:v>1482313.874005</c:v>
                </c:pt>
                <c:pt idx="16682">
                  <c:v>1482980.8680399994</c:v>
                </c:pt>
                <c:pt idx="16683">
                  <c:v>1483648.0621349998</c:v>
                </c:pt>
                <c:pt idx="16684">
                  <c:v>1484315.45632</c:v>
                </c:pt>
                <c:pt idx="16685">
                  <c:v>1484983.0506249997</c:v>
                </c:pt>
                <c:pt idx="16686">
                  <c:v>1485650.8450799999</c:v>
                </c:pt>
                <c:pt idx="16687">
                  <c:v>1486318.8397150005</c:v>
                </c:pt>
                <c:pt idx="16688">
                  <c:v>1486987.0345599996</c:v>
                </c:pt>
                <c:pt idx="16689">
                  <c:v>1487655.4296450003</c:v>
                </c:pt>
                <c:pt idx="16690">
                  <c:v>1488324.0250000004</c:v>
                </c:pt>
                <c:pt idx="16691">
                  <c:v>1488992.8206549997</c:v>
                </c:pt>
                <c:pt idx="16692">
                  <c:v>1489661.81664</c:v>
                </c:pt>
                <c:pt idx="16693">
                  <c:v>1490331.0129850004</c:v>
                </c:pt>
                <c:pt idx="16694">
                  <c:v>1491000.4097199999</c:v>
                </c:pt>
                <c:pt idx="16695">
                  <c:v>1491670.0068750004</c:v>
                </c:pt>
                <c:pt idx="16696">
                  <c:v>1492339.8044799995</c:v>
                </c:pt>
                <c:pt idx="16697">
                  <c:v>1493009.802565</c:v>
                </c:pt>
                <c:pt idx="16698">
                  <c:v>1493680.0011600002</c:v>
                </c:pt>
                <c:pt idx="16699">
                  <c:v>1494350.4002949996</c:v>
                </c:pt>
                <c:pt idx="16700">
                  <c:v>1495021.0</c:v>
                </c:pt>
                <c:pt idx="16701">
                  <c:v>1495691.8003050003</c:v>
                </c:pt>
                <c:pt idx="16702">
                  <c:v>1496362.80124</c:v>
                </c:pt>
                <c:pt idx="16703">
                  <c:v>1497034.0028350002</c:v>
                </c:pt>
                <c:pt idx="16704">
                  <c:v>1497705.4051200007</c:v>
                </c:pt>
                <c:pt idx="16705">
                  <c:v>1498377.0081249995</c:v>
                </c:pt>
                <c:pt idx="16706">
                  <c:v>1499048.81188</c:v>
                </c:pt>
                <c:pt idx="16707">
                  <c:v>1499720.8164149998</c:v>
                </c:pt>
                <c:pt idx="16708">
                  <c:v>1500393.0217599997</c:v>
                </c:pt>
                <c:pt idx="16709">
                  <c:v>1501065.4279450001</c:v>
                </c:pt>
                <c:pt idx="16710">
                  <c:v>1501738.0349999997</c:v>
                </c:pt>
                <c:pt idx="16711">
                  <c:v>1502410.842955</c:v>
                </c:pt>
                <c:pt idx="16712">
                  <c:v>1503083.8518400006</c:v>
                </c:pt>
                <c:pt idx="16713">
                  <c:v>1503757.0616849996</c:v>
                </c:pt>
                <c:pt idx="16714">
                  <c:v>1504430.4725199998</c:v>
                </c:pt>
                <c:pt idx="16715">
                  <c:v>1505104.0843750003</c:v>
                </c:pt>
                <c:pt idx="16716">
                  <c:v>1505777.8972799997</c:v>
                </c:pt>
                <c:pt idx="16717">
                  <c:v>1506451.9112650002</c:v>
                </c:pt>
                <c:pt idx="16718">
                  <c:v>1507126.1263600006</c:v>
                </c:pt>
                <c:pt idx="16719">
                  <c:v>1507800.542595</c:v>
                </c:pt>
                <c:pt idx="16720">
                  <c:v>1508475.1600000004</c:v>
                </c:pt>
                <c:pt idx="16721">
                  <c:v>1509149.9786049996</c:v>
                </c:pt>
                <c:pt idx="16722">
                  <c:v>1509824.99844</c:v>
                </c:pt>
                <c:pt idx="16723">
                  <c:v>1510500.2195350002</c:v>
                </c:pt>
                <c:pt idx="16724">
                  <c:v>1511175.6419199998</c:v>
                </c:pt>
                <c:pt idx="16725">
                  <c:v>1511851.265625</c:v>
                </c:pt>
                <c:pt idx="16726">
                  <c:v>1512527.0906800004</c:v>
                </c:pt>
                <c:pt idx="16727">
                  <c:v>1513203.1171149998</c:v>
                </c:pt>
                <c:pt idx="16728">
                  <c:v>1513879.3449600001</c:v>
                </c:pt>
                <c:pt idx="16729">
                  <c:v>1514555.7742450004</c:v>
                </c:pt>
                <c:pt idx="16730">
                  <c:v>1515232.4049999996</c:v>
                </c:pt>
                <c:pt idx="16731">
                  <c:v>1515909.237255</c:v>
                </c:pt>
                <c:pt idx="16732">
                  <c:v>1516586.2710399998</c:v>
                </c:pt>
                <c:pt idx="16733">
                  <c:v>1517263.506385</c:v>
                </c:pt>
                <c:pt idx="16734">
                  <c:v>1517940.94332</c:v>
                </c:pt>
                <c:pt idx="16735">
                  <c:v>1518618.581875</c:v>
                </c:pt>
                <c:pt idx="16736">
                  <c:v>1519296.4220800002</c:v>
                </c:pt>
                <c:pt idx="16737">
                  <c:v>1519974.4639650004</c:v>
                </c:pt>
                <c:pt idx="16738">
                  <c:v>1520652.7075599998</c:v>
                </c:pt>
                <c:pt idx="16739">
                  <c:v>1521331.152895</c:v>
                </c:pt>
                <c:pt idx="16740">
                  <c:v>1522009.8000000005</c:v>
                </c:pt>
                <c:pt idx="16741">
                  <c:v>1522688.648905</c:v>
                </c:pt>
                <c:pt idx="16742">
                  <c:v>1523367.69964</c:v>
                </c:pt>
                <c:pt idx="16743">
                  <c:v>1524046.9522350004</c:v>
                </c:pt>
                <c:pt idx="16744">
                  <c:v>1524726.40672</c:v>
                </c:pt>
                <c:pt idx="16745">
                  <c:v>1525406.0631250003</c:v>
                </c:pt>
                <c:pt idx="16746">
                  <c:v>1526085.9214799996</c:v>
                </c:pt>
                <c:pt idx="16747">
                  <c:v>1526765.9818149998</c:v>
                </c:pt>
                <c:pt idx="16748">
                  <c:v>1527446.2441600005</c:v>
                </c:pt>
                <c:pt idx="16749">
                  <c:v>1528126.7085449996</c:v>
                </c:pt>
                <c:pt idx="16750">
                  <c:v>1528807.375</c:v>
                </c:pt>
                <c:pt idx="16751">
                  <c:v>1529488.2435550003</c:v>
                </c:pt>
                <c:pt idx="16752">
                  <c:v>1530169.3142399997</c:v>
                </c:pt>
                <c:pt idx="16753">
                  <c:v>1530850.5870850002</c:v>
                </c:pt>
                <c:pt idx="16754">
                  <c:v>1531532.0621200006</c:v>
                </c:pt>
                <c:pt idx="16755">
                  <c:v>1532213.7393749997</c:v>
                </c:pt>
                <c:pt idx="16756">
                  <c:v>1532895.61888</c:v>
                </c:pt>
                <c:pt idx="16757">
                  <c:v>1533577.7006649994</c:v>
                </c:pt>
                <c:pt idx="16758">
                  <c:v>1534259.98476</c:v>
                </c:pt>
                <c:pt idx="16759">
                  <c:v>1534942.471195</c:v>
                </c:pt>
                <c:pt idx="16760">
                  <c:v>1535625.1599999995</c:v>
                </c:pt>
                <c:pt idx="16761">
                  <c:v>1536308.051205</c:v>
                </c:pt>
                <c:pt idx="16762">
                  <c:v>1536991.1448400004</c:v>
                </c:pt>
                <c:pt idx="16763">
                  <c:v>1537674.4409349996</c:v>
                </c:pt>
                <c:pt idx="16764">
                  <c:v>1538357.9395199998</c:v>
                </c:pt>
                <c:pt idx="16765">
                  <c:v>1539041.6406250002</c:v>
                </c:pt>
                <c:pt idx="16766">
                  <c:v>1539725.5442799996</c:v>
                </c:pt>
                <c:pt idx="16767">
                  <c:v>1540409.650515</c:v>
                </c:pt>
                <c:pt idx="16768">
                  <c:v>1541093.9593600007</c:v>
                </c:pt>
                <c:pt idx="16769">
                  <c:v>1541778.470845</c:v>
                </c:pt>
                <c:pt idx="16770">
                  <c:v>1542463.1850000003</c:v>
                </c:pt>
                <c:pt idx="16771">
                  <c:v>1543148.1018549993</c:v>
                </c:pt>
                <c:pt idx="16772">
                  <c:v>1543833.2214399998</c:v>
                </c:pt>
                <c:pt idx="16773">
                  <c:v>1544518.5437850002</c:v>
                </c:pt>
                <c:pt idx="16774">
                  <c:v>1545204.0689199998</c:v>
                </c:pt>
                <c:pt idx="16775">
                  <c:v>1545889.796875</c:v>
                </c:pt>
                <c:pt idx="16776">
                  <c:v>1546575.7276800002</c:v>
                </c:pt>
                <c:pt idx="16777">
                  <c:v>1547261.8613649998</c:v>
                </c:pt>
                <c:pt idx="16778">
                  <c:v>1547948.1979600003</c:v>
                </c:pt>
                <c:pt idx="16779">
                  <c:v>1548634.7374950005</c:v>
                </c:pt>
                <c:pt idx="16780">
                  <c:v>1549321.4799999997</c:v>
                </c:pt>
                <c:pt idx="16781">
                  <c:v>1550008.4255050002</c:v>
                </c:pt>
                <c:pt idx="16782">
                  <c:v>1550695.5740399994</c:v>
                </c:pt>
                <c:pt idx="16783">
                  <c:v>1551382.9256349998</c:v>
                </c:pt>
                <c:pt idx="16784">
                  <c:v>1552070.48032</c:v>
                </c:pt>
                <c:pt idx="16785">
                  <c:v>1552758.2381249997</c:v>
                </c:pt>
                <c:pt idx="16786">
                  <c:v>1553446.19908</c:v>
                </c:pt>
                <c:pt idx="16787">
                  <c:v>1554134.3632150004</c:v>
                </c:pt>
                <c:pt idx="16788">
                  <c:v>1554822.7305599996</c:v>
                </c:pt>
                <c:pt idx="16789">
                  <c:v>1555511.3011450002</c:v>
                </c:pt>
                <c:pt idx="16790">
                  <c:v>1556200.0750000004</c:v>
                </c:pt>
                <c:pt idx="16791">
                  <c:v>1556889.0521549997</c:v>
                </c:pt>
                <c:pt idx="16792">
                  <c:v>1557578.2326400003</c:v>
                </c:pt>
                <c:pt idx="16793">
                  <c:v>1558267.6164850004</c:v>
                </c:pt>
                <c:pt idx="16794">
                  <c:v>1558957.2037199999</c:v>
                </c:pt>
                <c:pt idx="16795">
                  <c:v>1559646.994375</c:v>
                </c:pt>
                <c:pt idx="16796">
                  <c:v>1560336.9884799996</c:v>
                </c:pt>
                <c:pt idx="16797">
                  <c:v>1561027.1860649998</c:v>
                </c:pt>
                <c:pt idx="16798">
                  <c:v>1561717.58716</c:v>
                </c:pt>
                <c:pt idx="16799">
                  <c:v>1562408.1917949996</c:v>
                </c:pt>
                <c:pt idx="16800">
                  <c:v>1563099.0</c:v>
                </c:pt>
                <c:pt idx="16801">
                  <c:v>1563790.0118050002</c:v>
                </c:pt>
                <c:pt idx="16802">
                  <c:v>1564481.2272399997</c:v>
                </c:pt>
                <c:pt idx="16803">
                  <c:v>1565172.6463350002</c:v>
                </c:pt>
                <c:pt idx="16804">
                  <c:v>1565864.2691200005</c:v>
                </c:pt>
                <c:pt idx="16805">
                  <c:v>1566556.0956249996</c:v>
                </c:pt>
                <c:pt idx="16806">
                  <c:v>1567248.1258800002</c:v>
                </c:pt>
                <c:pt idx="16807">
                  <c:v>1567940.3599149995</c:v>
                </c:pt>
                <c:pt idx="16808">
                  <c:v>1568632.79776</c:v>
                </c:pt>
                <c:pt idx="16809">
                  <c:v>1569325.4394450001</c:v>
                </c:pt>
                <c:pt idx="16810">
                  <c:v>1570018.2849999997</c:v>
                </c:pt>
                <c:pt idx="16811">
                  <c:v>1570711.334455</c:v>
                </c:pt>
                <c:pt idx="16812">
                  <c:v>1571404.5878400004</c:v>
                </c:pt>
                <c:pt idx="16813">
                  <c:v>1572098.0451849997</c:v>
                </c:pt>
                <c:pt idx="16814">
                  <c:v>1572791.7065199998</c:v>
                </c:pt>
                <c:pt idx="16815">
                  <c:v>1573485.5718750004</c:v>
                </c:pt>
                <c:pt idx="16816">
                  <c:v>1574179.6412799999</c:v>
                </c:pt>
                <c:pt idx="16817">
                  <c:v>1574873.914765</c:v>
                </c:pt>
                <c:pt idx="16818">
                  <c:v>1575568.3923600006</c:v>
                </c:pt>
                <c:pt idx="16819">
                  <c:v>1576263.0740949998</c:v>
                </c:pt>
                <c:pt idx="16820">
                  <c:v>1576957.9600000002</c:v>
                </c:pt>
                <c:pt idx="16821">
                  <c:v>1577653.0501049994</c:v>
                </c:pt>
                <c:pt idx="16822">
                  <c:v>1578348.34444</c:v>
                </c:pt>
                <c:pt idx="16823">
                  <c:v>1579043.843035</c:v>
                </c:pt>
                <c:pt idx="16824">
                  <c:v>1579739.54592</c:v>
                </c:pt>
                <c:pt idx="16825">
                  <c:v>1580435.453125</c:v>
                </c:pt>
                <c:pt idx="16826">
                  <c:v>1581131.5646800005</c:v>
                </c:pt>
                <c:pt idx="16827">
                  <c:v>1581827.8806149997</c:v>
                </c:pt>
                <c:pt idx="16828">
                  <c:v>1582524.4009600002</c:v>
                </c:pt>
                <c:pt idx="16829">
                  <c:v>1583221.1257450003</c:v>
                </c:pt>
                <c:pt idx="16830">
                  <c:v>1583918.0549999997</c:v>
                </c:pt>
                <c:pt idx="16831">
                  <c:v>1584615.188755</c:v>
                </c:pt>
                <c:pt idx="16832">
                  <c:v>1585312.5270399994</c:v>
                </c:pt>
                <c:pt idx="16833">
                  <c:v>1586010.069885</c:v>
                </c:pt>
                <c:pt idx="16834">
                  <c:v>1586707.8173200001</c:v>
                </c:pt>
                <c:pt idx="16835">
                  <c:v>1587405.7693749997</c:v>
                </c:pt>
                <c:pt idx="16836">
                  <c:v>1588103.9260800001</c:v>
                </c:pt>
                <c:pt idx="16837">
                  <c:v>1588802.2874650005</c:v>
                </c:pt>
                <c:pt idx="16838">
                  <c:v>1589500.8535599995</c:v>
                </c:pt>
                <c:pt idx="16839">
                  <c:v>1590199.624395</c:v>
                </c:pt>
                <c:pt idx="16840">
                  <c:v>1590898.6000000003</c:v>
                </c:pt>
                <c:pt idx="16841">
                  <c:v>1591597.7804049996</c:v>
                </c:pt>
                <c:pt idx="16842">
                  <c:v>1592297.16564</c:v>
                </c:pt>
                <c:pt idx="16843">
                  <c:v>1592996.7557350006</c:v>
                </c:pt>
                <c:pt idx="16844">
                  <c:v>1593696.55072</c:v>
                </c:pt>
                <c:pt idx="16845">
                  <c:v>1594396.5506250004</c:v>
                </c:pt>
                <c:pt idx="16846">
                  <c:v>1595096.7554799996</c:v>
                </c:pt>
                <c:pt idx="16847">
                  <c:v>1595797.1653149999</c:v>
                </c:pt>
                <c:pt idx="16848">
                  <c:v>1596497.78016</c:v>
                </c:pt>
                <c:pt idx="16849">
                  <c:v>1597198.6000449997</c:v>
                </c:pt>
                <c:pt idx="16850">
                  <c:v>1597899.625</c:v>
                </c:pt>
                <c:pt idx="16851">
                  <c:v>1598600.8550550004</c:v>
                </c:pt>
                <c:pt idx="16852">
                  <c:v>1599302.2902399995</c:v>
                </c:pt>
                <c:pt idx="16853">
                  <c:v>1600003.930585</c:v>
                </c:pt>
                <c:pt idx="16854">
                  <c:v>1600705.7761200005</c:v>
                </c:pt>
                <c:pt idx="16855">
                  <c:v>1601407.8268749998</c:v>
                </c:pt>
                <c:pt idx="16856">
                  <c:v>1602110.0828800001</c:v>
                </c:pt>
                <c:pt idx="16857">
                  <c:v>1602812.5441649994</c:v>
                </c:pt>
                <c:pt idx="16858">
                  <c:v>1603515.2107599997</c:v>
                </c:pt>
                <c:pt idx="16859">
                  <c:v>1604218.082695</c:v>
                </c:pt>
                <c:pt idx="16860">
                  <c:v>1604921.1599999997</c:v>
                </c:pt>
                <c:pt idx="16861">
                  <c:v>1605624.442705</c:v>
                </c:pt>
                <c:pt idx="16862">
                  <c:v>1606327.9308400003</c:v>
                </c:pt>
                <c:pt idx="16863">
                  <c:v>1607031.6244349994</c:v>
                </c:pt>
                <c:pt idx="16864">
                  <c:v>1607735.52352</c:v>
                </c:pt>
                <c:pt idx="16865">
                  <c:v>1608439.6281250003</c:v>
                </c:pt>
                <c:pt idx="16866">
                  <c:v>1609143.93828</c:v>
                </c:pt>
                <c:pt idx="16867">
                  <c:v>1609848.4540150003</c:v>
                </c:pt>
                <c:pt idx="16868">
                  <c:v>1610553.1753600005</c:v>
                </c:pt>
                <c:pt idx="16869">
                  <c:v>1611258.1023449998</c:v>
                </c:pt>
                <c:pt idx="16870">
                  <c:v>1611963.2350000003</c:v>
                </c:pt>
                <c:pt idx="16871">
                  <c:v>1612668.5733549998</c:v>
                </c:pt>
                <c:pt idx="16872">
                  <c:v>1613374.11744</c:v>
                </c:pt>
                <c:pt idx="16873">
                  <c:v>1614079.8672850002</c:v>
                </c:pt>
                <c:pt idx="16874">
                  <c:v>1614785.8229199997</c:v>
                </c:pt>
                <c:pt idx="16875">
                  <c:v>1615491.984375</c:v>
                </c:pt>
                <c:pt idx="16876">
                  <c:v>1616198.3516800005</c:v>
                </c:pt>
                <c:pt idx="16877">
                  <c:v>1616904.924865</c:v>
                </c:pt>
                <c:pt idx="16878">
                  <c:v>1617611.70396</c:v>
                </c:pt>
                <c:pt idx="16879">
                  <c:v>1618318.6889950007</c:v>
                </c:pt>
                <c:pt idx="16880">
                  <c:v>1619025.88</c:v>
                </c:pt>
                <c:pt idx="16881">
                  <c:v>1619733.2770049998</c:v>
                </c:pt>
                <c:pt idx="16882">
                  <c:v>1620440.8800399997</c:v>
                </c:pt>
                <c:pt idx="16883">
                  <c:v>1621148.6891349999</c:v>
                </c:pt>
                <c:pt idx="16884">
                  <c:v>1621856.7043200003</c:v>
                </c:pt>
                <c:pt idx="16885">
                  <c:v>1622564.9256249997</c:v>
                </c:pt>
                <c:pt idx="16886">
                  <c:v>1623273.35308</c:v>
                </c:pt>
                <c:pt idx="16887">
                  <c:v>1623981.9867150006</c:v>
                </c:pt>
                <c:pt idx="16888">
                  <c:v>1624690.8265599995</c:v>
                </c:pt>
                <c:pt idx="16889">
                  <c:v>1625399.8726449998</c:v>
                </c:pt>
                <c:pt idx="16890">
                  <c:v>1626109.1250000005</c:v>
                </c:pt>
                <c:pt idx="16891">
                  <c:v>1626818.5836549997</c:v>
                </c:pt>
                <c:pt idx="16892">
                  <c:v>1627528.2486400001</c:v>
                </c:pt>
                <c:pt idx="16893">
                  <c:v>1628238.1199850005</c:v>
                </c:pt>
                <c:pt idx="16894">
                  <c:v>1628948.1977199998</c:v>
                </c:pt>
                <c:pt idx="16895">
                  <c:v>1629658.481875</c:v>
                </c:pt>
                <c:pt idx="16896">
                  <c:v>1630368.9724799995</c:v>
                </c:pt>
                <c:pt idx="16897">
                  <c:v>1631079.6695649999</c:v>
                </c:pt>
                <c:pt idx="16898">
                  <c:v>1631790.5731600001</c:v>
                </c:pt>
                <c:pt idx="16899">
                  <c:v>1632501.6832949996</c:v>
                </c:pt>
                <c:pt idx="16900">
                  <c:v>1633213.0</c:v>
                </c:pt>
                <c:pt idx="16901">
                  <c:v>1633924.5233050005</c:v>
                </c:pt>
                <c:pt idx="16902">
                  <c:v>1634636.2532399998</c:v>
                </c:pt>
                <c:pt idx="16903">
                  <c:v>1635348.189835</c:v>
                </c:pt>
                <c:pt idx="16904">
                  <c:v>1636060.3331200008</c:v>
                </c:pt>
                <c:pt idx="16905">
                  <c:v>1636772.6831249997</c:v>
                </c:pt>
                <c:pt idx="16906">
                  <c:v>1637485.2398800002</c:v>
                </c:pt>
                <c:pt idx="16907">
                  <c:v>1638198.0034149997</c:v>
                </c:pt>
                <c:pt idx="16908">
                  <c:v>1638910.9737599997</c:v>
                </c:pt>
                <c:pt idx="16909">
                  <c:v>1639624.1509450004</c:v>
                </c:pt>
                <c:pt idx="16910">
                  <c:v>1640337.5349999995</c:v>
                </c:pt>
                <c:pt idx="16911">
                  <c:v>1641051.125955</c:v>
                </c:pt>
                <c:pt idx="16912">
                  <c:v>1641764.9238400003</c:v>
                </c:pt>
                <c:pt idx="16913">
                  <c:v>1642478.9286849995</c:v>
                </c:pt>
                <c:pt idx="16914">
                  <c:v>1643193.1405200001</c:v>
                </c:pt>
                <c:pt idx="16915">
                  <c:v>1643907.5593750002</c:v>
                </c:pt>
                <c:pt idx="16916">
                  <c:v>1644622.1852799999</c:v>
                </c:pt>
                <c:pt idx="16917">
                  <c:v>1645337.018265</c:v>
                </c:pt>
                <c:pt idx="16918">
                  <c:v>1646052.0583600006</c:v>
                </c:pt>
                <c:pt idx="16919">
                  <c:v>1646767.3055949998</c:v>
                </c:pt>
                <c:pt idx="16920">
                  <c:v>1647482.7600000002</c:v>
                </c:pt>
                <c:pt idx="16921">
                  <c:v>1648198.4216049993</c:v>
                </c:pt>
                <c:pt idx="16922">
                  <c:v>1648914.29044</c:v>
                </c:pt>
                <c:pt idx="16923">
                  <c:v>1649630.366535</c:v>
                </c:pt>
                <c:pt idx="16924">
                  <c:v>1650346.6499199995</c:v>
                </c:pt>
                <c:pt idx="16925">
                  <c:v>1651063.140625</c:v>
                </c:pt>
                <c:pt idx="16926">
                  <c:v>1651779.8386800005</c:v>
                </c:pt>
                <c:pt idx="16927">
                  <c:v>1652496.7441149997</c:v>
                </c:pt>
                <c:pt idx="16928">
                  <c:v>1653213.85696</c:v>
                </c:pt>
                <c:pt idx="16929">
                  <c:v>1653931.1772450004</c:v>
                </c:pt>
                <c:pt idx="16930">
                  <c:v>1654648.7049999998</c:v>
                </c:pt>
                <c:pt idx="16931">
                  <c:v>1655366.440255</c:v>
                </c:pt>
                <c:pt idx="16932">
                  <c:v>1656084.3830399995</c:v>
                </c:pt>
                <c:pt idx="16933">
                  <c:v>1656802.533385</c:v>
                </c:pt>
                <c:pt idx="16934">
                  <c:v>1657520.8913200006</c:v>
                </c:pt>
                <c:pt idx="16935">
                  <c:v>1658239.4568749997</c:v>
                </c:pt>
                <c:pt idx="16936">
                  <c:v>1658958.23008</c:v>
                </c:pt>
                <c:pt idx="16937">
                  <c:v>1659677.2109650003</c:v>
                </c:pt>
                <c:pt idx="16938">
                  <c:v>1660396.3995599994</c:v>
                </c:pt>
                <c:pt idx="16939">
                  <c:v>1661115.795895</c:v>
                </c:pt>
                <c:pt idx="16940">
                  <c:v>1661835.4000000004</c:v>
                </c:pt>
                <c:pt idx="16941">
                  <c:v>1662555.2119049998</c:v>
                </c:pt>
                <c:pt idx="16942">
                  <c:v>1663275.2316400004</c:v>
                </c:pt>
                <c:pt idx="16943">
                  <c:v>1663995.4592350007</c:v>
                </c:pt>
                <c:pt idx="16944">
                  <c:v>1664715.8947199997</c:v>
                </c:pt>
                <c:pt idx="16945">
                  <c:v>1665436.5381250004</c:v>
                </c:pt>
                <c:pt idx="16946">
                  <c:v>1666157.3894799994</c:v>
                </c:pt>
                <c:pt idx="16947">
                  <c:v>1666878.448815</c:v>
                </c:pt>
                <c:pt idx="16948">
                  <c:v>1667599.7161600003</c:v>
                </c:pt>
                <c:pt idx="16949">
                  <c:v>1668321.1915449996</c:v>
                </c:pt>
                <c:pt idx="16950">
                  <c:v>1669042.875</c:v>
                </c:pt>
                <c:pt idx="16951">
                  <c:v>1669764.7665550003</c:v>
                </c:pt>
                <c:pt idx="16952">
                  <c:v>1670486.8662399997</c:v>
                </c:pt>
                <c:pt idx="16953">
                  <c:v>1671209.1740850003</c:v>
                </c:pt>
                <c:pt idx="16954">
                  <c:v>1671931.6901200006</c:v>
                </c:pt>
                <c:pt idx="16955">
                  <c:v>1672654.4143749995</c:v>
                </c:pt>
                <c:pt idx="16956">
                  <c:v>1673377.34688</c:v>
                </c:pt>
                <c:pt idx="16957">
                  <c:v>1674100.4876649994</c:v>
                </c:pt>
                <c:pt idx="16958">
                  <c:v>1674823.83676</c:v>
                </c:pt>
                <c:pt idx="16959">
                  <c:v>1675547.3941950002</c:v>
                </c:pt>
                <c:pt idx="16960">
                  <c:v>1676271.1599999995</c:v>
                </c:pt>
                <c:pt idx="16961">
                  <c:v>1676995.134205</c:v>
                </c:pt>
                <c:pt idx="16962">
                  <c:v>1677719.3168400005</c:v>
                </c:pt>
                <c:pt idx="16963">
                  <c:v>1678443.7079349996</c:v>
                </c:pt>
                <c:pt idx="16964">
                  <c:v>1679168.30752</c:v>
                </c:pt>
                <c:pt idx="16965">
                  <c:v>1679893.1156250003</c:v>
                </c:pt>
                <c:pt idx="16966">
                  <c:v>1680618.1322799998</c:v>
                </c:pt>
                <c:pt idx="16967">
                  <c:v>1681343.3575149998</c:v>
                </c:pt>
                <c:pt idx="16968">
                  <c:v>1682068.7913600004</c:v>
                </c:pt>
                <c:pt idx="16969">
                  <c:v>1682794.433845</c:v>
                </c:pt>
                <c:pt idx="16970">
                  <c:v>1683520.2850000004</c:v>
                </c:pt>
                <c:pt idx="16971">
                  <c:v>1684246.3448549996</c:v>
                </c:pt>
                <c:pt idx="16972">
                  <c:v>1684972.6134399998</c:v>
                </c:pt>
                <c:pt idx="16973">
                  <c:v>1685699.0907850005</c:v>
                </c:pt>
                <c:pt idx="16974">
                  <c:v>1686425.7769199994</c:v>
                </c:pt>
                <c:pt idx="16975">
                  <c:v>1687152.671875</c:v>
                </c:pt>
                <c:pt idx="16976">
                  <c:v>1687879.7756800004</c:v>
                </c:pt>
                <c:pt idx="16977">
                  <c:v>1688607.0883649997</c:v>
                </c:pt>
                <c:pt idx="16978">
                  <c:v>1689334.60996</c:v>
                </c:pt>
                <c:pt idx="16979">
                  <c:v>1690062.3404950004</c:v>
                </c:pt>
                <c:pt idx="16980">
                  <c:v>1690790.2799999996</c:v>
                </c:pt>
                <c:pt idx="16981">
                  <c:v>1691518.428505</c:v>
                </c:pt>
                <c:pt idx="16982">
                  <c:v>1692246.7860399995</c:v>
                </c:pt>
                <c:pt idx="16983">
                  <c:v>1692975.352635</c:v>
                </c:pt>
                <c:pt idx="16984">
                  <c:v>1693704.1283200004</c:v>
                </c:pt>
                <c:pt idx="16985">
                  <c:v>1694433.1131249995</c:v>
                </c:pt>
                <c:pt idx="16986">
                  <c:v>1695162.30708</c:v>
                </c:pt>
                <c:pt idx="16987">
                  <c:v>1695891.7102150007</c:v>
                </c:pt>
                <c:pt idx="16988">
                  <c:v>1696621.3225599993</c:v>
                </c:pt>
                <c:pt idx="16989">
                  <c:v>1697351.144145</c:v>
                </c:pt>
                <c:pt idx="16990">
                  <c:v>1698081.1750000005</c:v>
                </c:pt>
                <c:pt idx="16991">
                  <c:v>1698811.4151549996</c:v>
                </c:pt>
                <c:pt idx="16992">
                  <c:v>1699541.8646400003</c:v>
                </c:pt>
                <c:pt idx="16993">
                  <c:v>1700272.5234850005</c:v>
                </c:pt>
                <c:pt idx="16994">
                  <c:v>1701003.39172</c:v>
                </c:pt>
                <c:pt idx="16995">
                  <c:v>1701734.4693750006</c:v>
                </c:pt>
                <c:pt idx="16996">
                  <c:v>1702465.7564799995</c:v>
                </c:pt>
                <c:pt idx="16997">
                  <c:v>1703197.2530649998</c:v>
                </c:pt>
                <c:pt idx="16998">
                  <c:v>1703928.9591600006</c:v>
                </c:pt>
                <c:pt idx="16999">
                  <c:v>1704660.8747949996</c:v>
                </c:pt>
                <c:pt idx="17000">
                  <c:v>1705393.0</c:v>
                </c:pt>
                <c:pt idx="17001">
                  <c:v>1706125.3348050003</c:v>
                </c:pt>
                <c:pt idx="17002">
                  <c:v>1706857.8792399997</c:v>
                </c:pt>
                <c:pt idx="17003">
                  <c:v>1707590.6333350001</c:v>
                </c:pt>
                <c:pt idx="17004">
                  <c:v>1708323.5971200005</c:v>
                </c:pt>
                <c:pt idx="17005">
                  <c:v>1709056.770625</c:v>
                </c:pt>
                <c:pt idx="17006">
                  <c:v>1709790.15388</c:v>
                </c:pt>
                <c:pt idx="17007">
                  <c:v>1710523.7469149996</c:v>
                </c:pt>
                <c:pt idx="17008">
                  <c:v>1711257.5497599998</c:v>
                </c:pt>
                <c:pt idx="17009">
                  <c:v>1711991.5624450003</c:v>
                </c:pt>
                <c:pt idx="17010">
                  <c:v>1712725.7849999995</c:v>
                </c:pt>
                <c:pt idx="17011">
                  <c:v>1713460.217455</c:v>
                </c:pt>
                <c:pt idx="17012">
                  <c:v>1714194.8598400005</c:v>
                </c:pt>
                <c:pt idx="17013">
                  <c:v>1714929.7121849994</c:v>
                </c:pt>
                <c:pt idx="17014">
                  <c:v>1715664.7745200002</c:v>
                </c:pt>
                <c:pt idx="17015">
                  <c:v>1716400.0468750002</c:v>
                </c:pt>
                <c:pt idx="17016">
                  <c:v>1717135.5292799997</c:v>
                </c:pt>
                <c:pt idx="17017">
                  <c:v>1717871.2217650001</c:v>
                </c:pt>
                <c:pt idx="17018">
                  <c:v>1718607.1243600007</c:v>
                </c:pt>
                <c:pt idx="17019">
                  <c:v>1719343.237095</c:v>
                </c:pt>
                <c:pt idx="17020">
                  <c:v>1720079.5600000003</c:v>
                </c:pt>
                <c:pt idx="17021">
                  <c:v>1720816.0931049995</c:v>
                </c:pt>
                <c:pt idx="17022">
                  <c:v>1721552.8364399998</c:v>
                </c:pt>
                <c:pt idx="17023">
                  <c:v>1722289.790035</c:v>
                </c:pt>
                <c:pt idx="17024">
                  <c:v>1723026.9539199995</c:v>
                </c:pt>
                <c:pt idx="17025">
                  <c:v>1723764.328125</c:v>
                </c:pt>
                <c:pt idx="17026">
                  <c:v>1724501.9126800005</c:v>
                </c:pt>
                <c:pt idx="17027">
                  <c:v>1725239.707615</c:v>
                </c:pt>
                <c:pt idx="17028">
                  <c:v>1725977.7129600004</c:v>
                </c:pt>
                <c:pt idx="17029">
                  <c:v>1726715.9287450006</c:v>
                </c:pt>
                <c:pt idx="17030">
                  <c:v>1727454.3549999997</c:v>
                </c:pt>
                <c:pt idx="17031">
                  <c:v>1728192.9917550003</c:v>
                </c:pt>
                <c:pt idx="17032">
                  <c:v>1728931.8390399993</c:v>
                </c:pt>
                <c:pt idx="17033">
                  <c:v>1729670.896885</c:v>
                </c:pt>
                <c:pt idx="17034">
                  <c:v>1730410.1653200001</c:v>
                </c:pt>
                <c:pt idx="17035">
                  <c:v>1731149.6443749995</c:v>
                </c:pt>
                <c:pt idx="17036">
                  <c:v>1731889.33408</c:v>
                </c:pt>
                <c:pt idx="17037">
                  <c:v>1732629.2344650007</c:v>
                </c:pt>
                <c:pt idx="17038">
                  <c:v>1733369.3455599996</c:v>
                </c:pt>
                <c:pt idx="17039">
                  <c:v>1734109.6673949996</c:v>
                </c:pt>
                <c:pt idx="17040">
                  <c:v>1734850.2000000004</c:v>
                </c:pt>
                <c:pt idx="17041">
                  <c:v>1735590.9434049998</c:v>
                </c:pt>
                <c:pt idx="17042">
                  <c:v>1736331.89764</c:v>
                </c:pt>
                <c:pt idx="17043">
                  <c:v>1737073.0627350006</c:v>
                </c:pt>
                <c:pt idx="17044">
                  <c:v>1737814.43872</c:v>
                </c:pt>
                <c:pt idx="17045">
                  <c:v>1738556.0256250005</c:v>
                </c:pt>
                <c:pt idx="17046">
                  <c:v>1739297.8234799998</c:v>
                </c:pt>
                <c:pt idx="17047">
                  <c:v>1740039.832315</c:v>
                </c:pt>
                <c:pt idx="17048">
                  <c:v>1740782.0521600002</c:v>
                </c:pt>
                <c:pt idx="17049">
                  <c:v>1741524.4830449997</c:v>
                </c:pt>
                <c:pt idx="17050">
                  <c:v>1742267.125</c:v>
                </c:pt>
                <c:pt idx="17051">
                  <c:v>1743009.9780550005</c:v>
                </c:pt>
                <c:pt idx="17052">
                  <c:v>1743753.0422399996</c:v>
                </c:pt>
                <c:pt idx="17053">
                  <c:v>1744496.3175850003</c:v>
                </c:pt>
                <c:pt idx="17054">
                  <c:v>1745239.8041200005</c:v>
                </c:pt>
                <c:pt idx="17055">
                  <c:v>1745983.5018749996</c:v>
                </c:pt>
                <c:pt idx="17056">
                  <c:v>1746727.41088</c:v>
                </c:pt>
                <c:pt idx="17057">
                  <c:v>1747471.5311649994</c:v>
                </c:pt>
                <c:pt idx="17058">
                  <c:v>1748215.86276</c:v>
                </c:pt>
                <c:pt idx="17059">
                  <c:v>1748960.4056950004</c:v>
                </c:pt>
                <c:pt idx="17060">
                  <c:v>1749705.1599999997</c:v>
                </c:pt>
                <c:pt idx="17061">
                  <c:v>1750450.125705</c:v>
                </c:pt>
                <c:pt idx="17062">
                  <c:v>1751195.3028400003</c:v>
                </c:pt>
                <c:pt idx="17063">
                  <c:v>1751940.6914349997</c:v>
                </c:pt>
                <c:pt idx="17064">
                  <c:v>1752686.29152</c:v>
                </c:pt>
                <c:pt idx="17065">
                  <c:v>1753432.1031250006</c:v>
                </c:pt>
                <c:pt idx="17066">
                  <c:v>1754178.1262799997</c:v>
                </c:pt>
                <c:pt idx="17067">
                  <c:v>1754924.3610150001</c:v>
                </c:pt>
                <c:pt idx="17068">
                  <c:v>1755670.8073600004</c:v>
                </c:pt>
                <c:pt idx="17069">
                  <c:v>1756417.4653450001</c:v>
                </c:pt>
                <c:pt idx="17070">
                  <c:v>1757164.3350000002</c:v>
                </c:pt>
                <c:pt idx="17071">
                  <c:v>1757911.4163549992</c:v>
                </c:pt>
                <c:pt idx="17072">
                  <c:v>1758658.70944</c:v>
                </c:pt>
                <c:pt idx="17073">
                  <c:v>1759406.2142850005</c:v>
                </c:pt>
                <c:pt idx="17074">
                  <c:v>1760153.9309199995</c:v>
                </c:pt>
                <c:pt idx="17075">
                  <c:v>1760901.859375</c:v>
                </c:pt>
                <c:pt idx="17076">
                  <c:v>1761649.9996800006</c:v>
                </c:pt>
                <c:pt idx="17077">
                  <c:v>1762398.3518649999</c:v>
                </c:pt>
                <c:pt idx="17078">
                  <c:v>1763146.9159600001</c:v>
                </c:pt>
                <c:pt idx="17079">
                  <c:v>1763895.6919950005</c:v>
                </c:pt>
                <c:pt idx="17080">
                  <c:v>1764644.6799999997</c:v>
                </c:pt>
                <c:pt idx="17081">
                  <c:v>1765393.880005</c:v>
                </c:pt>
                <c:pt idx="17082">
                  <c:v>1766143.2920399995</c:v>
                </c:pt>
                <c:pt idx="17083">
                  <c:v>1766892.9161349998</c:v>
                </c:pt>
                <c:pt idx="17084">
                  <c:v>1767642.7523200002</c:v>
                </c:pt>
                <c:pt idx="17085">
                  <c:v>1768392.8006249997</c:v>
                </c:pt>
                <c:pt idx="17086">
                  <c:v>1769143.0610800001</c:v>
                </c:pt>
                <c:pt idx="17087">
                  <c:v>1769893.5337150006</c:v>
                </c:pt>
                <c:pt idx="17088">
                  <c:v>1770644.2185599997</c:v>
                </c:pt>
                <c:pt idx="17089">
                  <c:v>1771395.115645</c:v>
                </c:pt>
                <c:pt idx="17090">
                  <c:v>1772146.2250000003</c:v>
                </c:pt>
                <c:pt idx="17091">
                  <c:v>1772897.546655</c:v>
                </c:pt>
                <c:pt idx="17092">
                  <c:v>1773649.08064</c:v>
                </c:pt>
                <c:pt idx="17093">
                  <c:v>1774400.8269850006</c:v>
                </c:pt>
                <c:pt idx="17094">
                  <c:v>1775152.7857199998</c:v>
                </c:pt>
                <c:pt idx="17095">
                  <c:v>1775904.9568750004</c:v>
                </c:pt>
                <c:pt idx="17096">
                  <c:v>1776657.3404799993</c:v>
                </c:pt>
                <c:pt idx="17097">
                  <c:v>1777409.9365649999</c:v>
                </c:pt>
                <c:pt idx="17098">
                  <c:v>1778162.7451600002</c:v>
                </c:pt>
                <c:pt idx="17099">
                  <c:v>1778915.7662949995</c:v>
                </c:pt>
                <c:pt idx="17100">
                  <c:v>1779669.0</c:v>
                </c:pt>
                <c:pt idx="17101">
                  <c:v>1780422.4463050005</c:v>
                </c:pt>
                <c:pt idx="17102">
                  <c:v>1781176.1052399997</c:v>
                </c:pt>
                <c:pt idx="17103">
                  <c:v>1781929.976835</c:v>
                </c:pt>
                <c:pt idx="17104">
                  <c:v>1782684.0611200004</c:v>
                </c:pt>
                <c:pt idx="17105">
                  <c:v>1783438.3581249996</c:v>
                </c:pt>
                <c:pt idx="17106">
                  <c:v>1784192.8678800003</c:v>
                </c:pt>
                <c:pt idx="17107">
                  <c:v>1784947.5904149995</c:v>
                </c:pt>
                <c:pt idx="17108">
                  <c:v>1785702.5257599999</c:v>
                </c:pt>
                <c:pt idx="17109">
                  <c:v>1786457.6739450004</c:v>
                </c:pt>
                <c:pt idx="17110">
                  <c:v>1787213.0349999997</c:v>
                </c:pt>
                <c:pt idx="17111">
                  <c:v>1787968.6089549998</c:v>
                </c:pt>
                <c:pt idx="17112">
                  <c:v>1788724.3958400004</c:v>
                </c:pt>
                <c:pt idx="17113">
                  <c:v>1789480.3956849994</c:v>
                </c:pt>
                <c:pt idx="17114">
                  <c:v>1790236.60852</c:v>
                </c:pt>
                <c:pt idx="17115">
                  <c:v>1790993.0343750003</c:v>
                </c:pt>
                <c:pt idx="17116">
                  <c:v>1791749.6732799998</c:v>
                </c:pt>
                <c:pt idx="17117">
                  <c:v>1792506.525265</c:v>
                </c:pt>
                <c:pt idx="17118">
                  <c:v>1793263.5903600005</c:v>
                </c:pt>
                <c:pt idx="17119">
                  <c:v>1794020.868595</c:v>
                </c:pt>
                <c:pt idx="17120">
                  <c:v>1794778.3600000003</c:v>
                </c:pt>
                <c:pt idx="17121">
                  <c:v>1795536.0646049995</c:v>
                </c:pt>
                <c:pt idx="17122">
                  <c:v>1796293.9824400002</c:v>
                </c:pt>
                <c:pt idx="17123">
                  <c:v>1797052.113535</c:v>
                </c:pt>
                <c:pt idx="17124">
                  <c:v>1797810.4579199997</c:v>
                </c:pt>
                <c:pt idx="17125">
                  <c:v>1798569.015625</c:v>
                </c:pt>
                <c:pt idx="17126">
                  <c:v>1799327.7866800004</c:v>
                </c:pt>
                <c:pt idx="17127">
                  <c:v>1800086.7711149997</c:v>
                </c:pt>
                <c:pt idx="17128">
                  <c:v>1800845.9689600002</c:v>
                </c:pt>
                <c:pt idx="17129">
                  <c:v>1801605.3802450006</c:v>
                </c:pt>
                <c:pt idx="17130">
                  <c:v>1802365.005</c:v>
                </c:pt>
                <c:pt idx="17131">
                  <c:v>1803124.843255</c:v>
                </c:pt>
                <c:pt idx="17132">
                  <c:v>1803884.8950399994</c:v>
                </c:pt>
                <c:pt idx="17133">
                  <c:v>1804645.1603849998</c:v>
                </c:pt>
                <c:pt idx="17134">
                  <c:v>1805405.6393200003</c:v>
                </c:pt>
                <c:pt idx="17135">
                  <c:v>1806166.3318749995</c:v>
                </c:pt>
                <c:pt idx="17136">
                  <c:v>1806927.2380800003</c:v>
                </c:pt>
                <c:pt idx="17137">
                  <c:v>1807688.3579650004</c:v>
                </c:pt>
                <c:pt idx="17138">
                  <c:v>1808449.6915599997</c:v>
                </c:pt>
                <c:pt idx="17139">
                  <c:v>1809211.2388950002</c:v>
                </c:pt>
                <c:pt idx="17140">
                  <c:v>1809973.0000000005</c:v>
                </c:pt>
                <c:pt idx="17141">
                  <c:v>1810734.9749049998</c:v>
                </c:pt>
                <c:pt idx="17142">
                  <c:v>1811497.16364</c:v>
                </c:pt>
                <c:pt idx="17143">
                  <c:v>1812259.5662350005</c:v>
                </c:pt>
                <c:pt idx="17144">
                  <c:v>1813022.18272</c:v>
                </c:pt>
                <c:pt idx="17145">
                  <c:v>1813785.013125</c:v>
                </c:pt>
                <c:pt idx="17146">
                  <c:v>1814548.0574799993</c:v>
                </c:pt>
                <c:pt idx="17147">
                  <c:v>1815311.3158149999</c:v>
                </c:pt>
                <c:pt idx="17148">
                  <c:v>1816074.7881600002</c:v>
                </c:pt>
                <c:pt idx="17149">
                  <c:v>1816838.4745449997</c:v>
                </c:pt>
                <c:pt idx="17150">
                  <c:v>1817602.375</c:v>
                </c:pt>
                <c:pt idx="17151">
                  <c:v>1818366.4895550003</c:v>
                </c:pt>
                <c:pt idx="17152">
                  <c:v>1819130.8182399997</c:v>
                </c:pt>
                <c:pt idx="17153">
                  <c:v>1819895.361085</c:v>
                </c:pt>
                <c:pt idx="17154">
                  <c:v>1820660.1181200007</c:v>
                </c:pt>
                <c:pt idx="17155">
                  <c:v>1821425.0893749997</c:v>
                </c:pt>
                <c:pt idx="17156">
                  <c:v>1822190.2748800002</c:v>
                </c:pt>
                <c:pt idx="17157">
                  <c:v>1822955.6746649996</c:v>
                </c:pt>
                <c:pt idx="17158">
                  <c:v>1823721.2887599997</c:v>
                </c:pt>
                <c:pt idx="17159">
                  <c:v>1824487.1171950002</c:v>
                </c:pt>
                <c:pt idx="17160">
                  <c:v>1825253.1599999997</c:v>
                </c:pt>
                <c:pt idx="17161">
                  <c:v>1826019.417205</c:v>
                </c:pt>
                <c:pt idx="17162">
                  <c:v>1826785.8888400004</c:v>
                </c:pt>
                <c:pt idx="17163">
                  <c:v>1827552.5749349995</c:v>
                </c:pt>
                <c:pt idx="17164">
                  <c:v>1828319.4755199999</c:v>
                </c:pt>
                <c:pt idx="17165">
                  <c:v>1829086.5906250002</c:v>
                </c:pt>
                <c:pt idx="17166">
                  <c:v>1829853.9202799995</c:v>
                </c:pt>
                <c:pt idx="17167">
                  <c:v>1830621.464515</c:v>
                </c:pt>
                <c:pt idx="17168">
                  <c:v>1831389.2233600004</c:v>
                </c:pt>
                <c:pt idx="17169">
                  <c:v>1832157.196845</c:v>
                </c:pt>
                <c:pt idx="17170">
                  <c:v>1832925.3850000002</c:v>
                </c:pt>
                <c:pt idx="17171">
                  <c:v>1833693.7878549995</c:v>
                </c:pt>
                <c:pt idx="17172">
                  <c:v>1834462.40544</c:v>
                </c:pt>
                <c:pt idx="17173">
                  <c:v>1835231.2377850001</c:v>
                </c:pt>
                <c:pt idx="17174">
                  <c:v>1836000.2849199995</c:v>
                </c:pt>
                <c:pt idx="17175">
                  <c:v>1836769.546875</c:v>
                </c:pt>
                <c:pt idx="17176">
                  <c:v>1837539.0236800003</c:v>
                </c:pt>
                <c:pt idx="17177">
                  <c:v>1838308.7153649998</c:v>
                </c:pt>
                <c:pt idx="17178">
                  <c:v>1839078.62196</c:v>
                </c:pt>
                <c:pt idx="17179">
                  <c:v>1839848.7434950008</c:v>
                </c:pt>
                <c:pt idx="17180">
                  <c:v>1840619.0799999996</c:v>
                </c:pt>
                <c:pt idx="17181">
                  <c:v>1841389.631505</c:v>
                </c:pt>
                <c:pt idx="17182">
                  <c:v>1842160.3980399994</c:v>
                </c:pt>
                <c:pt idx="17183">
                  <c:v>1842931.379635</c:v>
                </c:pt>
                <c:pt idx="17184">
                  <c:v>1843702.5763200005</c:v>
                </c:pt>
                <c:pt idx="17185">
                  <c:v>1844473.9881249997</c:v>
                </c:pt>
                <c:pt idx="17186">
                  <c:v>1845245.6150800001</c:v>
                </c:pt>
                <c:pt idx="17187">
                  <c:v>1846017.4572150006</c:v>
                </c:pt>
                <c:pt idx="17188">
                  <c:v>1846789.5145599998</c:v>
                </c:pt>
                <c:pt idx="17189">
                  <c:v>1847561.787145</c:v>
                </c:pt>
                <c:pt idx="17190">
                  <c:v>1848334.2750000004</c:v>
                </c:pt>
                <c:pt idx="17191">
                  <c:v>1849106.9781549997</c:v>
                </c:pt>
                <c:pt idx="17192">
                  <c:v>1849879.8966400002</c:v>
                </c:pt>
                <c:pt idx="17193">
                  <c:v>1850653.0304850005</c:v>
                </c:pt>
                <c:pt idx="17194">
                  <c:v>1851426.3797199999</c:v>
                </c:pt>
                <c:pt idx="17195">
                  <c:v>1852199.9443750004</c:v>
                </c:pt>
                <c:pt idx="17196">
                  <c:v>1852973.7244799996</c:v>
                </c:pt>
                <c:pt idx="17197">
                  <c:v>1853747.7200649998</c:v>
                </c:pt>
                <c:pt idx="17198">
                  <c:v>1854521.9311600002</c:v>
                </c:pt>
                <c:pt idx="17199">
                  <c:v>1855296.3577949994</c:v>
                </c:pt>
                <c:pt idx="17200">
                  <c:v>1856071.0</c:v>
                </c:pt>
                <c:pt idx="17201">
                  <c:v>1856845.8578050004</c:v>
                </c:pt>
                <c:pt idx="17202">
                  <c:v>1857620.9312399998</c:v>
                </c:pt>
                <c:pt idx="17203">
                  <c:v>1858396.220335</c:v>
                </c:pt>
                <c:pt idx="17204">
                  <c:v>1859171.7251200008</c:v>
                </c:pt>
                <c:pt idx="17205">
                  <c:v>1859947.4456249997</c:v>
                </c:pt>
                <c:pt idx="17206">
                  <c:v>1860723.3818800002</c:v>
                </c:pt>
                <c:pt idx="17207">
                  <c:v>1861499.5339149993</c:v>
                </c:pt>
                <c:pt idx="17208">
                  <c:v>1862275.9017599998</c:v>
                </c:pt>
                <c:pt idx="17209">
                  <c:v>1863052.4854450002</c:v>
                </c:pt>
                <c:pt idx="17210">
                  <c:v>1863829.2849999997</c:v>
                </c:pt>
                <c:pt idx="17211">
                  <c:v>1864606.3004550003</c:v>
                </c:pt>
                <c:pt idx="17212">
                  <c:v>1865383.5318400003</c:v>
                </c:pt>
                <c:pt idx="17213">
                  <c:v>1866160.9791849994</c:v>
                </c:pt>
                <c:pt idx="17214">
                  <c:v>1866938.64252</c:v>
                </c:pt>
                <c:pt idx="17215">
                  <c:v>1867716.521875</c:v>
                </c:pt>
                <c:pt idx="17216">
                  <c:v>1868494.6172799997</c:v>
                </c:pt>
                <c:pt idx="17217">
                  <c:v>1869272.9287650003</c:v>
                </c:pt>
                <c:pt idx="17218">
                  <c:v>1870051.4563600004</c:v>
                </c:pt>
                <c:pt idx="17219">
                  <c:v>1870830.2000949997</c:v>
                </c:pt>
                <c:pt idx="17220">
                  <c:v>1871609.1600000004</c:v>
                </c:pt>
                <c:pt idx="17221">
                  <c:v>1872388.3361049993</c:v>
                </c:pt>
                <c:pt idx="17222">
                  <c:v>1873167.7284399997</c:v>
                </c:pt>
                <c:pt idx="17223">
                  <c:v>1873947.337035</c:v>
                </c:pt>
                <c:pt idx="17224">
                  <c:v>1874727.1619199996</c:v>
                </c:pt>
                <c:pt idx="17225">
                  <c:v>1875507.203125</c:v>
                </c:pt>
                <c:pt idx="17226">
                  <c:v>1876287.4606800005</c:v>
                </c:pt>
                <c:pt idx="17227">
                  <c:v>1877067.9346149995</c:v>
                </c:pt>
                <c:pt idx="17228">
                  <c:v>1877848.6249600002</c:v>
                </c:pt>
                <c:pt idx="17229">
                  <c:v>1878629.5317450007</c:v>
                </c:pt>
                <c:pt idx="17230">
                  <c:v>1879410.6549999998</c:v>
                </c:pt>
                <c:pt idx="17231">
                  <c:v>1880191.994755</c:v>
                </c:pt>
                <c:pt idx="17232">
                  <c:v>1880973.5510399994</c:v>
                </c:pt>
                <c:pt idx="17233">
                  <c:v>1881755.3238849998</c:v>
                </c:pt>
                <c:pt idx="17234">
                  <c:v>1882537.3133200002</c:v>
                </c:pt>
                <c:pt idx="17235">
                  <c:v>1883319.5193749997</c:v>
                </c:pt>
                <c:pt idx="17236">
                  <c:v>1884101.94208</c:v>
                </c:pt>
                <c:pt idx="17237">
                  <c:v>1884884.5814650008</c:v>
                </c:pt>
                <c:pt idx="17238">
                  <c:v>1885667.4375599995</c:v>
                </c:pt>
                <c:pt idx="17239">
                  <c:v>1886450.510395</c:v>
                </c:pt>
                <c:pt idx="17240">
                  <c:v>1887233.8000000005</c:v>
                </c:pt>
                <c:pt idx="17241">
                  <c:v>1888017.3064049995</c:v>
                </c:pt>
                <c:pt idx="17242">
                  <c:v>1888801.0296400003</c:v>
                </c:pt>
                <c:pt idx="17243">
                  <c:v>1889584.9697350005</c:v>
                </c:pt>
                <c:pt idx="17244">
                  <c:v>1890369.12672</c:v>
                </c:pt>
                <c:pt idx="17245">
                  <c:v>1891153.5006250003</c:v>
                </c:pt>
                <c:pt idx="17246">
                  <c:v>1891938.0914799995</c:v>
                </c:pt>
                <c:pt idx="17247">
                  <c:v>1892722.8993149998</c:v>
                </c:pt>
                <c:pt idx="17248">
                  <c:v>1893507.9241600002</c:v>
                </c:pt>
                <c:pt idx="17249">
                  <c:v>1894293.1660449994</c:v>
                </c:pt>
                <c:pt idx="17250">
                  <c:v>1895078.625</c:v>
                </c:pt>
                <c:pt idx="17251">
                  <c:v>1895864.3010550004</c:v>
                </c:pt>
                <c:pt idx="17252">
                  <c:v>1896650.1942399996</c:v>
                </c:pt>
                <c:pt idx="17253">
                  <c:v>1897436.3045850003</c:v>
                </c:pt>
                <c:pt idx="17254">
                  <c:v>1898222.6321200004</c:v>
                </c:pt>
                <c:pt idx="17255">
                  <c:v>1899009.176875</c:v>
                </c:pt>
                <c:pt idx="17256">
                  <c:v>1899795.93888</c:v>
                </c:pt>
                <c:pt idx="17257">
                  <c:v>1900582.9181649995</c:v>
                </c:pt>
                <c:pt idx="17258">
                  <c:v>1901370.1147599998</c:v>
                </c:pt>
                <c:pt idx="17259">
                  <c:v>1902157.528695</c:v>
                </c:pt>
                <c:pt idx="17260">
                  <c:v>1902945.1599999997</c:v>
                </c:pt>
                <c:pt idx="17261">
                  <c:v>1903733.0087050002</c:v>
                </c:pt>
                <c:pt idx="17262">
                  <c:v>1904521.0748400004</c:v>
                </c:pt>
                <c:pt idx="17263">
                  <c:v>1905309.3584349994</c:v>
                </c:pt>
                <c:pt idx="17264">
                  <c:v>1906097.85952</c:v>
                </c:pt>
                <c:pt idx="17265">
                  <c:v>1906886.5781250005</c:v>
                </c:pt>
                <c:pt idx="17266">
                  <c:v>1907675.5142799998</c:v>
                </c:pt>
                <c:pt idx="17267">
                  <c:v>1908464.668015</c:v>
                </c:pt>
                <c:pt idx="17268">
                  <c:v>1909254.0393600008</c:v>
                </c:pt>
                <c:pt idx="17269">
                  <c:v>1910043.628345</c:v>
                </c:pt>
                <c:pt idx="17270">
                  <c:v>1910833.4350000003</c:v>
                </c:pt>
                <c:pt idx="17271">
                  <c:v>1911623.4593549992</c:v>
                </c:pt>
                <c:pt idx="17272">
                  <c:v>1912413.70144</c:v>
                </c:pt>
                <c:pt idx="17273">
                  <c:v>1913204.1612850002</c:v>
                </c:pt>
                <c:pt idx="17274">
                  <c:v>1913994.8389199995</c:v>
                </c:pt>
                <c:pt idx="17275">
                  <c:v>1914785.734375</c:v>
                </c:pt>
                <c:pt idx="17276">
                  <c:v>1915576.8476800006</c:v>
                </c:pt>
                <c:pt idx="17277">
                  <c:v>1916368.1788649994</c:v>
                </c:pt>
                <c:pt idx="17278">
                  <c:v>1917159.7279600003</c:v>
                </c:pt>
                <c:pt idx="17279">
                  <c:v>1917951.4949950005</c:v>
                </c:pt>
                <c:pt idx="17280">
                  <c:v>1918743.4799999997</c:v>
                </c:pt>
                <c:pt idx="17281">
                  <c:v>1919535.683005</c:v>
                </c:pt>
                <c:pt idx="17282">
                  <c:v>1920328.1040399994</c:v>
                </c:pt>
                <c:pt idx="17283">
                  <c:v>1921120.7431349999</c:v>
                </c:pt>
                <c:pt idx="17284">
                  <c:v>1921913.6003200004</c:v>
                </c:pt>
                <c:pt idx="17285">
                  <c:v>1922706.6756249995</c:v>
                </c:pt>
                <c:pt idx="17286">
                  <c:v>1923499.96908</c:v>
                </c:pt>
                <c:pt idx="17287">
                  <c:v>1924293.4807150008</c:v>
                </c:pt>
                <c:pt idx="17288">
                  <c:v>1925087.2105599998</c:v>
                </c:pt>
                <c:pt idx="17289">
                  <c:v>1925881.158645</c:v>
                </c:pt>
                <c:pt idx="17290">
                  <c:v>1926675.3250000004</c:v>
                </c:pt>
                <c:pt idx="17291">
                  <c:v>1927469.7096549997</c:v>
                </c:pt>
                <c:pt idx="17292">
                  <c:v>1928264.3126400001</c:v>
                </c:pt>
                <c:pt idx="17293">
                  <c:v>1929059.133985001</c:v>
                </c:pt>
                <c:pt idx="17294">
                  <c:v>1929854.1737199998</c:v>
                </c:pt>
                <c:pt idx="17295">
                  <c:v>1930649.4318750002</c:v>
                </c:pt>
                <c:pt idx="17296">
                  <c:v>1931444.9084799993</c:v>
                </c:pt>
                <c:pt idx="17297">
                  <c:v>1932240.6035649998</c:v>
                </c:pt>
                <c:pt idx="17298">
                  <c:v>1933036.51716</c:v>
                </c:pt>
                <c:pt idx="17299">
                  <c:v>1933832.6492949997</c:v>
                </c:pt>
                <c:pt idx="17300">
                  <c:v>1934629.0</c:v>
                </c:pt>
                <c:pt idx="17301">
                  <c:v>1935425.5693050001</c:v>
                </c:pt>
                <c:pt idx="17302">
                  <c:v>1936222.35724</c:v>
                </c:pt>
                <c:pt idx="17303">
                  <c:v>1937019.3638350002</c:v>
                </c:pt>
                <c:pt idx="17304">
                  <c:v>1937816.5891200006</c:v>
                </c:pt>
                <c:pt idx="17305">
                  <c:v>1938614.0331249998</c:v>
                </c:pt>
                <c:pt idx="17306">
                  <c:v>1939411.6958800002</c:v>
                </c:pt>
                <c:pt idx="17307">
                  <c:v>1940209.5774149993</c:v>
                </c:pt>
                <c:pt idx="17308">
                  <c:v>1941007.6777599996</c:v>
                </c:pt>
                <c:pt idx="17309">
                  <c:v>1941805.9969450005</c:v>
                </c:pt>
                <c:pt idx="17310">
                  <c:v>1942604.5349999995</c:v>
                </c:pt>
                <c:pt idx="17311">
                  <c:v>1943403.291955</c:v>
                </c:pt>
                <c:pt idx="17312">
                  <c:v>1944202.2678400006</c:v>
                </c:pt>
                <c:pt idx="17313">
                  <c:v>1945001.4626849995</c:v>
                </c:pt>
                <c:pt idx="17314">
                  <c:v>1945800.8765200002</c:v>
                </c:pt>
                <c:pt idx="17315">
                  <c:v>1946600.5093750004</c:v>
                </c:pt>
                <c:pt idx="17316">
                  <c:v>1947400.3612799996</c:v>
                </c:pt>
                <c:pt idx="17317">
                  <c:v>1948200.4322650004</c:v>
                </c:pt>
                <c:pt idx="17318">
                  <c:v>1949000.7223600002</c:v>
                </c:pt>
                <c:pt idx="17319">
                  <c:v>1949801.2315949998</c:v>
                </c:pt>
                <c:pt idx="17320">
                  <c:v>1950601.9600000004</c:v>
                </c:pt>
                <c:pt idx="17321">
                  <c:v>1951402.9076049996</c:v>
                </c:pt>
                <c:pt idx="17322">
                  <c:v>1952204.0744399999</c:v>
                </c:pt>
                <c:pt idx="17323">
                  <c:v>1953005.4605350003</c:v>
                </c:pt>
                <c:pt idx="17324">
                  <c:v>1953807.0659199997</c:v>
                </c:pt>
                <c:pt idx="17325">
                  <c:v>1954608.890625</c:v>
                </c:pt>
                <c:pt idx="17326">
                  <c:v>1955410.9346800004</c:v>
                </c:pt>
                <c:pt idx="17327">
                  <c:v>1956213.198115</c:v>
                </c:pt>
                <c:pt idx="17328">
                  <c:v>1957015.68096</c:v>
                </c:pt>
                <c:pt idx="17329">
                  <c:v>1957818.3832450008</c:v>
                </c:pt>
                <c:pt idx="17330">
                  <c:v>1958621.3049999995</c:v>
                </c:pt>
                <c:pt idx="17331">
                  <c:v>1959424.4462550003</c:v>
                </c:pt>
                <c:pt idx="17332">
                  <c:v>1960227.8070399996</c:v>
                </c:pt>
                <c:pt idx="17333">
                  <c:v>1961031.3873849998</c:v>
                </c:pt>
                <c:pt idx="17334">
                  <c:v>1961835.1873200003</c:v>
                </c:pt>
                <c:pt idx="17335">
                  <c:v>1962639.2068749995</c:v>
                </c:pt>
                <c:pt idx="17336">
                  <c:v>1963443.44608</c:v>
                </c:pt>
                <c:pt idx="17337">
                  <c:v>1964247.9049650005</c:v>
                </c:pt>
                <c:pt idx="17338">
                  <c:v>1965052.5835599997</c:v>
                </c:pt>
                <c:pt idx="17339">
                  <c:v>1965857.4818950002</c:v>
                </c:pt>
                <c:pt idx="17340">
                  <c:v>1966662.6000000003</c:v>
                </c:pt>
                <c:pt idx="17341">
                  <c:v>1967467.9379049996</c:v>
                </c:pt>
                <c:pt idx="17342">
                  <c:v>1968273.4956400003</c:v>
                </c:pt>
                <c:pt idx="17343">
                  <c:v>1969079.2732350004</c:v>
                </c:pt>
                <c:pt idx="17344">
                  <c:v>1969885.27072</c:v>
                </c:pt>
                <c:pt idx="17345">
                  <c:v>1970691.4881250004</c:v>
                </c:pt>
                <c:pt idx="17346">
                  <c:v>1971497.9254799995</c:v>
                </c:pt>
                <c:pt idx="17347">
                  <c:v>1972304.5828149999</c:v>
                </c:pt>
                <c:pt idx="17348">
                  <c:v>1973111.4601600002</c:v>
                </c:pt>
                <c:pt idx="17349">
                  <c:v>1973918.5575449995</c:v>
                </c:pt>
                <c:pt idx="17350">
                  <c:v>1974725.875</c:v>
                </c:pt>
                <c:pt idx="17351">
                  <c:v>1975533.4125550005</c:v>
                </c:pt>
                <c:pt idx="17352">
                  <c:v>1976341.17024</c:v>
                </c:pt>
                <c:pt idx="17353">
                  <c:v>1977149.1480850002</c:v>
                </c:pt>
                <c:pt idx="17354">
                  <c:v>1977957.3461200006</c:v>
                </c:pt>
                <c:pt idx="17355">
                  <c:v>1978765.7643749996</c:v>
                </c:pt>
                <c:pt idx="17356">
                  <c:v>1979574.4028800002</c:v>
                </c:pt>
                <c:pt idx="17357">
                  <c:v>1980383.2616649996</c:v>
                </c:pt>
                <c:pt idx="17358">
                  <c:v>1981192.3407599998</c:v>
                </c:pt>
                <c:pt idx="17359">
                  <c:v>1982001.6401950005</c:v>
                </c:pt>
                <c:pt idx="17360">
                  <c:v>1982811.16</c:v>
                </c:pt>
                <c:pt idx="17361">
                  <c:v>1983620.900205</c:v>
                </c:pt>
                <c:pt idx="17362">
                  <c:v>1984430.8608400004</c:v>
                </c:pt>
                <c:pt idx="17363">
                  <c:v>1985241.0419349994</c:v>
                </c:pt>
                <c:pt idx="17364">
                  <c:v>1986051.44352</c:v>
                </c:pt>
                <c:pt idx="17365">
                  <c:v>1986862.0656250005</c:v>
                </c:pt>
                <c:pt idx="17366">
                  <c:v>1987672.9082799999</c:v>
                </c:pt>
                <c:pt idx="17367">
                  <c:v>1988483.971515</c:v>
                </c:pt>
                <c:pt idx="17368">
                  <c:v>1989295.2553600005</c:v>
                </c:pt>
                <c:pt idx="17369">
                  <c:v>1990106.759845</c:v>
                </c:pt>
                <c:pt idx="17370">
                  <c:v>1990918.4850000006</c:v>
                </c:pt>
                <c:pt idx="17371">
                  <c:v>1991730.4308549992</c:v>
                </c:pt>
                <c:pt idx="17372">
                  <c:v>1992542.5974399995</c:v>
                </c:pt>
                <c:pt idx="17373">
                  <c:v>1993354.9847850003</c:v>
                </c:pt>
                <c:pt idx="17374">
                  <c:v>1994167.5929199995</c:v>
                </c:pt>
                <c:pt idx="17375">
                  <c:v>1994980.421875</c:v>
                </c:pt>
                <c:pt idx="17376">
                  <c:v>1995793.4716800004</c:v>
                </c:pt>
                <c:pt idx="17377">
                  <c:v>1996606.7423649998</c:v>
                </c:pt>
                <c:pt idx="17378">
                  <c:v>1997420.23396</c:v>
                </c:pt>
                <c:pt idx="17379">
                  <c:v>1998233.9464950007</c:v>
                </c:pt>
                <c:pt idx="17380">
                  <c:v>1999047.8799999997</c:v>
                </c:pt>
                <c:pt idx="17381">
                  <c:v>1999862.0345049999</c:v>
                </c:pt>
                <c:pt idx="17382">
                  <c:v>2000676.4100399993</c:v>
                </c:pt>
                <c:pt idx="17383">
                  <c:v>2001491.0066349998</c:v>
                </c:pt>
                <c:pt idx="17384">
                  <c:v>2002305.8243200004</c:v>
                </c:pt>
                <c:pt idx="17385">
                  <c:v>2003120.8631249995</c:v>
                </c:pt>
                <c:pt idx="17386">
                  <c:v>2003936.12308</c:v>
                </c:pt>
                <c:pt idx="17387">
                  <c:v>2004751.6042150003</c:v>
                </c:pt>
                <c:pt idx="17388">
                  <c:v>2005567.3065599997</c:v>
                </c:pt>
                <c:pt idx="17389">
                  <c:v>2006383.2301450002</c:v>
                </c:pt>
                <c:pt idx="17390">
                  <c:v>2007199.3750000007</c:v>
                </c:pt>
                <c:pt idx="17391">
                  <c:v>2008015.7411549995</c:v>
                </c:pt>
                <c:pt idx="17392">
                  <c:v>2008832.3286400002</c:v>
                </c:pt>
                <c:pt idx="17393">
                  <c:v>2009649.1374850008</c:v>
                </c:pt>
                <c:pt idx="17394">
                  <c:v>2010466.1677199996</c:v>
                </c:pt>
                <c:pt idx="17395">
                  <c:v>2011283.4193750003</c:v>
                </c:pt>
                <c:pt idx="17396">
                  <c:v>2012100.8924799995</c:v>
                </c:pt>
                <c:pt idx="17397">
                  <c:v>2012918.5870649999</c:v>
                </c:pt>
                <c:pt idx="17398">
                  <c:v>2013736.5031600003</c:v>
                </c:pt>
                <c:pt idx="17399">
                  <c:v>2014554.6407949997</c:v>
                </c:pt>
                <c:pt idx="17400">
                  <c:v>2015373.0</c:v>
                </c:pt>
                <c:pt idx="17401">
                  <c:v>2016191.5808050004</c:v>
                </c:pt>
                <c:pt idx="17402">
                  <c:v>2017010.3832399996</c:v>
                </c:pt>
                <c:pt idx="17403">
                  <c:v>2017829.4073349999</c:v>
                </c:pt>
                <c:pt idx="17404">
                  <c:v>2018648.6531200008</c:v>
                </c:pt>
                <c:pt idx="17405">
                  <c:v>2019468.1206249997</c:v>
                </c:pt>
                <c:pt idx="17406">
                  <c:v>2020287.80988</c:v>
                </c:pt>
                <c:pt idx="17407">
                  <c:v>2021107.7209149993</c:v>
                </c:pt>
                <c:pt idx="17408">
                  <c:v>2021927.8537599996</c:v>
                </c:pt>
                <c:pt idx="17409">
                  <c:v>2022748.2084450002</c:v>
                </c:pt>
                <c:pt idx="17410">
                  <c:v>2023568.7849999995</c:v>
                </c:pt>
                <c:pt idx="17411">
                  <c:v>2024389.5834550003</c:v>
                </c:pt>
                <c:pt idx="17412">
                  <c:v>2025210.6038400005</c:v>
                </c:pt>
                <c:pt idx="17413">
                  <c:v>2026031.8461849997</c:v>
                </c:pt>
                <c:pt idx="17414">
                  <c:v>2026853.31052</c:v>
                </c:pt>
                <c:pt idx="17415">
                  <c:v>2027674.9968750004</c:v>
                </c:pt>
                <c:pt idx="17416">
                  <c:v>2028496.9052799996</c:v>
                </c:pt>
                <c:pt idx="17417">
                  <c:v>2029319.0357650002</c:v>
                </c:pt>
                <c:pt idx="17418">
                  <c:v>2030141.3883600004</c:v>
                </c:pt>
                <c:pt idx="17419">
                  <c:v>2030963.9630949998</c:v>
                </c:pt>
                <c:pt idx="17420">
                  <c:v>2031786.7600000005</c:v>
                </c:pt>
                <c:pt idx="17421">
                  <c:v>2032609.7791049995</c:v>
                </c:pt>
                <c:pt idx="17422">
                  <c:v>2033433.0204399996</c:v>
                </c:pt>
                <c:pt idx="17423">
                  <c:v>2034256.4840350002</c:v>
                </c:pt>
                <c:pt idx="17424">
                  <c:v>2035080.1699199995</c:v>
                </c:pt>
                <c:pt idx="17425">
                  <c:v>2035904.078125</c:v>
                </c:pt>
                <c:pt idx="17426">
                  <c:v>2036728.2086800004</c:v>
                </c:pt>
                <c:pt idx="17427">
                  <c:v>2037552.5616149998</c:v>
                </c:pt>
                <c:pt idx="17428">
                  <c:v>2038377.1369600003</c:v>
                </c:pt>
                <c:pt idx="17429">
                  <c:v>2039201.9347450007</c:v>
                </c:pt>
                <c:pt idx="17430">
                  <c:v>2040026.9549999996</c:v>
                </c:pt>
                <c:pt idx="17431">
                  <c:v>2040852.197755</c:v>
                </c:pt>
                <c:pt idx="17432">
                  <c:v>2041677.6630399993</c:v>
                </c:pt>
                <c:pt idx="17433">
                  <c:v>2042503.3508849998</c:v>
                </c:pt>
                <c:pt idx="17434">
                  <c:v>2043329.2613200005</c:v>
                </c:pt>
                <c:pt idx="17435">
                  <c:v>2044155.3943749997</c:v>
                </c:pt>
                <c:pt idx="17436">
                  <c:v>2044981.75008</c:v>
                </c:pt>
                <c:pt idx="17437">
                  <c:v>2045808.3284650005</c:v>
                </c:pt>
                <c:pt idx="17438">
                  <c:v>2046635.1295599996</c:v>
                </c:pt>
                <c:pt idx="17439">
                  <c:v>2047462.153395</c:v>
                </c:pt>
                <c:pt idx="17440">
                  <c:v>2048289.4000000004</c:v>
                </c:pt>
                <c:pt idx="17441">
                  <c:v>2049116.8694049998</c:v>
                </c:pt>
                <c:pt idx="17442">
                  <c:v>2049944.56164</c:v>
                </c:pt>
                <c:pt idx="17443">
                  <c:v>2050772.4767350007</c:v>
                </c:pt>
                <c:pt idx="17444">
                  <c:v>2051600.61472</c:v>
                </c:pt>
                <c:pt idx="17445">
                  <c:v>2052428.9756250002</c:v>
                </c:pt>
                <c:pt idx="17446">
                  <c:v>2053257.5594799994</c:v>
                </c:pt>
                <c:pt idx="17447">
                  <c:v>2054086.3663149998</c:v>
                </c:pt>
                <c:pt idx="17448">
                  <c:v>2054915.39616</c:v>
                </c:pt>
                <c:pt idx="17449">
                  <c:v>2055744.6490449996</c:v>
                </c:pt>
                <c:pt idx="17450">
                  <c:v>2056574.125</c:v>
                </c:pt>
                <c:pt idx="17451">
                  <c:v>2057403.8240550002</c:v>
                </c:pt>
                <c:pt idx="17452">
                  <c:v>2058233.7462399998</c:v>
                </c:pt>
                <c:pt idx="17453">
                  <c:v>2059063.8915850003</c:v>
                </c:pt>
                <c:pt idx="17454">
                  <c:v>2059894.2601200005</c:v>
                </c:pt>
                <c:pt idx="17455">
                  <c:v>2060724.8518749997</c:v>
                </c:pt>
                <c:pt idx="17456">
                  <c:v>2061555.6668800001</c:v>
                </c:pt>
                <c:pt idx="17457">
                  <c:v>2062386.7051649992</c:v>
                </c:pt>
                <c:pt idx="17458">
                  <c:v>2063217.9667599997</c:v>
                </c:pt>
                <c:pt idx="17459">
                  <c:v>2064049.4516950003</c:v>
                </c:pt>
                <c:pt idx="17460">
                  <c:v>2064881.1599999997</c:v>
                </c:pt>
                <c:pt idx="17461">
                  <c:v>2065713.091705</c:v>
                </c:pt>
                <c:pt idx="17462">
                  <c:v>2066545.2468400006</c:v>
                </c:pt>
                <c:pt idx="17463">
                  <c:v>2067377.6254349994</c:v>
                </c:pt>
                <c:pt idx="17464">
                  <c:v>2068210.22752</c:v>
                </c:pt>
                <c:pt idx="17465">
                  <c:v>2069043.0531250003</c:v>
                </c:pt>
                <c:pt idx="17466">
                  <c:v>2069876.1022799995</c:v>
                </c:pt>
                <c:pt idx="17467">
                  <c:v>2070709.3750150003</c:v>
                </c:pt>
                <c:pt idx="17468">
                  <c:v>2071542.8713600007</c:v>
                </c:pt>
                <c:pt idx="17469">
                  <c:v>2072376.591345</c:v>
                </c:pt>
                <c:pt idx="17470">
                  <c:v>2073210.5350000004</c:v>
                </c:pt>
                <c:pt idx="17471">
                  <c:v>2074044.7023549995</c:v>
                </c:pt>
                <c:pt idx="17472">
                  <c:v>2074879.0934399997</c:v>
                </c:pt>
                <c:pt idx="17473">
                  <c:v>2075713.7082850004</c:v>
                </c:pt>
                <c:pt idx="17474">
                  <c:v>2076548.5469199994</c:v>
                </c:pt>
                <c:pt idx="17475">
                  <c:v>2077383.609375</c:v>
                </c:pt>
                <c:pt idx="17476">
                  <c:v>2078218.8956800005</c:v>
                </c:pt>
                <c:pt idx="17477">
                  <c:v>2079054.4058649996</c:v>
                </c:pt>
                <c:pt idx="17478">
                  <c:v>2079890.1399600003</c:v>
                </c:pt>
                <c:pt idx="17479">
                  <c:v>2080726.0979950007</c:v>
                </c:pt>
                <c:pt idx="17480">
                  <c:v>2081562.2799999998</c:v>
                </c:pt>
                <c:pt idx="17481">
                  <c:v>2082398.686005</c:v>
                </c:pt>
                <c:pt idx="17482">
                  <c:v>2083235.3160399992</c:v>
                </c:pt>
                <c:pt idx="17483">
                  <c:v>2084072.1701349998</c:v>
                </c:pt>
                <c:pt idx="17484">
                  <c:v>2084909.2483200002</c:v>
                </c:pt>
                <c:pt idx="17485">
                  <c:v>2085746.5506249997</c:v>
                </c:pt>
                <c:pt idx="17486">
                  <c:v>2086584.0770799997</c:v>
                </c:pt>
                <c:pt idx="17487">
                  <c:v>2087421.8277150006</c:v>
                </c:pt>
                <c:pt idx="17488">
                  <c:v>2088259.8025599995</c:v>
                </c:pt>
                <c:pt idx="17489">
                  <c:v>2089098.001645</c:v>
                </c:pt>
                <c:pt idx="17490">
                  <c:v>2089936.425</c:v>
                </c:pt>
                <c:pt idx="17491">
                  <c:v>2090775.0726549998</c:v>
                </c:pt>
                <c:pt idx="17492">
                  <c:v>2091613.9446400004</c:v>
                </c:pt>
                <c:pt idx="17493">
                  <c:v>2092453.0409850003</c:v>
                </c:pt>
                <c:pt idx="17494">
                  <c:v>2093292.36172</c:v>
                </c:pt>
                <c:pt idx="17495">
                  <c:v>2094131.9068750003</c:v>
                </c:pt>
                <c:pt idx="17496">
                  <c:v>2094971.6764799997</c:v>
                </c:pt>
                <c:pt idx="17497">
                  <c:v>2095811.6705649998</c:v>
                </c:pt>
                <c:pt idx="17498">
                  <c:v>2096651.8891600003</c:v>
                </c:pt>
                <c:pt idx="17499">
                  <c:v>2097492.3322949996</c:v>
                </c:pt>
                <c:pt idx="17500">
                  <c:v>2098333.0</c:v>
                </c:pt>
                <c:pt idx="17501">
                  <c:v>2099173.892305</c:v>
                </c:pt>
                <c:pt idx="17502">
                  <c:v>2100015.0092399996</c:v>
                </c:pt>
                <c:pt idx="17503">
                  <c:v>2100856.3508349997</c:v>
                </c:pt>
                <c:pt idx="17504">
                  <c:v>2101697.9171200003</c:v>
                </c:pt>
                <c:pt idx="17505">
                  <c:v>2102539.708125</c:v>
                </c:pt>
                <c:pt idx="17506">
                  <c:v>2103381.7238800004</c:v>
                </c:pt>
                <c:pt idx="17507">
                  <c:v>2104223.9644149994</c:v>
                </c:pt>
                <c:pt idx="17508">
                  <c:v>2105066.4297599997</c:v>
                </c:pt>
                <c:pt idx="17509">
                  <c:v>2105909.1199450004</c:v>
                </c:pt>
                <c:pt idx="17510">
                  <c:v>2106752.0349999997</c:v>
                </c:pt>
                <c:pt idx="17511">
                  <c:v>2107595.174955</c:v>
                </c:pt>
                <c:pt idx="17512">
                  <c:v>2108438.53984</c:v>
                </c:pt>
                <c:pt idx="17513">
                  <c:v>2109282.1296849996</c:v>
                </c:pt>
                <c:pt idx="17514">
                  <c:v>2110125.94452</c:v>
                </c:pt>
                <c:pt idx="17515">
                  <c:v>2110969.984375001</c:v>
                </c:pt>
                <c:pt idx="17516">
                  <c:v>2111814.2492799996</c:v>
                </c:pt>
                <c:pt idx="17517">
                  <c:v>2112658.739265</c:v>
                </c:pt>
                <c:pt idx="17518">
                  <c:v>2113503.454360001</c:v>
                </c:pt>
                <c:pt idx="17519">
                  <c:v>2114348.394595</c:v>
                </c:pt>
                <c:pt idx="17520">
                  <c:v>2115193.56</c:v>
                </c:pt>
                <c:pt idx="17521">
                  <c:v>2116038.9506049994</c:v>
                </c:pt>
                <c:pt idx="17522">
                  <c:v>2116884.5664399997</c:v>
                </c:pt>
                <c:pt idx="17523">
                  <c:v>2117730.4075350002</c:v>
                </c:pt>
                <c:pt idx="17524">
                  <c:v>2118576.47392</c:v>
                </c:pt>
                <c:pt idx="17525">
                  <c:v>2119422.765625</c:v>
                </c:pt>
                <c:pt idx="17526">
                  <c:v>2120269.28268</c:v>
                </c:pt>
                <c:pt idx="17527">
                  <c:v>2121116.0251149996</c:v>
                </c:pt>
                <c:pt idx="17528">
                  <c:v>2121962.99296</c:v>
                </c:pt>
                <c:pt idx="17529">
                  <c:v>2122810.1862450005</c:v>
                </c:pt>
                <c:pt idx="17530">
                  <c:v>2123657.6049999995</c:v>
                </c:pt>
                <c:pt idx="17531">
                  <c:v>2124505.2492550006</c:v>
                </c:pt>
                <c:pt idx="17532">
                  <c:v>2125353.1190399993</c:v>
                </c:pt>
                <c:pt idx="17533">
                  <c:v>2126201.2143849996</c:v>
                </c:pt>
                <c:pt idx="17534">
                  <c:v>2127049.5353200003</c:v>
                </c:pt>
                <c:pt idx="17535">
                  <c:v>2127898.081874999</c:v>
                </c:pt>
                <c:pt idx="17536">
                  <c:v>2128746.85408</c:v>
                </c:pt>
                <c:pt idx="17537">
                  <c:v>2129595.851965</c:v>
                </c:pt>
                <c:pt idx="17538">
                  <c:v>2130445.07556</c:v>
                </c:pt>
                <c:pt idx="17539">
                  <c:v>2131294.524895</c:v>
                </c:pt>
                <c:pt idx="17540">
                  <c:v>2132144.2000000007</c:v>
                </c:pt>
                <c:pt idx="17541">
                  <c:v>2132994.1009049998</c:v>
                </c:pt>
                <c:pt idx="17542">
                  <c:v>2133844.22764</c:v>
                </c:pt>
                <c:pt idx="17543">
                  <c:v>2134694.5802350007</c:v>
                </c:pt>
                <c:pt idx="17544">
                  <c:v>2135545.1587199993</c:v>
                </c:pt>
                <c:pt idx="17545">
                  <c:v>2136395.9631250007</c:v>
                </c:pt>
                <c:pt idx="17546">
                  <c:v>2137246.9934799992</c:v>
                </c:pt>
                <c:pt idx="17547">
                  <c:v>2138098.249815</c:v>
                </c:pt>
                <c:pt idx="17548">
                  <c:v>2138949.7321600006</c:v>
                </c:pt>
                <c:pt idx="17549">
                  <c:v>2139801.4405449997</c:v>
                </c:pt>
                <c:pt idx="17550">
                  <c:v>2140653.375</c:v>
                </c:pt>
                <c:pt idx="17551">
                  <c:v>2141505.535555</c:v>
                </c:pt>
                <c:pt idx="17552">
                  <c:v>2142357.9222399998</c:v>
                </c:pt>
                <c:pt idx="17553">
                  <c:v>2143210.535085</c:v>
                </c:pt>
                <c:pt idx="17554">
                  <c:v>2144063.3741200003</c:v>
                </c:pt>
                <c:pt idx="17555">
                  <c:v>2144916.4393749996</c:v>
                </c:pt>
                <c:pt idx="17556">
                  <c:v>2145769.73088</c:v>
                </c:pt>
                <c:pt idx="17557">
                  <c:v>2146623.2486649994</c:v>
                </c:pt>
                <c:pt idx="17558">
                  <c:v>2147476.9927600003</c:v>
                </c:pt>
                <c:pt idx="17559">
                  <c:v>2148330.9631950003</c:v>
                </c:pt>
                <c:pt idx="17560">
                  <c:v>2149185.159999999</c:v>
                </c:pt>
                <c:pt idx="17561">
                  <c:v>2150039.583205</c:v>
                </c:pt>
                <c:pt idx="17562">
                  <c:v>2150894.2328399997</c:v>
                </c:pt>
                <c:pt idx="17563">
                  <c:v>2151749.108935</c:v>
                </c:pt>
                <c:pt idx="17564">
                  <c:v>2152604.2115200004</c:v>
                </c:pt>
                <c:pt idx="17565">
                  <c:v>2153459.5406250004</c:v>
                </c:pt>
                <c:pt idx="17566">
                  <c:v>2154315.0962799997</c:v>
                </c:pt>
                <c:pt idx="17567">
                  <c:v>2155170.878515</c:v>
                </c:pt>
                <c:pt idx="17568">
                  <c:v>2156026.8873600005</c:v>
                </c:pt>
                <c:pt idx="17569">
                  <c:v>2156883.122844999</c:v>
                </c:pt>
                <c:pt idx="17570">
                  <c:v>2157739.5850000004</c:v>
                </c:pt>
                <c:pt idx="17571">
                  <c:v>2158596.2738549993</c:v>
                </c:pt>
                <c:pt idx="17572">
                  <c:v>2159453.1894400003</c:v>
                </c:pt>
                <c:pt idx="17573">
                  <c:v>2160310.3317850004</c:v>
                </c:pt>
                <c:pt idx="17574">
                  <c:v>2161167.7009199997</c:v>
                </c:pt>
                <c:pt idx="17575">
                  <c:v>2162025.296875</c:v>
                </c:pt>
                <c:pt idx="17576">
                  <c:v>2162883.1196800005</c:v>
                </c:pt>
                <c:pt idx="17577">
                  <c:v>2163741.1693649995</c:v>
                </c:pt>
                <c:pt idx="17578">
                  <c:v>2164599.4459599997</c:v>
                </c:pt>
                <c:pt idx="17579">
                  <c:v>2165457.9494950008</c:v>
                </c:pt>
                <c:pt idx="17580">
                  <c:v>2166316.6799999997</c:v>
                </c:pt>
                <c:pt idx="17581">
                  <c:v>2167175.6375050005</c:v>
                </c:pt>
                <c:pt idx="17582">
                  <c:v>2168034.8220399995</c:v>
                </c:pt>
                <c:pt idx="17583">
                  <c:v>2168894.2336350004</c:v>
                </c:pt>
                <c:pt idx="17584">
                  <c:v>2169753.8723200005</c:v>
                </c:pt>
                <c:pt idx="17585">
                  <c:v>2170613.7381249997</c:v>
                </c:pt>
                <c:pt idx="17586">
                  <c:v>2171473.83108</c:v>
                </c:pt>
                <c:pt idx="17587">
                  <c:v>2172334.1512150005</c:v>
                </c:pt>
                <c:pt idx="17588">
                  <c:v>2173194.6985599995</c:v>
                </c:pt>
                <c:pt idx="17589">
                  <c:v>2174055.473145</c:v>
                </c:pt>
                <c:pt idx="17590">
                  <c:v>2174916.4750000006</c:v>
                </c:pt>
                <c:pt idx="17591">
                  <c:v>2175777.7041549995</c:v>
                </c:pt>
                <c:pt idx="17592">
                  <c:v>2176639.1606400004</c:v>
                </c:pt>
                <c:pt idx="17593">
                  <c:v>2177500.8444850007</c:v>
                </c:pt>
                <c:pt idx="17594">
                  <c:v>2178362.75572</c:v>
                </c:pt>
                <c:pt idx="17595">
                  <c:v>2179224.894375</c:v>
                </c:pt>
                <c:pt idx="17596">
                  <c:v>2180087.2604799992</c:v>
                </c:pt>
                <c:pt idx="17597">
                  <c:v>2180949.854065</c:v>
                </c:pt>
                <c:pt idx="17598">
                  <c:v>2181812.6751600006</c:v>
                </c:pt>
                <c:pt idx="17599">
                  <c:v>2182675.7237949995</c:v>
                </c:pt>
                <c:pt idx="17600">
                  <c:v>2183539.0</c:v>
                </c:pt>
                <c:pt idx="17601">
                  <c:v>2184402.503805</c:v>
                </c:pt>
                <c:pt idx="17602">
                  <c:v>2185266.2352399994</c:v>
                </c:pt>
                <c:pt idx="17603">
                  <c:v>2186130.194335</c:v>
                </c:pt>
                <c:pt idx="17604">
                  <c:v>2186994.381120001</c:v>
                </c:pt>
                <c:pt idx="17605">
                  <c:v>2187858.7956249993</c:v>
                </c:pt>
                <c:pt idx="17606">
                  <c:v>2188723.4378800006</c:v>
                </c:pt>
                <c:pt idx="17607">
                  <c:v>2189588.3079149993</c:v>
                </c:pt>
                <c:pt idx="17608">
                  <c:v>2190453.40576</c:v>
                </c:pt>
                <c:pt idx="17609">
                  <c:v>2191318.7314450005</c:v>
                </c:pt>
                <c:pt idx="17610">
                  <c:v>2192184.284999999</c:v>
                </c:pt>
                <c:pt idx="17611">
                  <c:v>2193050.066455</c:v>
                </c:pt>
                <c:pt idx="17612">
                  <c:v>2193916.07584</c:v>
                </c:pt>
                <c:pt idx="17613">
                  <c:v>2194782.313185</c:v>
                </c:pt>
                <c:pt idx="17614">
                  <c:v>2195648.77852</c:v>
                </c:pt>
                <c:pt idx="17615">
                  <c:v>2196515.4718750007</c:v>
                </c:pt>
                <c:pt idx="17616">
                  <c:v>2197382.39328</c:v>
                </c:pt>
                <c:pt idx="17617">
                  <c:v>2198249.5427650004</c:v>
                </c:pt>
                <c:pt idx="17618">
                  <c:v>2199116.920360001</c:v>
                </c:pt>
                <c:pt idx="17619">
                  <c:v>2199984.5260949996</c:v>
                </c:pt>
                <c:pt idx="17620">
                  <c:v>2200852.3600000003</c:v>
                </c:pt>
                <c:pt idx="17621">
                  <c:v>2201720.4221049994</c:v>
                </c:pt>
                <c:pt idx="17622">
                  <c:v>2202588.71244</c:v>
                </c:pt>
                <c:pt idx="17623">
                  <c:v>2203457.2310350006</c:v>
                </c:pt>
                <c:pt idx="17624">
                  <c:v>2204325.97792</c:v>
                </c:pt>
                <c:pt idx="17625">
                  <c:v>2205194.953125</c:v>
                </c:pt>
                <c:pt idx="17626">
                  <c:v>2206064.1566800005</c:v>
                </c:pt>
                <c:pt idx="17627">
                  <c:v>2206933.588615</c:v>
                </c:pt>
                <c:pt idx="17628">
                  <c:v>2207803.24896</c:v>
                </c:pt>
                <c:pt idx="17629">
                  <c:v>2208673.137745001</c:v>
                </c:pt>
                <c:pt idx="17630">
                  <c:v>2209543.2549999994</c:v>
                </c:pt>
                <c:pt idx="17631">
                  <c:v>2210413.600755</c:v>
                </c:pt>
                <c:pt idx="17632">
                  <c:v>2211284.175039999</c:v>
                </c:pt>
                <c:pt idx="17633">
                  <c:v>2212154.977885</c:v>
                </c:pt>
                <c:pt idx="17634">
                  <c:v>2213026.00932</c:v>
                </c:pt>
                <c:pt idx="17635">
                  <c:v>2213897.269374999</c:v>
                </c:pt>
                <c:pt idx="17636">
                  <c:v>2214768.7580799996</c:v>
                </c:pt>
                <c:pt idx="17637">
                  <c:v>2215640.475465</c:v>
                </c:pt>
                <c:pt idx="17638">
                  <c:v>2216512.42156</c:v>
                </c:pt>
                <c:pt idx="17639">
                  <c:v>2217384.596395</c:v>
                </c:pt>
                <c:pt idx="17640">
                  <c:v>2218257.000000001</c:v>
                </c:pt>
                <c:pt idx="17641">
                  <c:v>2219129.632405</c:v>
                </c:pt>
                <c:pt idx="17642">
                  <c:v>2220002.49364</c:v>
                </c:pt>
                <c:pt idx="17643">
                  <c:v>2220875.5837350003</c:v>
                </c:pt>
                <c:pt idx="17644">
                  <c:v>2221748.9027199997</c:v>
                </c:pt>
                <c:pt idx="17645">
                  <c:v>2222622.450625</c:v>
                </c:pt>
                <c:pt idx="17646">
                  <c:v>2223496.2274799994</c:v>
                </c:pt>
                <c:pt idx="17647">
                  <c:v>2224370.233315</c:v>
                </c:pt>
                <c:pt idx="17648">
                  <c:v>2225244.46816</c:v>
                </c:pt>
                <c:pt idx="17649">
                  <c:v>2226118.9320449997</c:v>
                </c:pt>
                <c:pt idx="17650">
                  <c:v>2226993.625</c:v>
                </c:pt>
                <c:pt idx="17651">
                  <c:v>2227868.547055</c:v>
                </c:pt>
                <c:pt idx="17652">
                  <c:v>2228743.69824</c:v>
                </c:pt>
                <c:pt idx="17653">
                  <c:v>2229619.0785850002</c:v>
                </c:pt>
                <c:pt idx="17654">
                  <c:v>2230494.688120001</c:v>
                </c:pt>
                <c:pt idx="17655">
                  <c:v>2231370.5268749995</c:v>
                </c:pt>
                <c:pt idx="17656">
                  <c:v>2232246.59488</c:v>
                </c:pt>
                <c:pt idx="17657">
                  <c:v>2233122.892164999</c:v>
                </c:pt>
                <c:pt idx="17658">
                  <c:v>2233999.41876</c:v>
                </c:pt>
                <c:pt idx="17659">
                  <c:v>2234876.1746950005</c:v>
                </c:pt>
                <c:pt idx="17660">
                  <c:v>2235753.159999999</c:v>
                </c:pt>
                <c:pt idx="17661">
                  <c:v>2236630.374705</c:v>
                </c:pt>
                <c:pt idx="17662">
                  <c:v>2237507.8188400003</c:v>
                </c:pt>
                <c:pt idx="17663">
                  <c:v>2238385.492435</c:v>
                </c:pt>
                <c:pt idx="17664">
                  <c:v>2239263.3955200003</c:v>
                </c:pt>
                <c:pt idx="17665">
                  <c:v>2240141.5281250007</c:v>
                </c:pt>
                <c:pt idx="17666">
                  <c:v>2241019.89028</c:v>
                </c:pt>
                <c:pt idx="17667">
                  <c:v>2241898.4820149997</c:v>
                </c:pt>
                <c:pt idx="17668">
                  <c:v>2242777.3033600007</c:v>
                </c:pt>
                <c:pt idx="17669">
                  <c:v>2243656.354345</c:v>
                </c:pt>
                <c:pt idx="17670">
                  <c:v>2244535.6350000007</c:v>
                </c:pt>
                <c:pt idx="17671">
                  <c:v>2245415.1453549997</c:v>
                </c:pt>
                <c:pt idx="17672">
                  <c:v>2246294.8854400003</c:v>
                </c:pt>
                <c:pt idx="17673">
                  <c:v>2247174.8552850005</c:v>
                </c:pt>
                <c:pt idx="17674">
                  <c:v>2248055.05492</c:v>
                </c:pt>
                <c:pt idx="17675">
                  <c:v>2248935.484375</c:v>
                </c:pt>
                <c:pt idx="17676">
                  <c:v>2249816.14368</c:v>
                </c:pt>
                <c:pt idx="17677">
                  <c:v>2250697.0328649995</c:v>
                </c:pt>
                <c:pt idx="17678">
                  <c:v>2251578.15196</c:v>
                </c:pt>
                <c:pt idx="17679">
                  <c:v>2252459.500995001</c:v>
                </c:pt>
                <c:pt idx="17680">
                  <c:v>2253341.0799999996</c:v>
                </c:pt>
                <c:pt idx="17681">
                  <c:v>2254222.8890050007</c:v>
                </c:pt>
                <c:pt idx="17682">
                  <c:v>2255104.928039999</c:v>
                </c:pt>
                <c:pt idx="17683">
                  <c:v>2255987.1971349996</c:v>
                </c:pt>
                <c:pt idx="17684">
                  <c:v>2256869.6963200006</c:v>
                </c:pt>
                <c:pt idx="17685">
                  <c:v>2257752.4256249988</c:v>
                </c:pt>
                <c:pt idx="17686">
                  <c:v>2258635.38508</c:v>
                </c:pt>
                <c:pt idx="17687">
                  <c:v>2259518.5747150006</c:v>
                </c:pt>
                <c:pt idx="17688">
                  <c:v>2260401.9945599996</c:v>
                </c:pt>
                <c:pt idx="17689">
                  <c:v>2261285.644645</c:v>
                </c:pt>
                <c:pt idx="17690">
                  <c:v>2262169.5250000004</c:v>
                </c:pt>
                <c:pt idx="17691">
                  <c:v>2263053.6356549994</c:v>
                </c:pt>
                <c:pt idx="17692">
                  <c:v>2263937.97664</c:v>
                </c:pt>
                <c:pt idx="17693">
                  <c:v>2264822.5479850005</c:v>
                </c:pt>
                <c:pt idx="17694">
                  <c:v>2265707.3497199994</c:v>
                </c:pt>
                <c:pt idx="17695">
                  <c:v>2266592.3818750004</c:v>
                </c:pt>
                <c:pt idx="17696">
                  <c:v>2267477.64448</c:v>
                </c:pt>
                <c:pt idx="17697">
                  <c:v>2268363.137565</c:v>
                </c:pt>
                <c:pt idx="17698">
                  <c:v>2269248.8611600003</c:v>
                </c:pt>
                <c:pt idx="17699">
                  <c:v>2270134.8152949996</c:v>
                </c:pt>
                <c:pt idx="17700">
                  <c:v>2271021.0</c:v>
                </c:pt>
                <c:pt idx="17701">
                  <c:v>2271907.4153050003</c:v>
                </c:pt>
                <c:pt idx="17702">
                  <c:v>2272794.0612399993</c:v>
                </c:pt>
                <c:pt idx="17703">
                  <c:v>2273680.937835</c:v>
                </c:pt>
                <c:pt idx="17704">
                  <c:v>2274568.0451200004</c:v>
                </c:pt>
                <c:pt idx="17705">
                  <c:v>2275455.3831249997</c:v>
                </c:pt>
                <c:pt idx="17706">
                  <c:v>2276342.9518800005</c:v>
                </c:pt>
                <c:pt idx="17707">
                  <c:v>2277230.7514149994</c:v>
                </c:pt>
                <c:pt idx="17708">
                  <c:v>2278118.78176</c:v>
                </c:pt>
                <c:pt idx="17709">
                  <c:v>2279007.0429450003</c:v>
                </c:pt>
                <c:pt idx="17710">
                  <c:v>2279895.534999999</c:v>
                </c:pt>
                <c:pt idx="17711">
                  <c:v>2280784.257955</c:v>
                </c:pt>
                <c:pt idx="17712">
                  <c:v>2281673.2118400005</c:v>
                </c:pt>
                <c:pt idx="17713">
                  <c:v>2282562.396685</c:v>
                </c:pt>
                <c:pt idx="17714">
                  <c:v>2283451.8125199997</c:v>
                </c:pt>
                <c:pt idx="17715">
                  <c:v>2284341.4593750006</c:v>
                </c:pt>
                <c:pt idx="17716">
                  <c:v>2285231.3372799996</c:v>
                </c:pt>
                <c:pt idx="17717">
                  <c:v>2286121.446265</c:v>
                </c:pt>
                <c:pt idx="17718">
                  <c:v>2287011.7863600003</c:v>
                </c:pt>
                <c:pt idx="17719">
                  <c:v>2287902.357595</c:v>
                </c:pt>
                <c:pt idx="17720">
                  <c:v>2288793.16</c:v>
                </c:pt>
                <c:pt idx="17721">
                  <c:v>2289684.1936049997</c:v>
                </c:pt>
                <c:pt idx="17722">
                  <c:v>2290575.4584399997</c:v>
                </c:pt>
                <c:pt idx="17723">
                  <c:v>2291466.9545350005</c:v>
                </c:pt>
                <c:pt idx="17724">
                  <c:v>2292358.68192</c:v>
                </c:pt>
                <c:pt idx="17725">
                  <c:v>2293250.640625</c:v>
                </c:pt>
                <c:pt idx="17726">
                  <c:v>2294142.83068</c:v>
                </c:pt>
                <c:pt idx="17727">
                  <c:v>2295035.2521149996</c:v>
                </c:pt>
                <c:pt idx="17728">
                  <c:v>2295927.90496</c:v>
                </c:pt>
                <c:pt idx="17729">
                  <c:v>2296820.7892450006</c:v>
                </c:pt>
                <c:pt idx="17730">
                  <c:v>2297713.905</c:v>
                </c:pt>
                <c:pt idx="17731">
                  <c:v>2298607.2522550006</c:v>
                </c:pt>
                <c:pt idx="17732">
                  <c:v>2299500.8310399996</c:v>
                </c:pt>
                <c:pt idx="17733">
                  <c:v>2300394.641385</c:v>
                </c:pt>
                <c:pt idx="17734">
                  <c:v>2301288.6833200003</c:v>
                </c:pt>
                <c:pt idx="17735">
                  <c:v>2302182.9568749997</c:v>
                </c:pt>
                <c:pt idx="17736">
                  <c:v>2303077.46208</c:v>
                </c:pt>
                <c:pt idx="17737">
                  <c:v>2303972.198965</c:v>
                </c:pt>
                <c:pt idx="17738">
                  <c:v>2304867.16756</c:v>
                </c:pt>
                <c:pt idx="17739">
                  <c:v>2305762.367895</c:v>
                </c:pt>
                <c:pt idx="17740">
                  <c:v>2306657.8000000007</c:v>
                </c:pt>
                <c:pt idx="17741">
                  <c:v>2307553.4639049997</c:v>
                </c:pt>
                <c:pt idx="17742">
                  <c:v>2308449.35964</c:v>
                </c:pt>
                <c:pt idx="17743">
                  <c:v>2309345.487235001</c:v>
                </c:pt>
                <c:pt idx="17744">
                  <c:v>2310241.84672</c:v>
                </c:pt>
                <c:pt idx="17745">
                  <c:v>2311138.4381250003</c:v>
                </c:pt>
                <c:pt idx="17746">
                  <c:v>2312035.2614799994</c:v>
                </c:pt>
                <c:pt idx="17747">
                  <c:v>2312932.316815</c:v>
                </c:pt>
                <c:pt idx="17748">
                  <c:v>2313829.6041600006</c:v>
                </c:pt>
                <c:pt idx="17749">
                  <c:v>2314727.123545</c:v>
                </c:pt>
                <c:pt idx="17750">
                  <c:v>2315624.875</c:v>
                </c:pt>
                <c:pt idx="17751">
                  <c:v>2316522.858555</c:v>
                </c:pt>
                <c:pt idx="17752">
                  <c:v>2317421.0742399995</c:v>
                </c:pt>
                <c:pt idx="17753">
                  <c:v>2318319.5220850003</c:v>
                </c:pt>
                <c:pt idx="17754">
                  <c:v>2319218.2021200005</c:v>
                </c:pt>
                <c:pt idx="17755">
                  <c:v>2320117.114375</c:v>
                </c:pt>
                <c:pt idx="17756">
                  <c:v>2321016.25888</c:v>
                </c:pt>
                <c:pt idx="17757">
                  <c:v>2321915.6356649995</c:v>
                </c:pt>
                <c:pt idx="17758">
                  <c:v>2322815.24476</c:v>
                </c:pt>
                <c:pt idx="17759">
                  <c:v>2323715.0861950004</c:v>
                </c:pt>
                <c:pt idx="17760">
                  <c:v>2324615.159999999</c:v>
                </c:pt>
                <c:pt idx="17761">
                  <c:v>2325515.4662050004</c:v>
                </c:pt>
                <c:pt idx="17762">
                  <c:v>2326416.00484</c:v>
                </c:pt>
                <c:pt idx="17763">
                  <c:v>2327316.7759349993</c:v>
                </c:pt>
                <c:pt idx="17764">
                  <c:v>2328217.7795200003</c:v>
                </c:pt>
                <c:pt idx="17765">
                  <c:v>2329119.015625001</c:v>
                </c:pt>
                <c:pt idx="17766">
                  <c:v>2330020.4842799995</c:v>
                </c:pt>
                <c:pt idx="17767">
                  <c:v>2330922.185515</c:v>
                </c:pt>
                <c:pt idx="17768">
                  <c:v>2331824.1193600004</c:v>
                </c:pt>
                <c:pt idx="17769">
                  <c:v>2332726.2858449994</c:v>
                </c:pt>
                <c:pt idx="17770">
                  <c:v>2333628.6850000005</c:v>
                </c:pt>
                <c:pt idx="17771">
                  <c:v>2334531.316854999</c:v>
                </c:pt>
                <c:pt idx="17772">
                  <c:v>2335434.18144</c:v>
                </c:pt>
                <c:pt idx="17773">
                  <c:v>2336337.2787850006</c:v>
                </c:pt>
                <c:pt idx="17774">
                  <c:v>2337240.60892</c:v>
                </c:pt>
                <c:pt idx="17775">
                  <c:v>2338144.171875</c:v>
                </c:pt>
                <c:pt idx="17776">
                  <c:v>2339047.9676800002</c:v>
                </c:pt>
                <c:pt idx="17777">
                  <c:v>2339951.996365</c:v>
                </c:pt>
                <c:pt idx="17778">
                  <c:v>2340856.25796</c:v>
                </c:pt>
                <c:pt idx="17779">
                  <c:v>2341760.7524950006</c:v>
                </c:pt>
                <c:pt idx="17780">
                  <c:v>2342665.4799999995</c:v>
                </c:pt>
                <c:pt idx="17781">
                  <c:v>2343570.4405050003</c:v>
                </c:pt>
                <c:pt idx="17782">
                  <c:v>2344475.6340399995</c:v>
                </c:pt>
                <c:pt idx="17783">
                  <c:v>2345381.060635</c:v>
                </c:pt>
                <c:pt idx="17784">
                  <c:v>2346286.7203200003</c:v>
                </c:pt>
                <c:pt idx="17785">
                  <c:v>2347192.613124999</c:v>
                </c:pt>
                <c:pt idx="17786">
                  <c:v>2348098.73908</c:v>
                </c:pt>
                <c:pt idx="17787">
                  <c:v>2349005.0982150002</c:v>
                </c:pt>
                <c:pt idx="17788">
                  <c:v>2349911.6905599996</c:v>
                </c:pt>
                <c:pt idx="17789">
                  <c:v>2350818.516145</c:v>
                </c:pt>
                <c:pt idx="17790">
                  <c:v>2351725.5750000007</c:v>
                </c:pt>
                <c:pt idx="17791">
                  <c:v>2352632.867155</c:v>
                </c:pt>
                <c:pt idx="17792">
                  <c:v>2353540.3926399997</c:v>
                </c:pt>
                <c:pt idx="17793">
                  <c:v>2354448.151485001</c:v>
                </c:pt>
                <c:pt idx="17794">
                  <c:v>2355356.1437199996</c:v>
                </c:pt>
                <c:pt idx="17795">
                  <c:v>2356264.3693750002</c:v>
                </c:pt>
                <c:pt idx="17796">
                  <c:v>2357172.828479999</c:v>
                </c:pt>
                <c:pt idx="17797">
                  <c:v>2358081.521065</c:v>
                </c:pt>
                <c:pt idx="17798">
                  <c:v>2358990.4471600004</c:v>
                </c:pt>
                <c:pt idx="17799">
                  <c:v>2359899.606795</c:v>
                </c:pt>
                <c:pt idx="17800">
                  <c:v>2360809.0</c:v>
                </c:pt>
                <c:pt idx="17801">
                  <c:v>2361718.6268050005</c:v>
                </c:pt>
                <c:pt idx="17802">
                  <c:v>2362628.48724</c:v>
                </c:pt>
                <c:pt idx="17803">
                  <c:v>2363538.5813349998</c:v>
                </c:pt>
                <c:pt idx="17804">
                  <c:v>2364448.9091200004</c:v>
                </c:pt>
                <c:pt idx="17805">
                  <c:v>2365359.4706249996</c:v>
                </c:pt>
                <c:pt idx="17806">
                  <c:v>2366270.2658800003</c:v>
                </c:pt>
                <c:pt idx="17807">
                  <c:v>2367181.2949149995</c:v>
                </c:pt>
                <c:pt idx="17808">
                  <c:v>2368092.5577599998</c:v>
                </c:pt>
                <c:pt idx="17809">
                  <c:v>2369004.0544450004</c:v>
                </c:pt>
                <c:pt idx="17810">
                  <c:v>2369915.784999999</c:v>
                </c:pt>
                <c:pt idx="17811">
                  <c:v>2370827.749455</c:v>
                </c:pt>
                <c:pt idx="17812">
                  <c:v>2371739.9478400005</c:v>
                </c:pt>
                <c:pt idx="17813">
                  <c:v>2372652.3801849997</c:v>
                </c:pt>
                <c:pt idx="17814">
                  <c:v>2373565.04652</c:v>
                </c:pt>
                <c:pt idx="17815">
                  <c:v>2374477.9468750004</c:v>
                </c:pt>
                <c:pt idx="17816">
                  <c:v>2375391.0812799996</c:v>
                </c:pt>
                <c:pt idx="17817">
                  <c:v>2376304.449765</c:v>
                </c:pt>
                <c:pt idx="17818">
                  <c:v>2377218.0523600006</c:v>
                </c:pt>
                <c:pt idx="17819">
                  <c:v>2378131.8890949995</c:v>
                </c:pt>
                <c:pt idx="17820">
                  <c:v>2379045.9600000004</c:v>
                </c:pt>
                <c:pt idx="17821">
                  <c:v>2379960.2651049993</c:v>
                </c:pt>
                <c:pt idx="17822">
                  <c:v>2380874.80444</c:v>
                </c:pt>
                <c:pt idx="17823">
                  <c:v>2381789.5780350002</c:v>
                </c:pt>
                <c:pt idx="17824">
                  <c:v>2382704.58592</c:v>
                </c:pt>
                <c:pt idx="17825">
                  <c:v>2383619.828125</c:v>
                </c:pt>
                <c:pt idx="17826">
                  <c:v>2384535.30468</c:v>
                </c:pt>
                <c:pt idx="17827">
                  <c:v>2385451.015615</c:v>
                </c:pt>
                <c:pt idx="17828">
                  <c:v>2386366.9609600003</c:v>
                </c:pt>
                <c:pt idx="17829">
                  <c:v>2387283.1407450004</c:v>
                </c:pt>
                <c:pt idx="17830">
                  <c:v>2388199.555</c:v>
                </c:pt>
                <c:pt idx="17831">
                  <c:v>2389116.203755</c:v>
                </c:pt>
                <c:pt idx="17832">
                  <c:v>2390033.087039999</c:v>
                </c:pt>
                <c:pt idx="17833">
                  <c:v>2390950.204885</c:v>
                </c:pt>
                <c:pt idx="17834">
                  <c:v>2391867.55732</c:v>
                </c:pt>
                <c:pt idx="17835">
                  <c:v>2392785.1443749997</c:v>
                </c:pt>
                <c:pt idx="17836">
                  <c:v>2393702.96608</c:v>
                </c:pt>
                <c:pt idx="17837">
                  <c:v>2394621.0224650004</c:v>
                </c:pt>
                <c:pt idx="17838">
                  <c:v>2395539.31356</c:v>
                </c:pt>
                <c:pt idx="17839">
                  <c:v>2396457.839395</c:v>
                </c:pt>
                <c:pt idx="17840">
                  <c:v>2397376.6000000006</c:v>
                </c:pt>
                <c:pt idx="17841">
                  <c:v>2398295.5954049993</c:v>
                </c:pt>
                <c:pt idx="17842">
                  <c:v>2399214.82564</c:v>
                </c:pt>
                <c:pt idx="17843">
                  <c:v>2400134.2907350003</c:v>
                </c:pt>
                <c:pt idx="17844">
                  <c:v>2401053.9907199997</c:v>
                </c:pt>
                <c:pt idx="17845">
                  <c:v>2401973.925625</c:v>
                </c:pt>
                <c:pt idx="17846">
                  <c:v>2402894.095479999</c:v>
                </c:pt>
                <c:pt idx="17847">
                  <c:v>2403814.5003150003</c:v>
                </c:pt>
                <c:pt idx="17848">
                  <c:v>2404735.1401600004</c:v>
                </c:pt>
                <c:pt idx="17849">
                  <c:v>2405656.015045</c:v>
                </c:pt>
                <c:pt idx="17850">
                  <c:v>2406577.125</c:v>
                </c:pt>
                <c:pt idx="17851">
                  <c:v>2407498.4700550004</c:v>
                </c:pt>
                <c:pt idx="17852">
                  <c:v>2408420.05024</c:v>
                </c:pt>
                <c:pt idx="17853">
                  <c:v>2409341.865585</c:v>
                </c:pt>
                <c:pt idx="17854">
                  <c:v>2410263.9161200006</c:v>
                </c:pt>
                <c:pt idx="17855">
                  <c:v>2411186.2018749993</c:v>
                </c:pt>
                <c:pt idx="17856">
                  <c:v>2412108.7228800002</c:v>
                </c:pt>
                <c:pt idx="17857">
                  <c:v>2413031.4791649994</c:v>
                </c:pt>
                <c:pt idx="17858">
                  <c:v>2413954.4707600004</c:v>
                </c:pt>
                <c:pt idx="17859">
                  <c:v>2414877.697695</c:v>
                </c:pt>
                <c:pt idx="17860">
                  <c:v>2415801.159999999</c:v>
                </c:pt>
                <c:pt idx="17861">
                  <c:v>2416724.857705</c:v>
                </c:pt>
                <c:pt idx="17862">
                  <c:v>2417648.7908400004</c:v>
                </c:pt>
                <c:pt idx="17863">
                  <c:v>2418572.9594349996</c:v>
                </c:pt>
                <c:pt idx="17864">
                  <c:v>2419497.3635199997</c:v>
                </c:pt>
                <c:pt idx="17865">
                  <c:v>2420422.0031250007</c:v>
                </c:pt>
                <c:pt idx="17866">
                  <c:v>2421346.87828</c:v>
                </c:pt>
                <c:pt idx="17867">
                  <c:v>2422271.989015</c:v>
                </c:pt>
                <c:pt idx="17868">
                  <c:v>2423197.335360001</c:v>
                </c:pt>
                <c:pt idx="17869">
                  <c:v>2424122.917345</c:v>
                </c:pt>
                <c:pt idx="17870">
                  <c:v>2425048.7350000003</c:v>
                </c:pt>
                <c:pt idx="17871">
                  <c:v>2425974.7883549994</c:v>
                </c:pt>
                <c:pt idx="17872">
                  <c:v>2426901.0774399997</c:v>
                </c:pt>
                <c:pt idx="17873">
                  <c:v>2427827.602285</c:v>
                </c:pt>
                <c:pt idx="17874">
                  <c:v>2428754.3629199998</c:v>
                </c:pt>
                <c:pt idx="17875">
                  <c:v>2429681.359375</c:v>
                </c:pt>
                <c:pt idx="17876">
                  <c:v>2430608.59168</c:v>
                </c:pt>
                <c:pt idx="17877">
                  <c:v>2431536.0598649997</c:v>
                </c:pt>
                <c:pt idx="17878">
                  <c:v>2432463.76396</c:v>
                </c:pt>
                <c:pt idx="17879">
                  <c:v>2433391.703995001</c:v>
                </c:pt>
                <c:pt idx="17880">
                  <c:v>2434319.88</c:v>
                </c:pt>
                <c:pt idx="17881">
                  <c:v>2435248.2920050006</c:v>
                </c:pt>
                <c:pt idx="17882">
                  <c:v>2436176.9400399993</c:v>
                </c:pt>
                <c:pt idx="17883">
                  <c:v>2437105.8241350004</c:v>
                </c:pt>
                <c:pt idx="17884">
                  <c:v>2438034.9443200002</c:v>
                </c:pt>
                <c:pt idx="17885">
                  <c:v>2438964.300624999</c:v>
                </c:pt>
                <c:pt idx="17886">
                  <c:v>2439893.8930800003</c:v>
                </c:pt>
                <c:pt idx="17887">
                  <c:v>2440823.7217150005</c:v>
                </c:pt>
                <c:pt idx="17888">
                  <c:v>2441753.78656</c:v>
                </c:pt>
                <c:pt idx="17889">
                  <c:v>2442684.087645</c:v>
                </c:pt>
                <c:pt idx="17890">
                  <c:v>2443614.625000001</c:v>
                </c:pt>
                <c:pt idx="17891">
                  <c:v>2444545.3986549997</c:v>
                </c:pt>
                <c:pt idx="17892">
                  <c:v>2445476.40864</c:v>
                </c:pt>
                <c:pt idx="17893">
                  <c:v>2446407.6549850004</c:v>
                </c:pt>
                <c:pt idx="17894">
                  <c:v>2447339.1377199995</c:v>
                </c:pt>
                <c:pt idx="17895">
                  <c:v>2448270.856875</c:v>
                </c:pt>
                <c:pt idx="17896">
                  <c:v>2449202.8124799994</c:v>
                </c:pt>
                <c:pt idx="17897">
                  <c:v>2450135.0045649996</c:v>
                </c:pt>
                <c:pt idx="17898">
                  <c:v>2451067.43316</c:v>
                </c:pt>
                <c:pt idx="17899">
                  <c:v>2452000.098295</c:v>
                </c:pt>
                <c:pt idx="17900">
                  <c:v>2452933.0</c:v>
                </c:pt>
                <c:pt idx="17901">
                  <c:v>2453866.1383050005</c:v>
                </c:pt>
                <c:pt idx="17902">
                  <c:v>2454799.51324</c:v>
                </c:pt>
                <c:pt idx="17903">
                  <c:v>2455733.124835</c:v>
                </c:pt>
                <c:pt idx="17904">
                  <c:v>2456666.9731200007</c:v>
                </c:pt>
                <c:pt idx="17905">
                  <c:v>2457601.0581249995</c:v>
                </c:pt>
                <c:pt idx="17906">
                  <c:v>2458535.3798800004</c:v>
                </c:pt>
                <c:pt idx="17907">
                  <c:v>2459469.9384149993</c:v>
                </c:pt>
                <c:pt idx="17908">
                  <c:v>2460404.73376</c:v>
                </c:pt>
                <c:pt idx="17909">
                  <c:v>2461339.7659450006</c:v>
                </c:pt>
                <c:pt idx="17910">
                  <c:v>2462275.034999999</c:v>
                </c:pt>
                <c:pt idx="17911">
                  <c:v>2463210.540955</c:v>
                </c:pt>
                <c:pt idx="17912">
                  <c:v>2464146.28384</c:v>
                </c:pt>
                <c:pt idx="17913">
                  <c:v>2465082.2636849997</c:v>
                </c:pt>
                <c:pt idx="17914">
                  <c:v>2466018.4805199997</c:v>
                </c:pt>
                <c:pt idx="17915">
                  <c:v>2466954.934375001</c:v>
                </c:pt>
                <c:pt idx="17916">
                  <c:v>2467891.6252799993</c:v>
                </c:pt>
                <c:pt idx="17917">
                  <c:v>2468828.553265</c:v>
                </c:pt>
                <c:pt idx="17918">
                  <c:v>2469765.7183600003</c:v>
                </c:pt>
                <c:pt idx="17919">
                  <c:v>2470703.1205949998</c:v>
                </c:pt>
                <c:pt idx="17920">
                  <c:v>2471640.7600000007</c:v>
                </c:pt>
                <c:pt idx="17921">
                  <c:v>2472578.6366049997</c:v>
                </c:pt>
                <c:pt idx="17922">
                  <c:v>2473516.75044</c:v>
                </c:pt>
                <c:pt idx="17923">
                  <c:v>2474455.1015350004</c:v>
                </c:pt>
                <c:pt idx="17924">
                  <c:v>2475393.6899199993</c:v>
                </c:pt>
                <c:pt idx="17925">
                  <c:v>2476332.515625</c:v>
                </c:pt>
                <c:pt idx="17926">
                  <c:v>2477271.5786800003</c:v>
                </c:pt>
                <c:pt idx="17927">
                  <c:v>2478210.879115</c:v>
                </c:pt>
                <c:pt idx="17928">
                  <c:v>2479150.41696</c:v>
                </c:pt>
                <c:pt idx="17929">
                  <c:v>2480090.192245001</c:v>
                </c:pt>
                <c:pt idx="17930">
                  <c:v>2481030.2049999996</c:v>
                </c:pt>
                <c:pt idx="17931">
                  <c:v>2481970.455255001</c:v>
                </c:pt>
                <c:pt idx="17932">
                  <c:v>2482910.9430399993</c:v>
                </c:pt>
                <c:pt idx="17933">
                  <c:v>2483851.668385</c:v>
                </c:pt>
                <c:pt idx="17934">
                  <c:v>2484792.63132</c:v>
                </c:pt>
                <c:pt idx="17935">
                  <c:v>2485733.831874999</c:v>
                </c:pt>
                <c:pt idx="17936">
                  <c:v>2486675.27008</c:v>
                </c:pt>
                <c:pt idx="17937">
                  <c:v>2487616.9459650004</c:v>
                </c:pt>
                <c:pt idx="17938">
                  <c:v>2488558.85956</c:v>
                </c:pt>
                <c:pt idx="17939">
                  <c:v>2489501.0108950003</c:v>
                </c:pt>
                <c:pt idx="17940">
                  <c:v>2490443.400000001</c:v>
                </c:pt>
                <c:pt idx="17941">
                  <c:v>2491386.0269049997</c:v>
                </c:pt>
                <c:pt idx="17942">
                  <c:v>2492328.89164</c:v>
                </c:pt>
                <c:pt idx="17943">
                  <c:v>2493271.994235001</c:v>
                </c:pt>
                <c:pt idx="17944">
                  <c:v>2494215.3347199997</c:v>
                </c:pt>
                <c:pt idx="17945">
                  <c:v>2495158.9131250004</c:v>
                </c:pt>
                <c:pt idx="17946">
                  <c:v>2496102.7294799993</c:v>
                </c:pt>
                <c:pt idx="17947">
                  <c:v>2497046.7838149997</c:v>
                </c:pt>
                <c:pt idx="17948">
                  <c:v>2497991.07616</c:v>
                </c:pt>
                <c:pt idx="17949">
                  <c:v>2498935.606545</c:v>
                </c:pt>
                <c:pt idx="17950">
                  <c:v>2499880.375</c:v>
                </c:pt>
                <c:pt idx="17951">
                  <c:v>2500825.3815550003</c:v>
                </c:pt>
                <c:pt idx="17952">
                  <c:v>2501770.6262399997</c:v>
                </c:pt>
                <c:pt idx="17953">
                  <c:v>2502716.109085</c:v>
                </c:pt>
                <c:pt idx="17954">
                  <c:v>2503661.8301200005</c:v>
                </c:pt>
                <c:pt idx="17955">
                  <c:v>2504607.7893749997</c:v>
                </c:pt>
                <c:pt idx="17956">
                  <c:v>2505553.9868800007</c:v>
                </c:pt>
                <c:pt idx="17957">
                  <c:v>2506500.4226649995</c:v>
                </c:pt>
                <c:pt idx="17958">
                  <c:v>2507447.09676</c:v>
                </c:pt>
                <c:pt idx="17959">
                  <c:v>2508394.009195</c:v>
                </c:pt>
                <c:pt idx="17960">
                  <c:v>2509341.1599999997</c:v>
                </c:pt>
                <c:pt idx="17961">
                  <c:v>2510288.549205</c:v>
                </c:pt>
                <c:pt idx="17962">
                  <c:v>2511236.17684</c:v>
                </c:pt>
                <c:pt idx="17963">
                  <c:v>2512184.0429349993</c:v>
                </c:pt>
                <c:pt idx="17964">
                  <c:v>2513132.14752</c:v>
                </c:pt>
                <c:pt idx="17965">
                  <c:v>2514080.4906250006</c:v>
                </c:pt>
                <c:pt idx="17966">
                  <c:v>2515029.0722799995</c:v>
                </c:pt>
                <c:pt idx="17967">
                  <c:v>2515977.892515</c:v>
                </c:pt>
                <c:pt idx="17968">
                  <c:v>2516926.9513600008</c:v>
                </c:pt>
                <c:pt idx="17969">
                  <c:v>2517876.2488449994</c:v>
                </c:pt>
                <c:pt idx="17970">
                  <c:v>2518825.785</c:v>
                </c:pt>
                <c:pt idx="17971">
                  <c:v>2519775.559854999</c:v>
                </c:pt>
                <c:pt idx="17972">
                  <c:v>2520725.57344</c:v>
                </c:pt>
                <c:pt idx="17973">
                  <c:v>2521675.825785</c:v>
                </c:pt>
                <c:pt idx="17974">
                  <c:v>2522626.3169199997</c:v>
                </c:pt>
                <c:pt idx="17975">
                  <c:v>2523577.046875</c:v>
                </c:pt>
                <c:pt idx="17976">
                  <c:v>2524528.01568</c:v>
                </c:pt>
                <c:pt idx="17977">
                  <c:v>2525479.2233649995</c:v>
                </c:pt>
                <c:pt idx="17978">
                  <c:v>2526430.66996</c:v>
                </c:pt>
                <c:pt idx="17979">
                  <c:v>2527382.3554950007</c:v>
                </c:pt>
                <c:pt idx="17980">
                  <c:v>2528334.28</c:v>
                </c:pt>
                <c:pt idx="17981">
                  <c:v>2529286.4435050003</c:v>
                </c:pt>
                <c:pt idx="17982">
                  <c:v>2530238.846039999</c:v>
                </c:pt>
                <c:pt idx="17983">
                  <c:v>2531191.4876349997</c:v>
                </c:pt>
                <c:pt idx="17984">
                  <c:v>2532144.3683200004</c:v>
                </c:pt>
                <c:pt idx="17985">
                  <c:v>2533097.488124999</c:v>
                </c:pt>
                <c:pt idx="17986">
                  <c:v>2534050.8470799997</c:v>
                </c:pt>
                <c:pt idx="17987">
                  <c:v>2535004.445215</c:v>
                </c:pt>
                <c:pt idx="17988">
                  <c:v>2535958.2825599997</c:v>
                </c:pt>
                <c:pt idx="17989">
                  <c:v>2536912.359145</c:v>
                </c:pt>
                <c:pt idx="17990">
                  <c:v>2537866.6750000007</c:v>
                </c:pt>
                <c:pt idx="17991">
                  <c:v>2538821.2301549995</c:v>
                </c:pt>
                <c:pt idx="17992">
                  <c:v>2539776.02464</c:v>
                </c:pt>
                <c:pt idx="17993">
                  <c:v>2540731.058485001</c:v>
                </c:pt>
                <c:pt idx="17994">
                  <c:v>2541686.331719999</c:v>
                </c:pt>
                <c:pt idx="17995">
                  <c:v>2542641.844375001</c:v>
                </c:pt>
                <c:pt idx="17996">
                  <c:v>2543597.5964799994</c:v>
                </c:pt>
                <c:pt idx="17997">
                  <c:v>2544553.588065</c:v>
                </c:pt>
                <c:pt idx="17998">
                  <c:v>2545509.81916</c:v>
                </c:pt>
                <c:pt idx="17999">
                  <c:v>2546466.2897949996</c:v>
                </c:pt>
                <c:pt idx="18000">
                  <c:v>2547423.0</c:v>
                </c:pt>
                <c:pt idx="18001">
                  <c:v>2548379.9498050003</c:v>
                </c:pt>
                <c:pt idx="18002">
                  <c:v>2549337.1392399995</c:v>
                </c:pt>
                <c:pt idx="18003">
                  <c:v>2550294.5683350004</c:v>
                </c:pt>
                <c:pt idx="18004">
                  <c:v>2551252.2371200006</c:v>
                </c:pt>
                <c:pt idx="18005">
                  <c:v>2552210.145625</c:v>
                </c:pt>
                <c:pt idx="18006">
                  <c:v>2553168.2938800002</c:v>
                </c:pt>
                <c:pt idx="18007">
                  <c:v>2554126.681914999</c:v>
                </c:pt>
                <c:pt idx="18008">
                  <c:v>2555085.30976</c:v>
                </c:pt>
                <c:pt idx="18009">
                  <c:v>2556044.1774450005</c:v>
                </c:pt>
                <c:pt idx="18010">
                  <c:v>2557003.284999999</c:v>
                </c:pt>
                <c:pt idx="18011">
                  <c:v>2557962.6324549997</c:v>
                </c:pt>
                <c:pt idx="18012">
                  <c:v>2558922.2198400004</c:v>
                </c:pt>
                <c:pt idx="18013">
                  <c:v>2559882.0471849996</c:v>
                </c:pt>
                <c:pt idx="18014">
                  <c:v>2560842.1145200003</c:v>
                </c:pt>
                <c:pt idx="18015">
                  <c:v>2561802.421875001</c:v>
                </c:pt>
                <c:pt idx="18016">
                  <c:v>2562762.96928</c:v>
                </c:pt>
                <c:pt idx="18017">
                  <c:v>2563723.756765</c:v>
                </c:pt>
                <c:pt idx="18018">
                  <c:v>2564684.784360001</c:v>
                </c:pt>
                <c:pt idx="18019">
                  <c:v>2565646.0520949992</c:v>
                </c:pt>
                <c:pt idx="18020">
                  <c:v>2566607.5600000005</c:v>
                </c:pt>
                <c:pt idx="18021">
                  <c:v>2567569.3081049994</c:v>
                </c:pt>
                <c:pt idx="18022">
                  <c:v>2568531.29644</c:v>
                </c:pt>
                <c:pt idx="18023">
                  <c:v>2569493.5250350004</c:v>
                </c:pt>
                <c:pt idx="18024">
                  <c:v>2570455.99392</c:v>
                </c:pt>
                <c:pt idx="18025">
                  <c:v>2571418.703125</c:v>
                </c:pt>
                <c:pt idx="18026">
                  <c:v>2572381.6526800003</c:v>
                </c:pt>
                <c:pt idx="18027">
                  <c:v>2573344.8426149995</c:v>
                </c:pt>
                <c:pt idx="18028">
                  <c:v>2574308.2729599997</c:v>
                </c:pt>
                <c:pt idx="18029">
                  <c:v>2575271.9437450008</c:v>
                </c:pt>
                <c:pt idx="18030">
                  <c:v>2576235.8549999995</c:v>
                </c:pt>
                <c:pt idx="18031">
                  <c:v>2577200.006755</c:v>
                </c:pt>
                <c:pt idx="18032">
                  <c:v>2578164.3990399996</c:v>
                </c:pt>
                <c:pt idx="18033">
                  <c:v>2579129.031885</c:v>
                </c:pt>
                <c:pt idx="18034">
                  <c:v>2580093.9053200004</c:v>
                </c:pt>
                <c:pt idx="18035">
                  <c:v>2581059.019374999</c:v>
                </c:pt>
                <c:pt idx="18036">
                  <c:v>2582024.37408</c:v>
                </c:pt>
                <c:pt idx="18037">
                  <c:v>2582989.9694650006</c:v>
                </c:pt>
                <c:pt idx="18038">
                  <c:v>2583955.80556</c:v>
                </c:pt>
                <c:pt idx="18039">
                  <c:v>2584921.882395</c:v>
                </c:pt>
                <c:pt idx="18040">
                  <c:v>2585888.2000000007</c:v>
                </c:pt>
                <c:pt idx="18041">
                  <c:v>2586854.7584049995</c:v>
                </c:pt>
                <c:pt idx="18042">
                  <c:v>2587821.55764</c:v>
                </c:pt>
                <c:pt idx="18043">
                  <c:v>2588788.597735001</c:v>
                </c:pt>
                <c:pt idx="18044">
                  <c:v>2589755.8787199995</c:v>
                </c:pt>
                <c:pt idx="18045">
                  <c:v>2590723.4006250007</c:v>
                </c:pt>
                <c:pt idx="18046">
                  <c:v>2591691.1634799996</c:v>
                </c:pt>
                <c:pt idx="18047">
                  <c:v>2592659.167315</c:v>
                </c:pt>
                <c:pt idx="18048">
                  <c:v>2593627.4121600003</c:v>
                </c:pt>
                <c:pt idx="18049">
                  <c:v>2594595.8980449997</c:v>
                </c:pt>
                <c:pt idx="18050">
                  <c:v>2595564.625</c:v>
                </c:pt>
                <c:pt idx="18051">
                  <c:v>2596533.5930550005</c:v>
                </c:pt>
                <c:pt idx="18052">
                  <c:v>2597502.8022399996</c:v>
                </c:pt>
                <c:pt idx="18053">
                  <c:v>2598472.252585</c:v>
                </c:pt>
                <c:pt idx="18054">
                  <c:v>2599441.9441200006</c:v>
                </c:pt>
                <c:pt idx="18055">
                  <c:v>2600411.8768749996</c:v>
                </c:pt>
                <c:pt idx="18056">
                  <c:v>2601382.0508800005</c:v>
                </c:pt>
                <c:pt idx="18057">
                  <c:v>2602352.466164999</c:v>
                </c:pt>
                <c:pt idx="18058">
                  <c:v>2603323.12276</c:v>
                </c:pt>
                <c:pt idx="18059">
                  <c:v>2604294.0206950004</c:v>
                </c:pt>
                <c:pt idx="18060">
                  <c:v>2605265.1599999988</c:v>
                </c:pt>
                <c:pt idx="18061">
                  <c:v>2606236.540705</c:v>
                </c:pt>
                <c:pt idx="18062">
                  <c:v>2607208.1628400004</c:v>
                </c:pt>
                <c:pt idx="18063">
                  <c:v>2608180.0264349994</c:v>
                </c:pt>
                <c:pt idx="18064">
                  <c:v>2609152.13152</c:v>
                </c:pt>
                <c:pt idx="18065">
                  <c:v>2610124.4781250004</c:v>
                </c:pt>
                <c:pt idx="18066">
                  <c:v>2611097.0662799994</c:v>
                </c:pt>
                <c:pt idx="18067">
                  <c:v>2612069.8960150005</c:v>
                </c:pt>
                <c:pt idx="18068">
                  <c:v>2613042.967360001</c:v>
                </c:pt>
                <c:pt idx="18069">
                  <c:v>2614016.280345</c:v>
                </c:pt>
                <c:pt idx="18070">
                  <c:v>2614989.8350000004</c:v>
                </c:pt>
                <c:pt idx="18071">
                  <c:v>2615963.631354999</c:v>
                </c:pt>
                <c:pt idx="18072">
                  <c:v>2616937.6694400003</c:v>
                </c:pt>
                <c:pt idx="18073">
                  <c:v>2617911.949285</c:v>
                </c:pt>
                <c:pt idx="18074">
                  <c:v>2618886.4709199993</c:v>
                </c:pt>
                <c:pt idx="18075">
                  <c:v>2619861.234375</c:v>
                </c:pt>
                <c:pt idx="18076">
                  <c:v>2620836.23968</c:v>
                </c:pt>
                <c:pt idx="18077">
                  <c:v>2621811.486865</c:v>
                </c:pt>
                <c:pt idx="18078">
                  <c:v>2622786.9759599995</c:v>
                </c:pt>
                <c:pt idx="18079">
                  <c:v>2623762.706995</c:v>
                </c:pt>
                <c:pt idx="18080">
                  <c:v>2624738.6799999997</c:v>
                </c:pt>
                <c:pt idx="18081">
                  <c:v>2625714.8950050003</c:v>
                </c:pt>
                <c:pt idx="18082">
                  <c:v>2626691.35204</c:v>
                </c:pt>
                <c:pt idx="18083">
                  <c:v>2627668.051135</c:v>
                </c:pt>
                <c:pt idx="18084">
                  <c:v>2628644.9923200007</c:v>
                </c:pt>
                <c:pt idx="18085">
                  <c:v>2629622.175624999</c:v>
                </c:pt>
                <c:pt idx="18086">
                  <c:v>2630599.60108</c:v>
                </c:pt>
                <c:pt idx="18087">
                  <c:v>2631577.2687150002</c:v>
                </c:pt>
                <c:pt idx="18088">
                  <c:v>2632555.1785599994</c:v>
                </c:pt>
                <c:pt idx="18089">
                  <c:v>2633533.3306449996</c:v>
                </c:pt>
                <c:pt idx="18090">
                  <c:v>2634511.7250000006</c:v>
                </c:pt>
                <c:pt idx="18091">
                  <c:v>2635490.3616549997</c:v>
                </c:pt>
                <c:pt idx="18092">
                  <c:v>2636469.2406399995</c:v>
                </c:pt>
                <c:pt idx="18093">
                  <c:v>2637448.361985001</c:v>
                </c:pt>
                <c:pt idx="18094">
                  <c:v>2638427.72572</c:v>
                </c:pt>
                <c:pt idx="18095">
                  <c:v>2639407.331875</c:v>
                </c:pt>
                <c:pt idx="18096">
                  <c:v>2640387.180479999</c:v>
                </c:pt>
                <c:pt idx="18097">
                  <c:v>2641367.271565</c:v>
                </c:pt>
                <c:pt idx="18098">
                  <c:v>2642347.6051600003</c:v>
                </c:pt>
                <c:pt idx="18099">
                  <c:v>2643328.1812949996</c:v>
                </c:pt>
                <c:pt idx="18100">
                  <c:v>2644309.0</c:v>
                </c:pt>
                <c:pt idx="18101">
                  <c:v>2645290.0613050004</c:v>
                </c:pt>
                <c:pt idx="18102">
                  <c:v>2646271.3652399997</c:v>
                </c:pt>
                <c:pt idx="18103">
                  <c:v>2647252.9118350004</c:v>
                </c:pt>
                <c:pt idx="18104">
                  <c:v>2648234.701120001</c:v>
                </c:pt>
                <c:pt idx="18105">
                  <c:v>2649216.733125</c:v>
                </c:pt>
                <c:pt idx="18106">
                  <c:v>2650199.0078800004</c:v>
                </c:pt>
                <c:pt idx="18107">
                  <c:v>2651181.5254149996</c:v>
                </c:pt>
                <c:pt idx="18108">
                  <c:v>2652164.2857600003</c:v>
                </c:pt>
                <c:pt idx="18109">
                  <c:v>2653147.2889450006</c:v>
                </c:pt>
                <c:pt idx="18110">
                  <c:v>2654130.534999999</c:v>
                </c:pt>
                <c:pt idx="18111">
                  <c:v>2655114.023955</c:v>
                </c:pt>
                <c:pt idx="18112">
                  <c:v>2656097.75584</c:v>
                </c:pt>
                <c:pt idx="18113">
                  <c:v>2657081.7306849994</c:v>
                </c:pt>
                <c:pt idx="18114">
                  <c:v>2658065.94852</c:v>
                </c:pt>
                <c:pt idx="18115">
                  <c:v>2659050.4093750003</c:v>
                </c:pt>
                <c:pt idx="18116">
                  <c:v>2660035.1132799997</c:v>
                </c:pt>
                <c:pt idx="18117">
                  <c:v>2661020.0602649995</c:v>
                </c:pt>
                <c:pt idx="18118">
                  <c:v>2662005.250360001</c:v>
                </c:pt>
                <c:pt idx="18119">
                  <c:v>2662990.6835949994</c:v>
                </c:pt>
                <c:pt idx="18120">
                  <c:v>2663976.360000001</c:v>
                </c:pt>
                <c:pt idx="18121">
                  <c:v>2664962.2796049993</c:v>
                </c:pt>
                <c:pt idx="18122">
                  <c:v>2665948.44244</c:v>
                </c:pt>
                <c:pt idx="18123">
                  <c:v>2666934.8485350003</c:v>
                </c:pt>
                <c:pt idx="18124">
                  <c:v>2667921.4979199995</c:v>
                </c:pt>
                <c:pt idx="18125">
                  <c:v>2668908.390625</c:v>
                </c:pt>
                <c:pt idx="18126">
                  <c:v>2669895.52668</c:v>
                </c:pt>
                <c:pt idx="18127">
                  <c:v>2670882.906115</c:v>
                </c:pt>
                <c:pt idx="18128">
                  <c:v>2671870.5289600003</c:v>
                </c:pt>
                <c:pt idx="18129">
                  <c:v>2672858.3952450007</c:v>
                </c:pt>
                <c:pt idx="18130">
                  <c:v>2673846.5049999994</c:v>
                </c:pt>
                <c:pt idx="18131">
                  <c:v>2674834.858255001</c:v>
                </c:pt>
                <c:pt idx="18132">
                  <c:v>2675823.4550399994</c:v>
                </c:pt>
                <c:pt idx="18133">
                  <c:v>2676812.295385</c:v>
                </c:pt>
                <c:pt idx="18134">
                  <c:v>2677801.3793200003</c:v>
                </c:pt>
                <c:pt idx="18135">
                  <c:v>2678790.7068749997</c:v>
                </c:pt>
                <c:pt idx="18136">
                  <c:v>2679780.27808</c:v>
                </c:pt>
                <c:pt idx="18137">
                  <c:v>2680770.0929650003</c:v>
                </c:pt>
                <c:pt idx="18138">
                  <c:v>2681760.1515599997</c:v>
                </c:pt>
                <c:pt idx="18139">
                  <c:v>2682750.4538950003</c:v>
                </c:pt>
                <c:pt idx="18140">
                  <c:v>2683741.000000001</c:v>
                </c:pt>
                <c:pt idx="18141">
                  <c:v>2684731.7899049995</c:v>
                </c:pt>
                <c:pt idx="18142">
                  <c:v>2685722.8236399996</c:v>
                </c:pt>
                <c:pt idx="18143">
                  <c:v>2686714.101235001</c:v>
                </c:pt>
                <c:pt idx="18144">
                  <c:v>2687705.6227199994</c:v>
                </c:pt>
                <c:pt idx="18145">
                  <c:v>2688697.388125</c:v>
                </c:pt>
                <c:pt idx="18146">
                  <c:v>2689689.397479999</c:v>
                </c:pt>
                <c:pt idx="18147">
                  <c:v>2690681.650815</c:v>
                </c:pt>
                <c:pt idx="18148">
                  <c:v>2691674.148160001</c:v>
                </c:pt>
                <c:pt idx="18149">
                  <c:v>2692666.889545</c:v>
                </c:pt>
                <c:pt idx="18150">
                  <c:v>2693659.875</c:v>
                </c:pt>
                <c:pt idx="18151">
                  <c:v>2694653.1045550006</c:v>
                </c:pt>
                <c:pt idx="18152">
                  <c:v>2695646.5782399997</c:v>
                </c:pt>
                <c:pt idx="18153">
                  <c:v>2696640.2960849996</c:v>
                </c:pt>
                <c:pt idx="18154">
                  <c:v>2697634.258120001</c:v>
                </c:pt>
                <c:pt idx="18155">
                  <c:v>2698628.464374999</c:v>
                </c:pt>
                <c:pt idx="18156">
                  <c:v>2699622.91488</c:v>
                </c:pt>
                <c:pt idx="18157">
                  <c:v>2700617.6096649994</c:v>
                </c:pt>
                <c:pt idx="18158">
                  <c:v>2701612.54876</c:v>
                </c:pt>
                <c:pt idx="18159">
                  <c:v>2702607.7321950006</c:v>
                </c:pt>
                <c:pt idx="18160">
                  <c:v>2703603.159999999</c:v>
                </c:pt>
                <c:pt idx="18161">
                  <c:v>2704598.8322050003</c:v>
                </c:pt>
                <c:pt idx="18162">
                  <c:v>2705594.7488400005</c:v>
                </c:pt>
                <c:pt idx="18163">
                  <c:v>2706590.9099349994</c:v>
                </c:pt>
                <c:pt idx="18164">
                  <c:v>2707587.3155199997</c:v>
                </c:pt>
                <c:pt idx="18165">
                  <c:v>2708583.965625001</c:v>
                </c:pt>
                <c:pt idx="18166">
                  <c:v>2709580.86028</c:v>
                </c:pt>
                <c:pt idx="18167">
                  <c:v>2710577.9995150003</c:v>
                </c:pt>
                <c:pt idx="18168">
                  <c:v>2711575.383360001</c:v>
                </c:pt>
                <c:pt idx="18169">
                  <c:v>2712573.011844999</c:v>
                </c:pt>
                <c:pt idx="18170">
                  <c:v>2713570.8850000007</c:v>
                </c:pt>
                <c:pt idx="18171">
                  <c:v>2714569.002854999</c:v>
                </c:pt>
                <c:pt idx="18172">
                  <c:v>2715567.36544</c:v>
                </c:pt>
                <c:pt idx="18173">
                  <c:v>2716565.9727850007</c:v>
                </c:pt>
                <c:pt idx="18174">
                  <c:v>2717564.82492</c:v>
                </c:pt>
                <c:pt idx="18175">
                  <c:v>2718563.921875</c:v>
                </c:pt>
                <c:pt idx="18176">
                  <c:v>2719563.2636800003</c:v>
                </c:pt>
                <c:pt idx="18177">
                  <c:v>2720562.8503649994</c:v>
                </c:pt>
                <c:pt idx="18178">
                  <c:v>2721562.68196</c:v>
                </c:pt>
                <c:pt idx="18179">
                  <c:v>2722562.7584950007</c:v>
                </c:pt>
                <c:pt idx="18180">
                  <c:v>2723563.0799999996</c:v>
                </c:pt>
                <c:pt idx="18181">
                  <c:v>2724563.6465050005</c:v>
                </c:pt>
                <c:pt idx="18182">
                  <c:v>2725564.4580399995</c:v>
                </c:pt>
                <c:pt idx="18183">
                  <c:v>2726565.514635</c:v>
                </c:pt>
                <c:pt idx="18184">
                  <c:v>2727566.81632</c:v>
                </c:pt>
                <c:pt idx="18185">
                  <c:v>2728568.363124999</c:v>
                </c:pt>
                <c:pt idx="18186">
                  <c:v>2729570.15508</c:v>
                </c:pt>
                <c:pt idx="18187">
                  <c:v>2730572.1922150003</c:v>
                </c:pt>
                <c:pt idx="18188">
                  <c:v>2731574.4745599995</c:v>
                </c:pt>
                <c:pt idx="18189">
                  <c:v>2732577.0021450003</c:v>
                </c:pt>
                <c:pt idx="18190">
                  <c:v>2733579.7750000004</c:v>
                </c:pt>
                <c:pt idx="18191">
                  <c:v>2734582.7931549996</c:v>
                </c:pt>
                <c:pt idx="18192">
                  <c:v>2735586.0566400005</c:v>
                </c:pt>
                <c:pt idx="18193">
                  <c:v>2736589.5654850006</c:v>
                </c:pt>
                <c:pt idx="18194">
                  <c:v>2737593.3197199996</c:v>
                </c:pt>
                <c:pt idx="18195">
                  <c:v>2738597.319375001</c:v>
                </c:pt>
                <c:pt idx="18196">
                  <c:v>2739601.5644799992</c:v>
                </c:pt>
                <c:pt idx="18197">
                  <c:v>2740606.0550650004</c:v>
                </c:pt>
                <c:pt idx="18198">
                  <c:v>2741610.7911600005</c:v>
                </c:pt>
                <c:pt idx="18199">
                  <c:v>2742615.772795</c:v>
                </c:pt>
                <c:pt idx="18200">
                  <c:v>2743621.0</c:v>
                </c:pt>
                <c:pt idx="18201">
                  <c:v>2744626.4728050004</c:v>
                </c:pt>
                <c:pt idx="18202">
                  <c:v>2745632.1912399996</c:v>
                </c:pt>
                <c:pt idx="18203">
                  <c:v>2746638.1553350003</c:v>
                </c:pt>
                <c:pt idx="18204">
                  <c:v>2747644.3651200007</c:v>
                </c:pt>
                <c:pt idx="18205">
                  <c:v>2748650.820625</c:v>
                </c:pt>
                <c:pt idx="18206">
                  <c:v>2749657.52188</c:v>
                </c:pt>
                <c:pt idx="18207">
                  <c:v>2750664.468914999</c:v>
                </c:pt>
                <c:pt idx="18208">
                  <c:v>2751671.6617600005</c:v>
                </c:pt>
                <c:pt idx="18209">
                  <c:v>2752679.1004450005</c:v>
                </c:pt>
                <c:pt idx="18210">
                  <c:v>2753686.784999999</c:v>
                </c:pt>
                <c:pt idx="18211">
                  <c:v>2754694.7154550003</c:v>
                </c:pt>
                <c:pt idx="18212">
                  <c:v>2755702.89184</c:v>
                </c:pt>
                <c:pt idx="18213">
                  <c:v>2756711.3141849996</c:v>
                </c:pt>
                <c:pt idx="18214">
                  <c:v>2757719.98252</c:v>
                </c:pt>
                <c:pt idx="18215">
                  <c:v>2758728.896875001</c:v>
                </c:pt>
                <c:pt idx="18216">
                  <c:v>2759738.05728</c:v>
                </c:pt>
                <c:pt idx="18217">
                  <c:v>2760747.463765</c:v>
                </c:pt>
                <c:pt idx="18218">
                  <c:v>2761757.116360001</c:v>
                </c:pt>
                <c:pt idx="18219">
                  <c:v>2762767.015094999</c:v>
                </c:pt>
                <c:pt idx="18220">
                  <c:v>2763777.16</c:v>
                </c:pt>
                <c:pt idx="18221">
                  <c:v>2764787.551104999</c:v>
                </c:pt>
                <c:pt idx="18222">
                  <c:v>2765798.18844</c:v>
                </c:pt>
                <c:pt idx="18223">
                  <c:v>2766809.0720350007</c:v>
                </c:pt>
                <c:pt idx="18224">
                  <c:v>2767820.2019199994</c:v>
                </c:pt>
                <c:pt idx="18225">
                  <c:v>2768831.578125</c:v>
                </c:pt>
                <c:pt idx="18226">
                  <c:v>2769843.2006800002</c:v>
                </c:pt>
                <c:pt idx="18227">
                  <c:v>2770855.069615</c:v>
                </c:pt>
                <c:pt idx="18228">
                  <c:v>2771867.18496</c:v>
                </c:pt>
                <c:pt idx="18229">
                  <c:v>2772879.546745001</c:v>
                </c:pt>
                <c:pt idx="18230">
                  <c:v>2773892.155</c:v>
                </c:pt>
                <c:pt idx="18231">
                  <c:v>2774905.0097550005</c:v>
                </c:pt>
                <c:pt idx="18232">
                  <c:v>2775918.1110399994</c:v>
                </c:pt>
                <c:pt idx="18233">
                  <c:v>2776931.458885</c:v>
                </c:pt>
                <c:pt idx="18234">
                  <c:v>2777945.0533200004</c:v>
                </c:pt>
                <c:pt idx="18235">
                  <c:v>2778958.894374999</c:v>
                </c:pt>
                <c:pt idx="18236">
                  <c:v>2779972.98208</c:v>
                </c:pt>
                <c:pt idx="18237">
                  <c:v>2780987.316465</c:v>
                </c:pt>
                <c:pt idx="18238">
                  <c:v>2782001.89756</c:v>
                </c:pt>
                <c:pt idx="18239">
                  <c:v>2783016.725395</c:v>
                </c:pt>
                <c:pt idx="18240">
                  <c:v>2784031.800000001</c:v>
                </c:pt>
                <c:pt idx="18241">
                  <c:v>2785047.121405</c:v>
                </c:pt>
                <c:pt idx="18242">
                  <c:v>2786062.6896400005</c:v>
                </c:pt>
                <c:pt idx="18243">
                  <c:v>2787078.504735001</c:v>
                </c:pt>
                <c:pt idx="18244">
                  <c:v>2788094.5667199995</c:v>
                </c:pt>
                <c:pt idx="18245">
                  <c:v>2789110.8756250003</c:v>
                </c:pt>
                <c:pt idx="18246">
                  <c:v>2790127.43148</c:v>
                </c:pt>
                <c:pt idx="18247">
                  <c:v>2791144.234315</c:v>
                </c:pt>
                <c:pt idx="18248">
                  <c:v>2792161.2841600007</c:v>
                </c:pt>
                <c:pt idx="18249">
                  <c:v>2793178.5810449994</c:v>
                </c:pt>
                <c:pt idx="18250">
                  <c:v>2794196.125</c:v>
                </c:pt>
                <c:pt idx="18251">
                  <c:v>2795213.9160550004</c:v>
                </c:pt>
                <c:pt idx="18252">
                  <c:v>2796231.9542399994</c:v>
                </c:pt>
                <c:pt idx="18253">
                  <c:v>2797250.239585</c:v>
                </c:pt>
                <c:pt idx="18254">
                  <c:v>2798268.772120001</c:v>
                </c:pt>
                <c:pt idx="18255">
                  <c:v>2799287.5518749994</c:v>
                </c:pt>
                <c:pt idx="18256">
                  <c:v>2800306.5788800004</c:v>
                </c:pt>
                <c:pt idx="18257">
                  <c:v>2801325.8531649993</c:v>
                </c:pt>
                <c:pt idx="18258">
                  <c:v>2802345.37476</c:v>
                </c:pt>
                <c:pt idx="18259">
                  <c:v>2803365.143695</c:v>
                </c:pt>
                <c:pt idx="18260">
                  <c:v>2804385.159999999</c:v>
                </c:pt>
                <c:pt idx="18261">
                  <c:v>2805405.423705</c:v>
                </c:pt>
                <c:pt idx="18262">
                  <c:v>2806425.9348400007</c:v>
                </c:pt>
                <c:pt idx="18263">
                  <c:v>2807446.693435</c:v>
                </c:pt>
                <c:pt idx="18264">
                  <c:v>2808467.69952</c:v>
                </c:pt>
                <c:pt idx="18265">
                  <c:v>2809488.9531250005</c:v>
                </c:pt>
                <c:pt idx="18266">
                  <c:v>2810510.4542799992</c:v>
                </c:pt>
                <c:pt idx="18267">
                  <c:v>2811532.2030149996</c:v>
                </c:pt>
                <c:pt idx="18268">
                  <c:v>2812554.1993600004</c:v>
                </c:pt>
                <c:pt idx="18269">
                  <c:v>2813576.4433449996</c:v>
                </c:pt>
                <c:pt idx="18270">
                  <c:v>2814598.935</c:v>
                </c:pt>
                <c:pt idx="18271">
                  <c:v>2815621.6743549993</c:v>
                </c:pt>
                <c:pt idx="18272">
                  <c:v>2816644.66144</c:v>
                </c:pt>
                <c:pt idx="18273">
                  <c:v>2817667.8962850003</c:v>
                </c:pt>
                <c:pt idx="18274">
                  <c:v>2818691.3789199996</c:v>
                </c:pt>
                <c:pt idx="18275">
                  <c:v>2819715.109375</c:v>
                </c:pt>
                <c:pt idx="18276">
                  <c:v>2820739.0876800003</c:v>
                </c:pt>
                <c:pt idx="18277">
                  <c:v>2821763.3138649995</c:v>
                </c:pt>
                <c:pt idx="18278">
                  <c:v>2822787.7879600003</c:v>
                </c:pt>
                <c:pt idx="18279">
                  <c:v>2823812.509995001</c:v>
                </c:pt>
                <c:pt idx="18280">
                  <c:v>2824837.4799999995</c:v>
                </c:pt>
                <c:pt idx="18281">
                  <c:v>2825862.698005</c:v>
                </c:pt>
                <c:pt idx="18282">
                  <c:v>2826888.1640399992</c:v>
                </c:pt>
                <c:pt idx="18283">
                  <c:v>2827913.8781350004</c:v>
                </c:pt>
                <c:pt idx="18284">
                  <c:v>2828939.8403200004</c:v>
                </c:pt>
                <c:pt idx="18285">
                  <c:v>2829966.050624999</c:v>
                </c:pt>
                <c:pt idx="18286">
                  <c:v>2830992.5090799998</c:v>
                </c:pt>
                <c:pt idx="18287">
                  <c:v>2832019.2157150004</c:v>
                </c:pt>
                <c:pt idx="18288">
                  <c:v>2833046.1705599995</c:v>
                </c:pt>
                <c:pt idx="18289">
                  <c:v>2834073.3736449997</c:v>
                </c:pt>
                <c:pt idx="18290">
                  <c:v>2835100.8250000007</c:v>
                </c:pt>
                <c:pt idx="18291">
                  <c:v>2836128.5246549994</c:v>
                </c:pt>
                <c:pt idx="18292">
                  <c:v>2837156.4726399994</c:v>
                </c:pt>
                <c:pt idx="18293">
                  <c:v>2838184.668985001</c:v>
                </c:pt>
                <c:pt idx="18294">
                  <c:v>2839213.1137199993</c:v>
                </c:pt>
                <c:pt idx="18295">
                  <c:v>2840241.8068750007</c:v>
                </c:pt>
                <c:pt idx="18296">
                  <c:v>2841270.7484799996</c:v>
                </c:pt>
                <c:pt idx="18297">
                  <c:v>2842299.9385650004</c:v>
                </c:pt>
                <c:pt idx="18298">
                  <c:v>2843329.37716</c:v>
                </c:pt>
                <c:pt idx="18299">
                  <c:v>2844359.064295</c:v>
                </c:pt>
                <c:pt idx="18300">
                  <c:v>2845389.0</c:v>
                </c:pt>
                <c:pt idx="18301">
                  <c:v>2846419.1843050006</c:v>
                </c:pt>
                <c:pt idx="18302">
                  <c:v>2847449.617239999</c:v>
                </c:pt>
                <c:pt idx="18303">
                  <c:v>2848480.2988349996</c:v>
                </c:pt>
                <c:pt idx="18304">
                  <c:v>2849511.2291200007</c:v>
                </c:pt>
                <c:pt idx="18305">
                  <c:v>2850542.4081249996</c:v>
                </c:pt>
                <c:pt idx="18306">
                  <c:v>2851573.8358800006</c:v>
                </c:pt>
                <c:pt idx="18307">
                  <c:v>2852605.512415</c:v>
                </c:pt>
                <c:pt idx="18308">
                  <c:v>2853637.4377599997</c:v>
                </c:pt>
                <c:pt idx="18309">
                  <c:v>2854669.6119450005</c:v>
                </c:pt>
                <c:pt idx="18310">
                  <c:v>2855702.0349999988</c:v>
                </c:pt>
                <c:pt idx="18311">
                  <c:v>2856734.7069550003</c:v>
                </c:pt>
                <c:pt idx="18312">
                  <c:v>2857767.6278400007</c:v>
                </c:pt>
                <c:pt idx="18313">
                  <c:v>2858800.797684999</c:v>
                </c:pt>
                <c:pt idx="18314">
                  <c:v>2859834.21652</c:v>
                </c:pt>
                <c:pt idx="18315">
                  <c:v>2860867.884375001</c:v>
                </c:pt>
                <c:pt idx="18316">
                  <c:v>2861901.8012799993</c:v>
                </c:pt>
                <c:pt idx="18317">
                  <c:v>2862935.9672649996</c:v>
                </c:pt>
                <c:pt idx="18318">
                  <c:v>2863970.3823600006</c:v>
                </c:pt>
                <c:pt idx="18319">
                  <c:v>2865005.0465949997</c:v>
                </c:pt>
                <c:pt idx="18320">
                  <c:v>2866039.96</c:v>
                </c:pt>
                <c:pt idx="18321">
                  <c:v>2867075.1226049997</c:v>
                </c:pt>
                <c:pt idx="18322">
                  <c:v>2868110.53444</c:v>
                </c:pt>
                <c:pt idx="18323">
                  <c:v>2869146.1955350004</c:v>
                </c:pt>
                <c:pt idx="18324">
                  <c:v>2870182.10592</c:v>
                </c:pt>
                <c:pt idx="18325">
                  <c:v>2871218.265625</c:v>
                </c:pt>
                <c:pt idx="18326">
                  <c:v>2872254.67468</c:v>
                </c:pt>
                <c:pt idx="18327">
                  <c:v>2873291.333115</c:v>
                </c:pt>
                <c:pt idx="18328">
                  <c:v>2874328.2409599996</c:v>
                </c:pt>
                <c:pt idx="18329">
                  <c:v>2875365.3982450007</c:v>
                </c:pt>
                <c:pt idx="18330">
                  <c:v>2876402.8049999997</c:v>
                </c:pt>
                <c:pt idx="18331">
                  <c:v>2877440.4612550004</c:v>
                </c:pt>
                <c:pt idx="18332">
                  <c:v>2878478.367039999</c:v>
                </c:pt>
                <c:pt idx="18333">
                  <c:v>2879516.522385</c:v>
                </c:pt>
                <c:pt idx="18334">
                  <c:v>2880554.9273200002</c:v>
                </c:pt>
                <c:pt idx="18335">
                  <c:v>2881593.581874999</c:v>
                </c:pt>
                <c:pt idx="18336">
                  <c:v>2882632.4860799997</c:v>
                </c:pt>
                <c:pt idx="18337">
                  <c:v>2883671.6399650006</c:v>
                </c:pt>
                <c:pt idx="18338">
                  <c:v>2884711.04356</c:v>
                </c:pt>
                <c:pt idx="18339">
                  <c:v>2885750.6968949996</c:v>
                </c:pt>
                <c:pt idx="18340">
                  <c:v>2886790.6000000006</c:v>
                </c:pt>
                <c:pt idx="18341">
                  <c:v>2887830.752905</c:v>
                </c:pt>
                <c:pt idx="18342">
                  <c:v>2888871.1556399995</c:v>
                </c:pt>
                <c:pt idx="18343">
                  <c:v>2889911.8082350004</c:v>
                </c:pt>
                <c:pt idx="18344">
                  <c:v>2890952.71072</c:v>
                </c:pt>
                <c:pt idx="18345">
                  <c:v>2891993.863125</c:v>
                </c:pt>
                <c:pt idx="18346">
                  <c:v>2893035.2654799996</c:v>
                </c:pt>
                <c:pt idx="18347">
                  <c:v>2894076.917815</c:v>
                </c:pt>
                <c:pt idx="18348">
                  <c:v>2895118.8201600006</c:v>
                </c:pt>
                <c:pt idx="18349">
                  <c:v>2896160.9725450003</c:v>
                </c:pt>
                <c:pt idx="18350">
                  <c:v>2897203.375</c:v>
                </c:pt>
                <c:pt idx="18351">
                  <c:v>2898246.0275550005</c:v>
                </c:pt>
                <c:pt idx="18352">
                  <c:v>2899288.930239999</c:v>
                </c:pt>
                <c:pt idx="18353">
                  <c:v>2900332.083085</c:v>
                </c:pt>
                <c:pt idx="18354">
                  <c:v>2901375.486120001</c:v>
                </c:pt>
                <c:pt idx="18355">
                  <c:v>2902419.1393749993</c:v>
                </c:pt>
                <c:pt idx="18356">
                  <c:v>2903463.04288</c:v>
                </c:pt>
                <c:pt idx="18357">
                  <c:v>2904507.1966649992</c:v>
                </c:pt>
                <c:pt idx="18358">
                  <c:v>2905551.60076</c:v>
                </c:pt>
                <c:pt idx="18359">
                  <c:v>2906596.255195</c:v>
                </c:pt>
                <c:pt idx="18360">
                  <c:v>2907641.159999999</c:v>
                </c:pt>
                <c:pt idx="18361">
                  <c:v>2908686.3152050003</c:v>
                </c:pt>
                <c:pt idx="18362">
                  <c:v>2909731.7208400005</c:v>
                </c:pt>
                <c:pt idx="18363">
                  <c:v>2910777.3769349996</c:v>
                </c:pt>
                <c:pt idx="18364">
                  <c:v>2911823.2835200005</c:v>
                </c:pt>
                <c:pt idx="18365">
                  <c:v>2912869.4406250007</c:v>
                </c:pt>
                <c:pt idx="18366">
                  <c:v>2913915.84828</c:v>
                </c:pt>
                <c:pt idx="18367">
                  <c:v>2914962.506515</c:v>
                </c:pt>
                <c:pt idx="18368">
                  <c:v>2916009.415360001</c:v>
                </c:pt>
                <c:pt idx="18369">
                  <c:v>2917056.5748449997</c:v>
                </c:pt>
                <c:pt idx="18370">
                  <c:v>2918103.9850000003</c:v>
                </c:pt>
                <c:pt idx="18371">
                  <c:v>2919151.6458549993</c:v>
                </c:pt>
                <c:pt idx="18372">
                  <c:v>2920199.55744</c:v>
                </c:pt>
                <c:pt idx="18373">
                  <c:v>2921247.7197850007</c:v>
                </c:pt>
                <c:pt idx="18374">
                  <c:v>2922296.13292</c:v>
                </c:pt>
                <c:pt idx="18375">
                  <c:v>2923344.796875</c:v>
                </c:pt>
                <c:pt idx="18376">
                  <c:v>2924393.7116799997</c:v>
                </c:pt>
                <c:pt idx="18377">
                  <c:v>2925442.877364999</c:v>
                </c:pt>
                <c:pt idx="18378">
                  <c:v>2926492.29396</c:v>
                </c:pt>
                <c:pt idx="18379">
                  <c:v>2927541.961495001</c:v>
                </c:pt>
                <c:pt idx="18380">
                  <c:v>2928591.88</c:v>
                </c:pt>
                <c:pt idx="18381">
                  <c:v>2929642.0495050005</c:v>
                </c:pt>
                <c:pt idx="18382">
                  <c:v>2930692.4700399996</c:v>
                </c:pt>
                <c:pt idx="18383">
                  <c:v>2931743.1416350002</c:v>
                </c:pt>
                <c:pt idx="18384">
                  <c:v>2932794.0643200004</c:v>
                </c:pt>
                <c:pt idx="18385">
                  <c:v>2933845.238124999</c:v>
                </c:pt>
                <c:pt idx="18386">
                  <c:v>2934896.66308</c:v>
                </c:pt>
                <c:pt idx="18387">
                  <c:v>2935948.339215</c:v>
                </c:pt>
                <c:pt idx="18388">
                  <c:v>2937000.2665599994</c:v>
                </c:pt>
                <c:pt idx="18389">
                  <c:v>2938052.4451450002</c:v>
                </c:pt>
                <c:pt idx="18390">
                  <c:v>2939104.875000001</c:v>
                </c:pt>
                <c:pt idx="18391">
                  <c:v>2940157.5561549994</c:v>
                </c:pt>
                <c:pt idx="18392">
                  <c:v>2941210.48864</c:v>
                </c:pt>
                <c:pt idx="18393">
                  <c:v>2942263.672485001</c:v>
                </c:pt>
                <c:pt idx="18394">
                  <c:v>2943317.1077199993</c:v>
                </c:pt>
                <c:pt idx="18395">
                  <c:v>2944370.7943750005</c:v>
                </c:pt>
                <c:pt idx="18396">
                  <c:v>2945424.732479999</c:v>
                </c:pt>
                <c:pt idx="18397">
                  <c:v>2946478.9220649996</c:v>
                </c:pt>
                <c:pt idx="18398">
                  <c:v>2947533.3631600006</c:v>
                </c:pt>
                <c:pt idx="18399">
                  <c:v>2948588.055795</c:v>
                </c:pt>
                <c:pt idx="18400">
                  <c:v>2949643.0</c:v>
                </c:pt>
                <c:pt idx="18401">
                  <c:v>2950698.195805</c:v>
                </c:pt>
                <c:pt idx="18402">
                  <c:v>2951753.64324</c:v>
                </c:pt>
                <c:pt idx="18403">
                  <c:v>2952809.3423350006</c:v>
                </c:pt>
                <c:pt idx="18404">
                  <c:v>2953865.293120001</c:v>
                </c:pt>
                <c:pt idx="18405">
                  <c:v>2954921.4956249995</c:v>
                </c:pt>
                <c:pt idx="18406">
                  <c:v>2955977.9498800007</c:v>
                </c:pt>
                <c:pt idx="18407">
                  <c:v>2957034.655914999</c:v>
                </c:pt>
                <c:pt idx="18408">
                  <c:v>2958091.61376</c:v>
                </c:pt>
                <c:pt idx="18409">
                  <c:v>2959148.823445</c:v>
                </c:pt>
                <c:pt idx="18410">
                  <c:v>2960206.284999999</c:v>
                </c:pt>
                <c:pt idx="18411">
                  <c:v>2961263.998455</c:v>
                </c:pt>
                <c:pt idx="18412">
                  <c:v>2962321.963840001</c:v>
                </c:pt>
                <c:pt idx="18413">
                  <c:v>2963380.1811849996</c:v>
                </c:pt>
                <c:pt idx="18414">
                  <c:v>2964438.6505199997</c:v>
                </c:pt>
                <c:pt idx="18415">
                  <c:v>2965497.3718750007</c:v>
                </c:pt>
                <c:pt idx="18416">
                  <c:v>2966556.3452799995</c:v>
                </c:pt>
                <c:pt idx="18417">
                  <c:v>2967615.570765</c:v>
                </c:pt>
                <c:pt idx="18418">
                  <c:v>2968675.0483600013</c:v>
                </c:pt>
                <c:pt idx="18419">
                  <c:v>2969734.7780949995</c:v>
                </c:pt>
                <c:pt idx="18420">
                  <c:v>2970794.7600000007</c:v>
                </c:pt>
                <c:pt idx="18421">
                  <c:v>2971854.994104999</c:v>
                </c:pt>
                <c:pt idx="18422">
                  <c:v>2972915.48044</c:v>
                </c:pt>
                <c:pt idx="18423">
                  <c:v>2973976.2190350005</c:v>
                </c:pt>
                <c:pt idx="18424">
                  <c:v>2975037.2099199994</c:v>
                </c:pt>
                <c:pt idx="18425">
                  <c:v>2976098.453125</c:v>
                </c:pt>
                <c:pt idx="18426">
                  <c:v>2977159.948680001</c:v>
                </c:pt>
                <c:pt idx="18427">
                  <c:v>2978221.696615</c:v>
                </c:pt>
                <c:pt idx="18428">
                  <c:v>2979283.69696</c:v>
                </c:pt>
                <c:pt idx="18429">
                  <c:v>2980345.9497450003</c:v>
                </c:pt>
                <c:pt idx="18430">
                  <c:v>2981408.4549999996</c:v>
                </c:pt>
                <c:pt idx="18431">
                  <c:v>2982471.2127550007</c:v>
                </c:pt>
                <c:pt idx="18432">
                  <c:v>2983534.223039999</c:v>
                </c:pt>
                <c:pt idx="18433">
                  <c:v>2984597.485885</c:v>
                </c:pt>
                <c:pt idx="18434">
                  <c:v>2985661.0013200003</c:v>
                </c:pt>
                <c:pt idx="18435">
                  <c:v>2986724.7693749988</c:v>
                </c:pt>
                <c:pt idx="18436">
                  <c:v>2987788.7900799997</c:v>
                </c:pt>
                <c:pt idx="18437">
                  <c:v>2988853.0634650006</c:v>
                </c:pt>
                <c:pt idx="18438">
                  <c:v>2989917.5895599998</c:v>
                </c:pt>
                <c:pt idx="18439">
                  <c:v>2990982.3683949998</c:v>
                </c:pt>
                <c:pt idx="18440">
                  <c:v>2992047.400000001</c:v>
                </c:pt>
                <c:pt idx="18441">
                  <c:v>2993112.6844049995</c:v>
                </c:pt>
                <c:pt idx="18442">
                  <c:v>2994178.2216399997</c:v>
                </c:pt>
                <c:pt idx="18443">
                  <c:v>2995244.0117350006</c:v>
                </c:pt>
                <c:pt idx="18444">
                  <c:v>2996310.0547199994</c:v>
                </c:pt>
                <c:pt idx="18445">
                  <c:v>2997376.3506250004</c:v>
                </c:pt>
                <c:pt idx="18446">
                  <c:v>2998442.8994799987</c:v>
                </c:pt>
                <c:pt idx="18447">
                  <c:v>2999509.7013149997</c:v>
                </c:pt>
                <c:pt idx="18448">
                  <c:v>3000576.7561600003</c:v>
                </c:pt>
                <c:pt idx="18449">
                  <c:v>3001644.064045</c:v>
                </c:pt>
                <c:pt idx="18450">
                  <c:v>3002711.625</c:v>
                </c:pt>
                <c:pt idx="18451">
                  <c:v>3003779.4390550004</c:v>
                </c:pt>
                <c:pt idx="18452">
                  <c:v>3004847.50624</c:v>
                </c:pt>
                <c:pt idx="18453">
                  <c:v>3005915.826585</c:v>
                </c:pt>
                <c:pt idx="18454">
                  <c:v>3006984.400120001</c:v>
                </c:pt>
                <c:pt idx="18455">
                  <c:v>3008053.2268749997</c:v>
                </c:pt>
                <c:pt idx="18456">
                  <c:v>3009122.3068800005</c:v>
                </c:pt>
                <c:pt idx="18457">
                  <c:v>3010191.6401649998</c:v>
                </c:pt>
                <c:pt idx="18458">
                  <c:v>3011261.22676</c:v>
                </c:pt>
                <c:pt idx="18459">
                  <c:v>3012331.0666950005</c:v>
                </c:pt>
                <c:pt idx="18460">
                  <c:v>3013401.1599999997</c:v>
                </c:pt>
                <c:pt idx="18461">
                  <c:v>3014471.506705</c:v>
                </c:pt>
                <c:pt idx="18462">
                  <c:v>3015542.1068400005</c:v>
                </c:pt>
                <c:pt idx="18463">
                  <c:v>3016612.960435</c:v>
                </c:pt>
                <c:pt idx="18464">
                  <c:v>3017684.06752</c:v>
                </c:pt>
                <c:pt idx="18465">
                  <c:v>3018755.4281250006</c:v>
                </c:pt>
                <c:pt idx="18466">
                  <c:v>3019827.0422799992</c:v>
                </c:pt>
                <c:pt idx="18467">
                  <c:v>3020898.9100149996</c:v>
                </c:pt>
                <c:pt idx="18468">
                  <c:v>3021971.031360001</c:v>
                </c:pt>
                <c:pt idx="18469">
                  <c:v>3023043.406344999</c:v>
                </c:pt>
                <c:pt idx="18470">
                  <c:v>3024116.035</c:v>
                </c:pt>
                <c:pt idx="18471">
                  <c:v>3025188.917354999</c:v>
                </c:pt>
                <c:pt idx="18472">
                  <c:v>3026262.0534400004</c:v>
                </c:pt>
                <c:pt idx="18473">
                  <c:v>3027335.4432850005</c:v>
                </c:pt>
                <c:pt idx="18474">
                  <c:v>3028409.08692</c:v>
                </c:pt>
                <c:pt idx="18475">
                  <c:v>3029482.984375</c:v>
                </c:pt>
                <c:pt idx="18476">
                  <c:v>3030557.1356800003</c:v>
                </c:pt>
                <c:pt idx="18477">
                  <c:v>3031631.540865</c:v>
                </c:pt>
                <c:pt idx="18478">
                  <c:v>3032706.19996</c:v>
                </c:pt>
                <c:pt idx="18479">
                  <c:v>3033781.1129950006</c:v>
                </c:pt>
                <c:pt idx="18480">
                  <c:v>3034856.2799999993</c:v>
                </c:pt>
                <c:pt idx="18481">
                  <c:v>3035931.7010050006</c:v>
                </c:pt>
                <c:pt idx="18482">
                  <c:v>3037007.376039999</c:v>
                </c:pt>
                <c:pt idx="18483">
                  <c:v>3038083.3051350005</c:v>
                </c:pt>
                <c:pt idx="18484">
                  <c:v>3039159.48832</c:v>
                </c:pt>
                <c:pt idx="18485">
                  <c:v>3040235.925624999</c:v>
                </c:pt>
                <c:pt idx="18486">
                  <c:v>3041312.61708</c:v>
                </c:pt>
                <c:pt idx="18487">
                  <c:v>3042389.5627150005</c:v>
                </c:pt>
                <c:pt idx="18488">
                  <c:v>3043466.7625599997</c:v>
                </c:pt>
                <c:pt idx="18489">
                  <c:v>3044544.216645</c:v>
                </c:pt>
                <c:pt idx="18490">
                  <c:v>3045621.9250000007</c:v>
                </c:pt>
                <c:pt idx="18491">
                  <c:v>3046699.8876549997</c:v>
                </c:pt>
                <c:pt idx="18492">
                  <c:v>3047778.10464</c:v>
                </c:pt>
                <c:pt idx="18493">
                  <c:v>3048856.575985001</c:v>
                </c:pt>
                <c:pt idx="18494">
                  <c:v>3049935.3017199994</c:v>
                </c:pt>
                <c:pt idx="18495">
                  <c:v>3051014.2818750003</c:v>
                </c:pt>
                <c:pt idx="18496">
                  <c:v>3052093.5164799993</c:v>
                </c:pt>
                <c:pt idx="18497">
                  <c:v>3053173.0055649998</c:v>
                </c:pt>
                <c:pt idx="18498">
                  <c:v>3054252.74916</c:v>
                </c:pt>
                <c:pt idx="18499">
                  <c:v>3055332.747294999</c:v>
                </c:pt>
                <c:pt idx="18500">
                  <c:v>3056413.0</c:v>
                </c:pt>
                <c:pt idx="18501">
                  <c:v>3057493.5073050004</c:v>
                </c:pt>
                <c:pt idx="18502">
                  <c:v>3058574.26924</c:v>
                </c:pt>
                <c:pt idx="18503">
                  <c:v>3059655.2858349998</c:v>
                </c:pt>
                <c:pt idx="18504">
                  <c:v>3060736.5571200014</c:v>
                </c:pt>
                <c:pt idx="18505">
                  <c:v>3061818.083125</c:v>
                </c:pt>
                <c:pt idx="18506">
                  <c:v>3062899.863880001</c:v>
                </c:pt>
                <c:pt idx="18507">
                  <c:v>3063981.8994149994</c:v>
                </c:pt>
                <c:pt idx="18508">
                  <c:v>3065064.18976</c:v>
                </c:pt>
                <c:pt idx="18509">
                  <c:v>3066146.7349450006</c:v>
                </c:pt>
                <c:pt idx="18510">
                  <c:v>3067229.534999999</c:v>
                </c:pt>
                <c:pt idx="18511">
                  <c:v>3068312.5899549997</c:v>
                </c:pt>
                <c:pt idx="18512">
                  <c:v>3069395.899840001</c:v>
                </c:pt>
                <c:pt idx="18513">
                  <c:v>3070479.4646849995</c:v>
                </c:pt>
                <c:pt idx="18514">
                  <c:v>3071563.2845199998</c:v>
                </c:pt>
                <c:pt idx="18515">
                  <c:v>3072647.359375001</c:v>
                </c:pt>
                <c:pt idx="18516">
                  <c:v>3073731.6892799996</c:v>
                </c:pt>
                <c:pt idx="18517">
                  <c:v>3074816.274265</c:v>
                </c:pt>
                <c:pt idx="18518">
                  <c:v>3075901.114360001</c:v>
                </c:pt>
                <c:pt idx="18519">
                  <c:v>3076986.209595</c:v>
                </c:pt>
                <c:pt idx="18520">
                  <c:v>3078071.5600000005</c:v>
                </c:pt>
                <c:pt idx="18521">
                  <c:v>3079157.165604999</c:v>
                </c:pt>
                <c:pt idx="18522">
                  <c:v>3080243.02644</c:v>
                </c:pt>
                <c:pt idx="18523">
                  <c:v>3081329.1425350006</c:v>
                </c:pt>
                <c:pt idx="18524">
                  <c:v>3082415.51392</c:v>
                </c:pt>
                <c:pt idx="18525">
                  <c:v>3083502.140625</c:v>
                </c:pt>
                <c:pt idx="18526">
                  <c:v>3084589.0226800004</c:v>
                </c:pt>
                <c:pt idx="18527">
                  <c:v>3085676.160115</c:v>
                </c:pt>
                <c:pt idx="18528">
                  <c:v>3086763.55296</c:v>
                </c:pt>
                <c:pt idx="18529">
                  <c:v>3087851.201245001</c:v>
                </c:pt>
                <c:pt idx="18530">
                  <c:v>3088939.1049999995</c:v>
                </c:pt>
                <c:pt idx="18531">
                  <c:v>3090027.2642550007</c:v>
                </c:pt>
                <c:pt idx="18532">
                  <c:v>3091115.679039999</c:v>
                </c:pt>
                <c:pt idx="18533">
                  <c:v>3092204.3493850003</c:v>
                </c:pt>
                <c:pt idx="18534">
                  <c:v>3093293.2753200005</c:v>
                </c:pt>
                <c:pt idx="18535">
                  <c:v>3094382.456874999</c:v>
                </c:pt>
                <c:pt idx="18536">
                  <c:v>3095471.89408</c:v>
                </c:pt>
                <c:pt idx="18537">
                  <c:v>3096561.5869650003</c:v>
                </c:pt>
                <c:pt idx="18538">
                  <c:v>3097651.5355599998</c:v>
                </c:pt>
                <c:pt idx="18539">
                  <c:v>3098741.7398949997</c:v>
                </c:pt>
                <c:pt idx="18540">
                  <c:v>3099832.200000001</c:v>
                </c:pt>
                <c:pt idx="18541">
                  <c:v>3100922.9159049997</c:v>
                </c:pt>
                <c:pt idx="18542">
                  <c:v>3102013.8876400003</c:v>
                </c:pt>
                <c:pt idx="18543">
                  <c:v>3103105.1152350004</c:v>
                </c:pt>
                <c:pt idx="18544">
                  <c:v>3104196.59872</c:v>
                </c:pt>
                <c:pt idx="18545">
                  <c:v>3105288.3381250007</c:v>
                </c:pt>
                <c:pt idx="18546">
                  <c:v>3106380.333479999</c:v>
                </c:pt>
                <c:pt idx="18547">
                  <c:v>3107472.584815</c:v>
                </c:pt>
                <c:pt idx="18548">
                  <c:v>3108565.09216</c:v>
                </c:pt>
                <c:pt idx="18549">
                  <c:v>3109657.8555449992</c:v>
                </c:pt>
                <c:pt idx="18550">
                  <c:v>3110750.875</c:v>
                </c:pt>
                <c:pt idx="18551">
                  <c:v>3111844.150555</c:v>
                </c:pt>
                <c:pt idx="18552">
                  <c:v>3112937.68224</c:v>
                </c:pt>
                <c:pt idx="18553">
                  <c:v>3114031.470085</c:v>
                </c:pt>
                <c:pt idx="18554">
                  <c:v>3115125.5141200013</c:v>
                </c:pt>
                <c:pt idx="18555">
                  <c:v>3116219.814375</c:v>
                </c:pt>
                <c:pt idx="18556">
                  <c:v>3117314.3708800008</c:v>
                </c:pt>
                <c:pt idx="18557">
                  <c:v>3118409.1836649994</c:v>
                </c:pt>
                <c:pt idx="18558">
                  <c:v>3119504.25276</c:v>
                </c:pt>
                <c:pt idx="18559">
                  <c:v>3120599.578195</c:v>
                </c:pt>
                <c:pt idx="18560">
                  <c:v>3121695.1599999988</c:v>
                </c:pt>
                <c:pt idx="18561">
                  <c:v>3122790.998205</c:v>
                </c:pt>
                <c:pt idx="18562">
                  <c:v>3123887.09284</c:v>
                </c:pt>
                <c:pt idx="18563">
                  <c:v>3124983.443935</c:v>
                </c:pt>
                <c:pt idx="18564">
                  <c:v>3126080.05152</c:v>
                </c:pt>
                <c:pt idx="18565">
                  <c:v>3127176.915625001</c:v>
                </c:pt>
                <c:pt idx="18566">
                  <c:v>3128274.0362799997</c:v>
                </c:pt>
                <c:pt idx="18567">
                  <c:v>3129371.4135149997</c:v>
                </c:pt>
                <c:pt idx="18568">
                  <c:v>3130469.047360001</c:v>
                </c:pt>
                <c:pt idx="18569">
                  <c:v>3131566.937845</c:v>
                </c:pt>
                <c:pt idx="18570">
                  <c:v>3132665.0850000004</c:v>
                </c:pt>
                <c:pt idx="18571">
                  <c:v>3133763.4888549997</c:v>
                </c:pt>
                <c:pt idx="18572">
                  <c:v>3134862.14944</c:v>
                </c:pt>
                <c:pt idx="18573">
                  <c:v>3135961.0667850007</c:v>
                </c:pt>
                <c:pt idx="18574">
                  <c:v>3137060.24092</c:v>
                </c:pt>
                <c:pt idx="18575">
                  <c:v>3138159.671875</c:v>
                </c:pt>
                <c:pt idx="18576">
                  <c:v>3139259.3596800007</c:v>
                </c:pt>
                <c:pt idx="18577">
                  <c:v>3140359.304365</c:v>
                </c:pt>
                <c:pt idx="18578">
                  <c:v>3141459.50596</c:v>
                </c:pt>
                <c:pt idx="18579">
                  <c:v>3142559.9644950014</c:v>
                </c:pt>
                <c:pt idx="18580">
                  <c:v>3143660.6799999997</c:v>
                </c:pt>
                <c:pt idx="18581">
                  <c:v>3144761.6525050006</c:v>
                </c:pt>
                <c:pt idx="18582">
                  <c:v>3145862.882039999</c:v>
                </c:pt>
                <c:pt idx="18583">
                  <c:v>3146964.368635</c:v>
                </c:pt>
                <c:pt idx="18584">
                  <c:v>3148066.1123200003</c:v>
                </c:pt>
                <c:pt idx="18585">
                  <c:v>3149168.1131249997</c:v>
                </c:pt>
                <c:pt idx="18586">
                  <c:v>3150270.3710800004</c:v>
                </c:pt>
                <c:pt idx="18587">
                  <c:v>3151372.8862150004</c:v>
                </c:pt>
                <c:pt idx="18588">
                  <c:v>3152475.6585599994</c:v>
                </c:pt>
                <c:pt idx="18589">
                  <c:v>3153578.688145</c:v>
                </c:pt>
                <c:pt idx="18590">
                  <c:v>3154681.9750000006</c:v>
                </c:pt>
                <c:pt idx="18591">
                  <c:v>3155785.519155</c:v>
                </c:pt>
                <c:pt idx="18592">
                  <c:v>3156889.3206399996</c:v>
                </c:pt>
                <c:pt idx="18593">
                  <c:v>3157993.379485001</c:v>
                </c:pt>
                <c:pt idx="18594">
                  <c:v>3159097.6957199993</c:v>
                </c:pt>
                <c:pt idx="18595">
                  <c:v>3160202.269375</c:v>
                </c:pt>
                <c:pt idx="18596">
                  <c:v>3161307.1004799996</c:v>
                </c:pt>
                <c:pt idx="18597">
                  <c:v>3162412.189065</c:v>
                </c:pt>
                <c:pt idx="18598">
                  <c:v>3163517.53516</c:v>
                </c:pt>
                <c:pt idx="18599">
                  <c:v>3164623.1387949996</c:v>
                </c:pt>
                <c:pt idx="18600">
                  <c:v>3165729.0</c:v>
                </c:pt>
                <c:pt idx="18601">
                  <c:v>3166835.118805</c:v>
                </c:pt>
                <c:pt idx="18602">
                  <c:v>3167941.49524</c:v>
                </c:pt>
                <c:pt idx="18603">
                  <c:v>3169048.129335</c:v>
                </c:pt>
                <c:pt idx="18604">
                  <c:v>3170155.0211200006</c:v>
                </c:pt>
                <c:pt idx="18605">
                  <c:v>3171262.170625</c:v>
                </c:pt>
                <c:pt idx="18606">
                  <c:v>3172369.57788</c:v>
                </c:pt>
                <c:pt idx="18607">
                  <c:v>3173477.242914999</c:v>
                </c:pt>
                <c:pt idx="18608">
                  <c:v>3174585.16576</c:v>
                </c:pt>
                <c:pt idx="18609">
                  <c:v>3175693.3464450007</c:v>
                </c:pt>
                <c:pt idx="18610">
                  <c:v>3176801.784999999</c:v>
                </c:pt>
                <c:pt idx="18611">
                  <c:v>3177910.481455</c:v>
                </c:pt>
                <c:pt idx="18612">
                  <c:v>3179019.4358400004</c:v>
                </c:pt>
                <c:pt idx="18613">
                  <c:v>3180128.6481849994</c:v>
                </c:pt>
                <c:pt idx="18614">
                  <c:v>3181238.11852</c:v>
                </c:pt>
                <c:pt idx="18615">
                  <c:v>3182347.8468750007</c:v>
                </c:pt>
                <c:pt idx="18616">
                  <c:v>3183457.8332799994</c:v>
                </c:pt>
                <c:pt idx="18617">
                  <c:v>3184568.077765</c:v>
                </c:pt>
                <c:pt idx="18618">
                  <c:v>3185678.580360001</c:v>
                </c:pt>
                <c:pt idx="18619">
                  <c:v>3186789.3410949996</c:v>
                </c:pt>
                <c:pt idx="18620">
                  <c:v>3187900.360000001</c:v>
                </c:pt>
                <c:pt idx="18621">
                  <c:v>3189011.6371049993</c:v>
                </c:pt>
                <c:pt idx="18622">
                  <c:v>3190123.17244</c:v>
                </c:pt>
                <c:pt idx="18623">
                  <c:v>3191234.9660350005</c:v>
                </c:pt>
                <c:pt idx="18624">
                  <c:v>3192347.01792</c:v>
                </c:pt>
                <c:pt idx="18625">
                  <c:v>3193459.328125</c:v>
                </c:pt>
                <c:pt idx="18626">
                  <c:v>3194571.8966800002</c:v>
                </c:pt>
                <c:pt idx="18627">
                  <c:v>3195684.7236149996</c:v>
                </c:pt>
                <c:pt idx="18628">
                  <c:v>3196797.8089600005</c:v>
                </c:pt>
                <c:pt idx="18629">
                  <c:v>3197911.152745001</c:v>
                </c:pt>
                <c:pt idx="18630">
                  <c:v>3199024.7549999994</c:v>
                </c:pt>
                <c:pt idx="18631">
                  <c:v>3200138.6157550006</c:v>
                </c:pt>
                <c:pt idx="18632">
                  <c:v>3201252.7350399992</c:v>
                </c:pt>
                <c:pt idx="18633">
                  <c:v>3202367.1128850006</c:v>
                </c:pt>
                <c:pt idx="18634">
                  <c:v>3203481.74932</c:v>
                </c:pt>
                <c:pt idx="18635">
                  <c:v>3204596.6443749988</c:v>
                </c:pt>
                <c:pt idx="18636">
                  <c:v>3205711.79808</c:v>
                </c:pt>
                <c:pt idx="18637">
                  <c:v>3206827.2104650005</c:v>
                </c:pt>
                <c:pt idx="18638">
                  <c:v>3207942.881559999</c:v>
                </c:pt>
                <c:pt idx="18639">
                  <c:v>3209058.811395</c:v>
                </c:pt>
                <c:pt idx="18640">
                  <c:v>3210175.000000001</c:v>
                </c:pt>
                <c:pt idx="18641">
                  <c:v>3211291.4474049998</c:v>
                </c:pt>
                <c:pt idx="18642">
                  <c:v>3212408.15364</c:v>
                </c:pt>
                <c:pt idx="18643">
                  <c:v>3213525.118735001</c:v>
                </c:pt>
                <c:pt idx="18644">
                  <c:v>3214642.3427199996</c:v>
                </c:pt>
                <c:pt idx="18645">
                  <c:v>3215759.825625</c:v>
                </c:pt>
                <c:pt idx="18646">
                  <c:v>3216877.5674799997</c:v>
                </c:pt>
                <c:pt idx="18647">
                  <c:v>3217995.5683150003</c:v>
                </c:pt>
                <c:pt idx="18648">
                  <c:v>3219113.82816</c:v>
                </c:pt>
                <c:pt idx="18649">
                  <c:v>3220232.3470449997</c:v>
                </c:pt>
                <c:pt idx="18650">
                  <c:v>3221351.125</c:v>
                </c:pt>
                <c:pt idx="18651">
                  <c:v>3222470.162055</c:v>
                </c:pt>
                <c:pt idx="18652">
                  <c:v>3223589.4582399996</c:v>
                </c:pt>
                <c:pt idx="18653">
                  <c:v>3224709.013585</c:v>
                </c:pt>
                <c:pt idx="18654">
                  <c:v>3225828.828120001</c:v>
                </c:pt>
                <c:pt idx="18655">
                  <c:v>3226948.9018749995</c:v>
                </c:pt>
                <c:pt idx="18656">
                  <c:v>3228069.2348800004</c:v>
                </c:pt>
                <c:pt idx="18657">
                  <c:v>3229189.827164999</c:v>
                </c:pt>
                <c:pt idx="18658">
                  <c:v>3230310.6787600005</c:v>
                </c:pt>
                <c:pt idx="18659">
                  <c:v>3231431.789695</c:v>
                </c:pt>
                <c:pt idx="18660">
                  <c:v>3232553.1599999988</c:v>
                </c:pt>
                <c:pt idx="18661">
                  <c:v>3233674.789705</c:v>
                </c:pt>
                <c:pt idx="18662">
                  <c:v>3234796.67884</c:v>
                </c:pt>
                <c:pt idx="18663">
                  <c:v>3235918.8274349994</c:v>
                </c:pt>
                <c:pt idx="18664">
                  <c:v>3237041.23552</c:v>
                </c:pt>
                <c:pt idx="18665">
                  <c:v>3238163.903125001</c:v>
                </c:pt>
                <c:pt idx="18666">
                  <c:v>3239286.8302799994</c:v>
                </c:pt>
                <c:pt idx="18667">
                  <c:v>3240410.017015</c:v>
                </c:pt>
                <c:pt idx="18668">
                  <c:v>3241533.4633600004</c:v>
                </c:pt>
                <c:pt idx="18669">
                  <c:v>3242657.1693449994</c:v>
                </c:pt>
                <c:pt idx="18670">
                  <c:v>3243781.1350000002</c:v>
                </c:pt>
                <c:pt idx="18671">
                  <c:v>3244905.3603549995</c:v>
                </c:pt>
                <c:pt idx="18672">
                  <c:v>3246029.8454400003</c:v>
                </c:pt>
                <c:pt idx="18673">
                  <c:v>3247154.5902850004</c:v>
                </c:pt>
                <c:pt idx="18674">
                  <c:v>3248279.59492</c:v>
                </c:pt>
                <c:pt idx="18675">
                  <c:v>3249404.859375</c:v>
                </c:pt>
                <c:pt idx="18676">
                  <c:v>3250530.3836800004</c:v>
                </c:pt>
                <c:pt idx="18677">
                  <c:v>3251656.1678649993</c:v>
                </c:pt>
                <c:pt idx="18678">
                  <c:v>3252782.21196</c:v>
                </c:pt>
                <c:pt idx="18679">
                  <c:v>3253908.5159950005</c:v>
                </c:pt>
                <c:pt idx="18680">
                  <c:v>3255035.079999999</c:v>
                </c:pt>
                <c:pt idx="18681">
                  <c:v>3256161.9040050004</c:v>
                </c:pt>
                <c:pt idx="18682">
                  <c:v>3257288.9880399993</c:v>
                </c:pt>
                <c:pt idx="18683">
                  <c:v>3258416.3321350003</c:v>
                </c:pt>
                <c:pt idx="18684">
                  <c:v>3259543.9363200003</c:v>
                </c:pt>
                <c:pt idx="18685">
                  <c:v>3260671.800624999</c:v>
                </c:pt>
                <c:pt idx="18686">
                  <c:v>3261799.9250800004</c:v>
                </c:pt>
                <c:pt idx="18687">
                  <c:v>3262928.3097150004</c:v>
                </c:pt>
                <c:pt idx="18688">
                  <c:v>3264056.954559999</c:v>
                </c:pt>
                <c:pt idx="18689">
                  <c:v>3265185.8596449997</c:v>
                </c:pt>
                <c:pt idx="18690">
                  <c:v>3266315.0250000004</c:v>
                </c:pt>
                <c:pt idx="18691">
                  <c:v>3267444.4506549994</c:v>
                </c:pt>
                <c:pt idx="18692">
                  <c:v>3268574.13664</c:v>
                </c:pt>
                <c:pt idx="18693">
                  <c:v>3269704.0829850007</c:v>
                </c:pt>
                <c:pt idx="18694">
                  <c:v>3270834.28972</c:v>
                </c:pt>
                <c:pt idx="18695">
                  <c:v>3271964.7568750004</c:v>
                </c:pt>
                <c:pt idx="18696">
                  <c:v>3273095.484479999</c:v>
                </c:pt>
                <c:pt idx="18697">
                  <c:v>3274226.4725650004</c:v>
                </c:pt>
                <c:pt idx="18698">
                  <c:v>3275357.72116</c:v>
                </c:pt>
                <c:pt idx="18699">
                  <c:v>3276489.230294999</c:v>
                </c:pt>
                <c:pt idx="18700">
                  <c:v>3277621.0</c:v>
                </c:pt>
                <c:pt idx="18701">
                  <c:v>3278753.030305</c:v>
                </c:pt>
                <c:pt idx="18702">
                  <c:v>3279885.3212399995</c:v>
                </c:pt>
                <c:pt idx="18703">
                  <c:v>3281017.8728349996</c:v>
                </c:pt>
                <c:pt idx="18704">
                  <c:v>3282150.6851200005</c:v>
                </c:pt>
                <c:pt idx="18705">
                  <c:v>3283283.7581249997</c:v>
                </c:pt>
                <c:pt idx="18706">
                  <c:v>3284417.09188</c:v>
                </c:pt>
                <c:pt idx="18707">
                  <c:v>3285550.6864149994</c:v>
                </c:pt>
                <c:pt idx="18708">
                  <c:v>3286684.54176</c:v>
                </c:pt>
                <c:pt idx="18709">
                  <c:v>3287818.6579450006</c:v>
                </c:pt>
                <c:pt idx="18710">
                  <c:v>3288953.034999999</c:v>
                </c:pt>
                <c:pt idx="18711">
                  <c:v>3290087.672955</c:v>
                </c:pt>
                <c:pt idx="18712">
                  <c:v>3291222.5718400003</c:v>
                </c:pt>
                <c:pt idx="18713">
                  <c:v>3292357.7316849995</c:v>
                </c:pt>
                <c:pt idx="18714">
                  <c:v>3293493.15252</c:v>
                </c:pt>
                <c:pt idx="18715">
                  <c:v>3294628.8343750006</c:v>
                </c:pt>
                <c:pt idx="18716">
                  <c:v>3295764.7772799996</c:v>
                </c:pt>
                <c:pt idx="18717">
                  <c:v>3296900.9812649996</c:v>
                </c:pt>
                <c:pt idx="18718">
                  <c:v>3298037.446360001</c:v>
                </c:pt>
                <c:pt idx="18719">
                  <c:v>3299174.172595</c:v>
                </c:pt>
                <c:pt idx="18720">
                  <c:v>3300311.1600000006</c:v>
                </c:pt>
                <c:pt idx="18721">
                  <c:v>3301448.408604999</c:v>
                </c:pt>
                <c:pt idx="18722">
                  <c:v>3302585.91844</c:v>
                </c:pt>
                <c:pt idx="18723">
                  <c:v>3303723.689535</c:v>
                </c:pt>
                <c:pt idx="18724">
                  <c:v>3304861.72192</c:v>
                </c:pt>
                <c:pt idx="18725">
                  <c:v>3306000.015625</c:v>
                </c:pt>
                <c:pt idx="18726">
                  <c:v>3307138.5706800004</c:v>
                </c:pt>
                <c:pt idx="18727">
                  <c:v>3308277.3871149994</c:v>
                </c:pt>
                <c:pt idx="18728">
                  <c:v>3309416.46496</c:v>
                </c:pt>
                <c:pt idx="18729">
                  <c:v>3310555.8042450007</c:v>
                </c:pt>
                <c:pt idx="18730">
                  <c:v>3311695.405</c:v>
                </c:pt>
                <c:pt idx="18731">
                  <c:v>3312835.267255001</c:v>
                </c:pt>
                <c:pt idx="18732">
                  <c:v>3313975.391039999</c:v>
                </c:pt>
                <c:pt idx="18733">
                  <c:v>3315115.7763850004</c:v>
                </c:pt>
                <c:pt idx="18734">
                  <c:v>3316256.4233200005</c:v>
                </c:pt>
                <c:pt idx="18735">
                  <c:v>3317397.331874999</c:v>
                </c:pt>
                <c:pt idx="18736">
                  <c:v>3318538.50208</c:v>
                </c:pt>
                <c:pt idx="18737">
                  <c:v>3319679.9339650003</c:v>
                </c:pt>
                <c:pt idx="18738">
                  <c:v>3320821.62756</c:v>
                </c:pt>
                <c:pt idx="18739">
                  <c:v>3321963.582895</c:v>
                </c:pt>
                <c:pt idx="18740">
                  <c:v>3323105.800000001</c:v>
                </c:pt>
                <c:pt idx="18741">
                  <c:v>3324248.2789049996</c:v>
                </c:pt>
                <c:pt idx="18742">
                  <c:v>3325391.0196399996</c:v>
                </c:pt>
                <c:pt idx="18743">
                  <c:v>3326534.022235001</c:v>
                </c:pt>
                <c:pt idx="18744">
                  <c:v>3327677.2867199997</c:v>
                </c:pt>
                <c:pt idx="18745">
                  <c:v>3328820.813125001</c:v>
                </c:pt>
                <c:pt idx="18746">
                  <c:v>3329964.6014799993</c:v>
                </c:pt>
                <c:pt idx="18747">
                  <c:v>3331108.651815</c:v>
                </c:pt>
                <c:pt idx="18748">
                  <c:v>3332252.96416</c:v>
                </c:pt>
                <c:pt idx="18749">
                  <c:v>3333397.5385449994</c:v>
                </c:pt>
                <c:pt idx="18750">
                  <c:v>3334542.375</c:v>
                </c:pt>
                <c:pt idx="18751">
                  <c:v>3335687.4735550005</c:v>
                </c:pt>
                <c:pt idx="18752">
                  <c:v>3336832.8342399998</c:v>
                </c:pt>
                <c:pt idx="18753">
                  <c:v>3337978.457085</c:v>
                </c:pt>
                <c:pt idx="18754">
                  <c:v>3339124.342120001</c:v>
                </c:pt>
                <c:pt idx="18755">
                  <c:v>3340270.4893749994</c:v>
                </c:pt>
                <c:pt idx="18756">
                  <c:v>3341416.8988800007</c:v>
                </c:pt>
                <c:pt idx="18757">
                  <c:v>3342563.570664999</c:v>
                </c:pt>
                <c:pt idx="18758">
                  <c:v>3343710.50476</c:v>
                </c:pt>
                <c:pt idx="18759">
                  <c:v>3344857.701195</c:v>
                </c:pt>
                <c:pt idx="18760">
                  <c:v>3346005.1599999988</c:v>
                </c:pt>
                <c:pt idx="18761">
                  <c:v>3347152.8812050004</c:v>
                </c:pt>
                <c:pt idx="18762">
                  <c:v>3348300.864840001</c:v>
                </c:pt>
                <c:pt idx="18763">
                  <c:v>3349449.110935</c:v>
                </c:pt>
                <c:pt idx="18764">
                  <c:v>3350597.6195199997</c:v>
                </c:pt>
                <c:pt idx="18765">
                  <c:v>3351746.390625001</c:v>
                </c:pt>
                <c:pt idx="18766">
                  <c:v>3352895.42428</c:v>
                </c:pt>
                <c:pt idx="18767">
                  <c:v>3354044.720515</c:v>
                </c:pt>
                <c:pt idx="18768">
                  <c:v>3355194.279360001</c:v>
                </c:pt>
                <c:pt idx="18769">
                  <c:v>3356344.100845</c:v>
                </c:pt>
                <c:pt idx="18770">
                  <c:v>3357494.185</c:v>
                </c:pt>
                <c:pt idx="18771">
                  <c:v>3358644.5318549993</c:v>
                </c:pt>
                <c:pt idx="18772">
                  <c:v>3359795.1414400004</c:v>
                </c:pt>
                <c:pt idx="18773">
                  <c:v>3360946.0137850004</c:v>
                </c:pt>
                <c:pt idx="18774">
                  <c:v>3362097.14892</c:v>
                </c:pt>
                <c:pt idx="18775">
                  <c:v>3363248.546875</c:v>
                </c:pt>
                <c:pt idx="18776">
                  <c:v>3364400.20768</c:v>
                </c:pt>
                <c:pt idx="18777">
                  <c:v>3365552.131365</c:v>
                </c:pt>
                <c:pt idx="18778">
                  <c:v>3366704.31796</c:v>
                </c:pt>
                <c:pt idx="18779">
                  <c:v>3367856.7674950007</c:v>
                </c:pt>
                <c:pt idx="18780">
                  <c:v>3369009.479999999</c:v>
                </c:pt>
                <c:pt idx="18781">
                  <c:v>3370162.4555050004</c:v>
                </c:pt>
                <c:pt idx="18782">
                  <c:v>3371315.694039999</c:v>
                </c:pt>
                <c:pt idx="18783">
                  <c:v>3372469.195635</c:v>
                </c:pt>
                <c:pt idx="18784">
                  <c:v>3373622.9603200005</c:v>
                </c:pt>
                <c:pt idx="18785">
                  <c:v>3374776.988124999</c:v>
                </c:pt>
                <c:pt idx="18786">
                  <c:v>3375931.27908</c:v>
                </c:pt>
                <c:pt idx="18787">
                  <c:v>3377085.8332150006</c:v>
                </c:pt>
                <c:pt idx="18788">
                  <c:v>3378240.6505599995</c:v>
                </c:pt>
                <c:pt idx="18789">
                  <c:v>3379395.731145</c:v>
                </c:pt>
                <c:pt idx="18790">
                  <c:v>3380551.075000001</c:v>
                </c:pt>
                <c:pt idx="18791">
                  <c:v>3381706.682155</c:v>
                </c:pt>
                <c:pt idx="18792">
                  <c:v>3382862.55264</c:v>
                </c:pt>
                <c:pt idx="18793">
                  <c:v>3384018.686485001</c:v>
                </c:pt>
                <c:pt idx="18794">
                  <c:v>3385175.083719999</c:v>
                </c:pt>
                <c:pt idx="18795">
                  <c:v>3386331.7443750007</c:v>
                </c:pt>
                <c:pt idx="18796">
                  <c:v>3387488.668479999</c:v>
                </c:pt>
                <c:pt idx="18797">
                  <c:v>3388645.8560649995</c:v>
                </c:pt>
                <c:pt idx="18798">
                  <c:v>3389803.3071600003</c:v>
                </c:pt>
                <c:pt idx="18799">
                  <c:v>3390961.0217949995</c:v>
                </c:pt>
                <c:pt idx="18800">
                  <c:v>3392119.0</c:v>
                </c:pt>
                <c:pt idx="18801">
                  <c:v>3393277.2418050007</c:v>
                </c:pt>
                <c:pt idx="18802">
                  <c:v>3394435.7472399995</c:v>
                </c:pt>
                <c:pt idx="18803">
                  <c:v>3395594.5163350003</c:v>
                </c:pt>
                <c:pt idx="18804">
                  <c:v>3396753.5491200006</c:v>
                </c:pt>
                <c:pt idx="18805">
                  <c:v>3397912.8456249996</c:v>
                </c:pt>
                <c:pt idx="18806">
                  <c:v>3399072.4058800004</c:v>
                </c:pt>
                <c:pt idx="18807">
                  <c:v>3400232.229914999</c:v>
                </c:pt>
                <c:pt idx="18808">
                  <c:v>3401392.31776</c:v>
                </c:pt>
                <c:pt idx="18809">
                  <c:v>3402552.669445</c:v>
                </c:pt>
                <c:pt idx="18810">
                  <c:v>3403713.284999999</c:v>
                </c:pt>
                <c:pt idx="18811">
                  <c:v>3404874.164455</c:v>
                </c:pt>
                <c:pt idx="18812">
                  <c:v>3406035.30784</c:v>
                </c:pt>
                <c:pt idx="18813">
                  <c:v>3407196.7151849996</c:v>
                </c:pt>
                <c:pt idx="18814">
                  <c:v>3408358.38652</c:v>
                </c:pt>
                <c:pt idx="18815">
                  <c:v>3409520.3218750004</c:v>
                </c:pt>
                <c:pt idx="18816">
                  <c:v>3410682.5212799995</c:v>
                </c:pt>
                <c:pt idx="18817">
                  <c:v>3411844.984765</c:v>
                </c:pt>
                <c:pt idx="18818">
                  <c:v>3413007.7123600007</c:v>
                </c:pt>
                <c:pt idx="18819">
                  <c:v>3414170.7040949995</c:v>
                </c:pt>
                <c:pt idx="18820">
                  <c:v>3415333.960000001</c:v>
                </c:pt>
                <c:pt idx="18821">
                  <c:v>3416497.480104999</c:v>
                </c:pt>
                <c:pt idx="18822">
                  <c:v>3417661.26444</c:v>
                </c:pt>
                <c:pt idx="18823">
                  <c:v>3418825.3130350006</c:v>
                </c:pt>
                <c:pt idx="18824">
                  <c:v>3419989.6259199996</c:v>
                </c:pt>
                <c:pt idx="18825">
                  <c:v>3421154.203125</c:v>
                </c:pt>
                <c:pt idx="18826">
                  <c:v>3422319.0446800007</c:v>
                </c:pt>
                <c:pt idx="18827">
                  <c:v>3423484.1506149992</c:v>
                </c:pt>
                <c:pt idx="18828">
                  <c:v>3424649.52096</c:v>
                </c:pt>
                <c:pt idx="18829">
                  <c:v>3425815.155745001</c:v>
                </c:pt>
                <c:pt idx="18830">
                  <c:v>3426981.055</c:v>
                </c:pt>
                <c:pt idx="18831">
                  <c:v>3428147.2187550003</c:v>
                </c:pt>
                <c:pt idx="18832">
                  <c:v>3429313.6470399993</c:v>
                </c:pt>
                <c:pt idx="18833">
                  <c:v>3430480.339885</c:v>
                </c:pt>
                <c:pt idx="18834">
                  <c:v>3431647.2973200004</c:v>
                </c:pt>
                <c:pt idx="18835">
                  <c:v>3432814.519374999</c:v>
                </c:pt>
                <c:pt idx="18836">
                  <c:v>3433982.00608</c:v>
                </c:pt>
                <c:pt idx="18837">
                  <c:v>3435149.7574650003</c:v>
                </c:pt>
                <c:pt idx="18838">
                  <c:v>3436317.7735599997</c:v>
                </c:pt>
                <c:pt idx="18839">
                  <c:v>3437486.054395</c:v>
                </c:pt>
                <c:pt idx="18840">
                  <c:v>3438654.600000001</c:v>
                </c:pt>
                <c:pt idx="18841">
                  <c:v>3439823.4104049993</c:v>
                </c:pt>
                <c:pt idx="18842">
                  <c:v>3440992.48564</c:v>
                </c:pt>
                <c:pt idx="18843">
                  <c:v>3442161.825735001</c:v>
                </c:pt>
                <c:pt idx="18844">
                  <c:v>3443331.4307199996</c:v>
                </c:pt>
                <c:pt idx="18845">
                  <c:v>3444501.300625</c:v>
                </c:pt>
                <c:pt idx="18846">
                  <c:v>3445671.4354799995</c:v>
                </c:pt>
                <c:pt idx="18847">
                  <c:v>3446841.835315</c:v>
                </c:pt>
                <c:pt idx="18848">
                  <c:v>3448012.5001600003</c:v>
                </c:pt>
                <c:pt idx="18849">
                  <c:v>3449183.430045</c:v>
                </c:pt>
                <c:pt idx="18850">
                  <c:v>3450354.625</c:v>
                </c:pt>
                <c:pt idx="18851">
                  <c:v>3451526.085055</c:v>
                </c:pt>
                <c:pt idx="18852">
                  <c:v>3452697.8102399996</c:v>
                </c:pt>
                <c:pt idx="18853">
                  <c:v>3453869.8005850003</c:v>
                </c:pt>
                <c:pt idx="18854">
                  <c:v>3455042.0561200012</c:v>
                </c:pt>
                <c:pt idx="18855">
                  <c:v>3456214.5768749993</c:v>
                </c:pt>
                <c:pt idx="18856">
                  <c:v>3457387.3628800004</c:v>
                </c:pt>
                <c:pt idx="18857">
                  <c:v>3458560.414164999</c:v>
                </c:pt>
                <c:pt idx="18858">
                  <c:v>3459733.73076</c:v>
                </c:pt>
                <c:pt idx="18859">
                  <c:v>3460907.312695001</c:v>
                </c:pt>
                <c:pt idx="18860">
                  <c:v>3462081.159999999</c:v>
                </c:pt>
                <c:pt idx="18861">
                  <c:v>3463255.2727050004</c:v>
                </c:pt>
                <c:pt idx="18862">
                  <c:v>3464429.6508400002</c:v>
                </c:pt>
                <c:pt idx="18863">
                  <c:v>3465604.2944349996</c:v>
                </c:pt>
                <c:pt idx="18864">
                  <c:v>3466779.20352</c:v>
                </c:pt>
                <c:pt idx="18865">
                  <c:v>3467954.378125001</c:v>
                </c:pt>
                <c:pt idx="18866">
                  <c:v>3469129.8182799993</c:v>
                </c:pt>
                <c:pt idx="18867">
                  <c:v>3470305.5240150006</c:v>
                </c:pt>
                <c:pt idx="18868">
                  <c:v>3471481.495360001</c:v>
                </c:pt>
                <c:pt idx="18869">
                  <c:v>3472657.7323449994</c:v>
                </c:pt>
                <c:pt idx="18870">
                  <c:v>3473834.235000001</c:v>
                </c:pt>
                <c:pt idx="18871">
                  <c:v>3475011.0033549992</c:v>
                </c:pt>
                <c:pt idx="18872">
                  <c:v>3476188.03744</c:v>
                </c:pt>
                <c:pt idx="18873">
                  <c:v>3477365.3372850004</c:v>
                </c:pt>
                <c:pt idx="18874">
                  <c:v>3478542.90292</c:v>
                </c:pt>
                <c:pt idx="18875">
                  <c:v>3479720.734375</c:v>
                </c:pt>
                <c:pt idx="18876">
                  <c:v>3480898.8316800003</c:v>
                </c:pt>
                <c:pt idx="18877">
                  <c:v>3482077.1948649995</c:v>
                </c:pt>
                <c:pt idx="18878">
                  <c:v>3483255.8239599997</c:v>
                </c:pt>
                <c:pt idx="18879">
                  <c:v>3484434.7189950007</c:v>
                </c:pt>
                <c:pt idx="18880">
                  <c:v>3485613.8799999994</c:v>
                </c:pt>
                <c:pt idx="18881">
                  <c:v>3486793.3070050003</c:v>
                </c:pt>
                <c:pt idx="18882">
                  <c:v>3487973.000039999</c:v>
                </c:pt>
                <c:pt idx="18883">
                  <c:v>3489152.959135</c:v>
                </c:pt>
                <c:pt idx="18884">
                  <c:v>3490333.18432</c:v>
                </c:pt>
                <c:pt idx="18885">
                  <c:v>3491513.675624999</c:v>
                </c:pt>
                <c:pt idx="18886">
                  <c:v>3492694.43308</c:v>
                </c:pt>
                <c:pt idx="18887">
                  <c:v>3493875.4567150003</c:v>
                </c:pt>
                <c:pt idx="18888">
                  <c:v>3495056.7465599994</c:v>
                </c:pt>
                <c:pt idx="18889">
                  <c:v>3496238.3026449997</c:v>
                </c:pt>
                <c:pt idx="18890">
                  <c:v>3497420.125000001</c:v>
                </c:pt>
                <c:pt idx="18891">
                  <c:v>3498602.2136549996</c:v>
                </c:pt>
                <c:pt idx="18892">
                  <c:v>3499784.5686399997</c:v>
                </c:pt>
                <c:pt idx="18893">
                  <c:v>3500967.1899850005</c:v>
                </c:pt>
                <c:pt idx="18894">
                  <c:v>3502150.0777199995</c:v>
                </c:pt>
                <c:pt idx="18895">
                  <c:v>3503333.231875</c:v>
                </c:pt>
                <c:pt idx="18896">
                  <c:v>3504516.6524799992</c:v>
                </c:pt>
                <c:pt idx="18897">
                  <c:v>3505700.339565</c:v>
                </c:pt>
                <c:pt idx="18898">
                  <c:v>3506884.293160001</c:v>
                </c:pt>
                <c:pt idx="18899">
                  <c:v>3508068.513295</c:v>
                </c:pt>
                <c:pt idx="18900">
                  <c:v>3509253.0</c:v>
                </c:pt>
                <c:pt idx="18901">
                  <c:v>3510437.7533050007</c:v>
                </c:pt>
                <c:pt idx="18902">
                  <c:v>3511622.7732399995</c:v>
                </c:pt>
                <c:pt idx="18903">
                  <c:v>3512808.0598350004</c:v>
                </c:pt>
                <c:pt idx="18904">
                  <c:v>3513993.6131200013</c:v>
                </c:pt>
                <c:pt idx="18905">
                  <c:v>3515179.4331249995</c:v>
                </c:pt>
                <c:pt idx="18906">
                  <c:v>3516365.51988</c:v>
                </c:pt>
                <c:pt idx="18907">
                  <c:v>3517551.8734149993</c:v>
                </c:pt>
                <c:pt idx="18908">
                  <c:v>3518738.49376</c:v>
                </c:pt>
                <c:pt idx="18909">
                  <c:v>3519925.380945001</c:v>
                </c:pt>
                <c:pt idx="18910">
                  <c:v>3521112.534999999</c:v>
                </c:pt>
                <c:pt idx="18911">
                  <c:v>3522299.955955</c:v>
                </c:pt>
                <c:pt idx="18912">
                  <c:v>3523487.6438400005</c:v>
                </c:pt>
                <c:pt idx="18913">
                  <c:v>3524675.598684999</c:v>
                </c:pt>
                <c:pt idx="18914">
                  <c:v>3525863.82052</c:v>
                </c:pt>
                <c:pt idx="18915">
                  <c:v>3527052.3093750007</c:v>
                </c:pt>
                <c:pt idx="18916">
                  <c:v>3528241.0652799997</c:v>
                </c:pt>
                <c:pt idx="18917">
                  <c:v>3529430.088265</c:v>
                </c:pt>
                <c:pt idx="18918">
                  <c:v>3530619.3783600014</c:v>
                </c:pt>
                <c:pt idx="18919">
                  <c:v>3531808.9355949997</c:v>
                </c:pt>
                <c:pt idx="18920">
                  <c:v>3532998.7600000007</c:v>
                </c:pt>
                <c:pt idx="18921">
                  <c:v>3534188.8516049995</c:v>
                </c:pt>
                <c:pt idx="18922">
                  <c:v>3535379.2104400005</c:v>
                </c:pt>
                <c:pt idx="18923">
                  <c:v>3536569.8365350007</c:v>
                </c:pt>
                <c:pt idx="18924">
                  <c:v>3537760.72992</c:v>
                </c:pt>
                <c:pt idx="18925">
                  <c:v>3538951.890625</c:v>
                </c:pt>
                <c:pt idx="18926">
                  <c:v>3540143.31868</c:v>
                </c:pt>
                <c:pt idx="18927">
                  <c:v>3541335.0141149997</c:v>
                </c:pt>
                <c:pt idx="18928">
                  <c:v>3542526.97696</c:v>
                </c:pt>
                <c:pt idx="18929">
                  <c:v>3543719.207245001</c:v>
                </c:pt>
                <c:pt idx="18930">
                  <c:v>3544911.7049999996</c:v>
                </c:pt>
                <c:pt idx="18931">
                  <c:v>3546104.4702550005</c:v>
                </c:pt>
                <c:pt idx="18932">
                  <c:v>3547297.5030399994</c:v>
                </c:pt>
                <c:pt idx="18933">
                  <c:v>3548490.8033849997</c:v>
                </c:pt>
                <c:pt idx="18934">
                  <c:v>3549684.371320001</c:v>
                </c:pt>
                <c:pt idx="18935">
                  <c:v>3550878.2068749988</c:v>
                </c:pt>
                <c:pt idx="18936">
                  <c:v>3552072.31008</c:v>
                </c:pt>
                <c:pt idx="18937">
                  <c:v>3553266.6809650008</c:v>
                </c:pt>
                <c:pt idx="18938">
                  <c:v>3554461.3195599997</c:v>
                </c:pt>
                <c:pt idx="18939">
                  <c:v>3555656.225895</c:v>
                </c:pt>
                <c:pt idx="18940">
                  <c:v>3556851.400000001</c:v>
                </c:pt>
                <c:pt idx="18941">
                  <c:v>3558046.841904999</c:v>
                </c:pt>
                <c:pt idx="18942">
                  <c:v>3559242.5516399997</c:v>
                </c:pt>
                <c:pt idx="18943">
                  <c:v>3560438.529235001</c:v>
                </c:pt>
                <c:pt idx="18944">
                  <c:v>3561634.7747199996</c:v>
                </c:pt>
                <c:pt idx="18945">
                  <c:v>3562831.288125</c:v>
                </c:pt>
                <c:pt idx="18946">
                  <c:v>3564028.069479999</c:v>
                </c:pt>
                <c:pt idx="18947">
                  <c:v>3565225.118815</c:v>
                </c:pt>
                <c:pt idx="18948">
                  <c:v>3566422.43616</c:v>
                </c:pt>
                <c:pt idx="18949">
                  <c:v>3567620.0215449994</c:v>
                </c:pt>
                <c:pt idx="18950">
                  <c:v>3568817.875</c:v>
                </c:pt>
                <c:pt idx="18951">
                  <c:v>3570015.9965550005</c:v>
                </c:pt>
                <c:pt idx="18952">
                  <c:v>3571214.3862399994</c:v>
                </c:pt>
                <c:pt idx="18953">
                  <c:v>3572413.044085</c:v>
                </c:pt>
                <c:pt idx="18954">
                  <c:v>3573611.970120001</c:v>
                </c:pt>
                <c:pt idx="18955">
                  <c:v>3574811.1643749997</c:v>
                </c:pt>
                <c:pt idx="18956">
                  <c:v>3576010.6268800003</c:v>
                </c:pt>
                <c:pt idx="18957">
                  <c:v>3577210.3576649986</c:v>
                </c:pt>
                <c:pt idx="18958">
                  <c:v>3578410.35676</c:v>
                </c:pt>
                <c:pt idx="18959">
                  <c:v>3579610.6241950006</c:v>
                </c:pt>
                <c:pt idx="18960">
                  <c:v>3580811.159999999</c:v>
                </c:pt>
                <c:pt idx="18961">
                  <c:v>3582011.9642049996</c:v>
                </c:pt>
                <c:pt idx="18962">
                  <c:v>3583213.0368400007</c:v>
                </c:pt>
                <c:pt idx="18963">
                  <c:v>3584414.3779349998</c:v>
                </c:pt>
                <c:pt idx="18964">
                  <c:v>3585615.98752</c:v>
                </c:pt>
                <c:pt idx="18965">
                  <c:v>3586817.8656250006</c:v>
                </c:pt>
                <c:pt idx="18966">
                  <c:v>3588020.01228</c:v>
                </c:pt>
                <c:pt idx="18967">
                  <c:v>3589222.4275149996</c:v>
                </c:pt>
                <c:pt idx="18968">
                  <c:v>3590425.1113600004</c:v>
                </c:pt>
                <c:pt idx="18969">
                  <c:v>3591628.0638449998</c:v>
                </c:pt>
                <c:pt idx="18970">
                  <c:v>3592831.285</c:v>
                </c:pt>
                <c:pt idx="18971">
                  <c:v>3594034.774854999</c:v>
                </c:pt>
                <c:pt idx="18972">
                  <c:v>3595238.53344</c:v>
                </c:pt>
                <c:pt idx="18973">
                  <c:v>3596442.5607850007</c:v>
                </c:pt>
                <c:pt idx="18974">
                  <c:v>3597646.8569199997</c:v>
                </c:pt>
                <c:pt idx="18975">
                  <c:v>3598851.421875</c:v>
                </c:pt>
                <c:pt idx="18976">
                  <c:v>3600056.2556800004</c:v>
                </c:pt>
                <c:pt idx="18977">
                  <c:v>3601261.3583649998</c:v>
                </c:pt>
                <c:pt idx="18978">
                  <c:v>3602466.7299599997</c:v>
                </c:pt>
                <c:pt idx="18979">
                  <c:v>3603672.370495001</c:v>
                </c:pt>
                <c:pt idx="18980">
                  <c:v>3604878.2799999993</c:v>
                </c:pt>
                <c:pt idx="18981">
                  <c:v>3606084.4585050005</c:v>
                </c:pt>
                <c:pt idx="18982">
                  <c:v>3607290.9060399993</c:v>
                </c:pt>
                <c:pt idx="18983">
                  <c:v>3608497.622635</c:v>
                </c:pt>
                <c:pt idx="18984">
                  <c:v>3609704.6083200006</c:v>
                </c:pt>
                <c:pt idx="18985">
                  <c:v>3610911.863124999</c:v>
                </c:pt>
                <c:pt idx="18986">
                  <c:v>3612119.38708</c:v>
                </c:pt>
                <c:pt idx="18987">
                  <c:v>3613327.180215</c:v>
                </c:pt>
                <c:pt idx="18988">
                  <c:v>3614535.24256</c:v>
                </c:pt>
                <c:pt idx="18989">
                  <c:v>3615743.574145</c:v>
                </c:pt>
                <c:pt idx="18990">
                  <c:v>3616952.1750000007</c:v>
                </c:pt>
                <c:pt idx="18991">
                  <c:v>3618161.0451549995</c:v>
                </c:pt>
                <c:pt idx="18992">
                  <c:v>3619370.18464</c:v>
                </c:pt>
                <c:pt idx="18993">
                  <c:v>3620579.593485001</c:v>
                </c:pt>
                <c:pt idx="18994">
                  <c:v>3621789.2717199996</c:v>
                </c:pt>
                <c:pt idx="18995">
                  <c:v>3622999.2193750003</c:v>
                </c:pt>
                <c:pt idx="18996">
                  <c:v>3624209.4364799997</c:v>
                </c:pt>
                <c:pt idx="18997">
                  <c:v>3625419.9230649997</c:v>
                </c:pt>
                <c:pt idx="18998">
                  <c:v>3626630.6791600003</c:v>
                </c:pt>
                <c:pt idx="18999">
                  <c:v>3627841.7047949997</c:v>
                </c:pt>
                <c:pt idx="19000">
                  <c:v>3629053.0</c:v>
                </c:pt>
                <c:pt idx="19001">
                  <c:v>3630264.564805</c:v>
                </c:pt>
                <c:pt idx="19002">
                  <c:v>3631476.3992399997</c:v>
                </c:pt>
                <c:pt idx="19003">
                  <c:v>3632688.5033349996</c:v>
                </c:pt>
                <c:pt idx="19004">
                  <c:v>3633900.877120001</c:v>
                </c:pt>
                <c:pt idx="19005">
                  <c:v>3635113.520625</c:v>
                </c:pt>
                <c:pt idx="19006">
                  <c:v>3636326.4338800004</c:v>
                </c:pt>
                <c:pt idx="19007">
                  <c:v>3637539.616914999</c:v>
                </c:pt>
                <c:pt idx="19008">
                  <c:v>3638753.06976</c:v>
                </c:pt>
                <c:pt idx="19009">
                  <c:v>3639966.7924450007</c:v>
                </c:pt>
                <c:pt idx="19010">
                  <c:v>3641180.784999999</c:v>
                </c:pt>
                <c:pt idx="19011">
                  <c:v>3642395.047455</c:v>
                </c:pt>
                <c:pt idx="19012">
                  <c:v>3643609.5798400007</c:v>
                </c:pt>
                <c:pt idx="19013">
                  <c:v>3644824.3821849995</c:v>
                </c:pt>
                <c:pt idx="19014">
                  <c:v>3646039.45452</c:v>
                </c:pt>
                <c:pt idx="19015">
                  <c:v>3647254.796875001</c:v>
                </c:pt>
                <c:pt idx="19016">
                  <c:v>3648470.4092799993</c:v>
                </c:pt>
                <c:pt idx="19017">
                  <c:v>3649686.2917649997</c:v>
                </c:pt>
                <c:pt idx="19018">
                  <c:v>3650902.444360001</c:v>
                </c:pt>
                <c:pt idx="19019">
                  <c:v>3652118.867094999</c:v>
                </c:pt>
                <c:pt idx="19020">
                  <c:v>3653335.5600000005</c:v>
                </c:pt>
                <c:pt idx="19021">
                  <c:v>3654552.5231049987</c:v>
                </c:pt>
                <c:pt idx="19022">
                  <c:v>3655769.75644</c:v>
                </c:pt>
                <c:pt idx="19023">
                  <c:v>3656987.2600350007</c:v>
                </c:pt>
                <c:pt idx="19024">
                  <c:v>3658205.0339200003</c:v>
                </c:pt>
                <c:pt idx="19025">
                  <c:v>3659423.078125</c:v>
                </c:pt>
                <c:pt idx="19026">
                  <c:v>3660641.3926800005</c:v>
                </c:pt>
                <c:pt idx="19027">
                  <c:v>3661859.9776149997</c:v>
                </c:pt>
                <c:pt idx="19028">
                  <c:v>3663078.8329600003</c:v>
                </c:pt>
                <c:pt idx="19029">
                  <c:v>3664297.958745001</c:v>
                </c:pt>
                <c:pt idx="19030">
                  <c:v>3665517.3549999995</c:v>
                </c:pt>
                <c:pt idx="19031">
                  <c:v>3666737.0217550006</c:v>
                </c:pt>
                <c:pt idx="19032">
                  <c:v>3667956.959039999</c:v>
                </c:pt>
                <c:pt idx="19033">
                  <c:v>3669177.166885</c:v>
                </c:pt>
                <c:pt idx="19034">
                  <c:v>3670397.64532</c:v>
                </c:pt>
                <c:pt idx="19035">
                  <c:v>3671618.394374999</c:v>
                </c:pt>
                <c:pt idx="19036">
                  <c:v>3672839.41408</c:v>
                </c:pt>
                <c:pt idx="19037">
                  <c:v>3674060.7044650004</c:v>
                </c:pt>
                <c:pt idx="19038">
                  <c:v>3675282.2655599997</c:v>
                </c:pt>
                <c:pt idx="19039">
                  <c:v>3676504.097395</c:v>
                </c:pt>
                <c:pt idx="19040">
                  <c:v>3677726.2000000007</c:v>
                </c:pt>
                <c:pt idx="19041">
                  <c:v>3678948.5734049994</c:v>
                </c:pt>
                <c:pt idx="19042">
                  <c:v>3680171.21764</c:v>
                </c:pt>
                <c:pt idx="19043">
                  <c:v>3681394.132735001</c:v>
                </c:pt>
                <c:pt idx="19044">
                  <c:v>3682617.3187199994</c:v>
                </c:pt>
                <c:pt idx="19045">
                  <c:v>3683840.7756250007</c:v>
                </c:pt>
                <c:pt idx="19046">
                  <c:v>3685064.503479999</c:v>
                </c:pt>
                <c:pt idx="19047">
                  <c:v>3686288.502315</c:v>
                </c:pt>
                <c:pt idx="19048">
                  <c:v>3687512.77216</c:v>
                </c:pt>
                <c:pt idx="19049">
                  <c:v>3688737.3130449993</c:v>
                </c:pt>
                <c:pt idx="19050">
                  <c:v>3689962.125</c:v>
                </c:pt>
                <c:pt idx="19051">
                  <c:v>3691187.2080550008</c:v>
                </c:pt>
                <c:pt idx="19052">
                  <c:v>3692412.56224</c:v>
                </c:pt>
                <c:pt idx="19053">
                  <c:v>3693638.187585</c:v>
                </c:pt>
                <c:pt idx="19054">
                  <c:v>3694864.0841200007</c:v>
                </c:pt>
                <c:pt idx="19055">
                  <c:v>3696090.2518749996</c:v>
                </c:pt>
                <c:pt idx="19056">
                  <c:v>3697316.6908800006</c:v>
                </c:pt>
                <c:pt idx="19057">
                  <c:v>3698543.4011649988</c:v>
                </c:pt>
                <c:pt idx="19058">
                  <c:v>3699770.38276</c:v>
                </c:pt>
                <c:pt idx="19059">
                  <c:v>3700997.6356950006</c:v>
                </c:pt>
                <c:pt idx="19060">
                  <c:v>3702225.1599999988</c:v>
                </c:pt>
                <c:pt idx="19061">
                  <c:v>3703452.955705</c:v>
                </c:pt>
                <c:pt idx="19062">
                  <c:v>3704681.0228400007</c:v>
                </c:pt>
                <c:pt idx="19063">
                  <c:v>3705909.3614349994</c:v>
                </c:pt>
                <c:pt idx="19064">
                  <c:v>3707137.9715199997</c:v>
                </c:pt>
                <c:pt idx="19065">
                  <c:v>3708366.853125001</c:v>
                </c:pt>
                <c:pt idx="19066">
                  <c:v>3709596.0062799994</c:v>
                </c:pt>
                <c:pt idx="19067">
                  <c:v>3710825.4310149997</c:v>
                </c:pt>
                <c:pt idx="19068">
                  <c:v>3712055.1273600007</c:v>
                </c:pt>
                <c:pt idx="19069">
                  <c:v>3713285.0953449993</c:v>
                </c:pt>
                <c:pt idx="19070">
                  <c:v>3714515.3350000004</c:v>
                </c:pt>
                <c:pt idx="19071">
                  <c:v>3715745.846354999</c:v>
                </c:pt>
                <c:pt idx="19072">
                  <c:v>3716976.62944</c:v>
                </c:pt>
                <c:pt idx="19073">
                  <c:v>3718207.684285001</c:v>
                </c:pt>
                <c:pt idx="19074">
                  <c:v>3719439.01092</c:v>
                </c:pt>
                <c:pt idx="19075">
                  <c:v>3720670.609375</c:v>
                </c:pt>
                <c:pt idx="19076">
                  <c:v>3721902.4796800003</c:v>
                </c:pt>
                <c:pt idx="19077">
                  <c:v>3723134.6218649996</c:v>
                </c:pt>
                <c:pt idx="19078">
                  <c:v>3724367.03596</c:v>
                </c:pt>
                <c:pt idx="19079">
                  <c:v>3725599.7219950007</c:v>
                </c:pt>
                <c:pt idx="19080">
                  <c:v>3726832.6799999997</c:v>
                </c:pt>
                <c:pt idx="19081">
                  <c:v>3728065.9100050004</c:v>
                </c:pt>
                <c:pt idx="19082">
                  <c:v>3729299.4120399994</c:v>
                </c:pt>
                <c:pt idx="19083">
                  <c:v>3730533.186135</c:v>
                </c:pt>
                <c:pt idx="19084">
                  <c:v>3731767.2323200004</c:v>
                </c:pt>
                <c:pt idx="19085">
                  <c:v>3733001.5506249997</c:v>
                </c:pt>
                <c:pt idx="19086">
                  <c:v>3734236.14108</c:v>
                </c:pt>
                <c:pt idx="19087">
                  <c:v>3735471.003715</c:v>
                </c:pt>
                <c:pt idx="19088">
                  <c:v>3736706.1385599994</c:v>
                </c:pt>
                <c:pt idx="19089">
                  <c:v>3737941.5456450004</c:v>
                </c:pt>
                <c:pt idx="19090">
                  <c:v>3739177.2250000006</c:v>
                </c:pt>
                <c:pt idx="19091">
                  <c:v>3740413.176654999</c:v>
                </c:pt>
                <c:pt idx="19092">
                  <c:v>3741649.40064</c:v>
                </c:pt>
                <c:pt idx="19093">
                  <c:v>3742885.896985001</c:v>
                </c:pt>
                <c:pt idx="19094">
                  <c:v>3744122.6657199995</c:v>
                </c:pt>
                <c:pt idx="19095">
                  <c:v>3745359.706875</c:v>
                </c:pt>
                <c:pt idx="19096">
                  <c:v>3746597.020479999</c:v>
                </c:pt>
                <c:pt idx="19097">
                  <c:v>3747834.606565</c:v>
                </c:pt>
                <c:pt idx="19098">
                  <c:v>3749072.465160001</c:v>
                </c:pt>
                <c:pt idx="19099">
                  <c:v>3750310.5962949996</c:v>
                </c:pt>
                <c:pt idx="19100">
                  <c:v>3751549.0</c:v>
                </c:pt>
                <c:pt idx="19101">
                  <c:v>3752787.6763050007</c:v>
                </c:pt>
                <c:pt idx="19102">
                  <c:v>3754026.6252399995</c:v>
                </c:pt>
                <c:pt idx="19103">
                  <c:v>3755265.8468349995</c:v>
                </c:pt>
                <c:pt idx="19104">
                  <c:v>3756505.3411200005</c:v>
                </c:pt>
                <c:pt idx="19105">
                  <c:v>3757745.1081249993</c:v>
                </c:pt>
                <c:pt idx="19106">
                  <c:v>3758985.1478800005</c:v>
                </c:pt>
                <c:pt idx="19107">
                  <c:v>3760225.460414999</c:v>
                </c:pt>
                <c:pt idx="19108">
                  <c:v>3761466.04576</c:v>
                </c:pt>
                <c:pt idx="19109">
                  <c:v>3762706.903945</c:v>
                </c:pt>
                <c:pt idx="19110">
                  <c:v>3763948.034999999</c:v>
                </c:pt>
                <c:pt idx="19111">
                  <c:v>3765189.438955</c:v>
                </c:pt>
                <c:pt idx="19112">
                  <c:v>3766431.1158400006</c:v>
                </c:pt>
                <c:pt idx="19113">
                  <c:v>3767673.0656849993</c:v>
                </c:pt>
                <c:pt idx="19114">
                  <c:v>3768915.28852</c:v>
                </c:pt>
                <c:pt idx="19115">
                  <c:v>3770157.7843750007</c:v>
                </c:pt>
                <c:pt idx="19116">
                  <c:v>3771400.5532799996</c:v>
                </c:pt>
                <c:pt idx="19117">
                  <c:v>3772643.595265</c:v>
                </c:pt>
                <c:pt idx="19118">
                  <c:v>3773886.910360001</c:v>
                </c:pt>
                <c:pt idx="19119">
                  <c:v>3775130.4985949993</c:v>
                </c:pt>
                <c:pt idx="19120">
                  <c:v>3776374.3600000003</c:v>
                </c:pt>
                <c:pt idx="19121">
                  <c:v>3777618.4946049987</c:v>
                </c:pt>
                <c:pt idx="19122">
                  <c:v>3778862.9024400003</c:v>
                </c:pt>
                <c:pt idx="19123">
                  <c:v>3780107.583535</c:v>
                </c:pt>
                <c:pt idx="19124">
                  <c:v>3781352.537919999</c:v>
                </c:pt>
                <c:pt idx="19125">
                  <c:v>3782597.765625</c:v>
                </c:pt>
                <c:pt idx="19126">
                  <c:v>3783843.26668</c:v>
                </c:pt>
                <c:pt idx="19127">
                  <c:v>3785089.0411149994</c:v>
                </c:pt>
                <c:pt idx="19128">
                  <c:v>3786335.0889600003</c:v>
                </c:pt>
                <c:pt idx="19129">
                  <c:v>3787581.410245001</c:v>
                </c:pt>
                <c:pt idx="19130">
                  <c:v>3788828.005</c:v>
                </c:pt>
                <c:pt idx="19131">
                  <c:v>3790074.873255001</c:v>
                </c:pt>
                <c:pt idx="19132">
                  <c:v>3791322.015039999</c:v>
                </c:pt>
                <c:pt idx="19133">
                  <c:v>3792569.430385</c:v>
                </c:pt>
                <c:pt idx="19134">
                  <c:v>3793817.1193200005</c:v>
                </c:pt>
                <c:pt idx="19135">
                  <c:v>3795065.081874999</c:v>
                </c:pt>
                <c:pt idx="19136">
                  <c:v>3796313.31808</c:v>
                </c:pt>
                <c:pt idx="19137">
                  <c:v>3797561.8279650006</c:v>
                </c:pt>
                <c:pt idx="19138">
                  <c:v>3798810.611559999</c:v>
                </c:pt>
                <c:pt idx="19139">
                  <c:v>3800059.6688949997</c:v>
                </c:pt>
                <c:pt idx="19140">
                  <c:v>3801309.000000001</c:v>
                </c:pt>
                <c:pt idx="19141">
                  <c:v>3802558.6049049995</c:v>
                </c:pt>
                <c:pt idx="19142">
                  <c:v>3803808.48364</c:v>
                </c:pt>
                <c:pt idx="19143">
                  <c:v>3805058.636235001</c:v>
                </c:pt>
                <c:pt idx="19144">
                  <c:v>3806309.0627199993</c:v>
                </c:pt>
                <c:pt idx="19145">
                  <c:v>3807559.7631250005</c:v>
                </c:pt>
                <c:pt idx="19146">
                  <c:v>3808810.737479999</c:v>
                </c:pt>
                <c:pt idx="19147">
                  <c:v>3810061.985815</c:v>
                </c:pt>
                <c:pt idx="19148">
                  <c:v>3811313.50816</c:v>
                </c:pt>
                <c:pt idx="19149">
                  <c:v>3812565.3045449993</c:v>
                </c:pt>
                <c:pt idx="19150">
                  <c:v>3813817.375</c:v>
                </c:pt>
                <c:pt idx="19151">
                  <c:v>3815069.719555001</c:v>
                </c:pt>
                <c:pt idx="19152">
                  <c:v>3816322.3382399995</c:v>
                </c:pt>
                <c:pt idx="19153">
                  <c:v>3817575.2310849996</c:v>
                </c:pt>
                <c:pt idx="19154">
                  <c:v>3818828.3981200014</c:v>
                </c:pt>
                <c:pt idx="19155">
                  <c:v>3820081.8393749995</c:v>
                </c:pt>
                <c:pt idx="19156">
                  <c:v>3821335.5548800007</c:v>
                </c:pt>
                <c:pt idx="19157">
                  <c:v>3822589.5446649985</c:v>
                </c:pt>
                <c:pt idx="19158">
                  <c:v>3823843.8087600004</c:v>
                </c:pt>
                <c:pt idx="19159">
                  <c:v>3825098.3471950004</c:v>
                </c:pt>
                <c:pt idx="19160">
                  <c:v>3826353.159999999</c:v>
                </c:pt>
                <c:pt idx="19161">
                  <c:v>3827608.247205</c:v>
                </c:pt>
                <c:pt idx="19162">
                  <c:v>3828863.6088400004</c:v>
                </c:pt>
                <c:pt idx="19163">
                  <c:v>3830119.2449349994</c:v>
                </c:pt>
                <c:pt idx="19164">
                  <c:v>3831375.15552</c:v>
                </c:pt>
                <c:pt idx="19165">
                  <c:v>3832631.340625001</c:v>
                </c:pt>
                <c:pt idx="19166">
                  <c:v>3833887.8002799996</c:v>
                </c:pt>
                <c:pt idx="19167">
                  <c:v>3835144.5345150004</c:v>
                </c:pt>
                <c:pt idx="19168">
                  <c:v>3836401.5433600005</c:v>
                </c:pt>
                <c:pt idx="19169">
                  <c:v>3837658.826845</c:v>
                </c:pt>
                <c:pt idx="19170">
                  <c:v>3838916.3850000007</c:v>
                </c:pt>
                <c:pt idx="19171">
                  <c:v>3840174.217854999</c:v>
                </c:pt>
                <c:pt idx="19172">
                  <c:v>3841432.32544</c:v>
                </c:pt>
                <c:pt idx="19173">
                  <c:v>3842690.707785</c:v>
                </c:pt>
                <c:pt idx="19174">
                  <c:v>3843949.3649199996</c:v>
                </c:pt>
                <c:pt idx="19175">
                  <c:v>3845208.296875</c:v>
                </c:pt>
                <c:pt idx="19176">
                  <c:v>3846467.5036800005</c:v>
                </c:pt>
                <c:pt idx="19177">
                  <c:v>3847726.9853649996</c:v>
                </c:pt>
                <c:pt idx="19178">
                  <c:v>3848986.74196</c:v>
                </c:pt>
                <c:pt idx="19179">
                  <c:v>3850246.7734950013</c:v>
                </c:pt>
                <c:pt idx="19180">
                  <c:v>3851507.08</c:v>
                </c:pt>
                <c:pt idx="19181">
                  <c:v>3852767.6615050007</c:v>
                </c:pt>
                <c:pt idx="19182">
                  <c:v>3854028.518039999</c:v>
                </c:pt>
                <c:pt idx="19183">
                  <c:v>3855289.649635</c:v>
                </c:pt>
                <c:pt idx="19184">
                  <c:v>3856551.0563200004</c:v>
                </c:pt>
                <c:pt idx="19185">
                  <c:v>3857812.7381249988</c:v>
                </c:pt>
                <c:pt idx="19186">
                  <c:v>3859074.69508</c:v>
                </c:pt>
                <c:pt idx="19187">
                  <c:v>3860336.927215</c:v>
                </c:pt>
                <c:pt idx="19188">
                  <c:v>3861599.43456</c:v>
                </c:pt>
                <c:pt idx="19189">
                  <c:v>3862862.217145</c:v>
                </c:pt>
                <c:pt idx="19190">
                  <c:v>3864125.275000001</c:v>
                </c:pt>
                <c:pt idx="19191">
                  <c:v>3865388.6081549996</c:v>
                </c:pt>
                <c:pt idx="19192">
                  <c:v>3866652.2166399998</c:v>
                </c:pt>
                <c:pt idx="19193">
                  <c:v>3867916.100485001</c:v>
                </c:pt>
                <c:pt idx="19194">
                  <c:v>3869180.2597199995</c:v>
                </c:pt>
                <c:pt idx="19195">
                  <c:v>3870444.6943750004</c:v>
                </c:pt>
                <c:pt idx="19196">
                  <c:v>3871709.404479999</c:v>
                </c:pt>
                <c:pt idx="19197">
                  <c:v>3872974.390065</c:v>
                </c:pt>
                <c:pt idx="19198">
                  <c:v>3874239.6511600004</c:v>
                </c:pt>
                <c:pt idx="19199">
                  <c:v>3875505.1877949997</c:v>
                </c:pt>
                <c:pt idx="19200">
                  <c:v>3876771.0</c:v>
                </c:pt>
                <c:pt idx="19201">
                  <c:v>3878037.087805</c:v>
                </c:pt>
                <c:pt idx="19202">
                  <c:v>3879303.45124</c:v>
                </c:pt>
                <c:pt idx="19203">
                  <c:v>3880570.0903350003</c:v>
                </c:pt>
                <c:pt idx="19204">
                  <c:v>3881837.0051200013</c:v>
                </c:pt>
                <c:pt idx="19205">
                  <c:v>3883104.1956249997</c:v>
                </c:pt>
                <c:pt idx="19206">
                  <c:v>3884371.6618800005</c:v>
                </c:pt>
                <c:pt idx="19207">
                  <c:v>3885639.403914999</c:v>
                </c:pt>
                <c:pt idx="19208">
                  <c:v>3886907.4217600003</c:v>
                </c:pt>
                <c:pt idx="19209">
                  <c:v>3888175.7154450007</c:v>
                </c:pt>
                <c:pt idx="19210">
                  <c:v>3889444.2849999997</c:v>
                </c:pt>
                <c:pt idx="19211">
                  <c:v>3890713.130455</c:v>
                </c:pt>
                <c:pt idx="19212">
                  <c:v>3891982.25184</c:v>
                </c:pt>
                <c:pt idx="19213">
                  <c:v>3893251.6491849995</c:v>
                </c:pt>
                <c:pt idx="19214">
                  <c:v>3894521.32252</c:v>
                </c:pt>
                <c:pt idx="19215">
                  <c:v>3895791.2718750006</c:v>
                </c:pt>
                <c:pt idx="19216">
                  <c:v>3897061.49728</c:v>
                </c:pt>
                <c:pt idx="19217">
                  <c:v>3898331.998765</c:v>
                </c:pt>
                <c:pt idx="19218">
                  <c:v>3899602.776360001</c:v>
                </c:pt>
                <c:pt idx="19219">
                  <c:v>3900873.830094999</c:v>
                </c:pt>
                <c:pt idx="19220">
                  <c:v>3902145.16</c:v>
                </c:pt>
                <c:pt idx="19221">
                  <c:v>3903416.766104999</c:v>
                </c:pt>
                <c:pt idx="19222">
                  <c:v>3904688.64844</c:v>
                </c:pt>
                <c:pt idx="19223">
                  <c:v>3905960.8070350005</c:v>
                </c:pt>
                <c:pt idx="19224">
                  <c:v>3907233.2419199995</c:v>
                </c:pt>
                <c:pt idx="19225">
                  <c:v>3908505.953125</c:v>
                </c:pt>
                <c:pt idx="19226">
                  <c:v>3909778.9406800005</c:v>
                </c:pt>
                <c:pt idx="19227">
                  <c:v>3911052.2046149997</c:v>
                </c:pt>
                <c:pt idx="19228">
                  <c:v>3912325.74496</c:v>
                </c:pt>
                <c:pt idx="19229">
                  <c:v>3913599.561745001</c:v>
                </c:pt>
                <c:pt idx="19230">
                  <c:v>3914873.655</c:v>
                </c:pt>
                <c:pt idx="19231">
                  <c:v>3916148.024755</c:v>
                </c:pt>
                <c:pt idx="19232">
                  <c:v>3917422.671039999</c:v>
                </c:pt>
                <c:pt idx="19233">
                  <c:v>3918697.593885</c:v>
                </c:pt>
                <c:pt idx="19234">
                  <c:v>3919972.79332</c:v>
                </c:pt>
                <c:pt idx="19235">
                  <c:v>3921248.269374999</c:v>
                </c:pt>
                <c:pt idx="19236">
                  <c:v>3922524.0220799996</c:v>
                </c:pt>
                <c:pt idx="19237">
                  <c:v>3923800.0514650005</c:v>
                </c:pt>
                <c:pt idx="19238">
                  <c:v>3925076.35756</c:v>
                </c:pt>
                <c:pt idx="19239">
                  <c:v>3926352.9403949995</c:v>
                </c:pt>
                <c:pt idx="19240">
                  <c:v>3927629.8000000007</c:v>
                </c:pt>
                <c:pt idx="19241">
                  <c:v>3928906.9364049993</c:v>
                </c:pt>
                <c:pt idx="19242">
                  <c:v>3930184.3496399997</c:v>
                </c:pt>
                <c:pt idx="19243">
                  <c:v>3931462.0397350006</c:v>
                </c:pt>
                <c:pt idx="19244">
                  <c:v>3932740.0067199995</c:v>
                </c:pt>
                <c:pt idx="19245">
                  <c:v>3934018.250625001</c:v>
                </c:pt>
                <c:pt idx="19246">
                  <c:v>3935296.771479999</c:v>
                </c:pt>
                <c:pt idx="19247">
                  <c:v>3936575.569315</c:v>
                </c:pt>
                <c:pt idx="19248">
                  <c:v>3937854.64416</c:v>
                </c:pt>
                <c:pt idx="19249">
                  <c:v>3939133.996045</c:v>
                </c:pt>
                <c:pt idx="19250">
                  <c:v>3940413.625</c:v>
                </c:pt>
                <c:pt idx="19251">
                  <c:v>3941693.5310550006</c:v>
                </c:pt>
                <c:pt idx="19252">
                  <c:v>3942973.714239999</c:v>
                </c:pt>
                <c:pt idx="19253">
                  <c:v>3944254.174585</c:v>
                </c:pt>
                <c:pt idx="19254">
                  <c:v>3945534.912120001</c:v>
                </c:pt>
                <c:pt idx="19255">
                  <c:v>3946815.9268749994</c:v>
                </c:pt>
                <c:pt idx="19256">
                  <c:v>3948097.2188800005</c:v>
                </c:pt>
                <c:pt idx="19257">
                  <c:v>3949378.7881649993</c:v>
                </c:pt>
                <c:pt idx="19258">
                  <c:v>3950660.6347600003</c:v>
                </c:pt>
                <c:pt idx="19259">
                  <c:v>3951942.7586950003</c:v>
                </c:pt>
                <c:pt idx="19260">
                  <c:v>3953225.1599999988</c:v>
                </c:pt>
                <c:pt idx="19261">
                  <c:v>3954507.838705</c:v>
                </c:pt>
                <c:pt idx="19262">
                  <c:v>3955790.794840001</c:v>
                </c:pt>
                <c:pt idx="19263">
                  <c:v>3957074.0284349998</c:v>
                </c:pt>
                <c:pt idx="19264">
                  <c:v>3958357.5395200006</c:v>
                </c:pt>
                <c:pt idx="19265">
                  <c:v>3959641.328125001</c:v>
                </c:pt>
                <c:pt idx="19266">
                  <c:v>3960925.3942799997</c:v>
                </c:pt>
                <c:pt idx="19267">
                  <c:v>3962209.738015</c:v>
                </c:pt>
                <c:pt idx="19268">
                  <c:v>3963494.359360001</c:v>
                </c:pt>
                <c:pt idx="19269">
                  <c:v>3964779.2583449995</c:v>
                </c:pt>
                <c:pt idx="19270">
                  <c:v>3966064.4350000005</c:v>
                </c:pt>
                <c:pt idx="19271">
                  <c:v>3967349.889354999</c:v>
                </c:pt>
                <c:pt idx="19272">
                  <c:v>3968635.62144</c:v>
                </c:pt>
                <c:pt idx="19273">
                  <c:v>3969921.6312850006</c:v>
                </c:pt>
                <c:pt idx="19274">
                  <c:v>3971207.918919999</c:v>
                </c:pt>
                <c:pt idx="19275">
                  <c:v>3972494.484375</c:v>
                </c:pt>
                <c:pt idx="19276">
                  <c:v>3973781.3276800006</c:v>
                </c:pt>
                <c:pt idx="19277">
                  <c:v>3975068.448864999</c:v>
                </c:pt>
                <c:pt idx="19278">
                  <c:v>3976355.84796</c:v>
                </c:pt>
                <c:pt idx="19279">
                  <c:v>3977643.524995001</c:v>
                </c:pt>
                <c:pt idx="19280">
                  <c:v>3978931.4799999995</c:v>
                </c:pt>
                <c:pt idx="19281">
                  <c:v>3980219.7130050007</c:v>
                </c:pt>
                <c:pt idx="19282">
                  <c:v>3981508.224039999</c:v>
                </c:pt>
                <c:pt idx="19283">
                  <c:v>3982797.0131350006</c:v>
                </c:pt>
                <c:pt idx="19284">
                  <c:v>3984086.0803200006</c:v>
                </c:pt>
                <c:pt idx="19285">
                  <c:v>3985375.4256249988</c:v>
                </c:pt>
                <c:pt idx="19286">
                  <c:v>3986665.0490800003</c:v>
                </c:pt>
                <c:pt idx="19287">
                  <c:v>3987954.9507150003</c:v>
                </c:pt>
                <c:pt idx="19288">
                  <c:v>3989245.13056</c:v>
                </c:pt>
                <c:pt idx="19289">
                  <c:v>3990535.588645</c:v>
                </c:pt>
                <c:pt idx="19290">
                  <c:v>3991826.325000001</c:v>
                </c:pt>
                <c:pt idx="19291">
                  <c:v>3993117.3396549993</c:v>
                </c:pt>
                <c:pt idx="19292">
                  <c:v>3994408.63264</c:v>
                </c:pt>
                <c:pt idx="19293">
                  <c:v>3995700.203985001</c:v>
                </c:pt>
                <c:pt idx="19294">
                  <c:v>3996992.0537199993</c:v>
                </c:pt>
                <c:pt idx="19295">
                  <c:v>3998284.1818750007</c:v>
                </c:pt>
                <c:pt idx="19296">
                  <c:v>3999576.5884799995</c:v>
                </c:pt>
                <c:pt idx="19297">
                  <c:v>4000869.273565</c:v>
                </c:pt>
                <c:pt idx="19298">
                  <c:v>4002162.23716</c:v>
                </c:pt>
                <c:pt idx="19299">
                  <c:v>4003455.479295</c:v>
                </c:pt>
                <c:pt idx="19300">
                  <c:v>4004749.0</c:v>
                </c:pt>
                <c:pt idx="19301">
                  <c:v>4006042.7993050003</c:v>
                </c:pt>
                <c:pt idx="19302">
                  <c:v>4007336.87724</c:v>
                </c:pt>
                <c:pt idx="19303">
                  <c:v>4008631.233835</c:v>
                </c:pt>
                <c:pt idx="19304">
                  <c:v>4009925.869120001</c:v>
                </c:pt>
                <c:pt idx="19305">
                  <c:v>4011220.783124999</c:v>
                </c:pt>
                <c:pt idx="19306">
                  <c:v>4012515.9758800003</c:v>
                </c:pt>
                <c:pt idx="19307">
                  <c:v>4013811.447414999</c:v>
                </c:pt>
                <c:pt idx="19308">
                  <c:v>4015107.1977600004</c:v>
                </c:pt>
                <c:pt idx="19309">
                  <c:v>4016403.2269450007</c:v>
                </c:pt>
                <c:pt idx="19310">
                  <c:v>4017699.5349999988</c:v>
                </c:pt>
                <c:pt idx="19311">
                  <c:v>4018996.1219550003</c:v>
                </c:pt>
                <c:pt idx="19312">
                  <c:v>4020292.9878400005</c:v>
                </c:pt>
                <c:pt idx="19313">
                  <c:v>4021590.132684999</c:v>
                </c:pt>
                <c:pt idx="19314">
                  <c:v>4022887.55652</c:v>
                </c:pt>
                <c:pt idx="19315">
                  <c:v>4024185.2593750004</c:v>
                </c:pt>
                <c:pt idx="19316">
                  <c:v>4025483.2412799993</c:v>
                </c:pt>
                <c:pt idx="19317">
                  <c:v>4026781.5022650003</c:v>
                </c:pt>
                <c:pt idx="19318">
                  <c:v>4028080.0423600012</c:v>
                </c:pt>
                <c:pt idx="19319">
                  <c:v>4029378.8615949997</c:v>
                </c:pt>
                <c:pt idx="19320">
                  <c:v>4030677.9600000004</c:v>
                </c:pt>
                <c:pt idx="19321">
                  <c:v>4031977.3376049986</c:v>
                </c:pt>
                <c:pt idx="19322">
                  <c:v>4033276.99444</c:v>
                </c:pt>
                <c:pt idx="19323">
                  <c:v>4034576.9305350003</c:v>
                </c:pt>
                <c:pt idx="19324">
                  <c:v>4035877.1459199996</c:v>
                </c:pt>
                <c:pt idx="19325">
                  <c:v>4037177.640625</c:v>
                </c:pt>
                <c:pt idx="19326">
                  <c:v>4038478.4146800004</c:v>
                </c:pt>
                <c:pt idx="19327">
                  <c:v>4039779.468114999</c:v>
                </c:pt>
                <c:pt idx="19328">
                  <c:v>4041080.80096</c:v>
                </c:pt>
                <c:pt idx="19329">
                  <c:v>4042382.413245001</c:v>
                </c:pt>
                <c:pt idx="19330">
                  <c:v>4043684.3049999997</c:v>
                </c:pt>
                <c:pt idx="19331">
                  <c:v>4044986.4762550006</c:v>
                </c:pt>
                <c:pt idx="19332">
                  <c:v>4046288.927039999</c:v>
                </c:pt>
                <c:pt idx="19333">
                  <c:v>4047591.657385</c:v>
                </c:pt>
                <c:pt idx="19334">
                  <c:v>4048894.6673200005</c:v>
                </c:pt>
                <c:pt idx="19335">
                  <c:v>4050197.956874999</c:v>
                </c:pt>
                <c:pt idx="19336">
                  <c:v>4051501.5260799997</c:v>
                </c:pt>
                <c:pt idx="19337">
                  <c:v>4052805.3749650004</c:v>
                </c:pt>
                <c:pt idx="19338">
                  <c:v>4054109.5035599996</c:v>
                </c:pt>
                <c:pt idx="19339">
                  <c:v>4055413.9118949994</c:v>
                </c:pt>
                <c:pt idx="19340">
                  <c:v>4056718.600000001</c:v>
                </c:pt>
                <c:pt idx="19341">
                  <c:v>4058023.5679049995</c:v>
                </c:pt>
                <c:pt idx="19342">
                  <c:v>4059328.81564</c:v>
                </c:pt>
                <c:pt idx="19343">
                  <c:v>4060634.3432350005</c:v>
                </c:pt>
                <c:pt idx="19344">
                  <c:v>4061940.1507199993</c:v>
                </c:pt>
                <c:pt idx="19345">
                  <c:v>4063246.2381250006</c:v>
                </c:pt>
                <c:pt idx="19346">
                  <c:v>4064552.6054799985</c:v>
                </c:pt>
                <c:pt idx="19347">
                  <c:v>4065859.252815</c:v>
                </c:pt>
                <c:pt idx="19348">
                  <c:v>4067166.1801600005</c:v>
                </c:pt>
                <c:pt idx="19349">
                  <c:v>4068473.387545</c:v>
                </c:pt>
                <c:pt idx="19350">
                  <c:v>4069780.875</c:v>
                </c:pt>
                <c:pt idx="19351">
                  <c:v>4071088.6425550007</c:v>
                </c:pt>
                <c:pt idx="19352">
                  <c:v>4072396.69024</c:v>
                </c:pt>
                <c:pt idx="19353">
                  <c:v>4073705.0180849996</c:v>
                </c:pt>
                <c:pt idx="19354">
                  <c:v>4075013.626120001</c:v>
                </c:pt>
                <c:pt idx="19355">
                  <c:v>4076322.514375</c:v>
                </c:pt>
                <c:pt idx="19356">
                  <c:v>4077631.682880001</c:v>
                </c:pt>
                <c:pt idx="19357">
                  <c:v>4078941.1316649998</c:v>
                </c:pt>
                <c:pt idx="19358">
                  <c:v>4080250.86076</c:v>
                </c:pt>
                <c:pt idx="19359">
                  <c:v>4081560.8701950004</c:v>
                </c:pt>
                <c:pt idx="19360">
                  <c:v>4082871.1599999988</c:v>
                </c:pt>
                <c:pt idx="19361">
                  <c:v>4084181.730205</c:v>
                </c:pt>
                <c:pt idx="19362">
                  <c:v>4085492.5808400004</c:v>
                </c:pt>
                <c:pt idx="19363">
                  <c:v>4086803.7119349996</c:v>
                </c:pt>
                <c:pt idx="19364">
                  <c:v>4088115.1235200004</c:v>
                </c:pt>
                <c:pt idx="19365">
                  <c:v>4089426.815625001</c:v>
                </c:pt>
                <c:pt idx="19366">
                  <c:v>4090738.7882799995</c:v>
                </c:pt>
                <c:pt idx="19367">
                  <c:v>4092051.0415149997</c:v>
                </c:pt>
                <c:pt idx="19368">
                  <c:v>4093363.575360001</c:v>
                </c:pt>
                <c:pt idx="19369">
                  <c:v>4094676.3898449996</c:v>
                </c:pt>
                <c:pt idx="19370">
                  <c:v>4095989.485000001</c:v>
                </c:pt>
                <c:pt idx="19371">
                  <c:v>4097302.8608549987</c:v>
                </c:pt>
                <c:pt idx="19372">
                  <c:v>4098616.5174399996</c:v>
                </c:pt>
                <c:pt idx="19373">
                  <c:v>4099930.4547850005</c:v>
                </c:pt>
                <c:pt idx="19374">
                  <c:v>4101244.6729199993</c:v>
                </c:pt>
                <c:pt idx="19375">
                  <c:v>4102559.171875</c:v>
                </c:pt>
                <c:pt idx="19376">
                  <c:v>4103873.95168</c:v>
                </c:pt>
                <c:pt idx="19377">
                  <c:v>4105189.0123649994</c:v>
                </c:pt>
                <c:pt idx="19378">
                  <c:v>4106504.3539599995</c:v>
                </c:pt>
                <c:pt idx="19379">
                  <c:v>4107819.976495001</c:v>
                </c:pt>
                <c:pt idx="19380">
                  <c:v>4109135.8799999994</c:v>
                </c:pt>
                <c:pt idx="19381">
                  <c:v>4110452.0645050006</c:v>
                </c:pt>
                <c:pt idx="19382">
                  <c:v>4111768.530039999</c:v>
                </c:pt>
                <c:pt idx="19383">
                  <c:v>4113085.276635</c:v>
                </c:pt>
                <c:pt idx="19384">
                  <c:v>4114402.30432</c:v>
                </c:pt>
                <c:pt idx="19385">
                  <c:v>4115719.6131249988</c:v>
                </c:pt>
                <c:pt idx="19386">
                  <c:v>4117037.20308</c:v>
                </c:pt>
                <c:pt idx="19387">
                  <c:v>4118355.0742150005</c:v>
                </c:pt>
                <c:pt idx="19388">
                  <c:v>4119673.22656</c:v>
                </c:pt>
                <c:pt idx="19389">
                  <c:v>4120991.660145</c:v>
                </c:pt>
                <c:pt idx="19390">
                  <c:v>4122310.3750000014</c:v>
                </c:pt>
                <c:pt idx="19391">
                  <c:v>4123629.3711549994</c:v>
                </c:pt>
                <c:pt idx="19392">
                  <c:v>4124948.6486400003</c:v>
                </c:pt>
                <c:pt idx="19393">
                  <c:v>4126268.2074850015</c:v>
                </c:pt>
                <c:pt idx="19394">
                  <c:v>4127588.0477199997</c:v>
                </c:pt>
                <c:pt idx="19395">
                  <c:v>4128908.169375</c:v>
                </c:pt>
                <c:pt idx="19396">
                  <c:v>4130228.5724799987</c:v>
                </c:pt>
                <c:pt idx="19397">
                  <c:v>4131549.257065</c:v>
                </c:pt>
                <c:pt idx="19398">
                  <c:v>4132870.2231600005</c:v>
                </c:pt>
                <c:pt idx="19399">
                  <c:v>4134191.4707949995</c:v>
                </c:pt>
                <c:pt idx="19400">
                  <c:v>4135513.0</c:v>
                </c:pt>
                <c:pt idx="19401">
                  <c:v>4136834.8108050004</c:v>
                </c:pt>
                <c:pt idx="19402">
                  <c:v>4138156.9032399994</c:v>
                </c:pt>
                <c:pt idx="19403">
                  <c:v>4139479.277335</c:v>
                </c:pt>
                <c:pt idx="19404">
                  <c:v>4140801.933120001</c:v>
                </c:pt>
                <c:pt idx="19405">
                  <c:v>4142124.870624999</c:v>
                </c:pt>
                <c:pt idx="19406">
                  <c:v>4143448.0898800003</c:v>
                </c:pt>
                <c:pt idx="19407">
                  <c:v>4144771.590914999</c:v>
                </c:pt>
                <c:pt idx="19408">
                  <c:v>4146095.37376</c:v>
                </c:pt>
                <c:pt idx="19409">
                  <c:v>4147419.4384450004</c:v>
                </c:pt>
                <c:pt idx="19410">
                  <c:v>4148743.7849999988</c:v>
                </c:pt>
                <c:pt idx="19411">
                  <c:v>4150068.413455</c:v>
                </c:pt>
                <c:pt idx="19412">
                  <c:v>4151393.3238400007</c:v>
                </c:pt>
                <c:pt idx="19413">
                  <c:v>4152718.516184999</c:v>
                </c:pt>
                <c:pt idx="19414">
                  <c:v>4154043.99052</c:v>
                </c:pt>
                <c:pt idx="19415">
                  <c:v>4155369.746875001</c:v>
                </c:pt>
                <c:pt idx="19416">
                  <c:v>4156695.78528</c:v>
                </c:pt>
                <c:pt idx="19417">
                  <c:v>4158022.105765</c:v>
                </c:pt>
                <c:pt idx="19418">
                  <c:v>4159348.708360001</c:v>
                </c:pt>
                <c:pt idx="19419">
                  <c:v>4160675.5930949994</c:v>
                </c:pt>
                <c:pt idx="19420">
                  <c:v>4162002.7600000007</c:v>
                </c:pt>
                <c:pt idx="19421">
                  <c:v>4163330.209104999</c:v>
                </c:pt>
                <c:pt idx="19422">
                  <c:v>4164657.9404399996</c:v>
                </c:pt>
                <c:pt idx="19423">
                  <c:v>4165985.9540350004</c:v>
                </c:pt>
                <c:pt idx="19424">
                  <c:v>4167314.2499199994</c:v>
                </c:pt>
                <c:pt idx="19425">
                  <c:v>4168642.828125</c:v>
                </c:pt>
                <c:pt idx="19426">
                  <c:v>4169971.68868</c:v>
                </c:pt>
                <c:pt idx="19427">
                  <c:v>4171300.8316149996</c:v>
                </c:pt>
                <c:pt idx="19428">
                  <c:v>4172630.2569600004</c:v>
                </c:pt>
                <c:pt idx="19429">
                  <c:v>4173959.9647450005</c:v>
                </c:pt>
                <c:pt idx="19430">
                  <c:v>4175289.9549999996</c:v>
                </c:pt>
                <c:pt idx="19431">
                  <c:v>4176620.2277550003</c:v>
                </c:pt>
                <c:pt idx="19432">
                  <c:v>4177950.783039999</c:v>
                </c:pt>
                <c:pt idx="19433">
                  <c:v>4179281.6208849996</c:v>
                </c:pt>
                <c:pt idx="19434">
                  <c:v>4180612.7413200005</c:v>
                </c:pt>
                <c:pt idx="19435">
                  <c:v>4181944.1443749988</c:v>
                </c:pt>
                <c:pt idx="19436">
                  <c:v>4183275.83008</c:v>
                </c:pt>
                <c:pt idx="19437">
                  <c:v>4184607.7984650005</c:v>
                </c:pt>
                <c:pt idx="19438">
                  <c:v>4185940.049559999</c:v>
                </c:pt>
                <c:pt idx="19439">
                  <c:v>4187272.5833950005</c:v>
                </c:pt>
                <c:pt idx="19440">
                  <c:v>4188605.400000001</c:v>
                </c:pt>
                <c:pt idx="19441">
                  <c:v>4189938.499405</c:v>
                </c:pt>
                <c:pt idx="19442">
                  <c:v>4191271.8816400007</c:v>
                </c:pt>
                <c:pt idx="19443">
                  <c:v>4192605.546735001</c:v>
                </c:pt>
                <c:pt idx="19444">
                  <c:v>4193939.4947199994</c:v>
                </c:pt>
                <c:pt idx="19445">
                  <c:v>4195273.725625</c:v>
                </c:pt>
                <c:pt idx="19446">
                  <c:v>4196608.239479999</c:v>
                </c:pt>
                <c:pt idx="19447">
                  <c:v>4197943.036315001</c:v>
                </c:pt>
                <c:pt idx="19448">
                  <c:v>4199278.116160001</c:v>
                </c:pt>
                <c:pt idx="19449">
                  <c:v>4200613.479044999</c:v>
                </c:pt>
                <c:pt idx="19450">
                  <c:v>4201949.125</c:v>
                </c:pt>
                <c:pt idx="19451">
                  <c:v>4203285.054055001</c:v>
                </c:pt>
                <c:pt idx="19452">
                  <c:v>4204621.266239999</c:v>
                </c:pt>
                <c:pt idx="19453">
                  <c:v>4205957.761585</c:v>
                </c:pt>
                <c:pt idx="19454">
                  <c:v>4207294.540120001</c:v>
                </c:pt>
                <c:pt idx="19455">
                  <c:v>4208631.601875</c:v>
                </c:pt>
                <c:pt idx="19456">
                  <c:v>4209968.946880001</c:v>
                </c:pt>
                <c:pt idx="19457">
                  <c:v>4211306.575164999</c:v>
                </c:pt>
                <c:pt idx="19458">
                  <c:v>4212644.486760001</c:v>
                </c:pt>
                <c:pt idx="19459">
                  <c:v>4213982.681695</c:v>
                </c:pt>
                <c:pt idx="19460">
                  <c:v>4215321.159999999</c:v>
                </c:pt>
                <c:pt idx="19461">
                  <c:v>4216659.921705</c:v>
                </c:pt>
                <c:pt idx="19462">
                  <c:v>4217998.966840001</c:v>
                </c:pt>
                <c:pt idx="19463">
                  <c:v>4219338.295434999</c:v>
                </c:pt>
                <c:pt idx="19464">
                  <c:v>4220677.90752</c:v>
                </c:pt>
                <c:pt idx="19465">
                  <c:v>4222017.803125001</c:v>
                </c:pt>
                <c:pt idx="19466">
                  <c:v>4223357.98228</c:v>
                </c:pt>
                <c:pt idx="19467">
                  <c:v>4224698.445015</c:v>
                </c:pt>
                <c:pt idx="19468">
                  <c:v>4226039.191360001</c:v>
                </c:pt>
                <c:pt idx="19469">
                  <c:v>4227380.221345</c:v>
                </c:pt>
                <c:pt idx="19470">
                  <c:v>4228721.535</c:v>
                </c:pt>
                <c:pt idx="19471">
                  <c:v>4230063.132354999</c:v>
                </c:pt>
                <c:pt idx="19472">
                  <c:v>4231405.01344</c:v>
                </c:pt>
                <c:pt idx="19473">
                  <c:v>4232747.178285001</c:v>
                </c:pt>
                <c:pt idx="19474">
                  <c:v>4234089.62692</c:v>
                </c:pt>
                <c:pt idx="19475">
                  <c:v>4235432.359375</c:v>
                </c:pt>
                <c:pt idx="19476">
                  <c:v>4236775.375680001</c:v>
                </c:pt>
                <c:pt idx="19477">
                  <c:v>4238118.675864999</c:v>
                </c:pt>
                <c:pt idx="19478">
                  <c:v>4239462.25996</c:v>
                </c:pt>
                <c:pt idx="19479">
                  <c:v>4240806.127995001</c:v>
                </c:pt>
                <c:pt idx="19480">
                  <c:v>4242150.279999999</c:v>
                </c:pt>
                <c:pt idx="19481">
                  <c:v>4243494.716005</c:v>
                </c:pt>
                <c:pt idx="19482">
                  <c:v>4244839.436039998</c:v>
                </c:pt>
                <c:pt idx="19483">
                  <c:v>4246184.440135</c:v>
                </c:pt>
                <c:pt idx="19484">
                  <c:v>4247529.728320001</c:v>
                </c:pt>
                <c:pt idx="19485">
                  <c:v>4248875.300624999</c:v>
                </c:pt>
                <c:pt idx="19486">
                  <c:v>4250221.157079999</c:v>
                </c:pt>
                <c:pt idx="19487">
                  <c:v>4251567.297715001</c:v>
                </c:pt>
                <c:pt idx="19488">
                  <c:v>4252913.72256</c:v>
                </c:pt>
                <c:pt idx="19489">
                  <c:v>4254260.431645</c:v>
                </c:pt>
                <c:pt idx="19490">
                  <c:v>4255607.425000002</c:v>
                </c:pt>
                <c:pt idx="19491">
                  <c:v>4256954.702655</c:v>
                </c:pt>
                <c:pt idx="19492">
                  <c:v>4258302.26464</c:v>
                </c:pt>
                <c:pt idx="19493">
                  <c:v>4259650.110985002</c:v>
                </c:pt>
                <c:pt idx="19494">
                  <c:v>4260998.24172</c:v>
                </c:pt>
                <c:pt idx="19495">
                  <c:v>4262346.656875</c:v>
                </c:pt>
                <c:pt idx="19496">
                  <c:v>4263695.35648</c:v>
                </c:pt>
                <c:pt idx="19497">
                  <c:v>4265044.340565</c:v>
                </c:pt>
                <c:pt idx="19498">
                  <c:v>4266393.609160001</c:v>
                </c:pt>
                <c:pt idx="19499">
                  <c:v>4267743.162295</c:v>
                </c:pt>
                <c:pt idx="19500">
                  <c:v>4269093.0</c:v>
                </c:pt>
                <c:pt idx="19501">
                  <c:v>4270443.122305</c:v>
                </c:pt>
                <c:pt idx="19502">
                  <c:v>4271793.529239999</c:v>
                </c:pt>
                <c:pt idx="19503">
                  <c:v>4273144.220834999</c:v>
                </c:pt>
                <c:pt idx="19504">
                  <c:v>4274495.197120001</c:v>
                </c:pt>
                <c:pt idx="19505">
                  <c:v>4275846.458125</c:v>
                </c:pt>
                <c:pt idx="19506">
                  <c:v>4277198.003880001</c:v>
                </c:pt>
                <c:pt idx="19507">
                  <c:v>4278549.834414999</c:v>
                </c:pt>
                <c:pt idx="19508">
                  <c:v>4279901.94976</c:v>
                </c:pt>
                <c:pt idx="19509">
                  <c:v>4281254.349945</c:v>
                </c:pt>
                <c:pt idx="19510">
                  <c:v>4282607.034999999</c:v>
                </c:pt>
                <c:pt idx="19511">
                  <c:v>4283960.004955</c:v>
                </c:pt>
                <c:pt idx="19512">
                  <c:v>4285313.259840001</c:v>
                </c:pt>
                <c:pt idx="19513">
                  <c:v>4286666.7996849995</c:v>
                </c:pt>
                <c:pt idx="19514">
                  <c:v>4288020.62452</c:v>
                </c:pt>
                <c:pt idx="19515">
                  <c:v>4289374.734375001</c:v>
                </c:pt>
                <c:pt idx="19516">
                  <c:v>4290729.12928</c:v>
                </c:pt>
                <c:pt idx="19517">
                  <c:v>4292083.809265</c:v>
                </c:pt>
                <c:pt idx="19518">
                  <c:v>4293438.774360001</c:v>
                </c:pt>
                <c:pt idx="19519">
                  <c:v>4294794.024595001</c:v>
                </c:pt>
                <c:pt idx="19520">
                  <c:v>4296149.56</c:v>
                </c:pt>
                <c:pt idx="19521">
                  <c:v>4297505.380604999</c:v>
                </c:pt>
                <c:pt idx="19522">
                  <c:v>4298861.48644</c:v>
                </c:pt>
                <c:pt idx="19523">
                  <c:v>4300217.877535</c:v>
                </c:pt>
                <c:pt idx="19524">
                  <c:v>4301574.553919999</c:v>
                </c:pt>
                <c:pt idx="19525">
                  <c:v>4302931.515625</c:v>
                </c:pt>
                <c:pt idx="19526">
                  <c:v>4304288.762680001</c:v>
                </c:pt>
                <c:pt idx="19527">
                  <c:v>4305646.295114999</c:v>
                </c:pt>
                <c:pt idx="19528">
                  <c:v>4307004.11296</c:v>
                </c:pt>
                <c:pt idx="19529">
                  <c:v>4308362.216245001</c:v>
                </c:pt>
                <c:pt idx="19530">
                  <c:v>4309720.605</c:v>
                </c:pt>
                <c:pt idx="19531">
                  <c:v>4311079.279255</c:v>
                </c:pt>
                <c:pt idx="19532">
                  <c:v>4312438.239039999</c:v>
                </c:pt>
                <c:pt idx="19533">
                  <c:v>4313797.484385</c:v>
                </c:pt>
                <c:pt idx="19534">
                  <c:v>4315157.015319999</c:v>
                </c:pt>
                <c:pt idx="19535">
                  <c:v>4316516.831874999</c:v>
                </c:pt>
                <c:pt idx="19536">
                  <c:v>4317876.93408</c:v>
                </c:pt>
                <c:pt idx="19537">
                  <c:v>4319237.321965001</c:v>
                </c:pt>
                <c:pt idx="19538">
                  <c:v>4320597.99556</c:v>
                </c:pt>
                <c:pt idx="19539">
                  <c:v>4321958.954895</c:v>
                </c:pt>
                <c:pt idx="19540">
                  <c:v>4323320.2</c:v>
                </c:pt>
                <c:pt idx="19541">
                  <c:v>4324681.730905</c:v>
                </c:pt>
                <c:pt idx="19542">
                  <c:v>4326043.5476400005</c:v>
                </c:pt>
                <c:pt idx="19543">
                  <c:v>4327405.650235001</c:v>
                </c:pt>
                <c:pt idx="19544">
                  <c:v>4328768.03872</c:v>
                </c:pt>
                <c:pt idx="19545">
                  <c:v>4330130.713125</c:v>
                </c:pt>
                <c:pt idx="19546">
                  <c:v>4331493.673479999</c:v>
                </c:pt>
                <c:pt idx="19547">
                  <c:v>4332856.919815</c:v>
                </c:pt>
                <c:pt idx="19548">
                  <c:v>4334220.452160001</c:v>
                </c:pt>
                <c:pt idx="19549">
                  <c:v>4335584.270544998</c:v>
                </c:pt>
                <c:pt idx="19550">
                  <c:v>4336948.375</c:v>
                </c:pt>
                <c:pt idx="19551">
                  <c:v>4338312.765555001</c:v>
                </c:pt>
                <c:pt idx="19552">
                  <c:v>4339677.442239999</c:v>
                </c:pt>
                <c:pt idx="19553">
                  <c:v>4341042.405085</c:v>
                </c:pt>
                <c:pt idx="19554">
                  <c:v>4342407.654120001</c:v>
                </c:pt>
                <c:pt idx="19555">
                  <c:v>4343773.189375</c:v>
                </c:pt>
                <c:pt idx="19556">
                  <c:v>4345139.01088</c:v>
                </c:pt>
                <c:pt idx="19557">
                  <c:v>4346505.118664999</c:v>
                </c:pt>
                <c:pt idx="19558">
                  <c:v>4347871.512759999</c:v>
                </c:pt>
                <c:pt idx="19559">
                  <c:v>4349238.193194999</c:v>
                </c:pt>
                <c:pt idx="19560">
                  <c:v>4350605.159999999</c:v>
                </c:pt>
                <c:pt idx="19561">
                  <c:v>4351972.413205</c:v>
                </c:pt>
                <c:pt idx="19562">
                  <c:v>4353339.95284</c:v>
                </c:pt>
                <c:pt idx="19563">
                  <c:v>4354707.778934999</c:v>
                </c:pt>
                <c:pt idx="19564">
                  <c:v>4356075.89152</c:v>
                </c:pt>
                <c:pt idx="19565">
                  <c:v>4357444.290625001</c:v>
                </c:pt>
                <c:pt idx="19566">
                  <c:v>4358812.97628</c:v>
                </c:pt>
                <c:pt idx="19567">
                  <c:v>4360181.948515</c:v>
                </c:pt>
                <c:pt idx="19568">
                  <c:v>4361551.207360001</c:v>
                </c:pt>
                <c:pt idx="19569">
                  <c:v>4362920.752845</c:v>
                </c:pt>
                <c:pt idx="19570">
                  <c:v>4364290.585</c:v>
                </c:pt>
                <c:pt idx="19571">
                  <c:v>4365660.7038549995</c:v>
                </c:pt>
                <c:pt idx="19572">
                  <c:v>4367031.10944</c:v>
                </c:pt>
                <c:pt idx="19573">
                  <c:v>4368401.801785001</c:v>
                </c:pt>
                <c:pt idx="19574">
                  <c:v>4369772.78092</c:v>
                </c:pt>
                <c:pt idx="19575">
                  <c:v>4371144.046875</c:v>
                </c:pt>
                <c:pt idx="19576">
                  <c:v>4372515.599680001</c:v>
                </c:pt>
                <c:pt idx="19577">
                  <c:v>4373887.4393649995</c:v>
                </c:pt>
                <c:pt idx="19578">
                  <c:v>4375259.56596</c:v>
                </c:pt>
                <c:pt idx="19579">
                  <c:v>4376631.979495001</c:v>
                </c:pt>
                <c:pt idx="19580">
                  <c:v>4378004.68</c:v>
                </c:pt>
                <c:pt idx="19581">
                  <c:v>4379377.667505</c:v>
                </c:pt>
                <c:pt idx="19582">
                  <c:v>4380750.942039999</c:v>
                </c:pt>
                <c:pt idx="19583">
                  <c:v>4382124.5036349995</c:v>
                </c:pt>
                <c:pt idx="19584">
                  <c:v>4383498.35232</c:v>
                </c:pt>
                <c:pt idx="19585">
                  <c:v>4384872.488124998</c:v>
                </c:pt>
                <c:pt idx="19586">
                  <c:v>4386246.91108</c:v>
                </c:pt>
                <c:pt idx="19587">
                  <c:v>4387621.621215001</c:v>
                </c:pt>
                <c:pt idx="19588">
                  <c:v>4388996.618559998</c:v>
                </c:pt>
                <c:pt idx="19589">
                  <c:v>4390371.903145</c:v>
                </c:pt>
                <c:pt idx="19590">
                  <c:v>4391747.475000001</c:v>
                </c:pt>
                <c:pt idx="19591">
                  <c:v>4393123.334155001</c:v>
                </c:pt>
                <c:pt idx="19592">
                  <c:v>4394499.480640001</c:v>
                </c:pt>
                <c:pt idx="19593">
                  <c:v>4395875.914485001</c:v>
                </c:pt>
                <c:pt idx="19594">
                  <c:v>4397252.635720001</c:v>
                </c:pt>
                <c:pt idx="19595">
                  <c:v>4398629.644375</c:v>
                </c:pt>
                <c:pt idx="19596">
                  <c:v>4400006.940479999</c:v>
                </c:pt>
                <c:pt idx="19597">
                  <c:v>4401384.524065</c:v>
                </c:pt>
                <c:pt idx="19598">
                  <c:v>4402762.395160001</c:v>
                </c:pt>
                <c:pt idx="19599">
                  <c:v>4404140.553795</c:v>
                </c:pt>
                <c:pt idx="19600">
                  <c:v>4405519.0</c:v>
                </c:pt>
                <c:pt idx="19601">
                  <c:v>4406897.733805001</c:v>
                </c:pt>
                <c:pt idx="19602">
                  <c:v>4408276.755239999</c:v>
                </c:pt>
                <c:pt idx="19603">
                  <c:v>4409656.064335</c:v>
                </c:pt>
                <c:pt idx="19604">
                  <c:v>4411035.661120001</c:v>
                </c:pt>
                <c:pt idx="19605">
                  <c:v>4412415.545624999</c:v>
                </c:pt>
                <c:pt idx="19606">
                  <c:v>4413795.717879999</c:v>
                </c:pt>
                <c:pt idx="19607">
                  <c:v>4415176.1779149985</c:v>
                </c:pt>
                <c:pt idx="19608">
                  <c:v>4416556.925759999</c:v>
                </c:pt>
                <c:pt idx="19609">
                  <c:v>4417937.961445</c:v>
                </c:pt>
                <c:pt idx="19610">
                  <c:v>4419319.284999999</c:v>
                </c:pt>
                <c:pt idx="19611">
                  <c:v>4420700.896455</c:v>
                </c:pt>
                <c:pt idx="19612">
                  <c:v>4422082.795840002</c:v>
                </c:pt>
                <c:pt idx="19613">
                  <c:v>4423464.983184999</c:v>
                </c:pt>
                <c:pt idx="19614">
                  <c:v>4424847.45852</c:v>
                </c:pt>
                <c:pt idx="19615">
                  <c:v>4426230.221875002</c:v>
                </c:pt>
                <c:pt idx="19616">
                  <c:v>4427613.27328</c:v>
                </c:pt>
                <c:pt idx="19617">
                  <c:v>4428996.612765</c:v>
                </c:pt>
                <c:pt idx="19618">
                  <c:v>4430380.240360001</c:v>
                </c:pt>
                <c:pt idx="19619">
                  <c:v>4431764.156095</c:v>
                </c:pt>
                <c:pt idx="19620">
                  <c:v>4433148.36</c:v>
                </c:pt>
                <c:pt idx="19621">
                  <c:v>4434532.852104999</c:v>
                </c:pt>
                <c:pt idx="19622">
                  <c:v>4435917.632440001</c:v>
                </c:pt>
                <c:pt idx="19623">
                  <c:v>4437302.701035</c:v>
                </c:pt>
                <c:pt idx="19624">
                  <c:v>4438688.057919999</c:v>
                </c:pt>
                <c:pt idx="19625">
                  <c:v>4440073.703125</c:v>
                </c:pt>
                <c:pt idx="19626">
                  <c:v>4441459.63668</c:v>
                </c:pt>
                <c:pt idx="19627">
                  <c:v>4442845.858614999</c:v>
                </c:pt>
                <c:pt idx="19628">
                  <c:v>4444232.368960001</c:v>
                </c:pt>
                <c:pt idx="19629">
                  <c:v>4445619.167745002</c:v>
                </c:pt>
                <c:pt idx="19630">
                  <c:v>4447006.255</c:v>
                </c:pt>
                <c:pt idx="19631">
                  <c:v>4448393.630755</c:v>
                </c:pt>
                <c:pt idx="19632">
                  <c:v>4449781.295039998</c:v>
                </c:pt>
                <c:pt idx="19633">
                  <c:v>4451169.247884999</c:v>
                </c:pt>
                <c:pt idx="19634">
                  <c:v>4452557.48932</c:v>
                </c:pt>
                <c:pt idx="19635">
                  <c:v>4453946.019374999</c:v>
                </c:pt>
                <c:pt idx="19636">
                  <c:v>4455334.838079999</c:v>
                </c:pt>
                <c:pt idx="19637">
                  <c:v>4456723.945465001</c:v>
                </c:pt>
                <c:pt idx="19638">
                  <c:v>4458113.341559999</c:v>
                </c:pt>
                <c:pt idx="19639">
                  <c:v>4459503.026395</c:v>
                </c:pt>
                <c:pt idx="19640">
                  <c:v>4460893.000000001</c:v>
                </c:pt>
                <c:pt idx="19641">
                  <c:v>4462283.262405</c:v>
                </c:pt>
                <c:pt idx="19642">
                  <c:v>4463673.81364</c:v>
                </c:pt>
                <c:pt idx="19643">
                  <c:v>4465064.653735002</c:v>
                </c:pt>
                <c:pt idx="19644">
                  <c:v>4466455.7827200005</c:v>
                </c:pt>
                <c:pt idx="19645">
                  <c:v>4467847.200625</c:v>
                </c:pt>
                <c:pt idx="19646">
                  <c:v>4469238.907479999</c:v>
                </c:pt>
                <c:pt idx="19647">
                  <c:v>4470630.903315</c:v>
                </c:pt>
                <c:pt idx="19648">
                  <c:v>4472023.188160001</c:v>
                </c:pt>
                <c:pt idx="19649">
                  <c:v>4473415.762044999</c:v>
                </c:pt>
                <c:pt idx="19650">
                  <c:v>4474808.625</c:v>
                </c:pt>
                <c:pt idx="19651">
                  <c:v>4476201.777055001</c:v>
                </c:pt>
                <c:pt idx="19652">
                  <c:v>4477595.218239998</c:v>
                </c:pt>
                <c:pt idx="19653">
                  <c:v>4478988.948585</c:v>
                </c:pt>
                <c:pt idx="19654">
                  <c:v>4480382.968120001</c:v>
                </c:pt>
                <c:pt idx="19655">
                  <c:v>4481777.276875</c:v>
                </c:pt>
                <c:pt idx="19656">
                  <c:v>4483171.87488</c:v>
                </c:pt>
                <c:pt idx="19657">
                  <c:v>4484566.762164999</c:v>
                </c:pt>
                <c:pt idx="19658">
                  <c:v>4485961.93876</c:v>
                </c:pt>
                <c:pt idx="19659">
                  <c:v>4487357.4046950005</c:v>
                </c:pt>
                <c:pt idx="19660">
                  <c:v>4488753.159999999</c:v>
                </c:pt>
                <c:pt idx="19661">
                  <c:v>4490149.204705</c:v>
                </c:pt>
                <c:pt idx="19662">
                  <c:v>4491545.538840001</c:v>
                </c:pt>
                <c:pt idx="19663">
                  <c:v>4492942.162434999</c:v>
                </c:pt>
                <c:pt idx="19664">
                  <c:v>4494339.07552</c:v>
                </c:pt>
                <c:pt idx="19665">
                  <c:v>4495736.278125001</c:v>
                </c:pt>
                <c:pt idx="19666">
                  <c:v>4497133.77028</c:v>
                </c:pt>
                <c:pt idx="19667">
                  <c:v>4498531.552015</c:v>
                </c:pt>
                <c:pt idx="19668">
                  <c:v>4499929.623360001</c:v>
                </c:pt>
                <c:pt idx="19669">
                  <c:v>4501327.984345</c:v>
                </c:pt>
                <c:pt idx="19670">
                  <c:v>4502726.635</c:v>
                </c:pt>
                <c:pt idx="19671">
                  <c:v>4504125.575355</c:v>
                </c:pt>
                <c:pt idx="19672">
                  <c:v>4505524.80544</c:v>
                </c:pt>
                <c:pt idx="19673">
                  <c:v>4506924.325285001</c:v>
                </c:pt>
                <c:pt idx="19674">
                  <c:v>4508324.13492</c:v>
                </c:pt>
                <c:pt idx="19675">
                  <c:v>4509724.234375</c:v>
                </c:pt>
                <c:pt idx="19676">
                  <c:v>4511124.623680001</c:v>
                </c:pt>
                <c:pt idx="19677">
                  <c:v>4512525.302864999</c:v>
                </c:pt>
                <c:pt idx="19678">
                  <c:v>4513926.27196</c:v>
                </c:pt>
                <c:pt idx="19679">
                  <c:v>4515327.530995001</c:v>
                </c:pt>
                <c:pt idx="19680">
                  <c:v>4516729.08</c:v>
                </c:pt>
                <c:pt idx="19681">
                  <c:v>4518130.919005001</c:v>
                </c:pt>
                <c:pt idx="19682">
                  <c:v>4519533.048039999</c:v>
                </c:pt>
                <c:pt idx="19683">
                  <c:v>4520935.467135</c:v>
                </c:pt>
                <c:pt idx="19684">
                  <c:v>4522338.176320001</c:v>
                </c:pt>
                <c:pt idx="19685">
                  <c:v>4523741.175624999</c:v>
                </c:pt>
                <c:pt idx="19686">
                  <c:v>4525144.46508</c:v>
                </c:pt>
                <c:pt idx="19687">
                  <c:v>4526548.044715001</c:v>
                </c:pt>
                <c:pt idx="19688">
                  <c:v>4527951.9145599995</c:v>
                </c:pt>
                <c:pt idx="19689">
                  <c:v>4529356.074645</c:v>
                </c:pt>
                <c:pt idx="19690">
                  <c:v>4530760.525000001</c:v>
                </c:pt>
                <c:pt idx="19691">
                  <c:v>4532165.265655001</c:v>
                </c:pt>
                <c:pt idx="19692">
                  <c:v>4533570.29664</c:v>
                </c:pt>
                <c:pt idx="19693">
                  <c:v>4534975.617985001</c:v>
                </c:pt>
                <c:pt idx="19694">
                  <c:v>4536381.22972</c:v>
                </c:pt>
                <c:pt idx="19695">
                  <c:v>4537787.131874999</c:v>
                </c:pt>
                <c:pt idx="19696">
                  <c:v>4539193.324479999</c:v>
                </c:pt>
                <c:pt idx="19697">
                  <c:v>4540599.807565</c:v>
                </c:pt>
                <c:pt idx="19698">
                  <c:v>4542006.581160001</c:v>
                </c:pt>
                <c:pt idx="19699">
                  <c:v>4543413.645295</c:v>
                </c:pt>
                <c:pt idx="19700">
                  <c:v>4544821.0</c:v>
                </c:pt>
                <c:pt idx="19701">
                  <c:v>4546228.645305002</c:v>
                </c:pt>
                <c:pt idx="19702">
                  <c:v>4547636.581239999</c:v>
                </c:pt>
                <c:pt idx="19703">
                  <c:v>4549044.807835</c:v>
                </c:pt>
                <c:pt idx="19704">
                  <c:v>4550453.325120001</c:v>
                </c:pt>
                <c:pt idx="19705">
                  <c:v>4551862.133125</c:v>
                </c:pt>
                <c:pt idx="19706">
                  <c:v>4553271.23188</c:v>
                </c:pt>
                <c:pt idx="19707">
                  <c:v>4554680.6214149995</c:v>
                </c:pt>
                <c:pt idx="19708">
                  <c:v>4556090.30176</c:v>
                </c:pt>
                <c:pt idx="19709">
                  <c:v>4557500.272945</c:v>
                </c:pt>
                <c:pt idx="19710">
                  <c:v>4558910.534999998</c:v>
                </c:pt>
                <c:pt idx="19711">
                  <c:v>4560321.087955001</c:v>
                </c:pt>
                <c:pt idx="19712">
                  <c:v>4561731.931840001</c:v>
                </c:pt>
                <c:pt idx="19713">
                  <c:v>4563143.0666849995</c:v>
                </c:pt>
                <c:pt idx="19714">
                  <c:v>4564554.49252</c:v>
                </c:pt>
                <c:pt idx="19715">
                  <c:v>4565966.209375001</c:v>
                </c:pt>
                <c:pt idx="19716">
                  <c:v>4567378.21728</c:v>
                </c:pt>
                <c:pt idx="19717">
                  <c:v>4568790.516265001</c:v>
                </c:pt>
                <c:pt idx="19718">
                  <c:v>4570203.1063600015</c:v>
                </c:pt>
                <c:pt idx="19719">
                  <c:v>4571615.987595</c:v>
                </c:pt>
                <c:pt idx="19720">
                  <c:v>4573029.16</c:v>
                </c:pt>
                <c:pt idx="19721">
                  <c:v>4574442.623604999</c:v>
                </c:pt>
                <c:pt idx="19722">
                  <c:v>4575856.37844</c:v>
                </c:pt>
                <c:pt idx="19723">
                  <c:v>4577270.424535001</c:v>
                </c:pt>
                <c:pt idx="19724">
                  <c:v>4578684.7619199995</c:v>
                </c:pt>
                <c:pt idx="19725">
                  <c:v>4580099.390625</c:v>
                </c:pt>
                <c:pt idx="19726">
                  <c:v>4581514.31068</c:v>
                </c:pt>
                <c:pt idx="19727">
                  <c:v>4582929.522115</c:v>
                </c:pt>
                <c:pt idx="19728">
                  <c:v>4584345.024960001</c:v>
                </c:pt>
                <c:pt idx="19729">
                  <c:v>4585760.819245001</c:v>
                </c:pt>
                <c:pt idx="19730">
                  <c:v>4587176.905</c:v>
                </c:pt>
                <c:pt idx="19731">
                  <c:v>4588593.282255</c:v>
                </c:pt>
                <c:pt idx="19732">
                  <c:v>4590009.95104</c:v>
                </c:pt>
                <c:pt idx="19733">
                  <c:v>4591426.911385001</c:v>
                </c:pt>
                <c:pt idx="19734">
                  <c:v>4592844.16332</c:v>
                </c:pt>
                <c:pt idx="19735">
                  <c:v>4594261.706874999</c:v>
                </c:pt>
                <c:pt idx="19736">
                  <c:v>4595679.54208</c:v>
                </c:pt>
                <c:pt idx="19737">
                  <c:v>4597097.668965001</c:v>
                </c:pt>
                <c:pt idx="19738">
                  <c:v>4598516.087559999</c:v>
                </c:pt>
                <c:pt idx="19739">
                  <c:v>4599934.797894999</c:v>
                </c:pt>
                <c:pt idx="19740">
                  <c:v>4601353.800000002</c:v>
                </c:pt>
                <c:pt idx="19741">
                  <c:v>4602773.093905</c:v>
                </c:pt>
                <c:pt idx="19742">
                  <c:v>4604192.67964</c:v>
                </c:pt>
                <c:pt idx="19743">
                  <c:v>4605612.557235001</c:v>
                </c:pt>
                <c:pt idx="19744">
                  <c:v>4607032.72672</c:v>
                </c:pt>
                <c:pt idx="19745">
                  <c:v>4608453.188125</c:v>
                </c:pt>
                <c:pt idx="19746">
                  <c:v>4609873.94148</c:v>
                </c:pt>
                <c:pt idx="19747">
                  <c:v>4611294.986815001</c:v>
                </c:pt>
                <c:pt idx="19748">
                  <c:v>4612716.324160001</c:v>
                </c:pt>
                <c:pt idx="19749">
                  <c:v>4614137.953544999</c:v>
                </c:pt>
                <c:pt idx="19750">
                  <c:v>4615559.875</c:v>
                </c:pt>
                <c:pt idx="19751">
                  <c:v>4616982.088555001</c:v>
                </c:pt>
                <c:pt idx="19752">
                  <c:v>4618404.594239999</c:v>
                </c:pt>
                <c:pt idx="19753">
                  <c:v>4619827.392085</c:v>
                </c:pt>
                <c:pt idx="19754">
                  <c:v>4621250.482120001</c:v>
                </c:pt>
                <c:pt idx="19755">
                  <c:v>4622673.864375</c:v>
                </c:pt>
                <c:pt idx="19756">
                  <c:v>4624097.53888</c:v>
                </c:pt>
                <c:pt idx="19757">
                  <c:v>4625521.505664999</c:v>
                </c:pt>
                <c:pt idx="19758">
                  <c:v>4626945.76476</c:v>
                </c:pt>
                <c:pt idx="19759">
                  <c:v>4628370.316195</c:v>
                </c:pt>
                <c:pt idx="19760">
                  <c:v>4629795.159999999</c:v>
                </c:pt>
                <c:pt idx="19761">
                  <c:v>4631220.296205</c:v>
                </c:pt>
                <c:pt idx="19762">
                  <c:v>4632645.724840001</c:v>
                </c:pt>
                <c:pt idx="19763">
                  <c:v>4634071.445935</c:v>
                </c:pt>
                <c:pt idx="19764">
                  <c:v>4635497.45952</c:v>
                </c:pt>
                <c:pt idx="19765">
                  <c:v>4636923.765625001</c:v>
                </c:pt>
                <c:pt idx="19766">
                  <c:v>4638350.364279999</c:v>
                </c:pt>
                <c:pt idx="19767">
                  <c:v>4639777.255515</c:v>
                </c:pt>
                <c:pt idx="19768">
                  <c:v>4641204.439360001</c:v>
                </c:pt>
                <c:pt idx="19769">
                  <c:v>4642631.915845</c:v>
                </c:pt>
                <c:pt idx="19770">
                  <c:v>4644059.6850000005</c:v>
                </c:pt>
                <c:pt idx="19771">
                  <c:v>4645487.746855</c:v>
                </c:pt>
                <c:pt idx="19772">
                  <c:v>4646916.101439999</c:v>
                </c:pt>
                <c:pt idx="19773">
                  <c:v>4648344.748785001</c:v>
                </c:pt>
                <c:pt idx="19774">
                  <c:v>4649773.688919999</c:v>
                </c:pt>
                <c:pt idx="19775">
                  <c:v>4651202.921875</c:v>
                </c:pt>
                <c:pt idx="19776">
                  <c:v>4652632.447680001</c:v>
                </c:pt>
                <c:pt idx="19777">
                  <c:v>4654062.266364999</c:v>
                </c:pt>
                <c:pt idx="19778">
                  <c:v>4655492.377959999</c:v>
                </c:pt>
                <c:pt idx="19779">
                  <c:v>4656922.782495001</c:v>
                </c:pt>
                <c:pt idx="19780">
                  <c:v>4658353.48</c:v>
                </c:pt>
                <c:pt idx="19781">
                  <c:v>4659784.470505</c:v>
                </c:pt>
                <c:pt idx="19782">
                  <c:v>4661215.754039999</c:v>
                </c:pt>
                <c:pt idx="19783">
                  <c:v>4662647.330635</c:v>
                </c:pt>
                <c:pt idx="19784">
                  <c:v>4664079.20032</c:v>
                </c:pt>
                <c:pt idx="19785">
                  <c:v>4665511.363124999</c:v>
                </c:pt>
                <c:pt idx="19786">
                  <c:v>4666943.819080001</c:v>
                </c:pt>
                <c:pt idx="19787">
                  <c:v>4668376.568215</c:v>
                </c:pt>
                <c:pt idx="19788">
                  <c:v>4669809.610559999</c:v>
                </c:pt>
                <c:pt idx="19789">
                  <c:v>4671242.946145</c:v>
                </c:pt>
                <c:pt idx="19790">
                  <c:v>4672676.575000001</c:v>
                </c:pt>
                <c:pt idx="19791">
                  <c:v>4674110.4971549995</c:v>
                </c:pt>
                <c:pt idx="19792">
                  <c:v>4675544.71264</c:v>
                </c:pt>
                <c:pt idx="19793">
                  <c:v>4676979.221485001</c:v>
                </c:pt>
                <c:pt idx="19794">
                  <c:v>4678414.023719999</c:v>
                </c:pt>
                <c:pt idx="19795">
                  <c:v>4679849.119375</c:v>
                </c:pt>
                <c:pt idx="19796">
                  <c:v>4681284.508479998</c:v>
                </c:pt>
                <c:pt idx="19797">
                  <c:v>4682720.191064999</c:v>
                </c:pt>
                <c:pt idx="19798">
                  <c:v>4684156.167160001</c:v>
                </c:pt>
                <c:pt idx="19799">
                  <c:v>4685592.436794999</c:v>
                </c:pt>
                <c:pt idx="19800">
                  <c:v>4687029.0</c:v>
                </c:pt>
                <c:pt idx="19801">
                  <c:v>4688465.856805001</c:v>
                </c:pt>
                <c:pt idx="19802">
                  <c:v>4689903.007239999</c:v>
                </c:pt>
                <c:pt idx="19803">
                  <c:v>4691340.451335</c:v>
                </c:pt>
                <c:pt idx="19804">
                  <c:v>4692778.189120001</c:v>
                </c:pt>
                <c:pt idx="19805">
                  <c:v>4694216.220624999</c:v>
                </c:pt>
                <c:pt idx="19806">
                  <c:v>4695654.54588</c:v>
                </c:pt>
                <c:pt idx="19807">
                  <c:v>4697093.164914999</c:v>
                </c:pt>
                <c:pt idx="19808">
                  <c:v>4698532.07776</c:v>
                </c:pt>
                <c:pt idx="19809">
                  <c:v>4699971.284445001</c:v>
                </c:pt>
                <c:pt idx="19810">
                  <c:v>4701410.784999999</c:v>
                </c:pt>
                <c:pt idx="19811">
                  <c:v>4702850.579455</c:v>
                </c:pt>
                <c:pt idx="19812">
                  <c:v>4704290.667840001</c:v>
                </c:pt>
                <c:pt idx="19813">
                  <c:v>4705731.050184999</c:v>
                </c:pt>
                <c:pt idx="19814">
                  <c:v>4707171.726519999</c:v>
                </c:pt>
                <c:pt idx="19815">
                  <c:v>4708612.696875001</c:v>
                </c:pt>
                <c:pt idx="19816">
                  <c:v>4710053.961279999</c:v>
                </c:pt>
                <c:pt idx="19817">
                  <c:v>4711495.519765</c:v>
                </c:pt>
                <c:pt idx="19818">
                  <c:v>4712937.372360001</c:v>
                </c:pt>
                <c:pt idx="19819">
                  <c:v>4714379.519095</c:v>
                </c:pt>
                <c:pt idx="19820">
                  <c:v>4715821.959999999</c:v>
                </c:pt>
                <c:pt idx="19821">
                  <c:v>4717264.695104999</c:v>
                </c:pt>
                <c:pt idx="19822">
                  <c:v>4718707.72444</c:v>
                </c:pt>
                <c:pt idx="19823">
                  <c:v>4720151.048035001</c:v>
                </c:pt>
                <c:pt idx="19824">
                  <c:v>4721594.665919999</c:v>
                </c:pt>
                <c:pt idx="19825">
                  <c:v>4723038.578125</c:v>
                </c:pt>
                <c:pt idx="19826">
                  <c:v>4724482.7846800005</c:v>
                </c:pt>
                <c:pt idx="19827">
                  <c:v>4725927.285614999</c:v>
                </c:pt>
                <c:pt idx="19828">
                  <c:v>4727372.08096</c:v>
                </c:pt>
                <c:pt idx="19829">
                  <c:v>4728817.170745001</c:v>
                </c:pt>
                <c:pt idx="19830">
                  <c:v>4730262.555</c:v>
                </c:pt>
                <c:pt idx="19831">
                  <c:v>4731708.233755</c:v>
                </c:pt>
                <c:pt idx="19832">
                  <c:v>4733154.207039999</c:v>
                </c:pt>
                <c:pt idx="19833">
                  <c:v>4734600.474885</c:v>
                </c:pt>
                <c:pt idx="19834">
                  <c:v>4736047.03732</c:v>
                </c:pt>
                <c:pt idx="19835">
                  <c:v>4737493.894374998</c:v>
                </c:pt>
                <c:pt idx="19836">
                  <c:v>4738941.04608</c:v>
                </c:pt>
                <c:pt idx="19837">
                  <c:v>4740388.4924650015</c:v>
                </c:pt>
                <c:pt idx="19838">
                  <c:v>4741836.233559999</c:v>
                </c:pt>
                <c:pt idx="19839">
                  <c:v>4743284.269395</c:v>
                </c:pt>
                <c:pt idx="19840">
                  <c:v>4744732.6000000015</c:v>
                </c:pt>
                <c:pt idx="19841">
                  <c:v>4746181.225404999</c:v>
                </c:pt>
                <c:pt idx="19842">
                  <c:v>4747630.14564</c:v>
                </c:pt>
                <c:pt idx="19843">
                  <c:v>4749079.360735001</c:v>
                </c:pt>
                <c:pt idx="19844">
                  <c:v>4750528.87072</c:v>
                </c:pt>
                <c:pt idx="19845">
                  <c:v>4751978.675625</c:v>
                </c:pt>
                <c:pt idx="19846">
                  <c:v>4753428.775479998</c:v>
                </c:pt>
                <c:pt idx="19847">
                  <c:v>4754879.170314999</c:v>
                </c:pt>
                <c:pt idx="19848">
                  <c:v>4756329.860160002</c:v>
                </c:pt>
                <c:pt idx="19849">
                  <c:v>4757780.845044998</c:v>
                </c:pt>
                <c:pt idx="19850">
                  <c:v>4759232.125</c:v>
                </c:pt>
                <c:pt idx="19851">
                  <c:v>4760683.700055</c:v>
                </c:pt>
                <c:pt idx="19852">
                  <c:v>4762135.570239998</c:v>
                </c:pt>
                <c:pt idx="19853">
                  <c:v>4763587.735584999</c:v>
                </c:pt>
                <c:pt idx="19854">
                  <c:v>4765040.19612</c:v>
                </c:pt>
                <c:pt idx="19855">
                  <c:v>4766492.951875</c:v>
                </c:pt>
                <c:pt idx="19856">
                  <c:v>4767946.0028800005</c:v>
                </c:pt>
                <c:pt idx="19857">
                  <c:v>4769399.349164999</c:v>
                </c:pt>
                <c:pt idx="19858">
                  <c:v>4770852.9907599995</c:v>
                </c:pt>
                <c:pt idx="19859">
                  <c:v>4772306.927695</c:v>
                </c:pt>
                <c:pt idx="19860">
                  <c:v>4773761.159999999</c:v>
                </c:pt>
                <c:pt idx="19861">
                  <c:v>4775215.687705001</c:v>
                </c:pt>
                <c:pt idx="19862">
                  <c:v>4776670.5108400015</c:v>
                </c:pt>
                <c:pt idx="19863">
                  <c:v>4778125.629434999</c:v>
                </c:pt>
                <c:pt idx="19864">
                  <c:v>4779581.043520001</c:v>
                </c:pt>
                <c:pt idx="19865">
                  <c:v>4781036.753125002</c:v>
                </c:pt>
                <c:pt idx="19866">
                  <c:v>4782492.75828</c:v>
                </c:pt>
                <c:pt idx="19867">
                  <c:v>4783949.059014999</c:v>
                </c:pt>
                <c:pt idx="19868">
                  <c:v>4785405.655360001</c:v>
                </c:pt>
                <c:pt idx="19869">
                  <c:v>4786862.547345</c:v>
                </c:pt>
                <c:pt idx="19870">
                  <c:v>4788319.735</c:v>
                </c:pt>
                <c:pt idx="19871">
                  <c:v>4789777.218354998</c:v>
                </c:pt>
                <c:pt idx="19872">
                  <c:v>4791234.99744</c:v>
                </c:pt>
                <c:pt idx="19873">
                  <c:v>4792693.072285001</c:v>
                </c:pt>
                <c:pt idx="19874">
                  <c:v>4794151.442919998</c:v>
                </c:pt>
                <c:pt idx="19875">
                  <c:v>4795610.109375</c:v>
                </c:pt>
                <c:pt idx="19876">
                  <c:v>4797069.071680002</c:v>
                </c:pt>
                <c:pt idx="19877">
                  <c:v>4798528.329864999</c:v>
                </c:pt>
                <c:pt idx="19878">
                  <c:v>4799987.883959999</c:v>
                </c:pt>
                <c:pt idx="19879">
                  <c:v>4801447.733995001</c:v>
                </c:pt>
                <c:pt idx="19880">
                  <c:v>4802907.88</c:v>
                </c:pt>
                <c:pt idx="19881">
                  <c:v>4804368.322005</c:v>
                </c:pt>
                <c:pt idx="19882">
                  <c:v>4805829.060039999</c:v>
                </c:pt>
                <c:pt idx="19883">
                  <c:v>4807290.094135</c:v>
                </c:pt>
                <c:pt idx="19884">
                  <c:v>4808751.42432</c:v>
                </c:pt>
                <c:pt idx="19885">
                  <c:v>4810213.050624999</c:v>
                </c:pt>
                <c:pt idx="19886">
                  <c:v>4811674.97308</c:v>
                </c:pt>
                <c:pt idx="19887">
                  <c:v>4813137.191715001</c:v>
                </c:pt>
                <c:pt idx="19888">
                  <c:v>4814599.706559999</c:v>
                </c:pt>
                <c:pt idx="19889">
                  <c:v>4816062.517645</c:v>
                </c:pt>
                <c:pt idx="19890">
                  <c:v>4817525.625000001</c:v>
                </c:pt>
                <c:pt idx="19891">
                  <c:v>4818989.028655</c:v>
                </c:pt>
                <c:pt idx="19892">
                  <c:v>4820452.72864</c:v>
                </c:pt>
                <c:pt idx="19893">
                  <c:v>4821916.724985001</c:v>
                </c:pt>
                <c:pt idx="19894">
                  <c:v>4823381.01772</c:v>
                </c:pt>
                <c:pt idx="19895">
                  <c:v>4824845.6068750005</c:v>
                </c:pt>
                <c:pt idx="19896">
                  <c:v>4826310.492479999</c:v>
                </c:pt>
                <c:pt idx="19897">
                  <c:v>4827775.674565</c:v>
                </c:pt>
                <c:pt idx="19898">
                  <c:v>4829241.153160002</c:v>
                </c:pt>
                <c:pt idx="19899">
                  <c:v>4830706.9282949995</c:v>
                </c:pt>
                <c:pt idx="19900">
                  <c:v>4832173.0</c:v>
                </c:pt>
                <c:pt idx="19901">
                  <c:v>4833639.368305001</c:v>
                </c:pt>
                <c:pt idx="19902">
                  <c:v>4835106.033239999</c:v>
                </c:pt>
                <c:pt idx="19903">
                  <c:v>4836572.9948350005</c:v>
                </c:pt>
                <c:pt idx="19904">
                  <c:v>4838040.253120001</c:v>
                </c:pt>
                <c:pt idx="19905">
                  <c:v>4839507.808125</c:v>
                </c:pt>
                <c:pt idx="19906">
                  <c:v>4840975.65988</c:v>
                </c:pt>
                <c:pt idx="19907">
                  <c:v>4842443.808414999</c:v>
                </c:pt>
                <c:pt idx="19908">
                  <c:v>4843912.25376</c:v>
                </c:pt>
                <c:pt idx="19909">
                  <c:v>4845380.995945</c:v>
                </c:pt>
                <c:pt idx="19910">
                  <c:v>4846850.034999999</c:v>
                </c:pt>
                <c:pt idx="19911">
                  <c:v>4848319.370955</c:v>
                </c:pt>
                <c:pt idx="19912">
                  <c:v>4849789.003840001</c:v>
                </c:pt>
                <c:pt idx="19913">
                  <c:v>4851258.933684999</c:v>
                </c:pt>
                <c:pt idx="19914">
                  <c:v>4852729.16052</c:v>
                </c:pt>
                <c:pt idx="19915">
                  <c:v>4854199.684375</c:v>
                </c:pt>
                <c:pt idx="19916">
                  <c:v>4855670.50528</c:v>
                </c:pt>
                <c:pt idx="19917">
                  <c:v>4857141.623265</c:v>
                </c:pt>
                <c:pt idx="19918">
                  <c:v>4858613.0383600015</c:v>
                </c:pt>
                <c:pt idx="19919">
                  <c:v>4860084.750595001</c:v>
                </c:pt>
                <c:pt idx="19920">
                  <c:v>4861556.76</c:v>
                </c:pt>
                <c:pt idx="19921">
                  <c:v>4863029.066604999</c:v>
                </c:pt>
                <c:pt idx="19922">
                  <c:v>4864501.6704400005</c:v>
                </c:pt>
                <c:pt idx="19923">
                  <c:v>4865974.571535001</c:v>
                </c:pt>
                <c:pt idx="19924">
                  <c:v>4867447.769919999</c:v>
                </c:pt>
                <c:pt idx="19925">
                  <c:v>4868921.265625</c:v>
                </c:pt>
                <c:pt idx="19926">
                  <c:v>4870395.058680001</c:v>
                </c:pt>
                <c:pt idx="19927">
                  <c:v>4871869.149114999</c:v>
                </c:pt>
                <c:pt idx="19928">
                  <c:v>4873343.53696</c:v>
                </c:pt>
                <c:pt idx="19929">
                  <c:v>4874818.222245001</c:v>
                </c:pt>
                <c:pt idx="19930">
                  <c:v>4876293.204999999</c:v>
                </c:pt>
                <c:pt idx="19931">
                  <c:v>4877768.485255</c:v>
                </c:pt>
                <c:pt idx="19932">
                  <c:v>4879244.0630399985</c:v>
                </c:pt>
                <c:pt idx="19933">
                  <c:v>4880719.9383849995</c:v>
                </c:pt>
                <c:pt idx="19934">
                  <c:v>4882196.11132</c:v>
                </c:pt>
                <c:pt idx="19935">
                  <c:v>4883672.581874999</c:v>
                </c:pt>
                <c:pt idx="19936">
                  <c:v>4885149.35008</c:v>
                </c:pt>
                <c:pt idx="19937">
                  <c:v>4886626.415965001</c:v>
                </c:pt>
                <c:pt idx="19938">
                  <c:v>4888103.77956</c:v>
                </c:pt>
                <c:pt idx="19939">
                  <c:v>4889581.4408950005</c:v>
                </c:pt>
                <c:pt idx="19940">
                  <c:v>4891059.400000001</c:v>
                </c:pt>
                <c:pt idx="19941">
                  <c:v>4892537.656905</c:v>
                </c:pt>
                <c:pt idx="19942">
                  <c:v>4894016.21164</c:v>
                </c:pt>
                <c:pt idx="19943">
                  <c:v>4895495.064235001</c:v>
                </c:pt>
                <c:pt idx="19944">
                  <c:v>4896974.21472</c:v>
                </c:pt>
                <c:pt idx="19945">
                  <c:v>4898453.663125</c:v>
                </c:pt>
                <c:pt idx="19946">
                  <c:v>4899933.409479999</c:v>
                </c:pt>
                <c:pt idx="19947">
                  <c:v>4901413.453814999</c:v>
                </c:pt>
                <c:pt idx="19948">
                  <c:v>4902893.796160001</c:v>
                </c:pt>
                <c:pt idx="19949">
                  <c:v>4904374.436544999</c:v>
                </c:pt>
                <c:pt idx="19950">
                  <c:v>4905855.375</c:v>
                </c:pt>
                <c:pt idx="19951">
                  <c:v>4907336.611555001</c:v>
                </c:pt>
                <c:pt idx="19952">
                  <c:v>4908818.14624</c:v>
                </c:pt>
                <c:pt idx="19953">
                  <c:v>4910299.979085</c:v>
                </c:pt>
                <c:pt idx="19954">
                  <c:v>4911782.110120001</c:v>
                </c:pt>
                <c:pt idx="19955">
                  <c:v>4913264.539375</c:v>
                </c:pt>
                <c:pt idx="19956">
                  <c:v>4914747.26688</c:v>
                </c:pt>
                <c:pt idx="19957">
                  <c:v>4916230.292664998</c:v>
                </c:pt>
                <c:pt idx="19958">
                  <c:v>4917713.61676</c:v>
                </c:pt>
                <c:pt idx="19959">
                  <c:v>4919197.239195</c:v>
                </c:pt>
                <c:pt idx="19960">
                  <c:v>4920681.159999999</c:v>
                </c:pt>
                <c:pt idx="19961">
                  <c:v>4922165.379205</c:v>
                </c:pt>
                <c:pt idx="19962">
                  <c:v>4923649.8968400005</c:v>
                </c:pt>
                <c:pt idx="19963">
                  <c:v>4925134.712934999</c:v>
                </c:pt>
                <c:pt idx="19964">
                  <c:v>4926619.82752</c:v>
                </c:pt>
                <c:pt idx="19965">
                  <c:v>4928105.2406250015</c:v>
                </c:pt>
                <c:pt idx="19966">
                  <c:v>4929590.95228</c:v>
                </c:pt>
                <c:pt idx="19967">
                  <c:v>4931076.962515</c:v>
                </c:pt>
                <c:pt idx="19968">
                  <c:v>4932563.271360001</c:v>
                </c:pt>
                <c:pt idx="19969">
                  <c:v>4934049.878845</c:v>
                </c:pt>
                <c:pt idx="19970">
                  <c:v>4935536.785</c:v>
                </c:pt>
                <c:pt idx="19971">
                  <c:v>4937023.989854999</c:v>
                </c:pt>
                <c:pt idx="19972">
                  <c:v>4938511.493439999</c:v>
                </c:pt>
                <c:pt idx="19973">
                  <c:v>4939999.295785001</c:v>
                </c:pt>
                <c:pt idx="19974">
                  <c:v>4941487.396919998</c:v>
                </c:pt>
                <c:pt idx="19975">
                  <c:v>4942975.796875</c:v>
                </c:pt>
                <c:pt idx="19976">
                  <c:v>4944464.495680001</c:v>
                </c:pt>
                <c:pt idx="19977">
                  <c:v>4945953.493364999</c:v>
                </c:pt>
                <c:pt idx="19978">
                  <c:v>4947442.78996</c:v>
                </c:pt>
                <c:pt idx="19979">
                  <c:v>4948932.385495001</c:v>
                </c:pt>
                <c:pt idx="19980">
                  <c:v>4950422.28</c:v>
                </c:pt>
                <c:pt idx="19981">
                  <c:v>4951912.473505</c:v>
                </c:pt>
                <c:pt idx="19982">
                  <c:v>4953402.966039999</c:v>
                </c:pt>
                <c:pt idx="19983">
                  <c:v>4954893.757635</c:v>
                </c:pt>
                <c:pt idx="19984">
                  <c:v>4956384.84832</c:v>
                </c:pt>
                <c:pt idx="19985">
                  <c:v>4957876.238124999</c:v>
                </c:pt>
                <c:pt idx="19986">
                  <c:v>4959367.92708</c:v>
                </c:pt>
                <c:pt idx="19987">
                  <c:v>4960859.9152150005</c:v>
                </c:pt>
                <c:pt idx="19988">
                  <c:v>4962352.202559998</c:v>
                </c:pt>
                <c:pt idx="19989">
                  <c:v>4963844.789145</c:v>
                </c:pt>
                <c:pt idx="19990">
                  <c:v>4965337.675000002</c:v>
                </c:pt>
                <c:pt idx="19991">
                  <c:v>4966830.860154999</c:v>
                </c:pt>
                <c:pt idx="19992">
                  <c:v>4968324.344640001</c:v>
                </c:pt>
                <c:pt idx="19993">
                  <c:v>4969818.128485001</c:v>
                </c:pt>
                <c:pt idx="19994">
                  <c:v>4971312.21172</c:v>
                </c:pt>
                <c:pt idx="19995">
                  <c:v>4972806.594375</c:v>
                </c:pt>
                <c:pt idx="19996">
                  <c:v>4974301.276479999</c:v>
                </c:pt>
                <c:pt idx="19997">
                  <c:v>4975796.258065</c:v>
                </c:pt>
                <c:pt idx="19998">
                  <c:v>4977291.539160002</c:v>
                </c:pt>
                <c:pt idx="19999">
                  <c:v>4978787.119794999</c:v>
                </c:pt>
              </c:numCache>
            </c:numRef>
          </c:val>
          <c:smooth val="true"/>
        </c:ser>
        <c:axId val="0"/>
        <c:axId val="1"/>
      </c:lineChart>
      <c:catAx>
        <c:axId val="0"/>
        <c:scaling>
          <c:orientation val="minMax"/>
        </c:scaling>
        <c:delete val="false"/>
        <c:axPos val="b"/>
        <c:title>
          <c:tx>
            <c:rich>
              <a:bodyPr anchor="t" rtlCol="false"/>
              <a:lstStyle/>
              <a:p>
                <a:pPr algn="l">
                  <a:defRPr/>
                </a:pPr>
                <a:r>
                  <a:rPr lang="pl-PL"/>
                  <a:t>X</a:t>
                </a:r>
                <a:endParaRPr lang="en-US" sz="1100"/>
              </a:p>
            </c:rich>
          </c:tx>
          <c:layout/>
          <c:overlay val="false"/>
        </c:title>
        <c:numFmt sourceLinked="true" formatCode=""/>
        <c:majorTickMark val="cross"/>
        <c:minorTickMark val="none"/>
        <c:tickLblPos val="nextTo"/>
        <c:spPr>
          <a:ln w="9525">
            <a:solidFill>
              <a:srgbClr val="000000"/>
            </a:solidFill>
          </a:ln>
        </c:spPr>
        <c:crossAx val="1"/>
        <c:crosses val="autoZero"/>
        <c:auto val="false"/>
      </c:catAx>
      <c:valAx>
        <c:axId val="1"/>
        <c:scaling>
          <c:orientation val="minMax"/>
        </c:scaling>
        <c:delete val="false"/>
        <c:axPos val="l"/>
        <c:title>
          <c:tx>
            <c:rich>
              <a:bodyPr anchor="t" rtlCol="false"/>
              <a:lstStyle/>
              <a:p>
                <a:pPr algn="l">
                  <a:defRPr/>
                </a:pPr>
                <a:r>
                  <a:rPr lang="pl-PL"/>
                  <a:t>Y</a:t>
                </a:r>
                <a:endParaRPr lang="en-US" sz="1100"/>
              </a:p>
            </c:rich>
          </c:tx>
          <c:layout/>
          <c:overlay val="false"/>
        </c:title>
        <c:majorTickMark val="cross"/>
        <c:minorTickMark val="none"/>
        <c:tickLblPos val="nextTo"/>
        <c:spPr>
          <a:ln w="9525">
            <a:solidFill>
              <a:srgbClr val="000000"/>
            </a:solidFill>
          </a:ln>
        </c:spPr>
        <c:crossAx val="0"/>
        <c:crosses val="autoZero"/>
        <c:crossBetween val="midCat"/>
      </c:valAx>
    </c:plotArea>
    <c:plotVisOnly val="true"/>
  </c:chart>
  <c:spPr>
    <a:solidFill>
      <a:srgbClr val="FFFFFF"/>
    </a:solidFill>
    <a:ln w="9525">
      <a:solidFill>
        <a:srgbClr val="000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 xmlns:c="http://schemas.openxmlformats.org/drawingml/2006/chart" xmlns:r="http://schemas.openxmlformats.org/officeDocument/2006/relationships">
  <xdr:twoCellAnchor editAs="twoCell">
    <xdr:from>
      <xdr:col>5</xdr:col>
      <xdr:colOff>0</xdr:colOff>
      <xdr:row>1</xdr:row>
      <xdr:rowOff>0</xdr:rowOff>
    </xdr:from>
    <xdr:to>
      <xdr:col>12</xdr:col>
      <xdr:colOff>0</xdr:colOff>
      <xdr:row>26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3733800" cy="4762500"/>
      </xdr:xfrm>
      <a:graphic>
        <a:graphicData uri="http://schemas.openxmlformats.org/drawingml/2006/chart">
          <c:chart r:id="rId1"/>
        </a:graphicData>
      </a:graphic>
    </xdr:graphicFrame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0000"/>
  <sheetViews>
    <sheetView workbookViewId="0" tabSelected="true"/>
  </sheetViews>
  <sheetFormatPr defaultRowHeight="15.0"/>
  <sheetData>
    <row r="1">
      <c r="A1" t="n" s="0">
        <v>-100.0</v>
      </c>
      <c r="B1" t="n" s="0">
        <f>(-5-((((-5*(-5/((-5/(((-5*(-100--5))-(-5+((-5*-100)*(((-5--5)+(-100--5))+-100))))-(-5+-5)))*-5)))/-5)--5)+(-5*(((-100*(-100-(-5/-5)))*(-100-(-100/(-5*-100))))-(-5/-5)))))</f>
        <v>-5020317.0</v>
      </c>
      <c r="C1" t="n" s="0">
        <v>-5020317.0</v>
      </c>
    </row>
    <row r="2">
      <c r="A2" t="n" s="0">
        <v>-99.99</v>
      </c>
      <c r="B2" t="n" s="0">
        <f>(-5-((((-5*(-5/((-5/(((-5*(-99.99--5))-(-5+((-5*-99.99)*(((-5--5)+(-99.99--5))+-99.99))))-(-5+-5)))*-5)))/-5)--5)+(-5*(((-99.99*(-99.99-(-5/-5)))*(-99.99-(-99.99/(-5*-99.99))))-(-5/-5)))))</f>
        <v>-5018813.120195</v>
      </c>
      <c r="C2" t="n" s="0">
        <v>-5018813.120194999</v>
      </c>
    </row>
    <row r="3">
      <c r="A3" t="n" s="0">
        <v>-99.98</v>
      </c>
      <c r="B3" t="n" s="0">
        <f>(-5-((((-5*(-5/((-5/(((-5*(-99.98--5))-(-5+((-5*-99.98)*(((-5--5)+(-99.98--5))+-99.98))))-(-5+-5)))*-5)))/-5)--5)+(-5*(((-99.98*(-99.98-(-5/-5)))*(-99.98-(-99.98/(-5*-99.98))))-(-5/-5)))))</f>
        <v>-5017309.54076</v>
      </c>
      <c r="C3" t="n" s="0">
        <v>-5017309.540760001</v>
      </c>
    </row>
    <row r="4">
      <c r="A4" t="n" s="0">
        <v>-99.97</v>
      </c>
      <c r="B4" t="n" s="0">
        <f>(-5-((((-5*(-5/((-5/(((-5*(-99.97--5))-(-5+((-5*-99.97)*(((-5--5)+(-99.97--5))+-99.97))))-(-5+-5)))*-5)))/-5)--5)+(-5*(((-99.97*(-99.97-(-5/-5)))*(-99.97-(-99.97/(-5*-99.97))))-(-5/-5)))))</f>
        <v>-5015806.261665001</v>
      </c>
      <c r="C4" t="n" s="0">
        <v>-5015806.261665</v>
      </c>
    </row>
    <row r="5">
      <c r="A5" t="n" s="0">
        <v>-99.96</v>
      </c>
      <c r="B5" t="n" s="0">
        <f>(-5-((((-5*(-5/((-5/(((-5*(-99.96--5))-(-5+((-5*-99.96)*(((-5--5)+(-99.96--5))+-99.96))))-(-5+-5)))*-5)))/-5)--5)+(-5*(((-99.96*(-99.96-(-5/-5)))*(-99.96-(-99.96/(-5*-99.96))))-(-5/-5)))))</f>
        <v>-5014303.28288</v>
      </c>
      <c r="C5" t="n" s="0">
        <v>-5014303.282879999</v>
      </c>
    </row>
    <row r="6">
      <c r="A6" t="n" s="0">
        <v>-99.95</v>
      </c>
      <c r="B6" t="n" s="0">
        <f>(-5-((((-5*(-5/((-5/(((-5*(-99.95--5))-(-5+((-5*-99.95)*(((-5--5)+(-99.95--5))+-99.95))))-(-5+-5)))*-5)))/-5)--5)+(-5*(((-99.95*(-99.95-(-5/-5)))*(-99.95-(-99.95/(-5*-99.95))))-(-5/-5)))))</f>
        <v>-5012800.604375</v>
      </c>
      <c r="C6" t="n" s="0">
        <v>-5012800.604375</v>
      </c>
    </row>
    <row r="7">
      <c r="A7" t="n" s="0">
        <v>-99.94</v>
      </c>
      <c r="B7" t="n" s="0">
        <f>(-5-((((-5*(-5/((-5/(((-5*(-99.94--5))-(-5+((-5*-99.94)*(((-5--5)+(-99.94--5))+-99.94))))-(-5+-5)))*-5)))/-5)--5)+(-5*(((-99.94*(-99.94-(-5/-5)))*(-99.94-(-99.94/(-5*-99.94))))-(-5/-5)))))</f>
        <v>-5011298.22612</v>
      </c>
      <c r="C7" t="n" s="0">
        <v>-5011298.22612</v>
      </c>
    </row>
    <row r="8">
      <c r="A8" t="n" s="0">
        <v>-99.93</v>
      </c>
      <c r="B8" t="n" s="0">
        <f>(-5-((((-5*(-5/((-5/(((-5*(-99.93--5))-(-5+((-5*-99.93)*(((-5--5)+(-99.93--5))+-99.93))))-(-5+-5)))*-5)))/-5)--5)+(-5*(((-99.93*(-99.93-(-5/-5)))*(-99.93-(-99.93/(-5*-99.93))))-(-5/-5)))))</f>
        <v>-5009796.148085</v>
      </c>
      <c r="C8" t="n" s="0">
        <v>-5009796.148085001</v>
      </c>
    </row>
    <row r="9">
      <c r="A9" t="n" s="0">
        <v>-99.92</v>
      </c>
      <c r="B9" t="n" s="0">
        <f>(-5-((((-5*(-5/((-5/(((-5*(-99.92--5))-(-5+((-5*-99.92)*(((-5--5)+(-99.92--5))+-99.92))))-(-5+-5)))*-5)))/-5)--5)+(-5*(((-99.92*(-99.92-(-5/-5)))*(-99.92-(-99.92/(-5*-99.92))))-(-5/-5)))))</f>
        <v>-5008294.37024</v>
      </c>
      <c r="C9" t="n" s="0">
        <v>-5008294.37024</v>
      </c>
    </row>
    <row r="10">
      <c r="A10" t="n" s="0">
        <v>-99.91</v>
      </c>
      <c r="B10" t="n" s="0">
        <f>(-5-((((-5*(-5/((-5/(((-5*(-99.91--5))-(-5+((-5*-99.91)*(((-5--5)+(-99.91--5))+-99.91))))-(-5+-5)))*-5)))/-5)--5)+(-5*(((-99.91*(-99.91-(-5/-5)))*(-99.91-(-99.91/(-5*-99.91))))-(-5/-5)))))</f>
        <v>-5006792.892555</v>
      </c>
      <c r="C10" t="n" s="0">
        <v>-5006792.892555</v>
      </c>
    </row>
    <row r="11">
      <c r="A11" t="n" s="0">
        <v>-99.9</v>
      </c>
      <c r="B11" t="n" s="0">
        <f>(-5-((((-5*(-5/((-5/(((-5*(-99.9--5))-(-5+((-5*-99.9)*(((-5--5)+(-99.9--5))+-99.9))))-(-5+-5)))*-5)))/-5)--5)+(-5*(((-99.9*(-99.9-(-5/-5)))*(-99.9-(-99.9/(-5*-99.9))))-(-5/-5)))))</f>
        <v>-5005291.715</v>
      </c>
      <c r="C11" t="n" s="0">
        <v>-5005291.715000001</v>
      </c>
    </row>
    <row r="12">
      <c r="A12" t="n" s="0">
        <v>-99.89</v>
      </c>
      <c r="B12" t="n" s="0">
        <f>(-5-((((-5*(-5/((-5/(((-5*(-99.89--5))-(-5+((-5*-99.89)*(((-5--5)+(-99.89--5))+-99.89))))-(-5+-5)))*-5)))/-5)--5)+(-5*(((-99.89*(-99.89-(-5/-5)))*(-99.89-(-99.89/(-5*-99.89))))-(-5/-5)))))</f>
        <v>-5003790.837545</v>
      </c>
      <c r="C12" t="n" s="0">
        <v>-5003790.837545</v>
      </c>
    </row>
    <row r="13">
      <c r="A13" t="n" s="0">
        <v>-99.88</v>
      </c>
      <c r="B13" t="n" s="0">
        <f>(-5-((((-5*(-5/((-5/(((-5*(-99.88--5))-(-5+((-5*-99.88)*(((-5--5)+(-99.88--5))+-99.88))))-(-5+-5)))*-5)))/-5)--5)+(-5*(((-99.88*(-99.88-(-5/-5)))*(-99.88-(-99.88/(-5*-99.88))))-(-5/-5)))))</f>
        <v>-5002290.26016</v>
      </c>
      <c r="C13" t="n" s="0">
        <v>-5002290.260159999</v>
      </c>
    </row>
    <row r="14">
      <c r="A14" t="n" s="0">
        <v>-99.87</v>
      </c>
      <c r="B14" t="n" s="0">
        <f>(-5-((((-5*(-5/((-5/(((-5*(-99.87--5))-(-5+((-5*-99.87)*(((-5--5)+(-99.87--5))+-99.87))))-(-5+-5)))*-5)))/-5)--5)+(-5*(((-99.87*(-99.87-(-5/-5)))*(-99.87-(-99.87/(-5*-99.87))))-(-5/-5)))))</f>
        <v>-5000789.982815</v>
      </c>
      <c r="C14" t="n" s="0">
        <v>-5000789.982815001</v>
      </c>
    </row>
    <row r="15">
      <c r="A15" t="n" s="0">
        <v>-99.86</v>
      </c>
      <c r="B15" t="n" s="0">
        <f>(-5-((((-5*(-5/((-5/(((-5*(-99.86--5))-(-5+((-5*-99.86)*(((-5--5)+(-99.86--5))+-99.86))))-(-5+-5)))*-5)))/-5)--5)+(-5*(((-99.86*(-99.86-(-5/-5)))*(-99.86-(-99.86/(-5*-99.86))))-(-5/-5)))))</f>
        <v>-4999290.00548</v>
      </c>
      <c r="C15" t="n" s="0">
        <v>-4999290.005480001</v>
      </c>
    </row>
    <row r="16">
      <c r="A16" t="n" s="0">
        <v>-99.85</v>
      </c>
      <c r="B16" t="n" s="0">
        <f>(-5-((((-5*(-5/((-5/(((-5*(-99.85--5))-(-5+((-5*-99.85)*(((-5--5)+(-99.85--5))+-99.85))))-(-5+-5)))*-5)))/-5)--5)+(-5*(((-99.85*(-99.85-(-5/-5)))*(-99.85-(-99.85/(-5*-99.85))))-(-5/-5)))))</f>
        <v>-4997790.328125</v>
      </c>
      <c r="C16" t="n" s="0">
        <v>-4997790.328124999</v>
      </c>
    </row>
    <row r="17">
      <c r="A17" t="n" s="0">
        <v>-99.84</v>
      </c>
      <c r="B17" t="n" s="0">
        <f>(-5-((((-5*(-5/((-5/(((-5*(-99.84--5))-(-5+((-5*-99.84)*(((-5--5)+(-99.84--5))+-99.84))))-(-5+-5)))*-5)))/-5)--5)+(-5*(((-99.84*(-99.84-(-5/-5)))*(-99.84-(-99.84/(-5*-99.84))))-(-5/-5)))))</f>
        <v>-4996290.95072</v>
      </c>
      <c r="C17" t="n" s="0">
        <v>-4996290.950719999</v>
      </c>
    </row>
    <row r="18">
      <c r="A18" t="n" s="0">
        <v>-99.83</v>
      </c>
      <c r="B18" t="n" s="0">
        <f>(-5-((((-5*(-5/((-5/(((-5*(-99.83--5))-(-5+((-5*-99.83)*(((-5--5)+(-99.83--5))+-99.83))))-(-5+-5)))*-5)))/-5)--5)+(-5*(((-99.83*(-99.83-(-5/-5)))*(-99.83-(-99.83/(-5*-99.83))))-(-5/-5)))))</f>
        <v>-4994791.873234999</v>
      </c>
      <c r="C18" t="n" s="0">
        <v>-4994791.873234999</v>
      </c>
    </row>
    <row r="19">
      <c r="A19" t="n" s="0">
        <v>-99.82</v>
      </c>
      <c r="B19" t="n" s="0">
        <f>(-5-((((-5*(-5/((-5/(((-5*(-99.82--5))-(-5+((-5*-99.82)*(((-5--5)+(-99.82--5))+-99.82))))-(-5+-5)))*-5)))/-5)--5)+(-5*(((-99.82*(-99.82-(-5/-5)))*(-99.82-(-99.82/(-5*-99.82))))-(-5/-5)))))</f>
        <v>-4993293.095640001</v>
      </c>
      <c r="C19" t="n" s="0">
        <v>-4993293.095639999</v>
      </c>
    </row>
    <row r="20">
      <c r="A20" t="n" s="0">
        <v>-99.81</v>
      </c>
      <c r="B20" t="n" s="0">
        <f>(-5-((((-5*(-5/((-5/(((-5*(-99.81--5))-(-5+((-5*-99.81)*(((-5--5)+(-99.81--5))+-99.81))))-(-5+-5)))*-5)))/-5)--5)+(-5*(((-99.81*(-99.81-(-5/-5)))*(-99.81-(-99.81/(-5*-99.81))))-(-5/-5)))))</f>
        <v>-4991794.617905</v>
      </c>
      <c r="C20" t="n" s="0">
        <v>-4991794.617905</v>
      </c>
    </row>
    <row r="21">
      <c r="A21" t="n" s="0">
        <v>-99.8</v>
      </c>
      <c r="B21" t="n" s="0">
        <f>(-5-((((-5*(-5/((-5/(((-5*(-99.8--5))-(-5+((-5*-99.8)*(((-5--5)+(-99.8--5))+-99.8))))-(-5+-5)))*-5)))/-5)--5)+(-5*(((-99.8*(-99.8-(-5/-5)))*(-99.8-(-99.8/(-5*-99.8))))-(-5/-5)))))</f>
        <v>-4990296.44</v>
      </c>
      <c r="C21" t="n" s="0">
        <v>-4990296.44</v>
      </c>
    </row>
    <row r="22">
      <c r="A22" t="n" s="0">
        <v>-99.79</v>
      </c>
      <c r="B22" t="n" s="0">
        <f>(-5-((((-5*(-5/((-5/(((-5*(-99.79--5))-(-5+((-5*-99.79)*(((-5--5)+(-99.79--5))+-99.79))))-(-5+-5)))*-5)))/-5)--5)+(-5*(((-99.79*(-99.79-(-5/-5)))*(-99.79-(-99.79/(-5*-99.79))))-(-5/-5)))))</f>
        <v>-4988798.561895</v>
      </c>
      <c r="C22" t="n" s="0">
        <v>-4988798.561895002</v>
      </c>
    </row>
    <row r="23">
      <c r="A23" t="n" s="0">
        <v>-99.78</v>
      </c>
      <c r="B23" t="n" s="0">
        <f>(-5-((((-5*(-5/((-5/(((-5*(-99.78--5))-(-5+((-5*-99.78)*(((-5--5)+(-99.78--5))+-99.78))))-(-5+-5)))*-5)))/-5)--5)+(-5*(((-99.78*(-99.78-(-5/-5)))*(-99.78-(-99.78/(-5*-99.78))))-(-5/-5)))))</f>
        <v>-4987300.98356</v>
      </c>
      <c r="C23" t="n" s="0">
        <v>-4987300.983560001</v>
      </c>
    </row>
    <row r="24">
      <c r="A24" t="n" s="0">
        <v>-99.77</v>
      </c>
      <c r="B24" t="n" s="0">
        <f>(-5-((((-5*(-5/((-5/(((-5*(-99.77--5))-(-5+((-5*-99.77)*(((-5--5)+(-99.77--5))+-99.77))))-(-5+-5)))*-5)))/-5)--5)+(-5*(((-99.77*(-99.77-(-5/-5)))*(-99.77-(-99.77/(-5*-99.77))))-(-5/-5)))))</f>
        <v>-4985803.704965</v>
      </c>
      <c r="C24" t="n" s="0">
        <v>-4985803.704964999</v>
      </c>
    </row>
    <row r="25">
      <c r="A25" t="n" s="0">
        <v>-99.76</v>
      </c>
      <c r="B25" t="n" s="0">
        <f>(-5-((((-5*(-5/((-5/(((-5*(-99.76--5))-(-5+((-5*-99.76)*(((-5--5)+(-99.76--5))+-99.76))))-(-5+-5)))*-5)))/-5)--5)+(-5*(((-99.76*(-99.76-(-5/-5)))*(-99.76-(-99.76/(-5*-99.76))))-(-5/-5)))))</f>
        <v>-4984306.72608</v>
      </c>
      <c r="C25" t="n" s="0">
        <v>-4984306.72608</v>
      </c>
    </row>
    <row r="26">
      <c r="A26" t="n" s="0">
        <v>-99.75</v>
      </c>
      <c r="B26" t="n" s="0">
        <f>(-5-((((-5*(-5/((-5/(((-5*(-99.75--5))-(-5+((-5*-99.75)*(((-5--5)+(-99.75--5))+-99.75))))-(-5+-5)))*-5)))/-5)--5)+(-5*(((-99.75*(-99.75-(-5/-5)))*(-99.75-(-99.75/(-5*-99.75))))-(-5/-5)))))</f>
        <v>-4982810.046875</v>
      </c>
      <c r="C26" t="n" s="0">
        <v>-4982810.046875</v>
      </c>
    </row>
    <row r="27">
      <c r="A27" t="n" s="0">
        <v>-99.74</v>
      </c>
      <c r="B27" t="n" s="0">
        <f>(-5-((((-5*(-5/((-5/(((-5*(-99.74--5))-(-5+((-5*-99.74)*(((-5--5)+(-99.74--5))+-99.74))))-(-5+-5)))*-5)))/-5)--5)+(-5*(((-99.74*(-99.74-(-5/-5)))*(-99.74-(-99.74/(-5*-99.74))))-(-5/-5)))))</f>
        <v>-4981313.66732</v>
      </c>
      <c r="C27" t="n" s="0">
        <v>-4981313.667319999</v>
      </c>
    </row>
    <row r="28">
      <c r="A28" t="n" s="0">
        <v>-99.73</v>
      </c>
      <c r="B28" t="n" s="0">
        <f>(-5-((((-5*(-5/((-5/(((-5*(-99.73--5))-(-5+((-5*-99.73)*(((-5--5)+(-99.73--5))+-99.73))))-(-5+-5)))*-5)))/-5)--5)+(-5*(((-99.73*(-99.73-(-5/-5)))*(-99.73-(-99.73/(-5*-99.73))))-(-5/-5)))))</f>
        <v>-4979817.587385</v>
      </c>
      <c r="C28" t="n" s="0">
        <v>-4979817.587385001</v>
      </c>
    </row>
    <row r="29">
      <c r="A29" t="n" s="0">
        <v>-99.72</v>
      </c>
      <c r="B29" t="n" s="0">
        <f>(-5-((((-5*(-5/((-5/(((-5*(-99.72--5))-(-5+((-5*-99.72)*(((-5--5)+(-99.72--5))+-99.72))))-(-5+-5)))*-5)))/-5)--5)+(-5*(((-99.72*(-99.72-(-5/-5)))*(-99.72-(-99.72/(-5*-99.72))))-(-5/-5)))))</f>
        <v>-4978321.80704</v>
      </c>
      <c r="C29" t="n" s="0">
        <v>-4978321.807039999</v>
      </c>
    </row>
    <row r="30">
      <c r="A30" t="n" s="0">
        <v>-99.71</v>
      </c>
      <c r="B30" t="n" s="0">
        <f>(-5-((((-5*(-5/((-5/(((-5*(-99.71--5))-(-5+((-5*-99.71)*(((-5--5)+(-99.71--5))+-99.71))))-(-5+-5)))*-5)))/-5)--5)+(-5*(((-99.71*(-99.71-(-5/-5)))*(-99.71-(-99.71/(-5*-99.71))))-(-5/-5)))))</f>
        <v>-4976826.326254999</v>
      </c>
      <c r="C30" t="n" s="0">
        <v>-4976826.326254999</v>
      </c>
    </row>
    <row r="31">
      <c r="A31" t="n" s="0">
        <v>-99.7</v>
      </c>
      <c r="B31" t="n" s="0">
        <f>(-5-((((-5*(-5/((-5/(((-5*(-99.7--5))-(-5+((-5*-99.7)*(((-5--5)+(-99.7--5))+-99.7))))-(-5+-5)))*-5)))/-5)--5)+(-5*(((-99.7*(-99.7-(-5/-5)))*(-99.7-(-99.7/(-5*-99.7))))-(-5/-5)))))</f>
        <v>-4975331.1450000005</v>
      </c>
      <c r="C31" t="n" s="0">
        <v>-4975331.145</v>
      </c>
    </row>
    <row r="32">
      <c r="A32" t="n" s="0">
        <v>-99.69</v>
      </c>
      <c r="B32" t="n" s="0">
        <f>(-5-((((-5*(-5/((-5/(((-5*(-99.69--5))-(-5+((-5*-99.69)*(((-5--5)+(-99.69--5))+-99.69))))-(-5+-5)))*-5)))/-5)--5)+(-5*(((-99.69*(-99.69-(-5/-5)))*(-99.69-(-99.69/(-5*-99.69))))-(-5/-5)))))</f>
        <v>-4973836.2632450005</v>
      </c>
      <c r="C32" t="n" s="0">
        <v>-4973836.2632450005</v>
      </c>
    </row>
    <row r="33">
      <c r="A33" t="n" s="0">
        <v>-99.68</v>
      </c>
      <c r="B33" t="n" s="0">
        <f>(-5-((((-5*(-5/((-5/(((-5*(-99.68--5))-(-5+((-5*-99.68)*(((-5--5)+(-99.68--5))+-99.68))))-(-5+-5)))*-5)))/-5)--5)+(-5*(((-99.68*(-99.68-(-5/-5)))*(-99.68-(-99.68/(-5*-99.68))))-(-5/-5)))))</f>
        <v>-4972341.6809600005</v>
      </c>
      <c r="C33" t="n" s="0">
        <v>-4972341.680960001</v>
      </c>
    </row>
    <row r="34">
      <c r="A34" t="n" s="0">
        <v>-99.67</v>
      </c>
      <c r="B34" t="n" s="0">
        <f>(-5-((((-5*(-5/((-5/(((-5*(-99.67--5))-(-5+((-5*-99.67)*(((-5--5)+(-99.67--5))+-99.67))))-(-5+-5)))*-5)))/-5)--5)+(-5*(((-99.67*(-99.67-(-5/-5)))*(-99.67-(-99.67/(-5*-99.67))))-(-5/-5)))))</f>
        <v>-4970847.398115</v>
      </c>
      <c r="C34" t="n" s="0">
        <v>-4970847.398115</v>
      </c>
    </row>
    <row r="35">
      <c r="A35" t="n" s="0">
        <v>-99.66</v>
      </c>
      <c r="B35" t="n" s="0">
        <f>(-5-((((-5*(-5/((-5/(((-5*(-99.66--5))-(-5+((-5*-99.66)*(((-5--5)+(-99.66--5))+-99.66))))-(-5+-5)))*-5)))/-5)--5)+(-5*(((-99.66*(-99.66-(-5/-5)))*(-99.66-(-99.66/(-5*-99.66))))-(-5/-5)))))</f>
        <v>-4969353.41468</v>
      </c>
      <c r="C35" t="n" s="0">
        <v>-4969353.41468</v>
      </c>
    </row>
    <row r="36">
      <c r="A36" t="n" s="0">
        <v>-99.65</v>
      </c>
      <c r="B36" t="n" s="0">
        <f>(-5-((((-5*(-5/((-5/(((-5*(-99.65--5))-(-5+((-5*-99.65)*(((-5--5)+(-99.65--5))+-99.65))))-(-5+-5)))*-5)))/-5)--5)+(-5*(((-99.65*(-99.65-(-5/-5)))*(-99.65-(-99.65/(-5*-99.65))))-(-5/-5)))))</f>
        <v>-4967859.730625001</v>
      </c>
      <c r="C36" t="n" s="0">
        <v>-4967859.730625002</v>
      </c>
    </row>
    <row r="37">
      <c r="A37" t="n" s="0">
        <v>-99.64</v>
      </c>
      <c r="B37" t="n" s="0">
        <f>(-5-((((-5*(-5/((-5/(((-5*(-99.64--5))-(-5+((-5*-99.64)*(((-5--5)+(-99.64--5))+-99.64))))-(-5+-5)))*-5)))/-5)--5)+(-5*(((-99.64*(-99.64-(-5/-5)))*(-99.64-(-99.64/(-5*-99.64))))-(-5/-5)))))</f>
        <v>-4966366.34592</v>
      </c>
      <c r="C37" t="n" s="0">
        <v>-4966366.34592</v>
      </c>
    </row>
    <row r="38">
      <c r="A38" t="n" s="0">
        <v>-99.63</v>
      </c>
      <c r="B38" t="n" s="0">
        <f>(-5-((((-5*(-5/((-5/(((-5*(-99.63--5))-(-5+((-5*-99.63)*(((-5--5)+(-99.63--5))+-99.63))))-(-5+-5)))*-5)))/-5)--5)+(-5*(((-99.63*(-99.63-(-5/-5)))*(-99.63-(-99.63/(-5*-99.63))))-(-5/-5)))))</f>
        <v>-4964873.260535</v>
      </c>
      <c r="C38" t="n" s="0">
        <v>-4964873.260534998</v>
      </c>
    </row>
    <row r="39">
      <c r="A39" t="n" s="0">
        <v>-99.62</v>
      </c>
      <c r="B39" t="n" s="0">
        <f>(-5-((((-5*(-5/((-5/(((-5*(-99.62--5))-(-5+((-5*-99.62)*(((-5--5)+(-99.62--5))+-99.62))))-(-5+-5)))*-5)))/-5)--5)+(-5*(((-99.62*(-99.62-(-5/-5)))*(-99.62-(-99.62/(-5*-99.62))))-(-5/-5)))))</f>
        <v>-4963380.47444</v>
      </c>
      <c r="C39" t="n" s="0">
        <v>-4963380.474440001</v>
      </c>
    </row>
    <row r="40">
      <c r="A40" t="n" s="0">
        <v>-99.61</v>
      </c>
      <c r="B40" t="n" s="0">
        <f>(-5-((((-5*(-5/((-5/(((-5*(-99.61--5))-(-5+((-5*-99.61)*(((-5--5)+(-99.61--5))+-99.61))))-(-5+-5)))*-5)))/-5)--5)+(-5*(((-99.61*(-99.61-(-5/-5)))*(-99.61-(-99.61/(-5*-99.61))))-(-5/-5)))))</f>
        <v>-4961887.987605</v>
      </c>
      <c r="C40" t="n" s="0">
        <v>-4961887.987605</v>
      </c>
    </row>
    <row r="41">
      <c r="A41" t="n" s="0">
        <v>-99.6</v>
      </c>
      <c r="B41" t="n" s="0">
        <f>(-5-((((-5*(-5/((-5/(((-5*(-99.6--5))-(-5+((-5*-99.6)*(((-5--5)+(-99.6--5))+-99.6))))-(-5+-5)))*-5)))/-5)--5)+(-5*(((-99.6*(-99.6-(-5/-5)))*(-99.6-(-99.6/(-5*-99.6))))-(-5/-5)))))</f>
        <v>-4960395.8</v>
      </c>
      <c r="C41" t="n" s="0">
        <v>-4960395.8</v>
      </c>
    </row>
    <row r="42">
      <c r="A42" t="n" s="0">
        <v>-99.59</v>
      </c>
      <c r="B42" t="n" s="0">
        <f>(-5-((((-5*(-5/((-5/(((-5*(-99.59--5))-(-5+((-5*-99.59)*(((-5--5)+(-99.59--5))+-99.59))))-(-5+-5)))*-5)))/-5)--5)+(-5*(((-99.59*(-99.59-(-5/-5)))*(-99.59-(-99.59/(-5*-99.59))))-(-5/-5)))))</f>
        <v>-4958903.911595001</v>
      </c>
      <c r="C42" t="n" s="0">
        <v>-4958903.911595</v>
      </c>
    </row>
    <row r="43">
      <c r="A43" t="n" s="0">
        <v>-99.58</v>
      </c>
      <c r="B43" t="n" s="0">
        <f>(-5-((((-5*(-5/((-5/(((-5*(-99.58--5))-(-5+((-5*-99.58)*(((-5--5)+(-99.58--5))+-99.58))))-(-5+-5)))*-5)))/-5)--5)+(-5*(((-99.58*(-99.58-(-5/-5)))*(-99.58-(-99.58/(-5*-99.58))))-(-5/-5)))))</f>
        <v>-4957412.32236</v>
      </c>
      <c r="C43" t="n" s="0">
        <v>-4957412.322360001</v>
      </c>
    </row>
    <row r="44">
      <c r="A44" t="n" s="0">
        <v>-99.57</v>
      </c>
      <c r="B44" t="n" s="0">
        <f>(-5-((((-5*(-5/((-5/(((-5*(-99.57--5))-(-5+((-5*-99.57)*(((-5--5)+(-99.57--5))+-99.57))))-(-5+-5)))*-5)))/-5)--5)+(-5*(((-99.57*(-99.57-(-5/-5)))*(-99.57-(-99.57/(-5*-99.57))))-(-5/-5)))))</f>
        <v>-4955921.032265</v>
      </c>
      <c r="C44" t="n" s="0">
        <v>-4955921.032264999</v>
      </c>
    </row>
    <row r="45">
      <c r="A45" t="n" s="0">
        <v>-99.56</v>
      </c>
      <c r="B45" t="n" s="0">
        <f>(-5-((((-5*(-5/((-5/(((-5*(-99.56--5))-(-5+((-5*-99.56)*(((-5--5)+(-99.56--5))+-99.56))))-(-5+-5)))*-5)))/-5)--5)+(-5*(((-99.56*(-99.56-(-5/-5)))*(-99.56-(-99.56/(-5*-99.56))))-(-5/-5)))))</f>
        <v>-4954430.0412800005</v>
      </c>
      <c r="C45" t="n" s="0">
        <v>-4954430.04128</v>
      </c>
    </row>
    <row r="46">
      <c r="A46" t="n" s="0">
        <v>-99.55</v>
      </c>
      <c r="B46" t="n" s="0">
        <f>(-5-((((-5*(-5/((-5/(((-5*(-99.55--5))-(-5+((-5*-99.55)*(((-5--5)+(-99.55--5))+-99.55))))-(-5+-5)))*-5)))/-5)--5)+(-5*(((-99.55*(-99.55-(-5/-5)))*(-99.55-(-99.55/(-5*-99.55))))-(-5/-5)))))</f>
        <v>-4952939.349375</v>
      </c>
      <c r="C46" t="n" s="0">
        <v>-4952939.349375</v>
      </c>
    </row>
    <row r="47">
      <c r="A47" t="n" s="0">
        <v>-99.54</v>
      </c>
      <c r="B47" t="n" s="0">
        <f>(-5-((((-5*(-5/((-5/(((-5*(-99.54--5))-(-5+((-5*-99.54)*(((-5--5)+(-99.54--5))+-99.54))))-(-5+-5)))*-5)))/-5)--5)+(-5*(((-99.54*(-99.54-(-5/-5)))*(-99.54-(-99.54/(-5*-99.54))))-(-5/-5)))))</f>
        <v>-4951448.9565200005</v>
      </c>
      <c r="C47" t="n" s="0">
        <v>-4951448.956520001</v>
      </c>
    </row>
    <row r="48">
      <c r="A48" t="n" s="0">
        <v>-99.53</v>
      </c>
      <c r="B48" t="n" s="0">
        <f>(-5-((((-5*(-5/((-5/(((-5*(-99.53--5))-(-5+((-5*-99.53)*(((-5--5)+(-99.53--5))+-99.53))))-(-5+-5)))*-5)))/-5)--5)+(-5*(((-99.53*(-99.53-(-5/-5)))*(-99.53-(-99.53/(-5*-99.53))))-(-5/-5)))))</f>
        <v>-4949958.862685</v>
      </c>
      <c r="C48" t="n" s="0">
        <v>-4949958.8626850005</v>
      </c>
    </row>
    <row r="49">
      <c r="A49" t="n" s="0">
        <v>-99.52</v>
      </c>
      <c r="B49" t="n" s="0">
        <f>(-5-((((-5*(-5/((-5/(((-5*(-99.52--5))-(-5+((-5*-99.52)*(((-5--5)+(-99.52--5))+-99.52))))-(-5+-5)))*-5)))/-5)--5)+(-5*(((-99.52*(-99.52-(-5/-5)))*(-99.52-(-99.52/(-5*-99.52))))-(-5/-5)))))</f>
        <v>-4948469.067840001</v>
      </c>
      <c r="C49" t="n" s="0">
        <v>-4948469.067839999</v>
      </c>
    </row>
    <row r="50">
      <c r="A50" t="n" s="0">
        <v>-99.51</v>
      </c>
      <c r="B50" t="n" s="0">
        <f>(-5-((((-5*(-5/((-5/(((-5*(-99.51--5))-(-5+((-5*-99.51)*(((-5--5)+(-99.51--5))+-99.51))))-(-5+-5)))*-5)))/-5)--5)+(-5*(((-99.51*(-99.51-(-5/-5)))*(-99.51-(-99.51/(-5*-99.51))))-(-5/-5)))))</f>
        <v>-4946979.571955</v>
      </c>
      <c r="C50" t="n" s="0">
        <v>-4946979.571955001</v>
      </c>
    </row>
    <row r="51">
      <c r="A51" t="n" s="0">
        <v>-99.5</v>
      </c>
      <c r="B51" t="n" s="0">
        <f>(-5-((((-5*(-5/((-5/(((-5*(-99.5--5))-(-5+((-5*-99.5)*(((-5--5)+(-99.5--5))+-99.5))))-(-5+-5)))*-5)))/-5)--5)+(-5*(((-99.5*(-99.5-(-5/-5)))*(-99.5-(-99.5/(-5*-99.5))))-(-5/-5)))))</f>
        <v>-4945490.375</v>
      </c>
      <c r="C51" t="n" s="0">
        <v>-4945490.375</v>
      </c>
    </row>
    <row r="52">
      <c r="A52" t="n" s="0">
        <v>-99.49</v>
      </c>
      <c r="B52" t="n" s="0">
        <f>(-5-((((-5*(-5/((-5/(((-5*(-99.49--5))-(-5+((-5*-99.49)*(((-5--5)+(-99.49--5))+-99.49))))-(-5+-5)))*-5)))/-5)--5)+(-5*(((-99.49*(-99.49-(-5/-5)))*(-99.49-(-99.49/(-5*-99.49))))-(-5/-5)))))</f>
        <v>-4944001.476945</v>
      </c>
      <c r="C52" t="n" s="0">
        <v>-4944001.476944999</v>
      </c>
    </row>
    <row r="53">
      <c r="A53" t="n" s="0">
        <v>-99.48</v>
      </c>
      <c r="B53" t="n" s="0">
        <f>(-5-((((-5*(-5/((-5/(((-5*(-99.48--5))-(-5+((-5*-99.48)*(((-5--5)+(-99.48--5))+-99.48))))-(-5+-5)))*-5)))/-5)--5)+(-5*(((-99.48*(-99.48-(-5/-5)))*(-99.48-(-99.48/(-5*-99.48))))-(-5/-5)))))</f>
        <v>-4942512.8777600005</v>
      </c>
      <c r="C53" t="n" s="0">
        <v>-4942512.8777600005</v>
      </c>
    </row>
    <row r="54">
      <c r="A54" t="n" s="0">
        <v>-99.47</v>
      </c>
      <c r="B54" t="n" s="0">
        <f>(-5-((((-5*(-5/((-5/(((-5*(-99.47--5))-(-5+((-5*-99.47)*(((-5--5)+(-99.47--5))+-99.47))))-(-5+-5)))*-5)))/-5)--5)+(-5*(((-99.47*(-99.47-(-5/-5)))*(-99.47-(-99.47/(-5*-99.47))))-(-5/-5)))))</f>
        <v>-4941024.577415</v>
      </c>
      <c r="C54" t="n" s="0">
        <v>-4941024.577415</v>
      </c>
    </row>
    <row r="55">
      <c r="A55" t="n" s="0">
        <v>-99.46</v>
      </c>
      <c r="B55" t="n" s="0">
        <f>(-5-((((-5*(-5/((-5/(((-5*(-99.46--5))-(-5+((-5*-99.46)*(((-5--5)+(-99.46--5))+-99.46))))-(-5+-5)))*-5)))/-5)--5)+(-5*(((-99.46*(-99.46-(-5/-5)))*(-99.46-(-99.46/(-5*-99.46))))-(-5/-5)))))</f>
        <v>-4939536.575879999</v>
      </c>
      <c r="C55" t="n" s="0">
        <v>-4939536.575879999</v>
      </c>
    </row>
    <row r="56">
      <c r="A56" t="n" s="0">
        <v>-99.45</v>
      </c>
      <c r="B56" t="n" s="0">
        <f>(-5-((((-5*(-5/((-5/(((-5*(-99.45--5))-(-5+((-5*-99.45)*(((-5--5)+(-99.45--5))+-99.45))))-(-5+-5)))*-5)))/-5)--5)+(-5*(((-99.45*(-99.45-(-5/-5)))*(-99.45-(-99.45/(-5*-99.45))))-(-5/-5)))))</f>
        <v>-4938048.873125</v>
      </c>
      <c r="C56" t="n" s="0">
        <v>-4938048.873125001</v>
      </c>
    </row>
    <row r="57">
      <c r="A57" t="n" s="0">
        <v>-99.44</v>
      </c>
      <c r="B57" t="n" s="0">
        <f>(-5-((((-5*(-5/((-5/(((-5*(-99.44--5))-(-5+((-5*-99.44)*(((-5--5)+(-99.44--5))+-99.44))))-(-5+-5)))*-5)))/-5)--5)+(-5*(((-99.44*(-99.44-(-5/-5)))*(-99.44-(-99.44/(-5*-99.44))))-(-5/-5)))))</f>
        <v>-4936561.46912</v>
      </c>
      <c r="C57" t="n" s="0">
        <v>-4936561.46912</v>
      </c>
    </row>
    <row r="58">
      <c r="A58" t="n" s="0">
        <v>-99.43</v>
      </c>
      <c r="B58" t="n" s="0">
        <f>(-5-((((-5*(-5/((-5/(((-5*(-99.43--5))-(-5+((-5*-99.43)*(((-5--5)+(-99.43--5))+-99.43))))-(-5+-5)))*-5)))/-5)--5)+(-5*(((-99.43*(-99.43-(-5/-5)))*(-99.43-(-99.43/(-5*-99.43))))-(-5/-5)))))</f>
        <v>-4935074.3638349995</v>
      </c>
      <c r="C58" t="n" s="0">
        <v>-4935074.363835</v>
      </c>
    </row>
    <row r="59">
      <c r="A59" t="n" s="0">
        <v>-99.42</v>
      </c>
      <c r="B59" t="n" s="0">
        <f>(-5-((((-5*(-5/((-5/(((-5*(-99.42--5))-(-5+((-5*-99.42)*(((-5--5)+(-99.42--5))+-99.42))))-(-5+-5)))*-5)))/-5)--5)+(-5*(((-99.42*(-99.42-(-5/-5)))*(-99.42-(-99.42/(-5*-99.42))))-(-5/-5)))))</f>
        <v>-4933587.55724</v>
      </c>
      <c r="C59" t="n" s="0">
        <v>-4933587.55724</v>
      </c>
    </row>
    <row r="60">
      <c r="A60" t="n" s="0">
        <v>-99.41</v>
      </c>
      <c r="B60" t="n" s="0">
        <f>(-5-((((-5*(-5/((-5/(((-5*(-99.41--5))-(-5+((-5*-99.41)*(((-5--5)+(-99.41--5))+-99.41))))-(-5+-5)))*-5)))/-5)--5)+(-5*(((-99.41*(-99.41-(-5/-5)))*(-99.41-(-99.41/(-5*-99.41))))-(-5/-5)))))</f>
        <v>-4932101.049304999</v>
      </c>
      <c r="C60" t="n" s="0">
        <v>-4932101.049305</v>
      </c>
    </row>
    <row r="61">
      <c r="A61" t="n" s="0">
        <v>-99.4</v>
      </c>
      <c r="B61" t="n" s="0">
        <f>(-5-((((-5*(-5/((-5/(((-5*(-99.4--5))-(-5+((-5*-99.4)*(((-5--5)+(-99.4--5))+-99.4))))-(-5+-5)))*-5)))/-5)--5)+(-5*(((-99.4*(-99.4-(-5/-5)))*(-99.4-(-99.4/(-5*-99.4))))-(-5/-5)))))</f>
        <v>-4930614.84</v>
      </c>
      <c r="C61" t="n" s="0">
        <v>-4930614.840000001</v>
      </c>
    </row>
    <row r="62">
      <c r="A62" t="n" s="0">
        <v>-99.39</v>
      </c>
      <c r="B62" t="n" s="0">
        <f>(-5-((((-5*(-5/((-5/(((-5*(-99.39--5))-(-5+((-5*-99.39)*(((-5--5)+(-99.39--5))+-99.39))))-(-5+-5)))*-5)))/-5)--5)+(-5*(((-99.39*(-99.39-(-5/-5)))*(-99.39-(-99.39/(-5*-99.39))))-(-5/-5)))))</f>
        <v>-4929128.929295</v>
      </c>
      <c r="C62" t="n" s="0">
        <v>-4929128.929295</v>
      </c>
    </row>
    <row r="63">
      <c r="A63" t="n" s="0">
        <v>-99.38</v>
      </c>
      <c r="B63" t="n" s="0">
        <f>(-5-((((-5*(-5/((-5/(((-5*(-99.38--5))-(-5+((-5*-99.38)*(((-5--5)+(-99.38--5))+-99.38))))-(-5+-5)))*-5)))/-5)--5)+(-5*(((-99.38*(-99.38-(-5/-5)))*(-99.38-(-99.38/(-5*-99.38))))-(-5/-5)))))</f>
        <v>-4927643.31716</v>
      </c>
      <c r="C63" t="n" s="0">
        <v>-4927643.317159999</v>
      </c>
    </row>
    <row r="64">
      <c r="A64" t="n" s="0">
        <v>-99.37</v>
      </c>
      <c r="B64" t="n" s="0">
        <f>(-5-((((-5*(-5/((-5/(((-5*(-99.37--5))-(-5+((-5*-99.37)*(((-5--5)+(-99.37--5))+-99.37))))-(-5+-5)))*-5)))/-5)--5)+(-5*(((-99.37*(-99.37-(-5/-5)))*(-99.37-(-99.37/(-5*-99.37))))-(-5/-5)))))</f>
        <v>-4926158.003565</v>
      </c>
      <c r="C64" t="n" s="0">
        <v>-4926158.003565001</v>
      </c>
    </row>
    <row r="65">
      <c r="A65" t="n" s="0">
        <v>-99.36</v>
      </c>
      <c r="B65" t="n" s="0">
        <f>(-5-((((-5*(-5/((-5/(((-5*(-99.36--5))-(-5+((-5*-99.36)*(((-5--5)+(-99.36--5))+-99.36))))-(-5+-5)))*-5)))/-5)--5)+(-5*(((-99.36*(-99.36-(-5/-5)))*(-99.36-(-99.36/(-5*-99.36))))-(-5/-5)))))</f>
        <v>-4924672.98848</v>
      </c>
      <c r="C65" t="n" s="0">
        <v>-4924672.98848</v>
      </c>
    </row>
    <row r="66">
      <c r="A66" t="n" s="0">
        <v>-99.35</v>
      </c>
      <c r="B66" t="n" s="0">
        <f>(-5-((((-5*(-5/((-5/(((-5*(-99.35--5))-(-5+((-5*-99.35)*(((-5--5)+(-99.35--5))+-99.35))))-(-5+-5)))*-5)))/-5)--5)+(-5*(((-99.35*(-99.35-(-5/-5)))*(-99.35-(-99.35/(-5*-99.35))))-(-5/-5)))))</f>
        <v>-4923188.271875</v>
      </c>
      <c r="C66" t="n" s="0">
        <v>-4923188.271874999</v>
      </c>
    </row>
    <row r="67">
      <c r="A67" t="n" s="0">
        <v>-99.34</v>
      </c>
      <c r="B67" t="n" s="0">
        <f>(-5-((((-5*(-5/((-5/(((-5*(-99.34--5))-(-5+((-5*-99.34)*(((-5--5)+(-99.34--5))+-99.34))))-(-5+-5)))*-5)))/-5)--5)+(-5*(((-99.34*(-99.34-(-5/-5)))*(-99.34-(-99.34/(-5*-99.34))))-(-5/-5)))))</f>
        <v>-4921703.85372</v>
      </c>
      <c r="C67" t="n" s="0">
        <v>-4921703.85372</v>
      </c>
    </row>
    <row r="68">
      <c r="A68" t="n" s="0">
        <v>-99.33</v>
      </c>
      <c r="B68" t="n" s="0">
        <f>(-5-((((-5*(-5/((-5/(((-5*(-99.33--5))-(-5+((-5*-99.33)*(((-5--5)+(-99.33--5))+-99.33))))-(-5+-5)))*-5)))/-5)--5)+(-5*(((-99.33*(-99.33-(-5/-5)))*(-99.33-(-99.33/(-5*-99.33))))-(-5/-5)))))</f>
        <v>-4920219.733985</v>
      </c>
      <c r="C68" t="n" s="0">
        <v>-4920219.733985</v>
      </c>
    </row>
    <row r="69">
      <c r="A69" t="n" s="0">
        <v>-99.32</v>
      </c>
      <c r="B69" t="n" s="0">
        <f>(-5-((((-5*(-5/((-5/(((-5*(-99.32--5))-(-5+((-5*-99.32)*(((-5--5)+(-99.32--5))+-99.32))))-(-5+-5)))*-5)))/-5)--5)+(-5*(((-99.32*(-99.32-(-5/-5)))*(-99.32-(-99.32/(-5*-99.32))))-(-5/-5)))))</f>
        <v>-4918735.91264</v>
      </c>
      <c r="C69" t="n" s="0">
        <v>-4918735.912639999</v>
      </c>
    </row>
    <row r="70">
      <c r="A70" t="n" s="0">
        <v>-99.31</v>
      </c>
      <c r="B70" t="n" s="0">
        <f>(-5-((((-5*(-5/((-5/(((-5*(-99.31--5))-(-5+((-5*-99.31)*(((-5--5)+(-99.31--5))+-99.31))))-(-5+-5)))*-5)))/-5)--5)+(-5*(((-99.31*(-99.31-(-5/-5)))*(-99.31-(-99.31/(-5*-99.31))))-(-5/-5)))))</f>
        <v>-4917252.389655</v>
      </c>
      <c r="C70" t="n" s="0">
        <v>-4917252.3896550005</v>
      </c>
    </row>
    <row r="71">
      <c r="A71" t="n" s="0">
        <v>-99.3</v>
      </c>
      <c r="B71" t="n" s="0">
        <f>(-5-((((-5*(-5/((-5/(((-5*(-99.3--5))-(-5+((-5*-99.3)*(((-5--5)+(-99.3--5))+-99.3))))-(-5+-5)))*-5)))/-5)--5)+(-5*(((-99.3*(-99.3-(-5/-5)))*(-99.3-(-99.3/(-5*-99.3))))-(-5/-5)))))</f>
        <v>-4915769.165</v>
      </c>
      <c r="C71" t="n" s="0">
        <v>-4915769.165</v>
      </c>
    </row>
    <row r="72">
      <c r="A72" t="n" s="0">
        <v>-99.29</v>
      </c>
      <c r="B72" t="n" s="0">
        <f>(-5-((((-5*(-5/((-5/(((-5*(-99.29--5))-(-5+((-5*-99.29)*(((-5--5)+(-99.29--5))+-99.29))))-(-5+-5)))*-5)))/-5)--5)+(-5*(((-99.29*(-99.29-(-5/-5)))*(-99.29-(-99.29/(-5*-99.29))))-(-5/-5)))))</f>
        <v>-4914286.238645</v>
      </c>
      <c r="C72" t="n" s="0">
        <v>-4914286.238645001</v>
      </c>
    </row>
    <row r="73">
      <c r="A73" t="n" s="0">
        <v>-99.28</v>
      </c>
      <c r="B73" t="n" s="0">
        <f>(-5-((((-5*(-5/((-5/(((-5*(-99.28--5))-(-5+((-5*-99.28)*(((-5--5)+(-99.28--5))+-99.28))))-(-5+-5)))*-5)))/-5)--5)+(-5*(((-99.28*(-99.28-(-5/-5)))*(-99.28-(-99.28/(-5*-99.28))))-(-5/-5)))))</f>
        <v>-4912803.61056</v>
      </c>
      <c r="C73" t="n" s="0">
        <v>-4912803.61056</v>
      </c>
    </row>
    <row r="74">
      <c r="A74" t="n" s="0">
        <v>-99.27</v>
      </c>
      <c r="B74" t="n" s="0">
        <f>(-5-((((-5*(-5/((-5/(((-5*(-99.27--5))-(-5+((-5*-99.27)*(((-5--5)+(-99.27--5))+-99.27))))-(-5+-5)))*-5)))/-5)--5)+(-5*(((-99.27*(-99.27-(-5/-5)))*(-99.27-(-99.27/(-5*-99.27))))-(-5/-5)))))</f>
        <v>-4911321.280715</v>
      </c>
      <c r="C74" t="n" s="0">
        <v>-4911321.280714999</v>
      </c>
    </row>
    <row r="75">
      <c r="A75" t="n" s="0">
        <v>-99.26</v>
      </c>
      <c r="B75" t="n" s="0">
        <f>(-5-((((-5*(-5/((-5/(((-5*(-99.26--5))-(-5+((-5*-99.26)*(((-5--5)+(-99.26--5))+-99.26))))-(-5+-5)))*-5)))/-5)--5)+(-5*(((-99.26*(-99.26-(-5/-5)))*(-99.26-(-99.26/(-5*-99.26))))-(-5/-5)))))</f>
        <v>-4909839.2490799995</v>
      </c>
      <c r="C75" t="n" s="0">
        <v>-4909839.249080001</v>
      </c>
    </row>
    <row r="76">
      <c r="A76" t="n" s="0">
        <v>-99.25</v>
      </c>
      <c r="B76" t="n" s="0">
        <f>(-5-((((-5*(-5/((-5/(((-5*(-99.25--5))-(-5+((-5*-99.25)*(((-5--5)+(-99.25--5))+-99.25))))-(-5+-5)))*-5)))/-5)--5)+(-5*(((-99.25*(-99.25-(-5/-5)))*(-99.25-(-99.25/(-5*-99.25))))-(-5/-5)))))</f>
        <v>-4908357.515625</v>
      </c>
      <c r="C76" t="n" s="0">
        <v>-4908357.515625</v>
      </c>
    </row>
    <row r="77">
      <c r="A77" t="n" s="0">
        <v>-99.24</v>
      </c>
      <c r="B77" t="n" s="0">
        <f>(-5-((((-5*(-5/((-5/(((-5*(-99.24--5))-(-5+((-5*-99.24)*(((-5--5)+(-99.24--5))+-99.24))))-(-5+-5)))*-5)))/-5)--5)+(-5*(((-99.24*(-99.24-(-5/-5)))*(-99.24-(-99.24/(-5*-99.24))))-(-5/-5)))))</f>
        <v>-4906876.08032</v>
      </c>
      <c r="C77" t="n" s="0">
        <v>-4906876.080319999</v>
      </c>
    </row>
    <row r="78">
      <c r="A78" t="n" s="0">
        <v>-99.23</v>
      </c>
      <c r="B78" t="n" s="0">
        <f>(-5-((((-5*(-5/((-5/(((-5*(-99.23--5))-(-5+((-5*-99.23)*(((-5--5)+(-99.23--5))+-99.23))))-(-5+-5)))*-5)))/-5)--5)+(-5*(((-99.23*(-99.23-(-5/-5)))*(-99.23-(-99.23/(-5*-99.23))))-(-5/-5)))))</f>
        <v>-4905394.943135</v>
      </c>
      <c r="C78" t="n" s="0">
        <v>-4905394.943135001</v>
      </c>
    </row>
    <row r="79">
      <c r="A79" t="n" s="0">
        <v>-99.22</v>
      </c>
      <c r="B79" t="n" s="0">
        <f>(-5-((((-5*(-5/((-5/(((-5*(-99.22--5))-(-5+((-5*-99.22)*(((-5--5)+(-99.22--5))+-99.22))))-(-5+-5)))*-5)))/-5)--5)+(-5*(((-99.22*(-99.22-(-5/-5)))*(-99.22-(-99.22/(-5*-99.22))))-(-5/-5)))))</f>
        <v>-4903914.104040001</v>
      </c>
      <c r="C79" t="n" s="0">
        <v>-4903914.10404</v>
      </c>
    </row>
    <row r="80">
      <c r="A80" t="n" s="0">
        <v>-99.21</v>
      </c>
      <c r="B80" t="n" s="0">
        <f>(-5-((((-5*(-5/((-5/(((-5*(-99.21--5))-(-5+((-5*-99.21)*(((-5--5)+(-99.21--5))+-99.21))))-(-5+-5)))*-5)))/-5)--5)+(-5*(((-99.21*(-99.21-(-5/-5)))*(-99.21-(-99.21/(-5*-99.21))))-(-5/-5)))))</f>
        <v>-4902433.563004999</v>
      </c>
      <c r="C80" t="n" s="0">
        <v>-4902433.563004999</v>
      </c>
    </row>
    <row r="81">
      <c r="A81" t="n" s="0">
        <v>-99.2</v>
      </c>
      <c r="B81" t="n" s="0">
        <f>(-5-((((-5*(-5/((-5/(((-5*(-99.2--5))-(-5+((-5*-99.2)*(((-5--5)+(-99.2--5))+-99.2))))-(-5+-5)))*-5)))/-5)--5)+(-5*(((-99.2*(-99.2-(-5/-5)))*(-99.2-(-99.2/(-5*-99.2))))-(-5/-5)))))</f>
        <v>-4900953.319999999</v>
      </c>
      <c r="C81" t="n" s="0">
        <v>-4900953.32</v>
      </c>
    </row>
    <row r="82">
      <c r="A82" t="n" s="0">
        <v>-99.19</v>
      </c>
      <c r="B82" t="n" s="0">
        <f>(-5-((((-5*(-5/((-5/(((-5*(-99.19--5))-(-5+((-5*-99.19)*(((-5--5)+(-99.19--5))+-99.19))))-(-5+-5)))*-5)))/-5)--5)+(-5*(((-99.19*(-99.19-(-5/-5)))*(-99.19-(-99.19/(-5*-99.19))))-(-5/-5)))))</f>
        <v>-4899473.374995001</v>
      </c>
      <c r="C82" t="n" s="0">
        <v>-4899473.374995</v>
      </c>
    </row>
    <row r="83">
      <c r="A83" t="n" s="0">
        <v>-99.18</v>
      </c>
      <c r="B83" t="n" s="0">
        <f>(-5-((((-5*(-5/((-5/(((-5*(-99.18--5))-(-5+((-5*-99.18)*(((-5--5)+(-99.18--5))+-99.18))))-(-5+-5)))*-5)))/-5)--5)+(-5*(((-99.18*(-99.18-(-5/-5)))*(-99.18-(-99.18/(-5*-99.18))))-(-5/-5)))))</f>
        <v>-4897993.72796</v>
      </c>
      <c r="C83" t="n" s="0">
        <v>-4897993.727960002</v>
      </c>
    </row>
    <row r="84">
      <c r="A84" t="n" s="0">
        <v>-99.17</v>
      </c>
      <c r="B84" t="n" s="0">
        <f>(-5-((((-5*(-5/((-5/(((-5*(-99.17--5))-(-5+((-5*-99.17)*(((-5--5)+(-99.17--5))+-99.17))))-(-5+-5)))*-5)))/-5)--5)+(-5*(((-99.17*(-99.17-(-5/-5)))*(-99.17-(-99.17/(-5*-99.17))))-(-5/-5)))))</f>
        <v>-4896514.378865</v>
      </c>
      <c r="C84" t="n" s="0">
        <v>-4896514.378865</v>
      </c>
    </row>
    <row r="85">
      <c r="A85" t="n" s="0">
        <v>-99.16</v>
      </c>
      <c r="B85" t="n" s="0">
        <f>(-5-((((-5*(-5/((-5/(((-5*(-99.16--5))-(-5+((-5*-99.16)*(((-5--5)+(-99.16--5))+-99.16))))-(-5+-5)))*-5)))/-5)--5)+(-5*(((-99.16*(-99.16-(-5/-5)))*(-99.16-(-99.16/(-5*-99.16))))-(-5/-5)))))</f>
        <v>-4895035.32768</v>
      </c>
      <c r="C85" t="n" s="0">
        <v>-4895035.32768</v>
      </c>
    </row>
    <row r="86">
      <c r="A86" t="n" s="0">
        <v>-99.15</v>
      </c>
      <c r="B86" t="n" s="0">
        <f>(-5-((((-5*(-5/((-5/(((-5*(-99.15--5))-(-5+((-5*-99.15)*(((-5--5)+(-99.15--5))+-99.15))))-(-5+-5)))*-5)))/-5)--5)+(-5*(((-99.15*(-99.15-(-5/-5)))*(-99.15-(-99.15/(-5*-99.15))))-(-5/-5)))))</f>
        <v>-4893556.574375</v>
      </c>
      <c r="C86" t="n" s="0">
        <v>-4893556.574375001</v>
      </c>
    </row>
    <row r="87">
      <c r="A87" t="n" s="0">
        <v>-99.14</v>
      </c>
      <c r="B87" t="n" s="0">
        <f>(-5-((((-5*(-5/((-5/(((-5*(-99.14--5))-(-5+((-5*-99.14)*(((-5--5)+(-99.14--5))+-99.14))))-(-5+-5)))*-5)))/-5)--5)+(-5*(((-99.14*(-99.14-(-5/-5)))*(-99.14-(-99.14/(-5*-99.14))))-(-5/-5)))))</f>
        <v>-4892078.118919999</v>
      </c>
      <c r="C87" t="n" s="0">
        <v>-4892078.11892</v>
      </c>
    </row>
    <row r="88">
      <c r="A88" t="n" s="0">
        <v>-99.13</v>
      </c>
      <c r="B88" t="n" s="0">
        <f>(-5-((((-5*(-5/((-5/(((-5*(-99.13--5))-(-5+((-5*-99.13)*(((-5--5)+(-99.13--5))+-99.13))))-(-5+-5)))*-5)))/-5)--5)+(-5*(((-99.13*(-99.13-(-5/-5)))*(-99.13-(-99.13/(-5*-99.13))))-(-5/-5)))))</f>
        <v>-4890599.961285</v>
      </c>
      <c r="C88" t="n" s="0">
        <v>-4890599.961284999</v>
      </c>
    </row>
    <row r="89">
      <c r="A89" t="n" s="0">
        <v>-99.12</v>
      </c>
      <c r="B89" t="n" s="0">
        <f>(-5-((((-5*(-5/((-5/(((-5*(-99.12--5))-(-5+((-5*-99.12)*(((-5--5)+(-99.12--5))+-99.12))))-(-5+-5)))*-5)))/-5)--5)+(-5*(((-99.12*(-99.12-(-5/-5)))*(-99.12-(-99.12/(-5*-99.12))))-(-5/-5)))))</f>
        <v>-4889122.10144</v>
      </c>
      <c r="C89" t="n" s="0">
        <v>-4889122.101440001</v>
      </c>
    </row>
    <row r="90">
      <c r="A90" t="n" s="0">
        <v>-99.11</v>
      </c>
      <c r="B90" t="n" s="0">
        <f>(-5-((((-5*(-5/((-5/(((-5*(-99.11--5))-(-5+((-5*-99.11)*(((-5--5)+(-99.11--5))+-99.11))))-(-5+-5)))*-5)))/-5)--5)+(-5*(((-99.11*(-99.11-(-5/-5)))*(-99.11-(-99.11/(-5*-99.11))))-(-5/-5)))))</f>
        <v>-4887644.5393550005</v>
      </c>
      <c r="C90" t="n" s="0">
        <v>-4887644.5393550005</v>
      </c>
    </row>
    <row r="91">
      <c r="A91" t="n" s="0">
        <v>-99.1</v>
      </c>
      <c r="B91" t="n" s="0">
        <f>(-5-((((-5*(-5/((-5/(((-5*(-99.1--5))-(-5+((-5*-99.1)*(((-5--5)+(-99.1--5))+-99.1))))-(-5+-5)))*-5)))/-5)--5)+(-5*(((-99.1*(-99.1-(-5/-5)))*(-99.1-(-99.1/(-5*-99.1))))-(-5/-5)))))</f>
        <v>-4886167.275</v>
      </c>
      <c r="C91" t="n" s="0">
        <v>-4886167.274999999</v>
      </c>
    </row>
    <row r="92">
      <c r="A92" t="n" s="0">
        <v>-99.09</v>
      </c>
      <c r="B92" t="n" s="0">
        <f>(-5-((((-5*(-5/((-5/(((-5*(-99.09--5))-(-5+((-5*-99.09)*(((-5--5)+(-99.09--5))+-99.09))))-(-5+-5)))*-5)))/-5)--5)+(-5*(((-99.09*(-99.09-(-5/-5)))*(-99.09-(-99.09/(-5*-99.09))))-(-5/-5)))))</f>
        <v>-4884690.308345</v>
      </c>
      <c r="C92" t="n" s="0">
        <v>-4884690.308345</v>
      </c>
    </row>
    <row r="93">
      <c r="A93" t="n" s="0">
        <v>-99.08</v>
      </c>
      <c r="B93" t="n" s="0">
        <f>(-5-((((-5*(-5/((-5/(((-5*(-99.08--5))-(-5+((-5*-99.08)*(((-5--5)+(-99.08--5))+-99.08))))-(-5+-5)))*-5)))/-5)--5)+(-5*(((-99.08*(-99.08-(-5/-5)))*(-99.08-(-99.08/(-5*-99.08))))-(-5/-5)))))</f>
        <v>-4883213.63936</v>
      </c>
      <c r="C93" t="n" s="0">
        <v>-4883213.63936</v>
      </c>
    </row>
    <row r="94">
      <c r="A94" t="n" s="0">
        <v>-99.07</v>
      </c>
      <c r="B94" t="n" s="0">
        <f>(-5-((((-5*(-5/((-5/(((-5*(-99.07--5))-(-5+((-5*-99.07)*(((-5--5)+(-99.07--5))+-99.07))))-(-5+-5)))*-5)))/-5)--5)+(-5*(((-99.07*(-99.07-(-5/-5)))*(-99.07-(-99.07/(-5*-99.07))))-(-5/-5)))))</f>
        <v>-4881737.268015</v>
      </c>
      <c r="C94" t="n" s="0">
        <v>-4881737.268014999</v>
      </c>
    </row>
    <row r="95">
      <c r="A95" t="n" s="0">
        <v>-99.06</v>
      </c>
      <c r="B95" t="n" s="0">
        <f>(-5-((((-5*(-5/((-5/(((-5*(-99.06--5))-(-5+((-5*-99.06)*(((-5--5)+(-99.06--5))+-99.06))))-(-5+-5)))*-5)))/-5)--5)+(-5*(((-99.06*(-99.06-(-5/-5)))*(-99.06-(-99.06/(-5*-99.06))))-(-5/-5)))))</f>
        <v>-4880261.1942799995</v>
      </c>
      <c r="C95" t="n" s="0">
        <v>-4880261.1942799995</v>
      </c>
    </row>
    <row r="96">
      <c r="A96" t="n" s="0">
        <v>-99.05</v>
      </c>
      <c r="B96" t="n" s="0">
        <f>(-5-((((-5*(-5/((-5/(((-5*(-99.05--5))-(-5+((-5*-99.05)*(((-5--5)+(-99.05--5))+-99.05))))-(-5+-5)))*-5)))/-5)--5)+(-5*(((-99.05*(-99.05-(-5/-5)))*(-99.05-(-99.05/(-5*-99.05))))-(-5/-5)))))</f>
        <v>-4878785.418125</v>
      </c>
      <c r="C96" t="n" s="0">
        <v>-4878785.418125</v>
      </c>
    </row>
    <row r="97">
      <c r="A97" t="n" s="0">
        <v>-99.04</v>
      </c>
      <c r="B97" t="n" s="0">
        <f>(-5-((((-5*(-5/((-5/(((-5*(-99.04--5))-(-5+((-5*-99.04)*(((-5--5)+(-99.04--5))+-99.04))))-(-5+-5)))*-5)))/-5)--5)+(-5*(((-99.04*(-99.04-(-5/-5)))*(-99.04-(-99.04/(-5*-99.04))))-(-5/-5)))))</f>
        <v>-4877309.9395200005</v>
      </c>
      <c r="C97" t="n" s="0">
        <v>-4877309.939520001</v>
      </c>
    </row>
    <row r="98">
      <c r="A98" t="n" s="0">
        <v>-99.03</v>
      </c>
      <c r="B98" t="n" s="0">
        <f>(-5-((((-5*(-5/((-5/(((-5*(-99.03--5))-(-5+((-5*-99.03)*(((-5--5)+(-99.03--5))+-99.03))))-(-5+-5)))*-5)))/-5)--5)+(-5*(((-99.03*(-99.03-(-5/-5)))*(-99.03-(-99.03/(-5*-99.03))))-(-5/-5)))))</f>
        <v>-4875834.758435</v>
      </c>
      <c r="C98" t="n" s="0">
        <v>-4875834.758435</v>
      </c>
    </row>
    <row r="99">
      <c r="A99" t="n" s="0">
        <v>-99.02</v>
      </c>
      <c r="B99" t="n" s="0">
        <f>(-5-((((-5*(-5/((-5/(((-5*(-99.02--5))-(-5+((-5*-99.02)*(((-5--5)+(-99.02--5))+-99.02))))-(-5+-5)))*-5)))/-5)--5)+(-5*(((-99.02*(-99.02-(-5/-5)))*(-99.02-(-99.02/(-5*-99.02))))-(-5/-5)))))</f>
        <v>-4874359.87484</v>
      </c>
      <c r="C99" t="n" s="0">
        <v>-4874359.87484</v>
      </c>
    </row>
    <row r="100">
      <c r="A100" t="n" s="0">
        <v>-99.01</v>
      </c>
      <c r="B100" t="n" s="0">
        <f>(-5-((((-5*(-5/((-5/(((-5*(-99.01--5))-(-5+((-5*-99.01)*(((-5--5)+(-99.01--5))+-99.01))))-(-5+-5)))*-5)))/-5)--5)+(-5*(((-99.01*(-99.01-(-5/-5)))*(-99.01-(-99.01/(-5*-99.01))))-(-5/-5)))))</f>
        <v>-4872885.288705001</v>
      </c>
      <c r="C100" t="n" s="0">
        <v>-4872885.288705001</v>
      </c>
    </row>
    <row r="101">
      <c r="A101" t="n" s="0">
        <v>-99.0</v>
      </c>
      <c r="B101" t="n" s="0">
        <f>(-5-((((-5*(-5/((-5/(((-5*(-99--5))-(-5+((-5*-99)*(((-5--5)+(-99--5))+-99))))-(-5+-5)))*-5)))/-5)--5)+(-5*(((-99*(-99-(-5/-5)))*(-99-(-99/(-5*-99))))-(-5/-5)))))</f>
        <v>-4871411.0</v>
      </c>
      <c r="C101" t="n" s="0">
        <v>-4871411.0</v>
      </c>
    </row>
    <row r="102">
      <c r="A102" t="n" s="0">
        <v>-98.99</v>
      </c>
      <c r="B102" t="n" s="0">
        <f>(-5-((((-5*(-5/((-5/(((-5*(-98.99--5))-(-5+((-5*-98.99)*(((-5--5)+(-98.99--5))+-98.99))))-(-5+-5)))*-5)))/-5)--5)+(-5*(((-98.99*(-98.99-(-5/-5)))*(-98.99-(-98.99/(-5*-98.99))))-(-5/-5)))))</f>
        <v>-4869937.008695</v>
      </c>
      <c r="C102" t="n" s="0">
        <v>-4869937.008694999</v>
      </c>
    </row>
    <row r="103">
      <c r="A103" t="n" s="0">
        <v>-98.98</v>
      </c>
      <c r="B103" t="n" s="0">
        <f>(-5-((((-5*(-5/((-5/(((-5*(-98.98--5))-(-5+((-5*-98.98)*(((-5--5)+(-98.98--5))+-98.98))))-(-5+-5)))*-5)))/-5)--5)+(-5*(((-98.98*(-98.98-(-5/-5)))*(-98.98-(-98.98/(-5*-98.98))))-(-5/-5)))))</f>
        <v>-4868463.31476</v>
      </c>
      <c r="C103" t="n" s="0">
        <v>-4868463.314760001</v>
      </c>
    </row>
    <row r="104">
      <c r="A104" t="n" s="0">
        <v>-98.97</v>
      </c>
      <c r="B104" t="n" s="0">
        <f>(-5-((((-5*(-5/((-5/(((-5*(-98.97--5))-(-5+((-5*-98.97)*(((-5--5)+(-98.97--5))+-98.97))))-(-5+-5)))*-5)))/-5)--5)+(-5*(((-98.97*(-98.97-(-5/-5)))*(-98.97-(-98.97/(-5*-98.97))))-(-5/-5)))))</f>
        <v>-4866989.918165</v>
      </c>
      <c r="C104" t="n" s="0">
        <v>-4866989.918165</v>
      </c>
    </row>
    <row r="105">
      <c r="A105" t="n" s="0">
        <v>-98.96</v>
      </c>
      <c r="B105" t="n" s="0">
        <f>(-5-((((-5*(-5/((-5/(((-5*(-98.96--5))-(-5+((-5*-98.96)*(((-5--5)+(-98.96--5))+-98.96))))-(-5+-5)))*-5)))/-5)--5)+(-5*(((-98.96*(-98.96-(-5/-5)))*(-98.96-(-98.96/(-5*-98.96))))-(-5/-5)))))</f>
        <v>-4865516.818879999</v>
      </c>
      <c r="C105" t="n" s="0">
        <v>-4865516.818879999</v>
      </c>
    </row>
    <row r="106">
      <c r="A106" t="n" s="0">
        <v>-98.95</v>
      </c>
      <c r="B106" t="n" s="0">
        <f>(-5-((((-5*(-5/((-5/(((-5*(-98.95--5))-(-5+((-5*-98.95)*(((-5--5)+(-98.95--5))+-98.95))))-(-5+-5)))*-5)))/-5)--5)+(-5*(((-98.95*(-98.95-(-5/-5)))*(-98.95-(-98.95/(-5*-98.95))))-(-5/-5)))))</f>
        <v>-4864044.016875</v>
      </c>
      <c r="C106" t="n" s="0">
        <v>-4864044.016875001</v>
      </c>
    </row>
    <row r="107">
      <c r="A107" t="n" s="0">
        <v>-98.94</v>
      </c>
      <c r="B107" t="n" s="0">
        <f>(-5-((((-5*(-5/((-5/(((-5*(-98.94--5))-(-5+((-5*-98.94)*(((-5--5)+(-98.94--5))+-98.94))))-(-5+-5)))*-5)))/-5)--5)+(-5*(((-98.94*(-98.94-(-5/-5)))*(-98.94-(-98.94/(-5*-98.94))))-(-5/-5)))))</f>
        <v>-4862571.51212</v>
      </c>
      <c r="C107" t="n" s="0">
        <v>-4862571.51212</v>
      </c>
    </row>
    <row r="108">
      <c r="A108" t="n" s="0">
        <v>-98.93</v>
      </c>
      <c r="B108" t="n" s="0">
        <f>(-5-((((-5*(-5/((-5/(((-5*(-98.93--5))-(-5+((-5*-98.93)*(((-5--5)+(-98.93--5))+-98.93))))-(-5+-5)))*-5)))/-5)--5)+(-5*(((-98.93*(-98.93-(-5/-5)))*(-98.93-(-98.93/(-5*-98.93))))-(-5/-5)))))</f>
        <v>-4861099.3045850005</v>
      </c>
      <c r="C108" t="n" s="0">
        <v>-4861099.304585001</v>
      </c>
    </row>
    <row r="109">
      <c r="A109" t="n" s="0">
        <v>-98.92</v>
      </c>
      <c r="B109" t="n" s="0">
        <f>(-5-((((-5*(-5/((-5/(((-5*(-98.92--5))-(-5+((-5*-98.92)*(((-5--5)+(-98.92--5))+-98.92))))-(-5+-5)))*-5)))/-5)--5)+(-5*(((-98.92*(-98.92-(-5/-5)))*(-98.92-(-98.92/(-5*-98.92))))-(-5/-5)))))</f>
        <v>-4859627.394239999</v>
      </c>
      <c r="C109" t="n" s="0">
        <v>-4859627.39424</v>
      </c>
    </row>
    <row r="110">
      <c r="A110" t="n" s="0">
        <v>-98.91</v>
      </c>
      <c r="B110" t="n" s="0">
        <f>(-5-((((-5*(-5/((-5/(((-5*(-98.91--5))-(-5+((-5*-98.91)*(((-5--5)+(-98.91--5))+-98.91))))-(-5+-5)))*-5)))/-5)--5)+(-5*(((-98.91*(-98.91-(-5/-5)))*(-98.91-(-98.91/(-5*-98.91))))-(-5/-5)))))</f>
        <v>-4858155.781055</v>
      </c>
      <c r="C110" t="n" s="0">
        <v>-4858155.781055</v>
      </c>
    </row>
    <row r="111">
      <c r="A111" t="n" s="0">
        <v>-98.9</v>
      </c>
      <c r="B111" t="n" s="0">
        <f>(-5-((((-5*(-5/((-5/(((-5*(-98.9--5))-(-5+((-5*-98.9)*(((-5--5)+(-98.9--5))+-98.9))))-(-5+-5)))*-5)))/-5)--5)+(-5*(((-98.9*(-98.9-(-5/-5)))*(-98.9-(-98.9/(-5*-98.9))))-(-5/-5)))))</f>
        <v>-4856684.465</v>
      </c>
      <c r="C111" t="n" s="0">
        <v>-4856684.465000001</v>
      </c>
    </row>
    <row r="112">
      <c r="A112" t="n" s="0">
        <v>-98.89</v>
      </c>
      <c r="B112" t="n" s="0">
        <f>(-5-((((-5*(-5/((-5/(((-5*(-98.89--5))-(-5+((-5*-98.89)*(((-5--5)+(-98.89--5))+-98.89))))-(-5+-5)))*-5)))/-5)--5)+(-5*(((-98.89*(-98.89-(-5/-5)))*(-98.89-(-98.89/(-5*-98.89))))-(-5/-5)))))</f>
        <v>-4855213.446045</v>
      </c>
      <c r="C112" t="n" s="0">
        <v>-4855213.446045</v>
      </c>
    </row>
    <row r="113">
      <c r="A113" t="n" s="0">
        <v>-98.88</v>
      </c>
      <c r="B113" t="n" s="0">
        <f>(-5-((((-5*(-5/((-5/(((-5*(-98.88--5))-(-5+((-5*-98.88)*(((-5--5)+(-98.88--5))+-98.88))))-(-5+-5)))*-5)))/-5)--5)+(-5*(((-98.88*(-98.88-(-5/-5)))*(-98.88-(-98.88/(-5*-98.88))))-(-5/-5)))))</f>
        <v>-4853742.72416</v>
      </c>
      <c r="C113" t="n" s="0">
        <v>-4853742.724159999</v>
      </c>
    </row>
    <row r="114">
      <c r="A114" t="n" s="0">
        <v>-98.87</v>
      </c>
      <c r="B114" t="n" s="0">
        <f>(-5-((((-5*(-5/((-5/(((-5*(-98.87--5))-(-5+((-5*-98.87)*(((-5--5)+(-98.87--5))+-98.87))))-(-5+-5)))*-5)))/-5)--5)+(-5*(((-98.87*(-98.87-(-5/-5)))*(-98.87-(-98.87/(-5*-98.87))))-(-5/-5)))))</f>
        <v>-4852272.299315</v>
      </c>
      <c r="C114" t="n" s="0">
        <v>-4852272.299315001</v>
      </c>
    </row>
    <row r="115">
      <c r="A115" t="n" s="0">
        <v>-98.86</v>
      </c>
      <c r="B115" t="n" s="0">
        <f>(-5-((((-5*(-5/((-5/(((-5*(-98.86--5))-(-5+((-5*-98.86)*(((-5--5)+(-98.86--5))+-98.86))))-(-5+-5)))*-5)))/-5)--5)+(-5*(((-98.86*(-98.86-(-5/-5)))*(-98.86-(-98.86/(-5*-98.86))))-(-5/-5)))))</f>
        <v>-4850802.17148</v>
      </c>
      <c r="C115" t="n" s="0">
        <v>-4850802.17148</v>
      </c>
    </row>
    <row r="116">
      <c r="A116" t="n" s="0">
        <v>-98.85</v>
      </c>
      <c r="B116" t="n" s="0">
        <f>(-5-((((-5*(-5/((-5/(((-5*(-98.85--5))-(-5+((-5*-98.85)*(((-5--5)+(-98.85--5))+-98.85))))-(-5+-5)))*-5)))/-5)--5)+(-5*(((-98.85*(-98.85-(-5/-5)))*(-98.85-(-98.85/(-5*-98.85))))-(-5/-5)))))</f>
        <v>-4849332.340625</v>
      </c>
      <c r="C116" t="n" s="0">
        <v>-4849332.340624998</v>
      </c>
    </row>
    <row r="117">
      <c r="A117" t="n" s="0">
        <v>-98.84</v>
      </c>
      <c r="B117" t="n" s="0">
        <f>(-5-((((-5*(-5/((-5/(((-5*(-98.84--5))-(-5+((-5*-98.84)*(((-5--5)+(-98.84--5))+-98.84))))-(-5+-5)))*-5)))/-5)--5)+(-5*(((-98.84*(-98.84-(-5/-5)))*(-98.84-(-98.84/(-5*-98.84))))-(-5/-5)))))</f>
        <v>-4847862.80672</v>
      </c>
      <c r="C117" t="n" s="0">
        <v>-4847862.806720001</v>
      </c>
    </row>
    <row r="118">
      <c r="A118" t="n" s="0">
        <v>-98.83</v>
      </c>
      <c r="B118" t="n" s="0">
        <f>(-5-((((-5*(-5/((-5/(((-5*(-98.83--5))-(-5+((-5*-98.83)*(((-5--5)+(-98.83--5))+-98.83))))-(-5+-5)))*-5)))/-5)--5)+(-5*(((-98.83*(-98.83-(-5/-5)))*(-98.83-(-98.83/(-5*-98.83))))-(-5/-5)))))</f>
        <v>-4846393.569735</v>
      </c>
      <c r="C118" t="n" s="0">
        <v>-4846393.569735001</v>
      </c>
    </row>
    <row r="119">
      <c r="A119" t="n" s="0">
        <v>-98.82</v>
      </c>
      <c r="B119" t="n" s="0">
        <f>(-5-((((-5*(-5/((-5/(((-5*(-98.82--5))-(-5+((-5*-98.82)*(((-5--5)+(-98.82--5))+-98.82))))-(-5+-5)))*-5)))/-5)--5)+(-5*(((-98.82*(-98.82-(-5/-5)))*(-98.82-(-98.82/(-5*-98.82))))-(-5/-5)))))</f>
        <v>-4844924.62964</v>
      </c>
      <c r="C119" t="n" s="0">
        <v>-4844924.629639998</v>
      </c>
    </row>
    <row r="120">
      <c r="A120" t="n" s="0">
        <v>-98.81</v>
      </c>
      <c r="B120" t="n" s="0">
        <f>(-5-((((-5*(-5/((-5/(((-5*(-98.81--5))-(-5+((-5*-98.81)*(((-5--5)+(-98.81--5))+-98.81))))-(-5+-5)))*-5)))/-5)--5)+(-5*(((-98.81*(-98.81-(-5/-5)))*(-98.81-(-98.81/(-5*-98.81))))-(-5/-5)))))</f>
        <v>-4843455.986405</v>
      </c>
      <c r="C120" t="n" s="0">
        <v>-4843455.986405</v>
      </c>
    </row>
    <row r="121">
      <c r="A121" t="n" s="0">
        <v>-98.8</v>
      </c>
      <c r="B121" t="n" s="0">
        <f>(-5-((((-5*(-5/((-5/(((-5*(-98.8--5))-(-5+((-5*-98.8)*(((-5--5)+(-98.8--5))+-98.8))))-(-5+-5)))*-5)))/-5)--5)+(-5*(((-98.8*(-98.8-(-5/-5)))*(-98.8-(-98.8/(-5*-98.8))))-(-5/-5)))))</f>
        <v>-4841987.640000001</v>
      </c>
      <c r="C121" t="n" s="0">
        <v>-4841987.64</v>
      </c>
    </row>
    <row r="122">
      <c r="A122" t="n" s="0">
        <v>-98.79</v>
      </c>
      <c r="B122" t="n" s="0">
        <f>(-5-((((-5*(-5/((-5/(((-5*(-98.79--5))-(-5+((-5*-98.79)*(((-5--5)+(-98.79--5))+-98.79))))-(-5+-5)))*-5)))/-5)--5)+(-5*(((-98.79*(-98.79-(-5/-5)))*(-98.79-(-98.79/(-5*-98.79))))-(-5/-5)))))</f>
        <v>-4840519.590395</v>
      </c>
      <c r="C122" t="n" s="0">
        <v>-4840519.590395001</v>
      </c>
    </row>
    <row r="123">
      <c r="A123" t="n" s="0">
        <v>-98.78</v>
      </c>
      <c r="B123" t="n" s="0">
        <f>(-5-((((-5*(-5/((-5/(((-5*(-98.78--5))-(-5+((-5*-98.78)*(((-5--5)+(-98.78--5))+-98.78))))-(-5+-5)))*-5)))/-5)--5)+(-5*(((-98.78*(-98.78-(-5/-5)))*(-98.78-(-98.78/(-5*-98.78))))-(-5/-5)))))</f>
        <v>-4839051.83756</v>
      </c>
      <c r="C123" t="n" s="0">
        <v>-4839051.83756</v>
      </c>
    </row>
    <row r="124">
      <c r="A124" t="n" s="0">
        <v>-98.77</v>
      </c>
      <c r="B124" t="n" s="0">
        <f>(-5-((((-5*(-5/((-5/(((-5*(-98.77--5))-(-5+((-5*-98.77)*(((-5--5)+(-98.77--5))+-98.77))))-(-5+-5)))*-5)))/-5)--5)+(-5*(((-98.77*(-98.77-(-5/-5)))*(-98.77-(-98.77/(-5*-98.77))))-(-5/-5)))))</f>
        <v>-4837584.381465</v>
      </c>
      <c r="C124" t="n" s="0">
        <v>-4837584.381464999</v>
      </c>
    </row>
    <row r="125">
      <c r="A125" t="n" s="0">
        <v>-98.76</v>
      </c>
      <c r="B125" t="n" s="0">
        <f>(-5-((((-5*(-5/((-5/(((-5*(-98.76--5))-(-5+((-5*-98.76)*(((-5--5)+(-98.76--5))+-98.76))))-(-5+-5)))*-5)))/-5)--5)+(-5*(((-98.76*(-98.76-(-5/-5)))*(-98.76-(-98.76/(-5*-98.76))))-(-5/-5)))))</f>
        <v>-4836117.22208</v>
      </c>
      <c r="C125" t="n" s="0">
        <v>-4836117.222080002</v>
      </c>
    </row>
    <row r="126">
      <c r="A126" t="n" s="0">
        <v>-98.75</v>
      </c>
      <c r="B126" t="n" s="0">
        <f>(-5-((((-5*(-5/((-5/(((-5*(-98.75--5))-(-5+((-5*-98.75)*(((-5--5)+(-98.75--5))+-98.75))))-(-5+-5)))*-5)))/-5)--5)+(-5*(((-98.75*(-98.75-(-5/-5)))*(-98.75-(-98.75/(-5*-98.75))))-(-5/-5)))))</f>
        <v>-4834650.359375</v>
      </c>
      <c r="C126" t="n" s="0">
        <v>-4834650.359375</v>
      </c>
    </row>
    <row r="127">
      <c r="A127" t="n" s="0">
        <v>-98.74</v>
      </c>
      <c r="B127" t="n" s="0">
        <f>(-5-((((-5*(-5/((-5/(((-5*(-98.74--5))-(-5+((-5*-98.74)*(((-5--5)+(-98.74--5))+-98.74))))-(-5+-5)))*-5)))/-5)--5)+(-5*(((-98.74*(-98.74-(-5/-5)))*(-98.74-(-98.74/(-5*-98.74))))-(-5/-5)))))</f>
        <v>-4833183.793319999</v>
      </c>
      <c r="C127" t="n" s="0">
        <v>-4833183.793319999</v>
      </c>
    </row>
    <row r="128">
      <c r="A128" t="n" s="0">
        <v>-98.73</v>
      </c>
      <c r="B128" t="n" s="0">
        <f>(-5-((((-5*(-5/((-5/(((-5*(-98.73--5))-(-5+((-5*-98.73)*(((-5--5)+(-98.73--5))+-98.73))))-(-5+-5)))*-5)))/-5)--5)+(-5*(((-98.73*(-98.73-(-5/-5)))*(-98.73-(-98.73/(-5*-98.73))))-(-5/-5)))))</f>
        <v>-4831717.523885</v>
      </c>
      <c r="C128" t="n" s="0">
        <v>-4831717.523885001</v>
      </c>
    </row>
    <row r="129">
      <c r="A129" t="n" s="0">
        <v>-98.72</v>
      </c>
      <c r="B129" t="n" s="0">
        <f>(-5-((((-5*(-5/((-5/(((-5*(-98.72--5))-(-5+((-5*-98.72)*(((-5--5)+(-98.72--5))+-98.72))))-(-5+-5)))*-5)))/-5)--5)+(-5*(((-98.72*(-98.72-(-5/-5)))*(-98.72-(-98.72/(-5*-98.72))))-(-5/-5)))))</f>
        <v>-4830251.551039999</v>
      </c>
      <c r="C129" t="n" s="0">
        <v>-4830251.55104</v>
      </c>
    </row>
    <row r="130">
      <c r="A130" t="n" s="0">
        <v>-98.71</v>
      </c>
      <c r="B130" t="n" s="0">
        <f>(-5-((((-5*(-5/((-5/(((-5*(-98.71--5))-(-5+((-5*-98.71)*(((-5--5)+(-98.71--5))+-98.71))))-(-5+-5)))*-5)))/-5)--5)+(-5*(((-98.71*(-98.71-(-5/-5)))*(-98.71-(-98.71/(-5*-98.71))))-(-5/-5)))))</f>
        <v>-4828785.874755001</v>
      </c>
      <c r="C130" t="n" s="0">
        <v>-4828785.874754999</v>
      </c>
    </row>
    <row r="131">
      <c r="A131" t="n" s="0">
        <v>-98.7</v>
      </c>
      <c r="B131" t="n" s="0">
        <f>(-5-((((-5*(-5/((-5/(((-5*(-98.7--5))-(-5+((-5*-98.7)*(((-5--5)+(-98.7--5))+-98.7))))-(-5+-5)))*-5)))/-5)--5)+(-5*(((-98.7*(-98.7-(-5/-5)))*(-98.7-(-98.7/(-5*-98.7))))-(-5/-5)))))</f>
        <v>-4827320.495</v>
      </c>
      <c r="C131" t="n" s="0">
        <v>-4827320.495</v>
      </c>
    </row>
    <row r="132">
      <c r="A132" t="n" s="0">
        <v>-98.69</v>
      </c>
      <c r="B132" t="n" s="0">
        <f>(-5-((((-5*(-5/((-5/(((-5*(-98.69--5))-(-5+((-5*-98.69)*(((-5--5)+(-98.69--5))+-98.69))))-(-5+-5)))*-5)))/-5)--5)+(-5*(((-98.69*(-98.69-(-5/-5)))*(-98.69-(-98.69/(-5*-98.69))))-(-5/-5)))))</f>
        <v>-4825855.411745</v>
      </c>
      <c r="C132" t="n" s="0">
        <v>-4825855.411745</v>
      </c>
    </row>
    <row r="133">
      <c r="A133" t="n" s="0">
        <v>-98.68</v>
      </c>
      <c r="B133" t="n" s="0">
        <f>(-5-((((-5*(-5/((-5/(((-5*(-98.68--5))-(-5+((-5*-98.68)*(((-5--5)+(-98.68--5))+-98.68))))-(-5+-5)))*-5)))/-5)--5)+(-5*(((-98.68*(-98.68-(-5/-5)))*(-98.68-(-98.68/(-5*-98.68))))-(-5/-5)))))</f>
        <v>-4824390.62496</v>
      </c>
      <c r="C133" t="n" s="0">
        <v>-4824390.624960001</v>
      </c>
    </row>
    <row r="134">
      <c r="A134" t="n" s="0">
        <v>-98.67</v>
      </c>
      <c r="B134" t="n" s="0">
        <f>(-5-((((-5*(-5/((-5/(((-5*(-98.67--5))-(-5+((-5*-98.67)*(((-5--5)+(-98.67--5))+-98.67))))-(-5+-5)))*-5)))/-5)--5)+(-5*(((-98.67*(-98.67-(-5/-5)))*(-98.67-(-98.67/(-5*-98.67))))-(-5/-5)))))</f>
        <v>-4822926.134614999</v>
      </c>
      <c r="C134" t="n" s="0">
        <v>-4822926.134614999</v>
      </c>
    </row>
    <row r="135">
      <c r="A135" t="n" s="0">
        <v>-98.66</v>
      </c>
      <c r="B135" t="n" s="0">
        <f>(-5-((((-5*(-5/((-5/(((-5*(-98.66--5))-(-5+((-5*-98.66)*(((-5--5)+(-98.66--5))+-98.66))))-(-5+-5)))*-5)))/-5)--5)+(-5*(((-98.66*(-98.66-(-5/-5)))*(-98.66-(-98.66/(-5*-98.66))))-(-5/-5)))))</f>
        <v>-4821461.94068</v>
      </c>
      <c r="C135" t="n" s="0">
        <v>-4821461.940679999</v>
      </c>
    </row>
    <row r="136">
      <c r="A136" t="n" s="0">
        <v>-98.65</v>
      </c>
      <c r="B136" t="n" s="0">
        <f>(-5-((((-5*(-5/((-5/(((-5*(-98.65--5))-(-5+((-5*-98.65)*(((-5--5)+(-98.65--5))+-98.65))))-(-5+-5)))*-5)))/-5)--5)+(-5*(((-98.65*(-98.65-(-5/-5)))*(-98.65-(-98.65/(-5*-98.65))))-(-5/-5)))))</f>
        <v>-4819998.043125</v>
      </c>
      <c r="C136" t="n" s="0">
        <v>-4819998.043125001</v>
      </c>
    </row>
    <row r="137">
      <c r="A137" t="n" s="0">
        <v>-98.64</v>
      </c>
      <c r="B137" t="n" s="0">
        <f>(-5-((((-5*(-5/((-5/(((-5*(-98.64--5))-(-5+((-5*-98.64)*(((-5--5)+(-98.64--5))+-98.64))))-(-5+-5)))*-5)))/-5)--5)+(-5*(((-98.64*(-98.64-(-5/-5)))*(-98.64-(-98.64/(-5*-98.64))))-(-5/-5)))))</f>
        <v>-4818534.44192</v>
      </c>
      <c r="C137" t="n" s="0">
        <v>-4818534.44192</v>
      </c>
    </row>
    <row r="138">
      <c r="A138" t="n" s="0">
        <v>-98.63</v>
      </c>
      <c r="B138" t="n" s="0">
        <f>(-5-((((-5*(-5/((-5/(((-5*(-98.63--5))-(-5+((-5*-98.63)*(((-5--5)+(-98.63--5))+-98.63))))-(-5+-5)))*-5)))/-5)--5)+(-5*(((-98.63*(-98.63-(-5/-5)))*(-98.63-(-98.63/(-5*-98.63))))-(-5/-5)))))</f>
        <v>-4817071.137035</v>
      </c>
      <c r="C138" t="n" s="0">
        <v>-4817071.137034999</v>
      </c>
    </row>
    <row r="139">
      <c r="A139" t="n" s="0">
        <v>-98.62</v>
      </c>
      <c r="B139" t="n" s="0">
        <f>(-5-((((-5*(-5/((-5/(((-5*(-98.62--5))-(-5+((-5*-98.62)*(((-5--5)+(-98.62--5))+-98.62))))-(-5+-5)))*-5)))/-5)--5)+(-5*(((-98.62*(-98.62-(-5/-5)))*(-98.62-(-98.62/(-5*-98.62))))-(-5/-5)))))</f>
        <v>-4815608.12844</v>
      </c>
      <c r="C139" t="n" s="0">
        <v>-4815608.128440001</v>
      </c>
    </row>
    <row r="140">
      <c r="A140" t="n" s="0">
        <v>-98.61</v>
      </c>
      <c r="B140" t="n" s="0">
        <f>(-5-((((-5*(-5/((-5/(((-5*(-98.61--5))-(-5+((-5*-98.61)*(((-5--5)+(-98.61--5))+-98.61))))-(-5+-5)))*-5)))/-5)--5)+(-5*(((-98.61*(-98.61-(-5/-5)))*(-98.61-(-98.61/(-5*-98.61))))-(-5/-5)))))</f>
        <v>-4814145.416104999</v>
      </c>
      <c r="C140" t="n" s="0">
        <v>-4814145.416105</v>
      </c>
    </row>
    <row r="141">
      <c r="A141" t="n" s="0">
        <v>-98.6</v>
      </c>
      <c r="B141" t="n" s="0">
        <f>(-5-((((-5*(-5/((-5/(((-5*(-98.6--5))-(-5+((-5*-98.6)*(((-5--5)+(-98.6--5))+-98.6))))-(-5+-5)))*-5)))/-5)--5)+(-5*(((-98.6*(-98.6-(-5/-5)))*(-98.6-(-98.6/(-5*-98.6))))-(-5/-5)))))</f>
        <v>-4812683.0</v>
      </c>
      <c r="C141" t="n" s="0">
        <v>-4812682.999999999</v>
      </c>
    </row>
    <row r="142">
      <c r="A142" t="n" s="0">
        <v>-98.59</v>
      </c>
      <c r="B142" t="n" s="0">
        <f>(-5-((((-5*(-5/((-5/(((-5*(-98.59--5))-(-5+((-5*-98.59)*(((-5--5)+(-98.59--5))+-98.59))))-(-5+-5)))*-5)))/-5)--5)+(-5*(((-98.59*(-98.59-(-5/-5)))*(-98.59-(-98.59/(-5*-98.59))))-(-5/-5)))))</f>
        <v>-4811220.880095</v>
      </c>
      <c r="C142" t="n" s="0">
        <v>-4811220.880095</v>
      </c>
    </row>
    <row r="143">
      <c r="A143" t="n" s="0">
        <v>-98.58</v>
      </c>
      <c r="B143" t="n" s="0">
        <f>(-5-((((-5*(-5/((-5/(((-5*(-98.58--5))-(-5+((-5*-98.58)*(((-5--5)+(-98.58--5))+-98.58))))-(-5+-5)))*-5)))/-5)--5)+(-5*(((-98.58*(-98.58-(-5/-5)))*(-98.58-(-98.58/(-5*-98.58))))-(-5/-5)))))</f>
        <v>-4809759.05636</v>
      </c>
      <c r="C143" t="n" s="0">
        <v>-4809759.05636</v>
      </c>
    </row>
    <row r="144">
      <c r="A144" t="n" s="0">
        <v>-98.57</v>
      </c>
      <c r="B144" t="n" s="0">
        <f>(-5-((((-5*(-5/((-5/(((-5*(-98.57--5))-(-5+((-5*-98.57)*(((-5--5)+(-98.57--5))+-98.57))))-(-5+-5)))*-5)))/-5)--5)+(-5*(((-98.57*(-98.57-(-5/-5)))*(-98.57-(-98.57/(-5*-98.57))))-(-5/-5)))))</f>
        <v>-4808297.528765</v>
      </c>
      <c r="C144" t="n" s="0">
        <v>-4808297.5287649995</v>
      </c>
    </row>
    <row r="145">
      <c r="A145" t="n" s="0">
        <v>-98.56</v>
      </c>
      <c r="B145" t="n" s="0">
        <f>(-5-((((-5*(-5/((-5/(((-5*(-98.56--5))-(-5+((-5*-98.56)*(((-5--5)+(-98.56--5))+-98.56))))-(-5+-5)))*-5)))/-5)--5)+(-5*(((-98.56*(-98.56-(-5/-5)))*(-98.56-(-98.56/(-5*-98.56))))-(-5/-5)))))</f>
        <v>-4806836.29728</v>
      </c>
      <c r="C145" t="n" s="0">
        <v>-4806836.29728</v>
      </c>
    </row>
    <row r="146">
      <c r="A146" t="n" s="0">
        <v>-98.55</v>
      </c>
      <c r="B146" t="n" s="0">
        <f>(-5-((((-5*(-5/((-5/(((-5*(-98.55--5))-(-5+((-5*-98.55)*(((-5--5)+(-98.55--5))+-98.55))))-(-5+-5)))*-5)))/-5)--5)+(-5*(((-98.55*(-98.55-(-5/-5)))*(-98.55-(-98.55/(-5*-98.55))))-(-5/-5)))))</f>
        <v>-4805375.361875</v>
      </c>
      <c r="C146" t="n" s="0">
        <v>-4805375.361875</v>
      </c>
    </row>
    <row r="147">
      <c r="A147" t="n" s="0">
        <v>-98.54</v>
      </c>
      <c r="B147" t="n" s="0">
        <f>(-5-((((-5*(-5/((-5/(((-5*(-98.54--5))-(-5+((-5*-98.54)*(((-5--5)+(-98.54--5))+-98.54))))-(-5+-5)))*-5)))/-5)--5)+(-5*(((-98.54*(-98.54-(-5/-5)))*(-98.54-(-98.54/(-5*-98.54))))-(-5/-5)))))</f>
        <v>-4803914.72252</v>
      </c>
      <c r="C147" t="n" s="0">
        <v>-4803914.72252</v>
      </c>
    </row>
    <row r="148">
      <c r="A148" t="n" s="0">
        <v>-98.53</v>
      </c>
      <c r="B148" t="n" s="0">
        <f>(-5-((((-5*(-5/((-5/(((-5*(-98.53--5))-(-5+((-5*-98.53)*(((-5--5)+(-98.53--5))+-98.53))))-(-5+-5)))*-5)))/-5)--5)+(-5*(((-98.53*(-98.53-(-5/-5)))*(-98.53-(-98.53/(-5*-98.53))))-(-5/-5)))))</f>
        <v>-4802454.379185</v>
      </c>
      <c r="C148" t="n" s="0">
        <v>-4802454.3791849995</v>
      </c>
    </row>
    <row r="149">
      <c r="A149" t="n" s="0">
        <v>-98.52</v>
      </c>
      <c r="B149" t="n" s="0">
        <f>(-5-((((-5*(-5/((-5/(((-5*(-98.52--5))-(-5+((-5*-98.52)*(((-5--5)+(-98.52--5))+-98.52))))-(-5+-5)))*-5)))/-5)--5)+(-5*(((-98.52*(-98.52-(-5/-5)))*(-98.52-(-98.52/(-5*-98.52))))-(-5/-5)))))</f>
        <v>-4800994.33184</v>
      </c>
      <c r="C149" t="n" s="0">
        <v>-4800994.331839999</v>
      </c>
    </row>
    <row r="150">
      <c r="A150" t="n" s="0">
        <v>-98.51</v>
      </c>
      <c r="B150" t="n" s="0">
        <f>(-5-((((-5*(-5/((-5/(((-5*(-98.51--5))-(-5+((-5*-98.51)*(((-5--5)+(-98.51--5))+-98.51))))-(-5+-5)))*-5)))/-5)--5)+(-5*(((-98.51*(-98.51-(-5/-5)))*(-98.51-(-98.51/(-5*-98.51))))-(-5/-5)))))</f>
        <v>-4799534.580455</v>
      </c>
      <c r="C150" t="n" s="0">
        <v>-4799534.5804550005</v>
      </c>
    </row>
    <row r="151">
      <c r="A151" t="n" s="0">
        <v>-98.5</v>
      </c>
      <c r="B151" t="n" s="0">
        <f>(-5-((((-5*(-5/((-5/(((-5*(-98.5--5))-(-5+((-5*-98.5)*(((-5--5)+(-98.5--5))+-98.5))))-(-5+-5)))*-5)))/-5)--5)+(-5*(((-98.5*(-98.5-(-5/-5)))*(-98.5-(-98.5/(-5*-98.5))))-(-5/-5)))))</f>
        <v>-4798075.125</v>
      </c>
      <c r="C151" t="n" s="0">
        <v>-4798075.125</v>
      </c>
    </row>
    <row r="152">
      <c r="A152" t="n" s="0">
        <v>-98.49</v>
      </c>
      <c r="B152" t="n" s="0">
        <f>(-5-((((-5*(-5/((-5/(((-5*(-98.49--5))-(-5+((-5*-98.49)*(((-5--5)+(-98.49--5))+-98.49))))-(-5+-5)))*-5)))/-5)--5)+(-5*(((-98.49*(-98.49-(-5/-5)))*(-98.49-(-98.49/(-5*-98.49))))-(-5/-5)))))</f>
        <v>-4796615.965445</v>
      </c>
      <c r="C152" t="n" s="0">
        <v>-4796615.965444999</v>
      </c>
    </row>
    <row r="153">
      <c r="A153" t="n" s="0">
        <v>-98.48</v>
      </c>
      <c r="B153" t="n" s="0">
        <f>(-5-((((-5*(-5/((-5/(((-5*(-98.48--5))-(-5+((-5*-98.48)*(((-5--5)+(-98.48--5))+-98.48))))-(-5+-5)))*-5)))/-5)--5)+(-5*(((-98.48*(-98.48-(-5/-5)))*(-98.48-(-98.48/(-5*-98.48))))-(-5/-5)))))</f>
        <v>-4795157.10176</v>
      </c>
      <c r="C153" t="n" s="0">
        <v>-4795157.101760001</v>
      </c>
    </row>
    <row r="154">
      <c r="A154" t="n" s="0">
        <v>-98.47</v>
      </c>
      <c r="B154" t="n" s="0">
        <f>(-5-((((-5*(-5/((-5/(((-5*(-98.47--5))-(-5+((-5*-98.47)*(((-5--5)+(-98.47--5))+-98.47))))-(-5+-5)))*-5)))/-5)--5)+(-5*(((-98.47*(-98.47-(-5/-5)))*(-98.47-(-98.47/(-5*-98.47))))-(-5/-5)))))</f>
        <v>-4793698.533915</v>
      </c>
      <c r="C154" t="n" s="0">
        <v>-4793698.533915</v>
      </c>
    </row>
    <row r="155">
      <c r="A155" t="n" s="0">
        <v>-98.46</v>
      </c>
      <c r="B155" t="n" s="0">
        <f>(-5-((((-5*(-5/((-5/(((-5*(-98.46--5))-(-5+((-5*-98.46)*(((-5--5)+(-98.46--5))+-98.46))))-(-5+-5)))*-5)))/-5)--5)+(-5*(((-98.46*(-98.46-(-5/-5)))*(-98.46-(-98.46/(-5*-98.46))))-(-5/-5)))))</f>
        <v>-4792240.26188</v>
      </c>
      <c r="C155" t="n" s="0">
        <v>-4792240.261879999</v>
      </c>
    </row>
    <row r="156">
      <c r="A156" t="n" s="0">
        <v>-98.45</v>
      </c>
      <c r="B156" t="n" s="0">
        <f>(-5-((((-5*(-5/((-5/(((-5*(-98.45--5))-(-5+((-5*-98.45)*(((-5--5)+(-98.45--5))+-98.45))))-(-5+-5)))*-5)))/-5)--5)+(-5*(((-98.45*(-98.45-(-5/-5)))*(-98.45-(-98.45/(-5*-98.45))))-(-5/-5)))))</f>
        <v>-4790782.2856250005</v>
      </c>
      <c r="C156" t="n" s="0">
        <v>-4790782.285625</v>
      </c>
    </row>
    <row r="157">
      <c r="A157" t="n" s="0">
        <v>-98.44</v>
      </c>
      <c r="B157" t="n" s="0">
        <f>(-5-((((-5*(-5/((-5/(((-5*(-98.44--5))-(-5+((-5*-98.44)*(((-5--5)+(-98.44--5))+-98.44))))-(-5+-5)))*-5)))/-5)--5)+(-5*(((-98.44*(-98.44-(-5/-5)))*(-98.44-(-98.44/(-5*-98.44))))-(-5/-5)))))</f>
        <v>-4789324.6051199995</v>
      </c>
      <c r="C157" t="n" s="0">
        <v>-4789324.60512</v>
      </c>
    </row>
    <row r="158">
      <c r="A158" t="n" s="0">
        <v>-98.43</v>
      </c>
      <c r="B158" t="n" s="0">
        <f>(-5-((((-5*(-5/((-5/(((-5*(-98.43--5))-(-5+((-5*-98.43)*(((-5--5)+(-98.43--5))+-98.43))))-(-5+-5)))*-5)))/-5)--5)+(-5*(((-98.43*(-98.43-(-5/-5)))*(-98.43-(-98.43/(-5*-98.43))))-(-5/-5)))))</f>
        <v>-4787867.220334999</v>
      </c>
      <c r="C158" t="n" s="0">
        <v>-4787867.220335001</v>
      </c>
    </row>
    <row r="159">
      <c r="A159" t="n" s="0">
        <v>-98.42</v>
      </c>
      <c r="B159" t="n" s="0">
        <f>(-5-((((-5*(-5/((-5/(((-5*(-98.42--5))-(-5+((-5*-98.42)*(((-5--5)+(-98.42--5))+-98.42))))-(-5+-5)))*-5)))/-5)--5)+(-5*(((-98.42*(-98.42-(-5/-5)))*(-98.42-(-98.42/(-5*-98.42))))-(-5/-5)))))</f>
        <v>-4786410.13124</v>
      </c>
      <c r="C159" t="n" s="0">
        <v>-4786410.13124</v>
      </c>
    </row>
    <row r="160">
      <c r="A160" t="n" s="0">
        <v>-98.41</v>
      </c>
      <c r="B160" t="n" s="0">
        <f>(-5-((((-5*(-5/((-5/(((-5*(-98.41--5))-(-5+((-5*-98.41)*(((-5--5)+(-98.41--5))+-98.41))))-(-5+-5)))*-5)))/-5)--5)+(-5*(((-98.41*(-98.41-(-5/-5)))*(-98.41-(-98.41/(-5*-98.41))))-(-5/-5)))))</f>
        <v>-4784953.337805</v>
      </c>
      <c r="C160" t="n" s="0">
        <v>-4784953.337805</v>
      </c>
    </row>
    <row r="161">
      <c r="A161" t="n" s="0">
        <v>-98.4</v>
      </c>
      <c r="B161" t="n" s="0">
        <f>(-5-((((-5*(-5/((-5/(((-5*(-98.4--5))-(-5+((-5*-98.4)*(((-5--5)+(-98.4--5))+-98.4))))-(-5+-5)))*-5)))/-5)--5)+(-5*(((-98.4*(-98.4-(-5/-5)))*(-98.4-(-98.4/(-5*-98.4))))-(-5/-5)))))</f>
        <v>-4783496.840000001</v>
      </c>
      <c r="C161" t="n" s="0">
        <v>-4783496.840000002</v>
      </c>
    </row>
    <row r="162">
      <c r="A162" t="n" s="0">
        <v>-98.39</v>
      </c>
      <c r="B162" t="n" s="0">
        <f>(-5-((((-5*(-5/((-5/(((-5*(-98.39--5))-(-5+((-5*-98.39)*(((-5--5)+(-98.39--5))+-98.39))))-(-5+-5)))*-5)))/-5)--5)+(-5*(((-98.39*(-98.39-(-5/-5)))*(-98.39-(-98.39/(-5*-98.39))))-(-5/-5)))))</f>
        <v>-4782040.637794999</v>
      </c>
      <c r="C162" t="n" s="0">
        <v>-4782040.637795</v>
      </c>
    </row>
    <row r="163">
      <c r="A163" t="n" s="0">
        <v>-98.38</v>
      </c>
      <c r="B163" t="n" s="0">
        <f>(-5-((((-5*(-5/((-5/(((-5*(-98.38--5))-(-5+((-5*-98.38)*(((-5--5)+(-98.38--5))+-98.38))))-(-5+-5)))*-5)))/-5)--5)+(-5*(((-98.38*(-98.38-(-5/-5)))*(-98.38-(-98.38/(-5*-98.38))))-(-5/-5)))))</f>
        <v>-4780584.73116</v>
      </c>
      <c r="C163" t="n" s="0">
        <v>-4780584.731159999</v>
      </c>
    </row>
    <row r="164">
      <c r="A164" t="n" s="0">
        <v>-98.37</v>
      </c>
      <c r="B164" t="n" s="0">
        <f>(-5-((((-5*(-5/((-5/(((-5*(-98.37--5))-(-5+((-5*-98.37)*(((-5--5)+(-98.37--5))+-98.37))))-(-5+-5)))*-5)))/-5)--5)+(-5*(((-98.37*(-98.37-(-5/-5)))*(-98.37-(-98.37/(-5*-98.37))))-(-5/-5)))))</f>
        <v>-4779129.120065</v>
      </c>
      <c r="C164" t="n" s="0">
        <v>-4779129.120065001</v>
      </c>
    </row>
    <row r="165">
      <c r="A165" t="n" s="0">
        <v>-98.36</v>
      </c>
      <c r="B165" t="n" s="0">
        <f>(-5-((((-5*(-5/((-5/(((-5*(-98.36--5))-(-5+((-5*-98.36)*(((-5--5)+(-98.36--5))+-98.36))))-(-5+-5)))*-5)))/-5)--5)+(-5*(((-98.36*(-98.36-(-5/-5)))*(-98.36-(-98.36/(-5*-98.36))))-(-5/-5)))))</f>
        <v>-4777673.80448</v>
      </c>
      <c r="C165" t="n" s="0">
        <v>-4777673.80448</v>
      </c>
    </row>
    <row r="166">
      <c r="A166" t="n" s="0">
        <v>-98.35</v>
      </c>
      <c r="B166" t="n" s="0">
        <f>(-5-((((-5*(-5/((-5/(((-5*(-98.35--5))-(-5+((-5*-98.35)*(((-5--5)+(-98.35--5))+-98.35))))-(-5+-5)))*-5)))/-5)--5)+(-5*(((-98.35*(-98.35-(-5/-5)))*(-98.35-(-98.35/(-5*-98.35))))-(-5/-5)))))</f>
        <v>-4776218.784375</v>
      </c>
      <c r="C166" t="n" s="0">
        <v>-4776218.784374999</v>
      </c>
    </row>
    <row r="167">
      <c r="A167" t="n" s="0">
        <v>-98.34</v>
      </c>
      <c r="B167" t="n" s="0">
        <f>(-5-((((-5*(-5/((-5/(((-5*(-98.34--5))-(-5+((-5*-98.34)*(((-5--5)+(-98.34--5))+-98.34))))-(-5+-5)))*-5)))/-5)--5)+(-5*(((-98.34*(-98.34-(-5/-5)))*(-98.34-(-98.34/(-5*-98.34))))-(-5/-5)))))</f>
        <v>-4774764.05972</v>
      </c>
      <c r="C167" t="n" s="0">
        <v>-4774764.059719999</v>
      </c>
    </row>
    <row r="168">
      <c r="A168" t="n" s="0">
        <v>-98.33</v>
      </c>
      <c r="B168" t="n" s="0">
        <f>(-5-((((-5*(-5/((-5/(((-5*(-98.33--5))-(-5+((-5*-98.33)*(((-5--5)+(-98.33--5))+-98.33))))-(-5+-5)))*-5)))/-5)--5)+(-5*(((-98.33*(-98.33-(-5/-5)))*(-98.33-(-98.33/(-5*-98.33))))-(-5/-5)))))</f>
        <v>-4773309.630485</v>
      </c>
      <c r="C168" t="n" s="0">
        <v>-4773309.630485</v>
      </c>
    </row>
    <row r="169">
      <c r="A169" t="n" s="0">
        <v>-98.32</v>
      </c>
      <c r="B169" t="n" s="0">
        <f>(-5-((((-5*(-5/((-5/(((-5*(-98.32--5))-(-5+((-5*-98.32)*(((-5--5)+(-98.32--5))+-98.32))))-(-5+-5)))*-5)))/-5)--5)+(-5*(((-98.32*(-98.32-(-5/-5)))*(-98.32-(-98.32/(-5*-98.32))))-(-5/-5)))))</f>
        <v>-4771855.4966400005</v>
      </c>
      <c r="C169" t="n" s="0">
        <v>-4771855.496639999</v>
      </c>
    </row>
    <row r="170">
      <c r="A170" t="n" s="0">
        <v>-98.31</v>
      </c>
      <c r="B170" t="n" s="0">
        <f>(-5-((((-5*(-5/((-5/(((-5*(-98.31--5))-(-5+((-5*-98.31)*(((-5--5)+(-98.31--5))+-98.31))))-(-5+-5)))*-5)))/-5)--5)+(-5*(((-98.31*(-98.31-(-5/-5)))*(-98.31-(-98.31/(-5*-98.31))))-(-5/-5)))))</f>
        <v>-4770401.658155</v>
      </c>
      <c r="C170" t="n" s="0">
        <v>-4770401.658155</v>
      </c>
    </row>
    <row r="171">
      <c r="A171" t="n" s="0">
        <v>-98.3</v>
      </c>
      <c r="B171" t="n" s="0">
        <f>(-5-((((-5*(-5/((-5/(((-5*(-98.3--5))-(-5+((-5*-98.3)*(((-5--5)+(-98.3--5))+-98.3))))-(-5+-5)))*-5)))/-5)--5)+(-5*(((-98.3*(-98.3-(-5/-5)))*(-98.3-(-98.3/(-5*-98.3))))-(-5/-5)))))</f>
        <v>-4768948.115</v>
      </c>
      <c r="C171" t="n" s="0">
        <v>-4768948.115</v>
      </c>
    </row>
    <row r="172">
      <c r="A172" t="n" s="0">
        <v>-98.29</v>
      </c>
      <c r="B172" t="n" s="0">
        <f>(-5-((((-5*(-5/((-5/(((-5*(-98.29--5))-(-5+((-5*-98.29)*(((-5--5)+(-98.29--5))+-98.29))))-(-5+-5)))*-5)))/-5)--5)+(-5*(((-98.29*(-98.29-(-5/-5)))*(-98.29-(-98.29/(-5*-98.29))))-(-5/-5)))))</f>
        <v>-4767494.867145</v>
      </c>
      <c r="C172" t="n" s="0">
        <v>-4767494.867145001</v>
      </c>
    </row>
    <row r="173">
      <c r="A173" t="n" s="0">
        <v>-98.28</v>
      </c>
      <c r="B173" t="n" s="0">
        <f>(-5-((((-5*(-5/((-5/(((-5*(-98.28--5))-(-5+((-5*-98.28)*(((-5--5)+(-98.28--5))+-98.28))))-(-5+-5)))*-5)))/-5)--5)+(-5*(((-98.28*(-98.28-(-5/-5)))*(-98.28-(-98.28/(-5*-98.28))))-(-5/-5)))))</f>
        <v>-4766041.91456</v>
      </c>
      <c r="C173" t="n" s="0">
        <v>-4766041.9145599995</v>
      </c>
    </row>
    <row r="174">
      <c r="A174" t="n" s="0">
        <v>-98.27</v>
      </c>
      <c r="B174" t="n" s="0">
        <f>(-5-((((-5*(-5/((-5/(((-5*(-98.27--5))-(-5+((-5*-98.27)*(((-5--5)+(-98.27--5))+-98.27))))-(-5+-5)))*-5)))/-5)--5)+(-5*(((-98.27*(-98.27-(-5/-5)))*(-98.27-(-98.27/(-5*-98.27))))-(-5/-5)))))</f>
        <v>-4764589.257215</v>
      </c>
      <c r="C174" t="n" s="0">
        <v>-4764589.257214999</v>
      </c>
    </row>
    <row r="175">
      <c r="A175" t="n" s="0">
        <v>-98.26</v>
      </c>
      <c r="B175" t="n" s="0">
        <f>(-5-((((-5*(-5/((-5/(((-5*(-98.26--5))-(-5+((-5*-98.26)*(((-5--5)+(-98.26--5))+-98.26))))-(-5+-5)))*-5)))/-5)--5)+(-5*(((-98.26*(-98.26-(-5/-5)))*(-98.26-(-98.26/(-5*-98.26))))-(-5/-5)))))</f>
        <v>-4763136.89508</v>
      </c>
      <c r="C175" t="n" s="0">
        <v>-4763136.895080001</v>
      </c>
    </row>
    <row r="176">
      <c r="A176" t="n" s="0">
        <v>-98.25</v>
      </c>
      <c r="B176" t="n" s="0">
        <f>(-5-((((-5*(-5/((-5/(((-5*(-98.25--5))-(-5+((-5*-98.25)*(((-5--5)+(-98.25--5))+-98.25))))-(-5+-5)))*-5)))/-5)--5)+(-5*(((-98.25*(-98.25-(-5/-5)))*(-98.25-(-98.25/(-5*-98.25))))-(-5/-5)))))</f>
        <v>-4761684.828125</v>
      </c>
      <c r="C176" t="n" s="0">
        <v>-4761684.828125</v>
      </c>
    </row>
    <row r="177">
      <c r="A177" t="n" s="0">
        <v>-98.24</v>
      </c>
      <c r="B177" t="n" s="0">
        <f>(-5-((((-5*(-5/((-5/(((-5*(-98.24--5))-(-5+((-5*-98.24)*(((-5--5)+(-98.24--5))+-98.24))))-(-5+-5)))*-5)))/-5)--5)+(-5*(((-98.24*(-98.24-(-5/-5)))*(-98.24-(-98.24/(-5*-98.24))))-(-5/-5)))))</f>
        <v>-4760233.05632</v>
      </c>
      <c r="C177" t="n" s="0">
        <v>-4760233.056319999</v>
      </c>
    </row>
    <row r="178">
      <c r="A178" t="n" s="0">
        <v>-98.23</v>
      </c>
      <c r="B178" t="n" s="0">
        <f>(-5-((((-5*(-5/((-5/(((-5*(-98.23--5))-(-5+((-5*-98.23)*(((-5--5)+(-98.23--5))+-98.23))))-(-5+-5)))*-5)))/-5)--5)+(-5*(((-98.23*(-98.23-(-5/-5)))*(-98.23-(-98.23/(-5*-98.23))))-(-5/-5)))))</f>
        <v>-4758781.579635</v>
      </c>
      <c r="C178" t="n" s="0">
        <v>-4758781.579635002</v>
      </c>
    </row>
    <row r="179">
      <c r="A179" t="n" s="0">
        <v>-98.22</v>
      </c>
      <c r="B179" t="n" s="0">
        <f>(-5-((((-5*(-5/((-5/(((-5*(-98.22--5))-(-5+((-5*-98.22)*(((-5--5)+(-98.22--5))+-98.22))))-(-5+-5)))*-5)))/-5)--5)+(-5*(((-98.22*(-98.22-(-5/-5)))*(-98.22-(-98.22/(-5*-98.22))))-(-5/-5)))))</f>
        <v>-4757330.39804</v>
      </c>
      <c r="C179" t="n" s="0">
        <v>-4757330.398039999</v>
      </c>
    </row>
    <row r="180">
      <c r="A180" t="n" s="0">
        <v>-98.21</v>
      </c>
      <c r="B180" t="n" s="0">
        <f>(-5-((((-5*(-5/((-5/(((-5*(-98.21--5))-(-5+((-5*-98.21)*(((-5--5)+(-98.21--5))+-98.21))))-(-5+-5)))*-5)))/-5)--5)+(-5*(((-98.21*(-98.21-(-5/-5)))*(-98.21-(-98.21/(-5*-98.21))))-(-5/-5)))))</f>
        <v>-4755879.511505</v>
      </c>
      <c r="C180" t="n" s="0">
        <v>-4755879.511504999</v>
      </c>
    </row>
    <row r="181">
      <c r="A181" t="n" s="0">
        <v>-98.2</v>
      </c>
      <c r="B181" t="n" s="0">
        <f>(-5-((((-5*(-5/((-5/(((-5*(-98.2--5))-(-5+((-5*-98.2)*(((-5--5)+(-98.2--5))+-98.2))))-(-5+-5)))*-5)))/-5)--5)+(-5*(((-98.2*(-98.2-(-5/-5)))*(-98.2-(-98.2/(-5*-98.2))))-(-5/-5)))))</f>
        <v>-4754428.92</v>
      </c>
      <c r="C181" t="n" s="0">
        <v>-4754428.92</v>
      </c>
    </row>
    <row r="182">
      <c r="A182" t="n" s="0">
        <v>-98.19</v>
      </c>
      <c r="B182" t="n" s="0">
        <f>(-5-((((-5*(-5/((-5/(((-5*(-98.19--5))-(-5+((-5*-98.19)*(((-5--5)+(-98.19--5))+-98.19))))-(-5+-5)))*-5)))/-5)--5)+(-5*(((-98.19*(-98.19-(-5/-5)))*(-98.19-(-98.19/(-5*-98.19))))-(-5/-5)))))</f>
        <v>-4752978.623495</v>
      </c>
      <c r="C182" t="n" s="0">
        <v>-4752978.6234949995</v>
      </c>
    </row>
    <row r="183">
      <c r="A183" t="n" s="0">
        <v>-98.18</v>
      </c>
      <c r="B183" t="n" s="0">
        <f>(-5-((((-5*(-5/((-5/(((-5*(-98.18--5))-(-5+((-5*-98.18)*(((-5--5)+(-98.18--5))+-98.18))))-(-5+-5)))*-5)))/-5)--5)+(-5*(((-98.18*(-98.18-(-5/-5)))*(-98.18-(-98.18/(-5*-98.18))))-(-5/-5)))))</f>
        <v>-4751528.62196</v>
      </c>
      <c r="C183" t="n" s="0">
        <v>-4751528.621960002</v>
      </c>
    </row>
    <row r="184">
      <c r="A184" t="n" s="0">
        <v>-98.17</v>
      </c>
      <c r="B184" t="n" s="0">
        <f>(-5-((((-5*(-5/((-5/(((-5*(-98.17--5))-(-5+((-5*-98.17)*(((-5--5)+(-98.17--5))+-98.17))))-(-5+-5)))*-5)))/-5)--5)+(-5*(((-98.17*(-98.17-(-5/-5)))*(-98.17-(-98.17/(-5*-98.17))))-(-5/-5)))))</f>
        <v>-4750078.915365</v>
      </c>
      <c r="C184" t="n" s="0">
        <v>-4750078.915365</v>
      </c>
    </row>
    <row r="185">
      <c r="A185" t="n" s="0">
        <v>-98.16</v>
      </c>
      <c r="B185" t="n" s="0">
        <f>(-5-((((-5*(-5/((-5/(((-5*(-98.16--5))-(-5+((-5*-98.16)*(((-5--5)+(-98.16--5))+-98.16))))-(-5+-5)))*-5)))/-5)--5)+(-5*(((-98.16*(-98.16-(-5/-5)))*(-98.16-(-98.16/(-5*-98.16))))-(-5/-5)))))</f>
        <v>-4748629.50368</v>
      </c>
      <c r="C185" t="n" s="0">
        <v>-4748629.50368</v>
      </c>
    </row>
    <row r="186">
      <c r="A186" t="n" s="0">
        <v>-98.15</v>
      </c>
      <c r="B186" t="n" s="0">
        <f>(-5-((((-5*(-5/((-5/(((-5*(-98.15--5))-(-5+((-5*-98.15)*(((-5--5)+(-98.15--5))+-98.15))))-(-5+-5)))*-5)))/-5)--5)+(-5*(((-98.15*(-98.15-(-5/-5)))*(-98.15-(-98.15/(-5*-98.15))))-(-5/-5)))))</f>
        <v>-4747180.386875</v>
      </c>
      <c r="C186" t="n" s="0">
        <v>-4747180.386875001</v>
      </c>
    </row>
    <row r="187">
      <c r="A187" t="n" s="0">
        <v>-98.14</v>
      </c>
      <c r="B187" t="n" s="0">
        <f>(-5-((((-5*(-5/((-5/(((-5*(-98.14--5))-(-5+((-5*-98.14)*(((-5--5)+(-98.14--5))+-98.14))))-(-5+-5)))*-5)))/-5)--5)+(-5*(((-98.14*(-98.14-(-5/-5)))*(-98.14-(-98.14/(-5*-98.14))))-(-5/-5)))))</f>
        <v>-4745731.56492</v>
      </c>
      <c r="C187" t="n" s="0">
        <v>-4745731.56492</v>
      </c>
    </row>
    <row r="188">
      <c r="A188" t="n" s="0">
        <v>-98.13</v>
      </c>
      <c r="B188" t="n" s="0">
        <f>(-5-((((-5*(-5/((-5/(((-5*(-98.13--5))-(-5+((-5*-98.13)*(((-5--5)+(-98.13--5))+-98.13))))-(-5+-5)))*-5)))/-5)--5)+(-5*(((-98.13*(-98.13-(-5/-5)))*(-98.13-(-98.13/(-5*-98.13))))-(-5/-5)))))</f>
        <v>-4744283.037785</v>
      </c>
      <c r="C188" t="n" s="0">
        <v>-4744283.037784999</v>
      </c>
    </row>
    <row r="189">
      <c r="A189" t="n" s="0">
        <v>-98.12</v>
      </c>
      <c r="B189" t="n" s="0">
        <f>(-5-((((-5*(-5/((-5/(((-5*(-98.12--5))-(-5+((-5*-98.12)*(((-5--5)+(-98.12--5))+-98.12))))-(-5+-5)))*-5)))/-5)--5)+(-5*(((-98.12*(-98.12-(-5/-5)))*(-98.12-(-98.12/(-5*-98.12))))-(-5/-5)))))</f>
        <v>-4742834.80544</v>
      </c>
      <c r="C189" t="n" s="0">
        <v>-4742834.80544</v>
      </c>
    </row>
    <row r="190">
      <c r="A190" t="n" s="0">
        <v>-98.11</v>
      </c>
      <c r="B190" t="n" s="0">
        <f>(-5-((((-5*(-5/((-5/(((-5*(-98.11--5))-(-5+((-5*-98.11)*(((-5--5)+(-98.11--5))+-98.11))))-(-5+-5)))*-5)))/-5)--5)+(-5*(((-98.11*(-98.11-(-5/-5)))*(-98.11-(-98.11/(-5*-98.11))))-(-5/-5)))))</f>
        <v>-4741386.867855</v>
      </c>
      <c r="C190" t="n" s="0">
        <v>-4741386.867855</v>
      </c>
    </row>
    <row r="191">
      <c r="A191" t="n" s="0">
        <v>-98.1</v>
      </c>
      <c r="B191" t="n" s="0">
        <f>(-5-((((-5*(-5/((-5/(((-5*(-98.1--5))-(-5+((-5*-98.1)*(((-5--5)+(-98.1--5))+-98.1))))-(-5+-5)))*-5)))/-5)--5)+(-5*(((-98.1*(-98.1-(-5/-5)))*(-98.1-(-98.1/(-5*-98.1))))-(-5/-5)))))</f>
        <v>-4739939.225</v>
      </c>
      <c r="C191" t="n" s="0">
        <v>-4739939.224999999</v>
      </c>
    </row>
    <row r="192">
      <c r="A192" t="n" s="0">
        <v>-98.09</v>
      </c>
      <c r="B192" t="n" s="0">
        <f>(-5-((((-5*(-5/((-5/(((-5*(-98.09--5))-(-5+((-5*-98.09)*(((-5--5)+(-98.09--5))+-98.09))))-(-5+-5)))*-5)))/-5)--5)+(-5*(((-98.09*(-98.09-(-5/-5)))*(-98.09-(-98.09/(-5*-98.09))))-(-5/-5)))))</f>
        <v>-4738491.876844999</v>
      </c>
      <c r="C192" t="n" s="0">
        <v>-4738491.876845</v>
      </c>
    </row>
    <row r="193">
      <c r="A193" t="n" s="0">
        <v>-98.08</v>
      </c>
      <c r="B193" t="n" s="0">
        <f>(-5-((((-5*(-5/((-5/(((-5*(-98.08--5))-(-5+((-5*-98.08)*(((-5--5)+(-98.08--5))+-98.08))))-(-5+-5)))*-5)))/-5)--5)+(-5*(((-98.08*(-98.08-(-5/-5)))*(-98.08-(-98.08/(-5*-98.08))))-(-5/-5)))))</f>
        <v>-4737044.823360001</v>
      </c>
      <c r="C193" t="n" s="0">
        <v>-4737044.82336</v>
      </c>
    </row>
    <row r="194">
      <c r="A194" t="n" s="0">
        <v>-98.07</v>
      </c>
      <c r="B194" t="n" s="0">
        <f>(-5-((((-5*(-5/((-5/(((-5*(-98.07--5))-(-5+((-5*-98.07)*(((-5--5)+(-98.07--5))+-98.07))))-(-5+-5)))*-5)))/-5)--5)+(-5*(((-98.07*(-98.07-(-5/-5)))*(-98.07-(-98.07/(-5*-98.07))))-(-5/-5)))))</f>
        <v>-4735598.064514999</v>
      </c>
      <c r="C194" t="n" s="0">
        <v>-4735598.064514998</v>
      </c>
    </row>
    <row r="195">
      <c r="A195" t="n" s="0">
        <v>-98.06</v>
      </c>
      <c r="B195" t="n" s="0">
        <f>(-5-((((-5*(-5/((-5/(((-5*(-98.06--5))-(-5+((-5*-98.06)*(((-5--5)+(-98.06--5))+-98.06))))-(-5+-5)))*-5)))/-5)--5)+(-5*(((-98.06*(-98.06-(-5/-5)))*(-98.06-(-98.06/(-5*-98.06))))-(-5/-5)))))</f>
        <v>-4734151.60028</v>
      </c>
      <c r="C195" t="n" s="0">
        <v>-4734151.600280001</v>
      </c>
    </row>
    <row r="196">
      <c r="A196" t="n" s="0">
        <v>-98.05</v>
      </c>
      <c r="B196" t="n" s="0">
        <f>(-5-((((-5*(-5/((-5/(((-5*(-98.05--5))-(-5+((-5*-98.05)*(((-5--5)+(-98.05--5))+-98.05))))-(-5+-5)))*-5)))/-5)--5)+(-5*(((-98.05*(-98.05-(-5/-5)))*(-98.05-(-98.05/(-5*-98.05))))-(-5/-5)))))</f>
        <v>-4732705.430625</v>
      </c>
      <c r="C196" t="n" s="0">
        <v>-4732705.430625</v>
      </c>
    </row>
    <row r="197">
      <c r="A197" t="n" s="0">
        <v>-98.04</v>
      </c>
      <c r="B197" t="n" s="0">
        <f>(-5-((((-5*(-5/((-5/(((-5*(-98.04--5))-(-5+((-5*-98.04)*(((-5--5)+(-98.04--5))+-98.04))))-(-5+-5)))*-5)))/-5)--5)+(-5*(((-98.04*(-98.04-(-5/-5)))*(-98.04-(-98.04/(-5*-98.04))))-(-5/-5)))))</f>
        <v>-4731259.55552</v>
      </c>
      <c r="C197" t="n" s="0">
        <v>-4731259.555520001</v>
      </c>
    </row>
    <row r="198">
      <c r="A198" t="n" s="0">
        <v>-98.03</v>
      </c>
      <c r="B198" t="n" s="0">
        <f>(-5-((((-5*(-5/((-5/(((-5*(-98.03--5))-(-5+((-5*-98.03)*(((-5--5)+(-98.03--5))+-98.03))))-(-5+-5)))*-5)))/-5)--5)+(-5*(((-98.03*(-98.03-(-5/-5)))*(-98.03-(-98.03/(-5*-98.03))))-(-5/-5)))))</f>
        <v>-4729813.974935</v>
      </c>
      <c r="C198" t="n" s="0">
        <v>-4729813.974935001</v>
      </c>
    </row>
    <row r="199">
      <c r="A199" t="n" s="0">
        <v>-98.02</v>
      </c>
      <c r="B199" t="n" s="0">
        <f>(-5-((((-5*(-5/((-5/(((-5*(-98.02--5))-(-5+((-5*-98.02)*(((-5--5)+(-98.02--5))+-98.02))))-(-5+-5)))*-5)))/-5)--5)+(-5*(((-98.02*(-98.02-(-5/-5)))*(-98.02-(-98.02/(-5*-98.02))))-(-5/-5)))))</f>
        <v>-4728368.68884</v>
      </c>
      <c r="C199" t="n" s="0">
        <v>-4728368.68884</v>
      </c>
    </row>
    <row r="200">
      <c r="A200" t="n" s="0">
        <v>-98.01</v>
      </c>
      <c r="B200" t="n" s="0">
        <f>(-5-((((-5*(-5/((-5/(((-5*(-98.01--5))-(-5+((-5*-98.01)*(((-5--5)+(-98.01--5))+-98.01))))-(-5+-5)))*-5)))/-5)--5)+(-5*(((-98.01*(-98.01-(-5/-5)))*(-98.01-(-98.01/(-5*-98.01))))-(-5/-5)))))</f>
        <v>-4726923.697205001</v>
      </c>
      <c r="C200" t="n" s="0">
        <v>-4726923.697205001</v>
      </c>
    </row>
    <row r="201">
      <c r="A201" t="n" s="0">
        <v>-98.0</v>
      </c>
      <c r="B201" t="n" s="0">
        <f>(-5-((((-5*(-5/((-5/(((-5*(-98--5))-(-5+((-5*-98)*(((-5--5)+(-98--5))+-98))))-(-5+-5)))*-5)))/-5)--5)+(-5*(((-98*(-98-(-5/-5)))*(-98-(-98/(-5*-98))))-(-5/-5)))))</f>
        <v>-4725479.0</v>
      </c>
      <c r="C201" t="n" s="0">
        <v>-4725479.0</v>
      </c>
    </row>
    <row r="202">
      <c r="A202" t="n" s="0">
        <v>-97.99</v>
      </c>
      <c r="B202" t="n" s="0">
        <f>(-5-((((-5*(-5/((-5/(((-5*(-97.99--5))-(-5+((-5*-97.99)*(((-5--5)+(-97.99--5))+-97.99))))-(-5+-5)))*-5)))/-5)--5)+(-5*(((-97.99*(-97.99-(-5/-5)))*(-97.99-(-97.99/(-5*-97.99))))-(-5/-5)))))</f>
        <v>-4724034.597195</v>
      </c>
      <c r="C202" t="n" s="0">
        <v>-4724034.5971949985</v>
      </c>
    </row>
    <row r="203">
      <c r="A203" t="n" s="0">
        <v>-97.98</v>
      </c>
      <c r="B203" t="n" s="0">
        <f>(-5-((((-5*(-5/((-5/(((-5*(-97.98--5))-(-5+((-5*-97.98)*(((-5--5)+(-97.98--5))+-97.98))))-(-5+-5)))*-5)))/-5)--5)+(-5*(((-97.98*(-97.98-(-5/-5)))*(-97.98-(-97.98/(-5*-97.98))))-(-5/-5)))))</f>
        <v>-4722590.48876</v>
      </c>
      <c r="C203" t="n" s="0">
        <v>-4722590.48876</v>
      </c>
    </row>
    <row r="204">
      <c r="A204" t="n" s="0">
        <v>-97.97</v>
      </c>
      <c r="B204" t="n" s="0">
        <f>(-5-((((-5*(-5/((-5/(((-5*(-97.97--5))-(-5+((-5*-97.97)*(((-5--5)+(-97.97--5))+-97.97))))-(-5+-5)))*-5)))/-5)--5)+(-5*(((-97.97*(-97.97-(-5/-5)))*(-97.97-(-97.97/(-5*-97.97))))-(-5/-5)))))</f>
        <v>-4721146.674665</v>
      </c>
      <c r="C204" t="n" s="0">
        <v>-4721146.674664999</v>
      </c>
    </row>
    <row r="205">
      <c r="A205" t="n" s="0">
        <v>-97.96</v>
      </c>
      <c r="B205" t="n" s="0">
        <f>(-5-((((-5*(-5/((-5/(((-5*(-97.96--5))-(-5+((-5*-97.96)*(((-5--5)+(-97.96--5))+-97.96))))-(-5+-5)))*-5)))/-5)--5)+(-5*(((-97.96*(-97.96-(-5/-5)))*(-97.96-(-97.96/(-5*-97.96))))-(-5/-5)))))</f>
        <v>-4719703.15488</v>
      </c>
      <c r="C205" t="n" s="0">
        <v>-4719703.154879999</v>
      </c>
    </row>
    <row r="206">
      <c r="A206" t="n" s="0">
        <v>-97.95</v>
      </c>
      <c r="B206" t="n" s="0">
        <f>(-5-((((-5*(-5/((-5/(((-5*(-97.95--5))-(-5+((-5*-97.95)*(((-5--5)+(-97.95--5))+-97.95))))-(-5+-5)))*-5)))/-5)--5)+(-5*(((-97.95*(-97.95-(-5/-5)))*(-97.95-(-97.95/(-5*-97.95))))-(-5/-5)))))</f>
        <v>-4718259.929374999</v>
      </c>
      <c r="C206" t="n" s="0">
        <v>-4718259.929375</v>
      </c>
    </row>
    <row r="207">
      <c r="A207" t="n" s="0">
        <v>-97.94</v>
      </c>
      <c r="B207" t="n" s="0">
        <f>(-5-((((-5*(-5/((-5/(((-5*(-97.94--5))-(-5+((-5*-97.94)*(((-5--5)+(-97.94--5))+-97.94))))-(-5+-5)))*-5)))/-5)--5)+(-5*(((-97.94*(-97.94-(-5/-5)))*(-97.94-(-97.94/(-5*-97.94))))-(-5/-5)))))</f>
        <v>-4716816.998120001</v>
      </c>
      <c r="C207" t="n" s="0">
        <v>-4716816.99812</v>
      </c>
    </row>
    <row r="208">
      <c r="A208" t="n" s="0">
        <v>-97.93</v>
      </c>
      <c r="B208" t="n" s="0">
        <f>(-5-((((-5*(-5/((-5/(((-5*(-97.93--5))-(-5+((-5*-97.93)*(((-5--5)+(-97.93--5))+-97.93))))-(-5+-5)))*-5)))/-5)--5)+(-5*(((-97.93*(-97.93-(-5/-5)))*(-97.93-(-97.93/(-5*-97.93))))-(-5/-5)))))</f>
        <v>-4715374.361085</v>
      </c>
      <c r="C208" t="n" s="0">
        <v>-4715374.361085</v>
      </c>
    </row>
    <row r="209">
      <c r="A209" t="n" s="0">
        <v>-97.92</v>
      </c>
      <c r="B209" t="n" s="0">
        <f>(-5-((((-5*(-5/((-5/(((-5*(-97.92--5))-(-5+((-5*-97.92)*(((-5--5)+(-97.92--5))+-97.92))))-(-5+-5)))*-5)))/-5)--5)+(-5*(((-97.92*(-97.92-(-5/-5)))*(-97.92-(-97.92/(-5*-97.92))))-(-5/-5)))))</f>
        <v>-4713932.01824</v>
      </c>
      <c r="C209" t="n" s="0">
        <v>-4713932.01824</v>
      </c>
    </row>
    <row r="210">
      <c r="A210" t="n" s="0">
        <v>-97.91</v>
      </c>
      <c r="B210" t="n" s="0">
        <f>(-5-((((-5*(-5/((-5/(((-5*(-97.91--5))-(-5+((-5*-97.91)*(((-5--5)+(-97.91--5))+-97.91))))-(-5+-5)))*-5)))/-5)--5)+(-5*(((-97.91*(-97.91-(-5/-5)))*(-97.91-(-97.91/(-5*-97.91))))-(-5/-5)))))</f>
        <v>-4712489.969555001</v>
      </c>
      <c r="C210" t="n" s="0">
        <v>-4712489.969555</v>
      </c>
    </row>
    <row r="211">
      <c r="A211" t="n" s="0">
        <v>-97.9</v>
      </c>
      <c r="B211" t="n" s="0">
        <f>(-5-((((-5*(-5/((-5/(((-5*(-97.9--5))-(-5+((-5*-97.9)*(((-5--5)+(-97.9--5))+-97.9))))-(-5+-5)))*-5)))/-5)--5)+(-5*(((-97.9*(-97.9-(-5/-5)))*(-97.9-(-97.9/(-5*-97.9))))-(-5/-5)))))</f>
        <v>-4711048.215</v>
      </c>
      <c r="C211" t="n" s="0">
        <v>-4711048.215000002</v>
      </c>
    </row>
    <row r="212">
      <c r="A212" t="n" s="0">
        <v>-97.89</v>
      </c>
      <c r="B212" t="n" s="0">
        <f>(-5-((((-5*(-5/((-5/(((-5*(-97.89--5))-(-5+((-5*-97.89)*(((-5--5)+(-97.89--5))+-97.89))))-(-5+-5)))*-5)))/-5)--5)+(-5*(((-97.89*(-97.89-(-5/-5)))*(-97.89-(-97.89/(-5*-97.89))))-(-5/-5)))))</f>
        <v>-4709606.754544999</v>
      </c>
      <c r="C212" t="n" s="0">
        <v>-4709606.754544999</v>
      </c>
    </row>
    <row r="213">
      <c r="A213" t="n" s="0">
        <v>-97.88</v>
      </c>
      <c r="B213" t="n" s="0">
        <f>(-5-((((-5*(-5/((-5/(((-5*(-97.88--5))-(-5+((-5*-97.88)*(((-5--5)+(-97.88--5))+-97.88))))-(-5+-5)))*-5)))/-5)--5)+(-5*(((-97.88*(-97.88-(-5/-5)))*(-97.88-(-97.88/(-5*-97.88))))-(-5/-5)))))</f>
        <v>-4708165.58816</v>
      </c>
      <c r="C213" t="n" s="0">
        <v>-4708165.58816</v>
      </c>
    </row>
    <row r="214">
      <c r="A214" t="n" s="0">
        <v>-97.87</v>
      </c>
      <c r="B214" t="n" s="0">
        <f>(-5-((((-5*(-5/((-5/(((-5*(-97.87--5))-(-5+((-5*-97.87)*(((-5--5)+(-97.87--5))+-97.87))))-(-5+-5)))*-5)))/-5)--5)+(-5*(((-97.87*(-97.87-(-5/-5)))*(-97.87-(-97.87/(-5*-97.87))))-(-5/-5)))))</f>
        <v>-4706724.715815</v>
      </c>
      <c r="C214" t="n" s="0">
        <v>-4706724.715815001</v>
      </c>
    </row>
    <row r="215">
      <c r="A215" t="n" s="0">
        <v>-97.86</v>
      </c>
      <c r="B215" t="n" s="0">
        <f>(-5-((((-5*(-5/((-5/(((-5*(-97.86--5))-(-5+((-5*-97.86)*(((-5--5)+(-97.86--5))+-97.86))))-(-5+-5)))*-5)))/-5)--5)+(-5*(((-97.86*(-97.86-(-5/-5)))*(-97.86-(-97.86/(-5*-97.86))))-(-5/-5)))))</f>
        <v>-4705284.13748</v>
      </c>
      <c r="C215" t="n" s="0">
        <v>-4705284.13748</v>
      </c>
    </row>
    <row r="216">
      <c r="A216" t="n" s="0">
        <v>-97.85</v>
      </c>
      <c r="B216" t="n" s="0">
        <f>(-5-((((-5*(-5/((-5/(((-5*(-97.85--5))-(-5+((-5*-97.85)*(((-5--5)+(-97.85--5))+-97.85))))-(-5+-5)))*-5)))/-5)--5)+(-5*(((-97.85*(-97.85-(-5/-5)))*(-97.85-(-97.85/(-5*-97.85))))-(-5/-5)))))</f>
        <v>-4703843.853125</v>
      </c>
      <c r="C216" t="n" s="0">
        <v>-4703843.853124999</v>
      </c>
    </row>
    <row r="217">
      <c r="A217" t="n" s="0">
        <v>-97.84</v>
      </c>
      <c r="B217" t="n" s="0">
        <f>(-5-((((-5*(-5/((-5/(((-5*(-97.84--5))-(-5+((-5*-97.84)*(((-5--5)+(-97.84--5))+-97.84))))-(-5+-5)))*-5)))/-5)--5)+(-5*(((-97.84*(-97.84-(-5/-5)))*(-97.84-(-97.84/(-5*-97.84))))-(-5/-5)))))</f>
        <v>-4702403.862720001</v>
      </c>
      <c r="C217" t="n" s="0">
        <v>-4702403.86272</v>
      </c>
    </row>
    <row r="218">
      <c r="A218" t="n" s="0">
        <v>-97.83</v>
      </c>
      <c r="B218" t="n" s="0">
        <f>(-5-((((-5*(-5/((-5/(((-5*(-97.83--5))-(-5+((-5*-97.83)*(((-5--5)+(-97.83--5))+-97.83))))-(-5+-5)))*-5)))/-5)--5)+(-5*(((-97.83*(-97.83-(-5/-5)))*(-97.83-(-97.83/(-5*-97.83))))-(-5/-5)))))</f>
        <v>-4700964.166235</v>
      </c>
      <c r="C218" t="n" s="0">
        <v>-4700964.166235</v>
      </c>
    </row>
    <row r="219">
      <c r="A219" t="n" s="0">
        <v>-97.82</v>
      </c>
      <c r="B219" t="n" s="0">
        <f>(-5-((((-5*(-5/((-5/(((-5*(-97.82--5))-(-5+((-5*-97.82)*(((-5--5)+(-97.82--5))+-97.82))))-(-5+-5)))*-5)))/-5)--5)+(-5*(((-97.82*(-97.82-(-5/-5)))*(-97.82-(-97.82/(-5*-97.82))))-(-5/-5)))))</f>
        <v>-4699524.7636400005</v>
      </c>
      <c r="C219" t="n" s="0">
        <v>-4699524.76364</v>
      </c>
    </row>
    <row r="220">
      <c r="A220" t="n" s="0">
        <v>-97.81</v>
      </c>
      <c r="B220" t="n" s="0">
        <f>(-5-((((-5*(-5/((-5/(((-5*(-97.81--5))-(-5+((-5*-97.81)*(((-5--5)+(-97.81--5))+-97.81))))-(-5+-5)))*-5)))/-5)--5)+(-5*(((-97.81*(-97.81-(-5/-5)))*(-97.81-(-97.81/(-5*-97.81))))-(-5/-5)))))</f>
        <v>-4698085.654905001</v>
      </c>
      <c r="C220" t="n" s="0">
        <v>-4698085.654905</v>
      </c>
    </row>
    <row r="221">
      <c r="A221" t="n" s="0">
        <v>-97.8</v>
      </c>
      <c r="B221" t="n" s="0">
        <f>(-5-((((-5*(-5/((-5/(((-5*(-97.8--5))-(-5+((-5*-97.8)*(((-5--5)+(-97.8--5))+-97.8))))-(-5+-5)))*-5)))/-5)--5)+(-5*(((-97.8*(-97.8-(-5/-5)))*(-97.8-(-97.8/(-5*-97.8))))-(-5/-5)))))</f>
        <v>-4696646.84</v>
      </c>
      <c r="C221" t="n" s="0">
        <v>-4696646.84</v>
      </c>
    </row>
    <row r="222">
      <c r="A222" t="n" s="0">
        <v>-97.79</v>
      </c>
      <c r="B222" t="n" s="0">
        <f>(-5-((((-5*(-5/((-5/(((-5*(-97.79--5))-(-5+((-5*-97.79)*(((-5--5)+(-97.79--5))+-97.79))))-(-5+-5)))*-5)))/-5)--5)+(-5*(((-97.79*(-97.79-(-5/-5)))*(-97.79-(-97.79/(-5*-97.79))))-(-5/-5)))))</f>
        <v>-4695208.318895</v>
      </c>
      <c r="C222" t="n" s="0">
        <v>-4695208.318895001</v>
      </c>
    </row>
    <row r="223">
      <c r="A223" t="n" s="0">
        <v>-97.78</v>
      </c>
      <c r="B223" t="n" s="0">
        <f>(-5-((((-5*(-5/((-5/(((-5*(-97.78--5))-(-5+((-5*-97.78)*(((-5--5)+(-97.78--5))+-97.78))))-(-5+-5)))*-5)))/-5)--5)+(-5*(((-97.78*(-97.78-(-5/-5)))*(-97.78-(-97.78/(-5*-97.78))))-(-5/-5)))))</f>
        <v>-4693770.09156</v>
      </c>
      <c r="C223" t="n" s="0">
        <v>-4693770.09156</v>
      </c>
    </row>
    <row r="224">
      <c r="A224" t="n" s="0">
        <v>-97.77</v>
      </c>
      <c r="B224" t="n" s="0">
        <f>(-5-((((-5*(-5/((-5/(((-5*(-97.77--5))-(-5+((-5*-97.77)*(((-5--5)+(-97.77--5))+-97.77))))-(-5+-5)))*-5)))/-5)--5)+(-5*(((-97.77*(-97.77-(-5/-5)))*(-97.77-(-97.77/(-5*-97.77))))-(-5/-5)))))</f>
        <v>-4692332.157965</v>
      </c>
      <c r="C224" t="n" s="0">
        <v>-4692332.157964999</v>
      </c>
    </row>
    <row r="225">
      <c r="A225" t="n" s="0">
        <v>-97.76</v>
      </c>
      <c r="B225" t="n" s="0">
        <f>(-5-((((-5*(-5/((-5/(((-5*(-97.76--5))-(-5+((-5*-97.76)*(((-5--5)+(-97.76--5))+-97.76))))-(-5+-5)))*-5)))/-5)--5)+(-5*(((-97.76*(-97.76-(-5/-5)))*(-97.76-(-97.76/(-5*-97.76))))-(-5/-5)))))</f>
        <v>-4690894.51808</v>
      </c>
      <c r="C225" t="n" s="0">
        <v>-4690894.518080001</v>
      </c>
    </row>
    <row r="226">
      <c r="A226" t="n" s="0">
        <v>-97.75</v>
      </c>
      <c r="B226" t="n" s="0">
        <f>(-5-((((-5*(-5/((-5/(((-5*(-97.75--5))-(-5+((-5*-97.75)*(((-5--5)+(-97.75--5))+-97.75))))-(-5+-5)))*-5)))/-5)--5)+(-5*(((-97.75*(-97.75-(-5/-5)))*(-97.75-(-97.75/(-5*-97.75))))-(-5/-5)))))</f>
        <v>-4689457.171875</v>
      </c>
      <c r="C226" t="n" s="0">
        <v>-4689457.171875</v>
      </c>
    </row>
    <row r="227">
      <c r="A227" t="n" s="0">
        <v>-97.74</v>
      </c>
      <c r="B227" t="n" s="0">
        <f>(-5-((((-5*(-5/((-5/(((-5*(-97.74--5))-(-5+((-5*-97.74)*(((-5--5)+(-97.74--5))+-97.74))))-(-5+-5)))*-5)))/-5)--5)+(-5*(((-97.74*(-97.74-(-5/-5)))*(-97.74-(-97.74/(-5*-97.74))))-(-5/-5)))))</f>
        <v>-4688020.1193200005</v>
      </c>
      <c r="C227" t="n" s="0">
        <v>-4688020.11932</v>
      </c>
    </row>
    <row r="228">
      <c r="A228" t="n" s="0">
        <v>-97.73</v>
      </c>
      <c r="B228" t="n" s="0">
        <f>(-5-((((-5*(-5/((-5/(((-5*(-97.73--5))-(-5+((-5*-97.73)*(((-5--5)+(-97.73--5))+-97.73))))-(-5+-5)))*-5)))/-5)--5)+(-5*(((-97.73*(-97.73-(-5/-5)))*(-97.73-(-97.73/(-5*-97.73))))-(-5/-5)))))</f>
        <v>-4686583.360385</v>
      </c>
      <c r="C228" t="n" s="0">
        <v>-4686583.360385002</v>
      </c>
    </row>
    <row r="229">
      <c r="A229" t="n" s="0">
        <v>-97.72</v>
      </c>
      <c r="B229" t="n" s="0">
        <f>(-5-((((-5*(-5/((-5/(((-5*(-97.72--5))-(-5+((-5*-97.72)*(((-5--5)+(-97.72--5))+-97.72))))-(-5+-5)))*-5)))/-5)--5)+(-5*(((-97.72*(-97.72-(-5/-5)))*(-97.72-(-97.72/(-5*-97.72))))-(-5/-5)))))</f>
        <v>-4685146.89504</v>
      </c>
      <c r="C229" t="n" s="0">
        <v>-4685146.89504</v>
      </c>
    </row>
    <row r="230">
      <c r="A230" t="n" s="0">
        <v>-97.71</v>
      </c>
      <c r="B230" t="n" s="0">
        <f>(-5-((((-5*(-5/((-5/(((-5*(-97.71--5))-(-5+((-5*-97.71)*(((-5--5)+(-97.71--5))+-97.71))))-(-5+-5)))*-5)))/-5)--5)+(-5*(((-97.71*(-97.71-(-5/-5)))*(-97.71-(-97.71/(-5*-97.71))))-(-5/-5)))))</f>
        <v>-4683710.723255</v>
      </c>
      <c r="C230" t="n" s="0">
        <v>-4683710.723254999</v>
      </c>
    </row>
    <row r="231">
      <c r="A231" t="n" s="0">
        <v>-97.7</v>
      </c>
      <c r="B231" t="n" s="0">
        <f>(-5-((((-5*(-5/((-5/(((-5*(-97.7--5))-(-5+((-5*-97.7)*(((-5--5)+(-97.7--5))+-97.7))))-(-5+-5)))*-5)))/-5)--5)+(-5*(((-97.7*(-97.7-(-5/-5)))*(-97.7-(-97.7/(-5*-97.7))))-(-5/-5)))))</f>
        <v>-4682274.845</v>
      </c>
      <c r="C231" t="n" s="0">
        <v>-4682274.845000001</v>
      </c>
    </row>
    <row r="232">
      <c r="A232" t="n" s="0">
        <v>-97.69</v>
      </c>
      <c r="B232" t="n" s="0">
        <f>(-5-((((-5*(-5/((-5/(((-5*(-97.69--5))-(-5+((-5*-97.69)*(((-5--5)+(-97.69--5))+-97.69))))-(-5+-5)))*-5)))/-5)--5)+(-5*(((-97.69*(-97.69-(-5/-5)))*(-97.69-(-97.69/(-5*-97.69))))-(-5/-5)))))</f>
        <v>-4680839.260245</v>
      </c>
      <c r="C232" t="n" s="0">
        <v>-4680839.260245</v>
      </c>
    </row>
    <row r="233">
      <c r="A233" t="n" s="0">
        <v>-97.68</v>
      </c>
      <c r="B233" t="n" s="0">
        <f>(-5-((((-5*(-5/((-5/(((-5*(-97.68--5))-(-5+((-5*-97.68)*(((-5--5)+(-97.68--5))+-97.68))))-(-5+-5)))*-5)))/-5)--5)+(-5*(((-97.68*(-97.68-(-5/-5)))*(-97.68-(-97.68/(-5*-97.68))))-(-5/-5)))))</f>
        <v>-4679403.968959999</v>
      </c>
      <c r="C233" t="n" s="0">
        <v>-4679403.968960001</v>
      </c>
    </row>
    <row r="234">
      <c r="A234" t="n" s="0">
        <v>-97.67</v>
      </c>
      <c r="B234" t="n" s="0">
        <f>(-5-((((-5*(-5/((-5/(((-5*(-97.67--5))-(-5+((-5*-97.67)*(((-5--5)+(-97.67--5))+-97.67))))-(-5+-5)))*-5)))/-5)--5)+(-5*(((-97.67*(-97.67-(-5/-5)))*(-97.67-(-97.67/(-5*-97.67))))-(-5/-5)))))</f>
        <v>-4677968.971115001</v>
      </c>
      <c r="C234" t="n" s="0">
        <v>-4677968.971115001</v>
      </c>
    </row>
    <row r="235">
      <c r="A235" t="n" s="0">
        <v>-97.66</v>
      </c>
      <c r="B235" t="n" s="0">
        <f>(-5-((((-5*(-5/((-5/(((-5*(-97.66--5))-(-5+((-5*-97.66)*(((-5--5)+(-97.66--5))+-97.66))))-(-5+-5)))*-5)))/-5)--5)+(-5*(((-97.66*(-97.66-(-5/-5)))*(-97.66-(-97.66/(-5*-97.66))))-(-5/-5)))))</f>
        <v>-4676534.266679999</v>
      </c>
      <c r="C235" t="n" s="0">
        <v>-4676534.266679999</v>
      </c>
    </row>
    <row r="236">
      <c r="A236" t="n" s="0">
        <v>-97.65</v>
      </c>
      <c r="B236" t="n" s="0">
        <f>(-5-((((-5*(-5/((-5/(((-5*(-97.65--5))-(-5+((-5*-97.65)*(((-5--5)+(-97.65--5))+-97.65))))-(-5+-5)))*-5)))/-5)--5)+(-5*(((-97.65*(-97.65-(-5/-5)))*(-97.65-(-97.65/(-5*-97.65))))-(-5/-5)))))</f>
        <v>-4675099.855625</v>
      </c>
      <c r="C236" t="n" s="0">
        <v>-4675099.855625001</v>
      </c>
    </row>
    <row r="237">
      <c r="A237" t="n" s="0">
        <v>-97.64</v>
      </c>
      <c r="B237" t="n" s="0">
        <f>(-5-((((-5*(-5/((-5/(((-5*(-97.64--5))-(-5+((-5*-97.64)*(((-5--5)+(-97.64--5))+-97.64))))-(-5+-5)))*-5)))/-5)--5)+(-5*(((-97.64*(-97.64-(-5/-5)))*(-97.64-(-97.64/(-5*-97.64))))-(-5/-5)))))</f>
        <v>-4673665.73792</v>
      </c>
      <c r="C237" t="n" s="0">
        <v>-4673665.73792</v>
      </c>
    </row>
    <row r="238">
      <c r="A238" t="n" s="0">
        <v>-97.63</v>
      </c>
      <c r="B238" t="n" s="0">
        <f>(-5-((((-5*(-5/((-5/(((-5*(-97.63--5))-(-5+((-5*-97.63)*(((-5--5)+(-97.63--5))+-97.63))))-(-5+-5)))*-5)))/-5)--5)+(-5*(((-97.63*(-97.63-(-5/-5)))*(-97.63-(-97.63/(-5*-97.63))))-(-5/-5)))))</f>
        <v>-4672231.913535</v>
      </c>
      <c r="C238" t="n" s="0">
        <v>-4672231.913534999</v>
      </c>
    </row>
    <row r="239">
      <c r="A239" t="n" s="0">
        <v>-97.62</v>
      </c>
      <c r="B239" t="n" s="0">
        <f>(-5-((((-5*(-5/((-5/(((-5*(-97.62--5))-(-5+((-5*-97.62)*(((-5--5)+(-97.62--5))+-97.62))))-(-5+-5)))*-5)))/-5)--5)+(-5*(((-97.62*(-97.62-(-5/-5)))*(-97.62-(-97.62/(-5*-97.62))))-(-5/-5)))))</f>
        <v>-4670798.38244</v>
      </c>
      <c r="C239" t="n" s="0">
        <v>-4670798.382440002</v>
      </c>
    </row>
    <row r="240">
      <c r="A240" t="n" s="0">
        <v>-97.61</v>
      </c>
      <c r="B240" t="n" s="0">
        <f>(-5-((((-5*(-5/((-5/(((-5*(-97.61--5))-(-5+((-5*-97.61)*(((-5--5)+(-97.61--5))+-97.61))))-(-5+-5)))*-5)))/-5)--5)+(-5*(((-97.61*(-97.61-(-5/-5)))*(-97.61-(-97.61/(-5*-97.61))))-(-5/-5)))))</f>
        <v>-4669365.1446050005</v>
      </c>
      <c r="C240" t="n" s="0">
        <v>-4669365.1446050005</v>
      </c>
    </row>
    <row r="241">
      <c r="A241" t="n" s="0">
        <v>-97.6</v>
      </c>
      <c r="B241" t="n" s="0">
        <f>(-5-((((-5*(-5/((-5/(((-5*(-97.6--5))-(-5+((-5*-97.6)*(((-5--5)+(-97.6--5))+-97.6))))-(-5+-5)))*-5)))/-5)--5)+(-5*(((-97.6*(-97.6-(-5/-5)))*(-97.6-(-97.6/(-5*-97.6))))-(-5/-5)))))</f>
        <v>-4667932.2</v>
      </c>
      <c r="C241" t="n" s="0">
        <v>-4667932.199999998</v>
      </c>
    </row>
    <row r="242">
      <c r="A242" t="n" s="0">
        <v>-97.59</v>
      </c>
      <c r="B242" t="n" s="0">
        <f>(-5-((((-5*(-5/((-5/(((-5*(-97.59--5))-(-5+((-5*-97.59)*(((-5--5)+(-97.59--5))+-97.59))))-(-5+-5)))*-5)))/-5)--5)+(-5*(((-97.59*(-97.59-(-5/-5)))*(-97.59-(-97.59/(-5*-97.59))))-(-5/-5)))))</f>
        <v>-4666499.548595</v>
      </c>
      <c r="C242" t="n" s="0">
        <v>-4666499.548595</v>
      </c>
    </row>
    <row r="243">
      <c r="A243" t="n" s="0">
        <v>-97.58</v>
      </c>
      <c r="B243" t="n" s="0">
        <f>(-5-((((-5*(-5/((-5/(((-5*(-97.58--5))-(-5+((-5*-97.58)*(((-5--5)+(-97.58--5))+-97.58))))-(-5+-5)))*-5)))/-5)--5)+(-5*(((-97.58*(-97.58-(-5/-5)))*(-97.58-(-97.58/(-5*-97.58))))-(-5/-5)))))</f>
        <v>-4665067.19036</v>
      </c>
      <c r="C243" t="n" s="0">
        <v>-4665067.190359999</v>
      </c>
    </row>
    <row r="244">
      <c r="A244" t="n" s="0">
        <v>-97.57</v>
      </c>
      <c r="B244" t="n" s="0">
        <f>(-5-((((-5*(-5/((-5/(((-5*(-97.57--5))-(-5+((-5*-97.57)*(((-5--5)+(-97.57--5))+-97.57))))-(-5+-5)))*-5)))/-5)--5)+(-5*(((-97.57*(-97.57-(-5/-5)))*(-97.57-(-97.57/(-5*-97.57))))-(-5/-5)))))</f>
        <v>-4663635.125265</v>
      </c>
      <c r="C244" t="n" s="0">
        <v>-4663635.1252649985</v>
      </c>
    </row>
    <row r="245">
      <c r="A245" t="n" s="0">
        <v>-97.56</v>
      </c>
      <c r="B245" t="n" s="0">
        <f>(-5-((((-5*(-5/((-5/(((-5*(-97.56--5))-(-5+((-5*-97.56)*(((-5--5)+(-97.56--5))+-97.56))))-(-5+-5)))*-5)))/-5)--5)+(-5*(((-97.56*(-97.56-(-5/-5)))*(-97.56-(-97.56/(-5*-97.56))))-(-5/-5)))))</f>
        <v>-4662203.35328</v>
      </c>
      <c r="C245" t="n" s="0">
        <v>-4662203.35328</v>
      </c>
    </row>
    <row r="246">
      <c r="A246" t="n" s="0">
        <v>-97.55</v>
      </c>
      <c r="B246" t="n" s="0">
        <f>(-5-((((-5*(-5/((-5/(((-5*(-97.55--5))-(-5+((-5*-97.55)*(((-5--5)+(-97.55--5))+-97.55))))-(-5+-5)))*-5)))/-5)--5)+(-5*(((-97.55*(-97.55-(-5/-5)))*(-97.55-(-97.55/(-5*-97.55))))-(-5/-5)))))</f>
        <v>-4660771.874375001</v>
      </c>
      <c r="C246" t="n" s="0">
        <v>-4660771.874375</v>
      </c>
    </row>
    <row r="247">
      <c r="A247" t="n" s="0">
        <v>-97.54</v>
      </c>
      <c r="B247" t="n" s="0">
        <f>(-5-((((-5*(-5/((-5/(((-5*(-97.54--5))-(-5+((-5*-97.54)*(((-5--5)+(-97.54--5))+-97.54))))-(-5+-5)))*-5)))/-5)--5)+(-5*(((-97.54*(-97.54-(-5/-5)))*(-97.54-(-97.54/(-5*-97.54))))-(-5/-5)))))</f>
        <v>-4659340.68852</v>
      </c>
      <c r="C247" t="n" s="0">
        <v>-4659340.68852</v>
      </c>
    </row>
    <row r="248">
      <c r="A248" t="n" s="0">
        <v>-97.53</v>
      </c>
      <c r="B248" t="n" s="0">
        <f>(-5-((((-5*(-5/((-5/(((-5*(-97.53--5))-(-5+((-5*-97.53)*(((-5--5)+(-97.53--5))+-97.53))))-(-5+-5)))*-5)))/-5)--5)+(-5*(((-97.53*(-97.53-(-5/-5)))*(-97.53-(-97.53/(-5*-97.53))))-(-5/-5)))))</f>
        <v>-4657909.795685</v>
      </c>
      <c r="C248" t="n" s="0">
        <v>-4657909.795685</v>
      </c>
    </row>
    <row r="249">
      <c r="A249" t="n" s="0">
        <v>-97.52</v>
      </c>
      <c r="B249" t="n" s="0">
        <f>(-5-((((-5*(-5/((-5/(((-5*(-97.52--5))-(-5+((-5*-97.52)*(((-5--5)+(-97.52--5))+-97.52))))-(-5+-5)))*-5)))/-5)--5)+(-5*(((-97.52*(-97.52-(-5/-5)))*(-97.52-(-97.52/(-5*-97.52))))-(-5/-5)))))</f>
        <v>-4656479.19584</v>
      </c>
      <c r="C249" t="n" s="0">
        <v>-4656479.195839999</v>
      </c>
    </row>
    <row r="250">
      <c r="A250" t="n" s="0">
        <v>-97.51</v>
      </c>
      <c r="B250" t="n" s="0">
        <f>(-5-((((-5*(-5/((-5/(((-5*(-97.51--5))-(-5+((-5*-97.51)*(((-5--5)+(-97.51--5))+-97.51))))-(-5+-5)))*-5)))/-5)--5)+(-5*(((-97.51*(-97.51-(-5/-5)))*(-97.51-(-97.51/(-5*-97.51))))-(-5/-5)))))</f>
        <v>-4655048.888955</v>
      </c>
      <c r="C250" t="n" s="0">
        <v>-4655048.888955001</v>
      </c>
    </row>
    <row r="251">
      <c r="A251" t="n" s="0">
        <v>-97.5</v>
      </c>
      <c r="B251" t="n" s="0">
        <f>(-5-((((-5*(-5/((-5/(((-5*(-97.5--5))-(-5+((-5*-97.5)*(((-5--5)+(-97.5--5))+-97.5))))-(-5+-5)))*-5)))/-5)--5)+(-5*(((-97.5*(-97.5-(-5/-5)))*(-97.5-(-97.5/(-5*-97.5))))-(-5/-5)))))</f>
        <v>-4653618.875</v>
      </c>
      <c r="C251" t="n" s="0">
        <v>-4653618.875</v>
      </c>
    </row>
    <row r="252">
      <c r="A252" t="n" s="0">
        <v>-97.49</v>
      </c>
      <c r="B252" t="n" s="0">
        <f>(-5-((((-5*(-5/((-5/(((-5*(-97.49--5))-(-5+((-5*-97.49)*(((-5--5)+(-97.49--5))+-97.49))))-(-5+-5)))*-5)))/-5)--5)+(-5*(((-97.49*(-97.49-(-5/-5)))*(-97.49-(-97.49/(-5*-97.49))))-(-5/-5)))))</f>
        <v>-4652189.153945</v>
      </c>
      <c r="C252" t="n" s="0">
        <v>-4652189.153944999</v>
      </c>
    </row>
    <row r="253">
      <c r="A253" t="n" s="0">
        <v>-97.48</v>
      </c>
      <c r="B253" t="n" s="0">
        <f>(-5-((((-5*(-5/((-5/(((-5*(-97.48--5))-(-5+((-5*-97.48)*(((-5--5)+(-97.48--5))+-97.48))))-(-5+-5)))*-5)))/-5)--5)+(-5*(((-97.48*(-97.48-(-5/-5)))*(-97.48-(-97.48/(-5*-97.48))))-(-5/-5)))))</f>
        <v>-4650759.72576</v>
      </c>
      <c r="C253" t="n" s="0">
        <v>-4650759.725760001</v>
      </c>
    </row>
    <row r="254">
      <c r="A254" t="n" s="0">
        <v>-97.47</v>
      </c>
      <c r="B254" t="n" s="0">
        <f>(-5-((((-5*(-5/((-5/(((-5*(-97.47--5))-(-5+((-5*-97.47)*(((-5--5)+(-97.47--5))+-97.47))))-(-5+-5)))*-5)))/-5)--5)+(-5*(((-97.47*(-97.47-(-5/-5)))*(-97.47-(-97.47/(-5*-97.47))))-(-5/-5)))))</f>
        <v>-4649330.590415</v>
      </c>
      <c r="C254" t="n" s="0">
        <v>-4649330.590415</v>
      </c>
    </row>
    <row r="255">
      <c r="A255" t="n" s="0">
        <v>-97.46</v>
      </c>
      <c r="B255" t="n" s="0">
        <f>(-5-((((-5*(-5/((-5/(((-5*(-97.46--5))-(-5+((-5*-97.46)*(((-5--5)+(-97.46--5))+-97.46))))-(-5+-5)))*-5)))/-5)--5)+(-5*(((-97.46*(-97.46-(-5/-5)))*(-97.46-(-97.46/(-5*-97.46))))-(-5/-5)))))</f>
        <v>-4647901.747880001</v>
      </c>
      <c r="C255" t="n" s="0">
        <v>-4647901.747879999</v>
      </c>
    </row>
    <row r="256">
      <c r="A256" t="n" s="0">
        <v>-97.45</v>
      </c>
      <c r="B256" t="n" s="0">
        <f>(-5-((((-5*(-5/((-5/(((-5*(-97.45--5))-(-5+((-5*-97.45)*(((-5--5)+(-97.45--5))+-97.45))))-(-5+-5)))*-5)))/-5)--5)+(-5*(((-97.45*(-97.45-(-5/-5)))*(-97.45-(-97.45/(-5*-97.45))))-(-5/-5)))))</f>
        <v>-4646473.198125</v>
      </c>
      <c r="C256" t="n" s="0">
        <v>-4646473.198125</v>
      </c>
    </row>
    <row r="257">
      <c r="A257" t="n" s="0">
        <v>-97.44</v>
      </c>
      <c r="B257" t="n" s="0">
        <f>(-5-((((-5*(-5/((-5/(((-5*(-97.44--5))-(-5+((-5*-97.44)*(((-5--5)+(-97.44--5))+-97.44))))-(-5+-5)))*-5)))/-5)--5)+(-5*(((-97.44*(-97.44-(-5/-5)))*(-97.44-(-97.44/(-5*-97.44))))-(-5/-5)))))</f>
        <v>-4645044.941120001</v>
      </c>
      <c r="C257" t="n" s="0">
        <v>-4645044.941120001</v>
      </c>
    </row>
    <row r="258">
      <c r="A258" t="n" s="0">
        <v>-97.43</v>
      </c>
      <c r="B258" t="n" s="0">
        <f>(-5-((((-5*(-5/((-5/(((-5*(-97.43--5))-(-5+((-5*-97.43)*(((-5--5)+(-97.43--5))+-97.43))))-(-5+-5)))*-5)))/-5)--5)+(-5*(((-97.43*(-97.43-(-5/-5)))*(-97.43-(-97.43/(-5*-97.43))))-(-5/-5)))))</f>
        <v>-4643616.976835</v>
      </c>
      <c r="C258" t="n" s="0">
        <v>-4643616.976835001</v>
      </c>
    </row>
    <row r="259">
      <c r="A259" t="n" s="0">
        <v>-97.42</v>
      </c>
      <c r="B259" t="n" s="0">
        <f>(-5-((((-5*(-5/((-5/(((-5*(-97.42--5))-(-5+((-5*-97.42)*(((-5--5)+(-97.42--5))+-97.42))))-(-5+-5)))*-5)))/-5)--5)+(-5*(((-97.42*(-97.42-(-5/-5)))*(-97.42-(-97.42/(-5*-97.42))))-(-5/-5)))))</f>
        <v>-4642189.305240001</v>
      </c>
      <c r="C259" t="n" s="0">
        <v>-4642189.305240001</v>
      </c>
    </row>
    <row r="260">
      <c r="A260" t="n" s="0">
        <v>-97.41</v>
      </c>
      <c r="B260" t="n" s="0">
        <f>(-5-((((-5*(-5/((-5/(((-5*(-97.41--5))-(-5+((-5*-97.41)*(((-5--5)+(-97.41--5))+-97.41))))-(-5+-5)))*-5)))/-5)--5)+(-5*(((-97.41*(-97.41-(-5/-5)))*(-97.41-(-97.41/(-5*-97.41))))-(-5/-5)))))</f>
        <v>-4640761.926305</v>
      </c>
      <c r="C260" t="n" s="0">
        <v>-4640761.926305</v>
      </c>
    </row>
    <row r="261">
      <c r="A261" t="n" s="0">
        <v>-97.4</v>
      </c>
      <c r="B261" t="n" s="0">
        <f>(-5-((((-5*(-5/((-5/(((-5*(-97.4--5))-(-5+((-5*-97.4)*(((-5--5)+(-97.4--5))+-97.4))))-(-5+-5)))*-5)))/-5)--5)+(-5*(((-97.4*(-97.4-(-5/-5)))*(-97.4-(-97.4/(-5*-97.4))))-(-5/-5)))))</f>
        <v>-4639334.84</v>
      </c>
      <c r="C261" t="n" s="0">
        <v>-4639334.840000001</v>
      </c>
    </row>
    <row r="262">
      <c r="A262" t="n" s="0">
        <v>-97.39</v>
      </c>
      <c r="B262" t="n" s="0">
        <f>(-5-((((-5*(-5/((-5/(((-5*(-97.39--5))-(-5+((-5*-97.39)*(((-5--5)+(-97.39--5))+-97.39))))-(-5+-5)))*-5)))/-5)--5)+(-5*(((-97.39*(-97.39-(-5/-5)))*(-97.39-(-97.39/(-5*-97.39))))-(-5/-5)))))</f>
        <v>-4637908.046295</v>
      </c>
      <c r="C262" t="n" s="0">
        <v>-4637908.046295</v>
      </c>
    </row>
    <row r="263">
      <c r="A263" t="n" s="0">
        <v>-97.38</v>
      </c>
      <c r="B263" t="n" s="0">
        <f>(-5-((((-5*(-5/((-5/(((-5*(-97.38--5))-(-5+((-5*-97.38)*(((-5--5)+(-97.38--5))+-97.38))))-(-5+-5)))*-5)))/-5)--5)+(-5*(((-97.38*(-97.38-(-5/-5)))*(-97.38-(-97.38/(-5*-97.38))))-(-5/-5)))))</f>
        <v>-4636481.54516</v>
      </c>
      <c r="C263" t="n" s="0">
        <v>-4636481.545159998</v>
      </c>
    </row>
    <row r="264">
      <c r="A264" t="n" s="0">
        <v>-97.37</v>
      </c>
      <c r="B264" t="n" s="0">
        <f>(-5-((((-5*(-5/((-5/(((-5*(-97.37--5))-(-5+((-5*-97.37)*(((-5--5)+(-97.37--5))+-97.37))))-(-5+-5)))*-5)))/-5)--5)+(-5*(((-97.37*(-97.37-(-5/-5)))*(-97.37-(-97.37/(-5*-97.37))))-(-5/-5)))))</f>
        <v>-4635055.336565</v>
      </c>
      <c r="C264" t="n" s="0">
        <v>-4635055.336565001</v>
      </c>
    </row>
    <row r="265">
      <c r="A265" t="n" s="0">
        <v>-97.36</v>
      </c>
      <c r="B265" t="n" s="0">
        <f>(-5-((((-5*(-5/((-5/(((-5*(-97.36--5))-(-5+((-5*-97.36)*(((-5--5)+(-97.36--5))+-97.36))))-(-5+-5)))*-5)))/-5)--5)+(-5*(((-97.36*(-97.36-(-5/-5)))*(-97.36-(-97.36/(-5*-97.36))))-(-5/-5)))))</f>
        <v>-4633629.42048</v>
      </c>
      <c r="C265" t="n" s="0">
        <v>-4633629.42048</v>
      </c>
    </row>
    <row r="266">
      <c r="A266" t="n" s="0">
        <v>-97.35</v>
      </c>
      <c r="B266" t="n" s="0">
        <f>(-5-((((-5*(-5/((-5/(((-5*(-97.35--5))-(-5+((-5*-97.35)*(((-5--5)+(-97.35--5))+-97.35))))-(-5+-5)))*-5)))/-5)--5)+(-5*(((-97.35*(-97.35-(-5/-5)))*(-97.35-(-97.35/(-5*-97.35))))-(-5/-5)))))</f>
        <v>-4632203.796875</v>
      </c>
      <c r="C266" t="n" s="0">
        <v>-4632203.796874999</v>
      </c>
    </row>
    <row r="267">
      <c r="A267" t="n" s="0">
        <v>-97.34</v>
      </c>
      <c r="B267" t="n" s="0">
        <f>(-5-((((-5*(-5/((-5/(((-5*(-97.34--5))-(-5+((-5*-97.34)*(((-5--5)+(-97.34--5))+-97.34))))-(-5+-5)))*-5)))/-5)--5)+(-5*(((-97.34*(-97.34-(-5/-5)))*(-97.34-(-97.34/(-5*-97.34))))-(-5/-5)))))</f>
        <v>-4630778.46572</v>
      </c>
      <c r="C267" t="n" s="0">
        <v>-4630778.465720001</v>
      </c>
    </row>
    <row r="268">
      <c r="A268" t="n" s="0">
        <v>-97.33</v>
      </c>
      <c r="B268" t="n" s="0">
        <f>(-5-((((-5*(-5/((-5/(((-5*(-97.33--5))-(-5+((-5*-97.33)*(((-5--5)+(-97.33--5))+-97.33))))-(-5+-5)))*-5)))/-5)--5)+(-5*(((-97.33*(-97.33-(-5/-5)))*(-97.33-(-97.33/(-5*-97.33))))-(-5/-5)))))</f>
        <v>-4629353.426984999</v>
      </c>
      <c r="C268" t="n" s="0">
        <v>-4629353.426985</v>
      </c>
    </row>
    <row r="269">
      <c r="A269" t="n" s="0">
        <v>-97.32</v>
      </c>
      <c r="B269" t="n" s="0">
        <f>(-5-((((-5*(-5/((-5/(((-5*(-97.32--5))-(-5+((-5*-97.32)*(((-5--5)+(-97.32--5))+-97.32))))-(-5+-5)))*-5)))/-5)--5)+(-5*(((-97.32*(-97.32-(-5/-5)))*(-97.32-(-97.32/(-5*-97.32))))-(-5/-5)))))</f>
        <v>-4627928.68064</v>
      </c>
      <c r="C269" t="n" s="0">
        <v>-4627928.680639999</v>
      </c>
    </row>
    <row r="270">
      <c r="A270" t="n" s="0">
        <v>-97.31</v>
      </c>
      <c r="B270" t="n" s="0">
        <f>(-5-((((-5*(-5/((-5/(((-5*(-97.31--5))-(-5+((-5*-97.31)*(((-5--5)+(-97.31--5))+-97.31))))-(-5+-5)))*-5)))/-5)--5)+(-5*(((-97.31*(-97.31-(-5/-5)))*(-97.31-(-97.31/(-5*-97.31))))-(-5/-5)))))</f>
        <v>-4626504.226655</v>
      </c>
      <c r="C270" t="n" s="0">
        <v>-4626504.226655</v>
      </c>
    </row>
    <row r="271">
      <c r="A271" t="n" s="0">
        <v>-97.3</v>
      </c>
      <c r="B271" t="n" s="0">
        <f>(-5-((((-5*(-5/((-5/(((-5*(-97.3--5))-(-5+((-5*-97.3)*(((-5--5)+(-97.3--5))+-97.3))))-(-5+-5)))*-5)))/-5)--5)+(-5*(((-97.3*(-97.3-(-5/-5)))*(-97.3-(-97.3/(-5*-97.3))))-(-5/-5)))))</f>
        <v>-4625080.065</v>
      </c>
      <c r="C271" t="n" s="0">
        <v>-4625080.065</v>
      </c>
    </row>
    <row r="272">
      <c r="A272" t="n" s="0">
        <v>-97.29</v>
      </c>
      <c r="B272" t="n" s="0">
        <f>(-5-((((-5*(-5/((-5/(((-5*(-97.29--5))-(-5+((-5*-97.29)*(((-5--5)+(-97.29--5))+-97.29))))-(-5+-5)))*-5)))/-5)--5)+(-5*(((-97.29*(-97.29-(-5/-5)))*(-97.29-(-97.29/(-5*-97.29))))-(-5/-5)))))</f>
        <v>-4623656.195645001</v>
      </c>
      <c r="C272" t="n" s="0">
        <v>-4623656.195645001</v>
      </c>
    </row>
    <row r="273">
      <c r="A273" t="n" s="0">
        <v>-97.28</v>
      </c>
      <c r="B273" t="n" s="0">
        <f>(-5-((((-5*(-5/((-5/(((-5*(-97.28--5))-(-5+((-5*-97.28)*(((-5--5)+(-97.28--5))+-97.28))))-(-5+-5)))*-5)))/-5)--5)+(-5*(((-97.28*(-97.28-(-5/-5)))*(-97.28-(-97.28/(-5*-97.28))))-(-5/-5)))))</f>
        <v>-4622232.61856</v>
      </c>
      <c r="C273" t="n" s="0">
        <v>-4622232.61856</v>
      </c>
    </row>
    <row r="274">
      <c r="A274" t="n" s="0">
        <v>-97.27</v>
      </c>
      <c r="B274" t="n" s="0">
        <f>(-5-((((-5*(-5/((-5/(((-5*(-97.27--5))-(-5+((-5*-97.27)*(((-5--5)+(-97.27--5))+-97.27))))-(-5+-5)))*-5)))/-5)--5)+(-5*(((-97.27*(-97.27-(-5/-5)))*(-97.27-(-97.27/(-5*-97.27))))-(-5/-5)))))</f>
        <v>-4620809.333715</v>
      </c>
      <c r="C274" t="n" s="0">
        <v>-4620809.333714999</v>
      </c>
    </row>
    <row r="275">
      <c r="A275" t="n" s="0">
        <v>-97.26</v>
      </c>
      <c r="B275" t="n" s="0">
        <f>(-5-((((-5*(-5/((-5/(((-5*(-97.26--5))-(-5+((-5*-97.26)*(((-5--5)+(-97.26--5))+-97.26))))-(-5+-5)))*-5)))/-5)--5)+(-5*(((-97.26*(-97.26-(-5/-5)))*(-97.26-(-97.26/(-5*-97.26))))-(-5/-5)))))</f>
        <v>-4619386.34108</v>
      </c>
      <c r="C275" t="n" s="0">
        <v>-4619386.341080001</v>
      </c>
    </row>
    <row r="276">
      <c r="A276" t="n" s="0">
        <v>-97.25</v>
      </c>
      <c r="B276" t="n" s="0">
        <f>(-5-((((-5*(-5/((-5/(((-5*(-97.25--5))-(-5+((-5*-97.25)*(((-5--5)+(-97.25--5))+-97.25))))-(-5+-5)))*-5)))/-5)--5)+(-5*(((-97.25*(-97.25-(-5/-5)))*(-97.25-(-97.25/(-5*-97.25))))-(-5/-5)))))</f>
        <v>-4617963.640625</v>
      </c>
      <c r="C276" t="n" s="0">
        <v>-4617963.640625</v>
      </c>
    </row>
    <row r="277">
      <c r="A277" t="n" s="0">
        <v>-97.24</v>
      </c>
      <c r="B277" t="n" s="0">
        <f>(-5-((((-5*(-5/((-5/(((-5*(-97.24--5))-(-5+((-5*-97.24)*(((-5--5)+(-97.24--5))+-97.24))))-(-5+-5)))*-5)))/-5)--5)+(-5*(((-97.24*(-97.24-(-5/-5)))*(-97.24-(-97.24/(-5*-97.24))))-(-5/-5)))))</f>
        <v>-4616541.23232</v>
      </c>
      <c r="C277" t="n" s="0">
        <v>-4616541.2323199995</v>
      </c>
    </row>
    <row r="278">
      <c r="A278" t="n" s="0">
        <v>-97.23</v>
      </c>
      <c r="B278" t="n" s="0">
        <f>(-5-((((-5*(-5/((-5/(((-5*(-97.23--5))-(-5+((-5*-97.23)*(((-5--5)+(-97.23--5))+-97.23))))-(-5+-5)))*-5)))/-5)--5)+(-5*(((-97.23*(-97.23-(-5/-5)))*(-97.23-(-97.23/(-5*-97.23))))-(-5/-5)))))</f>
        <v>-4615119.116134999</v>
      </c>
      <c r="C278" t="n" s="0">
        <v>-4615119.116135001</v>
      </c>
    </row>
    <row r="279">
      <c r="A279" t="n" s="0">
        <v>-97.22</v>
      </c>
      <c r="B279" t="n" s="0">
        <f>(-5-((((-5*(-5/((-5/(((-5*(-97.22--5))-(-5+((-5*-97.22)*(((-5--5)+(-97.22--5))+-97.22))))-(-5+-5)))*-5)))/-5)--5)+(-5*(((-97.22*(-97.22-(-5/-5)))*(-97.22-(-97.22/(-5*-97.22))))-(-5/-5)))))</f>
        <v>-4613697.29204</v>
      </c>
      <c r="C279" t="n" s="0">
        <v>-4613697.29204</v>
      </c>
    </row>
    <row r="280">
      <c r="A280" t="n" s="0">
        <v>-97.21</v>
      </c>
      <c r="B280" t="n" s="0">
        <f>(-5-((((-5*(-5/((-5/(((-5*(-97.21--5))-(-5+((-5*-97.21)*(((-5--5)+(-97.21--5))+-97.21))))-(-5+-5)))*-5)))/-5)--5)+(-5*(((-97.21*(-97.21-(-5/-5)))*(-97.21-(-97.21/(-5*-97.21))))-(-5/-5)))))</f>
        <v>-4612275.760005</v>
      </c>
      <c r="C280" t="n" s="0">
        <v>-4612275.760004998</v>
      </c>
    </row>
    <row r="281">
      <c r="A281" t="n" s="0">
        <v>-97.2</v>
      </c>
      <c r="B281" t="n" s="0">
        <f>(-5-((((-5*(-5/((-5/(((-5*(-97.2--5))-(-5+((-5*-97.2)*(((-5--5)+(-97.2--5))+-97.2))))-(-5+-5)))*-5)))/-5)--5)+(-5*(((-97.2*(-97.2-(-5/-5)))*(-97.2-(-97.2/(-5*-97.2))))-(-5/-5)))))</f>
        <v>-4610854.5200000005</v>
      </c>
      <c r="C281" t="n" s="0">
        <v>-4610854.52</v>
      </c>
    </row>
    <row r="282">
      <c r="A282" t="n" s="0">
        <v>-97.19</v>
      </c>
      <c r="B282" t="n" s="0">
        <f>(-5-((((-5*(-5/((-5/(((-5*(-97.19--5))-(-5+((-5*-97.19)*(((-5--5)+(-97.19--5))+-97.19))))-(-5+-5)))*-5)))/-5)--5)+(-5*(((-97.19*(-97.19-(-5/-5)))*(-97.19-(-97.19/(-5*-97.19))))-(-5/-5)))))</f>
        <v>-4609433.571994999</v>
      </c>
      <c r="C282" t="n" s="0">
        <v>-4609433.571995</v>
      </c>
    </row>
    <row r="283">
      <c r="A283" t="n" s="0">
        <v>-97.18</v>
      </c>
      <c r="B283" t="n" s="0">
        <f>(-5-((((-5*(-5/((-5/(((-5*(-97.18--5))-(-5+((-5*-97.18)*(((-5--5)+(-97.18--5))+-97.18))))-(-5+-5)))*-5)))/-5)--5)+(-5*(((-97.18*(-97.18-(-5/-5)))*(-97.18-(-97.18/(-5*-97.18))))-(-5/-5)))))</f>
        <v>-4608012.91596</v>
      </c>
      <c r="C283" t="n" s="0">
        <v>-4608012.915960001</v>
      </c>
    </row>
    <row r="284">
      <c r="A284" t="n" s="0">
        <v>-97.17</v>
      </c>
      <c r="B284" t="n" s="0">
        <f>(-5-((((-5*(-5/((-5/(((-5*(-97.17--5))-(-5+((-5*-97.17)*(((-5--5)+(-97.17--5))+-97.17))))-(-5+-5)))*-5)))/-5)--5)+(-5*(((-97.17*(-97.17-(-5/-5)))*(-97.17-(-97.17/(-5*-97.17))))-(-5/-5)))))</f>
        <v>-4606592.551865</v>
      </c>
      <c r="C284" t="n" s="0">
        <v>-4606592.551865</v>
      </c>
    </row>
    <row r="285">
      <c r="A285" t="n" s="0">
        <v>-97.16</v>
      </c>
      <c r="B285" t="n" s="0">
        <f>(-5-((((-5*(-5/((-5/(((-5*(-97.16--5))-(-5+((-5*-97.16)*(((-5--5)+(-97.16--5))+-97.16))))-(-5+-5)))*-5)))/-5)--5)+(-5*(((-97.16*(-97.16-(-5/-5)))*(-97.16-(-97.16/(-5*-97.16))))-(-5/-5)))))</f>
        <v>-4605172.47968</v>
      </c>
      <c r="C285" t="n" s="0">
        <v>-4605172.47968</v>
      </c>
    </row>
    <row r="286">
      <c r="A286" t="n" s="0">
        <v>-97.15</v>
      </c>
      <c r="B286" t="n" s="0">
        <f>(-5-((((-5*(-5/((-5/(((-5*(-97.15--5))-(-5+((-5*-97.15)*(((-5--5)+(-97.15--5))+-97.15))))-(-5+-5)))*-5)))/-5)--5)+(-5*(((-97.15*(-97.15-(-5/-5)))*(-97.15-(-97.15/(-5*-97.15))))-(-5/-5)))))</f>
        <v>-4603752.699375001</v>
      </c>
      <c r="C286" t="n" s="0">
        <v>-4603752.699375001</v>
      </c>
    </row>
    <row r="287">
      <c r="A287" t="n" s="0">
        <v>-97.14</v>
      </c>
      <c r="B287" t="n" s="0">
        <f>(-5-((((-5*(-5/((-5/(((-5*(-97.14--5))-(-5+((-5*-97.14)*(((-5--5)+(-97.14--5))+-97.14))))-(-5+-5)))*-5)))/-5)--5)+(-5*(((-97.14*(-97.14-(-5/-5)))*(-97.14-(-97.14/(-5*-97.14))))-(-5/-5)))))</f>
        <v>-4602333.2109199995</v>
      </c>
      <c r="C287" t="n" s="0">
        <v>-4602333.2109199995</v>
      </c>
    </row>
    <row r="288">
      <c r="A288" t="n" s="0">
        <v>-97.13</v>
      </c>
      <c r="B288" t="n" s="0">
        <f>(-5-((((-5*(-5/((-5/(((-5*(-97.13--5))-(-5+((-5*-97.13)*(((-5--5)+(-97.13--5))+-97.13))))-(-5+-5)))*-5)))/-5)--5)+(-5*(((-97.13*(-97.13-(-5/-5)))*(-97.13-(-97.13/(-5*-97.13))))-(-5/-5)))))</f>
        <v>-4600914.014285</v>
      </c>
      <c r="C288" t="n" s="0">
        <v>-4600914.014284999</v>
      </c>
    </row>
    <row r="289">
      <c r="A289" t="n" s="0">
        <v>-97.12</v>
      </c>
      <c r="B289" t="n" s="0">
        <f>(-5-((((-5*(-5/((-5/(((-5*(-97.12--5))-(-5+((-5*-97.12)*(((-5--5)+(-97.12--5))+-97.12))))-(-5+-5)))*-5)))/-5)--5)+(-5*(((-97.12*(-97.12-(-5/-5)))*(-97.12-(-97.12/(-5*-97.12))))-(-5/-5)))))</f>
        <v>-4599495.109440001</v>
      </c>
      <c r="C289" t="n" s="0">
        <v>-4599495.109440001</v>
      </c>
    </row>
    <row r="290">
      <c r="A290" t="n" s="0">
        <v>-97.11</v>
      </c>
      <c r="B290" t="n" s="0">
        <f>(-5-((((-5*(-5/((-5/(((-5*(-97.11--5))-(-5+((-5*-97.11)*(((-5--5)+(-97.11--5))+-97.11))))-(-5+-5)))*-5)))/-5)--5)+(-5*(((-97.11*(-97.11-(-5/-5)))*(-97.11-(-97.11/(-5*-97.11))))-(-5/-5)))))</f>
        <v>-4598076.496355</v>
      </c>
      <c r="C290" t="n" s="0">
        <v>-4598076.496355</v>
      </c>
    </row>
    <row r="291">
      <c r="A291" t="n" s="0">
        <v>-97.1</v>
      </c>
      <c r="B291" t="n" s="0">
        <f>(-5-((((-5*(-5/((-5/(((-5*(-97.1--5))-(-5+((-5*-97.1)*(((-5--5)+(-97.1--5))+-97.1))))-(-5+-5)))*-5)))/-5)--5)+(-5*(((-97.1*(-97.1-(-5/-5)))*(-97.1-(-97.1/(-5*-97.1))))-(-5/-5)))))</f>
        <v>-4596658.175</v>
      </c>
      <c r="C291" t="n" s="0">
        <v>-4596658.174999999</v>
      </c>
    </row>
    <row r="292">
      <c r="A292" t="n" s="0">
        <v>-97.09</v>
      </c>
      <c r="B292" t="n" s="0">
        <f>(-5-((((-5*(-5/((-5/(((-5*(-97.09--5))-(-5+((-5*-97.09)*(((-5--5)+(-97.09--5))+-97.09))))-(-5+-5)))*-5)))/-5)--5)+(-5*(((-97.09*(-97.09-(-5/-5)))*(-97.09-(-97.09/(-5*-97.09))))-(-5/-5)))))</f>
        <v>-4595240.145345</v>
      </c>
      <c r="C292" t="n" s="0">
        <v>-4595240.145345001</v>
      </c>
    </row>
    <row r="293">
      <c r="A293" t="n" s="0">
        <v>-97.08</v>
      </c>
      <c r="B293" t="n" s="0">
        <f>(-5-((((-5*(-5/((-5/(((-5*(-97.08--5))-(-5+((-5*-97.08)*(((-5--5)+(-97.08--5))+-97.08))))-(-5+-5)))*-5)))/-5)--5)+(-5*(((-97.08*(-97.08-(-5/-5)))*(-97.08-(-97.08/(-5*-97.08))))-(-5/-5)))))</f>
        <v>-4593822.40736</v>
      </c>
      <c r="C293" t="n" s="0">
        <v>-4593822.40736</v>
      </c>
    </row>
    <row r="294">
      <c r="A294" t="n" s="0">
        <v>-97.07</v>
      </c>
      <c r="B294" t="n" s="0">
        <f>(-5-((((-5*(-5/((-5/(((-5*(-97.07--5))-(-5+((-5*-97.07)*(((-5--5)+(-97.07--5))+-97.07))))-(-5+-5)))*-5)))/-5)--5)+(-5*(((-97.07*(-97.07-(-5/-5)))*(-97.07-(-97.07/(-5*-97.07))))-(-5/-5)))))</f>
        <v>-4592404.961015</v>
      </c>
      <c r="C294" t="n" s="0">
        <v>-4592404.961015</v>
      </c>
    </row>
    <row r="295">
      <c r="A295" t="n" s="0">
        <v>-97.06</v>
      </c>
      <c r="B295" t="n" s="0">
        <f>(-5-((((-5*(-5/((-5/(((-5*(-97.06--5))-(-5+((-5*-97.06)*(((-5--5)+(-97.06--5))+-97.06))))-(-5+-5)))*-5)))/-5)--5)+(-5*(((-97.06*(-97.06-(-5/-5)))*(-97.06-(-97.06/(-5*-97.06))))-(-5/-5)))))</f>
        <v>-4590987.80628</v>
      </c>
      <c r="C295" t="n" s="0">
        <v>-4590987.80628</v>
      </c>
    </row>
    <row r="296">
      <c r="A296" t="n" s="0">
        <v>-97.05</v>
      </c>
      <c r="B296" t="n" s="0">
        <f>(-5-((((-5*(-5/((-5/(((-5*(-97.05--5))-(-5+((-5*-97.05)*(((-5--5)+(-97.05--5))+-97.05))))-(-5+-5)))*-5)))/-5)--5)+(-5*(((-97.05*(-97.05-(-5/-5)))*(-97.05-(-97.05/(-5*-97.05))))-(-5/-5)))))</f>
        <v>-4589570.943125</v>
      </c>
      <c r="C296" t="n" s="0">
        <v>-4589570.943125</v>
      </c>
    </row>
    <row r="297">
      <c r="A297" t="n" s="0">
        <v>-97.04</v>
      </c>
      <c r="B297" t="n" s="0">
        <f>(-5-((((-5*(-5/((-5/(((-5*(-97.04--5))-(-5+((-5*-97.04)*(((-5--5)+(-97.04--5))+-97.04))))-(-5+-5)))*-5)))/-5)--5)+(-5*(((-97.04*(-97.04-(-5/-5)))*(-97.04-(-97.04/(-5*-97.04))))-(-5/-5)))))</f>
        <v>-4588154.3715200005</v>
      </c>
      <c r="C297" t="n" s="0">
        <v>-4588154.3715200005</v>
      </c>
    </row>
    <row r="298">
      <c r="A298" t="n" s="0">
        <v>-97.03</v>
      </c>
      <c r="B298" t="n" s="0">
        <f>(-5-((((-5*(-5/((-5/(((-5*(-97.03--5))-(-5+((-5*-97.03)*(((-5--5)+(-97.03--5))+-97.03))))-(-5+-5)))*-5)))/-5)--5)+(-5*(((-97.03*(-97.03-(-5/-5)))*(-97.03-(-97.03/(-5*-97.03))))-(-5/-5)))))</f>
        <v>-4586738.091434999</v>
      </c>
      <c r="C298" t="n" s="0">
        <v>-4586738.091435</v>
      </c>
    </row>
    <row r="299">
      <c r="A299" t="n" s="0">
        <v>-97.02</v>
      </c>
      <c r="B299" t="n" s="0">
        <f>(-5-((((-5*(-5/((-5/(((-5*(-97.02--5))-(-5+((-5*-97.02)*(((-5--5)+(-97.02--5))+-97.02))))-(-5+-5)))*-5)))/-5)--5)+(-5*(((-97.02*(-97.02-(-5/-5)))*(-97.02-(-97.02/(-5*-97.02))))-(-5/-5)))))</f>
        <v>-4585322.10284</v>
      </c>
      <c r="C299" t="n" s="0">
        <v>-4585322.10284</v>
      </c>
    </row>
    <row r="300">
      <c r="A300" t="n" s="0">
        <v>-97.01</v>
      </c>
      <c r="B300" t="n" s="0">
        <f>(-5-((((-5*(-5/((-5/(((-5*(-97.01--5))-(-5+((-5*-97.01)*(((-5--5)+(-97.01--5))+-97.01))))-(-5+-5)))*-5)))/-5)--5)+(-5*(((-97.01*(-97.01-(-5/-5)))*(-97.01-(-97.01/(-5*-97.01))))-(-5/-5)))))</f>
        <v>-4583906.405704999</v>
      </c>
      <c r="C300" t="n" s="0">
        <v>-4583906.405705001</v>
      </c>
    </row>
    <row r="301">
      <c r="A301" t="n" s="0">
        <v>-97.0</v>
      </c>
      <c r="B301" t="n" s="0">
        <f>(-5-((((-5*(-5/((-5/(((-5*(-97--5))-(-5+((-5*-97)*(((-5--5)+(-97--5))+-97))))-(-5+-5)))*-5)))/-5)--5)+(-5*(((-97*(-97-(-5/-5)))*(-97-(-97/(-5*-97))))-(-5/-5)))))</f>
        <v>-4582491.0</v>
      </c>
      <c r="C301" t="n" s="0">
        <v>-4582491.0</v>
      </c>
    </row>
    <row r="302">
      <c r="A302" t="n" s="0">
        <v>-96.99</v>
      </c>
      <c r="B302" t="n" s="0">
        <f>(-5-((((-5*(-5/((-5/(((-5*(-96.99--5))-(-5+((-5*-96.99)*(((-5--5)+(-96.99--5))+-96.99))))-(-5+-5)))*-5)))/-5)--5)+(-5*(((-96.99*(-96.99-(-5/-5)))*(-96.99-(-96.99/(-5*-96.99))))-(-5/-5)))))</f>
        <v>-4581075.885695</v>
      </c>
      <c r="C302" t="n" s="0">
        <v>-4581075.885694999</v>
      </c>
    </row>
    <row r="303">
      <c r="A303" t="n" s="0">
        <v>-96.98</v>
      </c>
      <c r="B303" t="n" s="0">
        <f>(-5-((((-5*(-5/((-5/(((-5*(-96.98--5))-(-5+((-5*-96.98)*(((-5--5)+(-96.98--5))+-96.98))))-(-5+-5)))*-5)))/-5)--5)+(-5*(((-96.98*(-96.98-(-5/-5)))*(-96.98-(-96.98/(-5*-96.98))))-(-5/-5)))))</f>
        <v>-4579661.06276</v>
      </c>
      <c r="C303" t="n" s="0">
        <v>-4579661.062760001</v>
      </c>
    </row>
    <row r="304">
      <c r="A304" t="n" s="0">
        <v>-96.97</v>
      </c>
      <c r="B304" t="n" s="0">
        <f>(-5-((((-5*(-5/((-5/(((-5*(-96.97--5))-(-5+((-5*-96.97)*(((-5--5)+(-96.97--5))+-96.97))))-(-5+-5)))*-5)))/-5)--5)+(-5*(((-96.97*(-96.97-(-5/-5)))*(-96.97-(-96.97/(-5*-96.97))))-(-5/-5)))))</f>
        <v>-4578246.531165</v>
      </c>
      <c r="C304" t="n" s="0">
        <v>-4578246.531165</v>
      </c>
    </row>
    <row r="305">
      <c r="A305" t="n" s="0">
        <v>-96.96</v>
      </c>
      <c r="B305" t="n" s="0">
        <f>(-5-((((-5*(-5/((-5/(((-5*(-96.96--5))-(-5+((-5*-96.96)*(((-5--5)+(-96.96--5))+-96.96))))-(-5+-5)))*-5)))/-5)--5)+(-5*(((-96.96*(-96.96-(-5/-5)))*(-96.96-(-96.96/(-5*-96.96))))-(-5/-5)))))</f>
        <v>-4576832.29088</v>
      </c>
      <c r="C305" t="n" s="0">
        <v>-4576832.290879998</v>
      </c>
    </row>
    <row r="306">
      <c r="A306" t="n" s="0">
        <v>-96.95</v>
      </c>
      <c r="B306" t="n" s="0">
        <f>(-5-((((-5*(-5/((-5/(((-5*(-96.95--5))-(-5+((-5*-96.95)*(((-5--5)+(-96.95--5))+-96.95))))-(-5+-5)))*-5)))/-5)--5)+(-5*(((-96.95*(-96.95-(-5/-5)))*(-96.95-(-96.95/(-5*-96.95))))-(-5/-5)))))</f>
        <v>-4575418.341875</v>
      </c>
      <c r="C306" t="n" s="0">
        <v>-4575418.341875</v>
      </c>
    </row>
    <row r="307">
      <c r="A307" t="n" s="0">
        <v>-96.94</v>
      </c>
      <c r="B307" t="n" s="0">
        <f>(-5-((((-5*(-5/((-5/(((-5*(-96.94--5))-(-5+((-5*-96.94)*(((-5--5)+(-96.94--5))+-96.94))))-(-5+-5)))*-5)))/-5)--5)+(-5*(((-96.94*(-96.94-(-5/-5)))*(-96.94-(-96.94/(-5*-96.94))))-(-5/-5)))))</f>
        <v>-4574004.68412</v>
      </c>
      <c r="C307" t="n" s="0">
        <v>-4574004.684119999</v>
      </c>
    </row>
    <row r="308">
      <c r="A308" t="n" s="0">
        <v>-96.93</v>
      </c>
      <c r="B308" t="n" s="0">
        <f>(-5-((((-5*(-5/((-5/(((-5*(-96.93--5))-(-5+((-5*-96.93)*(((-5--5)+(-96.93--5))+-96.93))))-(-5+-5)))*-5)))/-5)--5)+(-5*(((-96.93*(-96.93-(-5/-5)))*(-96.93-(-96.93/(-5*-96.93))))-(-5/-5)))))</f>
        <v>-4572591.317585</v>
      </c>
      <c r="C308" t="n" s="0">
        <v>-4572591.317585001</v>
      </c>
    </row>
    <row r="309">
      <c r="A309" t="n" s="0">
        <v>-96.92</v>
      </c>
      <c r="B309" t="n" s="0">
        <f>(-5-((((-5*(-5/((-5/(((-5*(-96.92--5))-(-5+((-5*-96.92)*(((-5--5)+(-96.92--5))+-96.92))))-(-5+-5)))*-5)))/-5)--5)+(-5*(((-96.92*(-96.92-(-5/-5)))*(-96.92-(-96.92/(-5*-96.92))))-(-5/-5)))))</f>
        <v>-4571178.2422400005</v>
      </c>
      <c r="C309" t="n" s="0">
        <v>-4571178.24224</v>
      </c>
    </row>
    <row r="310">
      <c r="A310" t="n" s="0">
        <v>-96.91</v>
      </c>
      <c r="B310" t="n" s="0">
        <f>(-5-((((-5*(-5/((-5/(((-5*(-96.91--5))-(-5+((-5*-96.91)*(((-5--5)+(-96.91--5))+-96.91))))-(-5+-5)))*-5)))/-5)--5)+(-5*(((-96.91*(-96.91-(-5/-5)))*(-96.91-(-96.91/(-5*-96.91))))-(-5/-5)))))</f>
        <v>-4569765.458055</v>
      </c>
      <c r="C310" t="n" s="0">
        <v>-4569765.458055</v>
      </c>
    </row>
    <row r="311">
      <c r="A311" t="n" s="0">
        <v>-96.9</v>
      </c>
      <c r="B311" t="n" s="0">
        <f>(-5-((((-5*(-5/((-5/(((-5*(-96.9--5))-(-5+((-5*-96.9)*(((-5--5)+(-96.9--5))+-96.9))))-(-5+-5)))*-5)))/-5)--5)+(-5*(((-96.9*(-96.9-(-5/-5)))*(-96.9-(-96.9/(-5*-96.9))))-(-5/-5)))))</f>
        <v>-4568352.965</v>
      </c>
      <c r="C311" t="n" s="0">
        <v>-4568352.965000001</v>
      </c>
    </row>
    <row r="312">
      <c r="A312" t="n" s="0">
        <v>-96.89</v>
      </c>
      <c r="B312" t="n" s="0">
        <f>(-5-((((-5*(-5/((-5/(((-5*(-96.89--5))-(-5+((-5*-96.89)*(((-5--5)+(-96.89--5))+-96.89))))-(-5+-5)))*-5)))/-5)--5)+(-5*(((-96.89*(-96.89-(-5/-5)))*(-96.89-(-96.89/(-5*-96.89))))-(-5/-5)))))</f>
        <v>-4566940.763045</v>
      </c>
      <c r="C312" t="n" s="0">
        <v>-4566940.763045</v>
      </c>
    </row>
    <row r="313">
      <c r="A313" t="n" s="0">
        <v>-96.88</v>
      </c>
      <c r="B313" t="n" s="0">
        <f>(-5-((((-5*(-5/((-5/(((-5*(-96.88--5))-(-5+((-5*-96.88)*(((-5--5)+(-96.88--5))+-96.88))))-(-5+-5)))*-5)))/-5)--5)+(-5*(((-96.88*(-96.88-(-5/-5)))*(-96.88-(-96.88/(-5*-96.88))))-(-5/-5)))))</f>
        <v>-4565528.852159999</v>
      </c>
      <c r="C313" t="n" s="0">
        <v>-4565528.852159999</v>
      </c>
    </row>
    <row r="314">
      <c r="A314" t="n" s="0">
        <v>-96.87</v>
      </c>
      <c r="B314" t="n" s="0">
        <f>(-5-((((-5*(-5/((-5/(((-5*(-96.87--5))-(-5+((-5*-96.87)*(((-5--5)+(-96.87--5))+-96.87))))-(-5+-5)))*-5)))/-5)--5)+(-5*(((-96.87*(-96.87-(-5/-5)))*(-96.87-(-96.87/(-5*-96.87))))-(-5/-5)))))</f>
        <v>-4564117.232314999</v>
      </c>
      <c r="C314" t="n" s="0">
        <v>-4564117.232315001</v>
      </c>
    </row>
    <row r="315">
      <c r="A315" t="n" s="0">
        <v>-96.86</v>
      </c>
      <c r="B315" t="n" s="0">
        <f>(-5-((((-5*(-5/((-5/(((-5*(-96.86--5))-(-5+((-5*-96.86)*(((-5--5)+(-96.86--5))+-96.86))))-(-5+-5)))*-5)))/-5)--5)+(-5*(((-96.86*(-96.86-(-5/-5)))*(-96.86-(-96.86/(-5*-96.86))))-(-5/-5)))))</f>
        <v>-4562705.90348</v>
      </c>
      <c r="C315" t="n" s="0">
        <v>-4562705.903480001</v>
      </c>
    </row>
    <row r="316">
      <c r="A316" t="n" s="0">
        <v>-96.85</v>
      </c>
      <c r="B316" t="n" s="0">
        <f>(-5-((((-5*(-5/((-5/(((-5*(-96.85--5))-(-5+((-5*-96.85)*(((-5--5)+(-96.85--5))+-96.85))))-(-5+-5)))*-5)))/-5)--5)+(-5*(((-96.85*(-96.85-(-5/-5)))*(-96.85-(-96.85/(-5*-96.85))))-(-5/-5)))))</f>
        <v>-4561294.865625</v>
      </c>
      <c r="C316" t="n" s="0">
        <v>-4561294.865624999</v>
      </c>
    </row>
    <row r="317">
      <c r="A317" t="n" s="0">
        <v>-96.84</v>
      </c>
      <c r="B317" t="n" s="0">
        <f>(-5-((((-5*(-5/((-5/(((-5*(-96.84--5))-(-5+((-5*-96.84)*(((-5--5)+(-96.84--5))+-96.84))))-(-5+-5)))*-5)))/-5)--5)+(-5*(((-96.84*(-96.84-(-5/-5)))*(-96.84-(-96.84/(-5*-96.84))))-(-5/-5)))))</f>
        <v>-4559884.11872</v>
      </c>
      <c r="C317" t="n" s="0">
        <v>-4559884.11872</v>
      </c>
    </row>
    <row r="318">
      <c r="A318" t="n" s="0">
        <v>-96.83</v>
      </c>
      <c r="B318" t="n" s="0">
        <f>(-5-((((-5*(-5/((-5/(((-5*(-96.83--5))-(-5+((-5*-96.83)*(((-5--5)+(-96.83--5))+-96.83))))-(-5+-5)))*-5)))/-5)--5)+(-5*(((-96.83*(-96.83-(-5/-5)))*(-96.83-(-96.83/(-5*-96.83))))-(-5/-5)))))</f>
        <v>-4558473.662734999</v>
      </c>
      <c r="C318" t="n" s="0">
        <v>-4558473.662734999</v>
      </c>
    </row>
    <row r="319">
      <c r="A319" t="n" s="0">
        <v>-96.82</v>
      </c>
      <c r="B319" t="n" s="0">
        <f>(-5-((((-5*(-5/((-5/(((-5*(-96.82--5))-(-5+((-5*-96.82)*(((-5--5)+(-96.82--5))+-96.82))))-(-5+-5)))*-5)))/-5)--5)+(-5*(((-96.82*(-96.82-(-5/-5)))*(-96.82-(-96.82/(-5*-96.82))))-(-5/-5)))))</f>
        <v>-4557063.497640001</v>
      </c>
      <c r="C319" t="n" s="0">
        <v>-4557063.497639999</v>
      </c>
    </row>
    <row r="320">
      <c r="A320" t="n" s="0">
        <v>-96.81</v>
      </c>
      <c r="B320" t="n" s="0">
        <f>(-5-((((-5*(-5/((-5/(((-5*(-96.81--5))-(-5+((-5*-96.81)*(((-5--5)+(-96.81--5))+-96.81))))-(-5+-5)))*-5)))/-5)--5)+(-5*(((-96.81*(-96.81-(-5/-5)))*(-96.81-(-96.81/(-5*-96.81))))-(-5/-5)))))</f>
        <v>-4555653.623404999</v>
      </c>
      <c r="C320" t="n" s="0">
        <v>-4555653.623405</v>
      </c>
    </row>
    <row r="321">
      <c r="A321" t="n" s="0">
        <v>-96.8</v>
      </c>
      <c r="B321" t="n" s="0">
        <f>(-5-((((-5*(-5/((-5/(((-5*(-96.8--5))-(-5+((-5*-96.8)*(((-5--5)+(-96.8--5))+-96.8))))-(-5+-5)))*-5)))/-5)--5)+(-5*(((-96.8*(-96.8-(-5/-5)))*(-96.8-(-96.8/(-5*-96.8))))-(-5/-5)))))</f>
        <v>-4554244.04</v>
      </c>
      <c r="C321" t="n" s="0">
        <v>-4554244.040000001</v>
      </c>
    </row>
    <row r="322">
      <c r="A322" t="n" s="0">
        <v>-96.79</v>
      </c>
      <c r="B322" t="n" s="0">
        <f>(-5-((((-5*(-5/((-5/(((-5*(-96.79--5))-(-5+((-5*-96.79)*(((-5--5)+(-96.79--5))+-96.79))))-(-5+-5)))*-5)))/-5)--5)+(-5*(((-96.79*(-96.79-(-5/-5)))*(-96.79-(-96.79/(-5*-96.79))))-(-5/-5)))))</f>
        <v>-4552834.7473949995</v>
      </c>
      <c r="C322" t="n" s="0">
        <v>-4552834.747395</v>
      </c>
    </row>
    <row r="323">
      <c r="A323" t="n" s="0">
        <v>-96.78</v>
      </c>
      <c r="B323" t="n" s="0">
        <f>(-5-((((-5*(-5/((-5/(((-5*(-96.78--5))-(-5+((-5*-96.78)*(((-5--5)+(-96.78--5))+-96.78))))-(-5+-5)))*-5)))/-5)--5)+(-5*(((-96.78*(-96.78-(-5/-5)))*(-96.78-(-96.78/(-5*-96.78))))-(-5/-5)))))</f>
        <v>-4551425.74556</v>
      </c>
      <c r="C323" t="n" s="0">
        <v>-4551425.74556</v>
      </c>
    </row>
    <row r="324">
      <c r="A324" t="n" s="0">
        <v>-96.77</v>
      </c>
      <c r="B324" t="n" s="0">
        <f>(-5-((((-5*(-5/((-5/(((-5*(-96.77--5))-(-5+((-5*-96.77)*(((-5--5)+(-96.77--5))+-96.77))))-(-5+-5)))*-5)))/-5)--5)+(-5*(((-96.77*(-96.77-(-5/-5)))*(-96.77-(-96.77/(-5*-96.77))))-(-5/-5)))))</f>
        <v>-4550017.034465</v>
      </c>
      <c r="C324" t="n" s="0">
        <v>-4550017.034464998</v>
      </c>
    </row>
    <row r="325">
      <c r="A325" t="n" s="0">
        <v>-96.76</v>
      </c>
      <c r="B325" t="n" s="0">
        <f>(-5-((((-5*(-5/((-5/(((-5*(-96.76--5))-(-5+((-5*-96.76)*(((-5--5)+(-96.76--5))+-96.76))))-(-5+-5)))*-5)))/-5)--5)+(-5*(((-96.76*(-96.76-(-5/-5)))*(-96.76-(-96.76/(-5*-96.76))))-(-5/-5)))))</f>
        <v>-4548608.614080001</v>
      </c>
      <c r="C325" t="n" s="0">
        <v>-4548608.614080001</v>
      </c>
    </row>
    <row r="326">
      <c r="A326" t="n" s="0">
        <v>-96.75</v>
      </c>
      <c r="B326" t="n" s="0">
        <f>(-5-((((-5*(-5/((-5/(((-5*(-96.75--5))-(-5+((-5*-96.75)*(((-5--5)+(-96.75--5))+-96.75))))-(-5+-5)))*-5)))/-5)--5)+(-5*(((-96.75*(-96.75-(-5/-5)))*(-96.75-(-96.75/(-5*-96.75))))-(-5/-5)))))</f>
        <v>-4547200.484375</v>
      </c>
      <c r="C326" t="n" s="0">
        <v>-4547200.484375</v>
      </c>
    </row>
    <row r="327">
      <c r="A327" t="n" s="0">
        <v>-96.74</v>
      </c>
      <c r="B327" t="n" s="0">
        <f>(-5-((((-5*(-5/((-5/(((-5*(-96.74--5))-(-5+((-5*-96.74)*(((-5--5)+(-96.74--5))+-96.74))))-(-5+-5)))*-5)))/-5)--5)+(-5*(((-96.74*(-96.74-(-5/-5)))*(-96.74-(-96.74/(-5*-96.74))))-(-5/-5)))))</f>
        <v>-4545792.64532</v>
      </c>
      <c r="C327" t="n" s="0">
        <v>-4545792.645319999</v>
      </c>
    </row>
    <row r="328">
      <c r="A328" t="n" s="0">
        <v>-96.73</v>
      </c>
      <c r="B328" t="n" s="0">
        <f>(-5-((((-5*(-5/((-5/(((-5*(-96.73--5))-(-5+((-5*-96.73)*(((-5--5)+(-96.73--5))+-96.73))))-(-5+-5)))*-5)))/-5)--5)+(-5*(((-96.73*(-96.73-(-5/-5)))*(-96.73-(-96.73/(-5*-96.73))))-(-5/-5)))))</f>
        <v>-4544385.096884999</v>
      </c>
      <c r="C328" t="n" s="0">
        <v>-4544385.096885001</v>
      </c>
    </row>
    <row r="329">
      <c r="A329" t="n" s="0">
        <v>-96.72</v>
      </c>
      <c r="B329" t="n" s="0">
        <f>(-5-((((-5*(-5/((-5/(((-5*(-96.72--5))-(-5+((-5*-96.72)*(((-5--5)+(-96.72--5))+-96.72))))-(-5+-5)))*-5)))/-5)--5)+(-5*(((-96.72*(-96.72-(-5/-5)))*(-96.72-(-96.72/(-5*-96.72))))-(-5/-5)))))</f>
        <v>-4542977.83904</v>
      </c>
      <c r="C329" t="n" s="0">
        <v>-4542977.839040001</v>
      </c>
    </row>
    <row r="330">
      <c r="A330" t="n" s="0">
        <v>-96.71</v>
      </c>
      <c r="B330" t="n" s="0">
        <f>(-5-((((-5*(-5/((-5/(((-5*(-96.71--5))-(-5+((-5*-96.71)*(((-5--5)+(-96.71--5))+-96.71))))-(-5+-5)))*-5)))/-5)--5)+(-5*(((-96.71*(-96.71-(-5/-5)))*(-96.71-(-96.71/(-5*-96.71))))-(-5/-5)))))</f>
        <v>-4541570.871755</v>
      </c>
      <c r="C330" t="n" s="0">
        <v>-4541570.871754999</v>
      </c>
    </row>
    <row r="331">
      <c r="A331" t="n" s="0">
        <v>-96.7</v>
      </c>
      <c r="B331" t="n" s="0">
        <f>(-5-((((-5*(-5/((-5/(((-5*(-96.7--5))-(-5+((-5*-96.7)*(((-5--5)+(-96.7--5))+-96.7))))-(-5+-5)))*-5)))/-5)--5)+(-5*(((-96.7*(-96.7-(-5/-5)))*(-96.7-(-96.7/(-5*-96.7))))-(-5/-5)))))</f>
        <v>-4540164.194999999</v>
      </c>
      <c r="C331" t="n" s="0">
        <v>-4540164.195</v>
      </c>
    </row>
    <row r="332">
      <c r="A332" t="n" s="0">
        <v>-96.69</v>
      </c>
      <c r="B332" t="n" s="0">
        <f>(-5-((((-5*(-5/((-5/(((-5*(-96.69--5))-(-5+((-5*-96.69)*(((-5--5)+(-96.69--5))+-96.69))))-(-5+-5)))*-5)))/-5)--5)+(-5*(((-96.69*(-96.69-(-5/-5)))*(-96.69-(-96.69/(-5*-96.69))))-(-5/-5)))))</f>
        <v>-4538757.808745</v>
      </c>
      <c r="C332" t="n" s="0">
        <v>-4538757.8087450005</v>
      </c>
    </row>
    <row r="333">
      <c r="A333" t="n" s="0">
        <v>-96.68</v>
      </c>
      <c r="B333" t="n" s="0">
        <f>(-5-((((-5*(-5/((-5/(((-5*(-96.68--5))-(-5+((-5*-96.68)*(((-5--5)+(-96.68--5))+-96.68))))-(-5+-5)))*-5)))/-5)--5)+(-5*(((-96.68*(-96.68-(-5/-5)))*(-96.68-(-96.68/(-5*-96.68))))-(-5/-5)))))</f>
        <v>-4537351.71296</v>
      </c>
      <c r="C333" t="n" s="0">
        <v>-4537351.712960001</v>
      </c>
    </row>
    <row r="334">
      <c r="A334" t="n" s="0">
        <v>-96.67</v>
      </c>
      <c r="B334" t="n" s="0">
        <f>(-5-((((-5*(-5/((-5/(((-5*(-96.67--5))-(-5+((-5*-96.67)*(((-5--5)+(-96.67--5))+-96.67))))-(-5+-5)))*-5)))/-5)--5)+(-5*(((-96.67*(-96.67-(-5/-5)))*(-96.67-(-96.67/(-5*-96.67))))-(-5/-5)))))</f>
        <v>-4535945.907615</v>
      </c>
      <c r="C334" t="n" s="0">
        <v>-4535945.907614999</v>
      </c>
    </row>
    <row r="335">
      <c r="A335" t="n" s="0">
        <v>-96.66</v>
      </c>
      <c r="B335" t="n" s="0">
        <f>(-5-((((-5*(-5/((-5/(((-5*(-96.66--5))-(-5+((-5*-96.66)*(((-5--5)+(-96.66--5))+-96.66))))-(-5+-5)))*-5)))/-5)--5)+(-5*(((-96.66*(-96.66-(-5/-5)))*(-96.66-(-96.66/(-5*-96.66))))-(-5/-5)))))</f>
        <v>-4534540.3926800005</v>
      </c>
      <c r="C335" t="n" s="0">
        <v>-4534540.3926800005</v>
      </c>
    </row>
    <row r="336">
      <c r="A336" t="n" s="0">
        <v>-96.65</v>
      </c>
      <c r="B336" t="n" s="0">
        <f>(-5-((((-5*(-5/((-5/(((-5*(-96.65--5))-(-5+((-5*-96.65)*(((-5--5)+(-96.65--5))+-96.65))))-(-5+-5)))*-5)))/-5)--5)+(-5*(((-96.65*(-96.65-(-5/-5)))*(-96.65-(-96.65/(-5*-96.65))))-(-5/-5)))))</f>
        <v>-4533135.168125</v>
      </c>
      <c r="C336" t="n" s="0">
        <v>-4533135.168125002</v>
      </c>
    </row>
    <row r="337">
      <c r="A337" t="n" s="0">
        <v>-96.64</v>
      </c>
      <c r="B337" t="n" s="0">
        <f>(-5-((((-5*(-5/((-5/(((-5*(-96.64--5))-(-5+((-5*-96.64)*(((-5--5)+(-96.64--5))+-96.64))))-(-5+-5)))*-5)))/-5)--5)+(-5*(((-96.64*(-96.64-(-5/-5)))*(-96.64-(-96.64/(-5*-96.64))))-(-5/-5)))))</f>
        <v>-4531730.23392</v>
      </c>
      <c r="C337" t="n" s="0">
        <v>-4531730.23392</v>
      </c>
    </row>
    <row r="338">
      <c r="A338" t="n" s="0">
        <v>-96.63</v>
      </c>
      <c r="B338" t="n" s="0">
        <f>(-5-((((-5*(-5/((-5/(((-5*(-96.63--5))-(-5+((-5*-96.63)*(((-5--5)+(-96.63--5))+-96.63))))-(-5+-5)))*-5)))/-5)--5)+(-5*(((-96.63*(-96.63-(-5/-5)))*(-96.63-(-96.63/(-5*-96.63))))-(-5/-5)))))</f>
        <v>-4530325.590035001</v>
      </c>
      <c r="C338" t="n" s="0">
        <v>-4530325.590034999</v>
      </c>
    </row>
    <row r="339">
      <c r="A339" t="n" s="0">
        <v>-96.62</v>
      </c>
      <c r="B339" t="n" s="0">
        <f>(-5-((((-5*(-5/((-5/(((-5*(-96.62--5))-(-5+((-5*-96.62)*(((-5--5)+(-96.62--5))+-96.62))))-(-5+-5)))*-5)))/-5)--5)+(-5*(((-96.62*(-96.62-(-5/-5)))*(-96.62-(-96.62/(-5*-96.62))))-(-5/-5)))))</f>
        <v>-4528921.23644</v>
      </c>
      <c r="C339" t="n" s="0">
        <v>-4528921.236440001</v>
      </c>
    </row>
    <row r="340">
      <c r="A340" t="n" s="0">
        <v>-96.61</v>
      </c>
      <c r="B340" t="n" s="0">
        <f>(-5-((((-5*(-5/((-5/(((-5*(-96.61--5))-(-5+((-5*-96.61)*(((-5--5)+(-96.61--5))+-96.61))))-(-5+-5)))*-5)))/-5)--5)+(-5*(((-96.61*(-96.61-(-5/-5)))*(-96.61-(-96.61/(-5*-96.61))))-(-5/-5)))))</f>
        <v>-4527517.173105</v>
      </c>
      <c r="C340" t="n" s="0">
        <v>-4527517.173105</v>
      </c>
    </row>
    <row r="341">
      <c r="A341" t="n" s="0">
        <v>-96.6</v>
      </c>
      <c r="B341" t="n" s="0">
        <f>(-5-((((-5*(-5/((-5/(((-5*(-96.6--5))-(-5+((-5*-96.6)*(((-5--5)+(-96.6--5))+-96.6))))-(-5+-5)))*-5)))/-5)--5)+(-5*(((-96.6*(-96.6-(-5/-5)))*(-96.6-(-96.6/(-5*-96.6))))-(-5/-5)))))</f>
        <v>-4526113.4</v>
      </c>
      <c r="C341" t="n" s="0">
        <v>-4526113.399999999</v>
      </c>
    </row>
    <row r="342">
      <c r="A342" t="n" s="0">
        <v>-96.59</v>
      </c>
      <c r="B342" t="n" s="0">
        <f>(-5-((((-5*(-5/((-5/(((-5*(-96.59--5))-(-5+((-5*-96.59)*(((-5--5)+(-96.59--5))+-96.59))))-(-5+-5)))*-5)))/-5)--5)+(-5*(((-96.59*(-96.59-(-5/-5)))*(-96.59-(-96.59/(-5*-96.59))))-(-5/-5)))))</f>
        <v>-4524709.917095</v>
      </c>
      <c r="C342" t="n" s="0">
        <v>-4524709.917095</v>
      </c>
    </row>
    <row r="343">
      <c r="A343" t="n" s="0">
        <v>-96.58</v>
      </c>
      <c r="B343" t="n" s="0">
        <f>(-5-((((-5*(-5/((-5/(((-5*(-96.58--5))-(-5+((-5*-96.58)*(((-5--5)+(-96.58--5))+-96.58))))-(-5+-5)))*-5)))/-5)--5)+(-5*(((-96.58*(-96.58-(-5/-5)))*(-96.58-(-96.58/(-5*-96.58))))-(-5/-5)))))</f>
        <v>-4523306.724359999</v>
      </c>
      <c r="C343" t="n" s="0">
        <v>-4523306.724359999</v>
      </c>
    </row>
    <row r="344">
      <c r="A344" t="n" s="0">
        <v>-96.57</v>
      </c>
      <c r="B344" t="n" s="0">
        <f>(-5-((((-5*(-5/((-5/(((-5*(-96.57--5))-(-5+((-5*-96.57)*(((-5--5)+(-96.57--5))+-96.57))))-(-5+-5)))*-5)))/-5)--5)+(-5*(((-96.57*(-96.57-(-5/-5)))*(-96.57-(-96.57/(-5*-96.57))))-(-5/-5)))))</f>
        <v>-4521903.821765</v>
      </c>
      <c r="C344" t="n" s="0">
        <v>-4521903.821764998</v>
      </c>
    </row>
    <row r="345">
      <c r="A345" t="n" s="0">
        <v>-96.56</v>
      </c>
      <c r="B345" t="n" s="0">
        <f>(-5-((((-5*(-5/((-5/(((-5*(-96.56--5))-(-5+((-5*-96.56)*(((-5--5)+(-96.56--5))+-96.56))))-(-5+-5)))*-5)))/-5)--5)+(-5*(((-96.56*(-96.56-(-5/-5)))*(-96.56-(-96.56/(-5*-96.56))))-(-5/-5)))))</f>
        <v>-4520501.20928</v>
      </c>
      <c r="C345" t="n" s="0">
        <v>-4520501.20928</v>
      </c>
    </row>
    <row r="346">
      <c r="A346" t="n" s="0">
        <v>-96.55</v>
      </c>
      <c r="B346" t="n" s="0">
        <f>(-5-((((-5*(-5/((-5/(((-5*(-96.55--5))-(-5+((-5*-96.55)*(((-5--5)+(-96.55--5))+-96.55))))-(-5+-5)))*-5)))/-5)--5)+(-5*(((-96.55*(-96.55-(-5/-5)))*(-96.55-(-96.55/(-5*-96.55))))-(-5/-5)))))</f>
        <v>-4519098.886875</v>
      </c>
      <c r="C346" t="n" s="0">
        <v>-4519098.886875</v>
      </c>
    </row>
    <row r="347">
      <c r="A347" t="n" s="0">
        <v>-96.54</v>
      </c>
      <c r="B347" t="n" s="0">
        <f>(-5-((((-5*(-5/((-5/(((-5*(-96.54--5))-(-5+((-5*-96.54)*(((-5--5)+(-96.54--5))+-96.54))))-(-5+-5)))*-5)))/-5)--5)+(-5*(((-96.54*(-96.54-(-5/-5)))*(-96.54-(-96.54/(-5*-96.54))))-(-5/-5)))))</f>
        <v>-4517696.85452</v>
      </c>
      <c r="C347" t="n" s="0">
        <v>-4517696.8545200005</v>
      </c>
    </row>
    <row r="348">
      <c r="A348" t="n" s="0">
        <v>-96.53</v>
      </c>
      <c r="B348" t="n" s="0">
        <f>(-5-((((-5*(-5/((-5/(((-5*(-96.53--5))-(-5+((-5*-96.53)*(((-5--5)+(-96.53--5))+-96.53))))-(-5+-5)))*-5)))/-5)--5)+(-5*(((-96.53*(-96.53-(-5/-5)))*(-96.53-(-96.53/(-5*-96.53))))-(-5/-5)))))</f>
        <v>-4516295.112185</v>
      </c>
      <c r="C348" t="n" s="0">
        <v>-4516295.1121849995</v>
      </c>
    </row>
    <row r="349">
      <c r="A349" t="n" s="0">
        <v>-96.52</v>
      </c>
      <c r="B349" t="n" s="0">
        <f>(-5-((((-5*(-5/((-5/(((-5*(-96.52--5))-(-5+((-5*-96.52)*(((-5--5)+(-96.52--5))+-96.52))))-(-5+-5)))*-5)))/-5)--5)+(-5*(((-96.52*(-96.52-(-5/-5)))*(-96.52-(-96.52/(-5*-96.52))))-(-5/-5)))))</f>
        <v>-4514893.65984</v>
      </c>
      <c r="C349" t="n" s="0">
        <v>-4514893.659839999</v>
      </c>
    </row>
    <row r="350">
      <c r="A350" t="n" s="0">
        <v>-96.51</v>
      </c>
      <c r="B350" t="n" s="0">
        <f>(-5-((((-5*(-5/((-5/(((-5*(-96.51--5))-(-5+((-5*-96.51)*(((-5--5)+(-96.51--5))+-96.51))))-(-5+-5)))*-5)))/-5)--5)+(-5*(((-96.51*(-96.51-(-5/-5)))*(-96.51-(-96.51/(-5*-96.51))))-(-5/-5)))))</f>
        <v>-4513492.497455</v>
      </c>
      <c r="C350" t="n" s="0">
        <v>-4513492.497455001</v>
      </c>
    </row>
    <row r="351">
      <c r="A351" t="n" s="0">
        <v>-96.5</v>
      </c>
      <c r="B351" t="n" s="0">
        <f>(-5-((((-5*(-5/((-5/(((-5*(-96.5--5))-(-5+((-5*-96.5)*(((-5--5)+(-96.5--5))+-96.5))))-(-5+-5)))*-5)))/-5)--5)+(-5*(((-96.5*(-96.5-(-5/-5)))*(-96.5-(-96.5/(-5*-96.5))))-(-5/-5)))))</f>
        <v>-4512091.625</v>
      </c>
      <c r="C351" t="n" s="0">
        <v>-4512091.625</v>
      </c>
    </row>
    <row r="352">
      <c r="A352" t="n" s="0">
        <v>-96.49</v>
      </c>
      <c r="B352" t="n" s="0">
        <f>(-5-((((-5*(-5/((-5/(((-5*(-96.49--5))-(-5+((-5*-96.49)*(((-5--5)+(-96.49--5))+-96.49))))-(-5+-5)))*-5)))/-5)--5)+(-5*(((-96.49*(-96.49-(-5/-5)))*(-96.49-(-96.49/(-5*-96.49))))-(-5/-5)))))</f>
        <v>-4510691.042444999</v>
      </c>
      <c r="C352" t="n" s="0">
        <v>-4510691.042444999</v>
      </c>
    </row>
    <row r="353">
      <c r="A353" t="n" s="0">
        <v>-96.48</v>
      </c>
      <c r="B353" t="n" s="0">
        <f>(-5-((((-5*(-5/((-5/(((-5*(-96.48--5))-(-5+((-5*-96.48)*(((-5--5)+(-96.48--5))+-96.48))))-(-5+-5)))*-5)))/-5)--5)+(-5*(((-96.48*(-96.48-(-5/-5)))*(-96.48-(-96.48/(-5*-96.48))))-(-5/-5)))))</f>
        <v>-4509290.74976</v>
      </c>
      <c r="C353" t="n" s="0">
        <v>-4509290.749760001</v>
      </c>
    </row>
    <row r="354">
      <c r="A354" t="n" s="0">
        <v>-96.47</v>
      </c>
      <c r="B354" t="n" s="0">
        <f>(-5-((((-5*(-5/((-5/(((-5*(-96.47--5))-(-5+((-5*-96.47)*(((-5--5)+(-96.47--5))+-96.47))))-(-5+-5)))*-5)))/-5)--5)+(-5*(((-96.47*(-96.47-(-5/-5)))*(-96.47-(-96.47/(-5*-96.47))))-(-5/-5)))))</f>
        <v>-4507890.7469150005</v>
      </c>
      <c r="C354" t="n" s="0">
        <v>-4507890.746915</v>
      </c>
    </row>
    <row r="355">
      <c r="A355" t="n" s="0">
        <v>-96.46</v>
      </c>
      <c r="B355" t="n" s="0">
        <f>(-5-((((-5*(-5/((-5/(((-5*(-96.46--5))-(-5+((-5*-96.46)*(((-5--5)+(-96.46--5))+-96.46))))-(-5+-5)))*-5)))/-5)--5)+(-5*(((-96.46*(-96.46-(-5/-5)))*(-96.46-(-96.46/(-5*-96.46))))-(-5/-5)))))</f>
        <v>-4506491.03388</v>
      </c>
      <c r="C355" t="n" s="0">
        <v>-4506491.033879998</v>
      </c>
    </row>
    <row r="356">
      <c r="A356" t="n" s="0">
        <v>-96.45</v>
      </c>
      <c r="B356" t="n" s="0">
        <f>(-5-((((-5*(-5/((-5/(((-5*(-96.45--5))-(-5+((-5*-96.45)*(((-5--5)+(-96.45--5))+-96.45))))-(-5+-5)))*-5)))/-5)--5)+(-5*(((-96.45*(-96.45-(-5/-5)))*(-96.45-(-96.45/(-5*-96.45))))-(-5/-5)))))</f>
        <v>-4505091.610625</v>
      </c>
      <c r="C356" t="n" s="0">
        <v>-4505091.610625</v>
      </c>
    </row>
    <row r="357">
      <c r="A357" t="n" s="0">
        <v>-96.44</v>
      </c>
      <c r="B357" t="n" s="0">
        <f>(-5-((((-5*(-5/((-5/(((-5*(-96.44--5))-(-5+((-5*-96.44)*(((-5--5)+(-96.44--5))+-96.44))))-(-5+-5)))*-5)))/-5)--5)+(-5*(((-96.44*(-96.44-(-5/-5)))*(-96.44-(-96.44/(-5*-96.44))))-(-5/-5)))))</f>
        <v>-4503692.47712</v>
      </c>
      <c r="C357" t="n" s="0">
        <v>-4503692.47712</v>
      </c>
    </row>
    <row r="358">
      <c r="A358" t="n" s="0">
        <v>-96.43</v>
      </c>
      <c r="B358" t="n" s="0">
        <f>(-5-((((-5*(-5/((-5/(((-5*(-96.43--5))-(-5+((-5*-96.43)*(((-5--5)+(-96.43--5))+-96.43))))-(-5+-5)))*-5)))/-5)--5)+(-5*(((-96.43*(-96.43-(-5/-5)))*(-96.43-(-96.43/(-5*-96.43))))-(-5/-5)))))</f>
        <v>-4502293.633335</v>
      </c>
      <c r="C358" t="n" s="0">
        <v>-4502293.633335001</v>
      </c>
    </row>
    <row r="359">
      <c r="A359" t="n" s="0">
        <v>-96.42</v>
      </c>
      <c r="B359" t="n" s="0">
        <f>(-5-((((-5*(-5/((-5/(((-5*(-96.42--5))-(-5+((-5*-96.42)*(((-5--5)+(-96.42--5))+-96.42))))-(-5+-5)))*-5)))/-5)--5)+(-5*(((-96.42*(-96.42-(-5/-5)))*(-96.42-(-96.42/(-5*-96.42))))-(-5/-5)))))</f>
        <v>-4500895.07924</v>
      </c>
      <c r="C359" t="n" s="0">
        <v>-4500895.07924</v>
      </c>
    </row>
    <row r="360">
      <c r="A360" t="n" s="0">
        <v>-96.41</v>
      </c>
      <c r="B360" t="n" s="0">
        <f>(-5-((((-5*(-5/((-5/(((-5*(-96.41--5))-(-5+((-5*-96.41)*(((-5--5)+(-96.41--5))+-96.41))))-(-5+-5)))*-5)))/-5)--5)+(-5*(((-96.41*(-96.41-(-5/-5)))*(-96.41-(-96.41/(-5*-96.41))))-(-5/-5)))))</f>
        <v>-4499496.814805</v>
      </c>
      <c r="C360" t="n" s="0">
        <v>-4499496.814805</v>
      </c>
    </row>
    <row r="361">
      <c r="A361" t="n" s="0">
        <v>-96.4</v>
      </c>
      <c r="B361" t="n" s="0">
        <f>(-5-((((-5*(-5/((-5/(((-5*(-96.4--5))-(-5+((-5*-96.4)*(((-5--5)+(-96.4--5))+-96.4))))-(-5+-5)))*-5)))/-5)--5)+(-5*(((-96.4*(-96.4-(-5/-5)))*(-96.4-(-96.4/(-5*-96.4))))-(-5/-5)))))</f>
        <v>-4498098.84</v>
      </c>
      <c r="C361" t="n" s="0">
        <v>-4498098.840000001</v>
      </c>
    </row>
    <row r="362">
      <c r="A362" t="n" s="0">
        <v>-96.39</v>
      </c>
      <c r="B362" t="n" s="0">
        <f>(-5-((((-5*(-5/((-5/(((-5*(-96.39--5))-(-5+((-5*-96.39)*(((-5--5)+(-96.39--5))+-96.39))))-(-5+-5)))*-5)))/-5)--5)+(-5*(((-96.39*(-96.39-(-5/-5)))*(-96.39-(-96.39/(-5*-96.39))))-(-5/-5)))))</f>
        <v>-4496701.154794999</v>
      </c>
      <c r="C362" t="n" s="0">
        <v>-4496701.154794999</v>
      </c>
    </row>
    <row r="363">
      <c r="A363" t="n" s="0">
        <v>-96.38</v>
      </c>
      <c r="B363" t="n" s="0">
        <f>(-5-((((-5*(-5/((-5/(((-5*(-96.38--5))-(-5+((-5*-96.38)*(((-5--5)+(-96.38--5))+-96.38))))-(-5+-5)))*-5)))/-5)--5)+(-5*(((-96.38*(-96.38-(-5/-5)))*(-96.38-(-96.38/(-5*-96.38))))-(-5/-5)))))</f>
        <v>-4495303.75916</v>
      </c>
      <c r="C363" t="n" s="0">
        <v>-4495303.759159999</v>
      </c>
    </row>
    <row r="364">
      <c r="A364" t="n" s="0">
        <v>-96.37</v>
      </c>
      <c r="B364" t="n" s="0">
        <f>(-5-((((-5*(-5/((-5/(((-5*(-96.37--5))-(-5+((-5*-96.37)*(((-5--5)+(-96.37--5))+-96.37))))-(-5+-5)))*-5)))/-5)--5)+(-5*(((-96.37*(-96.37-(-5/-5)))*(-96.37-(-96.37/(-5*-96.37))))-(-5/-5)))))</f>
        <v>-4493906.653065</v>
      </c>
      <c r="C364" t="n" s="0">
        <v>-4493906.653065001</v>
      </c>
    </row>
    <row r="365">
      <c r="A365" t="n" s="0">
        <v>-96.36</v>
      </c>
      <c r="B365" t="n" s="0">
        <f>(-5-((((-5*(-5/((-5/(((-5*(-96.36--5))-(-5+((-5*-96.36)*(((-5--5)+(-96.36--5))+-96.36))))-(-5+-5)))*-5)))/-5)--5)+(-5*(((-96.36*(-96.36-(-5/-5)))*(-96.36-(-96.36/(-5*-96.36))))-(-5/-5)))))</f>
        <v>-4492509.83648</v>
      </c>
      <c r="C365" t="n" s="0">
        <v>-4492509.83648</v>
      </c>
    </row>
    <row r="366">
      <c r="A366" t="n" s="0">
        <v>-96.35</v>
      </c>
      <c r="B366" t="n" s="0">
        <f>(-5-((((-5*(-5/((-5/(((-5*(-96.35--5))-(-5+((-5*-96.35)*(((-5--5)+(-96.35--5))+-96.35))))-(-5+-5)))*-5)))/-5)--5)+(-5*(((-96.35*(-96.35-(-5/-5)))*(-96.35-(-96.35/(-5*-96.35))))-(-5/-5)))))</f>
        <v>-4491113.309375</v>
      </c>
      <c r="C366" t="n" s="0">
        <v>-4491113.309374998</v>
      </c>
    </row>
    <row r="367">
      <c r="A367" t="n" s="0">
        <v>-96.34</v>
      </c>
      <c r="B367" t="n" s="0">
        <f>(-5-((((-5*(-5/((-5/(((-5*(-96.34--5))-(-5+((-5*-96.34)*(((-5--5)+(-96.34--5))+-96.34))))-(-5+-5)))*-5)))/-5)--5)+(-5*(((-96.34*(-96.34-(-5/-5)))*(-96.34-(-96.34/(-5*-96.34))))-(-5/-5)))))</f>
        <v>-4489717.071719999</v>
      </c>
      <c r="C367" t="n" s="0">
        <v>-4489717.071719999</v>
      </c>
    </row>
    <row r="368">
      <c r="A368" t="n" s="0">
        <v>-96.33</v>
      </c>
      <c r="B368" t="n" s="0">
        <f>(-5-((((-5*(-5/((-5/(((-5*(-96.33--5))-(-5+((-5*-96.33)*(((-5--5)+(-96.33--5))+-96.33))))-(-5+-5)))*-5)))/-5)--5)+(-5*(((-96.33*(-96.33-(-5/-5)))*(-96.33-(-96.33/(-5*-96.33))))-(-5/-5)))))</f>
        <v>-4488321.123485</v>
      </c>
      <c r="C368" t="n" s="0">
        <v>-4488321.123485</v>
      </c>
    </row>
    <row r="369">
      <c r="A369" t="n" s="0">
        <v>-96.32</v>
      </c>
      <c r="B369" t="n" s="0">
        <f>(-5-((((-5*(-5/((-5/(((-5*(-96.32--5))-(-5+((-5*-96.32)*(((-5--5)+(-96.32--5))+-96.32))))-(-5+-5)))*-5)))/-5)--5)+(-5*(((-96.32*(-96.32-(-5/-5)))*(-96.32-(-96.32/(-5*-96.32))))-(-5/-5)))))</f>
        <v>-4486925.46464</v>
      </c>
      <c r="C369" t="n" s="0">
        <v>-4486925.464639999</v>
      </c>
    </row>
    <row r="370">
      <c r="A370" t="n" s="0">
        <v>-96.31</v>
      </c>
      <c r="B370" t="n" s="0">
        <f>(-5-((((-5*(-5/((-5/(((-5*(-96.31--5))-(-5+((-5*-96.31)*(((-5--5)+(-96.31--5))+-96.31))))-(-5+-5)))*-5)))/-5)--5)+(-5*(((-96.31*(-96.31-(-5/-5)))*(-96.31-(-96.31/(-5*-96.31))))-(-5/-5)))))</f>
        <v>-4485530.095155</v>
      </c>
      <c r="C370" t="n" s="0">
        <v>-4485530.095155001</v>
      </c>
    </row>
    <row r="371">
      <c r="A371" t="n" s="0">
        <v>-96.3</v>
      </c>
      <c r="B371" t="n" s="0">
        <f>(-5-((((-5*(-5/((-5/(((-5*(-96.3--5))-(-5+((-5*-96.3)*(((-5--5)+(-96.3--5))+-96.3))))-(-5+-5)))*-5)))/-5)--5)+(-5*(((-96.3*(-96.3-(-5/-5)))*(-96.3-(-96.3/(-5*-96.3))))-(-5/-5)))))</f>
        <v>-4484135.015000001</v>
      </c>
      <c r="C371" t="n" s="0">
        <v>-4484135.015</v>
      </c>
    </row>
    <row r="372">
      <c r="A372" t="n" s="0">
        <v>-96.29</v>
      </c>
      <c r="B372" t="n" s="0">
        <f>(-5-((((-5*(-5/((-5/(((-5*(-96.29--5))-(-5+((-5*-96.29)*(((-5--5)+(-96.29--5))+-96.29))))-(-5+-5)))*-5)))/-5)--5)+(-5*(((-96.29*(-96.29-(-5/-5)))*(-96.29-(-96.29/(-5*-96.29))))-(-5/-5)))))</f>
        <v>-4482740.224145</v>
      </c>
      <c r="C372" t="n" s="0">
        <v>-4482740.224145001</v>
      </c>
    </row>
    <row r="373">
      <c r="A373" t="n" s="0">
        <v>-96.28</v>
      </c>
      <c r="B373" t="n" s="0">
        <f>(-5-((((-5*(-5/((-5/(((-5*(-96.28--5))-(-5+((-5*-96.28)*(((-5--5)+(-96.28--5))+-96.28))))-(-5+-5)))*-5)))/-5)--5)+(-5*(((-96.28*(-96.28-(-5/-5)))*(-96.28-(-96.28/(-5*-96.28))))-(-5/-5)))))</f>
        <v>-4481345.72256</v>
      </c>
      <c r="C373" t="n" s="0">
        <v>-4481345.72256</v>
      </c>
    </row>
    <row r="374">
      <c r="A374" t="n" s="0">
        <v>-96.27</v>
      </c>
      <c r="B374" t="n" s="0">
        <f>(-5-((((-5*(-5/((-5/(((-5*(-96.27--5))-(-5+((-5*-96.27)*(((-5--5)+(-96.27--5))+-96.27))))-(-5+-5)))*-5)))/-5)--5)+(-5*(((-96.27*(-96.27-(-5/-5)))*(-96.27-(-96.27/(-5*-96.27))))-(-5/-5)))))</f>
        <v>-4479951.510215</v>
      </c>
      <c r="C374" t="n" s="0">
        <v>-4479951.510214998</v>
      </c>
    </row>
    <row r="375">
      <c r="A375" t="n" s="0">
        <v>-96.26</v>
      </c>
      <c r="B375" t="n" s="0">
        <f>(-5-((((-5*(-5/((-5/(((-5*(-96.26--5))-(-5+((-5*-96.26)*(((-5--5)+(-96.26--5))+-96.26))))-(-5+-5)))*-5)))/-5)--5)+(-5*(((-96.26*(-96.26-(-5/-5)))*(-96.26-(-96.26/(-5*-96.26))))-(-5/-5)))))</f>
        <v>-4478557.58708</v>
      </c>
      <c r="C375" t="n" s="0">
        <v>-4478557.587080001</v>
      </c>
    </row>
    <row r="376">
      <c r="A376" t="n" s="0">
        <v>-96.25</v>
      </c>
      <c r="B376" t="n" s="0">
        <f>(-5-((((-5*(-5/((-5/(((-5*(-96.25--5))-(-5+((-5*-96.25)*(((-5--5)+(-96.25--5))+-96.25))))-(-5+-5)))*-5)))/-5)--5)+(-5*(((-96.25*(-96.25-(-5/-5)))*(-96.25-(-96.25/(-5*-96.25))))-(-5/-5)))))</f>
        <v>-4477163.953125</v>
      </c>
      <c r="C376" t="n" s="0">
        <v>-4477163.953125</v>
      </c>
    </row>
    <row r="377">
      <c r="A377" t="n" s="0">
        <v>-96.24</v>
      </c>
      <c r="B377" t="n" s="0">
        <f>(-5-((((-5*(-5/((-5/(((-5*(-96.24--5))-(-5+((-5*-96.24)*(((-5--5)+(-96.24--5))+-96.24))))-(-5+-5)))*-5)))/-5)--5)+(-5*(((-96.24*(-96.24-(-5/-5)))*(-96.24-(-96.24/(-5*-96.24))))-(-5/-5)))))</f>
        <v>-4475770.60832</v>
      </c>
      <c r="C377" t="n" s="0">
        <v>-4475770.608319999</v>
      </c>
    </row>
    <row r="378">
      <c r="A378" t="n" s="0">
        <v>-96.23</v>
      </c>
      <c r="B378" t="n" s="0">
        <f>(-5-((((-5*(-5/((-5/(((-5*(-96.23--5))-(-5+((-5*-96.23)*(((-5--5)+(-96.23--5))+-96.23))))-(-5+-5)))*-5)))/-5)--5)+(-5*(((-96.23*(-96.23-(-5/-5)))*(-96.23-(-96.23/(-5*-96.23))))-(-5/-5)))))</f>
        <v>-4474377.552634999</v>
      </c>
      <c r="C378" t="n" s="0">
        <v>-4474377.552635001</v>
      </c>
    </row>
    <row r="379">
      <c r="A379" t="n" s="0">
        <v>-96.22</v>
      </c>
      <c r="B379" t="n" s="0">
        <f>(-5-((((-5*(-5/((-5/(((-5*(-96.22--5))-(-5+((-5*-96.22)*(((-5--5)+(-96.22--5))+-96.22))))-(-5+-5)))*-5)))/-5)--5)+(-5*(((-96.22*(-96.22-(-5/-5)))*(-96.22-(-96.22/(-5*-96.22))))-(-5/-5)))))</f>
        <v>-4472984.78604</v>
      </c>
      <c r="C379" t="n" s="0">
        <v>-4472984.786040001</v>
      </c>
    </row>
    <row r="380">
      <c r="A380" t="n" s="0">
        <v>-96.21</v>
      </c>
      <c r="B380" t="n" s="0">
        <f>(-5-((((-5*(-5/((-5/(((-5*(-96.21--5))-(-5+((-5*-96.21)*(((-5--5)+(-96.21--5))+-96.21))))-(-5+-5)))*-5)))/-5)--5)+(-5*(((-96.21*(-96.21-(-5/-5)))*(-96.21-(-96.21/(-5*-96.21))))-(-5/-5)))))</f>
        <v>-4471592.308505</v>
      </c>
      <c r="C380" t="n" s="0">
        <v>-4471592.308504999</v>
      </c>
    </row>
    <row r="381">
      <c r="A381" t="n" s="0">
        <v>-96.2</v>
      </c>
      <c r="B381" t="n" s="0">
        <f>(-5-((((-5*(-5/((-5/(((-5*(-96.2--5))-(-5+((-5*-96.2)*(((-5--5)+(-96.2--5))+-96.2))))-(-5+-5)))*-5)))/-5)--5)+(-5*(((-96.2*(-96.2-(-5/-5)))*(-96.2-(-96.2/(-5*-96.2))))-(-5/-5)))))</f>
        <v>-4470200.12</v>
      </c>
      <c r="C381" t="n" s="0">
        <v>-4470200.12</v>
      </c>
    </row>
    <row r="382">
      <c r="A382" t="n" s="0">
        <v>-96.19</v>
      </c>
      <c r="B382" t="n" s="0">
        <f>(-5-((((-5*(-5/((-5/(((-5*(-96.19--5))-(-5+((-5*-96.19)*(((-5--5)+(-96.19--5))+-96.19))))-(-5+-5)))*-5)))/-5)--5)+(-5*(((-96.19*(-96.19-(-5/-5)))*(-96.19-(-96.19/(-5*-96.19))))-(-5/-5)))))</f>
        <v>-4468808.2204950005</v>
      </c>
      <c r="C382" t="n" s="0">
        <v>-4468808.2204950005</v>
      </c>
    </row>
    <row r="383">
      <c r="A383" t="n" s="0">
        <v>-96.18</v>
      </c>
      <c r="B383" t="n" s="0">
        <f>(-5-((((-5*(-5/((-5/(((-5*(-96.18--5))-(-5+((-5*-96.18)*(((-5--5)+(-96.18--5))+-96.18))))-(-5+-5)))*-5)))/-5)--5)+(-5*(((-96.18*(-96.18-(-5/-5)))*(-96.18-(-96.18/(-5*-96.18))))-(-5/-5)))))</f>
        <v>-4467416.60996</v>
      </c>
      <c r="C383" t="n" s="0">
        <v>-4467416.609960001</v>
      </c>
    </row>
    <row r="384">
      <c r="A384" t="n" s="0">
        <v>-96.17</v>
      </c>
      <c r="B384" t="n" s="0">
        <f>(-5-((((-5*(-5/((-5/(((-5*(-96.17--5))-(-5+((-5*-96.17)*(((-5--5)+(-96.17--5))+-96.17))))-(-5+-5)))*-5)))/-5)--5)+(-5*(((-96.17*(-96.17-(-5/-5)))*(-96.17-(-96.17/(-5*-96.17))))-(-5/-5)))))</f>
        <v>-4466025.288365</v>
      </c>
      <c r="C384" t="n" s="0">
        <v>-4466025.288365</v>
      </c>
    </row>
    <row r="385">
      <c r="A385" t="n" s="0">
        <v>-96.16</v>
      </c>
      <c r="B385" t="n" s="0">
        <f>(-5-((((-5*(-5/((-5/(((-5*(-96.16--5))-(-5+((-5*-96.16)*(((-5--5)+(-96.16--5))+-96.16))))-(-5+-5)))*-5)))/-5)--5)+(-5*(((-96.16*(-96.16-(-5/-5)))*(-96.16-(-96.16/(-5*-96.16))))-(-5/-5)))))</f>
        <v>-4464634.2556799995</v>
      </c>
      <c r="C385" t="n" s="0">
        <v>-4464634.25568</v>
      </c>
    </row>
    <row r="386">
      <c r="A386" t="n" s="0">
        <v>-96.15</v>
      </c>
      <c r="B386" t="n" s="0">
        <f>(-5-((((-5*(-5/((-5/(((-5*(-96.15--5))-(-5+((-5*-96.15)*(((-5--5)+(-96.15--5))+-96.15))))-(-5+-5)))*-5)))/-5)--5)+(-5*(((-96.15*(-96.15-(-5/-5)))*(-96.15-(-96.15/(-5*-96.15))))-(-5/-5)))))</f>
        <v>-4463243.511875</v>
      </c>
      <c r="C386" t="n" s="0">
        <v>-4463243.511875001</v>
      </c>
    </row>
    <row r="387">
      <c r="A387" t="n" s="0">
        <v>-96.14</v>
      </c>
      <c r="B387" t="n" s="0">
        <f>(-5-((((-5*(-5/((-5/(((-5*(-96.14--5))-(-5+((-5*-96.14)*(((-5--5)+(-96.14--5))+-96.14))))-(-5+-5)))*-5)))/-5)--5)+(-5*(((-96.14*(-96.14-(-5/-5)))*(-96.14-(-96.14/(-5*-96.14))))-(-5/-5)))))</f>
        <v>-4461853.05692</v>
      </c>
      <c r="C387" t="n" s="0">
        <v>-4461853.05692</v>
      </c>
    </row>
    <row r="388">
      <c r="A388" t="n" s="0">
        <v>-96.13</v>
      </c>
      <c r="B388" t="n" s="0">
        <f>(-5-((((-5*(-5/((-5/(((-5*(-96.13--5))-(-5+((-5*-96.13)*(((-5--5)+(-96.13--5))+-96.13))))-(-5+-5)))*-5)))/-5)--5)+(-5*(((-96.13*(-96.13-(-5/-5)))*(-96.13-(-96.13/(-5*-96.13))))-(-5/-5)))))</f>
        <v>-4460462.890785</v>
      </c>
      <c r="C388" t="n" s="0">
        <v>-4460462.890784999</v>
      </c>
    </row>
    <row r="389">
      <c r="A389" t="n" s="0">
        <v>-96.12</v>
      </c>
      <c r="B389" t="n" s="0">
        <f>(-5-((((-5*(-5/((-5/(((-5*(-96.12--5))-(-5+((-5*-96.12)*(((-5--5)+(-96.12--5))+-96.12))))-(-5+-5)))*-5)))/-5)--5)+(-5*(((-96.12*(-96.12-(-5/-5)))*(-96.12-(-96.12/(-5*-96.12))))-(-5/-5)))))</f>
        <v>-4459073.01344</v>
      </c>
      <c r="C389" t="n" s="0">
        <v>-4459073.013440001</v>
      </c>
    </row>
    <row r="390">
      <c r="A390" t="n" s="0">
        <v>-96.11</v>
      </c>
      <c r="B390" t="n" s="0">
        <f>(-5-((((-5*(-5/((-5/(((-5*(-96.11--5))-(-5+((-5*-96.11)*(((-5--5)+(-96.11--5))+-96.11))))-(-5+-5)))*-5)))/-5)--5)+(-5*(((-96.11*(-96.11-(-5/-5)))*(-96.11-(-96.11/(-5*-96.11))))-(-5/-5)))))</f>
        <v>-4457683.424855</v>
      </c>
      <c r="C390" t="n" s="0">
        <v>-4457683.424855</v>
      </c>
    </row>
    <row r="391">
      <c r="A391" t="n" s="0">
        <v>-96.1</v>
      </c>
      <c r="B391" t="n" s="0">
        <f>(-5-((((-5*(-5/((-5/(((-5*(-96.1--5))-(-5+((-5*-96.1)*(((-5--5)+(-96.1--5))+-96.1))))-(-5+-5)))*-5)))/-5)--5)+(-5*(((-96.1*(-96.1-(-5/-5)))*(-96.1-(-96.1/(-5*-96.1))))-(-5/-5)))))</f>
        <v>-4456294.125</v>
      </c>
      <c r="C391" t="n" s="0">
        <v>-4456294.124999999</v>
      </c>
    </row>
    <row r="392">
      <c r="A392" t="n" s="0">
        <v>-96.09</v>
      </c>
      <c r="B392" t="n" s="0">
        <f>(-5-((((-5*(-5/((-5/(((-5*(-96.09--5))-(-5+((-5*-96.09)*(((-5--5)+(-96.09--5))+-96.09))))-(-5+-5)))*-5)))/-5)--5)+(-5*(((-96.09*(-96.09-(-5/-5)))*(-96.09-(-96.09/(-5*-96.09))))-(-5/-5)))))</f>
        <v>-4454905.113845</v>
      </c>
      <c r="C392" t="n" s="0">
        <v>-4454905.113845</v>
      </c>
    </row>
    <row r="393">
      <c r="A393" t="n" s="0">
        <v>-96.08</v>
      </c>
      <c r="B393" t="n" s="0">
        <f>(-5-((((-5*(-5/((-5/(((-5*(-96.08--5))-(-5+((-5*-96.08)*(((-5--5)+(-96.08--5))+-96.08))))-(-5+-5)))*-5)))/-5)--5)+(-5*(((-96.08*(-96.08-(-5/-5)))*(-96.08-(-96.08/(-5*-96.08))))-(-5/-5)))))</f>
        <v>-4453516.39136</v>
      </c>
      <c r="C393" t="n" s="0">
        <v>-4453516.39136</v>
      </c>
    </row>
    <row r="394">
      <c r="A394" t="n" s="0">
        <v>-96.07</v>
      </c>
      <c r="B394" t="n" s="0">
        <f>(-5-((((-5*(-5/((-5/(((-5*(-96.07--5))-(-5+((-5*-96.07)*(((-5--5)+(-96.07--5))+-96.07))))-(-5+-5)))*-5)))/-5)--5)+(-5*(((-96.07*(-96.07-(-5/-5)))*(-96.07-(-96.07/(-5*-96.07))))-(-5/-5)))))</f>
        <v>-4452127.957515</v>
      </c>
      <c r="C394" t="n" s="0">
        <v>-4452127.9575149985</v>
      </c>
    </row>
    <row r="395">
      <c r="A395" t="n" s="0">
        <v>-96.06</v>
      </c>
      <c r="B395" t="n" s="0">
        <f>(-5-((((-5*(-5/((-5/(((-5*(-96.06--5))-(-5+((-5*-96.06)*(((-5--5)+(-96.06--5))+-96.06))))-(-5+-5)))*-5)))/-5)--5)+(-5*(((-96.06*(-96.06-(-5/-5)))*(-96.06-(-96.06/(-5*-96.06))))-(-5/-5)))))</f>
        <v>-4450739.81228</v>
      </c>
      <c r="C395" t="n" s="0">
        <v>-4450739.812279999</v>
      </c>
    </row>
    <row r="396">
      <c r="A396" t="n" s="0">
        <v>-96.05</v>
      </c>
      <c r="B396" t="n" s="0">
        <f>(-5-((((-5*(-5/((-5/(((-5*(-96.05--5))-(-5+((-5*-96.05)*(((-5--5)+(-96.05--5))+-96.05))))-(-5+-5)))*-5)))/-5)--5)+(-5*(((-96.05*(-96.05-(-5/-5)))*(-96.05-(-96.05/(-5*-96.05))))-(-5/-5)))))</f>
        <v>-4449351.955625</v>
      </c>
      <c r="C396" t="n" s="0">
        <v>-4449351.9556249995</v>
      </c>
    </row>
    <row r="397">
      <c r="A397" t="n" s="0">
        <v>-96.04</v>
      </c>
      <c r="B397" t="n" s="0">
        <f>(-5-((((-5*(-5/((-5/(((-5*(-96.04--5))-(-5+((-5*-96.04)*(((-5--5)+(-96.04--5))+-96.04))))-(-5+-5)))*-5)))/-5)--5)+(-5*(((-96.04*(-96.04-(-5/-5)))*(-96.04-(-96.04/(-5*-96.04))))-(-5/-5)))))</f>
        <v>-4447964.387519999</v>
      </c>
      <c r="C397" t="n" s="0">
        <v>-4447964.38752</v>
      </c>
    </row>
    <row r="398">
      <c r="A398" t="n" s="0">
        <v>-96.03</v>
      </c>
      <c r="B398" t="n" s="0">
        <f>(-5-((((-5*(-5/((-5/(((-5*(-96.03--5))-(-5+((-5*-96.03)*(((-5--5)+(-96.03--5))+-96.03))))-(-5+-5)))*-5)))/-5)--5)+(-5*(((-96.03*(-96.03-(-5/-5)))*(-96.03-(-96.03/(-5*-96.03))))-(-5/-5)))))</f>
        <v>-4446577.107935</v>
      </c>
      <c r="C398" t="n" s="0">
        <v>-4446577.107935</v>
      </c>
    </row>
    <row r="399">
      <c r="A399" t="n" s="0">
        <v>-96.02</v>
      </c>
      <c r="B399" t="n" s="0">
        <f>(-5-((((-5*(-5/((-5/(((-5*(-96.02--5))-(-5+((-5*-96.02)*(((-5--5)+(-96.02--5))+-96.02))))-(-5+-5)))*-5)))/-5)--5)+(-5*(((-96.02*(-96.02-(-5/-5)))*(-96.02-(-96.02/(-5*-96.02))))-(-5/-5)))))</f>
        <v>-4445190.11684</v>
      </c>
      <c r="C399" t="n" s="0">
        <v>-4445190.116839999</v>
      </c>
    </row>
    <row r="400">
      <c r="A400" t="n" s="0">
        <v>-96.01</v>
      </c>
      <c r="B400" t="n" s="0">
        <f>(-5-((((-5*(-5/((-5/(((-5*(-96.01--5))-(-5+((-5*-96.01)*(((-5--5)+(-96.01--5))+-96.01))))-(-5+-5)))*-5)))/-5)--5)+(-5*(((-96.01*(-96.01-(-5/-5)))*(-96.01-(-96.01/(-5*-96.01))))-(-5/-5)))))</f>
        <v>-4443803.414205</v>
      </c>
      <c r="C400" t="n" s="0">
        <v>-4443803.414205002</v>
      </c>
    </row>
    <row r="401">
      <c r="A401" t="n" s="0">
        <v>-96.0</v>
      </c>
      <c r="B401" t="n" s="0">
        <f>(-5-((((-5*(-5/((-5/(((-5*(-96--5))-(-5+((-5*-96)*(((-5--5)+(-96--5))+-96))))-(-5+-5)))*-5)))/-5)--5)+(-5*(((-96*(-96-(-5/-5)))*(-96-(-96/(-5*-96))))-(-5/-5)))))</f>
        <v>-4442417.0</v>
      </c>
      <c r="C401" t="n" s="0">
        <v>-4442417.0</v>
      </c>
    </row>
    <row r="402">
      <c r="A402" t="n" s="0">
        <v>-95.99</v>
      </c>
      <c r="B402" t="n" s="0">
        <f>(-5-((((-5*(-5/((-5/(((-5*(-95.99--5))-(-5+((-5*-95.99)*(((-5--5)+(-95.99--5))+-95.99))))-(-5+-5)))*-5)))/-5)--5)+(-5*(((-95.99*(-95.99-(-5/-5)))*(-95.99-(-95.99/(-5*-95.99))))-(-5/-5)))))</f>
        <v>-4441030.874195</v>
      </c>
      <c r="C402" t="n" s="0">
        <v>-4441030.874194999</v>
      </c>
    </row>
    <row r="403">
      <c r="A403" t="n" s="0">
        <v>-95.98</v>
      </c>
      <c r="B403" t="n" s="0">
        <f>(-5-((((-5*(-5/((-5/(((-5*(-95.98--5))-(-5+((-5*-95.98)*(((-5--5)+(-95.98--5))+-95.98))))-(-5+-5)))*-5)))/-5)--5)+(-5*(((-95.98*(-95.98-(-5/-5)))*(-95.98-(-95.98/(-5*-95.98))))-(-5/-5)))))</f>
        <v>-4439645.0367600005</v>
      </c>
      <c r="C403" t="n" s="0">
        <v>-4439645.0367600005</v>
      </c>
    </row>
    <row r="404">
      <c r="A404" t="n" s="0">
        <v>-95.97</v>
      </c>
      <c r="B404" t="n" s="0">
        <f>(-5-((((-5*(-5/((-5/(((-5*(-95.97--5))-(-5+((-5*-95.97)*(((-5--5)+(-95.97--5))+-95.97))))-(-5+-5)))*-5)))/-5)--5)+(-5*(((-95.97*(-95.97-(-5/-5)))*(-95.97-(-95.97/(-5*-95.97))))-(-5/-5)))))</f>
        <v>-4438259.487664999</v>
      </c>
      <c r="C404" t="n" s="0">
        <v>-4438259.487665</v>
      </c>
    </row>
    <row r="405">
      <c r="A405" t="n" s="0">
        <v>-95.96</v>
      </c>
      <c r="B405" t="n" s="0">
        <f>(-5-((((-5*(-5/((-5/(((-5*(-95.96--5))-(-5+((-5*-95.96)*(((-5--5)+(-95.96--5))+-95.96))))-(-5+-5)))*-5)))/-5)--5)+(-5*(((-95.96*(-95.96-(-5/-5)))*(-95.96-(-95.96/(-5*-95.96))))-(-5/-5)))))</f>
        <v>-4436874.22688</v>
      </c>
      <c r="C405" t="n" s="0">
        <v>-4436874.226879999</v>
      </c>
    </row>
    <row r="406">
      <c r="A406" t="n" s="0">
        <v>-95.95</v>
      </c>
      <c r="B406" t="n" s="0">
        <f>(-5-((((-5*(-5/((-5/(((-5*(-95.95--5))-(-5+((-5*-95.95)*(((-5--5)+(-95.95--5))+-95.95))))-(-5+-5)))*-5)))/-5)--5)+(-5*(((-95.95*(-95.95-(-5/-5)))*(-95.95-(-95.95/(-5*-95.95))))-(-5/-5)))))</f>
        <v>-4435489.2543750005</v>
      </c>
      <c r="C406" t="n" s="0">
        <v>-4435489.254375</v>
      </c>
    </row>
    <row r="407">
      <c r="A407" t="n" s="0">
        <v>-95.94</v>
      </c>
      <c r="B407" t="n" s="0">
        <f>(-5-((((-5*(-5/((-5/(((-5*(-95.94--5))-(-5+((-5*-95.94)*(((-5--5)+(-95.94--5))+-95.94))))-(-5+-5)))*-5)))/-5)--5)+(-5*(((-95.94*(-95.94-(-5/-5)))*(-95.94-(-95.94/(-5*-95.94))))-(-5/-5)))))</f>
        <v>-4434104.57012</v>
      </c>
      <c r="C407" t="n" s="0">
        <v>-4434104.57012</v>
      </c>
    </row>
    <row r="408">
      <c r="A408" t="n" s="0">
        <v>-95.93</v>
      </c>
      <c r="B408" t="n" s="0">
        <f>(-5-((((-5*(-5/((-5/(((-5*(-95.93--5))-(-5+((-5*-95.93)*(((-5--5)+(-95.93--5))+-95.93))))-(-5+-5)))*-5)))/-5)--5)+(-5*(((-95.93*(-95.93-(-5/-5)))*(-95.93-(-95.93/(-5*-95.93))))-(-5/-5)))))</f>
        <v>-4432720.1740850005</v>
      </c>
      <c r="C408" t="n" s="0">
        <v>-4432720.174085001</v>
      </c>
    </row>
    <row r="409">
      <c r="A409" t="n" s="0">
        <v>-95.92</v>
      </c>
      <c r="B409" t="n" s="0">
        <f>(-5-((((-5*(-5/((-5/(((-5*(-95.92--5))-(-5+((-5*-95.92)*(((-5--5)+(-95.92--5))+-95.92))))-(-5+-5)))*-5)))/-5)--5)+(-5*(((-95.92*(-95.92-(-5/-5)))*(-95.92-(-95.92/(-5*-95.92))))-(-5/-5)))))</f>
        <v>-4431336.06624</v>
      </c>
      <c r="C409" t="n" s="0">
        <v>-4431336.066240001</v>
      </c>
    </row>
    <row r="410">
      <c r="A410" t="n" s="0">
        <v>-95.91</v>
      </c>
      <c r="B410" t="n" s="0">
        <f>(-5-((((-5*(-5/((-5/(((-5*(-95.91--5))-(-5+((-5*-95.91)*(((-5--5)+(-95.91--5))+-95.91))))-(-5+-5)))*-5)))/-5)--5)+(-5*(((-95.91*(-95.91-(-5/-5)))*(-95.91-(-95.91/(-5*-95.91))))-(-5/-5)))))</f>
        <v>-4429952.246555</v>
      </c>
      <c r="C410" t="n" s="0">
        <v>-4429952.246555001</v>
      </c>
    </row>
    <row r="411">
      <c r="A411" t="n" s="0">
        <v>-95.9</v>
      </c>
      <c r="B411" t="n" s="0">
        <f>(-5-((((-5*(-5/((-5/(((-5*(-95.9--5))-(-5+((-5*-95.9)*(((-5--5)+(-95.9--5))+-95.9))))-(-5+-5)))*-5)))/-5)--5)+(-5*(((-95.9*(-95.9-(-5/-5)))*(-95.9-(-95.9/(-5*-95.9))))-(-5/-5)))))</f>
        <v>-4428568.715000001</v>
      </c>
      <c r="C411" t="n" s="0">
        <v>-4428568.715000001</v>
      </c>
    </row>
    <row r="412">
      <c r="A412" t="n" s="0">
        <v>-95.89</v>
      </c>
      <c r="B412" t="n" s="0">
        <f>(-5-((((-5*(-5/((-5/(((-5*(-95.89--5))-(-5+((-5*-95.89)*(((-5--5)+(-95.89--5))+-95.89))))-(-5+-5)))*-5)))/-5)--5)+(-5*(((-95.89*(-95.89-(-5/-5)))*(-95.89-(-95.89/(-5*-95.89))))-(-5/-5)))))</f>
        <v>-4427185.471545</v>
      </c>
      <c r="C412" t="n" s="0">
        <v>-4427185.471545</v>
      </c>
    </row>
    <row r="413">
      <c r="A413" t="n" s="0">
        <v>-95.88</v>
      </c>
      <c r="B413" t="n" s="0">
        <f>(-5-((((-5*(-5/((-5/(((-5*(-95.88--5))-(-5+((-5*-95.88)*(((-5--5)+(-95.88--5))+-95.88))))-(-5+-5)))*-5)))/-5)--5)+(-5*(((-95.88*(-95.88-(-5/-5)))*(-95.88-(-95.88/(-5*-95.88))))-(-5/-5)))))</f>
        <v>-4425802.51616</v>
      </c>
      <c r="C413" t="n" s="0">
        <v>-4425802.516159999</v>
      </c>
    </row>
    <row r="414">
      <c r="A414" t="n" s="0">
        <v>-95.87</v>
      </c>
      <c r="B414" t="n" s="0">
        <f>(-5-((((-5*(-5/((-5/(((-5*(-95.87--5))-(-5+((-5*-95.87)*(((-5--5)+(-95.87--5))+-95.87))))-(-5+-5)))*-5)))/-5)--5)+(-5*(((-95.87*(-95.87-(-5/-5)))*(-95.87-(-95.87/(-5*-95.87))))-(-5/-5)))))</f>
        <v>-4424419.848815</v>
      </c>
      <c r="C414" t="n" s="0">
        <v>-4424419.848815002</v>
      </c>
    </row>
    <row r="415">
      <c r="A415" t="n" s="0">
        <v>-95.86</v>
      </c>
      <c r="B415" t="n" s="0">
        <f>(-5-((((-5*(-5/((-5/(((-5*(-95.86--5))-(-5+((-5*-95.86)*(((-5--5)+(-95.86--5))+-95.86))))-(-5+-5)))*-5)))/-5)--5)+(-5*(((-95.86*(-95.86-(-5/-5)))*(-95.86-(-95.86/(-5*-95.86))))-(-5/-5)))))</f>
        <v>-4423037.4694799995</v>
      </c>
      <c r="C415" t="n" s="0">
        <v>-4423037.4694799995</v>
      </c>
    </row>
    <row r="416">
      <c r="A416" t="n" s="0">
        <v>-95.85</v>
      </c>
      <c r="B416" t="n" s="0">
        <f>(-5-((((-5*(-5/((-5/(((-5*(-95.85--5))-(-5+((-5*-95.85)*(((-5--5)+(-95.85--5))+-95.85))))-(-5+-5)))*-5)))/-5)--5)+(-5*(((-95.85*(-95.85-(-5/-5)))*(-95.85-(-95.85/(-5*-95.85))))-(-5/-5)))))</f>
        <v>-4421655.378125</v>
      </c>
      <c r="C416" t="n" s="0">
        <v>-4421655.378124999</v>
      </c>
    </row>
    <row r="417">
      <c r="A417" t="n" s="0">
        <v>-95.84</v>
      </c>
      <c r="B417" t="n" s="0">
        <f>(-5-((((-5*(-5/((-5/(((-5*(-95.84--5))-(-5+((-5*-95.84)*(((-5--5)+(-95.84--5))+-95.84))))-(-5+-5)))*-5)))/-5)--5)+(-5*(((-95.84*(-95.84-(-5/-5)))*(-95.84-(-95.84/(-5*-95.84))))-(-5/-5)))))</f>
        <v>-4420273.57472</v>
      </c>
      <c r="C417" t="n" s="0">
        <v>-4420273.57472</v>
      </c>
    </row>
    <row r="418">
      <c r="A418" t="n" s="0">
        <v>-95.83</v>
      </c>
      <c r="B418" t="n" s="0">
        <f>(-5-((((-5*(-5/((-5/(((-5*(-95.83--5))-(-5+((-5*-95.83)*(((-5--5)+(-95.83--5))+-95.83))))-(-5+-5)))*-5)))/-5)--5)+(-5*(((-95.83*(-95.83-(-5/-5)))*(-95.83-(-95.83/(-5*-95.83))))-(-5/-5)))))</f>
        <v>-4418892.059235</v>
      </c>
      <c r="C418" t="n" s="0">
        <v>-4418892.059235</v>
      </c>
    </row>
    <row r="419">
      <c r="A419" t="n" s="0">
        <v>-95.82</v>
      </c>
      <c r="B419" t="n" s="0">
        <f>(-5-((((-5*(-5/((-5/(((-5*(-95.82--5))-(-5+((-5*-95.82)*(((-5--5)+(-95.82--5))+-95.82))))-(-5+-5)))*-5)))/-5)--5)+(-5*(((-95.82*(-95.82-(-5/-5)))*(-95.82-(-95.82/(-5*-95.82))))-(-5/-5)))))</f>
        <v>-4417510.8316399995</v>
      </c>
      <c r="C419" t="n" s="0">
        <v>-4417510.831639999</v>
      </c>
    </row>
    <row r="420">
      <c r="A420" t="n" s="0">
        <v>-95.81</v>
      </c>
      <c r="B420" t="n" s="0">
        <f>(-5-((((-5*(-5/((-5/(((-5*(-95.81--5))-(-5+((-5*-95.81)*(((-5--5)+(-95.81--5))+-95.81))))-(-5+-5)))*-5)))/-5)--5)+(-5*(((-95.81*(-95.81-(-5/-5)))*(-95.81-(-95.81/(-5*-95.81))))-(-5/-5)))))</f>
        <v>-4416129.8919049995</v>
      </c>
      <c r="C420" t="n" s="0">
        <v>-4416129.891905</v>
      </c>
    </row>
    <row r="421">
      <c r="A421" t="n" s="0">
        <v>-95.8</v>
      </c>
      <c r="B421" t="n" s="0">
        <f>(-5-((((-5*(-5/((-5/(((-5*(-95.8--5))-(-5+((-5*-95.8)*(((-5--5)+(-95.8--5))+-95.8))))-(-5+-5)))*-5)))/-5)--5)+(-5*(((-95.8*(-95.8-(-5/-5)))*(-95.8-(-95.8/(-5*-95.8))))-(-5/-5)))))</f>
        <v>-4414749.24</v>
      </c>
      <c r="C421" t="n" s="0">
        <v>-4414749.24</v>
      </c>
    </row>
    <row r="422">
      <c r="A422" t="n" s="0">
        <v>-95.79</v>
      </c>
      <c r="B422" t="n" s="0">
        <f>(-5-((((-5*(-5/((-5/(((-5*(-95.79--5))-(-5+((-5*-95.79)*(((-5--5)+(-95.79--5))+-95.79))))-(-5+-5)))*-5)))/-5)--5)+(-5*(((-95.79*(-95.79-(-5/-5)))*(-95.79-(-95.79/(-5*-95.79))))-(-5/-5)))))</f>
        <v>-4413368.875895</v>
      </c>
      <c r="C422" t="n" s="0">
        <v>-4413368.875895002</v>
      </c>
    </row>
    <row r="423">
      <c r="A423" t="n" s="0">
        <v>-95.78</v>
      </c>
      <c r="B423" t="n" s="0">
        <f>(-5-((((-5*(-5/((-5/(((-5*(-95.78--5))-(-5+((-5*-95.78)*(((-5--5)+(-95.78--5))+-95.78))))-(-5+-5)))*-5)))/-5)--5)+(-5*(((-95.78*(-95.78-(-5/-5)))*(-95.78-(-95.78/(-5*-95.78))))-(-5/-5)))))</f>
        <v>-4411988.79956</v>
      </c>
      <c r="C423" t="n" s="0">
        <v>-4411988.79956</v>
      </c>
    </row>
    <row r="424">
      <c r="A424" t="n" s="0">
        <v>-95.77</v>
      </c>
      <c r="B424" t="n" s="0">
        <f>(-5-((((-5*(-5/((-5/(((-5*(-95.77--5))-(-5+((-5*-95.77)*(((-5--5)+(-95.77--5))+-95.77))))-(-5+-5)))*-5)))/-5)--5)+(-5*(((-95.77*(-95.77-(-5/-5)))*(-95.77-(-95.77/(-5*-95.77))))-(-5/-5)))))</f>
        <v>-4410609.010965</v>
      </c>
      <c r="C424" t="n" s="0">
        <v>-4410609.010964999</v>
      </c>
    </row>
    <row r="425">
      <c r="A425" t="n" s="0">
        <v>-95.76</v>
      </c>
      <c r="B425" t="n" s="0">
        <f>(-5-((((-5*(-5/((-5/(((-5*(-95.76--5))-(-5+((-5*-95.76)*(((-5--5)+(-95.76--5))+-95.76))))-(-5+-5)))*-5)))/-5)--5)+(-5*(((-95.76*(-95.76-(-5/-5)))*(-95.76-(-95.76/(-5*-95.76))))-(-5/-5)))))</f>
        <v>-4409229.51008</v>
      </c>
      <c r="C425" t="n" s="0">
        <v>-4409229.51008</v>
      </c>
    </row>
    <row r="426">
      <c r="A426" t="n" s="0">
        <v>-95.75</v>
      </c>
      <c r="B426" t="n" s="0">
        <f>(-5-((((-5*(-5/((-5/(((-5*(-95.75--5))-(-5+((-5*-95.75)*(((-5--5)+(-95.75--5))+-95.75))))-(-5+-5)))*-5)))/-5)--5)+(-5*(((-95.75*(-95.75-(-5/-5)))*(-95.75-(-95.75/(-5*-95.75))))-(-5/-5)))))</f>
        <v>-4407850.296875</v>
      </c>
      <c r="C426" t="n" s="0">
        <v>-4407850.296875</v>
      </c>
    </row>
    <row r="427">
      <c r="A427" t="n" s="0">
        <v>-95.74</v>
      </c>
      <c r="B427" t="n" s="0">
        <f>(-5-((((-5*(-5/((-5/(((-5*(-95.74--5))-(-5+((-5*-95.74)*(((-5--5)+(-95.74--5))+-95.74))))-(-5+-5)))*-5)))/-5)--5)+(-5*(((-95.74*(-95.74-(-5/-5)))*(-95.74-(-95.74/(-5*-95.74))))-(-5/-5)))))</f>
        <v>-4406471.37132</v>
      </c>
      <c r="C427" t="n" s="0">
        <v>-4406471.371319999</v>
      </c>
    </row>
    <row r="428">
      <c r="A428" t="n" s="0">
        <v>-95.73</v>
      </c>
      <c r="B428" t="n" s="0">
        <f>(-5-((((-5*(-5/((-5/(((-5*(-95.73--5))-(-5+((-5*-95.73)*(((-5--5)+(-95.73--5))+-95.73))))-(-5+-5)))*-5)))/-5)--5)+(-5*(((-95.73*(-95.73-(-5/-5)))*(-95.73-(-95.73/(-5*-95.73))))-(-5/-5)))))</f>
        <v>-4405092.733384999</v>
      </c>
      <c r="C428" t="n" s="0">
        <v>-4405092.733385001</v>
      </c>
    </row>
    <row r="429">
      <c r="A429" t="n" s="0">
        <v>-95.72</v>
      </c>
      <c r="B429" t="n" s="0">
        <f>(-5-((((-5*(-5/((-5/(((-5*(-95.72--5))-(-5+((-5*-95.72)*(((-5--5)+(-95.72--5))+-95.72))))-(-5+-5)))*-5)))/-5)--5)+(-5*(((-95.72*(-95.72-(-5/-5)))*(-95.72-(-95.72/(-5*-95.72))))-(-5/-5)))))</f>
        <v>-4403714.383040001</v>
      </c>
      <c r="C429" t="n" s="0">
        <v>-4403714.383040001</v>
      </c>
    </row>
    <row r="430">
      <c r="A430" t="n" s="0">
        <v>-95.71</v>
      </c>
      <c r="B430" t="n" s="0">
        <f>(-5-((((-5*(-5/((-5/(((-5*(-95.71--5))-(-5+((-5*-95.71)*(((-5--5)+(-95.71--5))+-95.71))))-(-5+-5)))*-5)))/-5)--5)+(-5*(((-95.71*(-95.71-(-5/-5)))*(-95.71-(-95.71/(-5*-95.71))))-(-5/-5)))))</f>
        <v>-4402336.320255</v>
      </c>
      <c r="C430" t="n" s="0">
        <v>-4402336.320254999</v>
      </c>
    </row>
    <row r="431">
      <c r="A431" t="n" s="0">
        <v>-95.7</v>
      </c>
      <c r="B431" t="n" s="0">
        <f>(-5-((((-5*(-5/((-5/(((-5*(-95.7--5))-(-5+((-5*-95.7)*(((-5--5)+(-95.7--5))+-95.7))))-(-5+-5)))*-5)))/-5)--5)+(-5*(((-95.7*(-95.7-(-5/-5)))*(-95.7-(-95.7/(-5*-95.7))))-(-5/-5)))))</f>
        <v>-4400958.545</v>
      </c>
      <c r="C431" t="n" s="0">
        <v>-4400958.545000001</v>
      </c>
    </row>
    <row r="432">
      <c r="A432" t="n" s="0">
        <v>-95.69</v>
      </c>
      <c r="B432" t="n" s="0">
        <f>(-5-((((-5*(-5/((-5/(((-5*(-95.69--5))-(-5+((-5*-95.69)*(((-5--5)+(-95.69--5))+-95.69))))-(-5+-5)))*-5)))/-5)--5)+(-5*(((-95.69*(-95.69-(-5/-5)))*(-95.69-(-95.69/(-5*-95.69))))-(-5/-5)))))</f>
        <v>-4399581.057245</v>
      </c>
      <c r="C432" t="n" s="0">
        <v>-4399581.057245</v>
      </c>
    </row>
    <row r="433">
      <c r="A433" t="n" s="0">
        <v>-95.68</v>
      </c>
      <c r="B433" t="n" s="0">
        <f>(-5-((((-5*(-5/((-5/(((-5*(-95.68--5))-(-5+((-5*-95.68)*(((-5--5)+(-95.68--5))+-95.68))))-(-5+-5)))*-5)))/-5)--5)+(-5*(((-95.68*(-95.68-(-5/-5)))*(-95.68-(-95.68/(-5*-95.68))))-(-5/-5)))))</f>
        <v>-4398203.8569600005</v>
      </c>
      <c r="C433" t="n" s="0">
        <v>-4398203.8569600005</v>
      </c>
    </row>
    <row r="434">
      <c r="A434" t="n" s="0">
        <v>-95.67</v>
      </c>
      <c r="B434" t="n" s="0">
        <f>(-5-((((-5*(-5/((-5/(((-5*(-95.67--5))-(-5+((-5*-95.67)*(((-5--5)+(-95.67--5))+-95.67))))-(-5+-5)))*-5)))/-5)--5)+(-5*(((-95.67*(-95.67-(-5/-5)))*(-95.67-(-95.67/(-5*-95.67))))-(-5/-5)))))</f>
        <v>-4396826.944115</v>
      </c>
      <c r="C434" t="n" s="0">
        <v>-4396826.944115</v>
      </c>
    </row>
    <row r="435">
      <c r="A435" t="n" s="0">
        <v>-95.66</v>
      </c>
      <c r="B435" t="n" s="0">
        <f>(-5-((((-5*(-5/((-5/(((-5*(-95.66--5))-(-5+((-5*-95.66)*(((-5--5)+(-95.66--5))+-95.66))))-(-5+-5)))*-5)))/-5)--5)+(-5*(((-95.66*(-95.66-(-5/-5)))*(-95.66-(-95.66/(-5*-95.66))))-(-5/-5)))))</f>
        <v>-4395450.31868</v>
      </c>
      <c r="C435" t="n" s="0">
        <v>-4395450.31868</v>
      </c>
    </row>
    <row r="436">
      <c r="A436" t="n" s="0">
        <v>-95.65</v>
      </c>
      <c r="B436" t="n" s="0">
        <f>(-5-((((-5*(-5/((-5/(((-5*(-95.65--5))-(-5+((-5*-95.65)*(((-5--5)+(-95.65--5))+-95.65))))-(-5+-5)))*-5)))/-5)--5)+(-5*(((-95.65*(-95.65-(-5/-5)))*(-95.65-(-95.65/(-5*-95.65))))-(-5/-5)))))</f>
        <v>-4394073.980625</v>
      </c>
      <c r="C436" t="n" s="0">
        <v>-4394073.980625001</v>
      </c>
    </row>
    <row r="437">
      <c r="A437" t="n" s="0">
        <v>-95.64</v>
      </c>
      <c r="B437" t="n" s="0">
        <f>(-5-((((-5*(-5/((-5/(((-5*(-95.64--5))-(-5+((-5*-95.64)*(((-5--5)+(-95.64--5))+-95.64))))-(-5+-5)))*-5)))/-5)--5)+(-5*(((-95.64*(-95.64-(-5/-5)))*(-95.64-(-95.64/(-5*-95.64))))-(-5/-5)))))</f>
        <v>-4392697.92992</v>
      </c>
      <c r="C437" t="n" s="0">
        <v>-4392697.92992</v>
      </c>
    </row>
    <row r="438">
      <c r="A438" t="n" s="0">
        <v>-95.63</v>
      </c>
      <c r="B438" t="n" s="0">
        <f>(-5-((((-5*(-5/((-5/(((-5*(-95.63--5))-(-5+((-5*-95.63)*(((-5--5)+(-95.63--5))+-95.63))))-(-5+-5)))*-5)))/-5)--5)+(-5*(((-95.63*(-95.63-(-5/-5)))*(-95.63-(-95.63/(-5*-95.63))))-(-5/-5)))))</f>
        <v>-4391322.166535</v>
      </c>
      <c r="C438" t="n" s="0">
        <v>-4391322.166534998</v>
      </c>
    </row>
    <row r="439">
      <c r="A439" t="n" s="0">
        <v>-95.62</v>
      </c>
      <c r="B439" t="n" s="0">
        <f>(-5-((((-5*(-5/((-5/(((-5*(-95.62--5))-(-5+((-5*-95.62)*(((-5--5)+(-95.62--5))+-95.62))))-(-5+-5)))*-5)))/-5)--5)+(-5*(((-95.62*(-95.62-(-5/-5)))*(-95.62-(-95.62/(-5*-95.62))))-(-5/-5)))))</f>
        <v>-4389946.69044</v>
      </c>
      <c r="C439" t="n" s="0">
        <v>-4389946.690440001</v>
      </c>
    </row>
    <row r="440">
      <c r="A440" t="n" s="0">
        <v>-95.61</v>
      </c>
      <c r="B440" t="n" s="0">
        <f>(-5-((((-5*(-5/((-5/(((-5*(-95.61--5))-(-5+((-5*-95.61)*(((-5--5)+(-95.61--5))+-95.61))))-(-5+-5)))*-5)))/-5)--5)+(-5*(((-95.61*(-95.61-(-5/-5)))*(-95.61-(-95.61/(-5*-95.61))))-(-5/-5)))))</f>
        <v>-4388571.501605</v>
      </c>
      <c r="C440" t="n" s="0">
        <v>-4388571.501605</v>
      </c>
    </row>
    <row r="441">
      <c r="A441" t="n" s="0">
        <v>-95.6</v>
      </c>
      <c r="B441" t="n" s="0">
        <f>(-5-((((-5*(-5/((-5/(((-5*(-95.6--5))-(-5+((-5*-95.6)*(((-5--5)+(-95.6--5))+-95.6))))-(-5+-5)))*-5)))/-5)--5)+(-5*(((-95.6*(-95.6-(-5/-5)))*(-95.6-(-95.6/(-5*-95.6))))-(-5/-5)))))</f>
        <v>-4387196.6</v>
      </c>
      <c r="C441" t="n" s="0">
        <v>-4387196.599999999</v>
      </c>
    </row>
    <row r="442">
      <c r="A442" t="n" s="0">
        <v>-95.59</v>
      </c>
      <c r="B442" t="n" s="0">
        <f>(-5-((((-5*(-5/((-5/(((-5*(-95.59--5))-(-5+((-5*-95.59)*(((-5--5)+(-95.59--5))+-95.59))))-(-5+-5)))*-5)))/-5)--5)+(-5*(((-95.59*(-95.59-(-5/-5)))*(-95.59-(-95.59/(-5*-95.59))))-(-5/-5)))))</f>
        <v>-4385821.985595</v>
      </c>
      <c r="C442" t="n" s="0">
        <v>-4385821.985595</v>
      </c>
    </row>
    <row r="443">
      <c r="A443" t="n" s="0">
        <v>-95.58</v>
      </c>
      <c r="B443" t="n" s="0">
        <f>(-5-((((-5*(-5/((-5/(((-5*(-95.58--5))-(-5+((-5*-95.58)*(((-5--5)+(-95.58--5))+-95.58))))-(-5+-5)))*-5)))/-5)--5)+(-5*(((-95.58*(-95.58-(-5/-5)))*(-95.58-(-95.58/(-5*-95.58))))-(-5/-5)))))</f>
        <v>-4384447.65836</v>
      </c>
      <c r="C443" t="n" s="0">
        <v>-4384447.65836</v>
      </c>
    </row>
    <row r="444">
      <c r="A444" t="n" s="0">
        <v>-95.57</v>
      </c>
      <c r="B444" t="n" s="0">
        <f>(-5-((((-5*(-5/((-5/(((-5*(-95.57--5))-(-5+((-5*-95.57)*(((-5--5)+(-95.57--5))+-95.57))))-(-5+-5)))*-5)))/-5)--5)+(-5*(((-95.57*(-95.57-(-5/-5)))*(-95.57-(-95.57/(-5*-95.57))))-(-5/-5)))))</f>
        <v>-4383073.618265</v>
      </c>
      <c r="C444" t="n" s="0">
        <v>-4383073.618264999</v>
      </c>
    </row>
    <row r="445">
      <c r="A445" t="n" s="0">
        <v>-95.56</v>
      </c>
      <c r="B445" t="n" s="0">
        <f>(-5-((((-5*(-5/((-5/(((-5*(-95.56--5))-(-5+((-5*-95.56)*(((-5--5)+(-95.56--5))+-95.56))))-(-5+-5)))*-5)))/-5)--5)+(-5*(((-95.56*(-95.56-(-5/-5)))*(-95.56-(-95.56/(-5*-95.56))))-(-5/-5)))))</f>
        <v>-4381699.8652800005</v>
      </c>
      <c r="C445" t="n" s="0">
        <v>-4381699.86528</v>
      </c>
    </row>
    <row r="446">
      <c r="A446" t="n" s="0">
        <v>-95.55</v>
      </c>
      <c r="B446" t="n" s="0">
        <f>(-5-((((-5*(-5/((-5/(((-5*(-95.55--5))-(-5+((-5*-95.55)*(((-5--5)+(-95.55--5))+-95.55))))-(-5+-5)))*-5)))/-5)--5)+(-5*(((-95.55*(-95.55-(-5/-5)))*(-95.55-(-95.55/(-5*-95.55))))-(-5/-5)))))</f>
        <v>-4380326.399375</v>
      </c>
      <c r="C446" t="n" s="0">
        <v>-4380326.399375001</v>
      </c>
    </row>
    <row r="447">
      <c r="A447" t="n" s="0">
        <v>-95.54</v>
      </c>
      <c r="B447" t="n" s="0">
        <f>(-5-((((-5*(-5/((-5/(((-5*(-95.54--5))-(-5+((-5*-95.54)*(((-5--5)+(-95.54--5))+-95.54))))-(-5+-5)))*-5)))/-5)--5)+(-5*(((-95.54*(-95.54-(-5/-5)))*(-95.54-(-95.54/(-5*-95.54))))-(-5/-5)))))</f>
        <v>-4378953.22052</v>
      </c>
      <c r="C447" t="n" s="0">
        <v>-4378953.220520002</v>
      </c>
    </row>
    <row r="448">
      <c r="A448" t="n" s="0">
        <v>-95.53</v>
      </c>
      <c r="B448" t="n" s="0">
        <f>(-5-((((-5*(-5/((-5/(((-5*(-95.53--5))-(-5+((-5*-95.53)*(((-5--5)+(-95.53--5))+-95.53))))-(-5+-5)))*-5)))/-5)--5)+(-5*(((-95.53*(-95.53-(-5/-5)))*(-95.53-(-95.53/(-5*-95.53))))-(-5/-5)))))</f>
        <v>-4377580.328685001</v>
      </c>
      <c r="C448" t="n" s="0">
        <v>-4377580.328685</v>
      </c>
    </row>
    <row r="449">
      <c r="A449" t="n" s="0">
        <v>-95.52</v>
      </c>
      <c r="B449" t="n" s="0">
        <f>(-5-((((-5*(-5/((-5/(((-5*(-95.52--5))-(-5+((-5*-95.52)*(((-5--5)+(-95.52--5))+-95.52))))-(-5+-5)))*-5)))/-5)--5)+(-5*(((-95.52*(-95.52-(-5/-5)))*(-95.52-(-95.52/(-5*-95.52))))-(-5/-5)))))</f>
        <v>-4376207.72384</v>
      </c>
      <c r="C449" t="n" s="0">
        <v>-4376207.723839999</v>
      </c>
    </row>
    <row r="450">
      <c r="A450" t="n" s="0">
        <v>-95.51</v>
      </c>
      <c r="B450" t="n" s="0">
        <f>(-5-((((-5*(-5/((-5/(((-5*(-95.51--5))-(-5+((-5*-95.51)*(((-5--5)+(-95.51--5))+-95.51))))-(-5+-5)))*-5)))/-5)--5)+(-5*(((-95.51*(-95.51-(-5/-5)))*(-95.51-(-95.51/(-5*-95.51))))-(-5/-5)))))</f>
        <v>-4374835.405955</v>
      </c>
      <c r="C450" t="n" s="0">
        <v>-4374835.405955001</v>
      </c>
    </row>
    <row r="451">
      <c r="A451" t="n" s="0">
        <v>-95.5</v>
      </c>
      <c r="B451" t="n" s="0">
        <f>(-5-((((-5*(-5/((-5/(((-5*(-95.5--5))-(-5+((-5*-95.5)*(((-5--5)+(-95.5--5))+-95.5))))-(-5+-5)))*-5)))/-5)--5)+(-5*(((-95.5*(-95.5-(-5/-5)))*(-95.5-(-95.5/(-5*-95.5))))-(-5/-5)))))</f>
        <v>-4373463.375</v>
      </c>
      <c r="C451" t="n" s="0">
        <v>-4373463.375</v>
      </c>
    </row>
    <row r="452">
      <c r="A452" t="n" s="0">
        <v>-95.49</v>
      </c>
      <c r="B452" t="n" s="0">
        <f>(-5-((((-5*(-5/((-5/(((-5*(-95.49--5))-(-5+((-5*-95.49)*(((-5--5)+(-95.49--5))+-95.49))))-(-5+-5)))*-5)))/-5)--5)+(-5*(((-95.49*(-95.49-(-5/-5)))*(-95.49-(-95.49/(-5*-95.49))))-(-5/-5)))))</f>
        <v>-4372091.630945</v>
      </c>
      <c r="C452" t="n" s="0">
        <v>-4372091.630944999</v>
      </c>
    </row>
    <row r="453">
      <c r="A453" t="n" s="0">
        <v>-95.48</v>
      </c>
      <c r="B453" t="n" s="0">
        <f>(-5-((((-5*(-5/((-5/(((-5*(-95.48--5))-(-5+((-5*-95.48)*(((-5--5)+(-95.48--5))+-95.48))))-(-5+-5)))*-5)))/-5)--5)+(-5*(((-95.48*(-95.48-(-5/-5)))*(-95.48-(-95.48/(-5*-95.48))))-(-5/-5)))))</f>
        <v>-4370720.17376</v>
      </c>
      <c r="C453" t="n" s="0">
        <v>-4370720.173760001</v>
      </c>
    </row>
    <row r="454">
      <c r="A454" t="n" s="0">
        <v>-95.47</v>
      </c>
      <c r="B454" t="n" s="0">
        <f>(-5-((((-5*(-5/((-5/(((-5*(-95.47--5))-(-5+((-5*-95.47)*(((-5--5)+(-95.47--5))+-95.47))))-(-5+-5)))*-5)))/-5)--5)+(-5*(((-95.47*(-95.47-(-5/-5)))*(-95.47-(-95.47/(-5*-95.47))))-(-5/-5)))))</f>
        <v>-4369349.003415</v>
      </c>
      <c r="C454" t="n" s="0">
        <v>-4369349.003415</v>
      </c>
    </row>
    <row r="455">
      <c r="A455" t="n" s="0">
        <v>-95.46</v>
      </c>
      <c r="B455" t="n" s="0">
        <f>(-5-((((-5*(-5/((-5/(((-5*(-95.46--5))-(-5+((-5*-95.46)*(((-5--5)+(-95.46--5))+-95.46))))-(-5+-5)))*-5)))/-5)--5)+(-5*(((-95.46*(-95.46-(-5/-5)))*(-95.46-(-95.46/(-5*-95.46))))-(-5/-5)))))</f>
        <v>-4367978.11988</v>
      </c>
      <c r="C455" t="n" s="0">
        <v>-4367978.119879999</v>
      </c>
    </row>
    <row r="456">
      <c r="A456" t="n" s="0">
        <v>-95.45</v>
      </c>
      <c r="B456" t="n" s="0">
        <f>(-5-((((-5*(-5/((-5/(((-5*(-95.45--5))-(-5+((-5*-95.45)*(((-5--5)+(-95.45--5))+-95.45))))-(-5+-5)))*-5)))/-5)--5)+(-5*(((-95.45*(-95.45-(-5/-5)))*(-95.45-(-95.45/(-5*-95.45))))-(-5/-5)))))</f>
        <v>-4366607.523124999</v>
      </c>
      <c r="C456" t="n" s="0">
        <v>-4366607.523125</v>
      </c>
    </row>
    <row r="457">
      <c r="A457" t="n" s="0">
        <v>-95.44</v>
      </c>
      <c r="B457" t="n" s="0">
        <f>(-5-((((-5*(-5/((-5/(((-5*(-95.44--5))-(-5+((-5*-95.44)*(((-5--5)+(-95.44--5))+-95.44))))-(-5+-5)))*-5)))/-5)--5)+(-5*(((-95.44*(-95.44-(-5/-5)))*(-95.44-(-95.44/(-5*-95.44))))-(-5/-5)))))</f>
        <v>-4365237.2131199995</v>
      </c>
      <c r="C457" t="n" s="0">
        <v>-4365237.2131199995</v>
      </c>
    </row>
    <row r="458">
      <c r="A458" t="n" s="0">
        <v>-95.43</v>
      </c>
      <c r="B458" t="n" s="0">
        <f>(-5-((((-5*(-5/((-5/(((-5*(-95.43--5))-(-5+((-5*-95.43)*(((-5--5)+(-95.43--5))+-95.43))))-(-5+-5)))*-5)))/-5)--5)+(-5*(((-95.43*(-95.43-(-5/-5)))*(-95.43-(-95.43/(-5*-95.43))))-(-5/-5)))))</f>
        <v>-4363867.189835</v>
      </c>
      <c r="C458" t="n" s="0">
        <v>-4363867.189835001</v>
      </c>
    </row>
    <row r="459">
      <c r="A459" t="n" s="0">
        <v>-95.42</v>
      </c>
      <c r="B459" t="n" s="0">
        <f>(-5-((((-5*(-5/((-5/(((-5*(-95.42--5))-(-5+((-5*-95.42)*(((-5--5)+(-95.42--5))+-95.42))))-(-5+-5)))*-5)))/-5)--5)+(-5*(((-95.42*(-95.42-(-5/-5)))*(-95.42-(-95.42/(-5*-95.42))))-(-5/-5)))))</f>
        <v>-4362497.45324</v>
      </c>
      <c r="C459" t="n" s="0">
        <v>-4362497.453240001</v>
      </c>
    </row>
    <row r="460">
      <c r="A460" t="n" s="0">
        <v>-95.41</v>
      </c>
      <c r="B460" t="n" s="0">
        <f>(-5-((((-5*(-5/((-5/(((-5*(-95.41--5))-(-5+((-5*-95.41)*(((-5--5)+(-95.41--5))+-95.41))))-(-5+-5)))*-5)))/-5)--5)+(-5*(((-95.41*(-95.41-(-5/-5)))*(-95.41-(-95.41/(-5*-95.41))))-(-5/-5)))))</f>
        <v>-4361128.003305</v>
      </c>
      <c r="C460" t="n" s="0">
        <v>-4361128.003304999</v>
      </c>
    </row>
    <row r="461">
      <c r="A461" t="n" s="0">
        <v>-95.4</v>
      </c>
      <c r="B461" t="n" s="0">
        <f>(-5-((((-5*(-5/((-5/(((-5*(-95.4--5))-(-5+((-5*-95.4)*(((-5--5)+(-95.4--5))+-95.4))))-(-5+-5)))*-5)))/-5)--5)+(-5*(((-95.4*(-95.4-(-5/-5)))*(-95.4-(-95.4/(-5*-95.4))))-(-5/-5)))))</f>
        <v>-4359758.84</v>
      </c>
      <c r="C461" t="n" s="0">
        <v>-4359758.840000001</v>
      </c>
    </row>
    <row r="462">
      <c r="A462" t="n" s="0">
        <v>-95.39</v>
      </c>
      <c r="B462" t="n" s="0">
        <f>(-5-((((-5*(-5/((-5/(((-5*(-95.39--5))-(-5+((-5*-95.39)*(((-5--5)+(-95.39--5))+-95.39))))-(-5+-5)))*-5)))/-5)--5)+(-5*(((-95.39*(-95.39-(-5/-5)))*(-95.39-(-95.39/(-5*-95.39))))-(-5/-5)))))</f>
        <v>-4358389.963295001</v>
      </c>
      <c r="C462" t="n" s="0">
        <v>-4358389.963295001</v>
      </c>
    </row>
    <row r="463">
      <c r="A463" t="n" s="0">
        <v>-95.38</v>
      </c>
      <c r="B463" t="n" s="0">
        <f>(-5-((((-5*(-5/((-5/(((-5*(-95.38--5))-(-5+((-5*-95.38)*(((-5--5)+(-95.38--5))+-95.38))))-(-5+-5)))*-5)))/-5)--5)+(-5*(((-95.38*(-95.38-(-5/-5)))*(-95.38-(-95.38/(-5*-95.38))))-(-5/-5)))))</f>
        <v>-4357021.37316</v>
      </c>
      <c r="C463" t="n" s="0">
        <v>-4357021.373159999</v>
      </c>
    </row>
    <row r="464">
      <c r="A464" t="n" s="0">
        <v>-95.37</v>
      </c>
      <c r="B464" t="n" s="0">
        <f>(-5-((((-5*(-5/((-5/(((-5*(-95.37--5))-(-5+((-5*-95.37)*(((-5--5)+(-95.37--5))+-95.37))))-(-5+-5)))*-5)))/-5)--5)+(-5*(((-95.37*(-95.37-(-5/-5)))*(-95.37-(-95.37/(-5*-95.37))))-(-5/-5)))))</f>
        <v>-4355653.069565</v>
      </c>
      <c r="C464" t="n" s="0">
        <v>-4355653.069565001</v>
      </c>
    </row>
    <row r="465">
      <c r="A465" t="n" s="0">
        <v>-95.36</v>
      </c>
      <c r="B465" t="n" s="0">
        <f>(-5-((((-5*(-5/((-5/(((-5*(-95.36--5))-(-5+((-5*-95.36)*(((-5--5)+(-95.36--5))+-95.36))))-(-5+-5)))*-5)))/-5)--5)+(-5*(((-95.36*(-95.36-(-5/-5)))*(-95.36-(-95.36/(-5*-95.36))))-(-5/-5)))))</f>
        <v>-4354285.05248</v>
      </c>
      <c r="C465" t="n" s="0">
        <v>-4354285.05248</v>
      </c>
    </row>
    <row r="466">
      <c r="A466" t="n" s="0">
        <v>-95.35</v>
      </c>
      <c r="B466" t="n" s="0">
        <f>(-5-((((-5*(-5/((-5/(((-5*(-95.35--5))-(-5+((-5*-95.35)*(((-5--5)+(-95.35--5))+-95.35))))-(-5+-5)))*-5)))/-5)--5)+(-5*(((-95.35*(-95.35-(-5/-5)))*(-95.35-(-95.35/(-5*-95.35))))-(-5/-5)))))</f>
        <v>-4352917.321875</v>
      </c>
      <c r="C466" t="n" s="0">
        <v>-4352917.321874999</v>
      </c>
    </row>
    <row r="467">
      <c r="A467" t="n" s="0">
        <v>-95.34</v>
      </c>
      <c r="B467" t="n" s="0">
        <f>(-5-((((-5*(-5/((-5/(((-5*(-95.34--5))-(-5+((-5*-95.34)*(((-5--5)+(-95.34--5))+-95.34))))-(-5+-5)))*-5)))/-5)--5)+(-5*(((-95.34*(-95.34-(-5/-5)))*(-95.34-(-95.34/(-5*-95.34))))-(-5/-5)))))</f>
        <v>-4351549.87772</v>
      </c>
      <c r="C467" t="n" s="0">
        <v>-4351549.87772</v>
      </c>
    </row>
    <row r="468">
      <c r="A468" t="n" s="0">
        <v>-95.33</v>
      </c>
      <c r="B468" t="n" s="0">
        <f>(-5-((((-5*(-5/((-5/(((-5*(-95.33--5))-(-5+((-5*-95.33)*(((-5--5)+(-95.33--5))+-95.33))))-(-5+-5)))*-5)))/-5)--5)+(-5*(((-95.33*(-95.33-(-5/-5)))*(-95.33-(-95.33/(-5*-95.33))))-(-5/-5)))))</f>
        <v>-4350182.719985</v>
      </c>
      <c r="C468" t="n" s="0">
        <v>-4350182.719985</v>
      </c>
    </row>
    <row r="469">
      <c r="A469" t="n" s="0">
        <v>-95.32</v>
      </c>
      <c r="B469" t="n" s="0">
        <f>(-5-((((-5*(-5/((-5/(((-5*(-95.32--5))-(-5+((-5*-95.32)*(((-5--5)+(-95.32--5))+-95.32))))-(-5+-5)))*-5)))/-5)--5)+(-5*(((-95.32*(-95.32-(-5/-5)))*(-95.32-(-95.32/(-5*-95.32))))-(-5/-5)))))</f>
        <v>-4348815.84864</v>
      </c>
      <c r="C469" t="n" s="0">
        <v>-4348815.8486399995</v>
      </c>
    </row>
    <row r="470">
      <c r="A470" t="n" s="0">
        <v>-95.31</v>
      </c>
      <c r="B470" t="n" s="0">
        <f>(-5-((((-5*(-5/((-5/(((-5*(-95.31--5))-(-5+((-5*-95.31)*(((-5--5)+(-95.31--5))+-95.31))))-(-5+-5)))*-5)))/-5)--5)+(-5*(((-95.31*(-95.31-(-5/-5)))*(-95.31-(-95.31/(-5*-95.31))))-(-5/-5)))))</f>
        <v>-4347449.263655</v>
      </c>
      <c r="C470" t="n" s="0">
        <v>-4347449.263655</v>
      </c>
    </row>
    <row r="471">
      <c r="A471" t="n" s="0">
        <v>-95.3</v>
      </c>
      <c r="B471" t="n" s="0">
        <f>(-5-((((-5*(-5/((-5/(((-5*(-95.3--5))-(-5+((-5*-95.3)*(((-5--5)+(-95.3--5))+-95.3))))-(-5+-5)))*-5)))/-5)--5)+(-5*(((-95.3*(-95.3-(-5/-5)))*(-95.3-(-95.3/(-5*-95.3))))-(-5/-5)))))</f>
        <v>-4346082.965</v>
      </c>
      <c r="C471" t="n" s="0">
        <v>-4346082.965</v>
      </c>
    </row>
    <row r="472">
      <c r="A472" t="n" s="0">
        <v>-95.29</v>
      </c>
      <c r="B472" t="n" s="0">
        <f>(-5-((((-5*(-5/((-5/(((-5*(-95.29--5))-(-5+((-5*-95.29)*(((-5--5)+(-95.29--5))+-95.29))))-(-5+-5)))*-5)))/-5)--5)+(-5*(((-95.29*(-95.29-(-5/-5)))*(-95.29-(-95.29/(-5*-95.29))))-(-5/-5)))))</f>
        <v>-4344716.952645</v>
      </c>
      <c r="C472" t="n" s="0">
        <v>-4344716.952645002</v>
      </c>
    </row>
    <row r="473">
      <c r="A473" t="n" s="0">
        <v>-95.28</v>
      </c>
      <c r="B473" t="n" s="0">
        <f>(-5-((((-5*(-5/((-5/(((-5*(-95.28--5))-(-5+((-5*-95.28)*(((-5--5)+(-95.28--5))+-95.28))))-(-5+-5)))*-5)))/-5)--5)+(-5*(((-95.28*(-95.28-(-5/-5)))*(-95.28-(-95.28/(-5*-95.28))))-(-5/-5)))))</f>
        <v>-4343351.226559999</v>
      </c>
      <c r="C473" t="n" s="0">
        <v>-4343351.22656</v>
      </c>
    </row>
    <row r="474">
      <c r="A474" t="n" s="0">
        <v>-95.27</v>
      </c>
      <c r="B474" t="n" s="0">
        <f>(-5-((((-5*(-5/((-5/(((-5*(-95.27--5))-(-5+((-5*-95.27)*(((-5--5)+(-95.27--5))+-95.27))))-(-5+-5)))*-5)))/-5)--5)+(-5*(((-95.27*(-95.27-(-5/-5)))*(-95.27-(-95.27/(-5*-95.27))))-(-5/-5)))))</f>
        <v>-4341985.786715</v>
      </c>
      <c r="C474" t="n" s="0">
        <v>-4341985.786714998</v>
      </c>
    </row>
    <row r="475">
      <c r="A475" t="n" s="0">
        <v>-95.26</v>
      </c>
      <c r="B475" t="n" s="0">
        <f>(-5-((((-5*(-5/((-5/(((-5*(-95.26--5))-(-5+((-5*-95.26)*(((-5--5)+(-95.26--5))+-95.26))))-(-5+-5)))*-5)))/-5)--5)+(-5*(((-95.26*(-95.26-(-5/-5)))*(-95.26-(-95.26/(-5*-95.26))))-(-5/-5)))))</f>
        <v>-4340620.63308</v>
      </c>
      <c r="C475" t="n" s="0">
        <v>-4340620.633080001</v>
      </c>
    </row>
    <row r="476">
      <c r="A476" t="n" s="0">
        <v>-95.25</v>
      </c>
      <c r="B476" t="n" s="0">
        <f>(-5-((((-5*(-5/((-5/(((-5*(-95.25--5))-(-5+((-5*-95.25)*(((-5--5)+(-95.25--5))+-95.25))))-(-5+-5)))*-5)))/-5)--5)+(-5*(((-95.25*(-95.25-(-5/-5)))*(-95.25-(-95.25/(-5*-95.25))))-(-5/-5)))))</f>
        <v>-4339255.765625</v>
      </c>
      <c r="C476" t="n" s="0">
        <v>-4339255.765625</v>
      </c>
    </row>
    <row r="477">
      <c r="A477" t="n" s="0">
        <v>-95.24</v>
      </c>
      <c r="B477" t="n" s="0">
        <f>(-5-((((-5*(-5/((-5/(((-5*(-95.24--5))-(-5+((-5*-95.24)*(((-5--5)+(-95.24--5))+-95.24))))-(-5+-5)))*-5)))/-5)--5)+(-5*(((-95.24*(-95.24-(-5/-5)))*(-95.24-(-95.24/(-5*-95.24))))-(-5/-5)))))</f>
        <v>-4337891.18432</v>
      </c>
      <c r="C477" t="n" s="0">
        <v>-4337891.184319999</v>
      </c>
    </row>
    <row r="478">
      <c r="A478" t="n" s="0">
        <v>-95.23</v>
      </c>
      <c r="B478" t="n" s="0">
        <f>(-5-((((-5*(-5/((-5/(((-5*(-95.23--5))-(-5+((-5*-95.23)*(((-5--5)+(-95.23--5))+-95.23))))-(-5+-5)))*-5)))/-5)--5)+(-5*(((-95.23*(-95.23-(-5/-5)))*(-95.23-(-95.23/(-5*-95.23))))-(-5/-5)))))</f>
        <v>-4336526.889134999</v>
      </c>
      <c r="C478" t="n" s="0">
        <v>-4336526.889135001</v>
      </c>
    </row>
    <row r="479">
      <c r="A479" t="n" s="0">
        <v>-95.22</v>
      </c>
      <c r="B479" t="n" s="0">
        <f>(-5-((((-5*(-5/((-5/(((-5*(-95.22--5))-(-5+((-5*-95.22)*(((-5--5)+(-95.22--5))+-95.22))))-(-5+-5)))*-5)))/-5)--5)+(-5*(((-95.22*(-95.22-(-5/-5)))*(-95.22-(-95.22/(-5*-95.22))))-(-5/-5)))))</f>
        <v>-4335162.88004</v>
      </c>
      <c r="C479" t="n" s="0">
        <v>-4335162.88004</v>
      </c>
    </row>
    <row r="480">
      <c r="A480" t="n" s="0">
        <v>-95.21</v>
      </c>
      <c r="B480" t="n" s="0">
        <f>(-5-((((-5*(-5/((-5/(((-5*(-95.21--5))-(-5+((-5*-95.21)*(((-5--5)+(-95.21--5))+-95.21))))-(-5+-5)))*-5)))/-5)--5)+(-5*(((-95.21*(-95.21-(-5/-5)))*(-95.21-(-95.21/(-5*-95.21))))-(-5/-5)))))</f>
        <v>-4333799.157005</v>
      </c>
      <c r="C480" t="n" s="0">
        <v>-4333799.157004999</v>
      </c>
    </row>
    <row r="481">
      <c r="A481" t="n" s="0">
        <v>-95.2</v>
      </c>
      <c r="B481" t="n" s="0">
        <f>(-5-((((-5*(-5/((-5/(((-5*(-95.2--5))-(-5+((-5*-95.2)*(((-5--5)+(-95.2--5))+-95.2))))-(-5+-5)))*-5)))/-5)--5)+(-5*(((-95.2*(-95.2-(-5/-5)))*(-95.2-(-95.2/(-5*-95.2))))-(-5/-5)))))</f>
        <v>-4332435.72</v>
      </c>
      <c r="C481" t="n" s="0">
        <v>-4332435.72</v>
      </c>
    </row>
    <row r="482">
      <c r="A482" t="n" s="0">
        <v>-95.19</v>
      </c>
      <c r="B482" t="n" s="0">
        <f>(-5-((((-5*(-5/((-5/(((-5*(-95.19--5))-(-5+((-5*-95.19)*(((-5--5)+(-95.19--5))+-95.19))))-(-5+-5)))*-5)))/-5)--5)+(-5*(((-95.19*(-95.19-(-5/-5)))*(-95.19-(-95.19/(-5*-95.19))))-(-5/-5)))))</f>
        <v>-4331072.568995</v>
      </c>
      <c r="C482" t="n" s="0">
        <v>-4331072.568995</v>
      </c>
    </row>
    <row r="483">
      <c r="A483" t="n" s="0">
        <v>-95.18</v>
      </c>
      <c r="B483" t="n" s="0">
        <f>(-5-((((-5*(-5/((-5/(((-5*(-95.18--5))-(-5+((-5*-95.18)*(((-5--5)+(-95.18--5))+-95.18))))-(-5+-5)))*-5)))/-5)--5)+(-5*(((-95.18*(-95.18-(-5/-5)))*(-95.18-(-95.18/(-5*-95.18))))-(-5/-5)))))</f>
        <v>-4329709.70396</v>
      </c>
      <c r="C483" t="n" s="0">
        <v>-4329709.7039600015</v>
      </c>
    </row>
    <row r="484">
      <c r="A484" t="n" s="0">
        <v>-95.17</v>
      </c>
      <c r="B484" t="n" s="0">
        <f>(-5-((((-5*(-5/((-5/(((-5*(-95.17--5))-(-5+((-5*-95.17)*(((-5--5)+(-95.17--5))+-95.17))))-(-5+-5)))*-5)))/-5)--5)+(-5*(((-95.17*(-95.17-(-5/-5)))*(-95.17-(-95.17/(-5*-95.17))))-(-5/-5)))))</f>
        <v>-4328347.124864999</v>
      </c>
      <c r="C484" t="n" s="0">
        <v>-4328347.124865</v>
      </c>
    </row>
    <row r="485">
      <c r="A485" t="n" s="0">
        <v>-95.16</v>
      </c>
      <c r="B485" t="n" s="0">
        <f>(-5-((((-5*(-5/((-5/(((-5*(-95.16--5))-(-5+((-5*-95.16)*(((-5--5)+(-95.16--5))+-95.16))))-(-5+-5)))*-5)))/-5)--5)+(-5*(((-95.16*(-95.16-(-5/-5)))*(-95.16-(-95.16/(-5*-95.16))))-(-5/-5)))))</f>
        <v>-4326984.83168</v>
      </c>
      <c r="C485" t="n" s="0">
        <v>-4326984.831680001</v>
      </c>
    </row>
    <row r="486">
      <c r="A486" t="n" s="0">
        <v>-95.15</v>
      </c>
      <c r="B486" t="n" s="0">
        <f>(-5-((((-5*(-5/((-5/(((-5*(-95.15--5))-(-5+((-5*-95.15)*(((-5--5)+(-95.15--5))+-95.15))))-(-5+-5)))*-5)))/-5)--5)+(-5*(((-95.15*(-95.15-(-5/-5)))*(-95.15-(-95.15/(-5*-95.15))))-(-5/-5)))))</f>
        <v>-4325622.824375</v>
      </c>
      <c r="C486" t="n" s="0">
        <v>-4325622.824375001</v>
      </c>
    </row>
    <row r="487">
      <c r="A487" t="n" s="0">
        <v>-95.14</v>
      </c>
      <c r="B487" t="n" s="0">
        <f>(-5-((((-5*(-5/((-5/(((-5*(-95.14--5))-(-5+((-5*-95.14)*(((-5--5)+(-95.14--5))+-95.14))))-(-5+-5)))*-5)))/-5)--5)+(-5*(((-95.14*(-95.14-(-5/-5)))*(-95.14-(-95.14/(-5*-95.14))))-(-5/-5)))))</f>
        <v>-4324261.1029199995</v>
      </c>
      <c r="C487" t="n" s="0">
        <v>-4324261.1029199995</v>
      </c>
    </row>
    <row r="488">
      <c r="A488" t="n" s="0">
        <v>-95.13</v>
      </c>
      <c r="B488" t="n" s="0">
        <f>(-5-((((-5*(-5/((-5/(((-5*(-95.13--5))-(-5+((-5*-95.13)*(((-5--5)+(-95.13--5))+-95.13))))-(-5+-5)))*-5)))/-5)--5)+(-5*(((-95.13*(-95.13-(-5/-5)))*(-95.13-(-95.13/(-5*-95.13))))-(-5/-5)))))</f>
        <v>-4322899.667285</v>
      </c>
      <c r="C488" t="n" s="0">
        <v>-4322899.667284999</v>
      </c>
    </row>
    <row r="489">
      <c r="A489" t="n" s="0">
        <v>-95.12</v>
      </c>
      <c r="B489" t="n" s="0">
        <f>(-5-((((-5*(-5/((-5/(((-5*(-95.12--5))-(-5+((-5*-95.12)*(((-5--5)+(-95.12--5))+-95.12))))-(-5+-5)))*-5)))/-5)--5)+(-5*(((-95.12*(-95.12-(-5/-5)))*(-95.12-(-95.12/(-5*-95.12))))-(-5/-5)))))</f>
        <v>-4321538.517440001</v>
      </c>
      <c r="C489" t="n" s="0">
        <v>-4321538.5174400015</v>
      </c>
    </row>
    <row r="490">
      <c r="A490" t="n" s="0">
        <v>-95.11</v>
      </c>
      <c r="B490" t="n" s="0">
        <f>(-5-((((-5*(-5/((-5/(((-5*(-95.11--5))-(-5+((-5*-95.11)*(((-5--5)+(-95.11--5))+-95.11))))-(-5+-5)))*-5)))/-5)--5)+(-5*(((-95.11*(-95.11-(-5/-5)))*(-95.11-(-95.11/(-5*-95.11))))-(-5/-5)))))</f>
        <v>-4320177.653355</v>
      </c>
      <c r="C490" t="n" s="0">
        <v>-4320177.653355</v>
      </c>
    </row>
    <row r="491">
      <c r="A491" t="n" s="0">
        <v>-95.1</v>
      </c>
      <c r="B491" t="n" s="0">
        <f>(-5-((((-5*(-5/((-5/(((-5*(-95.1--5))-(-5+((-5*-95.1)*(((-5--5)+(-95.1--5))+-95.1))))-(-5+-5)))*-5)))/-5)--5)+(-5*(((-95.1*(-95.1-(-5/-5)))*(-95.1-(-95.1/(-5*-95.1))))-(-5/-5)))))</f>
        <v>-4318817.075</v>
      </c>
      <c r="C491" t="n" s="0">
        <v>-4318817.074999998</v>
      </c>
    </row>
    <row r="492">
      <c r="A492" t="n" s="0">
        <v>-95.09</v>
      </c>
      <c r="B492" t="n" s="0">
        <f>(-5-((((-5*(-5/((-5/(((-5*(-95.09--5))-(-5+((-5*-95.09)*(((-5--5)+(-95.09--5))+-95.09))))-(-5+-5)))*-5)))/-5)--5)+(-5*(((-95.09*(-95.09-(-5/-5)))*(-95.09-(-95.09/(-5*-95.09))))-(-5/-5)))))</f>
        <v>-4317456.782345</v>
      </c>
      <c r="C492" t="n" s="0">
        <v>-4317456.782345</v>
      </c>
    </row>
    <row r="493">
      <c r="A493" t="n" s="0">
        <v>-95.08</v>
      </c>
      <c r="B493" t="n" s="0">
        <f>(-5-((((-5*(-5/((-5/(((-5*(-95.08--5))-(-5+((-5*-95.08)*(((-5--5)+(-95.08--5))+-95.08))))-(-5+-5)))*-5)))/-5)--5)+(-5*(((-95.08*(-95.08-(-5/-5)))*(-95.08-(-95.08/(-5*-95.08))))-(-5/-5)))))</f>
        <v>-4316096.77536</v>
      </c>
      <c r="C493" t="n" s="0">
        <v>-4316096.77536</v>
      </c>
    </row>
    <row r="494">
      <c r="A494" t="n" s="0">
        <v>-95.07</v>
      </c>
      <c r="B494" t="n" s="0">
        <f>(-5-((((-5*(-5/((-5/(((-5*(-95.07--5))-(-5+((-5*-95.07)*(((-5--5)+(-95.07--5))+-95.07))))-(-5+-5)))*-5)))/-5)--5)+(-5*(((-95.07*(-95.07-(-5/-5)))*(-95.07-(-95.07/(-5*-95.07))))-(-5/-5)))))</f>
        <v>-4314737.054014999</v>
      </c>
      <c r="C494" t="n" s="0">
        <v>-4314737.0540149985</v>
      </c>
    </row>
    <row r="495">
      <c r="A495" t="n" s="0">
        <v>-95.06</v>
      </c>
      <c r="B495" t="n" s="0">
        <f>(-5-((((-5*(-5/((-5/(((-5*(-95.06--5))-(-5+((-5*-95.06)*(((-5--5)+(-95.06--5))+-95.06))))-(-5+-5)))*-5)))/-5)--5)+(-5*(((-95.06*(-95.06-(-5/-5)))*(-95.06-(-95.06/(-5*-95.06))))-(-5/-5)))))</f>
        <v>-4313377.61828</v>
      </c>
      <c r="C495" t="n" s="0">
        <v>-4313377.61828</v>
      </c>
    </row>
    <row r="496">
      <c r="A496" t="n" s="0">
        <v>-95.05</v>
      </c>
      <c r="B496" t="n" s="0">
        <f>(-5-((((-5*(-5/((-5/(((-5*(-95.05--5))-(-5+((-5*-95.05)*(((-5--5)+(-95.05--5))+-95.05))))-(-5+-5)))*-5)))/-5)--5)+(-5*(((-95.05*(-95.05-(-5/-5)))*(-95.05-(-95.05/(-5*-95.05))))-(-5/-5)))))</f>
        <v>-4312018.468125001</v>
      </c>
      <c r="C496" t="n" s="0">
        <v>-4312018.468125</v>
      </c>
    </row>
    <row r="497">
      <c r="A497" t="n" s="0">
        <v>-95.04</v>
      </c>
      <c r="B497" t="n" s="0">
        <f>(-5-((((-5*(-5/((-5/(((-5*(-95.04--5))-(-5+((-5*-95.04)*(((-5--5)+(-95.04--5))+-95.04))))-(-5+-5)))*-5)))/-5)--5)+(-5*(((-95.04*(-95.04-(-5/-5)))*(-95.04-(-95.04/(-5*-95.04))))-(-5/-5)))))</f>
        <v>-4310659.603519999</v>
      </c>
      <c r="C497" t="n" s="0">
        <v>-4310659.603520001</v>
      </c>
    </row>
    <row r="498">
      <c r="A498" t="n" s="0">
        <v>-95.03</v>
      </c>
      <c r="B498" t="n" s="0">
        <f>(-5-((((-5*(-5/((-5/(((-5*(-95.03--5))-(-5+((-5*-95.03)*(((-5--5)+(-95.03--5))+-95.03))))-(-5+-5)))*-5)))/-5)--5)+(-5*(((-95.03*(-95.03-(-5/-5)))*(-95.03-(-95.03/(-5*-95.03))))-(-5/-5)))))</f>
        <v>-4309301.024435</v>
      </c>
      <c r="C498" t="n" s="0">
        <v>-4309301.024435</v>
      </c>
    </row>
    <row r="499">
      <c r="A499" t="n" s="0">
        <v>-95.02</v>
      </c>
      <c r="B499" t="n" s="0">
        <f>(-5-((((-5*(-5/((-5/(((-5*(-95.02--5))-(-5+((-5*-95.02)*(((-5--5)+(-95.02--5))+-95.02))))-(-5+-5)))*-5)))/-5)--5)+(-5*(((-95.02*(-95.02-(-5/-5)))*(-95.02-(-95.02/(-5*-95.02))))-(-5/-5)))))</f>
        <v>-4307942.73084</v>
      </c>
      <c r="C499" t="n" s="0">
        <v>-4307942.730839999</v>
      </c>
    </row>
    <row r="500">
      <c r="A500" t="n" s="0">
        <v>-95.01</v>
      </c>
      <c r="B500" t="n" s="0">
        <f>(-5-((((-5*(-5/((-5/(((-5*(-95.01--5))-(-5+((-5*-95.01)*(((-5--5)+(-95.01--5))+-95.01))))-(-5+-5)))*-5)))/-5)--5)+(-5*(((-95.01*(-95.01-(-5/-5)))*(-95.01-(-95.01/(-5*-95.01))))-(-5/-5)))))</f>
        <v>-4306584.722705</v>
      </c>
      <c r="C500" t="n" s="0">
        <v>-4306584.722705001</v>
      </c>
    </row>
    <row r="501">
      <c r="A501" t="n" s="0">
        <v>-95.0</v>
      </c>
      <c r="B501" t="n" s="0">
        <f>(-5-((((-5*(-5/((-5/(((-5*(-95--5))-(-5+((-5*-95)*(((-5--5)+(-95--5))+-95))))-(-5+-5)))*-5)))/-5)--5)+(-5*(((-95*(-95-(-5/-5)))*(-95-(-95/(-5*-95))))-(-5/-5)))))</f>
        <v>-4305227.0</v>
      </c>
      <c r="C501" t="n" s="0">
        <v>-4305227.0</v>
      </c>
    </row>
    <row r="502">
      <c r="A502" t="n" s="0">
        <v>-94.99</v>
      </c>
      <c r="B502" t="n" s="0">
        <f>(-5-((((-5*(-5/((-5/(((-5*(-94.99--5))-(-5+((-5*-94.99)*(((-5--5)+(-94.99--5))+-94.99))))-(-5+-5)))*-5)))/-5)--5)+(-5*(((-94.99*(-94.99-(-5/-5)))*(-94.99-(-94.99/(-5*-94.99))))-(-5/-5)))))</f>
        <v>-4303869.562695</v>
      </c>
      <c r="C502" t="n" s="0">
        <v>-4303869.562694999</v>
      </c>
    </row>
    <row r="503">
      <c r="A503" t="n" s="0">
        <v>-94.98</v>
      </c>
      <c r="B503" t="n" s="0">
        <f>(-5-((((-5*(-5/((-5/(((-5*(-94.98--5))-(-5+((-5*-94.98)*(((-5--5)+(-94.98--5))+-94.98))))-(-5+-5)))*-5)))/-5)--5)+(-5*(((-94.98*(-94.98-(-5/-5)))*(-94.98-(-94.98/(-5*-94.98))))-(-5/-5)))))</f>
        <v>-4302512.41076</v>
      </c>
      <c r="C503" t="n" s="0">
        <v>-4302512.410760001</v>
      </c>
    </row>
    <row r="504">
      <c r="A504" t="n" s="0">
        <v>-94.97</v>
      </c>
      <c r="B504" t="n" s="0">
        <f>(-5-((((-5*(-5/((-5/(((-5*(-94.97--5))-(-5+((-5*-94.97)*(((-5--5)+(-94.97--5))+-94.97))))-(-5+-5)))*-5)))/-5)--5)+(-5*(((-94.97*(-94.97-(-5/-5)))*(-94.97-(-94.97/(-5*-94.97))))-(-5/-5)))))</f>
        <v>-4301155.544164999</v>
      </c>
      <c r="C504" t="n" s="0">
        <v>-4301155.544165</v>
      </c>
    </row>
    <row r="505">
      <c r="A505" t="n" s="0">
        <v>-94.96</v>
      </c>
      <c r="B505" t="n" s="0">
        <f>(-5-((((-5*(-5/((-5/(((-5*(-94.96--5))-(-5+((-5*-94.96)*(((-5--5)+(-94.96--5))+-94.96))))-(-5+-5)))*-5)))/-5)--5)+(-5*(((-94.96*(-94.96-(-5/-5)))*(-94.96-(-94.96/(-5*-94.96))))-(-5/-5)))))</f>
        <v>-4299798.96288</v>
      </c>
      <c r="C505" t="n" s="0">
        <v>-4299798.96288</v>
      </c>
    </row>
    <row r="506">
      <c r="A506" t="n" s="0">
        <v>-94.95</v>
      </c>
      <c r="B506" t="n" s="0">
        <f>(-5-((((-5*(-5/((-5/(((-5*(-94.95--5))-(-5+((-5*-94.95)*(((-5--5)+(-94.95--5))+-94.95))))-(-5+-5)))*-5)))/-5)--5)+(-5*(((-94.95*(-94.95-(-5/-5)))*(-94.95-(-94.95/(-5*-94.95))))-(-5/-5)))))</f>
        <v>-4298442.666875</v>
      </c>
      <c r="C506" t="n" s="0">
        <v>-4298442.666875</v>
      </c>
    </row>
    <row r="507">
      <c r="A507" t="n" s="0">
        <v>-94.94</v>
      </c>
      <c r="B507" t="n" s="0">
        <f>(-5-((((-5*(-5/((-5/(((-5*(-94.94--5))-(-5+((-5*-94.94)*(((-5--5)+(-94.94--5))+-94.94))))-(-5+-5)))*-5)))/-5)--5)+(-5*(((-94.94*(-94.94-(-5/-5)))*(-94.94-(-94.94/(-5*-94.94))))-(-5/-5)))))</f>
        <v>-4297086.6561199995</v>
      </c>
      <c r="C507" t="n" s="0">
        <v>-4297086.65612</v>
      </c>
    </row>
    <row r="508">
      <c r="A508" t="n" s="0">
        <v>-94.93</v>
      </c>
      <c r="B508" t="n" s="0">
        <f>(-5-((((-5*(-5/((-5/(((-5*(-94.93--5))-(-5+((-5*-94.93)*(((-5--5)+(-94.93--5))+-94.93))))-(-5+-5)))*-5)))/-5)--5)+(-5*(((-94.93*(-94.93-(-5/-5)))*(-94.93-(-94.93/(-5*-94.93))))-(-5/-5)))))</f>
        <v>-4295730.930585</v>
      </c>
      <c r="C508" t="n" s="0">
        <v>-4295730.930585001</v>
      </c>
    </row>
    <row r="509">
      <c r="A509" t="n" s="0">
        <v>-94.92</v>
      </c>
      <c r="B509" t="n" s="0">
        <f>(-5-((((-5*(-5/((-5/(((-5*(-94.92--5))-(-5+((-5*-94.92)*(((-5--5)+(-94.92--5))+-94.92))))-(-5+-5)))*-5)))/-5)--5)+(-5*(((-94.92*(-94.92-(-5/-5)))*(-94.92-(-94.92/(-5*-94.92))))-(-5/-5)))))</f>
        <v>-4294375.49024</v>
      </c>
      <c r="C509" t="n" s="0">
        <v>-4294375.49024</v>
      </c>
    </row>
    <row r="510">
      <c r="A510" t="n" s="0">
        <v>-94.91</v>
      </c>
      <c r="B510" t="n" s="0">
        <f>(-5-((((-5*(-5/((-5/(((-5*(-94.91--5))-(-5+((-5*-94.91)*(((-5--5)+(-94.91--5))+-94.91))))-(-5+-5)))*-5)))/-5)--5)+(-5*(((-94.91*(-94.91-(-5/-5)))*(-94.91-(-94.91/(-5*-94.91))))-(-5/-5)))))</f>
        <v>-4293020.335055</v>
      </c>
      <c r="C510" t="n" s="0">
        <v>-4293020.335055</v>
      </c>
    </row>
    <row r="511">
      <c r="A511" t="n" s="0">
        <v>-94.9</v>
      </c>
      <c r="B511" t="n" s="0">
        <f>(-5-((((-5*(-5/((-5/(((-5*(-94.9--5))-(-5+((-5*-94.9)*(((-5--5)+(-94.9--5))+-94.9))))-(-5+-5)))*-5)))/-5)--5)+(-5*(((-94.9*(-94.9-(-5/-5)))*(-94.9-(-94.9/(-5*-94.9))))-(-5/-5)))))</f>
        <v>-4291665.465</v>
      </c>
      <c r="C511" t="n" s="0">
        <v>-4291665.465000001</v>
      </c>
    </row>
    <row r="512">
      <c r="A512" t="n" s="0">
        <v>-94.89</v>
      </c>
      <c r="B512" t="n" s="0">
        <f>(-5-((((-5*(-5/((-5/(((-5*(-94.89--5))-(-5+((-5*-94.89)*(((-5--5)+(-94.89--5))+-94.89))))-(-5+-5)))*-5)))/-5)--5)+(-5*(((-94.89*(-94.89-(-5/-5)))*(-94.89-(-94.89/(-5*-94.89))))-(-5/-5)))))</f>
        <v>-4290310.880045</v>
      </c>
      <c r="C512" t="n" s="0">
        <v>-4290310.880045</v>
      </c>
    </row>
    <row r="513">
      <c r="A513" t="n" s="0">
        <v>-94.88</v>
      </c>
      <c r="B513" t="n" s="0">
        <f>(-5-((((-5*(-5/((-5/(((-5*(-94.88--5))-(-5+((-5*-94.88)*(((-5--5)+(-94.88--5))+-94.88))))-(-5+-5)))*-5)))/-5)--5)+(-5*(((-94.88*(-94.88-(-5/-5)))*(-94.88-(-94.88/(-5*-94.88))))-(-5/-5)))))</f>
        <v>-4288956.580159999</v>
      </c>
      <c r="C513" t="n" s="0">
        <v>-4288956.580159999</v>
      </c>
    </row>
    <row r="514">
      <c r="A514" t="n" s="0">
        <v>-94.87</v>
      </c>
      <c r="B514" t="n" s="0">
        <f>(-5-((((-5*(-5/((-5/(((-5*(-94.87--5))-(-5+((-5*-94.87)*(((-5--5)+(-94.87--5))+-94.87))))-(-5+-5)))*-5)))/-5)--5)+(-5*(((-94.87*(-94.87-(-5/-5)))*(-94.87-(-94.87/(-5*-94.87))))-(-5/-5)))))</f>
        <v>-4287602.565315</v>
      </c>
      <c r="C514" t="n" s="0">
        <v>-4287602.565315001</v>
      </c>
    </row>
    <row r="515">
      <c r="A515" t="n" s="0">
        <v>-94.86</v>
      </c>
      <c r="B515" t="n" s="0">
        <f>(-5-((((-5*(-5/((-5/(((-5*(-94.86--5))-(-5+((-5*-94.86)*(((-5--5)+(-94.86--5))+-94.86))))-(-5+-5)))*-5)))/-5)--5)+(-5*(((-94.86*(-94.86-(-5/-5)))*(-94.86-(-94.86/(-5*-94.86))))-(-5/-5)))))</f>
        <v>-4286248.83548</v>
      </c>
      <c r="C515" t="n" s="0">
        <v>-4286248.83548</v>
      </c>
    </row>
    <row r="516">
      <c r="A516" t="n" s="0">
        <v>-94.85</v>
      </c>
      <c r="B516" t="n" s="0">
        <f>(-5-((((-5*(-5/((-5/(((-5*(-94.85--5))-(-5+((-5*-94.85)*(((-5--5)+(-94.85--5))+-94.85))))-(-5+-5)))*-5)))/-5)--5)+(-5*(((-94.85*(-94.85-(-5/-5)))*(-94.85-(-94.85/(-5*-94.85))))-(-5/-5)))))</f>
        <v>-4284895.390625</v>
      </c>
      <c r="C516" t="n" s="0">
        <v>-4284895.390624999</v>
      </c>
    </row>
    <row r="517">
      <c r="A517" t="n" s="0">
        <v>-94.84</v>
      </c>
      <c r="B517" t="n" s="0">
        <f>(-5-((((-5*(-5/((-5/(((-5*(-94.84--5))-(-5+((-5*-94.84)*(((-5--5)+(-94.84--5))+-94.84))))-(-5+-5)))*-5)))/-5)--5)+(-5*(((-94.84*(-94.84-(-5/-5)))*(-94.84-(-94.84/(-5*-94.84))))-(-5/-5)))))</f>
        <v>-4283542.230719999</v>
      </c>
      <c r="C517" t="n" s="0">
        <v>-4283542.23072</v>
      </c>
    </row>
    <row r="518">
      <c r="A518" t="n" s="0">
        <v>-94.83</v>
      </c>
      <c r="B518" t="n" s="0">
        <f>(-5-((((-5*(-5/((-5/(((-5*(-94.83--5))-(-5+((-5*-94.83)*(((-5--5)+(-94.83--5))+-94.83))))-(-5+-5)))*-5)))/-5)--5)+(-5*(((-94.83*(-94.83-(-5/-5)))*(-94.83-(-94.83/(-5*-94.83))))-(-5/-5)))))</f>
        <v>-4282189.355735</v>
      </c>
      <c r="C518" t="n" s="0">
        <v>-4282189.355735</v>
      </c>
    </row>
    <row r="519">
      <c r="A519" t="n" s="0">
        <v>-94.82</v>
      </c>
      <c r="B519" t="n" s="0">
        <f>(-5-((((-5*(-5/((-5/(((-5*(-94.82--5))-(-5+((-5*-94.82)*(((-5--5)+(-94.82--5))+-94.82))))-(-5+-5)))*-5)))/-5)--5)+(-5*(((-94.82*(-94.82-(-5/-5)))*(-94.82-(-94.82/(-5*-94.82))))-(-5/-5)))))</f>
        <v>-4280836.76564</v>
      </c>
      <c r="C519" t="n" s="0">
        <v>-4280836.765639999</v>
      </c>
    </row>
    <row r="520">
      <c r="A520" t="n" s="0">
        <v>-94.81</v>
      </c>
      <c r="B520" t="n" s="0">
        <f>(-5-((((-5*(-5/((-5/(((-5*(-94.81--5))-(-5+((-5*-94.81)*(((-5--5)+(-94.81--5))+-94.81))))-(-5+-5)))*-5)))/-5)--5)+(-5*(((-94.81*(-94.81-(-5/-5)))*(-94.81-(-94.81/(-5*-94.81))))-(-5/-5)))))</f>
        <v>-4279484.4604050005</v>
      </c>
      <c r="C520" t="n" s="0">
        <v>-4279484.4604050005</v>
      </c>
    </row>
    <row r="521">
      <c r="A521" t="n" s="0">
        <v>-94.8</v>
      </c>
      <c r="B521" t="n" s="0">
        <f>(-5-((((-5*(-5/((-5/(((-5*(-94.8--5))-(-5+((-5*-94.8)*(((-5--5)+(-94.8--5))+-94.8))))-(-5+-5)))*-5)))/-5)--5)+(-5*(((-94.8*(-94.8-(-5/-5)))*(-94.8-(-94.8/(-5*-94.8))))-(-5/-5)))))</f>
        <v>-4278132.44</v>
      </c>
      <c r="C521" t="n" s="0">
        <v>-4278132.4399999995</v>
      </c>
    </row>
    <row r="522">
      <c r="A522" t="n" s="0">
        <v>-94.79</v>
      </c>
      <c r="B522" t="n" s="0">
        <f>(-5-((((-5*(-5/((-5/(((-5*(-94.79--5))-(-5+((-5*-94.79)*(((-5--5)+(-94.79--5))+-94.79))))-(-5+-5)))*-5)))/-5)--5)+(-5*(((-94.79*(-94.79-(-5/-5)))*(-94.79-(-94.79/(-5*-94.79))))-(-5/-5)))))</f>
        <v>-4276780.704395</v>
      </c>
      <c r="C522" t="n" s="0">
        <v>-4276780.704395002</v>
      </c>
    </row>
    <row r="523">
      <c r="A523" t="n" s="0">
        <v>-94.78</v>
      </c>
      <c r="B523" t="n" s="0">
        <f>(-5-((((-5*(-5/((-5/(((-5*(-94.78--5))-(-5+((-5*-94.78)*(((-5--5)+(-94.78--5))+-94.78))))-(-5+-5)))*-5)))/-5)--5)+(-5*(((-94.78*(-94.78-(-5/-5)))*(-94.78-(-94.78/(-5*-94.78))))-(-5/-5)))))</f>
        <v>-4275429.25356</v>
      </c>
      <c r="C523" t="n" s="0">
        <v>-4275429.25356</v>
      </c>
    </row>
    <row r="524">
      <c r="A524" t="n" s="0">
        <v>-94.77</v>
      </c>
      <c r="B524" t="n" s="0">
        <f>(-5-((((-5*(-5/((-5/(((-5*(-94.77--5))-(-5+((-5*-94.77)*(((-5--5)+(-94.77--5))+-94.77))))-(-5+-5)))*-5)))/-5)--5)+(-5*(((-94.77*(-94.77-(-5/-5)))*(-94.77-(-94.77/(-5*-94.77))))-(-5/-5)))))</f>
        <v>-4274078.087465</v>
      </c>
      <c r="C524" t="n" s="0">
        <v>-4274078.0874649985</v>
      </c>
    </row>
    <row r="525">
      <c r="A525" t="n" s="0">
        <v>-94.76</v>
      </c>
      <c r="B525" t="n" s="0">
        <f>(-5-((((-5*(-5/((-5/(((-5*(-94.76--5))-(-5+((-5*-94.76)*(((-5--5)+(-94.76--5))+-94.76))))-(-5+-5)))*-5)))/-5)--5)+(-5*(((-94.76*(-94.76-(-5/-5)))*(-94.76-(-94.76/(-5*-94.76))))-(-5/-5)))))</f>
        <v>-4272727.20608</v>
      </c>
      <c r="C525" t="n" s="0">
        <v>-4272727.206080001</v>
      </c>
    </row>
    <row r="526">
      <c r="A526" t="n" s="0">
        <v>-94.75</v>
      </c>
      <c r="B526" t="n" s="0">
        <f>(-5-((((-5*(-5/((-5/(((-5*(-94.75--5))-(-5+((-5*-94.75)*(((-5--5)+(-94.75--5))+-94.75))))-(-5+-5)))*-5)))/-5)--5)+(-5*(((-94.75*(-94.75-(-5/-5)))*(-94.75-(-94.75/(-5*-94.75))))-(-5/-5)))))</f>
        <v>-4271376.609375</v>
      </c>
      <c r="C526" t="n" s="0">
        <v>-4271376.609375</v>
      </c>
    </row>
    <row r="527">
      <c r="A527" t="n" s="0">
        <v>-94.74</v>
      </c>
      <c r="B527" t="n" s="0">
        <f>(-5-((((-5*(-5/((-5/(((-5*(-94.74--5))-(-5+((-5*-94.74)*(((-5--5)+(-94.74--5))+-94.74))))-(-5+-5)))*-5)))/-5)--5)+(-5*(((-94.74*(-94.74-(-5/-5)))*(-94.74-(-94.74/(-5*-94.74))))-(-5/-5)))))</f>
        <v>-4270026.29732</v>
      </c>
      <c r="C527" t="n" s="0">
        <v>-4270026.297319999</v>
      </c>
    </row>
    <row r="528">
      <c r="A528" t="n" s="0">
        <v>-94.73</v>
      </c>
      <c r="B528" t="n" s="0">
        <f>(-5-((((-5*(-5/((-5/(((-5*(-94.73--5))-(-5+((-5*-94.73)*(((-5--5)+(-94.73--5))+-94.73))))-(-5+-5)))*-5)))/-5)--5)+(-5*(((-94.73*(-94.73-(-5/-5)))*(-94.73-(-94.73/(-5*-94.73))))-(-5/-5)))))</f>
        <v>-4268676.269885001</v>
      </c>
      <c r="C528" t="n" s="0">
        <v>-4268676.269885002</v>
      </c>
    </row>
    <row r="529">
      <c r="A529" t="n" s="0">
        <v>-94.72</v>
      </c>
      <c r="B529" t="n" s="0">
        <f>(-5-((((-5*(-5/((-5/(((-5*(-94.72--5))-(-5+((-5*-94.72)*(((-5--5)+(-94.72--5))+-94.72))))-(-5+-5)))*-5)))/-5)--5)+(-5*(((-94.72*(-94.72-(-5/-5)))*(-94.72-(-94.72/(-5*-94.72))))-(-5/-5)))))</f>
        <v>-4267326.52704</v>
      </c>
      <c r="C529" t="n" s="0">
        <v>-4267326.527039999</v>
      </c>
    </row>
    <row r="530">
      <c r="A530" t="n" s="0">
        <v>-94.71</v>
      </c>
      <c r="B530" t="n" s="0">
        <f>(-5-((((-5*(-5/((-5/(((-5*(-94.71--5))-(-5+((-5*-94.71)*(((-5--5)+(-94.71--5))+-94.71))))-(-5+-5)))*-5)))/-5)--5)+(-5*(((-94.71*(-94.71-(-5/-5)))*(-94.71-(-94.71/(-5*-94.71))))-(-5/-5)))))</f>
        <v>-4265977.068755</v>
      </c>
      <c r="C530" t="n" s="0">
        <v>-4265977.068754999</v>
      </c>
    </row>
    <row r="531">
      <c r="A531" t="n" s="0">
        <v>-94.7</v>
      </c>
      <c r="B531" t="n" s="0">
        <f>(-5-((((-5*(-5/((-5/(((-5*(-94.7--5))-(-5+((-5*-94.7)*(((-5--5)+(-94.7--5))+-94.7))))-(-5+-5)))*-5)))/-5)--5)+(-5*(((-94.7*(-94.7-(-5/-5)))*(-94.7-(-94.7/(-5*-94.7))))-(-5/-5)))))</f>
        <v>-4264627.8950000005</v>
      </c>
      <c r="C531" t="n" s="0">
        <v>-4264627.895</v>
      </c>
    </row>
    <row r="532">
      <c r="A532" t="n" s="0">
        <v>-94.69</v>
      </c>
      <c r="B532" t="n" s="0">
        <f>(-5-((((-5*(-5/((-5/(((-5*(-94.69--5))-(-5+((-5*-94.69)*(((-5--5)+(-94.69--5))+-94.69))))-(-5+-5)))*-5)))/-5)--5)+(-5*(((-94.69*(-94.69-(-5/-5)))*(-94.69-(-94.69/(-5*-94.69))))-(-5/-5)))))</f>
        <v>-4263279.005745</v>
      </c>
      <c r="C532" t="n" s="0">
        <v>-4263279.005744999</v>
      </c>
    </row>
    <row r="533">
      <c r="A533" t="n" s="0">
        <v>-94.68</v>
      </c>
      <c r="B533" t="n" s="0">
        <f>(-5-((((-5*(-5/((-5/(((-5*(-94.68--5))-(-5+((-5*-94.68)*(((-5--5)+(-94.68--5))+-94.68))))-(-5+-5)))*-5)))/-5)--5)+(-5*(((-94.68*(-94.68-(-5/-5)))*(-94.68-(-94.68/(-5*-94.68))))-(-5/-5)))))</f>
        <v>-4261930.40096</v>
      </c>
      <c r="C533" t="n" s="0">
        <v>-4261930.400960001</v>
      </c>
    </row>
    <row r="534">
      <c r="A534" t="n" s="0">
        <v>-94.67</v>
      </c>
      <c r="B534" t="n" s="0">
        <f>(-5-((((-5*(-5/((-5/(((-5*(-94.67--5))-(-5+((-5*-94.67)*(((-5--5)+(-94.67--5))+-94.67))))-(-5+-5)))*-5)))/-5)--5)+(-5*(((-94.67*(-94.67-(-5/-5)))*(-94.67-(-94.67/(-5*-94.67))))-(-5/-5)))))</f>
        <v>-4260582.080615</v>
      </c>
      <c r="C534" t="n" s="0">
        <v>-4260582.080615001</v>
      </c>
    </row>
    <row r="535">
      <c r="A535" t="n" s="0">
        <v>-94.66</v>
      </c>
      <c r="B535" t="n" s="0">
        <f>(-5-((((-5*(-5/((-5/(((-5*(-94.66--5))-(-5+((-5*-94.66)*(((-5--5)+(-94.66--5))+-94.66))))-(-5+-5)))*-5)))/-5)--5)+(-5*(((-94.66*(-94.66-(-5/-5)))*(-94.66-(-94.66/(-5*-94.66))))-(-5/-5)))))</f>
        <v>-4259234.044679999</v>
      </c>
      <c r="C535" t="n" s="0">
        <v>-4259234.04468</v>
      </c>
    </row>
    <row r="536">
      <c r="A536" t="n" s="0">
        <v>-94.65</v>
      </c>
      <c r="B536" t="n" s="0">
        <f>(-5-((((-5*(-5/((-5/(((-5*(-94.65--5))-(-5+((-5*-94.65)*(((-5--5)+(-94.65--5))+-94.65))))-(-5+-5)))*-5)))/-5)--5)+(-5*(((-94.65*(-94.65-(-5/-5)))*(-94.65-(-94.65/(-5*-94.65))))-(-5/-5)))))</f>
        <v>-4257886.293125001</v>
      </c>
      <c r="C536" t="n" s="0">
        <v>-4257886.293125001</v>
      </c>
    </row>
    <row r="537">
      <c r="A537" t="n" s="0">
        <v>-94.64</v>
      </c>
      <c r="B537" t="n" s="0">
        <f>(-5-((((-5*(-5/((-5/(((-5*(-94.64--5))-(-5+((-5*-94.64)*(((-5--5)+(-94.64--5))+-94.64))))-(-5+-5)))*-5)))/-5)--5)+(-5*(((-94.64*(-94.64-(-5/-5)))*(-94.64-(-94.64/(-5*-94.64))))-(-5/-5)))))</f>
        <v>-4256538.82592</v>
      </c>
      <c r="C537" t="n" s="0">
        <v>-4256538.825920001</v>
      </c>
    </row>
    <row r="538">
      <c r="A538" t="n" s="0">
        <v>-94.63</v>
      </c>
      <c r="B538" t="n" s="0">
        <f>(-5-((((-5*(-5/((-5/(((-5*(-94.63--5))-(-5+((-5*-94.63)*(((-5--5)+(-94.63--5))+-94.63))))-(-5+-5)))*-5)))/-5)--5)+(-5*(((-94.63*(-94.63-(-5/-5)))*(-94.63-(-94.63/(-5*-94.63))))-(-5/-5)))))</f>
        <v>-4255191.643034999</v>
      </c>
      <c r="C538" t="n" s="0">
        <v>-4255191.643034999</v>
      </c>
    </row>
    <row r="539">
      <c r="A539" t="n" s="0">
        <v>-94.62</v>
      </c>
      <c r="B539" t="n" s="0">
        <f>(-5-((((-5*(-5/((-5/(((-5*(-94.62--5))-(-5+((-5*-94.62)*(((-5--5)+(-94.62--5))+-94.62))))-(-5+-5)))*-5)))/-5)--5)+(-5*(((-94.62*(-94.62-(-5/-5)))*(-94.62-(-94.62/(-5*-94.62))))-(-5/-5)))))</f>
        <v>-4253844.74444</v>
      </c>
      <c r="C539" t="n" s="0">
        <v>-4253844.7444400005</v>
      </c>
    </row>
    <row r="540">
      <c r="A540" t="n" s="0">
        <v>-94.61</v>
      </c>
      <c r="B540" t="n" s="0">
        <f>(-5-((((-5*(-5/((-5/(((-5*(-94.61--5))-(-5+((-5*-94.61)*(((-5--5)+(-94.61--5))+-94.61))))-(-5+-5)))*-5)))/-5)--5)+(-5*(((-94.61*(-94.61-(-5/-5)))*(-94.61-(-94.61/(-5*-94.61))))-(-5/-5)))))</f>
        <v>-4252498.130105</v>
      </c>
      <c r="C540" t="n" s="0">
        <v>-4252498.130105</v>
      </c>
    </row>
    <row r="541">
      <c r="A541" t="n" s="0">
        <v>-94.6</v>
      </c>
      <c r="B541" t="n" s="0">
        <f>(-5-((((-5*(-5/((-5/(((-5*(-94.6--5))-(-5+((-5*-94.6)*(((-5--5)+(-94.6--5))+-94.6))))-(-5+-5)))*-5)))/-5)--5)+(-5*(((-94.6*(-94.6-(-5/-5)))*(-94.6-(-94.6/(-5*-94.6))))-(-5/-5)))))</f>
        <v>-4251151.8</v>
      </c>
      <c r="C541" t="n" s="0">
        <v>-4251151.8</v>
      </c>
    </row>
    <row r="542">
      <c r="A542" t="n" s="0">
        <v>-94.59</v>
      </c>
      <c r="B542" t="n" s="0">
        <f>(-5-((((-5*(-5/((-5/(((-5*(-94.59--5))-(-5+((-5*-94.59)*(((-5--5)+(-94.59--5))+-94.59))))-(-5+-5)))*-5)))/-5)--5)+(-5*(((-94.59*(-94.59-(-5/-5)))*(-94.59-(-94.59/(-5*-94.59))))-(-5/-5)))))</f>
        <v>-4249805.754095</v>
      </c>
      <c r="C542" t="n" s="0">
        <v>-4249805.754095</v>
      </c>
    </row>
    <row r="543">
      <c r="A543" t="n" s="0">
        <v>-94.58</v>
      </c>
      <c r="B543" t="n" s="0">
        <f>(-5-((((-5*(-5/((-5/(((-5*(-94.58--5))-(-5+((-5*-94.58)*(((-5--5)+(-94.58--5))+-94.58))))-(-5+-5)))*-5)))/-5)--5)+(-5*(((-94.58*(-94.58-(-5/-5)))*(-94.58-(-94.58/(-5*-94.58))))-(-5/-5)))))</f>
        <v>-4248459.9923600005</v>
      </c>
      <c r="C543" t="n" s="0">
        <v>-4248459.9923600005</v>
      </c>
    </row>
    <row r="544">
      <c r="A544" t="n" s="0">
        <v>-94.57</v>
      </c>
      <c r="B544" t="n" s="0">
        <f>(-5-((((-5*(-5/((-5/(((-5*(-94.57--5))-(-5+((-5*-94.57)*(((-5--5)+(-94.57--5))+-94.57))))-(-5+-5)))*-5)))/-5)--5)+(-5*(((-94.57*(-94.57-(-5/-5)))*(-94.57-(-94.57/(-5*-94.57))))-(-5/-5)))))</f>
        <v>-4247114.514765</v>
      </c>
      <c r="C544" t="n" s="0">
        <v>-4247114.514764999</v>
      </c>
    </row>
    <row r="545">
      <c r="A545" t="n" s="0">
        <v>-94.56</v>
      </c>
      <c r="B545" t="n" s="0">
        <f>(-5-((((-5*(-5/((-5/(((-5*(-94.56--5))-(-5+((-5*-94.56)*(((-5--5)+(-94.56--5))+-94.56))))-(-5+-5)))*-5)))/-5)--5)+(-5*(((-94.56*(-94.56-(-5/-5)))*(-94.56-(-94.56/(-5*-94.56))))-(-5/-5)))))</f>
        <v>-4245769.32128</v>
      </c>
      <c r="C545" t="n" s="0">
        <v>-4245769.32128</v>
      </c>
    </row>
    <row r="546">
      <c r="A546" t="n" s="0">
        <v>-94.55</v>
      </c>
      <c r="B546" t="n" s="0">
        <f>(-5-((((-5*(-5/((-5/(((-5*(-94.55--5))-(-5+((-5*-94.55)*(((-5--5)+(-94.55--5))+-94.55))))-(-5+-5)))*-5)))/-5)--5)+(-5*(((-94.55*(-94.55-(-5/-5)))*(-94.55-(-94.55/(-5*-94.55))))-(-5/-5)))))</f>
        <v>-4244424.411875</v>
      </c>
      <c r="C546" t="n" s="0">
        <v>-4244424.411875</v>
      </c>
    </row>
    <row r="547">
      <c r="A547" t="n" s="0">
        <v>-94.54</v>
      </c>
      <c r="B547" t="n" s="0">
        <f>(-5-((((-5*(-5/((-5/(((-5*(-94.54--5))-(-5+((-5*-94.54)*(((-5--5)+(-94.54--5))+-94.54))))-(-5+-5)))*-5)))/-5)--5)+(-5*(((-94.54*(-94.54-(-5/-5)))*(-94.54-(-94.54/(-5*-94.54))))-(-5/-5)))))</f>
        <v>-4243079.78652</v>
      </c>
      <c r="C547" t="n" s="0">
        <v>-4243079.7865200015</v>
      </c>
    </row>
    <row r="548">
      <c r="A548" t="n" s="0">
        <v>-94.53</v>
      </c>
      <c r="B548" t="n" s="0">
        <f>(-5-((((-5*(-5/((-5/(((-5*(-94.53--5))-(-5+((-5*-94.53)*(((-5--5)+(-94.53--5))+-94.53))))-(-5+-5)))*-5)))/-5)--5)+(-5*(((-94.53*(-94.53-(-5/-5)))*(-94.53-(-94.53/(-5*-94.53))))-(-5/-5)))))</f>
        <v>-4241735.445184999</v>
      </c>
      <c r="C548" t="n" s="0">
        <v>-4241735.445184999</v>
      </c>
    </row>
    <row r="549">
      <c r="A549" t="n" s="0">
        <v>-94.52</v>
      </c>
      <c r="B549" t="n" s="0">
        <f>(-5-((((-5*(-5/((-5/(((-5*(-94.52--5))-(-5+((-5*-94.52)*(((-5--5)+(-94.52--5))+-94.52))))-(-5+-5)))*-5)))/-5)--5)+(-5*(((-94.52*(-94.52-(-5/-5)))*(-94.52-(-94.52/(-5*-94.52))))-(-5/-5)))))</f>
        <v>-4240391.38784</v>
      </c>
      <c r="C549" t="n" s="0">
        <v>-4240391.387839999</v>
      </c>
    </row>
    <row r="550">
      <c r="A550" t="n" s="0">
        <v>-94.51</v>
      </c>
      <c r="B550" t="n" s="0">
        <f>(-5-((((-5*(-5/((-5/(((-5*(-94.51--5))-(-5+((-5*-94.51)*(((-5--5)+(-94.51--5))+-94.51))))-(-5+-5)))*-5)))/-5)--5)+(-5*(((-94.51*(-94.51-(-5/-5)))*(-94.51-(-94.51/(-5*-94.51))))-(-5/-5)))))</f>
        <v>-4239047.6144550005</v>
      </c>
      <c r="C550" t="n" s="0">
        <v>-4239047.6144550005</v>
      </c>
    </row>
    <row r="551">
      <c r="A551" t="n" s="0">
        <v>-94.5</v>
      </c>
      <c r="B551" t="n" s="0">
        <f>(-5-((((-5*(-5/((-5/(((-5*(-94.5--5))-(-5+((-5*-94.5)*(((-5--5)+(-94.5--5))+-94.5))))-(-5+-5)))*-5)))/-5)--5)+(-5*(((-94.5*(-94.5-(-5/-5)))*(-94.5-(-94.5/(-5*-94.5))))-(-5/-5)))))</f>
        <v>-4237704.125</v>
      </c>
      <c r="C551" t="n" s="0">
        <v>-4237704.125</v>
      </c>
    </row>
    <row r="552">
      <c r="A552" t="n" s="0">
        <v>-94.49</v>
      </c>
      <c r="B552" t="n" s="0">
        <f>(-5-((((-5*(-5/((-5/(((-5*(-94.49--5))-(-5+((-5*-94.49)*(((-5--5)+(-94.49--5))+-94.49))))-(-5+-5)))*-5)))/-5)--5)+(-5*(((-94.49*(-94.49-(-5/-5)))*(-94.49-(-94.49/(-5*-94.49))))-(-5/-5)))))</f>
        <v>-4236360.919445</v>
      </c>
      <c r="C552" t="n" s="0">
        <v>-4236360.919445</v>
      </c>
    </row>
    <row r="553">
      <c r="A553" t="n" s="0">
        <v>-94.48</v>
      </c>
      <c r="B553" t="n" s="0">
        <f>(-5-((((-5*(-5/((-5/(((-5*(-94.48--5))-(-5+((-5*-94.48)*(((-5--5)+(-94.48--5))+-94.48))))-(-5+-5)))*-5)))/-5)--5)+(-5*(((-94.48*(-94.48-(-5/-5)))*(-94.48-(-94.48/(-5*-94.48))))-(-5/-5)))))</f>
        <v>-4235017.99776</v>
      </c>
      <c r="C553" t="n" s="0">
        <v>-4235017.997760001</v>
      </c>
    </row>
    <row r="554">
      <c r="A554" t="n" s="0">
        <v>-94.47</v>
      </c>
      <c r="B554" t="n" s="0">
        <f>(-5-((((-5*(-5/((-5/(((-5*(-94.47--5))-(-5+((-5*-94.47)*(((-5--5)+(-94.47--5))+-94.47))))-(-5+-5)))*-5)))/-5)--5)+(-5*(((-94.47*(-94.47-(-5/-5)))*(-94.47-(-94.47/(-5*-94.47))))-(-5/-5)))))</f>
        <v>-4233675.359915</v>
      </c>
      <c r="C554" t="n" s="0">
        <v>-4233675.359915</v>
      </c>
    </row>
    <row r="555">
      <c r="A555" t="n" s="0">
        <v>-94.46</v>
      </c>
      <c r="B555" t="n" s="0">
        <f>(-5-((((-5*(-5/((-5/(((-5*(-94.46--5))-(-5+((-5*-94.46)*(((-5--5)+(-94.46--5))+-94.46))))-(-5+-5)))*-5)))/-5)--5)+(-5*(((-94.46*(-94.46-(-5/-5)))*(-94.46-(-94.46/(-5*-94.46))))-(-5/-5)))))</f>
        <v>-4232333.00588</v>
      </c>
      <c r="C555" t="n" s="0">
        <v>-4232333.005879999</v>
      </c>
    </row>
    <row r="556">
      <c r="A556" t="n" s="0">
        <v>-94.45</v>
      </c>
      <c r="B556" t="n" s="0">
        <f>(-5-((((-5*(-5/((-5/(((-5*(-94.45--5))-(-5+((-5*-94.45)*(((-5--5)+(-94.45--5))+-94.45))))-(-5+-5)))*-5)))/-5)--5)+(-5*(((-94.45*(-94.45-(-5/-5)))*(-94.45-(-94.45/(-5*-94.45))))-(-5/-5)))))</f>
        <v>-4230990.935625</v>
      </c>
      <c r="C556" t="n" s="0">
        <v>-4230990.935625001</v>
      </c>
    </row>
    <row r="557">
      <c r="A557" t="n" s="0">
        <v>-94.44</v>
      </c>
      <c r="B557" t="n" s="0">
        <f>(-5-((((-5*(-5/((-5/(((-5*(-94.44--5))-(-5+((-5*-94.44)*(((-5--5)+(-94.44--5))+-94.44))))-(-5+-5)))*-5)))/-5)--5)+(-5*(((-94.44*(-94.44-(-5/-5)))*(-94.44-(-94.44/(-5*-94.44))))-(-5/-5)))))</f>
        <v>-4229649.149119999</v>
      </c>
      <c r="C557" t="n" s="0">
        <v>-4229649.14912</v>
      </c>
    </row>
    <row r="558">
      <c r="A558" t="n" s="0">
        <v>-94.43</v>
      </c>
      <c r="B558" t="n" s="0">
        <f>(-5-((((-5*(-5/((-5/(((-5*(-94.43--5))-(-5+((-5*-94.43)*(((-5--5)+(-94.43--5))+-94.43))))-(-5+-5)))*-5)))/-5)--5)+(-5*(((-94.43*(-94.43-(-5/-5)))*(-94.43-(-94.43/(-5*-94.43))))-(-5/-5)))))</f>
        <v>-4228307.646334999</v>
      </c>
      <c r="C558" t="n" s="0">
        <v>-4228307.646335001</v>
      </c>
    </row>
    <row r="559">
      <c r="A559" t="n" s="0">
        <v>-94.42</v>
      </c>
      <c r="B559" t="n" s="0">
        <f>(-5-((((-5*(-5/((-5/(((-5*(-94.42--5))-(-5+((-5*-94.42)*(((-5--5)+(-94.42--5))+-94.42))))-(-5+-5)))*-5)))/-5)--5)+(-5*(((-94.42*(-94.42-(-5/-5)))*(-94.42-(-94.42/(-5*-94.42))))-(-5/-5)))))</f>
        <v>-4226966.42724</v>
      </c>
      <c r="C559" t="n" s="0">
        <v>-4226966.427240001</v>
      </c>
    </row>
    <row r="560">
      <c r="A560" t="n" s="0">
        <v>-94.41</v>
      </c>
      <c r="B560" t="n" s="0">
        <f>(-5-((((-5*(-5/((-5/(((-5*(-94.41--5))-(-5+((-5*-94.41)*(((-5--5)+(-94.41--5))+-94.41))))-(-5+-5)))*-5)))/-5)--5)+(-5*(((-94.41*(-94.41-(-5/-5)))*(-94.41-(-94.41/(-5*-94.41))))-(-5/-5)))))</f>
        <v>-4225625.491804999</v>
      </c>
      <c r="C560" t="n" s="0">
        <v>-4225625.491805</v>
      </c>
    </row>
    <row r="561">
      <c r="A561" t="n" s="0">
        <v>-94.4</v>
      </c>
      <c r="B561" t="n" s="0">
        <f>(-5-((((-5*(-5/((-5/(((-5*(-94.4--5))-(-5+((-5*-94.4)*(((-5--5)+(-94.4--5))+-94.4))))-(-5+-5)))*-5)))/-5)--5)+(-5*(((-94.4*(-94.4-(-5/-5)))*(-94.4-(-94.4/(-5*-94.4))))-(-5/-5)))))</f>
        <v>-4224284.84</v>
      </c>
      <c r="C561" t="n" s="0">
        <v>-4224284.840000001</v>
      </c>
    </row>
    <row r="562">
      <c r="A562" t="n" s="0">
        <v>-94.39</v>
      </c>
      <c r="B562" t="n" s="0">
        <f>(-5-((((-5*(-5/((-5/(((-5*(-94.39--5))-(-5+((-5*-94.39)*(((-5--5)+(-94.39--5))+-94.39))))-(-5+-5)))*-5)))/-5)--5)+(-5*(((-94.39*(-94.39-(-5/-5)))*(-94.39-(-94.39/(-5*-94.39))))-(-5/-5)))))</f>
        <v>-4222944.471795</v>
      </c>
      <c r="C562" t="n" s="0">
        <v>-4222944.471795</v>
      </c>
    </row>
    <row r="563">
      <c r="A563" t="n" s="0">
        <v>-94.38</v>
      </c>
      <c r="B563" t="n" s="0">
        <f>(-5-((((-5*(-5/((-5/(((-5*(-94.38--5))-(-5+((-5*-94.38)*(((-5--5)+(-94.38--5))+-94.38))))-(-5+-5)))*-5)))/-5)--5)+(-5*(((-94.38*(-94.38-(-5/-5)))*(-94.38-(-94.38/(-5*-94.38))))-(-5/-5)))))</f>
        <v>-4221604.38716</v>
      </c>
      <c r="C563" t="n" s="0">
        <v>-4221604.3871599985</v>
      </c>
    </row>
    <row r="564">
      <c r="A564" t="n" s="0">
        <v>-94.37</v>
      </c>
      <c r="B564" t="n" s="0">
        <f>(-5-((((-5*(-5/((-5/(((-5*(-94.37--5))-(-5+((-5*-94.37)*(((-5--5)+(-94.37--5))+-94.37))))-(-5+-5)))*-5)))/-5)--5)+(-5*(((-94.37*(-94.37-(-5/-5)))*(-94.37-(-94.37/(-5*-94.37))))-(-5/-5)))))</f>
        <v>-4220264.586065</v>
      </c>
      <c r="C564" t="n" s="0">
        <v>-4220264.586065001</v>
      </c>
    </row>
    <row r="565">
      <c r="A565" t="n" s="0">
        <v>-94.36</v>
      </c>
      <c r="B565" t="n" s="0">
        <f>(-5-((((-5*(-5/((-5/(((-5*(-94.36--5))-(-5+((-5*-94.36)*(((-5--5)+(-94.36--5))+-94.36))))-(-5+-5)))*-5)))/-5)--5)+(-5*(((-94.36*(-94.36-(-5/-5)))*(-94.36-(-94.36/(-5*-94.36))))-(-5/-5)))))</f>
        <v>-4218925.06848</v>
      </c>
      <c r="C565" t="n" s="0">
        <v>-4218925.06848</v>
      </c>
    </row>
    <row r="566">
      <c r="A566" t="n" s="0">
        <v>-94.35</v>
      </c>
      <c r="B566" t="n" s="0">
        <f>(-5-((((-5*(-5/((-5/(((-5*(-94.35--5))-(-5+((-5*-94.35)*(((-5--5)+(-94.35--5))+-94.35))))-(-5+-5)))*-5)))/-5)--5)+(-5*(((-94.35*(-94.35-(-5/-5)))*(-94.35-(-94.35/(-5*-94.35))))-(-5/-5)))))</f>
        <v>-4217585.834375</v>
      </c>
      <c r="C566" t="n" s="0">
        <v>-4217585.834374999</v>
      </c>
    </row>
    <row r="567">
      <c r="A567" t="n" s="0">
        <v>-94.34</v>
      </c>
      <c r="B567" t="n" s="0">
        <f>(-5-((((-5*(-5/((-5/(((-5*(-94.34--5))-(-5+((-5*-94.34)*(((-5--5)+(-94.34--5))+-94.34))))-(-5+-5)))*-5)))/-5)--5)+(-5*(((-94.34*(-94.34-(-5/-5)))*(-94.34-(-94.34/(-5*-94.34))))-(-5/-5)))))</f>
        <v>-4216246.88372</v>
      </c>
      <c r="C567" t="n" s="0">
        <v>-4216246.88372</v>
      </c>
    </row>
    <row r="568">
      <c r="A568" t="n" s="0">
        <v>-94.33</v>
      </c>
      <c r="B568" t="n" s="0">
        <f>(-5-((((-5*(-5/((-5/(((-5*(-94.33--5))-(-5+((-5*-94.33)*(((-5--5)+(-94.33--5))+-94.33))))-(-5+-5)))*-5)))/-5)--5)+(-5*(((-94.33*(-94.33-(-5/-5)))*(-94.33-(-94.33/(-5*-94.33))))-(-5/-5)))))</f>
        <v>-4214908.216484999</v>
      </c>
      <c r="C568" t="n" s="0">
        <v>-4214908.216484999</v>
      </c>
    </row>
    <row r="569">
      <c r="A569" t="n" s="0">
        <v>-94.32</v>
      </c>
      <c r="B569" t="n" s="0">
        <f>(-5-((((-5*(-5/((-5/(((-5*(-94.32--5))-(-5+((-5*-94.32)*(((-5--5)+(-94.32--5))+-94.32))))-(-5+-5)))*-5)))/-5)--5)+(-5*(((-94.32*(-94.32-(-5/-5)))*(-94.32-(-94.32/(-5*-94.32))))-(-5/-5)))))</f>
        <v>-4213569.83264</v>
      </c>
      <c r="C569" t="n" s="0">
        <v>-4213569.832639999</v>
      </c>
    </row>
    <row r="570">
      <c r="A570" t="n" s="0">
        <v>-94.31</v>
      </c>
      <c r="B570" t="n" s="0">
        <f>(-5-((((-5*(-5/((-5/(((-5*(-94.31--5))-(-5+((-5*-94.31)*(((-5--5)+(-94.31--5))+-94.31))))-(-5+-5)))*-5)))/-5)--5)+(-5*(((-94.31*(-94.31-(-5/-5)))*(-94.31-(-94.31/(-5*-94.31))))-(-5/-5)))))</f>
        <v>-4212231.732155</v>
      </c>
      <c r="C570" t="n" s="0">
        <v>-4212231.732155</v>
      </c>
    </row>
    <row r="571">
      <c r="A571" t="n" s="0">
        <v>-94.3</v>
      </c>
      <c r="B571" t="n" s="0">
        <f>(-5-((((-5*(-5/((-5/(((-5*(-94.3--5))-(-5+((-5*-94.3)*(((-5--5)+(-94.3--5))+-94.3))))-(-5+-5)))*-5)))/-5)--5)+(-5*(((-94.3*(-94.3-(-5/-5)))*(-94.3-(-94.3/(-5*-94.3))))-(-5/-5)))))</f>
        <v>-4210893.915</v>
      </c>
      <c r="C571" t="n" s="0">
        <v>-4210893.915</v>
      </c>
    </row>
    <row r="572">
      <c r="A572" t="n" s="0">
        <v>-94.29</v>
      </c>
      <c r="B572" t="n" s="0">
        <f>(-5-((((-5*(-5/((-5/(((-5*(-94.29--5))-(-5+((-5*-94.29)*(((-5--5)+(-94.29--5))+-94.29))))-(-5+-5)))*-5)))/-5)--5)+(-5*(((-94.29*(-94.29-(-5/-5)))*(-94.29-(-94.29/(-5*-94.29))))-(-5/-5)))))</f>
        <v>-4209556.3811449995</v>
      </c>
      <c r="C572" t="n" s="0">
        <v>-4209556.381145</v>
      </c>
    </row>
    <row r="573">
      <c r="A573" t="n" s="0">
        <v>-94.28</v>
      </c>
      <c r="B573" t="n" s="0">
        <f>(-5-((((-5*(-5/((-5/(((-5*(-94.28--5))-(-5+((-5*-94.28)*(((-5--5)+(-94.28--5))+-94.28))))-(-5+-5)))*-5)))/-5)--5)+(-5*(((-94.28*(-94.28-(-5/-5)))*(-94.28-(-94.28/(-5*-94.28))))-(-5/-5)))))</f>
        <v>-4208219.1305599995</v>
      </c>
      <c r="C573" t="n" s="0">
        <v>-4208219.13056</v>
      </c>
    </row>
    <row r="574">
      <c r="A574" t="n" s="0">
        <v>-94.27</v>
      </c>
      <c r="B574" t="n" s="0">
        <f>(-5-((((-5*(-5/((-5/(((-5*(-94.27--5))-(-5+((-5*-94.27)*(((-5--5)+(-94.27--5))+-94.27))))-(-5+-5)))*-5)))/-5)--5)+(-5*(((-94.27*(-94.27-(-5/-5)))*(-94.27-(-94.27/(-5*-94.27))))-(-5/-5)))))</f>
        <v>-4206882.163215</v>
      </c>
      <c r="C574" t="n" s="0">
        <v>-4206882.163214999</v>
      </c>
    </row>
    <row r="575">
      <c r="A575" t="n" s="0">
        <v>-94.26</v>
      </c>
      <c r="B575" t="n" s="0">
        <f>(-5-((((-5*(-5/((-5/(((-5*(-94.26--5))-(-5+((-5*-94.26)*(((-5--5)+(-94.26--5))+-94.26))))-(-5+-5)))*-5)))/-5)--5)+(-5*(((-94.26*(-94.26-(-5/-5)))*(-94.26-(-94.26/(-5*-94.26))))-(-5/-5)))))</f>
        <v>-4205545.47908</v>
      </c>
      <c r="C575" t="n" s="0">
        <v>-4205545.479080001</v>
      </c>
    </row>
    <row r="576">
      <c r="A576" t="n" s="0">
        <v>-94.25</v>
      </c>
      <c r="B576" t="n" s="0">
        <f>(-5-((((-5*(-5/((-5/(((-5*(-94.25--5))-(-5+((-5*-94.25)*(((-5--5)+(-94.25--5))+-94.25))))-(-5+-5)))*-5)))/-5)--5)+(-5*(((-94.25*(-94.25-(-5/-5)))*(-94.25-(-94.25/(-5*-94.25))))-(-5/-5)))))</f>
        <v>-4204209.078125</v>
      </c>
      <c r="C576" t="n" s="0">
        <v>-4204209.078125</v>
      </c>
    </row>
    <row r="577">
      <c r="A577" t="n" s="0">
        <v>-94.24</v>
      </c>
      <c r="B577" t="n" s="0">
        <f>(-5-((((-5*(-5/((-5/(((-5*(-94.24--5))-(-5+((-5*-94.24)*(((-5--5)+(-94.24--5))+-94.24))))-(-5+-5)))*-5)))/-5)--5)+(-5*(((-94.24*(-94.24-(-5/-5)))*(-94.24-(-94.24/(-5*-94.24))))-(-5/-5)))))</f>
        <v>-4202872.96032</v>
      </c>
      <c r="C577" t="n" s="0">
        <v>-4202872.960319999</v>
      </c>
    </row>
    <row r="578">
      <c r="A578" t="n" s="0">
        <v>-94.23</v>
      </c>
      <c r="B578" t="n" s="0">
        <f>(-5-((((-5*(-5/((-5/(((-5*(-94.23--5))-(-5+((-5*-94.23)*(((-5--5)+(-94.23--5))+-94.23))))-(-5+-5)))*-5)))/-5)--5)+(-5*(((-94.23*(-94.23-(-5/-5)))*(-94.23-(-94.23/(-5*-94.23))))-(-5/-5)))))</f>
        <v>-4201537.125635</v>
      </c>
      <c r="C578" t="n" s="0">
        <v>-4201537.125635001</v>
      </c>
    </row>
    <row r="579">
      <c r="A579" t="n" s="0">
        <v>-94.22</v>
      </c>
      <c r="B579" t="n" s="0">
        <f>(-5-((((-5*(-5/((-5/(((-5*(-94.22--5))-(-5+((-5*-94.22)*(((-5--5)+(-94.22--5))+-94.22))))-(-5+-5)))*-5)))/-5)--5)+(-5*(((-94.22*(-94.22-(-5/-5)))*(-94.22-(-94.22/(-5*-94.22))))-(-5/-5)))))</f>
        <v>-4200201.574039999</v>
      </c>
      <c r="C579" t="n" s="0">
        <v>-4200201.574039999</v>
      </c>
    </row>
    <row r="580">
      <c r="A580" t="n" s="0">
        <v>-94.21</v>
      </c>
      <c r="B580" t="n" s="0">
        <f>(-5-((((-5*(-5/((-5/(((-5*(-94.21--5))-(-5+((-5*-94.21)*(((-5--5)+(-94.21--5))+-94.21))))-(-5+-5)))*-5)))/-5)--5)+(-5*(((-94.21*(-94.21-(-5/-5)))*(-94.21-(-94.21/(-5*-94.21))))-(-5/-5)))))</f>
        <v>-4198866.305505</v>
      </c>
      <c r="C580" t="n" s="0">
        <v>-4198866.305504999</v>
      </c>
    </row>
    <row r="581">
      <c r="A581" t="n" s="0">
        <v>-94.2</v>
      </c>
      <c r="B581" t="n" s="0">
        <f>(-5-((((-5*(-5/((-5/(((-5*(-94.2--5))-(-5+((-5*-94.2)*(((-5--5)+(-94.2--5))+-94.2))))-(-5+-5)))*-5)))/-5)--5)+(-5*(((-94.2*(-94.2-(-5/-5)))*(-94.2-(-94.2/(-5*-94.2))))-(-5/-5)))))</f>
        <v>-4197531.319999999</v>
      </c>
      <c r="C581" t="n" s="0">
        <v>-4197531.32</v>
      </c>
    </row>
    <row r="582">
      <c r="A582" t="n" s="0">
        <v>-94.19</v>
      </c>
      <c r="B582" t="n" s="0">
        <f>(-5-((((-5*(-5/((-5/(((-5*(-94.19--5))-(-5+((-5*-94.19)*(((-5--5)+(-94.19--5))+-94.19))))-(-5+-5)))*-5)))/-5)--5)+(-5*(((-94.19*(-94.19-(-5/-5)))*(-94.19-(-94.19/(-5*-94.19))))-(-5/-5)))))</f>
        <v>-4196196.617495</v>
      </c>
      <c r="C582" t="n" s="0">
        <v>-4196196.617494999</v>
      </c>
    </row>
    <row r="583">
      <c r="A583" t="n" s="0">
        <v>-94.18</v>
      </c>
      <c r="B583" t="n" s="0">
        <f>(-5-((((-5*(-5/((-5/(((-5*(-94.18--5))-(-5+((-5*-94.18)*(((-5--5)+(-94.18--5))+-94.18))))-(-5+-5)))*-5)))/-5)--5)+(-5*(((-94.18*(-94.18-(-5/-5)))*(-94.18-(-94.18/(-5*-94.18))))-(-5/-5)))))</f>
        <v>-4194862.1979600005</v>
      </c>
      <c r="C583" t="n" s="0">
        <v>-4194862.197960001</v>
      </c>
    </row>
    <row r="584">
      <c r="A584" t="n" s="0">
        <v>-94.17</v>
      </c>
      <c r="B584" t="n" s="0">
        <f>(-5-((((-5*(-5/((-5/(((-5*(-94.17--5))-(-5+((-5*-94.17)*(((-5--5)+(-94.17--5))+-94.17))))-(-5+-5)))*-5)))/-5)--5)+(-5*(((-94.17*(-94.17-(-5/-5)))*(-94.17-(-94.17/(-5*-94.17))))-(-5/-5)))))</f>
        <v>-4193528.061365</v>
      </c>
      <c r="C584" t="n" s="0">
        <v>-4193528.061365</v>
      </c>
    </row>
    <row r="585">
      <c r="A585" t="n" s="0">
        <v>-94.16</v>
      </c>
      <c r="B585" t="n" s="0">
        <f>(-5-((((-5*(-5/((-5/(((-5*(-94.16--5))-(-5+((-5*-94.16)*(((-5--5)+(-94.16--5))+-94.16))))-(-5+-5)))*-5)))/-5)--5)+(-5*(((-94.16*(-94.16-(-5/-5)))*(-94.16-(-94.16/(-5*-94.16))))-(-5/-5)))))</f>
        <v>-4192194.20768</v>
      </c>
      <c r="C585" t="n" s="0">
        <v>-4192194.2076799995</v>
      </c>
    </row>
    <row r="586">
      <c r="A586" t="n" s="0">
        <v>-94.15</v>
      </c>
      <c r="B586" t="n" s="0">
        <f>(-5-((((-5*(-5/((-5/(((-5*(-94.15--5))-(-5+((-5*-94.15)*(((-5--5)+(-94.15--5))+-94.15))))-(-5+-5)))*-5)))/-5)--5)+(-5*(((-94.15*(-94.15-(-5/-5)))*(-94.15-(-94.15/(-5*-94.15))))-(-5/-5)))))</f>
        <v>-4190860.6368749994</v>
      </c>
      <c r="C586" t="n" s="0">
        <v>-4190860.636875001</v>
      </c>
    </row>
    <row r="587">
      <c r="A587" t="n" s="0">
        <v>-94.14</v>
      </c>
      <c r="B587" t="n" s="0">
        <f>(-5-((((-5*(-5/((-5/(((-5*(-94.14--5))-(-5+((-5*-94.14)*(((-5--5)+(-94.14--5))+-94.14))))-(-5+-5)))*-5)))/-5)--5)+(-5*(((-94.14*(-94.14-(-5/-5)))*(-94.14-(-94.14/(-5*-94.14))))-(-5/-5)))))</f>
        <v>-4189527.3489200003</v>
      </c>
      <c r="C587" t="n" s="0">
        <v>-4189527.3489200003</v>
      </c>
    </row>
    <row r="588">
      <c r="A588" t="n" s="0">
        <v>-94.13</v>
      </c>
      <c r="B588" t="n" s="0">
        <f>(-5-((((-5*(-5/((-5/(((-5*(-94.13--5))-(-5+((-5*-94.13)*(((-5--5)+(-94.13--5))+-94.13))))-(-5+-5)))*-5)))/-5)--5)+(-5*(((-94.13*(-94.13-(-5/-5)))*(-94.13-(-94.13/(-5*-94.13))))-(-5/-5)))))</f>
        <v>-4188194.3437849996</v>
      </c>
      <c r="C588" t="n" s="0">
        <v>-4188194.3437849996</v>
      </c>
    </row>
    <row r="589">
      <c r="A589" t="n" s="0">
        <v>-94.12</v>
      </c>
      <c r="B589" t="n" s="0">
        <f>(-5-((((-5*(-5/((-5/(((-5*(-94.12--5))-(-5+((-5*-94.12)*(((-5--5)+(-94.12--5))+-94.12))))-(-5+-5)))*-5)))/-5)--5)+(-5*(((-94.12*(-94.12-(-5/-5)))*(-94.12-(-94.12/(-5*-94.12))))-(-5/-5)))))</f>
        <v>-4186861.62144</v>
      </c>
      <c r="C589" t="n" s="0">
        <v>-4186861.621440001</v>
      </c>
    </row>
    <row r="590">
      <c r="A590" t="n" s="0">
        <v>-94.11</v>
      </c>
      <c r="B590" t="n" s="0">
        <f>(-5-((((-5*(-5/((-5/(((-5*(-94.11--5))-(-5+((-5*-94.11)*(((-5--5)+(-94.11--5))+-94.11))))-(-5+-5)))*-5)))/-5)--5)+(-5*(((-94.11*(-94.11-(-5/-5)))*(-94.11-(-94.11/(-5*-94.11))))-(-5/-5)))))</f>
        <v>-4185529.1818550006</v>
      </c>
      <c r="C590" t="n" s="0">
        <v>-4185529.1818550006</v>
      </c>
    </row>
    <row r="591">
      <c r="A591" t="n" s="0">
        <v>-94.1</v>
      </c>
      <c r="B591" t="n" s="0">
        <f>(-5-((((-5*(-5/((-5/(((-5*(-94.1--5))-(-5+((-5*-94.1)*(((-5--5)+(-94.1--5))+-94.1))))-(-5+-5)))*-5)))/-5)--5)+(-5*(((-94.1*(-94.1-(-5/-5)))*(-94.1-(-94.1/(-5*-94.1))))-(-5/-5)))))</f>
        <v>-4184197.025</v>
      </c>
      <c r="C591" t="n" s="0">
        <v>-4184197.024999999</v>
      </c>
    </row>
    <row r="592">
      <c r="A592" t="n" s="0">
        <v>-94.09</v>
      </c>
      <c r="B592" t="n" s="0">
        <f>(-5-((((-5*(-5/((-5/(((-5*(-94.09--5))-(-5+((-5*-94.09)*(((-5--5)+(-94.09--5))+-94.09))))-(-5+-5)))*-5)))/-5)--5)+(-5*(((-94.09*(-94.09-(-5/-5)))*(-94.09-(-94.09/(-5*-94.09))))-(-5/-5)))))</f>
        <v>-4182865.1508450005</v>
      </c>
      <c r="C592" t="n" s="0">
        <v>-4182865.150845</v>
      </c>
    </row>
    <row r="593">
      <c r="A593" t="n" s="0">
        <v>-94.08</v>
      </c>
      <c r="B593" t="n" s="0">
        <f>(-5-((((-5*(-5/((-5/(((-5*(-94.08--5))-(-5+((-5*-94.08)*(((-5--5)+(-94.08--5))+-94.08))))-(-5+-5)))*-5)))/-5)--5)+(-5*(((-94.08*(-94.08-(-5/-5)))*(-94.08-(-94.08/(-5*-94.08))))-(-5/-5)))))</f>
        <v>-4181533.55936</v>
      </c>
      <c r="C593" t="n" s="0">
        <v>-4181533.5593600003</v>
      </c>
    </row>
    <row r="594">
      <c r="A594" t="n" s="0">
        <v>-94.07</v>
      </c>
      <c r="B594" t="n" s="0">
        <f>(-5-((((-5*(-5/((-5/(((-5*(-94.07--5))-(-5+((-5*-94.07)*(((-5--5)+(-94.07--5))+-94.07))))-(-5+-5)))*-5)))/-5)--5)+(-5*(((-94.07*(-94.07-(-5/-5)))*(-94.07-(-94.07/(-5*-94.07))))-(-5/-5)))))</f>
        <v>-4180202.250515</v>
      </c>
      <c r="C594" t="n" s="0">
        <v>-4180202.250514999</v>
      </c>
    </row>
    <row r="595">
      <c r="A595" t="n" s="0">
        <v>-94.06</v>
      </c>
      <c r="B595" t="n" s="0">
        <f>(-5-((((-5*(-5/((-5/(((-5*(-94.06--5))-(-5+((-5*-94.06)*(((-5--5)+(-94.06--5))+-94.06))))-(-5+-5)))*-5)))/-5)--5)+(-5*(((-94.06*(-94.06-(-5/-5)))*(-94.06-(-94.06/(-5*-94.06))))-(-5/-5)))))</f>
        <v>-4178871.2242799997</v>
      </c>
      <c r="C595" t="n" s="0">
        <v>-4178871.22428</v>
      </c>
    </row>
    <row r="596">
      <c r="A596" t="n" s="0">
        <v>-94.05</v>
      </c>
      <c r="B596" t="n" s="0">
        <f>(-5-((((-5*(-5/((-5/(((-5*(-94.05--5))-(-5+((-5*-94.05)*(((-5--5)+(-94.05--5))+-94.05))))-(-5+-5)))*-5)))/-5)--5)+(-5*(((-94.05*(-94.05-(-5/-5)))*(-94.05-(-94.05/(-5*-94.05))))-(-5/-5)))))</f>
        <v>-4177540.4806250003</v>
      </c>
      <c r="C596" t="n" s="0">
        <v>-4177540.4806249994</v>
      </c>
    </row>
    <row r="597">
      <c r="A597" t="n" s="0">
        <v>-94.04</v>
      </c>
      <c r="B597" t="n" s="0">
        <f>(-5-((((-5*(-5/((-5/(((-5*(-94.04--5))-(-5+((-5*-94.04)*(((-5--5)+(-94.04--5))+-94.04))))-(-5+-5)))*-5)))/-5)--5)+(-5*(((-94.04*(-94.04-(-5/-5)))*(-94.04-(-94.04/(-5*-94.04))))-(-5/-5)))))</f>
        <v>-4176210.01952</v>
      </c>
      <c r="C597" t="n" s="0">
        <v>-4176210.0195200015</v>
      </c>
    </row>
    <row r="598">
      <c r="A598" t="n" s="0">
        <v>-94.03</v>
      </c>
      <c r="B598" t="n" s="0">
        <f>(-5-((((-5*(-5/((-5/(((-5*(-94.03--5))-(-5+((-5*-94.03)*(((-5--5)+(-94.03--5))+-94.03))))-(-5+-5)))*-5)))/-5)--5)+(-5*(((-94.03*(-94.03-(-5/-5)))*(-94.03-(-94.03/(-5*-94.03))))-(-5/-5)))))</f>
        <v>-4174879.840935</v>
      </c>
      <c r="C598" t="n" s="0">
        <v>-4174879.840935</v>
      </c>
    </row>
    <row r="599">
      <c r="A599" t="n" s="0">
        <v>-94.02</v>
      </c>
      <c r="B599" t="n" s="0">
        <f>(-5-((((-5*(-5/((-5/(((-5*(-94.02--5))-(-5+((-5*-94.02)*(((-5--5)+(-94.02--5))+-94.02))))-(-5+-5)))*-5)))/-5)--5)+(-5*(((-94.02*(-94.02-(-5/-5)))*(-94.02-(-94.02/(-5*-94.02))))-(-5/-5)))))</f>
        <v>-4173549.94484</v>
      </c>
      <c r="C599" t="n" s="0">
        <v>-4173549.9448399995</v>
      </c>
    </row>
    <row r="600">
      <c r="A600" t="n" s="0">
        <v>-94.01</v>
      </c>
      <c r="B600" t="n" s="0">
        <f>(-5-((((-5*(-5/((-5/(((-5*(-94.01--5))-(-5+((-5*-94.01)*(((-5--5)+(-94.01--5))+-94.01))))-(-5+-5)))*-5)))/-5)--5)+(-5*(((-94.01*(-94.01-(-5/-5)))*(-94.01-(-94.01/(-5*-94.01))))-(-5/-5)))))</f>
        <v>-4172220.331205</v>
      </c>
      <c r="C600" t="n" s="0">
        <v>-4172220.331205</v>
      </c>
    </row>
    <row r="601">
      <c r="A601" t="n" s="0">
        <v>-94.0</v>
      </c>
      <c r="B601" t="n" s="0">
        <f>(-5-((((-5*(-5/((-5/(((-5*(-94--5))-(-5+((-5*-94)*(((-5--5)+(-94--5))+-94))))-(-5+-5)))*-5)))/-5)--5)+(-5*(((-94*(-94-(-5/-5)))*(-94-(-94/(-5*-94))))-(-5/-5)))))</f>
        <v>-4170891.0</v>
      </c>
      <c r="C601" t="n" s="0">
        <v>-4170891.0</v>
      </c>
    </row>
    <row r="602">
      <c r="A602" t="n" s="0">
        <v>-93.99</v>
      </c>
      <c r="B602" t="n" s="0">
        <f>(-5-((((-5*(-5/((-5/(((-5*(-93.99--5))-(-5+((-5*-93.99)*(((-5--5)+(-93.99--5))+-93.99))))-(-5+-5)))*-5)))/-5)--5)+(-5*(((-93.99*(-93.99-(-5/-5)))*(-93.99-(-93.99/(-5*-93.99))))-(-5/-5)))))</f>
        <v>-4169561.951195</v>
      </c>
      <c r="C602" t="n" s="0">
        <v>-4169561.9511949993</v>
      </c>
    </row>
    <row r="603">
      <c r="A603" t="n" s="0">
        <v>-93.98</v>
      </c>
      <c r="B603" t="n" s="0">
        <f>(-5-((((-5*(-5/((-5/(((-5*(-93.98--5))-(-5+((-5*-93.98)*(((-5--5)+(-93.98--5))+-93.98))))-(-5+-5)))*-5)))/-5)--5)+(-5*(((-93.98*(-93.98-(-5/-5)))*(-93.98-(-93.98/(-5*-93.98))))-(-5/-5)))))</f>
        <v>-4168233.18476</v>
      </c>
      <c r="C603" t="n" s="0">
        <v>-4168233.1847600006</v>
      </c>
    </row>
    <row r="604">
      <c r="A604" t="n" s="0">
        <v>-93.97</v>
      </c>
      <c r="B604" t="n" s="0">
        <f>(-5-((((-5*(-5/((-5/(((-5*(-93.97--5))-(-5+((-5*-93.97)*(((-5--5)+(-93.97--5))+-93.97))))-(-5+-5)))*-5)))/-5)--5)+(-5*(((-93.97*(-93.97-(-5/-5)))*(-93.97-(-93.97/(-5*-93.97))))-(-5/-5)))))</f>
        <v>-4166904.700665</v>
      </c>
      <c r="C604" t="n" s="0">
        <v>-4166904.700665</v>
      </c>
    </row>
    <row r="605">
      <c r="A605" t="n" s="0">
        <v>-93.96</v>
      </c>
      <c r="B605" t="n" s="0">
        <f>(-5-((((-5*(-5/((-5/(((-5*(-93.96--5))-(-5+((-5*-93.96)*(((-5--5)+(-93.96--5))+-93.96))))-(-5+-5)))*-5)))/-5)--5)+(-5*(((-93.96*(-93.96-(-5/-5)))*(-93.96-(-93.96/(-5*-93.96))))-(-5/-5)))))</f>
        <v>-4165576.4988800003</v>
      </c>
      <c r="C605" t="n" s="0">
        <v>-4165576.498879999</v>
      </c>
    </row>
    <row r="606">
      <c r="A606" t="n" s="0">
        <v>-93.95</v>
      </c>
      <c r="B606" t="n" s="0">
        <f>(-5-((((-5*(-5/((-5/(((-5*(-93.95--5))-(-5+((-5*-93.95)*(((-5--5)+(-93.95--5))+-93.95))))-(-5+-5)))*-5)))/-5)--5)+(-5*(((-93.95*(-93.95-(-5/-5)))*(-93.95-(-93.95/(-5*-93.95))))-(-5/-5)))))</f>
        <v>-4164248.579375</v>
      </c>
      <c r="C606" t="n" s="0">
        <v>-4164248.579375</v>
      </c>
    </row>
    <row r="607">
      <c r="A607" t="n" s="0">
        <v>-93.94</v>
      </c>
      <c r="B607" t="n" s="0">
        <f>(-5-((((-5*(-5/((-5/(((-5*(-93.94--5))-(-5+((-5*-93.94)*(((-5--5)+(-93.94--5))+-93.94))))-(-5+-5)))*-5)))/-5)--5)+(-5*(((-93.94*(-93.94-(-5/-5)))*(-93.94-(-93.94/(-5*-93.94))))-(-5/-5)))))</f>
        <v>-4162920.94212</v>
      </c>
      <c r="C607" t="n" s="0">
        <v>-4162920.9421199993</v>
      </c>
    </row>
    <row r="608">
      <c r="A608" t="n" s="0">
        <v>-93.93</v>
      </c>
      <c r="B608" t="n" s="0">
        <f>(-5-((((-5*(-5/((-5/(((-5*(-93.93--5))-(-5+((-5*-93.93)*(((-5--5)+(-93.93--5))+-93.93))))-(-5+-5)))*-5)))/-5)--5)+(-5*(((-93.93*(-93.93-(-5/-5)))*(-93.93-(-93.93/(-5*-93.93))))-(-5/-5)))))</f>
        <v>-4161593.587085</v>
      </c>
      <c r="C608" t="n" s="0">
        <v>-4161593.587085001</v>
      </c>
    </row>
    <row r="609">
      <c r="A609" t="n" s="0">
        <v>-93.92</v>
      </c>
      <c r="B609" t="n" s="0">
        <f>(-5-((((-5*(-5/((-5/(((-5*(-93.92--5))-(-5+((-5*-93.92)*(((-5--5)+(-93.92--5))+-93.92))))-(-5+-5)))*-5)))/-5)--5)+(-5*(((-93.92*(-93.92-(-5/-5)))*(-93.92-(-93.92/(-5*-93.92))))-(-5/-5)))))</f>
        <v>-4160266.51424</v>
      </c>
      <c r="C609" t="n" s="0">
        <v>-4160266.5142400004</v>
      </c>
    </row>
    <row r="610">
      <c r="A610" t="n" s="0">
        <v>-93.91</v>
      </c>
      <c r="B610" t="n" s="0">
        <f>(-5-((((-5*(-5/((-5/(((-5*(-93.91--5))-(-5+((-5*-93.91)*(((-5--5)+(-93.91--5))+-93.91))))-(-5+-5)))*-5)))/-5)--5)+(-5*(((-93.91*(-93.91-(-5/-5)))*(-93.91-(-93.91/(-5*-93.91))))-(-5/-5)))))</f>
        <v>-4158939.723555</v>
      </c>
      <c r="C610" t="n" s="0">
        <v>-4158939.7235549996</v>
      </c>
    </row>
    <row r="611">
      <c r="A611" t="n" s="0">
        <v>-93.9</v>
      </c>
      <c r="B611" t="n" s="0">
        <f>(-5-((((-5*(-5/((-5/(((-5*(-93.9--5))-(-5+((-5*-93.9)*(((-5--5)+(-93.9--5))+-93.9))))-(-5+-5)))*-5)))/-5)--5)+(-5*(((-93.9*(-93.9-(-5/-5)))*(-93.9-(-93.9/(-5*-93.9))))-(-5/-5)))))</f>
        <v>-4157613.2150000003</v>
      </c>
      <c r="C611" t="n" s="0">
        <v>-4157613.2150000012</v>
      </c>
    </row>
    <row r="612">
      <c r="A612" t="n" s="0">
        <v>-93.89</v>
      </c>
      <c r="B612" t="n" s="0">
        <f>(-5-((((-5*(-5/((-5/(((-5*(-93.89--5))-(-5+((-5*-93.89)*(((-5--5)+(-93.89--5))+-93.89))))-(-5+-5)))*-5)))/-5)--5)+(-5*(((-93.89*(-93.89-(-5/-5)))*(-93.89-(-93.89/(-5*-93.89))))-(-5/-5)))))</f>
        <v>-4156286.988545</v>
      </c>
      <c r="C612" t="n" s="0">
        <v>-4156286.988545</v>
      </c>
    </row>
    <row r="613">
      <c r="A613" t="n" s="0">
        <v>-93.88</v>
      </c>
      <c r="B613" t="n" s="0">
        <f>(-5-((((-5*(-5/((-5/(((-5*(-93.88--5))-(-5+((-5*-93.88)*(((-5--5)+(-93.88--5))+-93.88))))-(-5+-5)))*-5)))/-5)--5)+(-5*(((-93.88*(-93.88-(-5/-5)))*(-93.88-(-93.88/(-5*-93.88))))-(-5/-5)))))</f>
        <v>-4154961.04416</v>
      </c>
      <c r="C613" t="n" s="0">
        <v>-4154961.0441599996</v>
      </c>
    </row>
    <row r="614">
      <c r="A614" t="n" s="0">
        <v>-93.87</v>
      </c>
      <c r="B614" t="n" s="0">
        <f>(-5-((((-5*(-5/((-5/(((-5*(-93.87--5))-(-5+((-5*-93.87)*(((-5--5)+(-93.87--5))+-93.87))))-(-5+-5)))*-5)))/-5)--5)+(-5*(((-93.87*(-93.87-(-5/-5)))*(-93.87-(-93.87/(-5*-93.87))))-(-5/-5)))))</f>
        <v>-4153635.381815</v>
      </c>
      <c r="C614" t="n" s="0">
        <v>-4153635.3818150004</v>
      </c>
    </row>
    <row r="615">
      <c r="A615" t="n" s="0">
        <v>-93.86</v>
      </c>
      <c r="B615" t="n" s="0">
        <f>(-5-((((-5*(-5/((-5/(((-5*(-93.86--5))-(-5+((-5*-93.86)*(((-5--5)+(-93.86--5))+-93.86))))-(-5+-5)))*-5)))/-5)--5)+(-5*(((-93.86*(-93.86-(-5/-5)))*(-93.86-(-93.86/(-5*-93.86))))-(-5/-5)))))</f>
        <v>-4152310.00148</v>
      </c>
      <c r="C615" t="n" s="0">
        <v>-4152310.0014799996</v>
      </c>
    </row>
    <row r="616">
      <c r="A616" t="n" s="0">
        <v>-93.85</v>
      </c>
      <c r="B616" t="n" s="0">
        <f>(-5-((((-5*(-5/((-5/(((-5*(-93.85--5))-(-5+((-5*-93.85)*(((-5--5)+(-93.85--5))+-93.85))))-(-5+-5)))*-5)))/-5)--5)+(-5*(((-93.85*(-93.85-(-5/-5)))*(-93.85-(-93.85/(-5*-93.85))))-(-5/-5)))))</f>
        <v>-4150984.9031249997</v>
      </c>
      <c r="C616" t="n" s="0">
        <v>-4150984.903124999</v>
      </c>
    </row>
    <row r="617">
      <c r="A617" t="n" s="0">
        <v>-93.84</v>
      </c>
      <c r="B617" t="n" s="0">
        <f>(-5-((((-5*(-5/((-5/(((-5*(-93.84--5))-(-5+((-5*-93.84)*(((-5--5)+(-93.84--5))+-93.84))))-(-5+-5)))*-5)))/-5)--5)+(-5*(((-93.84*(-93.84-(-5/-5)))*(-93.84-(-93.84/(-5*-93.84))))-(-5/-5)))))</f>
        <v>-4149660.08672</v>
      </c>
      <c r="C617" t="n" s="0">
        <v>-4149660.08672</v>
      </c>
    </row>
    <row r="618">
      <c r="A618" t="n" s="0">
        <v>-93.83</v>
      </c>
      <c r="B618" t="n" s="0">
        <f>(-5-((((-5*(-5/((-5/(((-5*(-93.83--5))-(-5+((-5*-93.83)*(((-5--5)+(-93.83--5))+-93.83))))-(-5+-5)))*-5)))/-5)--5)+(-5*(((-93.83*(-93.83-(-5/-5)))*(-93.83-(-93.83/(-5*-93.83))))-(-5/-5)))))</f>
        <v>-4148335.5522350003</v>
      </c>
      <c r="C618" t="n" s="0">
        <v>-4148335.5522350003</v>
      </c>
    </row>
    <row r="619">
      <c r="A619" t="n" s="0">
        <v>-93.82</v>
      </c>
      <c r="B619" t="n" s="0">
        <f>(-5-((((-5*(-5/((-5/(((-5*(-93.82--5))-(-5+((-5*-93.82)*(((-5--5)+(-93.82--5))+-93.82))))-(-5+-5)))*-5)))/-5)--5)+(-5*(((-93.82*(-93.82-(-5/-5)))*(-93.82-(-93.82/(-5*-93.82))))-(-5/-5)))))</f>
        <v>-4147011.2996400003</v>
      </c>
      <c r="C619" t="n" s="0">
        <v>-4147011.2996399994</v>
      </c>
    </row>
    <row r="620">
      <c r="A620" t="n" s="0">
        <v>-93.81</v>
      </c>
      <c r="B620" t="n" s="0">
        <f>(-5-((((-5*(-5/((-5/(((-5*(-93.81--5))-(-5+((-5*-93.81)*(((-5--5)+(-93.81--5))+-93.81))))-(-5+-5)))*-5)))/-5)--5)+(-5*(((-93.81*(-93.81-(-5/-5)))*(-93.81-(-93.81/(-5*-93.81))))-(-5/-5)))))</f>
        <v>-4145687.328905</v>
      </c>
      <c r="C620" t="n" s="0">
        <v>-4145687.3289050004</v>
      </c>
    </row>
    <row r="621">
      <c r="A621" t="n" s="0">
        <v>-93.8</v>
      </c>
      <c r="B621" t="n" s="0">
        <f>(-5-((((-5*(-5/((-5/(((-5*(-93.8--5))-(-5+((-5*-93.8)*(((-5--5)+(-93.8--5))+-93.8))))-(-5+-5)))*-5)))/-5)--5)+(-5*(((-93.8*(-93.8-(-5/-5)))*(-93.8-(-93.8/(-5*-93.8))))-(-5/-5)))))</f>
        <v>-4144363.6399999997</v>
      </c>
      <c r="C621" t="n" s="0">
        <v>-4144363.639999999</v>
      </c>
    </row>
    <row r="622">
      <c r="A622" t="n" s="0">
        <v>-93.79</v>
      </c>
      <c r="B622" t="n" s="0">
        <f>(-5-((((-5*(-5/((-5/(((-5*(-93.79--5))-(-5+((-5*-93.79)*(((-5--5)+(-93.79--5))+-93.79))))-(-5+-5)))*-5)))/-5)--5)+(-5*(((-93.79*(-93.79-(-5/-5)))*(-93.79-(-93.79/(-5*-93.79))))-(-5/-5)))))</f>
        <v>-4143040.232895</v>
      </c>
      <c r="C622" t="n" s="0">
        <v>-4143040.2328950013</v>
      </c>
    </row>
    <row r="623">
      <c r="A623" t="n" s="0">
        <v>-93.78</v>
      </c>
      <c r="B623" t="n" s="0">
        <f>(-5-((((-5*(-5/((-5/(((-5*(-93.78--5))-(-5+((-5*-93.78)*(((-5--5)+(-93.78--5))+-93.78))))-(-5+-5)))*-5)))/-5)--5)+(-5*(((-93.78*(-93.78-(-5/-5)))*(-93.78-(-93.78/(-5*-93.78))))-(-5/-5)))))</f>
        <v>-4141717.10756</v>
      </c>
      <c r="C623" t="n" s="0">
        <v>-4141717.10756</v>
      </c>
    </row>
    <row r="624">
      <c r="A624" t="n" s="0">
        <v>-93.77</v>
      </c>
      <c r="B624" t="n" s="0">
        <f>(-5-((((-5*(-5/((-5/(((-5*(-93.77--5))-(-5+((-5*-93.77)*(((-5--5)+(-93.77--5))+-93.77))))-(-5+-5)))*-5)))/-5)--5)+(-5*(((-93.77*(-93.77-(-5/-5)))*(-93.77-(-93.77/(-5*-93.77))))-(-5/-5)))))</f>
        <v>-4140394.263965</v>
      </c>
      <c r="C624" t="n" s="0">
        <v>-4140394.2639649995</v>
      </c>
    </row>
    <row r="625">
      <c r="A625" t="n" s="0">
        <v>-93.76</v>
      </c>
      <c r="B625" t="n" s="0">
        <f>(-5-((((-5*(-5/((-5/(((-5*(-93.76--5))-(-5+((-5*-93.76)*(((-5--5)+(-93.76--5))+-93.76))))-(-5+-5)))*-5)))/-5)--5)+(-5*(((-93.76*(-93.76-(-5/-5)))*(-93.76-(-93.76/(-5*-93.76))))-(-5/-5)))))</f>
        <v>-4139071.7020799997</v>
      </c>
      <c r="C625" t="n" s="0">
        <v>-4139071.70208</v>
      </c>
    </row>
    <row r="626">
      <c r="A626" t="n" s="0">
        <v>-93.75</v>
      </c>
      <c r="B626" t="n" s="0">
        <f>(-5-((((-5*(-5/((-5/(((-5*(-93.75--5))-(-5+((-5*-93.75)*(((-5--5)+(-93.75--5))+-93.75))))-(-5+-5)))*-5)))/-5)--5)+(-5*(((-93.75*(-93.75-(-5/-5)))*(-93.75-(-93.75/(-5*-93.75))))-(-5/-5)))))</f>
        <v>-4137749.421875</v>
      </c>
      <c r="C626" t="n" s="0">
        <v>-4137749.421875</v>
      </c>
    </row>
    <row r="627">
      <c r="A627" t="n" s="0">
        <v>-93.74</v>
      </c>
      <c r="B627" t="n" s="0">
        <f>(-5-((((-5*(-5/((-5/(((-5*(-93.74--5))-(-5+((-5*-93.74)*(((-5--5)+(-93.74--5))+-93.74))))-(-5+-5)))*-5)))/-5)--5)+(-5*(((-93.74*(-93.74-(-5/-5)))*(-93.74-(-93.74/(-5*-93.74))))-(-5/-5)))))</f>
        <v>-4136427.42332</v>
      </c>
      <c r="C627" t="n" s="0">
        <v>-4136427.4233199996</v>
      </c>
    </row>
    <row r="628">
      <c r="A628" t="n" s="0">
        <v>-93.73</v>
      </c>
      <c r="B628" t="n" s="0">
        <f>(-5-((((-5*(-5/((-5/(((-5*(-93.73--5))-(-5+((-5*-93.73)*(((-5--5)+(-93.73--5))+-93.73))))-(-5+-5)))*-5)))/-5)--5)+(-5*(((-93.73*(-93.73-(-5/-5)))*(-93.73-(-93.73/(-5*-93.73))))-(-5/-5)))))</f>
        <v>-4135105.7063849997</v>
      </c>
      <c r="C628" t="n" s="0">
        <v>-4135105.7063850006</v>
      </c>
    </row>
    <row r="629">
      <c r="A629" t="n" s="0">
        <v>-93.72</v>
      </c>
      <c r="B629" t="n" s="0">
        <f>(-5-((((-5*(-5/((-5/(((-5*(-93.72--5))-(-5+((-5*-93.72)*(((-5--5)+(-93.72--5))+-93.72))))-(-5+-5)))*-5)))/-5)--5)+(-5*(((-93.72*(-93.72-(-5/-5)))*(-93.72-(-93.72/(-5*-93.72))))-(-5/-5)))))</f>
        <v>-4133784.27104</v>
      </c>
      <c r="C629" t="n" s="0">
        <v>-4133784.27104</v>
      </c>
    </row>
    <row r="630">
      <c r="A630" t="n" s="0">
        <v>-93.71</v>
      </c>
      <c r="B630" t="n" s="0">
        <f>(-5-((((-5*(-5/((-5/(((-5*(-93.71--5))-(-5+((-5*-93.71)*(((-5--5)+(-93.71--5))+-93.71))))-(-5+-5)))*-5)))/-5)--5)+(-5*(((-93.71*(-93.71-(-5/-5)))*(-93.71-(-93.71/(-5*-93.71))))-(-5/-5)))))</f>
        <v>-4132463.117255</v>
      </c>
      <c r="C630" t="n" s="0">
        <v>-4132463.117254999</v>
      </c>
    </row>
    <row r="631">
      <c r="A631" t="n" s="0">
        <v>-93.7</v>
      </c>
      <c r="B631" t="n" s="0">
        <f>(-5-((((-5*(-5/((-5/(((-5*(-93.7--5))-(-5+((-5*-93.7)*(((-5--5)+(-93.7--5))+-93.7))))-(-5+-5)))*-5)))/-5)--5)+(-5*(((-93.7*(-93.7-(-5/-5)))*(-93.7-(-93.7/(-5*-93.7))))-(-5/-5)))))</f>
        <v>-4131142.245</v>
      </c>
      <c r="C631" t="n" s="0">
        <v>-4131142.2450000006</v>
      </c>
    </row>
    <row r="632">
      <c r="A632" t="n" s="0">
        <v>-93.69</v>
      </c>
      <c r="B632" t="n" s="0">
        <f>(-5-((((-5*(-5/((-5/(((-5*(-93.69--5))-(-5+((-5*-93.69)*(((-5--5)+(-93.69--5))+-93.69))))-(-5+-5)))*-5)))/-5)--5)+(-5*(((-93.69*(-93.69-(-5/-5)))*(-93.69-(-93.69/(-5*-93.69))))-(-5/-5)))))</f>
        <v>-4129821.654245</v>
      </c>
      <c r="C632" t="n" s="0">
        <v>-4129821.6542449994</v>
      </c>
    </row>
    <row r="633">
      <c r="A633" t="n" s="0">
        <v>-93.68</v>
      </c>
      <c r="B633" t="n" s="0">
        <f>(-5-((((-5*(-5/((-5/(((-5*(-93.68--5))-(-5+((-5*-93.68)*(((-5--5)+(-93.68--5))+-93.68))))-(-5+-5)))*-5)))/-5)--5)+(-5*(((-93.68*(-93.68-(-5/-5)))*(-93.68-(-93.68/(-5*-93.68))))-(-5/-5)))))</f>
        <v>-4128501.34496</v>
      </c>
      <c r="C633" t="n" s="0">
        <v>-4128501.3449600013</v>
      </c>
    </row>
    <row r="634">
      <c r="A634" t="n" s="0">
        <v>-93.67</v>
      </c>
      <c r="B634" t="n" s="0">
        <f>(-5-((((-5*(-5/((-5/(((-5*(-93.67--5))-(-5+((-5*-93.67)*(((-5--5)+(-93.67--5))+-93.67))))-(-5+-5)))*-5)))/-5)--5)+(-5*(((-93.67*(-93.67-(-5/-5)))*(-93.67-(-93.67/(-5*-93.67))))-(-5/-5)))))</f>
        <v>-4127181.317115</v>
      </c>
      <c r="C634" t="n" s="0">
        <v>-4127181.317115</v>
      </c>
    </row>
    <row r="635">
      <c r="A635" t="n" s="0">
        <v>-93.66</v>
      </c>
      <c r="B635" t="n" s="0">
        <f>(-5-((((-5*(-5/((-5/(((-5*(-93.66--5))-(-5+((-5*-93.66)*(((-5--5)+(-93.66--5))+-93.66))))-(-5+-5)))*-5)))/-5)--5)+(-5*(((-93.66*(-93.66-(-5/-5)))*(-93.66-(-93.66/(-5*-93.66))))-(-5/-5)))))</f>
        <v>-4125861.5706800004</v>
      </c>
      <c r="C635" t="n" s="0">
        <v>-4125861.5706799994</v>
      </c>
    </row>
    <row r="636">
      <c r="A636" t="n" s="0">
        <v>-93.65</v>
      </c>
      <c r="B636" t="n" s="0">
        <f>(-5-((((-5*(-5/((-5/(((-5*(-93.65--5))-(-5+((-5*-93.65)*(((-5--5)+(-93.65--5))+-93.65))))-(-5+-5)))*-5)))/-5)--5)+(-5*(((-93.65*(-93.65-(-5/-5)))*(-93.65-(-93.65/(-5*-93.65))))-(-5/-5)))))</f>
        <v>-4124542.105625</v>
      </c>
      <c r="C636" t="n" s="0">
        <v>-4124542.1056250012</v>
      </c>
    </row>
    <row r="637">
      <c r="A637" t="n" s="0">
        <v>-93.64</v>
      </c>
      <c r="B637" t="n" s="0">
        <f>(-5-((((-5*(-5/((-5/(((-5*(-93.64--5))-(-5+((-5*-93.64)*(((-5--5)+(-93.64--5))+-93.64))))-(-5+-5)))*-5)))/-5)--5)+(-5*(((-93.64*(-93.64-(-5/-5)))*(-93.64-(-93.64/(-5*-93.64))))-(-5/-5)))))</f>
        <v>-4123222.92192</v>
      </c>
      <c r="C637" t="n" s="0">
        <v>-4123222.92192</v>
      </c>
    </row>
    <row r="638">
      <c r="A638" t="n" s="0">
        <v>-93.63</v>
      </c>
      <c r="B638" t="n" s="0">
        <f>(-5-((((-5*(-5/((-5/(((-5*(-93.63--5))-(-5+((-5*-93.63)*(((-5--5)+(-93.63--5))+-93.63))))-(-5+-5)))*-5)))/-5)--5)+(-5*(((-93.63*(-93.63-(-5/-5)))*(-93.63-(-93.63/(-5*-93.63))))-(-5/-5)))))</f>
        <v>-4121904.019535</v>
      </c>
      <c r="C638" t="n" s="0">
        <v>-4121904.0195349995</v>
      </c>
    </row>
    <row r="639">
      <c r="A639" t="n" s="0">
        <v>-93.62</v>
      </c>
      <c r="B639" t="n" s="0">
        <f>(-5-((((-5*(-5/((-5/(((-5*(-93.62--5))-(-5+((-5*-93.62)*(((-5--5)+(-93.62--5))+-93.62))))-(-5+-5)))*-5)))/-5)--5)+(-5*(((-93.62*(-93.62-(-5/-5)))*(-93.62-(-93.62/(-5*-93.62))))-(-5/-5)))))</f>
        <v>-4120585.39844</v>
      </c>
      <c r="C639" t="n" s="0">
        <v>-4120585.39844</v>
      </c>
    </row>
    <row r="640">
      <c r="A640" t="n" s="0">
        <v>-93.61</v>
      </c>
      <c r="B640" t="n" s="0">
        <f>(-5-((((-5*(-5/((-5/(((-5*(-93.61--5))-(-5+((-5*-93.61)*(((-5--5)+(-93.61--5))+-93.61))))-(-5+-5)))*-5)))/-5)--5)+(-5*(((-93.61*(-93.61-(-5/-5)))*(-93.61-(-93.61/(-5*-93.61))))-(-5/-5)))))</f>
        <v>-4119267.058605</v>
      </c>
      <c r="C640" t="n" s="0">
        <v>-4119267.058605</v>
      </c>
    </row>
    <row r="641">
      <c r="A641" t="n" s="0">
        <v>-93.6</v>
      </c>
      <c r="B641" t="n" s="0">
        <f>(-5-((((-5*(-5/((-5/(((-5*(-93.6--5))-(-5+((-5*-93.6)*(((-5--5)+(-93.6--5))+-93.6))))-(-5+-5)))*-5)))/-5)--5)+(-5*(((-93.6*(-93.6-(-5/-5)))*(-93.6-(-93.6/(-5*-93.6))))-(-5/-5)))))</f>
        <v>-4117949.0</v>
      </c>
      <c r="C641" t="n" s="0">
        <v>-4117948.9999999986</v>
      </c>
    </row>
    <row r="642">
      <c r="A642" t="n" s="0">
        <v>-93.59</v>
      </c>
      <c r="B642" t="n" s="0">
        <f>(-5-((((-5*(-5/((-5/(((-5*(-93.59--5))-(-5+((-5*-93.59)*(((-5--5)+(-93.59--5))+-93.59))))-(-5+-5)))*-5)))/-5)--5)+(-5*(((-93.59*(-93.59-(-5/-5)))*(-93.59-(-93.59/(-5*-93.59))))-(-5/-5)))))</f>
        <v>-4116631.2225949997</v>
      </c>
      <c r="C642" t="n" s="0">
        <v>-4116631.2225950006</v>
      </c>
    </row>
    <row r="643">
      <c r="A643" t="n" s="0">
        <v>-93.58</v>
      </c>
      <c r="B643" t="n" s="0">
        <f>(-5-((((-5*(-5/((-5/(((-5*(-93.58--5))-(-5+((-5*-93.58)*(((-5--5)+(-93.58--5))+-93.58))))-(-5+-5)))*-5)))/-5)--5)+(-5*(((-93.58*(-93.58-(-5/-5)))*(-93.58-(-93.58/(-5*-93.58))))-(-5/-5)))))</f>
        <v>-4115313.72636</v>
      </c>
      <c r="C643" t="n" s="0">
        <v>-4115313.72636</v>
      </c>
    </row>
    <row r="644">
      <c r="A644" t="n" s="0">
        <v>-93.57</v>
      </c>
      <c r="B644" t="n" s="0">
        <f>(-5-((((-5*(-5/((-5/(((-5*(-93.57--5))-(-5+((-5*-93.57)*(((-5--5)+(-93.57--5))+-93.57))))-(-5+-5)))*-5)))/-5)--5)+(-5*(((-93.57*(-93.57-(-5/-5)))*(-93.57-(-93.57/(-5*-93.57))))-(-5/-5)))))</f>
        <v>-4113996.511265</v>
      </c>
      <c r="C644" t="n" s="0">
        <v>-4113996.5112649994</v>
      </c>
    </row>
    <row r="645">
      <c r="A645" t="n" s="0">
        <v>-93.56</v>
      </c>
      <c r="B645" t="n" s="0">
        <f>(-5-((((-5*(-5/((-5/(((-5*(-93.56--5))-(-5+((-5*-93.56)*(((-5--5)+(-93.56--5))+-93.56))))-(-5+-5)))*-5)))/-5)--5)+(-5*(((-93.56*(-93.56-(-5/-5)))*(-93.56-(-93.56/(-5*-93.56))))-(-5/-5)))))</f>
        <v>-4112679.57728</v>
      </c>
      <c r="C645" t="n" s="0">
        <v>-4112679.577280001</v>
      </c>
    </row>
    <row r="646">
      <c r="A646" t="n" s="0">
        <v>-93.55</v>
      </c>
      <c r="B646" t="n" s="0">
        <f>(-5-((((-5*(-5/((-5/(((-5*(-93.55--5))-(-5+((-5*-93.55)*(((-5--5)+(-93.55--5))+-93.55))))-(-5+-5)))*-5)))/-5)--5)+(-5*(((-93.55*(-93.55-(-5/-5)))*(-93.55-(-93.55/(-5*-93.55))))-(-5/-5)))))</f>
        <v>-4111362.924375</v>
      </c>
      <c r="C646" t="n" s="0">
        <v>-4111362.924375</v>
      </c>
    </row>
    <row r="647">
      <c r="A647" t="n" s="0">
        <v>-93.54</v>
      </c>
      <c r="B647" t="n" s="0">
        <f>(-5-((((-5*(-5/((-5/(((-5*(-93.54--5))-(-5+((-5*-93.54)*(((-5--5)+(-93.54--5))+-93.54))))-(-5+-5)))*-5)))/-5)--5)+(-5*(((-93.54*(-93.54-(-5/-5)))*(-93.54-(-93.54/(-5*-93.54))))-(-5/-5)))))</f>
        <v>-4110046.55252</v>
      </c>
      <c r="C647" t="n" s="0">
        <v>-4110046.5525200013</v>
      </c>
    </row>
    <row r="648">
      <c r="A648" t="n" s="0">
        <v>-93.53</v>
      </c>
      <c r="B648" t="n" s="0">
        <f>(-5-((((-5*(-5/((-5/(((-5*(-93.53--5))-(-5+((-5*-93.53)*(((-5--5)+(-93.53--5))+-93.53))))-(-5+-5)))*-5)))/-5)--5)+(-5*(((-93.53*(-93.53-(-5/-5)))*(-93.53-(-93.53/(-5*-93.53))))-(-5/-5)))))</f>
        <v>-4108730.461685</v>
      </c>
      <c r="C648" t="n" s="0">
        <v>-4108730.4616849995</v>
      </c>
    </row>
    <row r="649">
      <c r="A649" t="n" s="0">
        <v>-93.52</v>
      </c>
      <c r="B649" t="n" s="0">
        <f>(-5-((((-5*(-5/((-5/(((-5*(-93.52--5))-(-5+((-5*-93.52)*(((-5--5)+(-93.52--5))+-93.52))))-(-5+-5)))*-5)))/-5)--5)+(-5*(((-93.52*(-93.52-(-5/-5)))*(-93.52-(-93.52/(-5*-93.52))))-(-5/-5)))))</f>
        <v>-4107414.65184</v>
      </c>
      <c r="C649" t="n" s="0">
        <v>-4107414.65184</v>
      </c>
    </row>
    <row r="650">
      <c r="A650" t="n" s="0">
        <v>-93.51</v>
      </c>
      <c r="B650" t="n" s="0">
        <f>(-5-((((-5*(-5/((-5/(((-5*(-93.51--5))-(-5+((-5*-93.51)*(((-5--5)+(-93.51--5))+-93.51))))-(-5+-5)))*-5)))/-5)--5)+(-5*(((-93.51*(-93.51-(-5/-5)))*(-93.51-(-93.51/(-5*-93.51))))-(-5/-5)))))</f>
        <v>-4106099.122955</v>
      </c>
      <c r="C650" t="n" s="0">
        <v>-4106099.1229550005</v>
      </c>
    </row>
    <row r="651">
      <c r="A651" t="n" s="0">
        <v>-93.5</v>
      </c>
      <c r="B651" t="n" s="0">
        <f>(-5-((((-5*(-5/((-5/(((-5*(-93.5--5))-(-5+((-5*-93.5)*(((-5--5)+(-93.5--5))+-93.5))))-(-5+-5)))*-5)))/-5)--5)+(-5*(((-93.5*(-93.5-(-5/-5)))*(-93.5-(-93.5/(-5*-93.5))))-(-5/-5)))))</f>
        <v>-4104783.875</v>
      </c>
      <c r="C651" t="n" s="0">
        <v>-4104783.875</v>
      </c>
    </row>
    <row r="652">
      <c r="A652" t="n" s="0">
        <v>-93.49</v>
      </c>
      <c r="B652" t="n" s="0">
        <f>(-5-((((-5*(-5/((-5/(((-5*(-93.49--5))-(-5+((-5*-93.49)*(((-5--5)+(-93.49--5))+-93.49))))-(-5+-5)))*-5)))/-5)--5)+(-5*(((-93.49*(-93.49-(-5/-5)))*(-93.49-(-93.49/(-5*-93.49))))-(-5/-5)))))</f>
        <v>-4103468.907945</v>
      </c>
      <c r="C652" t="n" s="0">
        <v>-4103468.9079449996</v>
      </c>
    </row>
    <row r="653">
      <c r="A653" t="n" s="0">
        <v>-93.48</v>
      </c>
      <c r="B653" t="n" s="0">
        <f>(-5-((((-5*(-5/((-5/(((-5*(-93.48--5))-(-5+((-5*-93.48)*(((-5--5)+(-93.48--5))+-93.48))))-(-5+-5)))*-5)))/-5)--5)+(-5*(((-93.48*(-93.48-(-5/-5)))*(-93.48-(-93.48/(-5*-93.48))))-(-5/-5)))))</f>
        <v>-4102154.2217599996</v>
      </c>
      <c r="C653" t="n" s="0">
        <v>-4102154.2217600006</v>
      </c>
    </row>
    <row r="654">
      <c r="A654" t="n" s="0">
        <v>-93.47</v>
      </c>
      <c r="B654" t="n" s="0">
        <f>(-5-((((-5*(-5/((-5/(((-5*(-93.47--5))-(-5+((-5*-93.47)*(((-5--5)+(-93.47--5))+-93.47))))-(-5+-5)))*-5)))/-5)--5)+(-5*(((-93.47*(-93.47-(-5/-5)))*(-93.47-(-93.47/(-5*-93.47))))-(-5/-5)))))</f>
        <v>-4100839.816415</v>
      </c>
      <c r="C654" t="n" s="0">
        <v>-4100839.816415</v>
      </c>
    </row>
    <row r="655">
      <c r="A655" t="n" s="0">
        <v>-93.46</v>
      </c>
      <c r="B655" t="n" s="0">
        <f>(-5-((((-5*(-5/((-5/(((-5*(-93.46--5))-(-5+((-5*-93.46)*(((-5--5)+(-93.46--5))+-93.46))))-(-5+-5)))*-5)))/-5)--5)+(-5*(((-93.46*(-93.46-(-5/-5)))*(-93.46-(-93.46/(-5*-93.46))))-(-5/-5)))))</f>
        <v>-4099525.6918800003</v>
      </c>
      <c r="C655" t="n" s="0">
        <v>-4099525.691879999</v>
      </c>
    </row>
    <row r="656">
      <c r="A656" t="n" s="0">
        <v>-93.45</v>
      </c>
      <c r="B656" t="n" s="0">
        <f>(-5-((((-5*(-5/((-5/(((-5*(-93.45--5))-(-5+((-5*-93.45)*(((-5--5)+(-93.45--5))+-93.45))))-(-5+-5)))*-5)))/-5)--5)+(-5*(((-93.45*(-93.45-(-5/-5)))*(-93.45-(-93.45/(-5*-93.45))))-(-5/-5)))))</f>
        <v>-4098211.848125</v>
      </c>
      <c r="C656" t="n" s="0">
        <v>-4098211.848125001</v>
      </c>
    </row>
    <row r="657">
      <c r="A657" t="n" s="0">
        <v>-93.44</v>
      </c>
      <c r="B657" t="n" s="0">
        <f>(-5-((((-5*(-5/((-5/(((-5*(-93.44--5))-(-5+((-5*-93.44)*(((-5--5)+(-93.44--5))+-93.44))))-(-5+-5)))*-5)))/-5)--5)+(-5*(((-93.44*(-93.44-(-5/-5)))*(-93.44-(-93.44/(-5*-93.44))))-(-5/-5)))))</f>
        <v>-4096898.2851199997</v>
      </c>
      <c r="C657" t="n" s="0">
        <v>-4096898.285119999</v>
      </c>
    </row>
    <row r="658">
      <c r="A658" t="n" s="0">
        <v>-93.43</v>
      </c>
      <c r="B658" t="n" s="0">
        <f>(-5-((((-5*(-5/((-5/(((-5*(-93.43--5))-(-5+((-5*-93.43)*(((-5--5)+(-93.43--5))+-93.43))))-(-5+-5)))*-5)))/-5)--5)+(-5*(((-93.43*(-93.43-(-5/-5)))*(-93.43-(-93.43/(-5*-93.43))))-(-5/-5)))))</f>
        <v>-4095585.002835</v>
      </c>
      <c r="C658" t="n" s="0">
        <v>-4095585.0028350004</v>
      </c>
    </row>
    <row r="659">
      <c r="A659" t="n" s="0">
        <v>-93.42</v>
      </c>
      <c r="B659" t="n" s="0">
        <f>(-5-((((-5*(-5/((-5/(((-5*(-93.42--5))-(-5+((-5*-93.42)*(((-5--5)+(-93.42--5))+-93.42))))-(-5+-5)))*-5)))/-5)--5)+(-5*(((-93.42*(-93.42-(-5/-5)))*(-93.42-(-93.42/(-5*-93.42))))-(-5/-5)))))</f>
        <v>-4094272.00124</v>
      </c>
      <c r="C659" t="n" s="0">
        <v>-4094272.0012400006</v>
      </c>
    </row>
    <row r="660">
      <c r="A660" t="n" s="0">
        <v>-93.41</v>
      </c>
      <c r="B660" t="n" s="0">
        <f>(-5-((((-5*(-5/((-5/(((-5*(-93.41--5))-(-5+((-5*-93.41)*(((-5--5)+(-93.41--5))+-93.41))))-(-5+-5)))*-5)))/-5)--5)+(-5*(((-93.41*(-93.41-(-5/-5)))*(-93.41-(-93.41/(-5*-93.41))))-(-5/-5)))))</f>
        <v>-4092959.280305</v>
      </c>
      <c r="C660" t="n" s="0">
        <v>-4092959.280304999</v>
      </c>
    </row>
    <row r="661">
      <c r="A661" t="n" s="0">
        <v>-93.4</v>
      </c>
      <c r="B661" t="n" s="0">
        <f>(-5-((((-5*(-5/((-5/(((-5*(-93.4--5))-(-5+((-5*-93.4)*(((-5--5)+(-93.4--5))+-93.4))))-(-5+-5)))*-5)))/-5)--5)+(-5*(((-93.4*(-93.4-(-5/-5)))*(-93.4-(-93.4/(-5*-93.4))))-(-5/-5)))))</f>
        <v>-4091646.84</v>
      </c>
      <c r="C661" t="n" s="0">
        <v>-4091646.8400000012</v>
      </c>
    </row>
    <row r="662">
      <c r="A662" t="n" s="0">
        <v>-93.39</v>
      </c>
      <c r="B662" t="n" s="0">
        <f>(-5-((((-5*(-5/((-5/(((-5*(-93.39--5))-(-5+((-5*-93.39)*(((-5--5)+(-93.39--5))+-93.39))))-(-5+-5)))*-5)))/-5)--5)+(-5*(((-93.39*(-93.39-(-5/-5)))*(-93.39-(-93.39/(-5*-93.39))))-(-5/-5)))))</f>
        <v>-4090334.680295</v>
      </c>
      <c r="C662" t="n" s="0">
        <v>-4090334.680295</v>
      </c>
    </row>
    <row r="663">
      <c r="A663" t="n" s="0">
        <v>-93.38</v>
      </c>
      <c r="B663" t="n" s="0">
        <f>(-5-((((-5*(-5/((-5/(((-5*(-93.38--5))-(-5+((-5*-93.38)*(((-5--5)+(-93.38--5))+-93.38))))-(-5+-5)))*-5)))/-5)--5)+(-5*(((-93.38*(-93.38-(-5/-5)))*(-93.38-(-93.38/(-5*-93.38))))-(-5/-5)))))</f>
        <v>-4089022.80116</v>
      </c>
      <c r="C663" t="n" s="0">
        <v>-4089022.80116</v>
      </c>
    </row>
    <row r="664">
      <c r="A664" t="n" s="0">
        <v>-93.37</v>
      </c>
      <c r="B664" t="n" s="0">
        <f>(-5-((((-5*(-5/((-5/(((-5*(-93.37--5))-(-5+((-5*-93.37)*(((-5--5)+(-93.37--5))+-93.37))))-(-5+-5)))*-5)))/-5)--5)+(-5*(((-93.37*(-93.37-(-5/-5)))*(-93.37-(-93.37/(-5*-93.37))))-(-5/-5)))))</f>
        <v>-4087711.2025650004</v>
      </c>
      <c r="C664" t="n" s="0">
        <v>-4087711.202565001</v>
      </c>
    </row>
    <row r="665">
      <c r="A665" t="n" s="0">
        <v>-93.36</v>
      </c>
      <c r="B665" t="n" s="0">
        <f>(-5-((((-5*(-5/((-5/(((-5*(-93.36--5))-(-5+((-5*-93.36)*(((-5--5)+(-93.36--5))+-93.36))))-(-5+-5)))*-5)))/-5)--5)+(-5*(((-93.36*(-93.36-(-5/-5)))*(-93.36-(-93.36/(-5*-93.36))))-(-5/-5)))))</f>
        <v>-4086399.88448</v>
      </c>
      <c r="C665" t="n" s="0">
        <v>-4086399.88448</v>
      </c>
    </row>
    <row r="666">
      <c r="A666" t="n" s="0">
        <v>-93.35</v>
      </c>
      <c r="B666" t="n" s="0">
        <f>(-5-((((-5*(-5/((-5/(((-5*(-93.35--5))-(-5+((-5*-93.35)*(((-5--5)+(-93.35--5))+-93.35))))-(-5+-5)))*-5)))/-5)--5)+(-5*(((-93.35*(-93.35-(-5/-5)))*(-93.35-(-93.35/(-5*-93.35))))-(-5/-5)))))</f>
        <v>-4085088.8468750003</v>
      </c>
      <c r="C666" t="n" s="0">
        <v>-4085088.846874999</v>
      </c>
    </row>
    <row r="667">
      <c r="A667" t="n" s="0">
        <v>-93.34</v>
      </c>
      <c r="B667" t="n" s="0">
        <f>(-5-((((-5*(-5/((-5/(((-5*(-93.34--5))-(-5+((-5*-93.34)*(((-5--5)+(-93.34--5))+-93.34))))-(-5+-5)))*-5)))/-5)--5)+(-5*(((-93.34*(-93.34-(-5/-5)))*(-93.34-(-93.34/(-5*-93.34))))-(-5/-5)))))</f>
        <v>-4083778.08972</v>
      </c>
      <c r="C667" t="n" s="0">
        <v>-4083778.08972</v>
      </c>
    </row>
    <row r="668">
      <c r="A668" t="n" s="0">
        <v>-93.33</v>
      </c>
      <c r="B668" t="n" s="0">
        <f>(-5-((((-5*(-5/((-5/(((-5*(-93.33--5))-(-5+((-5*-93.33)*(((-5--5)+(-93.33--5))+-93.33))))-(-5+-5)))*-5)))/-5)--5)+(-5*(((-93.33*(-93.33-(-5/-5)))*(-93.33-(-93.33/(-5*-93.33))))-(-5/-5)))))</f>
        <v>-4082467.612985</v>
      </c>
      <c r="C668" t="n" s="0">
        <v>-4082467.612985</v>
      </c>
    </row>
    <row r="669">
      <c r="A669" t="n" s="0">
        <v>-93.32</v>
      </c>
      <c r="B669" t="n" s="0">
        <f>(-5-((((-5*(-5/((-5/(((-5*(-93.32--5))-(-5+((-5*-93.32)*(((-5--5)+(-93.32--5))+-93.32))))-(-5+-5)))*-5)))/-5)--5)+(-5*(((-93.32*(-93.32-(-5/-5)))*(-93.32-(-93.32/(-5*-93.32))))-(-5/-5)))))</f>
        <v>-4081157.41664</v>
      </c>
      <c r="C669" t="n" s="0">
        <v>-4081157.416639999</v>
      </c>
    </row>
    <row r="670">
      <c r="A670" t="n" s="0">
        <v>-93.31</v>
      </c>
      <c r="B670" t="n" s="0">
        <f>(-5-((((-5*(-5/((-5/(((-5*(-93.31--5))-(-5+((-5*-93.31)*(((-5--5)+(-93.31--5))+-93.31))))-(-5+-5)))*-5)))/-5)--5)+(-5*(((-93.31*(-93.31-(-5/-5)))*(-93.31-(-93.31/(-5*-93.31))))-(-5/-5)))))</f>
        <v>-4079847.500655</v>
      </c>
      <c r="C670" t="n" s="0">
        <v>-4079847.500655001</v>
      </c>
    </row>
    <row r="671">
      <c r="A671" t="n" s="0">
        <v>-93.3</v>
      </c>
      <c r="B671" t="n" s="0">
        <f>(-5-((((-5*(-5/((-5/(((-5*(-93.3--5))-(-5+((-5*-93.3)*(((-5--5)+(-93.3--5))+-93.3))))-(-5+-5)))*-5)))/-5)--5)+(-5*(((-93.3*(-93.3-(-5/-5)))*(-93.3-(-93.3/(-5*-93.3))))-(-5/-5)))))</f>
        <v>-4078537.8649999998</v>
      </c>
      <c r="C671" t="n" s="0">
        <v>-4078537.8649999993</v>
      </c>
    </row>
    <row r="672">
      <c r="A672" t="n" s="0">
        <v>-93.29</v>
      </c>
      <c r="B672" t="n" s="0">
        <f>(-5-((((-5*(-5/((-5/(((-5*(-93.29--5))-(-5+((-5*-93.29)*(((-5--5)+(-93.29--5))+-93.29))))-(-5+-5)))*-5)))/-5)--5)+(-5*(((-93.29*(-93.29-(-5/-5)))*(-93.29-(-93.29/(-5*-93.29))))-(-5/-5)))))</f>
        <v>-4077228.509645</v>
      </c>
      <c r="C672" t="n" s="0">
        <v>-4077228.509645001</v>
      </c>
    </row>
    <row r="673">
      <c r="A673" t="n" s="0">
        <v>-93.28</v>
      </c>
      <c r="B673" t="n" s="0">
        <f>(-5-((((-5*(-5/((-5/(((-5*(-93.28--5))-(-5+((-5*-93.28)*(((-5--5)+(-93.28--5))+-93.28))))-(-5+-5)))*-5)))/-5)--5)+(-5*(((-93.28*(-93.28-(-5/-5)))*(-93.28-(-93.28/(-5*-93.28))))-(-5/-5)))))</f>
        <v>-4075919.43456</v>
      </c>
      <c r="C673" t="n" s="0">
        <v>-4075919.4345600004</v>
      </c>
    </row>
    <row r="674">
      <c r="A674" t="n" s="0">
        <v>-93.27</v>
      </c>
      <c r="B674" t="n" s="0">
        <f>(-5-((((-5*(-5/((-5/(((-5*(-93.27--5))-(-5+((-5*-93.27)*(((-5--5)+(-93.27--5))+-93.27))))-(-5+-5)))*-5)))/-5)--5)+(-5*(((-93.27*(-93.27-(-5/-5)))*(-93.27-(-93.27/(-5*-93.27))))-(-5/-5)))))</f>
        <v>-4074610.639715</v>
      </c>
      <c r="C674" t="n" s="0">
        <v>-4074610.639714999</v>
      </c>
    </row>
    <row r="675">
      <c r="A675" t="n" s="0">
        <v>-93.26</v>
      </c>
      <c r="B675" t="n" s="0">
        <f>(-5-((((-5*(-5/((-5/(((-5*(-93.26--5))-(-5+((-5*-93.26)*(((-5--5)+(-93.26--5))+-93.26))))-(-5+-5)))*-5)))/-5)--5)+(-5*(((-93.26*(-93.26-(-5/-5)))*(-93.26-(-93.26/(-5*-93.26))))-(-5/-5)))))</f>
        <v>-4073302.12508</v>
      </c>
      <c r="C675" t="n" s="0">
        <v>-4073302.1250800006</v>
      </c>
    </row>
    <row r="676">
      <c r="A676" t="n" s="0">
        <v>-93.25</v>
      </c>
      <c r="B676" t="n" s="0">
        <f>(-5-((((-5*(-5/((-5/(((-5*(-93.25--5))-(-5+((-5*-93.25)*(((-5--5)+(-93.25--5))+-93.25))))-(-5+-5)))*-5)))/-5)--5)+(-5*(((-93.25*(-93.25-(-5/-5)))*(-93.25-(-93.25/(-5*-93.25))))-(-5/-5)))))</f>
        <v>-4071993.890625</v>
      </c>
      <c r="C676" t="n" s="0">
        <v>-4071993.890625</v>
      </c>
    </row>
    <row r="677">
      <c r="A677" t="n" s="0">
        <v>-93.24</v>
      </c>
      <c r="B677" t="n" s="0">
        <f>(-5-((((-5*(-5/((-5/(((-5*(-93.24--5))-(-5+((-5*-93.24)*(((-5--5)+(-93.24--5))+-93.24))))-(-5+-5)))*-5)))/-5)--5)+(-5*(((-93.24*(-93.24-(-5/-5)))*(-93.24-(-93.24/(-5*-93.24))))-(-5/-5)))))</f>
        <v>-4070685.93632</v>
      </c>
      <c r="C677" t="n" s="0">
        <v>-4070685.93632</v>
      </c>
    </row>
    <row r="678">
      <c r="A678" t="n" s="0">
        <v>-93.23</v>
      </c>
      <c r="B678" t="n" s="0">
        <f>(-5-((((-5*(-5/((-5/(((-5*(-93.23--5))-(-5+((-5*-93.23)*(((-5--5)+(-93.23--5))+-93.23))))-(-5+-5)))*-5)))/-5)--5)+(-5*(((-93.23*(-93.23-(-5/-5)))*(-93.23-(-93.23/(-5*-93.23))))-(-5/-5)))))</f>
        <v>-4069378.262135</v>
      </c>
      <c r="C678" t="n" s="0">
        <v>-4069378.2621350004</v>
      </c>
    </row>
    <row r="679">
      <c r="A679" t="n" s="0">
        <v>-93.22</v>
      </c>
      <c r="B679" t="n" s="0">
        <f>(-5-((((-5*(-5/((-5/(((-5*(-93.22--5))-(-5+((-5*-93.22)*(((-5--5)+(-93.22--5))+-93.22))))-(-5+-5)))*-5)))/-5)--5)+(-5*(((-93.22*(-93.22-(-5/-5)))*(-93.22-(-93.22/(-5*-93.22))))-(-5/-5)))))</f>
        <v>-4068070.86804</v>
      </c>
      <c r="C679" t="n" s="0">
        <v>-4068070.8680399996</v>
      </c>
    </row>
    <row r="680">
      <c r="A680" t="n" s="0">
        <v>-93.21</v>
      </c>
      <c r="B680" t="n" s="0">
        <f>(-5-((((-5*(-5/((-5/(((-5*(-93.21--5))-(-5+((-5*-93.21)*(((-5--5)+(-93.21--5))+-93.21))))-(-5+-5)))*-5)))/-5)--5)+(-5*(((-93.21*(-93.21-(-5/-5)))*(-93.21-(-93.21/(-5*-93.21))))-(-5/-5)))))</f>
        <v>-4066763.754005</v>
      </c>
      <c r="C680" t="n" s="0">
        <v>-4066763.754004999</v>
      </c>
    </row>
    <row r="681">
      <c r="A681" t="n" s="0">
        <v>-93.2</v>
      </c>
      <c r="B681" t="n" s="0">
        <f>(-5-((((-5*(-5/((-5/(((-5*(-93.2--5))-(-5+((-5*-93.2)*(((-5--5)+(-93.2--5))+-93.2))))-(-5+-5)))*-5)))/-5)--5)+(-5*(((-93.2*(-93.2-(-5/-5)))*(-93.2-(-93.2/(-5*-93.2))))-(-5/-5)))))</f>
        <v>-4065456.92</v>
      </c>
      <c r="C681" t="n" s="0">
        <v>-4065456.9200000004</v>
      </c>
    </row>
    <row r="682">
      <c r="A682" t="n" s="0">
        <v>-93.19</v>
      </c>
      <c r="B682" t="n" s="0">
        <f>(-5-((((-5*(-5/((-5/(((-5*(-93.19--5))-(-5+((-5*-93.19)*(((-5--5)+(-93.19--5))+-93.19))))-(-5+-5)))*-5)))/-5)--5)+(-5*(((-93.19*(-93.19-(-5/-5)))*(-93.19-(-93.19/(-5*-93.19))))-(-5/-5)))))</f>
        <v>-4064150.3659949997</v>
      </c>
      <c r="C682" t="n" s="0">
        <v>-4064150.3659949997</v>
      </c>
    </row>
    <row r="683">
      <c r="A683" t="n" s="0">
        <v>-93.18</v>
      </c>
      <c r="B683" t="n" s="0">
        <f>(-5-((((-5*(-5/((-5/(((-5*(-93.18--5))-(-5+((-5*-93.18)*(((-5--5)+(-93.18--5))+-93.18))))-(-5+-5)))*-5)))/-5)--5)+(-5*(((-93.18*(-93.18-(-5/-5)))*(-93.18-(-93.18/(-5*-93.18))))-(-5/-5)))))</f>
        <v>-4062844.09196</v>
      </c>
      <c r="C683" t="n" s="0">
        <v>-4062844.091960001</v>
      </c>
    </row>
    <row r="684">
      <c r="A684" t="n" s="0">
        <v>-93.17</v>
      </c>
      <c r="B684" t="n" s="0">
        <f>(-5-((((-5*(-5/((-5/(((-5*(-93.17--5))-(-5+((-5*-93.17)*(((-5--5)+(-93.17--5))+-93.17))))-(-5+-5)))*-5)))/-5)--5)+(-5*(((-93.17*(-93.17-(-5/-5)))*(-93.17-(-93.17/(-5*-93.17))))-(-5/-5)))))</f>
        <v>-4061538.097865</v>
      </c>
      <c r="C684" t="n" s="0">
        <v>-4061538.097865</v>
      </c>
    </row>
    <row r="685">
      <c r="A685" t="n" s="0">
        <v>-93.16</v>
      </c>
      <c r="B685" t="n" s="0">
        <f>(-5-((((-5*(-5/((-5/(((-5*(-93.16--5))-(-5+((-5*-93.16)*(((-5--5)+(-93.16--5))+-93.16))))-(-5+-5)))*-5)))/-5)--5)+(-5*(((-93.16*(-93.16-(-5/-5)))*(-93.16-(-93.16/(-5*-93.16))))-(-5/-5)))))</f>
        <v>-4060232.38368</v>
      </c>
      <c r="C685" t="n" s="0">
        <v>-4060232.3836799995</v>
      </c>
    </row>
    <row r="686">
      <c r="A686" t="n" s="0">
        <v>-93.15</v>
      </c>
      <c r="B686" t="n" s="0">
        <f>(-5-((((-5*(-5/((-5/(((-5*(-93.15--5))-(-5+((-5*-93.15)*(((-5--5)+(-93.15--5))+-93.15))))-(-5+-5)))*-5)))/-5)--5)+(-5*(((-93.15*(-93.15-(-5/-5)))*(-93.15-(-93.15/(-5*-93.15))))-(-5/-5)))))</f>
        <v>-4058926.949375</v>
      </c>
      <c r="C686" t="n" s="0">
        <v>-4058926.949375001</v>
      </c>
    </row>
    <row r="687">
      <c r="A687" t="n" s="0">
        <v>-93.14</v>
      </c>
      <c r="B687" t="n" s="0">
        <f>(-5-((((-5*(-5/((-5/(((-5*(-93.14--5))-(-5+((-5*-93.14)*(((-5--5)+(-93.14--5))+-93.14))))-(-5+-5)))*-5)))/-5)--5)+(-5*(((-93.14*(-93.14-(-5/-5)))*(-93.14-(-93.14/(-5*-93.14))))-(-5/-5)))))</f>
        <v>-4057621.79492</v>
      </c>
      <c r="C687" t="n" s="0">
        <v>-4057621.7949200002</v>
      </c>
    </row>
    <row r="688">
      <c r="A688" t="n" s="0">
        <v>-93.13</v>
      </c>
      <c r="B688" t="n" s="0">
        <f>(-5-((((-5*(-5/((-5/(((-5*(-93.13--5))-(-5+((-5*-93.13)*(((-5--5)+(-93.13--5))+-93.13))))-(-5+-5)))*-5)))/-5)--5)+(-5*(((-93.13*(-93.13-(-5/-5)))*(-93.13-(-93.13/(-5*-93.13))))-(-5/-5)))))</f>
        <v>-4056316.920285</v>
      </c>
      <c r="C688" t="n" s="0">
        <v>-4056316.9202849995</v>
      </c>
    </row>
    <row r="689">
      <c r="A689" t="n" s="0">
        <v>-93.12</v>
      </c>
      <c r="B689" t="n" s="0">
        <f>(-5-((((-5*(-5/((-5/(((-5*(-93.12--5))-(-5+((-5*-93.12)*(((-5--5)+(-93.12--5))+-93.12))))-(-5+-5)))*-5)))/-5)--5)+(-5*(((-93.12*(-93.12-(-5/-5)))*(-93.12-(-93.12/(-5*-93.12))))-(-5/-5)))))</f>
        <v>-4055012.32544</v>
      </c>
      <c r="C689" t="n" s="0">
        <v>-4055012.3254400007</v>
      </c>
    </row>
    <row r="690">
      <c r="A690" t="n" s="0">
        <v>-93.11</v>
      </c>
      <c r="B690" t="n" s="0">
        <f>(-5-((((-5*(-5/((-5/(((-5*(-93.11--5))-(-5+((-5*-93.11)*(((-5--5)+(-93.11--5))+-93.11))))-(-5+-5)))*-5)))/-5)--5)+(-5*(((-93.11*(-93.11-(-5/-5)))*(-93.11-(-93.11/(-5*-93.11))))-(-5/-5)))))</f>
        <v>-4053708.010355</v>
      </c>
      <c r="C690" t="n" s="0">
        <v>-4053708.010355</v>
      </c>
    </row>
    <row r="691">
      <c r="A691" t="n" s="0">
        <v>-93.1</v>
      </c>
      <c r="B691" t="n" s="0">
        <f>(-5-((((-5*(-5/((-5/(((-5*(-93.1--5))-(-5+((-5*-93.1)*(((-5--5)+(-93.1--5))+-93.1))))-(-5+-5)))*-5)))/-5)--5)+(-5*(((-93.1*(-93.1-(-5/-5)))*(-93.1-(-93.1/(-5*-93.1))))-(-5/-5)))))</f>
        <v>-4052403.975</v>
      </c>
      <c r="C691" t="n" s="0">
        <v>-4052403.974999999</v>
      </c>
    </row>
    <row r="692">
      <c r="A692" t="n" s="0">
        <v>-93.09</v>
      </c>
      <c r="B692" t="n" s="0">
        <f>(-5-((((-5*(-5/((-5/(((-5*(-93.09--5))-(-5+((-5*-93.09)*(((-5--5)+(-93.09--5))+-93.09))))-(-5+-5)))*-5)))/-5)--5)+(-5*(((-93.09*(-93.09-(-5/-5)))*(-93.09-(-93.09/(-5*-93.09))))-(-5/-5)))))</f>
        <v>-4051100.219345</v>
      </c>
      <c r="C692" t="n" s="0">
        <v>-4051100.2193450006</v>
      </c>
    </row>
    <row r="693">
      <c r="A693" t="n" s="0">
        <v>-93.08</v>
      </c>
      <c r="B693" t="n" s="0">
        <f>(-5-((((-5*(-5/((-5/(((-5*(-93.08--5))-(-5+((-5*-93.08)*(((-5--5)+(-93.08--5))+-93.08))))-(-5+-5)))*-5)))/-5)--5)+(-5*(((-93.08*(-93.08-(-5/-5)))*(-93.08-(-93.08/(-5*-93.08))))-(-5/-5)))))</f>
        <v>-4049796.7433599997</v>
      </c>
      <c r="C693" t="n" s="0">
        <v>-4049796.74336</v>
      </c>
    </row>
    <row r="694">
      <c r="A694" t="n" s="0">
        <v>-93.07</v>
      </c>
      <c r="B694" t="n" s="0">
        <f>(-5-((((-5*(-5/((-5/(((-5*(-93.07--5))-(-5+((-5*-93.07)*(((-5--5)+(-93.07--5))+-93.07))))-(-5+-5)))*-5)))/-5)--5)+(-5*(((-93.07*(-93.07-(-5/-5)))*(-93.07-(-93.07/(-5*-93.07))))-(-5/-5)))))</f>
        <v>-4048493.547015</v>
      </c>
      <c r="C694" t="n" s="0">
        <v>-4048493.547014999</v>
      </c>
    </row>
    <row r="695">
      <c r="A695" t="n" s="0">
        <v>-93.06</v>
      </c>
      <c r="B695" t="n" s="0">
        <f>(-5-((((-5*(-5/((-5/(((-5*(-93.06--5))-(-5+((-5*-93.06)*(((-5--5)+(-93.06--5))+-93.06))))-(-5+-5)))*-5)))/-5)--5)+(-5*(((-93.06*(-93.06-(-5/-5)))*(-93.06-(-93.06/(-5*-93.06))))-(-5/-5)))))</f>
        <v>-4047190.63028</v>
      </c>
      <c r="C695" t="n" s="0">
        <v>-4047190.6302800006</v>
      </c>
    </row>
    <row r="696">
      <c r="A696" t="n" s="0">
        <v>-93.05</v>
      </c>
      <c r="B696" t="n" s="0">
        <f>(-5-((((-5*(-5/((-5/(((-5*(-93.05--5))-(-5+((-5*-93.05)*(((-5--5)+(-93.05--5))+-93.05))))-(-5+-5)))*-5)))/-5)--5)+(-5*(((-93.05*(-93.05-(-5/-5)))*(-93.05-(-93.05/(-5*-93.05))))-(-5/-5)))))</f>
        <v>-4045887.993125</v>
      </c>
      <c r="C696" t="n" s="0">
        <v>-4045887.993124999</v>
      </c>
    </row>
    <row r="697">
      <c r="A697" t="n" s="0">
        <v>-93.04</v>
      </c>
      <c r="B697" t="n" s="0">
        <f>(-5-((((-5*(-5/((-5/(((-5*(-93.04--5))-(-5+((-5*-93.04)*(((-5--5)+(-93.04--5))+-93.04))))-(-5+-5)))*-5)))/-5)--5)+(-5*(((-93.04*(-93.04-(-5/-5)))*(-93.04-(-93.04/(-5*-93.04))))-(-5/-5)))))</f>
        <v>-4044585.63552</v>
      </c>
      <c r="C697" t="n" s="0">
        <v>-4044585.635520001</v>
      </c>
    </row>
    <row r="698">
      <c r="A698" t="n" s="0">
        <v>-93.03</v>
      </c>
      <c r="B698" t="n" s="0">
        <f>(-5-((((-5*(-5/((-5/(((-5*(-93.03--5))-(-5+((-5*-93.03)*(((-5--5)+(-93.03--5))+-93.03))))-(-5+-5)))*-5)))/-5)--5)+(-5*(((-93.03*(-93.03-(-5/-5)))*(-93.03-(-93.03/(-5*-93.03))))-(-5/-5)))))</f>
        <v>-4043283.5574350003</v>
      </c>
      <c r="C698" t="n" s="0">
        <v>-4043283.557435</v>
      </c>
    </row>
    <row r="699">
      <c r="A699" t="n" s="0">
        <v>-93.02</v>
      </c>
      <c r="B699" t="n" s="0">
        <f>(-5-((((-5*(-5/((-5/(((-5*(-93.02--5))-(-5+((-5*-93.02)*(((-5--5)+(-93.02--5))+-93.02))))-(-5+-5)))*-5)))/-5)--5)+(-5*(((-93.02*(-93.02-(-5/-5)))*(-93.02-(-93.02/(-5*-93.02))))-(-5/-5)))))</f>
        <v>-4041981.7588400003</v>
      </c>
      <c r="C699" t="n" s="0">
        <v>-4041981.75884</v>
      </c>
    </row>
    <row r="700">
      <c r="A700" t="n" s="0">
        <v>-93.01</v>
      </c>
      <c r="B700" t="n" s="0">
        <f>(-5-((((-5*(-5/((-5/(((-5*(-93.01--5))-(-5+((-5*-93.01)*(((-5--5)+(-93.01--5))+-93.01))))-(-5+-5)))*-5)))/-5)--5)+(-5*(((-93.01*(-93.01-(-5/-5)))*(-93.01-(-93.01/(-5*-93.01))))-(-5/-5)))))</f>
        <v>-4040680.239705</v>
      </c>
      <c r="C700" t="n" s="0">
        <v>-4040680.239705</v>
      </c>
    </row>
    <row r="701">
      <c r="A701" t="n" s="0">
        <v>-93.0</v>
      </c>
      <c r="B701" t="n" s="0">
        <f>(-5-((((-5*(-5/((-5/(((-5*(-93--5))-(-5+((-5*-93)*(((-5--5)+(-93--5))+-93))))-(-5+-5)))*-5)))/-5)--5)+(-5*(((-93*(-93-(-5/-5)))*(-93-(-93/(-5*-93))))-(-5/-5)))))</f>
        <v>-4039379.0</v>
      </c>
      <c r="C701" t="n" s="0">
        <v>-4039379.0</v>
      </c>
    </row>
    <row r="702">
      <c r="A702" t="n" s="0">
        <v>-92.99</v>
      </c>
      <c r="B702" t="n" s="0">
        <f>(-5-((((-5*(-5/((-5/(((-5*(-92.99--5))-(-5+((-5*-92.99)*(((-5--5)+(-92.99--5))+-92.99))))-(-5+-5)))*-5)))/-5)--5)+(-5*(((-92.99*(-92.99-(-5/-5)))*(-92.99-(-92.99/(-5*-92.99))))-(-5/-5)))))</f>
        <v>-4038078.039695</v>
      </c>
      <c r="C702" t="n" s="0">
        <v>-4038078.039695</v>
      </c>
    </row>
    <row r="703">
      <c r="A703" t="n" s="0">
        <v>-92.98</v>
      </c>
      <c r="B703" t="n" s="0">
        <f>(-5-((((-5*(-5/((-5/(((-5*(-92.98--5))-(-5+((-5*-92.98)*(((-5--5)+(-92.98--5))+-92.98))))-(-5+-5)))*-5)))/-5)--5)+(-5*(((-92.98*(-92.98-(-5/-5)))*(-92.98-(-92.98/(-5*-92.98))))-(-5/-5)))))</f>
        <v>-4036777.3587599997</v>
      </c>
      <c r="C703" t="n" s="0">
        <v>-4036777.35876</v>
      </c>
    </row>
    <row r="704">
      <c r="A704" t="n" s="0">
        <v>-92.97</v>
      </c>
      <c r="B704" t="n" s="0">
        <f>(-5-((((-5*(-5/((-5/(((-5*(-92.97--5))-(-5+((-5*-92.97)*(((-5--5)+(-92.97--5))+-92.97))))-(-5+-5)))*-5)))/-5)--5)+(-5*(((-92.97*(-92.97-(-5/-5)))*(-92.97-(-92.97/(-5*-92.97))))-(-5/-5)))))</f>
        <v>-4035476.957165</v>
      </c>
      <c r="C704" t="n" s="0">
        <v>-4035476.957165</v>
      </c>
    </row>
    <row r="705">
      <c r="A705" t="n" s="0">
        <v>-92.96</v>
      </c>
      <c r="B705" t="n" s="0">
        <f>(-5-((((-5*(-5/((-5/(((-5*(-92.96--5))-(-5+((-5*-92.96)*(((-5--5)+(-92.96--5))+-92.96))))-(-5+-5)))*-5)))/-5)--5)+(-5*(((-92.96*(-92.96-(-5/-5)))*(-92.96-(-92.96/(-5*-92.96))))-(-5/-5)))))</f>
        <v>-4034176.83488</v>
      </c>
      <c r="C705" t="n" s="0">
        <v>-4034176.834879999</v>
      </c>
    </row>
    <row r="706">
      <c r="A706" t="n" s="0">
        <v>-92.95</v>
      </c>
      <c r="B706" t="n" s="0">
        <f>(-5-((((-5*(-5/((-5/(((-5*(-92.95--5))-(-5+((-5*-92.95)*(((-5--5)+(-92.95--5))+-92.95))))-(-5+-5)))*-5)))/-5)--5)+(-5*(((-92.95*(-92.95-(-5/-5)))*(-92.95-(-92.95/(-5*-92.95))))-(-5/-5)))))</f>
        <v>-4032876.991875</v>
      </c>
      <c r="C706" t="n" s="0">
        <v>-4032876.9918750003</v>
      </c>
    </row>
    <row r="707">
      <c r="A707" t="n" s="0">
        <v>-92.94</v>
      </c>
      <c r="B707" t="n" s="0">
        <f>(-5-((((-5*(-5/((-5/(((-5*(-92.94--5))-(-5+((-5*-92.94)*(((-5--5)+(-92.94--5))+-92.94))))-(-5+-5)))*-5)))/-5)--5)+(-5*(((-92.94*(-92.94-(-5/-5)))*(-92.94-(-92.94/(-5*-92.94))))-(-5/-5)))))</f>
        <v>-4031577.4281200003</v>
      </c>
      <c r="C707" t="n" s="0">
        <v>-4031577.4281199994</v>
      </c>
    </row>
    <row r="708">
      <c r="A708" t="n" s="0">
        <v>-92.93</v>
      </c>
      <c r="B708" t="n" s="0">
        <f>(-5-((((-5*(-5/((-5/(((-5*(-92.93--5))-(-5+((-5*-92.93)*(((-5--5)+(-92.93--5))+-92.93))))-(-5+-5)))*-5)))/-5)--5)+(-5*(((-92.93*(-92.93-(-5/-5)))*(-92.93-(-92.93/(-5*-92.93))))-(-5/-5)))))</f>
        <v>-4030278.143585</v>
      </c>
      <c r="C708" t="n" s="0">
        <v>-4030278.143585001</v>
      </c>
    </row>
    <row r="709">
      <c r="A709" t="n" s="0">
        <v>-92.92</v>
      </c>
      <c r="B709" t="n" s="0">
        <f>(-5-((((-5*(-5/((-5/(((-5*(-92.92--5))-(-5+((-5*-92.92)*(((-5--5)+(-92.92--5))+-92.92))))-(-5+-5)))*-5)))/-5)--5)+(-5*(((-92.92*(-92.92-(-5/-5)))*(-92.92-(-92.92/(-5*-92.92))))-(-5/-5)))))</f>
        <v>-4028979.13824</v>
      </c>
      <c r="C709" t="n" s="0">
        <v>-4028979.13824</v>
      </c>
    </row>
    <row r="710">
      <c r="A710" t="n" s="0">
        <v>-92.91</v>
      </c>
      <c r="B710" t="n" s="0">
        <f>(-5-((((-5*(-5/((-5/(((-5*(-92.91--5))-(-5+((-5*-92.91)*(((-5--5)+(-92.91--5))+-92.91))))-(-5+-5)))*-5)))/-5)--5)+(-5*(((-92.91*(-92.91-(-5/-5)))*(-92.91-(-92.91/(-5*-92.91))))-(-5/-5)))))</f>
        <v>-4027680.412055</v>
      </c>
      <c r="C710" t="n" s="0">
        <v>-4027680.4120549993</v>
      </c>
    </row>
    <row r="711">
      <c r="A711" t="n" s="0">
        <v>-92.9</v>
      </c>
      <c r="B711" t="n" s="0">
        <f>(-5-((((-5*(-5/((-5/(((-5*(-92.9--5))-(-5+((-5*-92.9)*(((-5--5)+(-92.9--5))+-92.9))))-(-5+-5)))*-5)))/-5)--5)+(-5*(((-92.9*(-92.9-(-5/-5)))*(-92.9-(-92.9/(-5*-92.9))))-(-5/-5)))))</f>
        <v>-4026381.965</v>
      </c>
      <c r="C711" t="n" s="0">
        <v>-4026381.965000001</v>
      </c>
    </row>
    <row r="712">
      <c r="A712" t="n" s="0">
        <v>-92.89</v>
      </c>
      <c r="B712" t="n" s="0">
        <f>(-5-((((-5*(-5/((-5/(((-5*(-92.89--5))-(-5+((-5*-92.89)*(((-5--5)+(-92.89--5))+-92.89))))-(-5+-5)))*-5)))/-5)--5)+(-5*(((-92.89*(-92.89-(-5/-5)))*(-92.89-(-92.89/(-5*-92.89))))-(-5/-5)))))</f>
        <v>-4025083.797045</v>
      </c>
      <c r="C712" t="n" s="0">
        <v>-4025083.797045</v>
      </c>
    </row>
    <row r="713">
      <c r="A713" t="n" s="0">
        <v>-92.88</v>
      </c>
      <c r="B713" t="n" s="0">
        <f>(-5-((((-5*(-5/((-5/(((-5*(-92.88--5))-(-5+((-5*-92.88)*(((-5--5)+(-92.88--5))+-92.88))))-(-5+-5)))*-5)))/-5)--5)+(-5*(((-92.88*(-92.88-(-5/-5)))*(-92.88-(-92.88/(-5*-92.88))))-(-5/-5)))))</f>
        <v>-4023785.90816</v>
      </c>
      <c r="C713" t="n" s="0">
        <v>-4023785.9081599996</v>
      </c>
    </row>
    <row r="714">
      <c r="A714" t="n" s="0">
        <v>-92.87</v>
      </c>
      <c r="B714" t="n" s="0">
        <f>(-5-((((-5*(-5/((-5/(((-5*(-92.87--5))-(-5+((-5*-92.87)*(((-5--5)+(-92.87--5))+-92.87))))-(-5+-5)))*-5)))/-5)--5)+(-5*(((-92.87*(-92.87-(-5/-5)))*(-92.87-(-92.87/(-5*-92.87))))-(-5/-5)))))</f>
        <v>-4022488.298315</v>
      </c>
      <c r="C714" t="n" s="0">
        <v>-4022488.2983150003</v>
      </c>
    </row>
    <row r="715">
      <c r="A715" t="n" s="0">
        <v>-92.86</v>
      </c>
      <c r="B715" t="n" s="0">
        <f>(-5-((((-5*(-5/((-5/(((-5*(-92.86--5))-(-5+((-5*-92.86)*(((-5--5)+(-92.86--5))+-92.86))))-(-5+-5)))*-5)))/-5)--5)+(-5*(((-92.86*(-92.86-(-5/-5)))*(-92.86-(-92.86/(-5*-92.86))))-(-5/-5)))))</f>
        <v>-4021190.96748</v>
      </c>
      <c r="C715" t="n" s="0">
        <v>-4021190.96748</v>
      </c>
    </row>
    <row r="716">
      <c r="A716" t="n" s="0">
        <v>-92.85</v>
      </c>
      <c r="B716" t="n" s="0">
        <f>(-5-((((-5*(-5/((-5/(((-5*(-92.85--5))-(-5+((-5*-92.85)*(((-5--5)+(-92.85--5))+-92.85))))-(-5+-5)))*-5)))/-5)--5)+(-5*(((-92.85*(-92.85-(-5/-5)))*(-92.85-(-92.85/(-5*-92.85))))-(-5/-5)))))</f>
        <v>-4019893.915625</v>
      </c>
      <c r="C716" t="n" s="0">
        <v>-4019893.915624999</v>
      </c>
    </row>
    <row r="717">
      <c r="A717" t="n" s="0">
        <v>-92.84</v>
      </c>
      <c r="B717" t="n" s="0">
        <f>(-5-((((-5*(-5/((-5/(((-5*(-92.84--5))-(-5+((-5*-92.84)*(((-5--5)+(-92.84--5))+-92.84))))-(-5+-5)))*-5)))/-5)--5)+(-5*(((-92.84*(-92.84-(-5/-5)))*(-92.84-(-92.84/(-5*-92.84))))-(-5/-5)))))</f>
        <v>-4018597.14272</v>
      </c>
      <c r="C717" t="n" s="0">
        <v>-4018597.142720001</v>
      </c>
    </row>
    <row r="718">
      <c r="A718" t="n" s="0">
        <v>-92.83</v>
      </c>
      <c r="B718" t="n" s="0">
        <f>(-5-((((-5*(-5/((-5/(((-5*(-92.83--5))-(-5+((-5*-92.83)*(((-5--5)+(-92.83--5))+-92.83))))-(-5+-5)))*-5)))/-5)--5)+(-5*(((-92.83*(-92.83-(-5/-5)))*(-92.83-(-92.83/(-5*-92.83))))-(-5/-5)))))</f>
        <v>-4017300.648735</v>
      </c>
      <c r="C718" t="n" s="0">
        <v>-4017300.6487350003</v>
      </c>
    </row>
    <row r="719">
      <c r="A719" t="n" s="0">
        <v>-92.82</v>
      </c>
      <c r="B719" t="n" s="0">
        <f>(-5-((((-5*(-5/((-5/(((-5*(-92.82--5))-(-5+((-5*-92.82)*(((-5--5)+(-92.82--5))+-92.82))))-(-5+-5)))*-5)))/-5)--5)+(-5*(((-92.82*(-92.82-(-5/-5)))*(-92.82-(-92.82/(-5*-92.82))))-(-5/-5)))))</f>
        <v>-4016004.43364</v>
      </c>
      <c r="C719" t="n" s="0">
        <v>-4016004.4336399985</v>
      </c>
    </row>
    <row r="720">
      <c r="A720" t="n" s="0">
        <v>-92.81</v>
      </c>
      <c r="B720" t="n" s="0">
        <f>(-5-((((-5*(-5/((-5/(((-5*(-92.81--5))-(-5+((-5*-92.81)*(((-5--5)+(-92.81--5))+-92.81))))-(-5+-5)))*-5)))/-5)--5)+(-5*(((-92.81*(-92.81-(-5/-5)))*(-92.81-(-92.81/(-5*-92.81))))-(-5/-5)))))</f>
        <v>-4014708.497405</v>
      </c>
      <c r="C720" t="n" s="0">
        <v>-4014708.497405001</v>
      </c>
    </row>
    <row r="721">
      <c r="A721" t="n" s="0">
        <v>-92.8</v>
      </c>
      <c r="B721" t="n" s="0">
        <f>(-5-((((-5*(-5/((-5/(((-5*(-92.8--5))-(-5+((-5*-92.8)*(((-5--5)+(-92.8--5))+-92.8))))-(-5+-5)))*-5)))/-5)--5)+(-5*(((-92.8*(-92.8-(-5/-5)))*(-92.8-(-92.8/(-5*-92.8))))-(-5/-5)))))</f>
        <v>-4013412.84</v>
      </c>
      <c r="C721" t="n" s="0">
        <v>-4013412.84</v>
      </c>
    </row>
    <row r="722">
      <c r="A722" t="n" s="0">
        <v>-92.79</v>
      </c>
      <c r="B722" t="n" s="0">
        <f>(-5-((((-5*(-5/((-5/(((-5*(-92.79--5))-(-5+((-5*-92.79)*(((-5--5)+(-92.79--5))+-92.79))))-(-5+-5)))*-5)))/-5)--5)+(-5*(((-92.79*(-92.79-(-5/-5)))*(-92.79-(-92.79/(-5*-92.79))))-(-5/-5)))))</f>
        <v>-4012117.461395</v>
      </c>
      <c r="C722" t="n" s="0">
        <v>-4012117.461395001</v>
      </c>
    </row>
    <row r="723">
      <c r="A723" t="n" s="0">
        <v>-92.78</v>
      </c>
      <c r="B723" t="n" s="0">
        <f>(-5-((((-5*(-5/((-5/(((-5*(-92.78--5))-(-5+((-5*-92.78)*(((-5--5)+(-92.78--5))+-92.78))))-(-5+-5)))*-5)))/-5)--5)+(-5*(((-92.78*(-92.78-(-5/-5)))*(-92.78-(-92.78/(-5*-92.78))))-(-5/-5)))))</f>
        <v>-4010822.36156</v>
      </c>
      <c r="C723" t="n" s="0">
        <v>-4010822.36156</v>
      </c>
    </row>
    <row r="724">
      <c r="A724" t="n" s="0">
        <v>-92.77</v>
      </c>
      <c r="B724" t="n" s="0">
        <f>(-5-((((-5*(-5/((-5/(((-5*(-92.77--5))-(-5+((-5*-92.77)*(((-5--5)+(-92.77--5))+-92.77))))-(-5+-5)))*-5)))/-5)--5)+(-5*(((-92.77*(-92.77-(-5/-5)))*(-92.77-(-92.77/(-5*-92.77))))-(-5/-5)))))</f>
        <v>-4009527.540465</v>
      </c>
      <c r="C724" t="n" s="0">
        <v>-4009527.540464999</v>
      </c>
    </row>
    <row r="725">
      <c r="A725" t="n" s="0">
        <v>-92.76</v>
      </c>
      <c r="B725" t="n" s="0">
        <f>(-5-((((-5*(-5/((-5/(((-5*(-92.76--5))-(-5+((-5*-92.76)*(((-5--5)+(-92.76--5))+-92.76))))-(-5+-5)))*-5)))/-5)--5)+(-5*(((-92.76*(-92.76-(-5/-5)))*(-92.76-(-92.76/(-5*-92.76))))-(-5/-5)))))</f>
        <v>-4008232.99808</v>
      </c>
      <c r="C725" t="n" s="0">
        <v>-4008232.9980800007</v>
      </c>
    </row>
    <row r="726">
      <c r="A726" t="n" s="0">
        <v>-92.75</v>
      </c>
      <c r="B726" t="n" s="0">
        <f>(-5-((((-5*(-5/((-5/(((-5*(-92.75--5))-(-5+((-5*-92.75)*(((-5--5)+(-92.75--5))+-92.75))))-(-5+-5)))*-5)))/-5)--5)+(-5*(((-92.75*(-92.75-(-5/-5)))*(-92.75-(-92.75/(-5*-92.75))))-(-5/-5)))))</f>
        <v>-4006938.734375</v>
      </c>
      <c r="C726" t="n" s="0">
        <v>-4006938.734375</v>
      </c>
    </row>
    <row r="727">
      <c r="A727" t="n" s="0">
        <v>-92.74</v>
      </c>
      <c r="B727" t="n" s="0">
        <f>(-5-((((-5*(-5/((-5/(((-5*(-92.74--5))-(-5+((-5*-92.74)*(((-5--5)+(-92.74--5))+-92.74))))-(-5+-5)))*-5)))/-5)--5)+(-5*(((-92.74*(-92.74-(-5/-5)))*(-92.74-(-92.74/(-5*-92.74))))-(-5/-5)))))</f>
        <v>-4005644.74932</v>
      </c>
      <c r="C727" t="n" s="0">
        <v>-4005644.7493199995</v>
      </c>
    </row>
    <row r="728">
      <c r="A728" t="n" s="0">
        <v>-92.73</v>
      </c>
      <c r="B728" t="n" s="0">
        <f>(-5-((((-5*(-5/((-5/(((-5*(-92.73--5))-(-5+((-5*-92.73)*(((-5--5)+(-92.73--5))+-92.73))))-(-5+-5)))*-5)))/-5)--5)+(-5*(((-92.73*(-92.73-(-5/-5)))*(-92.73-(-92.73/(-5*-92.73))))-(-5/-5)))))</f>
        <v>-4004351.042885</v>
      </c>
      <c r="C728" t="n" s="0">
        <v>-4004351.042885001</v>
      </c>
    </row>
    <row r="729">
      <c r="A729" t="n" s="0">
        <v>-92.72</v>
      </c>
      <c r="B729" t="n" s="0">
        <f>(-5-((((-5*(-5/((-5/(((-5*(-92.72--5))-(-5+((-5*-92.72)*(((-5--5)+(-92.72--5))+-92.72))))-(-5+-5)))*-5)))/-5)--5)+(-5*(((-92.72*(-92.72-(-5/-5)))*(-92.72-(-92.72/(-5*-92.72))))-(-5/-5)))))</f>
        <v>-4003057.61504</v>
      </c>
      <c r="C729" t="n" s="0">
        <v>-4003057.6150399996</v>
      </c>
    </row>
    <row r="730">
      <c r="A730" t="n" s="0">
        <v>-92.71</v>
      </c>
      <c r="B730" t="n" s="0">
        <f>(-5-((((-5*(-5/((-5/(((-5*(-92.71--5))-(-5+((-5*-92.71)*(((-5--5)+(-92.71--5))+-92.71))))-(-5+-5)))*-5)))/-5)--5)+(-5*(((-92.71*(-92.71-(-5/-5)))*(-92.71-(-92.71/(-5*-92.71))))-(-5/-5)))))</f>
        <v>-4001764.4657550002</v>
      </c>
      <c r="C730" t="n" s="0">
        <v>-4001764.465754999</v>
      </c>
    </row>
    <row r="731">
      <c r="A731" t="n" s="0">
        <v>-92.7</v>
      </c>
      <c r="B731" t="n" s="0">
        <f>(-5-((((-5*(-5/((-5/(((-5*(-92.7--5))-(-5+((-5*-92.7)*(((-5--5)+(-92.7--5))+-92.7))))-(-5+-5)))*-5)))/-5)--5)+(-5*(((-92.7*(-92.7-(-5/-5)))*(-92.7-(-92.7/(-5*-92.7))))-(-5/-5)))))</f>
        <v>-4000471.595</v>
      </c>
      <c r="C731" t="n" s="0">
        <v>-4000471.5950000007</v>
      </c>
    </row>
    <row r="732">
      <c r="A732" t="n" s="0">
        <v>-92.69</v>
      </c>
      <c r="B732" t="n" s="0">
        <f>(-5-((((-5*(-5/((-5/(((-5*(-92.69--5))-(-5+((-5*-92.69)*(((-5--5)+(-92.69--5))+-92.69))))-(-5+-5)))*-5)))/-5)--5)+(-5*(((-92.69*(-92.69-(-5/-5)))*(-92.69-(-92.69/(-5*-92.69))))-(-5/-5)))))</f>
        <v>-3999179.002745</v>
      </c>
      <c r="C732" t="n" s="0">
        <v>-3999179.0027449997</v>
      </c>
    </row>
    <row r="733">
      <c r="A733" t="n" s="0">
        <v>-92.68</v>
      </c>
      <c r="B733" t="n" s="0">
        <f>(-5-((((-5*(-5/((-5/(((-5*(-92.68--5))-(-5+((-5*-92.68)*(((-5--5)+(-92.68--5))+-92.68))))-(-5+-5)))*-5)))/-5)--5)+(-5*(((-92.68*(-92.68-(-5/-5)))*(-92.68-(-92.68/(-5*-92.68))))-(-5/-5)))))</f>
        <v>-3997886.68896</v>
      </c>
      <c r="C733" t="n" s="0">
        <v>-3997886.688960001</v>
      </c>
    </row>
    <row r="734">
      <c r="A734" t="n" s="0">
        <v>-92.67</v>
      </c>
      <c r="B734" t="n" s="0">
        <f>(-5-((((-5*(-5/((-5/(((-5*(-92.67--5))-(-5+((-5*-92.67)*(((-5--5)+(-92.67--5))+-92.67))))-(-5+-5)))*-5)))/-5)--5)+(-5*(((-92.67*(-92.67-(-5/-5)))*(-92.67-(-92.67/(-5*-92.67))))-(-5/-5)))))</f>
        <v>-3996594.653615</v>
      </c>
      <c r="C734" t="n" s="0">
        <v>-3996594.6536149997</v>
      </c>
    </row>
    <row r="735">
      <c r="A735" t="n" s="0">
        <v>-92.66</v>
      </c>
      <c r="B735" t="n" s="0">
        <f>(-5-((((-5*(-5/((-5/(((-5*(-92.66--5))-(-5+((-5*-92.66)*(((-5--5)+(-92.66--5))+-92.66))))-(-5+-5)))*-5)))/-5)--5)+(-5*(((-92.66*(-92.66-(-5/-5)))*(-92.66-(-92.66/(-5*-92.66))))-(-5/-5)))))</f>
        <v>-3995302.89668</v>
      </c>
      <c r="C735" t="n" s="0">
        <v>-3995302.8966799993</v>
      </c>
    </row>
    <row r="736">
      <c r="A736" t="n" s="0">
        <v>-92.65</v>
      </c>
      <c r="B736" t="n" s="0">
        <f>(-5-((((-5*(-5/((-5/(((-5*(-92.65--5))-(-5+((-5*-92.65)*(((-5--5)+(-92.65--5))+-92.65))))-(-5+-5)))*-5)))/-5)--5)+(-5*(((-92.65*(-92.65-(-5/-5)))*(-92.65-(-92.65/(-5*-92.65))))-(-5/-5)))))</f>
        <v>-3994011.4181250003</v>
      </c>
      <c r="C736" t="n" s="0">
        <v>-3994011.418125001</v>
      </c>
    </row>
    <row r="737">
      <c r="A737" t="n" s="0">
        <v>-92.64</v>
      </c>
      <c r="B737" t="n" s="0">
        <f>(-5-((((-5*(-5/((-5/(((-5*(-92.64--5))-(-5+((-5*-92.64)*(((-5--5)+(-92.64--5))+-92.64))))-(-5+-5)))*-5)))/-5)--5)+(-5*(((-92.64*(-92.64-(-5/-5)))*(-92.64-(-92.64/(-5*-92.64))))-(-5/-5)))))</f>
        <v>-3992720.2179199997</v>
      </c>
      <c r="C737" t="n" s="0">
        <v>-3992720.21792</v>
      </c>
    </row>
    <row r="738">
      <c r="A738" t="n" s="0">
        <v>-92.63</v>
      </c>
      <c r="B738" t="n" s="0">
        <f>(-5-((((-5*(-5/((-5/(((-5*(-92.63--5))-(-5+((-5*-92.63)*(((-5--5)+(-92.63--5))+-92.63))))-(-5+-5)))*-5)))/-5)--5)+(-5*(((-92.63*(-92.63-(-5/-5)))*(-92.63-(-92.63/(-5*-92.63))))-(-5/-5)))))</f>
        <v>-3991429.296035</v>
      </c>
      <c r="C738" t="n" s="0">
        <v>-3991429.2960349997</v>
      </c>
    </row>
    <row r="739">
      <c r="A739" t="n" s="0">
        <v>-92.62</v>
      </c>
      <c r="B739" t="n" s="0">
        <f>(-5-((((-5*(-5/((-5/(((-5*(-92.62--5))-(-5+((-5*-92.62)*(((-5--5)+(-92.62--5))+-92.62))))-(-5+-5)))*-5)))/-5)--5)+(-5*(((-92.62*(-92.62-(-5/-5)))*(-92.62-(-92.62/(-5*-92.62))))-(-5/-5)))))</f>
        <v>-3990138.6524400003</v>
      </c>
      <c r="C739" t="n" s="0">
        <v>-3990138.652440001</v>
      </c>
    </row>
    <row r="740">
      <c r="A740" t="n" s="0">
        <v>-92.61</v>
      </c>
      <c r="B740" t="n" s="0">
        <f>(-5-((((-5*(-5/((-5/(((-5*(-92.61--5))-(-5+((-5*-92.61)*(((-5--5)+(-92.61--5))+-92.61))))-(-5+-5)))*-5)))/-5)--5)+(-5*(((-92.61*(-92.61-(-5/-5)))*(-92.61-(-92.61/(-5*-92.61))))-(-5/-5)))))</f>
        <v>-3988848.287105</v>
      </c>
      <c r="C740" t="n" s="0">
        <v>-3988848.287105</v>
      </c>
    </row>
    <row r="741">
      <c r="A741" t="n" s="0">
        <v>-92.6</v>
      </c>
      <c r="B741" t="n" s="0">
        <f>(-5-((((-5*(-5/((-5/(((-5*(-92.6--5))-(-5+((-5*-92.6)*(((-5--5)+(-92.6--5))+-92.6))))-(-5+-5)))*-5)))/-5)--5)+(-5*(((-92.6*(-92.6-(-5/-5)))*(-92.6-(-92.6/(-5*-92.6))))-(-5/-5)))))</f>
        <v>-3987558.1999999997</v>
      </c>
      <c r="C741" t="n" s="0">
        <v>-3987558.199999999</v>
      </c>
    </row>
    <row r="742">
      <c r="A742" t="n" s="0">
        <v>-92.59</v>
      </c>
      <c r="B742" t="n" s="0">
        <f>(-5-((((-5*(-5/((-5/(((-5*(-92.59--5))-(-5+((-5*-92.59)*(((-5--5)+(-92.59--5))+-92.59))))-(-5+-5)))*-5)))/-5)--5)+(-5*(((-92.59*(-92.59-(-5/-5)))*(-92.59-(-92.59/(-5*-92.59))))-(-5/-5)))))</f>
        <v>-3986268.3910950003</v>
      </c>
      <c r="C742" t="n" s="0">
        <v>-3986268.391095001</v>
      </c>
    </row>
    <row r="743">
      <c r="A743" t="n" s="0">
        <v>-92.58</v>
      </c>
      <c r="B743" t="n" s="0">
        <f>(-5-((((-5*(-5/((-5/(((-5*(-92.58--5))-(-5+((-5*-92.58)*(((-5--5)+(-92.58--5))+-92.58))))-(-5+-5)))*-5)))/-5)--5)+(-5*(((-92.58*(-92.58-(-5/-5)))*(-92.58-(-92.58/(-5*-92.58))))-(-5/-5)))))</f>
        <v>-3984978.8603600003</v>
      </c>
      <c r="C743" t="n" s="0">
        <v>-3984978.86036</v>
      </c>
    </row>
    <row r="744">
      <c r="A744" t="n" s="0">
        <v>-92.57</v>
      </c>
      <c r="B744" t="n" s="0">
        <f>(-5-((((-5*(-5/((-5/(((-5*(-92.57--5))-(-5+((-5*-92.57)*(((-5--5)+(-92.57--5))+-92.57))))-(-5+-5)))*-5)))/-5)--5)+(-5*(((-92.57*(-92.57-(-5/-5)))*(-92.57-(-92.57/(-5*-92.57))))-(-5/-5)))))</f>
        <v>-3983689.607765</v>
      </c>
      <c r="C744" t="n" s="0">
        <v>-3983689.6077649994</v>
      </c>
    </row>
    <row r="745">
      <c r="A745" t="n" s="0">
        <v>-92.56</v>
      </c>
      <c r="B745" t="n" s="0">
        <f>(-5-((((-5*(-5/((-5/(((-5*(-92.56--5))-(-5+((-5*-92.56)*(((-5--5)+(-92.56--5))+-92.56))))-(-5+-5)))*-5)))/-5)--5)+(-5*(((-92.56*(-92.56-(-5/-5)))*(-92.56-(-92.56/(-5*-92.56))))-(-5/-5)))))</f>
        <v>-3982400.63328</v>
      </c>
      <c r="C745" t="n" s="0">
        <v>-3982400.6332800006</v>
      </c>
    </row>
    <row r="746">
      <c r="A746" t="n" s="0">
        <v>-92.55</v>
      </c>
      <c r="B746" t="n" s="0">
        <f>(-5-((((-5*(-5/((-5/(((-5*(-92.55--5))-(-5+((-5*-92.55)*(((-5--5)+(-92.55--5))+-92.55))))-(-5+-5)))*-5)))/-5)--5)+(-5*(((-92.55*(-92.55-(-5/-5)))*(-92.55-(-92.55/(-5*-92.55))))-(-5/-5)))))</f>
        <v>-3981111.9368749997</v>
      </c>
      <c r="C746" t="n" s="0">
        <v>-3981111.936874999</v>
      </c>
    </row>
    <row r="747">
      <c r="A747" t="n" s="0">
        <v>-92.54</v>
      </c>
      <c r="B747" t="n" s="0">
        <f>(-5-((((-5*(-5/((-5/(((-5*(-92.54--5))-(-5+((-5*-92.54)*(((-5--5)+(-92.54--5))+-92.54))))-(-5+-5)))*-5)))/-5)--5)+(-5*(((-92.54*(-92.54-(-5/-5)))*(-92.54-(-92.54/(-5*-92.54))))-(-5/-5)))))</f>
        <v>-3979823.5185200004</v>
      </c>
      <c r="C747" t="n" s="0">
        <v>-3979823.518520001</v>
      </c>
    </row>
    <row r="748">
      <c r="A748" t="n" s="0">
        <v>-92.53</v>
      </c>
      <c r="B748" t="n" s="0">
        <f>(-5-((((-5*(-5/((-5/(((-5*(-92.53--5))-(-5+((-5*-92.53)*(((-5--5)+(-92.53--5))+-92.53))))-(-5+-5)))*-5)))/-5)--5)+(-5*(((-92.53*(-92.53-(-5/-5)))*(-92.53-(-92.53/(-5*-92.53))))-(-5/-5)))))</f>
        <v>-3978535.378185</v>
      </c>
      <c r="C748" t="n" s="0">
        <v>-3978535.378185</v>
      </c>
    </row>
    <row r="749">
      <c r="A749" t="n" s="0">
        <v>-92.52</v>
      </c>
      <c r="B749" t="n" s="0">
        <f>(-5-((((-5*(-5/((-5/(((-5*(-92.52--5))-(-5+((-5*-92.52)*(((-5--5)+(-92.52--5))+-92.52))))-(-5+-5)))*-5)))/-5)--5)+(-5*(((-92.52*(-92.52-(-5/-5)))*(-92.52-(-92.52/(-5*-92.52))))-(-5/-5)))))</f>
        <v>-3977247.51584</v>
      </c>
      <c r="C749" t="n" s="0">
        <v>-3977247.515839999</v>
      </c>
    </row>
    <row r="750">
      <c r="A750" t="n" s="0">
        <v>-92.51</v>
      </c>
      <c r="B750" t="n" s="0">
        <f>(-5-((((-5*(-5/((-5/(((-5*(-92.51--5))-(-5+((-5*-92.51)*(((-5--5)+(-92.51--5))+-92.51))))-(-5+-5)))*-5)))/-5)--5)+(-5*(((-92.51*(-92.51-(-5/-5)))*(-92.51-(-92.51/(-5*-92.51))))-(-5/-5)))))</f>
        <v>-3975959.9314550003</v>
      </c>
      <c r="C750" t="n" s="0">
        <v>-3975959.9314550003</v>
      </c>
    </row>
    <row r="751">
      <c r="A751" t="n" s="0">
        <v>-92.5</v>
      </c>
      <c r="B751" t="n" s="0">
        <f>(-5-((((-5*(-5/((-5/(((-5*(-92.5--5))-(-5+((-5*-92.5)*(((-5--5)+(-92.5--5))+-92.5))))-(-5+-5)))*-5)))/-5)--5)+(-5*(((-92.5*(-92.5-(-5/-5)))*(-92.5-(-92.5/(-5*-92.5))))-(-5/-5)))))</f>
        <v>-3974672.625</v>
      </c>
      <c r="C751" t="n" s="0">
        <v>-3974672.625</v>
      </c>
    </row>
    <row r="752">
      <c r="A752" t="n" s="0">
        <v>-92.49</v>
      </c>
      <c r="B752" t="n" s="0">
        <f>(-5-((((-5*(-5/((-5/(((-5*(-92.49--5))-(-5+((-5*-92.49)*(((-5--5)+(-92.49--5))+-92.49))))-(-5+-5)))*-5)))/-5)--5)+(-5*(((-92.49*(-92.49-(-5/-5)))*(-92.49-(-92.49/(-5*-92.49))))-(-5/-5)))))</f>
        <v>-3973385.596445</v>
      </c>
      <c r="C752" t="n" s="0">
        <v>-3973385.596445</v>
      </c>
    </row>
    <row r="753">
      <c r="A753" t="n" s="0">
        <v>-92.48</v>
      </c>
      <c r="B753" t="n" s="0">
        <f>(-5-((((-5*(-5/((-5/(((-5*(-92.48--5))-(-5+((-5*-92.48)*(((-5--5)+(-92.48--5))+-92.48))))-(-5+-5)))*-5)))/-5)--5)+(-5*(((-92.48*(-92.48-(-5/-5)))*(-92.48-(-92.48/(-5*-92.48))))-(-5/-5)))))</f>
        <v>-3972098.84576</v>
      </c>
      <c r="C753" t="n" s="0">
        <v>-3972098.8457600004</v>
      </c>
    </row>
    <row r="754">
      <c r="A754" t="n" s="0">
        <v>-92.47</v>
      </c>
      <c r="B754" t="n" s="0">
        <f>(-5-((((-5*(-5/((-5/(((-5*(-92.47--5))-(-5+((-5*-92.47)*(((-5--5)+(-92.47--5))+-92.47))))-(-5+-5)))*-5)))/-5)--5)+(-5*(((-92.47*(-92.47-(-5/-5)))*(-92.47-(-92.47/(-5*-92.47))))-(-5/-5)))))</f>
        <v>-3970812.3729149997</v>
      </c>
      <c r="C754" t="n" s="0">
        <v>-3970812.372915</v>
      </c>
    </row>
    <row r="755">
      <c r="A755" t="n" s="0">
        <v>-92.46</v>
      </c>
      <c r="B755" t="n" s="0">
        <f>(-5-((((-5*(-5/((-5/(((-5*(-92.46--5))-(-5+((-5*-92.46)*(((-5--5)+(-92.46--5))+-92.46))))-(-5+-5)))*-5)))/-5)--5)+(-5*(((-92.46*(-92.46-(-5/-5)))*(-92.46-(-92.46/(-5*-92.46))))-(-5/-5)))))</f>
        <v>-3969526.17788</v>
      </c>
      <c r="C755" t="n" s="0">
        <v>-3969526.177879999</v>
      </c>
    </row>
    <row r="756">
      <c r="A756" t="n" s="0">
        <v>-92.45</v>
      </c>
      <c r="B756" t="n" s="0">
        <f>(-5-((((-5*(-5/((-5/(((-5*(-92.45--5))-(-5+((-5*-92.45)*(((-5--5)+(-92.45--5))+-92.45))))-(-5+-5)))*-5)))/-5)--5)+(-5*(((-92.45*(-92.45-(-5/-5)))*(-92.45-(-92.45/(-5*-92.45))))-(-5/-5)))))</f>
        <v>-3968240.260625</v>
      </c>
      <c r="C756" t="n" s="0">
        <v>-3968240.2606250006</v>
      </c>
    </row>
    <row r="757">
      <c r="A757" t="n" s="0">
        <v>-92.44</v>
      </c>
      <c r="B757" t="n" s="0">
        <f>(-5-((((-5*(-5/((-5/(((-5*(-92.44--5))-(-5+((-5*-92.44)*(((-5--5)+(-92.44--5))+-92.44))))-(-5+-5)))*-5)))/-5)--5)+(-5*(((-92.44*(-92.44-(-5/-5)))*(-92.44-(-92.44/(-5*-92.44))))-(-5/-5)))))</f>
        <v>-3966954.6211200003</v>
      </c>
      <c r="C757" t="n" s="0">
        <v>-3966954.62112</v>
      </c>
    </row>
    <row r="758">
      <c r="A758" t="n" s="0">
        <v>-92.43</v>
      </c>
      <c r="B758" t="n" s="0">
        <f>(-5-((((-5*(-5/((-5/(((-5*(-92.43--5))-(-5+((-5*-92.43)*(((-5--5)+(-92.43--5))+-92.43))))-(-5+-5)))*-5)))/-5)--5)+(-5*(((-92.43*(-92.43-(-5/-5)))*(-92.43-(-92.43/(-5*-92.43))))-(-5/-5)))))</f>
        <v>-3965669.259335</v>
      </c>
      <c r="C758" t="n" s="0">
        <v>-3965669.259335001</v>
      </c>
    </row>
    <row r="759">
      <c r="A759" t="n" s="0">
        <v>-92.42</v>
      </c>
      <c r="B759" t="n" s="0">
        <f>(-5-((((-5*(-5/((-5/(((-5*(-92.42--5))-(-5+((-5*-92.42)*(((-5--5)+(-92.42--5))+-92.42))))-(-5+-5)))*-5)))/-5)--5)+(-5*(((-92.42*(-92.42-(-5/-5)))*(-92.42-(-92.42/(-5*-92.42))))-(-5/-5)))))</f>
        <v>-3964384.1752400002</v>
      </c>
      <c r="C759" t="n" s="0">
        <v>-3964384.17524</v>
      </c>
    </row>
    <row r="760">
      <c r="A760" t="n" s="0">
        <v>-92.41</v>
      </c>
      <c r="B760" t="n" s="0">
        <f>(-5-((((-5*(-5/((-5/(((-5*(-92.41--5))-(-5+((-5*-92.41)*(((-5--5)+(-92.41--5))+-92.41))))-(-5+-5)))*-5)))/-5)--5)+(-5*(((-92.41*(-92.41-(-5/-5)))*(-92.41-(-92.41/(-5*-92.41))))-(-5/-5)))))</f>
        <v>-3963099.368805</v>
      </c>
      <c r="C760" t="n" s="0">
        <v>-3963099.3688049996</v>
      </c>
    </row>
    <row r="761">
      <c r="A761" t="n" s="0">
        <v>-92.4</v>
      </c>
      <c r="B761" t="n" s="0">
        <f>(-5-((((-5*(-5/((-5/(((-5*(-92.4--5))-(-5+((-5*-92.4)*(((-5--5)+(-92.4--5))+-92.4))))-(-5+-5)))*-5)))/-5)--5)+(-5*(((-92.4*(-92.4-(-5/-5)))*(-92.4-(-92.4/(-5*-92.4))))-(-5/-5)))))</f>
        <v>-3961814.84</v>
      </c>
      <c r="C761" t="n" s="0">
        <v>-3961814.840000001</v>
      </c>
    </row>
    <row r="762">
      <c r="A762" t="n" s="0">
        <v>-92.39</v>
      </c>
      <c r="B762" t="n" s="0">
        <f>(-5-((((-5*(-5/((-5/(((-5*(-92.39--5))-(-5+((-5*-92.39)*(((-5--5)+(-92.39--5))+-92.39))))-(-5+-5)))*-5)))/-5)--5)+(-5*(((-92.39*(-92.39-(-5/-5)))*(-92.39-(-92.39/(-5*-92.39))))-(-5/-5)))))</f>
        <v>-3960530.5887949998</v>
      </c>
      <c r="C762" t="n" s="0">
        <v>-3960530.5887949998</v>
      </c>
    </row>
    <row r="763">
      <c r="A763" t="n" s="0">
        <v>-92.38</v>
      </c>
      <c r="B763" t="n" s="0">
        <f>(-5-((((-5*(-5/((-5/(((-5*(-92.38--5))-(-5+((-5*-92.38)*(((-5--5)+(-92.38--5))+-92.38))))-(-5+-5)))*-5)))/-5)--5)+(-5*(((-92.38*(-92.38-(-5/-5)))*(-92.38-(-92.38/(-5*-92.38))))-(-5/-5)))))</f>
        <v>-3959246.61516</v>
      </c>
      <c r="C763" t="n" s="0">
        <v>-3959246.61516</v>
      </c>
    </row>
    <row r="764">
      <c r="A764" t="n" s="0">
        <v>-92.37</v>
      </c>
      <c r="B764" t="n" s="0">
        <f>(-5-((((-5*(-5/((-5/(((-5*(-92.37--5))-(-5+((-5*-92.37)*(((-5--5)+(-92.37--5))+-92.37))))-(-5+-5)))*-5)))/-5)--5)+(-5*(((-92.37*(-92.37-(-5/-5)))*(-92.37-(-92.37/(-5*-92.37))))-(-5/-5)))))</f>
        <v>-3957962.919065</v>
      </c>
      <c r="C764" t="n" s="0">
        <v>-3957962.919065001</v>
      </c>
    </row>
    <row r="765">
      <c r="A765" t="n" s="0">
        <v>-92.36</v>
      </c>
      <c r="B765" t="n" s="0">
        <f>(-5-((((-5*(-5/((-5/(((-5*(-92.36--5))-(-5+((-5*-92.36)*(((-5--5)+(-92.36--5))+-92.36))))-(-5+-5)))*-5)))/-5)--5)+(-5*(((-92.36*(-92.36-(-5/-5)))*(-92.36-(-92.36/(-5*-92.36))))-(-5/-5)))))</f>
        <v>-3956679.5004800004</v>
      </c>
      <c r="C765" t="n" s="0">
        <v>-3956679.50048</v>
      </c>
    </row>
    <row r="766">
      <c r="A766" t="n" s="0">
        <v>-92.35</v>
      </c>
      <c r="B766" t="n" s="0">
        <f>(-5-((((-5*(-5/((-5/(((-5*(-92.35--5))-(-5+((-5*-92.35)*(((-5--5)+(-92.35--5))+-92.35))))-(-5+-5)))*-5)))/-5)--5)+(-5*(((-92.35*(-92.35-(-5/-5)))*(-92.35-(-92.35/(-5*-92.35))))-(-5/-5)))))</f>
        <v>-3955396.359375</v>
      </c>
      <c r="C766" t="n" s="0">
        <v>-3955396.359374999</v>
      </c>
    </row>
    <row r="767">
      <c r="A767" t="n" s="0">
        <v>-92.34</v>
      </c>
      <c r="B767" t="n" s="0">
        <f>(-5-((((-5*(-5/((-5/(((-5*(-92.34--5))-(-5+((-5*-92.34)*(((-5--5)+(-92.34--5))+-92.34))))-(-5+-5)))*-5)))/-5)--5)+(-5*(((-92.34*(-92.34-(-5/-5)))*(-92.34-(-92.34/(-5*-92.34))))-(-5/-5)))))</f>
        <v>-3954113.49572</v>
      </c>
      <c r="C767" t="n" s="0">
        <v>-3954113.49572</v>
      </c>
    </row>
    <row r="768">
      <c r="A768" t="n" s="0">
        <v>-92.33</v>
      </c>
      <c r="B768" t="n" s="0">
        <f>(-5-((((-5*(-5/((-5/(((-5*(-92.33--5))-(-5+((-5*-92.33)*(((-5--5)+(-92.33--5))+-92.33))))-(-5+-5)))*-5)))/-5)--5)+(-5*(((-92.33*(-92.33-(-5/-5)))*(-92.33-(-92.33/(-5*-92.33))))-(-5/-5)))))</f>
        <v>-3952830.909485</v>
      </c>
      <c r="C768" t="n" s="0">
        <v>-3952830.909485</v>
      </c>
    </row>
    <row r="769">
      <c r="A769" t="n" s="0">
        <v>-92.32</v>
      </c>
      <c r="B769" t="n" s="0">
        <f>(-5-((((-5*(-5/((-5/(((-5*(-92.32--5))-(-5+((-5*-92.32)*(((-5--5)+(-92.32--5))+-92.32))))-(-5+-5)))*-5)))/-5)--5)+(-5*(((-92.32*(-92.32-(-5/-5)))*(-92.32-(-92.32/(-5*-92.32))))-(-5/-5)))))</f>
        <v>-3951548.60064</v>
      </c>
      <c r="C769" t="n" s="0">
        <v>-3951548.6006399994</v>
      </c>
    </row>
    <row r="770">
      <c r="A770" t="n" s="0">
        <v>-92.31</v>
      </c>
      <c r="B770" t="n" s="0">
        <f>(-5-((((-5*(-5/((-5/(((-5*(-92.31--5))-(-5+((-5*-92.31)*(((-5--5)+(-92.31--5))+-92.31))))-(-5+-5)))*-5)))/-5)--5)+(-5*(((-92.31*(-92.31-(-5/-5)))*(-92.31-(-92.31/(-5*-92.31))))-(-5/-5)))))</f>
        <v>-3950266.569155</v>
      </c>
      <c r="C770" t="n" s="0">
        <v>-3950266.569155</v>
      </c>
    </row>
    <row r="771">
      <c r="A771" t="n" s="0">
        <v>-92.3</v>
      </c>
      <c r="B771" t="n" s="0">
        <f>(-5-((((-5*(-5/((-5/(((-5*(-92.3--5))-(-5+((-5*-92.3)*(((-5--5)+(-92.3--5))+-92.3))))-(-5+-5)))*-5)))/-5)--5)+(-5*(((-92.3*(-92.3-(-5/-5)))*(-92.3-(-92.3/(-5*-92.3))))-(-5/-5)))))</f>
        <v>-3948984.815</v>
      </c>
      <c r="C771" t="n" s="0">
        <v>-3948984.815</v>
      </c>
    </row>
    <row r="772">
      <c r="A772" t="n" s="0">
        <v>-92.29</v>
      </c>
      <c r="B772" t="n" s="0">
        <f>(-5-((((-5*(-5/((-5/(((-5*(-92.29--5))-(-5+((-5*-92.29)*(((-5--5)+(-92.29--5))+-92.29))))-(-5+-5)))*-5)))/-5)--5)+(-5*(((-92.29*(-92.29-(-5/-5)))*(-92.29-(-92.29/(-5*-92.29))))-(-5/-5)))))</f>
        <v>-3947703.3381450004</v>
      </c>
      <c r="C772" t="n" s="0">
        <v>-3947703.338145001</v>
      </c>
    </row>
    <row r="773">
      <c r="A773" t="n" s="0">
        <v>-92.28</v>
      </c>
      <c r="B773" t="n" s="0">
        <f>(-5-((((-5*(-5/((-5/(((-5*(-92.28--5))-(-5+((-5*-92.28)*(((-5--5)+(-92.28--5))+-92.28))))-(-5+-5)))*-5)))/-5)--5)+(-5*(((-92.28*(-92.28-(-5/-5)))*(-92.28-(-92.28/(-5*-92.28))))-(-5/-5)))))</f>
        <v>-3946422.13856</v>
      </c>
      <c r="C773" t="n" s="0">
        <v>-3946422.13856</v>
      </c>
    </row>
    <row r="774">
      <c r="A774" t="n" s="0">
        <v>-92.27</v>
      </c>
      <c r="B774" t="n" s="0">
        <f>(-5-((((-5*(-5/((-5/(((-5*(-92.27--5))-(-5+((-5*-92.27)*(((-5--5)+(-92.27--5))+-92.27))))-(-5+-5)))*-5)))/-5)--5)+(-5*(((-92.27*(-92.27-(-5/-5)))*(-92.27-(-92.27/(-5*-92.27))))-(-5/-5)))))</f>
        <v>-3945141.216215</v>
      </c>
      <c r="C774" t="n" s="0">
        <v>-3945141.2162149996</v>
      </c>
    </row>
    <row r="775">
      <c r="A775" t="n" s="0">
        <v>-92.26</v>
      </c>
      <c r="B775" t="n" s="0">
        <f>(-5-((((-5*(-5/((-5/(((-5*(-92.26--5))-(-5+((-5*-92.26)*(((-5--5)+(-92.26--5))+-92.26))))-(-5+-5)))*-5)))/-5)--5)+(-5*(((-92.26*(-92.26-(-5/-5)))*(-92.26-(-92.26/(-5*-92.26))))-(-5/-5)))))</f>
        <v>-3943860.57108</v>
      </c>
      <c r="C775" t="n" s="0">
        <v>-3943860.5710800006</v>
      </c>
    </row>
    <row r="776">
      <c r="A776" t="n" s="0">
        <v>-92.25</v>
      </c>
      <c r="B776" t="n" s="0">
        <f>(-5-((((-5*(-5/((-5/(((-5*(-92.25--5))-(-5+((-5*-92.25)*(((-5--5)+(-92.25--5))+-92.25))))-(-5+-5)))*-5)))/-5)--5)+(-5*(((-92.25*(-92.25-(-5/-5)))*(-92.25-(-92.25/(-5*-92.25))))-(-5/-5)))))</f>
        <v>-3942580.203125</v>
      </c>
      <c r="C776" t="n" s="0">
        <v>-3942580.203125</v>
      </c>
    </row>
    <row r="777">
      <c r="A777" t="n" s="0">
        <v>-92.24</v>
      </c>
      <c r="B777" t="n" s="0">
        <f>(-5-((((-5*(-5/((-5/(((-5*(-92.24--5))-(-5+((-5*-92.24)*(((-5--5)+(-92.24--5))+-92.24))))-(-5+-5)))*-5)))/-5)--5)+(-5*(((-92.24*(-92.24-(-5/-5)))*(-92.24-(-92.24/(-5*-92.24))))-(-5/-5)))))</f>
        <v>-3941300.11232</v>
      </c>
      <c r="C777" t="n" s="0">
        <v>-3941300.11232</v>
      </c>
    </row>
    <row r="778">
      <c r="A778" t="n" s="0">
        <v>-92.23</v>
      </c>
      <c r="B778" t="n" s="0">
        <f>(-5-((((-5*(-5/((-5/(((-5*(-92.23--5))-(-5+((-5*-92.23)*(((-5--5)+(-92.23--5))+-92.23))))-(-5+-5)))*-5)))/-5)--5)+(-5*(((-92.23*(-92.23-(-5/-5)))*(-92.23-(-92.23/(-5*-92.23))))-(-5/-5)))))</f>
        <v>-3940020.298635</v>
      </c>
      <c r="C778" t="n" s="0">
        <v>-3940020.298635001</v>
      </c>
    </row>
    <row r="779">
      <c r="A779" t="n" s="0">
        <v>-92.22</v>
      </c>
      <c r="B779" t="n" s="0">
        <f>(-5-((((-5*(-5/((-5/(((-5*(-92.22--5))-(-5+((-5*-92.22)*(((-5--5)+(-92.22--5))+-92.22))))-(-5+-5)))*-5)))/-5)--5)+(-5*(((-92.22*(-92.22-(-5/-5)))*(-92.22-(-92.22/(-5*-92.22))))-(-5/-5)))))</f>
        <v>-3938740.76204</v>
      </c>
      <c r="C779" t="n" s="0">
        <v>-3938740.76204</v>
      </c>
    </row>
    <row r="780">
      <c r="A780" t="n" s="0">
        <v>-92.21</v>
      </c>
      <c r="B780" t="n" s="0">
        <f>(-5-((((-5*(-5/((-5/(((-5*(-92.21--5))-(-5+((-5*-92.21)*(((-5--5)+(-92.21--5))+-92.21))))-(-5+-5)))*-5)))/-5)--5)+(-5*(((-92.21*(-92.21-(-5/-5)))*(-92.21-(-92.21/(-5*-92.21))))-(-5/-5)))))</f>
        <v>-3937461.5025049997</v>
      </c>
      <c r="C780" t="n" s="0">
        <v>-3937461.502504999</v>
      </c>
    </row>
    <row r="781">
      <c r="A781" t="n" s="0">
        <v>-92.2</v>
      </c>
      <c r="B781" t="n" s="0">
        <f>(-5-((((-5*(-5/((-5/(((-5*(-92.2--5))-(-5+((-5*-92.2)*(((-5--5)+(-92.2--5))+-92.2))))-(-5+-5)))*-5)))/-5)--5)+(-5*(((-92.2*(-92.2-(-5/-5)))*(-92.2-(-92.2/(-5*-92.2))))-(-5/-5)))))</f>
        <v>-3936182.52</v>
      </c>
      <c r="C781" t="n" s="0">
        <v>-3936182.5200000005</v>
      </c>
    </row>
    <row r="782">
      <c r="A782" t="n" s="0">
        <v>-92.19</v>
      </c>
      <c r="B782" t="n" s="0">
        <f>(-5-((((-5*(-5/((-5/(((-5*(-92.19--5))-(-5+((-5*-92.19)*(((-5--5)+(-92.19--5))+-92.19))))-(-5+-5)))*-5)))/-5)--5)+(-5*(((-92.19*(-92.19-(-5/-5)))*(-92.19-(-92.19/(-5*-92.19))))-(-5/-5)))))</f>
        <v>-3934903.814495</v>
      </c>
      <c r="C782" t="n" s="0">
        <v>-3934903.8144949996</v>
      </c>
    </row>
    <row r="783">
      <c r="A783" t="n" s="0">
        <v>-92.18</v>
      </c>
      <c r="B783" t="n" s="0">
        <f>(-5-((((-5*(-5/((-5/(((-5*(-92.18--5))-(-5+((-5*-92.18)*(((-5--5)+(-92.18--5))+-92.18))))-(-5+-5)))*-5)))/-5)--5)+(-5*(((-92.18*(-92.18-(-5/-5)))*(-92.18-(-92.18/(-5*-92.18))))-(-5/-5)))))</f>
        <v>-3933625.38596</v>
      </c>
      <c r="C783" t="n" s="0">
        <v>-3933625.385960001</v>
      </c>
    </row>
    <row r="784">
      <c r="A784" t="n" s="0">
        <v>-92.17</v>
      </c>
      <c r="B784" t="n" s="0">
        <f>(-5-((((-5*(-5/((-5/(((-5*(-92.17--5))-(-5+((-5*-92.17)*(((-5--5)+(-92.17--5))+-92.17))))-(-5+-5)))*-5)))/-5)--5)+(-5*(((-92.17*(-92.17-(-5/-5)))*(-92.17-(-92.17/(-5*-92.17))))-(-5/-5)))))</f>
        <v>-3932347.234365</v>
      </c>
      <c r="C784" t="n" s="0">
        <v>-3932347.2343650004</v>
      </c>
    </row>
    <row r="785">
      <c r="A785" t="n" s="0">
        <v>-92.16</v>
      </c>
      <c r="B785" t="n" s="0">
        <f>(-5-((((-5*(-5/((-5/(((-5*(-92.16--5))-(-5+((-5*-92.16)*(((-5--5)+(-92.16--5))+-92.16))))-(-5+-5)))*-5)))/-5)--5)+(-5*(((-92.16*(-92.16-(-5/-5)))*(-92.16-(-92.16/(-5*-92.16))))-(-5/-5)))))</f>
        <v>-3931069.35968</v>
      </c>
      <c r="C785" t="n" s="0">
        <v>-3931069.3596799998</v>
      </c>
    </row>
    <row r="786">
      <c r="A786" t="n" s="0">
        <v>-92.15</v>
      </c>
      <c r="B786" t="n" s="0">
        <f>(-5-((((-5*(-5/((-5/(((-5*(-92.15--5))-(-5+((-5*-92.15)*(((-5--5)+(-92.15--5))+-92.15))))-(-5+-5)))*-5)))/-5)--5)+(-5*(((-92.15*(-92.15-(-5/-5)))*(-92.15-(-92.15/(-5*-92.15))))-(-5/-5)))))</f>
        <v>-3929791.761875</v>
      </c>
      <c r="C786" t="n" s="0">
        <v>-3929791.761875001</v>
      </c>
    </row>
    <row r="787">
      <c r="A787" t="n" s="0">
        <v>-92.14</v>
      </c>
      <c r="B787" t="n" s="0">
        <f>(-5-((((-5*(-5/((-5/(((-5*(-92.14--5))-(-5+((-5*-92.14)*(((-5--5)+(-92.14--5))+-92.14))))-(-5+-5)))*-5)))/-5)--5)+(-5*(((-92.14*(-92.14-(-5/-5)))*(-92.14-(-92.14/(-5*-92.14))))-(-5/-5)))))</f>
        <v>-3928514.44092</v>
      </c>
      <c r="C787" t="n" s="0">
        <v>-3928514.44092</v>
      </c>
    </row>
    <row r="788">
      <c r="A788" t="n" s="0">
        <v>-92.13</v>
      </c>
      <c r="B788" t="n" s="0">
        <f>(-5-((((-5*(-5/((-5/(((-5*(-92.13--5))-(-5+((-5*-92.13)*(((-5--5)+(-92.13--5))+-92.13))))-(-5+-5)))*-5)))/-5)--5)+(-5*(((-92.13*(-92.13-(-5/-5)))*(-92.13-(-92.13/(-5*-92.13))))-(-5/-5)))))</f>
        <v>-3927237.396785</v>
      </c>
      <c r="C788" t="n" s="0">
        <v>-3927237.396785</v>
      </c>
    </row>
    <row r="789">
      <c r="A789" t="n" s="0">
        <v>-92.12</v>
      </c>
      <c r="B789" t="n" s="0">
        <f>(-5-((((-5*(-5/((-5/(((-5*(-92.12--5))-(-5+((-5*-92.12)*(((-5--5)+(-92.12--5))+-92.12))))-(-5+-5)))*-5)))/-5)--5)+(-5*(((-92.12*(-92.12-(-5/-5)))*(-92.12-(-92.12/(-5*-92.12))))-(-5/-5)))))</f>
        <v>-3925960.62944</v>
      </c>
      <c r="C789" t="n" s="0">
        <v>-3925960.6294400003</v>
      </c>
    </row>
    <row r="790">
      <c r="A790" t="n" s="0">
        <v>-92.11</v>
      </c>
      <c r="B790" t="n" s="0">
        <f>(-5-((((-5*(-5/((-5/(((-5*(-92.11--5))-(-5+((-5*-92.11)*(((-5--5)+(-92.11--5))+-92.11))))-(-5+-5)))*-5)))/-5)--5)+(-5*(((-92.11*(-92.11-(-5/-5)))*(-92.11-(-92.11/(-5*-92.11))))-(-5/-5)))))</f>
        <v>-3924684.138855</v>
      </c>
      <c r="C790" t="n" s="0">
        <v>-3924684.1388549996</v>
      </c>
    </row>
    <row r="791">
      <c r="A791" t="n" s="0">
        <v>-92.1</v>
      </c>
      <c r="B791" t="n" s="0">
        <f>(-5-((((-5*(-5/((-5/(((-5*(-92.1--5))-(-5+((-5*-92.1)*(((-5--5)+(-92.1--5))+-92.1))))-(-5+-5)))*-5)))/-5)--5)+(-5*(((-92.1*(-92.1-(-5/-5)))*(-92.1-(-92.1/(-5*-92.1))))-(-5/-5)))))</f>
        <v>-3923407.9250000003</v>
      </c>
      <c r="C791" t="n" s="0">
        <v>-3923407.9249999993</v>
      </c>
    </row>
    <row r="792">
      <c r="A792" t="n" s="0">
        <v>-92.09</v>
      </c>
      <c r="B792" t="n" s="0">
        <f>(-5-((((-5*(-5/((-5/(((-5*(-92.09--5))-(-5+((-5*-92.09)*(((-5--5)+(-92.09--5))+-92.09))))-(-5+-5)))*-5)))/-5)--5)+(-5*(((-92.09*(-92.09-(-5/-5)))*(-92.09-(-92.09/(-5*-92.09))))-(-5/-5)))))</f>
        <v>-3922131.987845</v>
      </c>
      <c r="C792" t="n" s="0">
        <v>-3922131.987845001</v>
      </c>
    </row>
    <row r="793">
      <c r="A793" t="n" s="0">
        <v>-92.08</v>
      </c>
      <c r="B793" t="n" s="0">
        <f>(-5-((((-5*(-5/((-5/(((-5*(-92.08--5))-(-5+((-5*-92.08)*(((-5--5)+(-92.08--5))+-92.08))))-(-5+-5)))*-5)))/-5)--5)+(-5*(((-92.08*(-92.08-(-5/-5)))*(-92.08-(-92.08/(-5*-92.08))))-(-5/-5)))))</f>
        <v>-3920856.32736</v>
      </c>
      <c r="C793" t="n" s="0">
        <v>-3920856.3273600005</v>
      </c>
    </row>
    <row r="794">
      <c r="A794" t="n" s="0">
        <v>-92.07</v>
      </c>
      <c r="B794" t="n" s="0">
        <f>(-5-((((-5*(-5/((-5/(((-5*(-92.07--5))-(-5+((-5*-92.07)*(((-5--5)+(-92.07--5))+-92.07))))-(-5+-5)))*-5)))/-5)--5)+(-5*(((-92.07*(-92.07-(-5/-5)))*(-92.07-(-92.07/(-5*-92.07))))-(-5/-5)))))</f>
        <v>-3919580.943515</v>
      </c>
      <c r="C794" t="n" s="0">
        <v>-3919580.943514999</v>
      </c>
    </row>
    <row r="795">
      <c r="A795" t="n" s="0">
        <v>-92.06</v>
      </c>
      <c r="B795" t="n" s="0">
        <f>(-5-((((-5*(-5/((-5/(((-5*(-92.06--5))-(-5+((-5*-92.06)*(((-5--5)+(-92.06--5))+-92.06))))-(-5+-5)))*-5)))/-5)--5)+(-5*(((-92.06*(-92.06-(-5/-5)))*(-92.06-(-92.06/(-5*-92.06))))-(-5/-5)))))</f>
        <v>-3918305.83628</v>
      </c>
      <c r="C795" t="n" s="0">
        <v>-3918305.8362800004</v>
      </c>
    </row>
    <row r="796">
      <c r="A796" t="n" s="0">
        <v>-92.05</v>
      </c>
      <c r="B796" t="n" s="0">
        <f>(-5-((((-5*(-5/((-5/(((-5*(-92.05--5))-(-5+((-5*-92.05)*(((-5--5)+(-92.05--5))+-92.05))))-(-5+-5)))*-5)))/-5)--5)+(-5*(((-92.05*(-92.05-(-5/-5)))*(-92.05-(-92.05/(-5*-92.05))))-(-5/-5)))))</f>
        <v>-3917031.0056249998</v>
      </c>
      <c r="C796" t="n" s="0">
        <v>-3917031.0056249993</v>
      </c>
    </row>
    <row r="797">
      <c r="A797" t="n" s="0">
        <v>-92.04</v>
      </c>
      <c r="B797" t="n" s="0">
        <f>(-5-((((-5*(-5/((-5/(((-5*(-92.04--5))-(-5+((-5*-92.04)*(((-5--5)+(-92.04--5))+-92.04))))-(-5+-5)))*-5)))/-5)--5)+(-5*(((-92.04*(-92.04-(-5/-5)))*(-92.04-(-92.04/(-5*-92.04))))-(-5/-5)))))</f>
        <v>-3915756.4515199997</v>
      </c>
      <c r="C797" t="n" s="0">
        <v>-3915756.451520001</v>
      </c>
    </row>
    <row r="798">
      <c r="A798" t="n" s="0">
        <v>-92.03</v>
      </c>
      <c r="B798" t="n" s="0">
        <f>(-5-((((-5*(-5/((-5/(((-5*(-92.03--5))-(-5+((-5*-92.03)*(((-5--5)+(-92.03--5))+-92.03))))-(-5+-5)))*-5)))/-5)--5)+(-5*(((-92.03*(-92.03-(-5/-5)))*(-92.03-(-92.03/(-5*-92.03))))-(-5/-5)))))</f>
        <v>-3914482.173935</v>
      </c>
      <c r="C798" t="n" s="0">
        <v>-3914482.173935</v>
      </c>
    </row>
    <row r="799">
      <c r="A799" t="n" s="0">
        <v>-92.02</v>
      </c>
      <c r="B799" t="n" s="0">
        <f>(-5-((((-5*(-5/((-5/(((-5*(-92.02--5))-(-5+((-5*-92.02)*(((-5--5)+(-92.02--5))+-92.02))))-(-5+-5)))*-5)))/-5)--5)+(-5*(((-92.02*(-92.02-(-5/-5)))*(-92.02-(-92.02/(-5*-92.02))))-(-5/-5)))))</f>
        <v>-3913208.17284</v>
      </c>
      <c r="C799" t="n" s="0">
        <v>-3913208.1728399997</v>
      </c>
    </row>
    <row r="800">
      <c r="A800" t="n" s="0">
        <v>-92.01</v>
      </c>
      <c r="B800" t="n" s="0">
        <f>(-5-((((-5*(-5/((-5/(((-5*(-92.01--5))-(-5+((-5*-92.01)*(((-5--5)+(-92.01--5))+-92.01))))-(-5+-5)))*-5)))/-5)--5)+(-5*(((-92.01*(-92.01-(-5/-5)))*(-92.01-(-92.01/(-5*-92.01))))-(-5/-5)))))</f>
        <v>-3911934.4482050003</v>
      </c>
      <c r="C800" t="n" s="0">
        <v>-3911934.448205</v>
      </c>
    </row>
    <row r="801">
      <c r="A801" t="n" s="0">
        <v>-92.0</v>
      </c>
      <c r="B801" t="n" s="0">
        <f>(-5-((((-5*(-5/((-5/(((-5*(-92--5))-(-5+((-5*-92)*(((-5--5)+(-92--5))+-92))))-(-5+-5)))*-5)))/-5)--5)+(-5*(((-92*(-92-(-5/-5)))*(-92-(-92/(-5*-92))))-(-5/-5)))))</f>
        <v>-3910661.0</v>
      </c>
      <c r="C801" t="n" s="0">
        <v>-3910661.0</v>
      </c>
    </row>
    <row r="802">
      <c r="A802" t="n" s="0">
        <v>-91.99</v>
      </c>
      <c r="B802" t="n" s="0">
        <f>(-5-((((-5*(-5/((-5/(((-5*(-91.99--5))-(-5+((-5*-91.99)*(((-5--5)+(-91.99--5))+-91.99))))-(-5+-5)))*-5)))/-5)--5)+(-5*(((-91.99*(-91.99-(-5/-5)))*(-91.99-(-91.99/(-5*-91.99))))-(-5/-5)))))</f>
        <v>-3909387.828195</v>
      </c>
      <c r="C802" t="n" s="0">
        <v>-3909387.8281949996</v>
      </c>
    </row>
    <row r="803">
      <c r="A803" t="n" s="0">
        <v>-91.98</v>
      </c>
      <c r="B803" t="n" s="0">
        <f>(-5-((((-5*(-5/((-5/(((-5*(-91.98--5))-(-5+((-5*-91.98)*(((-5--5)+(-91.98--5))+-91.98))))-(-5+-5)))*-5)))/-5)--5)+(-5*(((-91.98*(-91.98-(-5/-5)))*(-91.98-(-91.98/(-5*-91.98))))-(-5/-5)))))</f>
        <v>-3908114.93276</v>
      </c>
      <c r="C803" t="n" s="0">
        <v>-3908114.9327600007</v>
      </c>
    </row>
    <row r="804">
      <c r="A804" t="n" s="0">
        <v>-91.97</v>
      </c>
      <c r="B804" t="n" s="0">
        <f>(-5-((((-5*(-5/((-5/(((-5*(-91.97--5))-(-5+((-5*-91.97)*(((-5--5)+(-91.97--5))+-91.97))))-(-5+-5)))*-5)))/-5)--5)+(-5*(((-91.97*(-91.97-(-5/-5)))*(-91.97-(-91.97/(-5*-91.97))))-(-5/-5)))))</f>
        <v>-3906842.3136650003</v>
      </c>
      <c r="C804" t="n" s="0">
        <v>-3906842.3136650003</v>
      </c>
    </row>
    <row r="805">
      <c r="A805" t="n" s="0">
        <v>-91.96</v>
      </c>
      <c r="B805" t="n" s="0">
        <f>(-5-((((-5*(-5/((-5/(((-5*(-91.96--5))-(-5+((-5*-91.96)*(((-5--5)+(-91.96--5))+-91.96))))-(-5+-5)))*-5)))/-5)--5)+(-5*(((-91.96*(-91.96-(-5/-5)))*(-91.96-(-91.96/(-5*-91.96))))-(-5/-5)))))</f>
        <v>-3905569.97088</v>
      </c>
      <c r="C805" t="n" s="0">
        <v>-3905569.970879999</v>
      </c>
    </row>
    <row r="806">
      <c r="A806" t="n" s="0">
        <v>-91.95</v>
      </c>
      <c r="B806" t="n" s="0">
        <f>(-5-((((-5*(-5/((-5/(((-5*(-91.95--5))-(-5+((-5*-91.95)*(((-5--5)+(-91.95--5))+-91.95))))-(-5+-5)))*-5)))/-5)--5)+(-5*(((-91.95*(-91.95-(-5/-5)))*(-91.95-(-91.95/(-5*-91.95))))-(-5/-5)))))</f>
        <v>-3904297.904375</v>
      </c>
      <c r="C806" t="n" s="0">
        <v>-3904297.9043750004</v>
      </c>
    </row>
    <row r="807">
      <c r="A807" t="n" s="0">
        <v>-91.94</v>
      </c>
      <c r="B807" t="n" s="0">
        <f>(-5-((((-5*(-5/((-5/(((-5*(-91.94--5))-(-5+((-5*-91.94)*(((-5--5)+(-91.94--5))+-91.94))))-(-5+-5)))*-5)))/-5)--5)+(-5*(((-91.94*(-91.94-(-5/-5)))*(-91.94-(-91.94/(-5*-91.94))))-(-5/-5)))))</f>
        <v>-3903026.11412</v>
      </c>
      <c r="C807" t="n" s="0">
        <v>-3903026.114119999</v>
      </c>
    </row>
    <row r="808">
      <c r="A808" t="n" s="0">
        <v>-91.93</v>
      </c>
      <c r="B808" t="n" s="0">
        <f>(-5-((((-5*(-5/((-5/(((-5*(-91.93--5))-(-5+((-5*-91.93)*(((-5--5)+(-91.93--5))+-91.93))))-(-5+-5)))*-5)))/-5)--5)+(-5*(((-91.93*(-91.93-(-5/-5)))*(-91.93-(-91.93/(-5*-91.93))))-(-5/-5)))))</f>
        <v>-3901754.600085</v>
      </c>
      <c r="C808" t="n" s="0">
        <v>-3901754.600085001</v>
      </c>
    </row>
    <row r="809">
      <c r="A809" t="n" s="0">
        <v>-91.92</v>
      </c>
      <c r="B809" t="n" s="0">
        <f>(-5-((((-5*(-5/((-5/(((-5*(-91.92--5))-(-5+((-5*-91.92)*(((-5--5)+(-91.92--5))+-91.92))))-(-5+-5)))*-5)))/-5)--5)+(-5*(((-91.92*(-91.92-(-5/-5)))*(-91.92-(-91.92/(-5*-91.92))))-(-5/-5)))))</f>
        <v>-3900483.36224</v>
      </c>
      <c r="C809" t="n" s="0">
        <v>-3900483.36224</v>
      </c>
    </row>
    <row r="810">
      <c r="A810" t="n" s="0">
        <v>-91.91</v>
      </c>
      <c r="B810" t="n" s="0">
        <f>(-5-((((-5*(-5/((-5/(((-5*(-91.91--5))-(-5+((-5*-91.91)*(((-5--5)+(-91.91--5))+-91.91))))-(-5+-5)))*-5)))/-5)--5)+(-5*(((-91.91*(-91.91-(-5/-5)))*(-91.91-(-91.91/(-5*-91.91))))-(-5/-5)))))</f>
        <v>-3899212.4005549997</v>
      </c>
      <c r="C810" t="n" s="0">
        <v>-3899212.4005549992</v>
      </c>
    </row>
    <row r="811">
      <c r="A811" t="n" s="0">
        <v>-91.9</v>
      </c>
      <c r="B811" t="n" s="0">
        <f>(-5-((((-5*(-5/((-5/(((-5*(-91.9--5))-(-5+((-5*-91.9)*(((-5--5)+(-91.9--5))+-91.9))))-(-5+-5)))*-5)))/-5)--5)+(-5*(((-91.9*(-91.9-(-5/-5)))*(-91.9-(-91.9/(-5*-91.9))))-(-5/-5)))))</f>
        <v>-3897941.715</v>
      </c>
      <c r="C811" t="n" s="0">
        <v>-3897941.7150000012</v>
      </c>
    </row>
    <row r="812">
      <c r="A812" t="n" s="0">
        <v>-91.89</v>
      </c>
      <c r="B812" t="n" s="0">
        <f>(-5-((((-5*(-5/((-5/(((-5*(-91.89--5))-(-5+((-5*-91.89)*(((-5--5)+(-91.89--5))+-91.89))))-(-5+-5)))*-5)))/-5)--5)+(-5*(((-91.89*(-91.89-(-5/-5)))*(-91.89-(-91.89/(-5*-91.89))))-(-5/-5)))))</f>
        <v>-3896671.3055450004</v>
      </c>
      <c r="C812" t="n" s="0">
        <v>-3896671.305545</v>
      </c>
    </row>
    <row r="813">
      <c r="A813" t="n" s="0">
        <v>-91.88</v>
      </c>
      <c r="B813" t="n" s="0">
        <f>(-5-((((-5*(-5/((-5/(((-5*(-91.88--5))-(-5+((-5*-91.88)*(((-5--5)+(-91.88--5))+-91.88))))-(-5+-5)))*-5)))/-5)--5)+(-5*(((-91.88*(-91.88-(-5/-5)))*(-91.88-(-91.88/(-5*-91.88))))-(-5/-5)))))</f>
        <v>-3895401.17216</v>
      </c>
      <c r="C813" t="n" s="0">
        <v>-3895401.1721599996</v>
      </c>
    </row>
    <row r="814">
      <c r="A814" t="n" s="0">
        <v>-91.87</v>
      </c>
      <c r="B814" t="n" s="0">
        <f>(-5-((((-5*(-5/((-5/(((-5*(-91.87--5))-(-5+((-5*-91.87)*(((-5--5)+(-91.87--5))+-91.87))))-(-5+-5)))*-5)))/-5)--5)+(-5*(((-91.87*(-91.87-(-5/-5)))*(-91.87-(-91.87/(-5*-91.87))))-(-5/-5)))))</f>
        <v>-3894131.314815</v>
      </c>
      <c r="C814" t="n" s="0">
        <v>-3894131.314815</v>
      </c>
    </row>
    <row r="815">
      <c r="A815" t="n" s="0">
        <v>-91.86</v>
      </c>
      <c r="B815" t="n" s="0">
        <f>(-5-((((-5*(-5/((-5/(((-5*(-91.86--5))-(-5+((-5*-91.86)*(((-5--5)+(-91.86--5))+-91.86))))-(-5+-5)))*-5)))/-5)--5)+(-5*(((-91.86*(-91.86-(-5/-5)))*(-91.86-(-91.86/(-5*-91.86))))-(-5/-5)))))</f>
        <v>-3892861.73348</v>
      </c>
      <c r="C815" t="n" s="0">
        <v>-3892861.73348</v>
      </c>
    </row>
    <row r="816">
      <c r="A816" t="n" s="0">
        <v>-91.85</v>
      </c>
      <c r="B816" t="n" s="0">
        <f>(-5-((((-5*(-5/((-5/(((-5*(-91.85--5))-(-5+((-5*-91.85)*(((-5--5)+(-91.85--5))+-91.85))))-(-5+-5)))*-5)))/-5)--5)+(-5*(((-91.85*(-91.85-(-5/-5)))*(-91.85-(-91.85/(-5*-91.85))))-(-5/-5)))))</f>
        <v>-3891592.428125</v>
      </c>
      <c r="C816" t="n" s="0">
        <v>-3891592.428124999</v>
      </c>
    </row>
    <row r="817">
      <c r="A817" t="n" s="0">
        <v>-91.84</v>
      </c>
      <c r="B817" t="n" s="0">
        <f>(-5-((((-5*(-5/((-5/(((-5*(-91.84--5))-(-5+((-5*-91.84)*(((-5--5)+(-91.84--5))+-91.84))))-(-5+-5)))*-5)))/-5)--5)+(-5*(((-91.84*(-91.84-(-5/-5)))*(-91.84-(-91.84/(-5*-91.84))))-(-5/-5)))))</f>
        <v>-3890323.39872</v>
      </c>
      <c r="C817" t="n" s="0">
        <v>-3890323.398720001</v>
      </c>
    </row>
    <row r="818">
      <c r="A818" t="n" s="0">
        <v>-91.83</v>
      </c>
      <c r="B818" t="n" s="0">
        <f>(-5-((((-5*(-5/((-5/(((-5*(-91.83--5))-(-5+((-5*-91.83)*(((-5--5)+(-91.83--5))+-91.83))))-(-5+-5)))*-5)))/-5)--5)+(-5*(((-91.83*(-91.83-(-5/-5)))*(-91.83-(-91.83/(-5*-91.83))))-(-5/-5)))))</f>
        <v>-3889054.6452349997</v>
      </c>
      <c r="C818" t="n" s="0">
        <v>-3889054.645235</v>
      </c>
    </row>
    <row r="819">
      <c r="A819" t="n" s="0">
        <v>-91.82</v>
      </c>
      <c r="B819" t="n" s="0">
        <f>(-5-((((-5*(-5/((-5/(((-5*(-91.82--5))-(-5+((-5*-91.82)*(((-5--5)+(-91.82--5))+-91.82))))-(-5+-5)))*-5)))/-5)--5)+(-5*(((-91.82*(-91.82-(-5/-5)))*(-91.82-(-91.82/(-5*-91.82))))-(-5/-5)))))</f>
        <v>-3887786.16764</v>
      </c>
      <c r="C819" t="n" s="0">
        <v>-3887786.167639999</v>
      </c>
    </row>
    <row r="820">
      <c r="A820" t="n" s="0">
        <v>-91.81</v>
      </c>
      <c r="B820" t="n" s="0">
        <f>(-5-((((-5*(-5/((-5/(((-5*(-91.81--5))-(-5+((-5*-91.81)*(((-5--5)+(-91.81--5))+-91.81))))-(-5+-5)))*-5)))/-5)--5)+(-5*(((-91.81*(-91.81-(-5/-5)))*(-91.81-(-91.81/(-5*-91.81))))-(-5/-5)))))</f>
        <v>-3886517.965905</v>
      </c>
      <c r="C820" t="n" s="0">
        <v>-3886517.9659050005</v>
      </c>
    </row>
    <row r="821">
      <c r="A821" t="n" s="0">
        <v>-91.8</v>
      </c>
      <c r="B821" t="n" s="0">
        <f>(-5-((((-5*(-5/((-5/(((-5*(-91.8--5))-(-5+((-5*-91.8)*(((-5--5)+(-91.8--5))+-91.8))))-(-5+-5)))*-5)))/-5)--5)+(-5*(((-91.8*(-91.8-(-5/-5)))*(-91.8-(-91.8/(-5*-91.8))))-(-5/-5)))))</f>
        <v>-3885250.04</v>
      </c>
      <c r="C821" t="n" s="0">
        <v>-3885250.04</v>
      </c>
    </row>
    <row r="822">
      <c r="A822" t="n" s="0">
        <v>-91.79</v>
      </c>
      <c r="B822" t="n" s="0">
        <f>(-5-((((-5*(-5/((-5/(((-5*(-91.79--5))-(-5+((-5*-91.79)*(((-5--5)+(-91.79--5))+-91.79))))-(-5+-5)))*-5)))/-5)--5)+(-5*(((-91.79*(-91.79-(-5/-5)))*(-91.79-(-91.79/(-5*-91.79))))-(-5/-5)))))</f>
        <v>-3883982.389895</v>
      </c>
      <c r="C822" t="n" s="0">
        <v>-3883982.389895001</v>
      </c>
    </row>
    <row r="823">
      <c r="A823" t="n" s="0">
        <v>-91.78</v>
      </c>
      <c r="B823" t="n" s="0">
        <f>(-5-((((-5*(-5/((-5/(((-5*(-91.78--5))-(-5+((-5*-91.78)*(((-5--5)+(-91.78--5))+-91.78))))-(-5+-5)))*-5)))/-5)--5)+(-5*(((-91.78*(-91.78-(-5/-5)))*(-91.78-(-91.78/(-5*-91.78))))-(-5/-5)))))</f>
        <v>-3882715.01556</v>
      </c>
      <c r="C823" t="n" s="0">
        <v>-3882715.0155599997</v>
      </c>
    </row>
    <row r="824">
      <c r="A824" t="n" s="0">
        <v>-91.77</v>
      </c>
      <c r="B824" t="n" s="0">
        <f>(-5-((((-5*(-5/((-5/(((-5*(-91.77--5))-(-5+((-5*-91.77)*(((-5--5)+(-91.77--5))+-91.77))))-(-5+-5)))*-5)))/-5)--5)+(-5*(((-91.77*(-91.77-(-5/-5)))*(-91.77-(-91.77/(-5*-91.77))))-(-5/-5)))))</f>
        <v>-3881447.9169650003</v>
      </c>
      <c r="C824" t="n" s="0">
        <v>-3881447.9169649994</v>
      </c>
    </row>
    <row r="825">
      <c r="A825" t="n" s="0">
        <v>-91.76</v>
      </c>
      <c r="B825" t="n" s="0">
        <f>(-5-((((-5*(-5/((-5/(((-5*(-91.76--5))-(-5+((-5*-91.76)*(((-5--5)+(-91.76--5))+-91.76))))-(-5+-5)))*-5)))/-5)--5)+(-5*(((-91.76*(-91.76-(-5/-5)))*(-91.76-(-91.76/(-5*-91.76))))-(-5/-5)))))</f>
        <v>-3880181.09408</v>
      </c>
      <c r="C825" t="n" s="0">
        <v>-3880181.0940800007</v>
      </c>
    </row>
    <row r="826">
      <c r="A826" t="n" s="0">
        <v>-91.75</v>
      </c>
      <c r="B826" t="n" s="0">
        <f>(-5-((((-5*(-5/((-5/(((-5*(-91.75--5))-(-5+((-5*-91.75)*(((-5--5)+(-91.75--5))+-91.75))))-(-5+-5)))*-5)))/-5)--5)+(-5*(((-91.75*(-91.75-(-5/-5)))*(-91.75-(-91.75/(-5*-91.75))))-(-5/-5)))))</f>
        <v>-3878914.546875</v>
      </c>
      <c r="C826" t="n" s="0">
        <v>-3878914.546875</v>
      </c>
    </row>
    <row r="827">
      <c r="A827" t="n" s="0">
        <v>-91.74</v>
      </c>
      <c r="B827" t="n" s="0">
        <f>(-5-((((-5*(-5/((-5/(((-5*(-91.74--5))-(-5+((-5*-91.74)*(((-5--5)+(-91.74--5))+-91.74))))-(-5+-5)))*-5)))/-5)--5)+(-5*(((-91.74*(-91.74-(-5/-5)))*(-91.74-(-91.74/(-5*-91.74))))-(-5/-5)))))</f>
        <v>-3877648.27532</v>
      </c>
      <c r="C827" t="n" s="0">
        <v>-3877648.27532</v>
      </c>
    </row>
    <row r="828">
      <c r="A828" t="n" s="0">
        <v>-91.73</v>
      </c>
      <c r="B828" t="n" s="0">
        <f>(-5-((((-5*(-5/((-5/(((-5*(-91.73--5))-(-5+((-5*-91.73)*(((-5--5)+(-91.73--5))+-91.73))))-(-5+-5)))*-5)))/-5)--5)+(-5*(((-91.73*(-91.73-(-5/-5)))*(-91.73-(-91.73/(-5*-91.73))))-(-5/-5)))))</f>
        <v>-3876382.279385</v>
      </c>
      <c r="C828" t="n" s="0">
        <v>-3876382.2793850005</v>
      </c>
    </row>
    <row r="829">
      <c r="A829" t="n" s="0">
        <v>-91.72</v>
      </c>
      <c r="B829" t="n" s="0">
        <f>(-5-((((-5*(-5/((-5/(((-5*(-91.72--5))-(-5+((-5*-91.72)*(((-5--5)+(-91.72--5))+-91.72))))-(-5+-5)))*-5)))/-5)--5)+(-5*(((-91.72*(-91.72-(-5/-5)))*(-91.72-(-91.72/(-5*-91.72))))-(-5/-5)))))</f>
        <v>-3875116.5590399997</v>
      </c>
      <c r="C829" t="n" s="0">
        <v>-3875116.5590399997</v>
      </c>
    </row>
    <row r="830">
      <c r="A830" t="n" s="0">
        <v>-91.71</v>
      </c>
      <c r="B830" t="n" s="0">
        <f>(-5-((((-5*(-5/((-5/(((-5*(-91.71--5))-(-5+((-5*-91.71)*(((-5--5)+(-91.71--5))+-91.71))))-(-5+-5)))*-5)))/-5)--5)+(-5*(((-91.71*(-91.71-(-5/-5)))*(-91.71-(-91.71/(-5*-91.71))))-(-5/-5)))))</f>
        <v>-3873851.114255</v>
      </c>
      <c r="C830" t="n" s="0">
        <v>-3873851.114254999</v>
      </c>
    </row>
    <row r="831">
      <c r="A831" t="n" s="0">
        <v>-91.7</v>
      </c>
      <c r="B831" t="n" s="0">
        <f>(-5-((((-5*(-5/((-5/(((-5*(-91.7--5))-(-5+((-5*-91.7)*(((-5--5)+(-91.7--5))+-91.7))))-(-5+-5)))*-5)))/-5)--5)+(-5*(((-91.7*(-91.7-(-5/-5)))*(-91.7-(-91.7/(-5*-91.7))))-(-5/-5)))))</f>
        <v>-3872585.945</v>
      </c>
      <c r="C831" t="n" s="0">
        <v>-3872585.9450000003</v>
      </c>
    </row>
    <row r="832">
      <c r="A832" t="n" s="0">
        <v>-91.69</v>
      </c>
      <c r="B832" t="n" s="0">
        <f>(-5-((((-5*(-5/((-5/(((-5*(-91.69--5))-(-5+((-5*-91.69)*(((-5--5)+(-91.69--5))+-91.69))))-(-5+-5)))*-5)))/-5)--5)+(-5*(((-91.69*(-91.69-(-5/-5)))*(-91.69-(-91.69/(-5*-91.69))))-(-5/-5)))))</f>
        <v>-3871321.0512449997</v>
      </c>
      <c r="C832" t="n" s="0">
        <v>-3871321.0512449997</v>
      </c>
    </row>
    <row r="833">
      <c r="A833" t="n" s="0">
        <v>-91.68</v>
      </c>
      <c r="B833" t="n" s="0">
        <f>(-5-((((-5*(-5/((-5/(((-5*(-91.68--5))-(-5+((-5*-91.68)*(((-5--5)+(-91.68--5))+-91.68))))-(-5+-5)))*-5)))/-5)--5)+(-5*(((-91.68*(-91.68-(-5/-5)))*(-91.68-(-91.68/(-5*-91.68))))-(-5/-5)))))</f>
        <v>-3870056.43296</v>
      </c>
      <c r="C833" t="n" s="0">
        <v>-3870056.432960001</v>
      </c>
    </row>
    <row r="834">
      <c r="A834" t="n" s="0">
        <v>-91.67</v>
      </c>
      <c r="B834" t="n" s="0">
        <f>(-5-((((-5*(-5/((-5/(((-5*(-91.67--5))-(-5+((-5*-91.67)*(((-5--5)+(-91.67--5))+-91.67))))-(-5+-5)))*-5)))/-5)--5)+(-5*(((-91.67*(-91.67-(-5/-5)))*(-91.67-(-91.67/(-5*-91.67))))-(-5/-5)))))</f>
        <v>-3868792.090115</v>
      </c>
      <c r="C834" t="n" s="0">
        <v>-3868792.090115</v>
      </c>
    </row>
    <row r="835">
      <c r="A835" t="n" s="0">
        <v>-91.66</v>
      </c>
      <c r="B835" t="n" s="0">
        <f>(-5-((((-5*(-5/((-5/(((-5*(-91.66--5))-(-5+((-5*-91.66)*(((-5--5)+(-91.66--5))+-91.66))))-(-5+-5)))*-5)))/-5)--5)+(-5*(((-91.66*(-91.66-(-5/-5)))*(-91.66-(-91.66/(-5*-91.66))))-(-5/-5)))))</f>
        <v>-3867528.02268</v>
      </c>
      <c r="C835" t="n" s="0">
        <v>-3867528.02268</v>
      </c>
    </row>
    <row r="836">
      <c r="A836" t="n" s="0">
        <v>-91.65</v>
      </c>
      <c r="B836" t="n" s="0">
        <f>(-5-((((-5*(-5/((-5/(((-5*(-91.65--5))-(-5+((-5*-91.65)*(((-5--5)+(-91.65--5))+-91.65))))-(-5+-5)))*-5)))/-5)--5)+(-5*(((-91.65*(-91.65-(-5/-5)))*(-91.65-(-91.65/(-5*-91.65))))-(-5/-5)))))</f>
        <v>-3866264.230625</v>
      </c>
      <c r="C836" t="n" s="0">
        <v>-3866264.230625001</v>
      </c>
    </row>
    <row r="837">
      <c r="A837" t="n" s="0">
        <v>-91.64</v>
      </c>
      <c r="B837" t="n" s="0">
        <f>(-5-((((-5*(-5/((-5/(((-5*(-91.64--5))-(-5+((-5*-91.64)*(((-5--5)+(-91.64--5))+-91.64))))-(-5+-5)))*-5)))/-5)--5)+(-5*(((-91.64*(-91.64-(-5/-5)))*(-91.64-(-91.64/(-5*-91.64))))-(-5/-5)))))</f>
        <v>-3865000.71392</v>
      </c>
      <c r="C837" t="n" s="0">
        <v>-3865000.7139200005</v>
      </c>
    </row>
    <row r="838">
      <c r="A838" t="n" s="0">
        <v>-91.63</v>
      </c>
      <c r="B838" t="n" s="0">
        <f>(-5-((((-5*(-5/((-5/(((-5*(-91.63--5))-(-5+((-5*-91.63)*(((-5--5)+(-91.63--5))+-91.63))))-(-5+-5)))*-5)))/-5)--5)+(-5*(((-91.63*(-91.63-(-5/-5)))*(-91.63-(-91.63/(-5*-91.63))))-(-5/-5)))))</f>
        <v>-3863737.472535</v>
      </c>
      <c r="C838" t="n" s="0">
        <v>-3863737.4725349993</v>
      </c>
    </row>
    <row r="839">
      <c r="A839" t="n" s="0">
        <v>-91.62</v>
      </c>
      <c r="B839" t="n" s="0">
        <f>(-5-((((-5*(-5/((-5/(((-5*(-91.62--5))-(-5+((-5*-91.62)*(((-5--5)+(-91.62--5))+-91.62))))-(-5+-5)))*-5)))/-5)--5)+(-5*(((-91.62*(-91.62-(-5/-5)))*(-91.62-(-91.62/(-5*-91.62))))-(-5/-5)))))</f>
        <v>-3862474.50644</v>
      </c>
      <c r="C839" t="n" s="0">
        <v>-3862474.50644</v>
      </c>
    </row>
    <row r="840">
      <c r="A840" t="n" s="0">
        <v>-91.61</v>
      </c>
      <c r="B840" t="n" s="0">
        <f>(-5-((((-5*(-5/((-5/(((-5*(-91.61--5))-(-5+((-5*-91.61)*(((-5--5)+(-91.61--5))+-91.61))))-(-5+-5)))*-5)))/-5)--5)+(-5*(((-91.61*(-91.61-(-5/-5)))*(-91.61-(-91.61/(-5*-91.61))))-(-5/-5)))))</f>
        <v>-3861211.8156049997</v>
      </c>
      <c r="C840" t="n" s="0">
        <v>-3861211.815605</v>
      </c>
    </row>
    <row r="841">
      <c r="A841" t="n" s="0">
        <v>-91.6</v>
      </c>
      <c r="B841" t="n" s="0">
        <f>(-5-((((-5*(-5/((-5/(((-5*(-91.6--5))-(-5+((-5*-91.6)*(((-5--5)+(-91.6--5))+-91.6))))-(-5+-5)))*-5)))/-5)--5)+(-5*(((-91.6*(-91.6-(-5/-5)))*(-91.6-(-91.6/(-5*-91.6))))-(-5/-5)))))</f>
        <v>-3859949.4</v>
      </c>
      <c r="C841" t="n" s="0">
        <v>-3859949.3999999994</v>
      </c>
    </row>
    <row r="842">
      <c r="A842" t="n" s="0">
        <v>-91.59</v>
      </c>
      <c r="B842" t="n" s="0">
        <f>(-5-((((-5*(-5/((-5/(((-5*(-91.59--5))-(-5+((-5*-91.59)*(((-5--5)+(-91.59--5))+-91.59))))-(-5+-5)))*-5)))/-5)--5)+(-5*(((-91.59*(-91.59-(-5/-5)))*(-91.59-(-91.59/(-5*-91.59))))-(-5/-5)))))</f>
        <v>-3858687.259595</v>
      </c>
      <c r="C842" t="n" s="0">
        <v>-3858687.259595</v>
      </c>
    </row>
    <row r="843">
      <c r="A843" t="n" s="0">
        <v>-91.58</v>
      </c>
      <c r="B843" t="n" s="0">
        <f>(-5-((((-5*(-5/((-5/(((-5*(-91.58--5))-(-5+((-5*-91.58)*(((-5--5)+(-91.58--5))+-91.58))))-(-5+-5)))*-5)))/-5)--5)+(-5*(((-91.58*(-91.58-(-5/-5)))*(-91.58-(-91.58/(-5*-91.58))))-(-5/-5)))))</f>
        <v>-3857425.39436</v>
      </c>
      <c r="C843" t="n" s="0">
        <v>-3857425.3943600003</v>
      </c>
    </row>
    <row r="844">
      <c r="A844" t="n" s="0">
        <v>-91.57</v>
      </c>
      <c r="B844" t="n" s="0">
        <f>(-5-((((-5*(-5/((-5/(((-5*(-91.57--5))-(-5+((-5*-91.57)*(((-5--5)+(-91.57--5))+-91.57))))-(-5+-5)))*-5)))/-5)--5)+(-5*(((-91.57*(-91.57-(-5/-5)))*(-91.57-(-91.57/(-5*-91.57))))-(-5/-5)))))</f>
        <v>-3856163.804265</v>
      </c>
      <c r="C844" t="n" s="0">
        <v>-3856163.804264999</v>
      </c>
    </row>
    <row r="845">
      <c r="A845" t="n" s="0">
        <v>-91.56</v>
      </c>
      <c r="B845" t="n" s="0">
        <f>(-5-((((-5*(-5/((-5/(((-5*(-91.56--5))-(-5+((-5*-91.56)*(((-5--5)+(-91.56--5))+-91.56))))-(-5+-5)))*-5)))/-5)--5)+(-5*(((-91.56*(-91.56-(-5/-5)))*(-91.56-(-91.56/(-5*-91.56))))-(-5/-5)))))</f>
        <v>-3854902.48928</v>
      </c>
      <c r="C845" t="n" s="0">
        <v>-3854902.4892800003</v>
      </c>
    </row>
    <row r="846">
      <c r="A846" t="n" s="0">
        <v>-91.55</v>
      </c>
      <c r="B846" t="n" s="0">
        <f>(-5-((((-5*(-5/((-5/(((-5*(-91.55--5))-(-5+((-5*-91.55)*(((-5--5)+(-91.55--5))+-91.55))))-(-5+-5)))*-5)))/-5)--5)+(-5*(((-91.55*(-91.55-(-5/-5)))*(-91.55-(-91.55/(-5*-91.55))))-(-5/-5)))))</f>
        <v>-3853641.449375</v>
      </c>
      <c r="C846" t="n" s="0">
        <v>-3853641.449375</v>
      </c>
    </row>
    <row r="847">
      <c r="A847" t="n" s="0">
        <v>-91.54</v>
      </c>
      <c r="B847" t="n" s="0">
        <f>(-5-((((-5*(-5/((-5/(((-5*(-91.54--5))-(-5+((-5*-91.54)*(((-5--5)+(-91.54--5))+-91.54))))-(-5+-5)))*-5)))/-5)--5)+(-5*(((-91.54*(-91.54-(-5/-5)))*(-91.54-(-91.54/(-5*-91.54))))-(-5/-5)))))</f>
        <v>-3852380.6845199997</v>
      </c>
      <c r="C847" t="n" s="0">
        <v>-3852380.684520001</v>
      </c>
    </row>
    <row r="848">
      <c r="A848" t="n" s="0">
        <v>-91.53</v>
      </c>
      <c r="B848" t="n" s="0">
        <f>(-5-((((-5*(-5/((-5/(((-5*(-91.53--5))-(-5+((-5*-91.53)*(((-5--5)+(-91.53--5))+-91.53))))-(-5+-5)))*-5)))/-5)--5)+(-5*(((-91.53*(-91.53-(-5/-5)))*(-91.53-(-91.53/(-5*-91.53))))-(-5/-5)))))</f>
        <v>-3851120.194685</v>
      </c>
      <c r="C848" t="n" s="0">
        <v>-3851120.194685</v>
      </c>
    </row>
    <row r="849">
      <c r="A849" t="n" s="0">
        <v>-91.52</v>
      </c>
      <c r="B849" t="n" s="0">
        <f>(-5-((((-5*(-5/((-5/(((-5*(-91.52--5))-(-5+((-5*-91.52)*(((-5--5)+(-91.52--5))+-91.52))))-(-5+-5)))*-5)))/-5)--5)+(-5*(((-91.52*(-91.52-(-5/-5)))*(-91.52-(-91.52/(-5*-91.52))))-(-5/-5)))))</f>
        <v>-3849859.97984</v>
      </c>
      <c r="C849" t="n" s="0">
        <v>-3849859.979839999</v>
      </c>
    </row>
    <row r="850">
      <c r="A850" t="n" s="0">
        <v>-91.51</v>
      </c>
      <c r="B850" t="n" s="0">
        <f>(-5-((((-5*(-5/((-5/(((-5*(-91.51--5))-(-5+((-5*-91.51)*(((-5--5)+(-91.51--5))+-91.51))))-(-5+-5)))*-5)))/-5)--5)+(-5*(((-91.51*(-91.51-(-5/-5)))*(-91.51-(-91.51/(-5*-91.51))))-(-5/-5)))))</f>
        <v>-3848600.0399550004</v>
      </c>
      <c r="C850" t="n" s="0">
        <v>-3848600.0399550004</v>
      </c>
    </row>
    <row r="851">
      <c r="A851" t="n" s="0">
        <v>-91.5</v>
      </c>
      <c r="B851" t="n" s="0">
        <f>(-5-((((-5*(-5/((-5/(((-5*(-91.5--5))-(-5+((-5*-91.5)*(((-5--5)+(-91.5--5))+-91.5))))-(-5+-5)))*-5)))/-5)--5)+(-5*(((-91.5*(-91.5-(-5/-5)))*(-91.5-(-91.5/(-5*-91.5))))-(-5/-5)))))</f>
        <v>-3847340.375</v>
      </c>
      <c r="C851" t="n" s="0">
        <v>-3847340.375</v>
      </c>
    </row>
    <row r="852">
      <c r="A852" t="n" s="0">
        <v>-91.49</v>
      </c>
      <c r="B852" t="n" s="0">
        <f>(-5-((((-5*(-5/((-5/(((-5*(-91.49--5))-(-5+((-5*-91.49)*(((-5--5)+(-91.49--5))+-91.49))))-(-5+-5)))*-5)))/-5)--5)+(-5*(((-91.49*(-91.49-(-5/-5)))*(-91.49-(-91.49/(-5*-91.49))))-(-5/-5)))))</f>
        <v>-3846080.984945</v>
      </c>
      <c r="C852" t="n" s="0">
        <v>-3846080.984944999</v>
      </c>
    </row>
    <row r="853">
      <c r="A853" t="n" s="0">
        <v>-91.48</v>
      </c>
      <c r="B853" t="n" s="0">
        <f>(-5-((((-5*(-5/((-5/(((-5*(-91.48--5))-(-5+((-5*-91.48)*(((-5--5)+(-91.48--5))+-91.48))))-(-5+-5)))*-5)))/-5)--5)+(-5*(((-91.48*(-91.48-(-5/-5)))*(-91.48-(-91.48/(-5*-91.48))))-(-5/-5)))))</f>
        <v>-3844821.86976</v>
      </c>
      <c r="C853" t="n" s="0">
        <v>-3844821.8697600006</v>
      </c>
    </row>
    <row r="854">
      <c r="A854" t="n" s="0">
        <v>-91.47</v>
      </c>
      <c r="B854" t="n" s="0">
        <f>(-5-((((-5*(-5/((-5/(((-5*(-91.47--5))-(-5+((-5*-91.47)*(((-5--5)+(-91.47--5))+-91.47))))-(-5+-5)))*-5)))/-5)--5)+(-5*(((-91.47*(-91.47-(-5/-5)))*(-91.47-(-91.47/(-5*-91.47))))-(-5/-5)))))</f>
        <v>-3843563.029415</v>
      </c>
      <c r="C854" t="n" s="0">
        <v>-3843563.029415</v>
      </c>
    </row>
    <row r="855">
      <c r="A855" t="n" s="0">
        <v>-91.46</v>
      </c>
      <c r="B855" t="n" s="0">
        <f>(-5-((((-5*(-5/((-5/(((-5*(-91.46--5))-(-5+((-5*-91.46)*(((-5--5)+(-91.46--5))+-91.46))))-(-5+-5)))*-5)))/-5)--5)+(-5*(((-91.46*(-91.46-(-5/-5)))*(-91.46-(-91.46/(-5*-91.46))))-(-5/-5)))))</f>
        <v>-3842304.4638799997</v>
      </c>
      <c r="C855" t="n" s="0">
        <v>-3842304.4638799992</v>
      </c>
    </row>
    <row r="856">
      <c r="A856" t="n" s="0">
        <v>-91.45</v>
      </c>
      <c r="B856" t="n" s="0">
        <f>(-5-((((-5*(-5/((-5/(((-5*(-91.45--5))-(-5+((-5*-91.45)*(((-5--5)+(-91.45--5))+-91.45))))-(-5+-5)))*-5)))/-5)--5)+(-5*(((-91.45*(-91.45-(-5/-5)))*(-91.45-(-91.45/(-5*-91.45))))-(-5/-5)))))</f>
        <v>-3841046.173125</v>
      </c>
      <c r="C856" t="n" s="0">
        <v>-3841046.1731250007</v>
      </c>
    </row>
    <row r="857">
      <c r="A857" t="n" s="0">
        <v>-91.44</v>
      </c>
      <c r="B857" t="n" s="0">
        <f>(-5-((((-5*(-5/((-5/(((-5*(-91.44--5))-(-5+((-5*-91.44)*(((-5--5)+(-91.44--5))+-91.44))))-(-5+-5)))*-5)))/-5)--5)+(-5*(((-91.44*(-91.44-(-5/-5)))*(-91.44-(-91.44/(-5*-91.44))))-(-5/-5)))))</f>
        <v>-3839788.1571199996</v>
      </c>
      <c r="C857" t="n" s="0">
        <v>-3839788.157119999</v>
      </c>
    </row>
    <row r="858">
      <c r="A858" t="n" s="0">
        <v>-91.43</v>
      </c>
      <c r="B858" t="n" s="0">
        <f>(-5-((((-5*(-5/((-5/(((-5*(-91.43--5))-(-5+((-5*-91.43)*(((-5--5)+(-91.43--5))+-91.43))))-(-5+-5)))*-5)))/-5)--5)+(-5*(((-91.43*(-91.43-(-5/-5)))*(-91.43-(-91.43/(-5*-91.43))))-(-5/-5)))))</f>
        <v>-3838530.415835</v>
      </c>
      <c r="C858" t="n" s="0">
        <v>-3838530.415835001</v>
      </c>
    </row>
    <row r="859">
      <c r="A859" t="n" s="0">
        <v>-91.42</v>
      </c>
      <c r="B859" t="n" s="0">
        <f>(-5-((((-5*(-5/((-5/(((-5*(-91.42--5))-(-5+((-5*-91.42)*(((-5--5)+(-91.42--5))+-91.42))))-(-5+-5)))*-5)))/-5)--5)+(-5*(((-91.42*(-91.42-(-5/-5)))*(-91.42-(-91.42/(-5*-91.42))))-(-5/-5)))))</f>
        <v>-3837272.94924</v>
      </c>
      <c r="C859" t="n" s="0">
        <v>-3837272.94924</v>
      </c>
    </row>
    <row r="860">
      <c r="A860" t="n" s="0">
        <v>-91.41</v>
      </c>
      <c r="B860" t="n" s="0">
        <f>(-5-((((-5*(-5/((-5/(((-5*(-91.41--5))-(-5+((-5*-91.41)*(((-5--5)+(-91.41--5))+-91.41))))-(-5+-5)))*-5)))/-5)--5)+(-5*(((-91.41*(-91.41-(-5/-5)))*(-91.41-(-91.41/(-5*-91.41))))-(-5/-5)))))</f>
        <v>-3836015.757305</v>
      </c>
      <c r="C860" t="n" s="0">
        <v>-3836015.7573049995</v>
      </c>
    </row>
    <row r="861">
      <c r="A861" t="n" s="0">
        <v>-91.4</v>
      </c>
      <c r="B861" t="n" s="0">
        <f>(-5-((((-5*(-5/((-5/(((-5*(-91.4--5))-(-5+((-5*-91.4)*(((-5--5)+(-91.4--5))+-91.4))))-(-5+-5)))*-5)))/-5)--5)+(-5*(((-91.4*(-91.4-(-5/-5)))*(-91.4-(-91.4/(-5*-91.4))))-(-5/-5)))))</f>
        <v>-3834758.8400000003</v>
      </c>
      <c r="C861" t="n" s="0">
        <v>-3834758.840000001</v>
      </c>
    </row>
    <row r="862">
      <c r="A862" t="n" s="0">
        <v>-91.39</v>
      </c>
      <c r="B862" t="n" s="0">
        <f>(-5-((((-5*(-5/((-5/(((-5*(-91.39--5))-(-5+((-5*-91.39)*(((-5--5)+(-91.39--5))+-91.39))))-(-5+-5)))*-5)))/-5)--5)+(-5*(((-91.39*(-91.39-(-5/-5)))*(-91.39-(-91.39/(-5*-91.39))))-(-5/-5)))))</f>
        <v>-3833502.197295</v>
      </c>
      <c r="C862" t="n" s="0">
        <v>-3833502.197295</v>
      </c>
    </row>
    <row r="863">
      <c r="A863" t="n" s="0">
        <v>-91.38</v>
      </c>
      <c r="B863" t="n" s="0">
        <f>(-5-((((-5*(-5/((-5/(((-5*(-91.38--5))-(-5+((-5*-91.38)*(((-5--5)+(-91.38--5))+-91.38))))-(-5+-5)))*-5)))/-5)--5)+(-5*(((-91.38*(-91.38-(-5/-5)))*(-91.38-(-91.38/(-5*-91.38))))-(-5/-5)))))</f>
        <v>-3832245.82916</v>
      </c>
      <c r="C863" t="n" s="0">
        <v>-3832245.8291599993</v>
      </c>
    </row>
    <row r="864">
      <c r="A864" t="n" s="0">
        <v>-91.37</v>
      </c>
      <c r="B864" t="n" s="0">
        <f>(-5-((((-5*(-5/((-5/(((-5*(-91.37--5))-(-5+((-5*-91.37)*(((-5--5)+(-91.37--5))+-91.37))))-(-5+-5)))*-5)))/-5)--5)+(-5*(((-91.37*(-91.37-(-5/-5)))*(-91.37-(-91.37/(-5*-91.37))))-(-5/-5)))))</f>
        <v>-3830989.735565</v>
      </c>
      <c r="C864" t="n" s="0">
        <v>-3830989.735565</v>
      </c>
    </row>
    <row r="865">
      <c r="A865" t="n" s="0">
        <v>-91.36</v>
      </c>
      <c r="B865" t="n" s="0">
        <f>(-5-((((-5*(-5/((-5/(((-5*(-91.36--5))-(-5+((-5*-91.36)*(((-5--5)+(-91.36--5))+-91.36))))-(-5+-5)))*-5)))/-5)--5)+(-5*(((-91.36*(-91.36-(-5/-5)))*(-91.36-(-91.36/(-5*-91.36))))-(-5/-5)))))</f>
        <v>-3829733.91648</v>
      </c>
      <c r="C865" t="n" s="0">
        <v>-3829733.9164799997</v>
      </c>
    </row>
    <row r="866">
      <c r="A866" t="n" s="0">
        <v>-91.35</v>
      </c>
      <c r="B866" t="n" s="0">
        <f>(-5-((((-5*(-5/((-5/(((-5*(-91.35--5))-(-5+((-5*-91.35)*(((-5--5)+(-91.35--5))+-91.35))))-(-5+-5)))*-5)))/-5)--5)+(-5*(((-91.35*(-91.35-(-5/-5)))*(-91.35-(-91.35/(-5*-91.35))))-(-5/-5)))))</f>
        <v>-3828478.3718749997</v>
      </c>
      <c r="C866" t="n" s="0">
        <v>-3828478.3718749993</v>
      </c>
    </row>
    <row r="867">
      <c r="A867" t="n" s="0">
        <v>-91.34</v>
      </c>
      <c r="B867" t="n" s="0">
        <f>(-5-((((-5*(-5/((-5/(((-5*(-91.34--5))-(-5+((-5*-91.34)*(((-5--5)+(-91.34--5))+-91.34))))-(-5+-5)))*-5)))/-5)--5)+(-5*(((-91.34*(-91.34-(-5/-5)))*(-91.34-(-91.34/(-5*-91.34))))-(-5/-5)))))</f>
        <v>-3827223.1017199997</v>
      </c>
      <c r="C867" t="n" s="0">
        <v>-3827223.1017200006</v>
      </c>
    </row>
    <row r="868">
      <c r="A868" t="n" s="0">
        <v>-91.33</v>
      </c>
      <c r="B868" t="n" s="0">
        <f>(-5-((((-5*(-5/((-5/(((-5*(-91.33--5))-(-5+((-5*-91.33)*(((-5--5)+(-91.33--5))+-91.33))))-(-5+-5)))*-5)))/-5)--5)+(-5*(((-91.33*(-91.33-(-5/-5)))*(-91.33-(-91.33/(-5*-91.33))))-(-5/-5)))))</f>
        <v>-3825968.105985</v>
      </c>
      <c r="C868" t="n" s="0">
        <v>-3825968.105985</v>
      </c>
    </row>
    <row r="869">
      <c r="A869" t="n" s="0">
        <v>-91.32</v>
      </c>
      <c r="B869" t="n" s="0">
        <f>(-5-((((-5*(-5/((-5/(((-5*(-91.32--5))-(-5+((-5*-91.32)*(((-5--5)+(-91.32--5))+-91.32))))-(-5+-5)))*-5)))/-5)--5)+(-5*(((-91.32*(-91.32-(-5/-5)))*(-91.32-(-91.32/(-5*-91.32))))-(-5/-5)))))</f>
        <v>-3824713.38464</v>
      </c>
      <c r="C869" t="n" s="0">
        <v>-3824713.384639999</v>
      </c>
    </row>
    <row r="870">
      <c r="A870" t="n" s="0">
        <v>-91.31</v>
      </c>
      <c r="B870" t="n" s="0">
        <f>(-5-((((-5*(-5/((-5/(((-5*(-91.31--5))-(-5+((-5*-91.31)*(((-5--5)+(-91.31--5))+-91.31))))-(-5+-5)))*-5)))/-5)--5)+(-5*(((-91.31*(-91.31-(-5/-5)))*(-91.31-(-91.31/(-5*-91.31))))-(-5/-5)))))</f>
        <v>-3823458.937655</v>
      </c>
      <c r="C870" t="n" s="0">
        <v>-3823458.9376550005</v>
      </c>
    </row>
    <row r="871">
      <c r="A871" t="n" s="0">
        <v>-91.3</v>
      </c>
      <c r="B871" t="n" s="0">
        <f>(-5-((((-5*(-5/((-5/(((-5*(-91.3--5))-(-5+((-5*-91.3)*(((-5--5)+(-91.3--5))+-91.3))))-(-5+-5)))*-5)))/-5)--5)+(-5*(((-91.3*(-91.3-(-5/-5)))*(-91.3-(-91.3/(-5*-91.3))))-(-5/-5)))))</f>
        <v>-3822204.7649999997</v>
      </c>
      <c r="C871" t="n" s="0">
        <v>-3822204.7649999997</v>
      </c>
    </row>
    <row r="872">
      <c r="A872" t="n" s="0">
        <v>-91.29</v>
      </c>
      <c r="B872" t="n" s="0">
        <f>(-5-((((-5*(-5/((-5/(((-5*(-91.29--5))-(-5+((-5*-91.29)*(((-5--5)+(-91.29--5))+-91.29))))-(-5+-5)))*-5)))/-5)--5)+(-5*(((-91.29*(-91.29-(-5/-5)))*(-91.29-(-91.29/(-5*-91.29))))-(-5/-5)))))</f>
        <v>-3820950.866645</v>
      </c>
      <c r="C872" t="n" s="0">
        <v>-3820950.8666450004</v>
      </c>
    </row>
    <row r="873">
      <c r="A873" t="n" s="0">
        <v>-91.28</v>
      </c>
      <c r="B873" t="n" s="0">
        <f>(-5-((((-5*(-5/((-5/(((-5*(-91.28--5))-(-5+((-5*-91.28)*(((-5--5)+(-91.28--5))+-91.28))))-(-5+-5)))*-5)))/-5)--5)+(-5*(((-91.28*(-91.28-(-5/-5)))*(-91.28-(-91.28/(-5*-91.28))))-(-5/-5)))))</f>
        <v>-3819697.24256</v>
      </c>
      <c r="C873" t="n" s="0">
        <v>-3819697.24256</v>
      </c>
    </row>
    <row r="874">
      <c r="A874" t="n" s="0">
        <v>-91.27</v>
      </c>
      <c r="B874" t="n" s="0">
        <f>(-5-((((-5*(-5/((-5/(((-5*(-91.27--5))-(-5+((-5*-91.27)*(((-5--5)+(-91.27--5))+-91.27))))-(-5+-5)))*-5)))/-5)--5)+(-5*(((-91.27*(-91.27-(-5/-5)))*(-91.27-(-91.27/(-5*-91.27))))-(-5/-5)))))</f>
        <v>-3818443.892715</v>
      </c>
      <c r="C874" t="n" s="0">
        <v>-3818443.892714999</v>
      </c>
    </row>
    <row r="875">
      <c r="A875" t="n" s="0">
        <v>-91.26</v>
      </c>
      <c r="B875" t="n" s="0">
        <f>(-5-((((-5*(-5/((-5/(((-5*(-91.26--5))-(-5+((-5*-91.26)*(((-5--5)+(-91.26--5))+-91.26))))-(-5+-5)))*-5)))/-5)--5)+(-5*(((-91.26*(-91.26-(-5/-5)))*(-91.26-(-91.26/(-5*-91.26))))-(-5/-5)))))</f>
        <v>-3817190.81708</v>
      </c>
      <c r="C875" t="n" s="0">
        <v>-3817190.81708</v>
      </c>
    </row>
    <row r="876">
      <c r="A876" t="n" s="0">
        <v>-91.25</v>
      </c>
      <c r="B876" t="n" s="0">
        <f>(-5-((((-5*(-5/((-5/(((-5*(-91.25--5))-(-5+((-5*-91.25)*(((-5--5)+(-91.25--5))+-91.25))))-(-5+-5)))*-5)))/-5)--5)+(-5*(((-91.25*(-91.25-(-5/-5)))*(-91.25-(-91.25/(-5*-91.25))))-(-5/-5)))))</f>
        <v>-3815938.015625</v>
      </c>
      <c r="C876" t="n" s="0">
        <v>-3815938.015625</v>
      </c>
    </row>
    <row r="877">
      <c r="A877" t="n" s="0">
        <v>-91.24</v>
      </c>
      <c r="B877" t="n" s="0">
        <f>(-5-((((-5*(-5/((-5/(((-5*(-91.24--5))-(-5+((-5*-91.24)*(((-5--5)+(-91.24--5))+-91.24))))-(-5+-5)))*-5)))/-5)--5)+(-5*(((-91.24*(-91.24-(-5/-5)))*(-91.24-(-91.24/(-5*-91.24))))-(-5/-5)))))</f>
        <v>-3814685.48832</v>
      </c>
      <c r="C877" t="n" s="0">
        <v>-3814685.4883199995</v>
      </c>
    </row>
    <row r="878">
      <c r="A878" t="n" s="0">
        <v>-91.23</v>
      </c>
      <c r="B878" t="n" s="0">
        <f>(-5-((((-5*(-5/((-5/(((-5*(-91.23--5))-(-5+((-5*-91.23)*(((-5--5)+(-91.23--5))+-91.23))))-(-5+-5)))*-5)))/-5)--5)+(-5*(((-91.23*(-91.23-(-5/-5)))*(-91.23-(-91.23/(-5*-91.23))))-(-5/-5)))))</f>
        <v>-3813433.235135</v>
      </c>
      <c r="C878" t="n" s="0">
        <v>-3813433.2351350007</v>
      </c>
    </row>
    <row r="879">
      <c r="A879" t="n" s="0">
        <v>-91.22</v>
      </c>
      <c r="B879" t="n" s="0">
        <f>(-5-((((-5*(-5/((-5/(((-5*(-91.22--5))-(-5+((-5*-91.22)*(((-5--5)+(-91.22--5))+-91.22))))-(-5+-5)))*-5)))/-5)--5)+(-5*(((-91.22*(-91.22-(-5/-5)))*(-91.22-(-91.22/(-5*-91.22))))-(-5/-5)))))</f>
        <v>-3812181.25604</v>
      </c>
      <c r="C879" t="n" s="0">
        <v>-3812181.2560400004</v>
      </c>
    </row>
    <row r="880">
      <c r="A880" t="n" s="0">
        <v>-91.21</v>
      </c>
      <c r="B880" t="n" s="0">
        <f>(-5-((((-5*(-5/((-5/(((-5*(-91.21--5))-(-5+((-5*-91.21)*(((-5--5)+(-91.21--5))+-91.21))))-(-5+-5)))*-5)))/-5)--5)+(-5*(((-91.21*(-91.21-(-5/-5)))*(-91.21-(-91.21/(-5*-91.21))))-(-5/-5)))))</f>
        <v>-3810929.551005</v>
      </c>
      <c r="C880" t="n" s="0">
        <v>-3810929.551004999</v>
      </c>
    </row>
    <row r="881">
      <c r="A881" t="n" s="0">
        <v>-91.2</v>
      </c>
      <c r="B881" t="n" s="0">
        <f>(-5-((((-5*(-5/((-5/(((-5*(-91.2--5))-(-5+((-5*-91.2)*(((-5--5)+(-91.2--5))+-91.2))))-(-5+-5)))*-5)))/-5)--5)+(-5*(((-91.2*(-91.2-(-5/-5)))*(-91.2-(-91.2/(-5*-91.2))))-(-5/-5)))))</f>
        <v>-3809678.12</v>
      </c>
      <c r="C881" t="n" s="0">
        <v>-3809678.12</v>
      </c>
    </row>
    <row r="882">
      <c r="A882" t="n" s="0">
        <v>-91.19</v>
      </c>
      <c r="B882" t="n" s="0">
        <f>(-5-((((-5*(-5/((-5/(((-5*(-91.19--5))-(-5+((-5*-91.19)*(((-5--5)+(-91.19--5))+-91.19))))-(-5+-5)))*-5)))/-5)--5)+(-5*(((-91.19*(-91.19-(-5/-5)))*(-91.19-(-91.19/(-5*-91.19))))-(-5/-5)))))</f>
        <v>-3808426.9629949997</v>
      </c>
      <c r="C882" t="n" s="0">
        <v>-3808426.9629949993</v>
      </c>
    </row>
    <row r="883">
      <c r="A883" t="n" s="0">
        <v>-91.18</v>
      </c>
      <c r="B883" t="n" s="0">
        <f>(-5-((((-5*(-5/((-5/(((-5*(-91.18--5))-(-5+((-5*-91.18)*(((-5--5)+(-91.18--5))+-91.18))))-(-5+-5)))*-5)))/-5)--5)+(-5*(((-91.18*(-91.18-(-5/-5)))*(-91.18-(-91.18/(-5*-91.18))))-(-5/-5)))))</f>
        <v>-3807176.07996</v>
      </c>
      <c r="C883" t="n" s="0">
        <v>-3807176.0799600007</v>
      </c>
    </row>
    <row r="884">
      <c r="A884" t="n" s="0">
        <v>-91.17</v>
      </c>
      <c r="B884" t="n" s="0">
        <f>(-5-((((-5*(-5/((-5/(((-5*(-91.17--5))-(-5+((-5*-91.17)*(((-5--5)+(-91.17--5))+-91.17))))-(-5+-5)))*-5)))/-5)--5)+(-5*(((-91.17*(-91.17-(-5/-5)))*(-91.17-(-91.17/(-5*-91.17))))-(-5/-5)))))</f>
        <v>-3805925.470865</v>
      </c>
      <c r="C884" t="n" s="0">
        <v>-3805925.470865</v>
      </c>
    </row>
    <row r="885">
      <c r="A885" t="n" s="0">
        <v>-91.16</v>
      </c>
      <c r="B885" t="n" s="0">
        <f>(-5-((((-5*(-5/((-5/(((-5*(-91.16--5))-(-5+((-5*-91.16)*(((-5--5)+(-91.16--5))+-91.16))))-(-5+-5)))*-5)))/-5)--5)+(-5*(((-91.16*(-91.16-(-5/-5)))*(-91.16-(-91.16/(-5*-91.16))))-(-5/-5)))))</f>
        <v>-3804675.13568</v>
      </c>
      <c r="C885" t="n" s="0">
        <v>-3804675.1356799994</v>
      </c>
    </row>
    <row r="886">
      <c r="A886" t="n" s="0">
        <v>-91.15</v>
      </c>
      <c r="B886" t="n" s="0">
        <f>(-5-((((-5*(-5/((-5/(((-5*(-91.15--5))-(-5+((-5*-91.15)*(((-5--5)+(-91.15--5))+-91.15))))-(-5+-5)))*-5)))/-5)--5)+(-5*(((-91.15*(-91.15-(-5/-5)))*(-91.15-(-91.15/(-5*-91.15))))-(-5/-5)))))</f>
        <v>-3803425.074375</v>
      </c>
      <c r="C886" t="n" s="0">
        <v>-3803425.074375001</v>
      </c>
    </row>
    <row r="887">
      <c r="A887" t="n" s="0">
        <v>-91.14</v>
      </c>
      <c r="B887" t="n" s="0">
        <f>(-5-((((-5*(-5/((-5/(((-5*(-91.14--5))-(-5+((-5*-91.14)*(((-5--5)+(-91.14--5))+-91.14))))-(-5+-5)))*-5)))/-5)--5)+(-5*(((-91.14*(-91.14-(-5/-5)))*(-91.14-(-91.14/(-5*-91.14))))-(-5/-5)))))</f>
        <v>-3802175.28692</v>
      </c>
      <c r="C887" t="n" s="0">
        <v>-3802175.28692</v>
      </c>
    </row>
    <row r="888">
      <c r="A888" t="n" s="0">
        <v>-91.13</v>
      </c>
      <c r="B888" t="n" s="0">
        <f>(-5-((((-5*(-5/((-5/(((-5*(-91.13--5))-(-5+((-5*-91.13)*(((-5--5)+(-91.13--5))+-91.13))))-(-5+-5)))*-5)))/-5)--5)+(-5*(((-91.13*(-91.13-(-5/-5)))*(-91.13-(-91.13/(-5*-91.13))))-(-5/-5)))))</f>
        <v>-3800925.7732849997</v>
      </c>
      <c r="C888" t="n" s="0">
        <v>-3800925.7732849997</v>
      </c>
    </row>
    <row r="889">
      <c r="A889" t="n" s="0">
        <v>-91.12</v>
      </c>
      <c r="B889" t="n" s="0">
        <f>(-5-((((-5*(-5/((-5/(((-5*(-91.12--5))-(-5+((-5*-91.12)*(((-5--5)+(-91.12--5))+-91.12))))-(-5+-5)))*-5)))/-5)--5)+(-5*(((-91.12*(-91.12-(-5/-5)))*(-91.12-(-91.12/(-5*-91.12))))-(-5/-5)))))</f>
        <v>-3799676.53344</v>
      </c>
      <c r="C889" t="n" s="0">
        <v>-3799676.533440001</v>
      </c>
    </row>
    <row r="890">
      <c r="A890" t="n" s="0">
        <v>-91.11</v>
      </c>
      <c r="B890" t="n" s="0">
        <f>(-5-((((-5*(-5/((-5/(((-5*(-91.11--5))-(-5+((-5*-91.11)*(((-5--5)+(-91.11--5))+-91.11))))-(-5+-5)))*-5)))/-5)--5)+(-5*(((-91.11*(-91.11-(-5/-5)))*(-91.11-(-91.11/(-5*-91.11))))-(-5/-5)))))</f>
        <v>-3798427.567355</v>
      </c>
      <c r="C890" t="n" s="0">
        <v>-3798427.567355</v>
      </c>
    </row>
    <row r="891">
      <c r="A891" t="n" s="0">
        <v>-91.1</v>
      </c>
      <c r="B891" t="n" s="0">
        <f>(-5-((((-5*(-5/((-5/(((-5*(-91.1--5))-(-5+((-5*-91.1)*(((-5--5)+(-91.1--5))+-91.1))))-(-5+-5)))*-5)))/-5)--5)+(-5*(((-91.1*(-91.1-(-5/-5)))*(-91.1-(-91.1/(-5*-91.1))))-(-5/-5)))))</f>
        <v>-3797178.875</v>
      </c>
      <c r="C891" t="n" s="0">
        <v>-3797178.874999999</v>
      </c>
    </row>
    <row r="892">
      <c r="A892" t="n" s="0">
        <v>-91.09</v>
      </c>
      <c r="B892" t="n" s="0">
        <f>(-5-((((-5*(-5/((-5/(((-5*(-91.09--5))-(-5+((-5*-91.09)*(((-5--5)+(-91.09--5))+-91.09))))-(-5+-5)))*-5)))/-5)--5)+(-5*(((-91.09*(-91.09-(-5/-5)))*(-91.09-(-91.09/(-5*-91.09))))-(-5/-5)))))</f>
        <v>-3795930.4563450003</v>
      </c>
      <c r="C892" t="n" s="0">
        <v>-3795930.4563450003</v>
      </c>
    </row>
    <row r="893">
      <c r="A893" t="n" s="0">
        <v>-91.08</v>
      </c>
      <c r="B893" t="n" s="0">
        <f>(-5-((((-5*(-5/((-5/(((-5*(-91.08--5))-(-5+((-5*-91.08)*(((-5--5)+(-91.08--5))+-91.08))))-(-5+-5)))*-5)))/-5)--5)+(-5*(((-91.08*(-91.08-(-5/-5)))*(-91.08-(-91.08/(-5*-91.08))))-(-5/-5)))))</f>
        <v>-3794682.31136</v>
      </c>
      <c r="C893" t="n" s="0">
        <v>-3794682.3113599997</v>
      </c>
    </row>
    <row r="894">
      <c r="A894" t="n" s="0">
        <v>-91.07</v>
      </c>
      <c r="B894" t="n" s="0">
        <f>(-5-((((-5*(-5/((-5/(((-5*(-91.07--5))-(-5+((-5*-91.07)*(((-5--5)+(-91.07--5))+-91.07))))-(-5+-5)))*-5)))/-5)--5)+(-5*(((-91.07*(-91.07-(-5/-5)))*(-91.07-(-91.07/(-5*-91.07))))-(-5/-5)))))</f>
        <v>-3793434.4400150003</v>
      </c>
      <c r="C894" t="n" s="0">
        <v>-3793434.4400149994</v>
      </c>
    </row>
    <row r="895">
      <c r="A895" t="n" s="0">
        <v>-91.06</v>
      </c>
      <c r="B895" t="n" s="0">
        <f>(-5-((((-5*(-5/((-5/(((-5*(-91.06--5))-(-5+((-5*-91.06)*(((-5--5)+(-91.06--5))+-91.06))))-(-5+-5)))*-5)))/-5)--5)+(-5*(((-91.06*(-91.06-(-5/-5)))*(-91.06-(-91.06/(-5*-91.06))))-(-5/-5)))))</f>
        <v>-3792186.84228</v>
      </c>
      <c r="C895" t="n" s="0">
        <v>-3792186.842280001</v>
      </c>
    </row>
    <row r="896">
      <c r="A896" t="n" s="0">
        <v>-91.05</v>
      </c>
      <c r="B896" t="n" s="0">
        <f>(-5-((((-5*(-5/((-5/(((-5*(-91.05--5))-(-5+((-5*-91.05)*(((-5--5)+(-91.05--5))+-91.05))))-(-5+-5)))*-5)))/-5)--5)+(-5*(((-91.05*(-91.05-(-5/-5)))*(-91.05-(-91.05/(-5*-91.05))))-(-5/-5)))))</f>
        <v>-3790939.518125</v>
      </c>
      <c r="C896" t="n" s="0">
        <v>-3790939.5181249995</v>
      </c>
    </row>
    <row r="897">
      <c r="A897" t="n" s="0">
        <v>-91.04</v>
      </c>
      <c r="B897" t="n" s="0">
        <f>(-5-((((-5*(-5/((-5/(((-5*(-91.04--5))-(-5+((-5*-91.04)*(((-5--5)+(-91.04--5))+-91.04))))-(-5+-5)))*-5)))/-5)--5)+(-5*(((-91.04*(-91.04-(-5/-5)))*(-91.04-(-91.04/(-5*-91.04))))-(-5/-5)))))</f>
        <v>-3789692.46752</v>
      </c>
      <c r="C897" t="n" s="0">
        <v>-3789692.467520001</v>
      </c>
    </row>
    <row r="898">
      <c r="A898" t="n" s="0">
        <v>-91.03</v>
      </c>
      <c r="B898" t="n" s="0">
        <f>(-5-((((-5*(-5/((-5/(((-5*(-91.03--5))-(-5+((-5*-91.03)*(((-5--5)+(-91.03--5))+-91.03))))-(-5+-5)))*-5)))/-5)--5)+(-5*(((-91.03*(-91.03-(-5/-5)))*(-91.03-(-91.03/(-5*-91.03))))-(-5/-5)))))</f>
        <v>-3788445.6904349998</v>
      </c>
      <c r="C898" t="n" s="0">
        <v>-3788445.6904349998</v>
      </c>
    </row>
    <row r="899">
      <c r="A899" t="n" s="0">
        <v>-91.02</v>
      </c>
      <c r="B899" t="n" s="0">
        <f>(-5-((((-5*(-5/((-5/(((-5*(-91.02--5))-(-5+((-5*-91.02)*(((-5--5)+(-91.02--5))+-91.02))))-(-5+-5)))*-5)))/-5)--5)+(-5*(((-91.02*(-91.02-(-5/-5)))*(-91.02-(-91.02/(-5*-91.02))))-(-5/-5)))))</f>
        <v>-3787199.1868399996</v>
      </c>
      <c r="C899" t="n" s="0">
        <v>-3787199.186839999</v>
      </c>
    </row>
    <row r="900">
      <c r="A900" t="n" s="0">
        <v>-91.01</v>
      </c>
      <c r="B900" t="n" s="0">
        <f>(-5-((((-5*(-5/((-5/(((-5*(-91.01--5))-(-5+((-5*-91.01)*(((-5--5)+(-91.01--5))+-91.01))))-(-5+-5)))*-5)))/-5)--5)+(-5*(((-91.01*(-91.01-(-5/-5)))*(-91.01-(-91.01/(-5*-91.01))))-(-5/-5)))))</f>
        <v>-3785952.956705</v>
      </c>
      <c r="C900" t="n" s="0">
        <v>-3785952.9567050003</v>
      </c>
    </row>
    <row r="901">
      <c r="A901" t="n" s="0">
        <v>-91.0</v>
      </c>
      <c r="B901" t="n" s="0">
        <f>(-5-((((-5*(-5/((-5/(((-5*(-91--5))-(-5+((-5*-91)*(((-5--5)+(-91--5))+-91))))-(-5+-5)))*-5)))/-5)--5)+(-5*(((-91*(-91-(-5/-5)))*(-91-(-91/(-5*-91))))-(-5/-5)))))</f>
        <v>-3784707.0</v>
      </c>
      <c r="C901" t="n" s="0">
        <v>-3784707.0</v>
      </c>
    </row>
    <row r="902">
      <c r="A902" t="n" s="0">
        <v>-90.99</v>
      </c>
      <c r="B902" t="n" s="0">
        <f>(-5-((((-5*(-5/((-5/(((-5*(-90.99--5))-(-5+((-5*-90.99)*(((-5--5)+(-90.99--5))+-90.99))))-(-5+-5)))*-5)))/-5)--5)+(-5*(((-90.99*(-90.99-(-5/-5)))*(-90.99-(-90.99/(-5*-90.99))))-(-5/-5)))))</f>
        <v>-3783461.316695</v>
      </c>
      <c r="C902" t="n" s="0">
        <v>-3783461.3166949996</v>
      </c>
    </row>
    <row r="903">
      <c r="A903" t="n" s="0">
        <v>-90.98</v>
      </c>
      <c r="B903" t="n" s="0">
        <f>(-5-((((-5*(-5/((-5/(((-5*(-90.98--5))-(-5+((-5*-90.98)*(((-5--5)+(-90.98--5))+-90.98))))-(-5+-5)))*-5)))/-5)--5)+(-5*(((-90.98*(-90.98-(-5/-5)))*(-90.98-(-90.98/(-5*-90.98))))-(-5/-5)))))</f>
        <v>-3782215.90676</v>
      </c>
      <c r="C903" t="n" s="0">
        <v>-3782215.9067600006</v>
      </c>
    </row>
    <row r="904">
      <c r="A904" t="n" s="0">
        <v>-90.97</v>
      </c>
      <c r="B904" t="n" s="0">
        <f>(-5-((((-5*(-5/((-5/(((-5*(-90.97--5))-(-5+((-5*-90.97)*(((-5--5)+(-90.97--5))+-90.97))))-(-5+-5)))*-5)))/-5)--5)+(-5*(((-90.97*(-90.97-(-5/-5)))*(-90.97-(-90.97/(-5*-90.97))))-(-5/-5)))))</f>
        <v>-3780970.770165</v>
      </c>
      <c r="C904" t="n" s="0">
        <v>-3780970.7701649996</v>
      </c>
    </row>
    <row r="905">
      <c r="A905" t="n" s="0">
        <v>-90.96</v>
      </c>
      <c r="B905" t="n" s="0">
        <f>(-5-((((-5*(-5/((-5/(((-5*(-90.96--5))-(-5+((-5*-90.96)*(((-5--5)+(-90.96--5))+-90.96))))-(-5+-5)))*-5)))/-5)--5)+(-5*(((-90.96*(-90.96-(-5/-5)))*(-90.96-(-90.96/(-5*-90.96))))-(-5/-5)))))</f>
        <v>-3779725.90688</v>
      </c>
      <c r="C905" t="n" s="0">
        <v>-3779725.906879999</v>
      </c>
    </row>
    <row r="906">
      <c r="A906" t="n" s="0">
        <v>-90.95</v>
      </c>
      <c r="B906" t="n" s="0">
        <f>(-5-((((-5*(-5/((-5/(((-5*(-90.95--5))-(-5+((-5*-90.95)*(((-5--5)+(-90.95--5))+-90.95))))-(-5+-5)))*-5)))/-5)--5)+(-5*(((-90.95*(-90.95-(-5/-5)))*(-90.95-(-90.95/(-5*-90.95))))-(-5/-5)))))</f>
        <v>-3778481.316875</v>
      </c>
      <c r="C906" t="n" s="0">
        <v>-3778481.3168750005</v>
      </c>
    </row>
    <row r="907">
      <c r="A907" t="n" s="0">
        <v>-90.94</v>
      </c>
      <c r="B907" t="n" s="0">
        <f>(-5-((((-5*(-5/((-5/(((-5*(-90.94--5))-(-5+((-5*-90.94)*(((-5--5)+(-90.94--5))+-90.94))))-(-5+-5)))*-5)))/-5)--5)+(-5*(((-90.94*(-90.94-(-5/-5)))*(-90.94-(-90.94/(-5*-90.94))))-(-5/-5)))))</f>
        <v>-3777237.0001200004</v>
      </c>
      <c r="C907" t="n" s="0">
        <v>-3777237.0001199995</v>
      </c>
    </row>
    <row r="908">
      <c r="A908" t="n" s="0">
        <v>-90.93</v>
      </c>
      <c r="B908" t="n" s="0">
        <f>(-5-((((-5*(-5/((-5/(((-5*(-90.93--5))-(-5+((-5*-90.93)*(((-5--5)+(-90.93--5))+-90.93))))-(-5+-5)))*-5)))/-5)--5)+(-5*(((-90.93*(-90.93-(-5/-5)))*(-90.93-(-90.93/(-5*-90.93))))-(-5/-5)))))</f>
        <v>-3775992.9565850003</v>
      </c>
      <c r="C908" t="n" s="0">
        <v>-3775992.956585001</v>
      </c>
    </row>
    <row r="909">
      <c r="A909" t="n" s="0">
        <v>-90.92</v>
      </c>
      <c r="B909" t="n" s="0">
        <f>(-5-((((-5*(-5/((-5/(((-5*(-90.92--5))-(-5+((-5*-90.92)*(((-5--5)+(-90.92--5))+-90.92))))-(-5+-5)))*-5)))/-5)--5)+(-5*(((-90.92*(-90.92-(-5/-5)))*(-90.92-(-90.92/(-5*-90.92))))-(-5/-5)))))</f>
        <v>-3774749.18624</v>
      </c>
      <c r="C909" t="n" s="0">
        <v>-3774749.18624</v>
      </c>
    </row>
    <row r="910">
      <c r="A910" t="n" s="0">
        <v>-90.91</v>
      </c>
      <c r="B910" t="n" s="0">
        <f>(-5-((((-5*(-5/((-5/(((-5*(-90.91--5))-(-5+((-5*-90.91)*(((-5--5)+(-90.91--5))+-90.91))))-(-5+-5)))*-5)))/-5)--5)+(-5*(((-90.91*(-90.91-(-5/-5)))*(-90.91-(-90.91/(-5*-90.91))))-(-5/-5)))))</f>
        <v>-3773505.689055</v>
      </c>
      <c r="C910" t="n" s="0">
        <v>-3773505.6890549995</v>
      </c>
    </row>
    <row r="911">
      <c r="A911" t="n" s="0">
        <v>-90.9</v>
      </c>
      <c r="B911" t="n" s="0">
        <f>(-5-((((-5*(-5/((-5/(((-5*(-90.9--5))-(-5+((-5*-90.9)*(((-5--5)+(-90.9--5))+-90.9))))-(-5+-5)))*-5)))/-5)--5)+(-5*(((-90.9*(-90.9-(-5/-5)))*(-90.9-(-90.9/(-5*-90.9))))-(-5/-5)))))</f>
        <v>-3772262.465</v>
      </c>
      <c r="C911" t="n" s="0">
        <v>-3772262.465000001</v>
      </c>
    </row>
    <row r="912">
      <c r="A912" t="n" s="0">
        <v>-90.89</v>
      </c>
      <c r="B912" t="n" s="0">
        <f>(-5-((((-5*(-5/((-5/(((-5*(-90.89--5))-(-5+((-5*-90.89)*(((-5--5)+(-90.89--5))+-90.89))))-(-5+-5)))*-5)))/-5)--5)+(-5*(((-90.89*(-90.89-(-5/-5)))*(-90.89-(-90.89/(-5*-90.89))))-(-5/-5)))))</f>
        <v>-3771019.514045</v>
      </c>
      <c r="C912" t="n" s="0">
        <v>-3771019.514045</v>
      </c>
    </row>
    <row r="913">
      <c r="A913" t="n" s="0">
        <v>-90.88</v>
      </c>
      <c r="B913" t="n" s="0">
        <f>(-5-((((-5*(-5/((-5/(((-5*(-90.88--5))-(-5+((-5*-90.88)*(((-5--5)+(-90.88--5))+-90.88))))-(-5+-5)))*-5)))/-5)--5)+(-5*(((-90.88*(-90.88-(-5/-5)))*(-90.88-(-90.88/(-5*-90.88))))-(-5/-5)))))</f>
        <v>-3769776.8361600004</v>
      </c>
      <c r="C913" t="n" s="0">
        <v>-3769776.836159999</v>
      </c>
    </row>
    <row r="914">
      <c r="A914" t="n" s="0">
        <v>-90.87</v>
      </c>
      <c r="B914" t="n" s="0">
        <f>(-5-((((-5*(-5/((-5/(((-5*(-90.87--5))-(-5+((-5*-90.87)*(((-5--5)+(-90.87--5))+-90.87))))-(-5+-5)))*-5)))/-5)--5)+(-5*(((-90.87*(-90.87-(-5/-5)))*(-90.87-(-90.87/(-5*-90.87))))-(-5/-5)))))</f>
        <v>-3768534.431315</v>
      </c>
      <c r="C914" t="n" s="0">
        <v>-3768534.431315</v>
      </c>
    </row>
    <row r="915">
      <c r="A915" t="n" s="0">
        <v>-90.86</v>
      </c>
      <c r="B915" t="n" s="0">
        <f>(-5-((((-5*(-5/((-5/(((-5*(-90.86--5))-(-5+((-5*-90.86)*(((-5--5)+(-90.86--5))+-90.86))))-(-5+-5)))*-5)))/-5)--5)+(-5*(((-90.86*(-90.86-(-5/-5)))*(-90.86-(-90.86/(-5*-90.86))))-(-5/-5)))))</f>
        <v>-3767292.29948</v>
      </c>
      <c r="C915" t="n" s="0">
        <v>-3767292.29948</v>
      </c>
    </row>
    <row r="916">
      <c r="A916" t="n" s="0">
        <v>-90.85</v>
      </c>
      <c r="B916" t="n" s="0">
        <f>(-5-((((-5*(-5/((-5/(((-5*(-90.85--5))-(-5+((-5*-90.85)*(((-5--5)+(-90.85--5))+-90.85))))-(-5+-5)))*-5)))/-5)--5)+(-5*(((-90.85*(-90.85-(-5/-5)))*(-90.85-(-90.85/(-5*-90.85))))-(-5/-5)))))</f>
        <v>-3766050.4406250003</v>
      </c>
      <c r="C916" t="n" s="0">
        <v>-3766050.4406249993</v>
      </c>
    </row>
    <row r="917">
      <c r="A917" t="n" s="0">
        <v>-90.84</v>
      </c>
      <c r="B917" t="n" s="0">
        <f>(-5-((((-5*(-5/((-5/(((-5*(-90.84--5))-(-5+((-5*-90.84)*(((-5--5)+(-90.84--5))+-90.84))))-(-5+-5)))*-5)))/-5)--5)+(-5*(((-90.84*(-90.84-(-5/-5)))*(-90.84-(-90.84/(-5*-90.84))))-(-5/-5)))))</f>
        <v>-3764808.85472</v>
      </c>
      <c r="C917" t="n" s="0">
        <v>-3764808.85472</v>
      </c>
    </row>
    <row r="918">
      <c r="A918" t="n" s="0">
        <v>-90.83</v>
      </c>
      <c r="B918" t="n" s="0">
        <f>(-5-((((-5*(-5/((-5/(((-5*(-90.83--5))-(-5+((-5*-90.83)*(((-5--5)+(-90.83--5))+-90.83))))-(-5+-5)))*-5)))/-5)--5)+(-5*(((-90.83*(-90.83-(-5/-5)))*(-90.83-(-90.83/(-5*-90.83))))-(-5/-5)))))</f>
        <v>-3763567.541735</v>
      </c>
      <c r="C918" t="n" s="0">
        <v>-3763567.5417350004</v>
      </c>
    </row>
    <row r="919">
      <c r="A919" t="n" s="0">
        <v>-90.82</v>
      </c>
      <c r="B919" t="n" s="0">
        <f>(-5-((((-5*(-5/((-5/(((-5*(-90.82--5))-(-5+((-5*-90.82)*(((-5--5)+(-90.82--5))+-90.82))))-(-5+-5)))*-5)))/-5)--5)+(-5*(((-90.82*(-90.82-(-5/-5)))*(-90.82-(-90.82/(-5*-90.82))))-(-5/-5)))))</f>
        <v>-3762326.50164</v>
      </c>
      <c r="C919" t="n" s="0">
        <v>-3762326.501639999</v>
      </c>
    </row>
    <row r="920">
      <c r="A920" t="n" s="0">
        <v>-90.81</v>
      </c>
      <c r="B920" t="n" s="0">
        <f>(-5-((((-5*(-5/((-5/(((-5*(-90.81--5))-(-5+((-5*-90.81)*(((-5--5)+(-90.81--5))+-90.81))))-(-5+-5)))*-5)))/-5)--5)+(-5*(((-90.81*(-90.81-(-5/-5)))*(-90.81-(-90.81/(-5*-90.81))))-(-5/-5)))))</f>
        <v>-3761085.734405</v>
      </c>
      <c r="C920" t="n" s="0">
        <v>-3761085.7344050007</v>
      </c>
    </row>
    <row r="921">
      <c r="A921" t="n" s="0">
        <v>-90.8</v>
      </c>
      <c r="B921" t="n" s="0">
        <f>(-5-((((-5*(-5/((-5/(((-5*(-90.8--5))-(-5+((-5*-90.8)*(((-5--5)+(-90.8--5))+-90.8))))-(-5+-5)))*-5)))/-5)--5)+(-5*(((-90.8*(-90.8-(-5/-5)))*(-90.8-(-90.8/(-5*-90.8))))-(-5/-5)))))</f>
        <v>-3759845.2399999998</v>
      </c>
      <c r="C921" t="n" s="0">
        <v>-3759845.2399999993</v>
      </c>
    </row>
    <row r="922">
      <c r="A922" t="n" s="0">
        <v>-90.79</v>
      </c>
      <c r="B922" t="n" s="0">
        <f>(-5-((((-5*(-5/((-5/(((-5*(-90.79--5))-(-5+((-5*-90.79)*(((-5--5)+(-90.79--5))+-90.79))))-(-5+-5)))*-5)))/-5)--5)+(-5*(((-90.79*(-90.79-(-5/-5)))*(-90.79-(-90.79/(-5*-90.79))))-(-5/-5)))))</f>
        <v>-3758605.018395</v>
      </c>
      <c r="C922" t="n" s="0">
        <v>-3758605.018395001</v>
      </c>
    </row>
    <row r="923">
      <c r="A923" t="n" s="0">
        <v>-90.78</v>
      </c>
      <c r="B923" t="n" s="0">
        <f>(-5-((((-5*(-5/((-5/(((-5*(-90.78--5))-(-5+((-5*-90.78)*(((-5--5)+(-90.78--5))+-90.78))))-(-5+-5)))*-5)))/-5)--5)+(-5*(((-90.78*(-90.78-(-5/-5)))*(-90.78-(-90.78/(-5*-90.78))))-(-5/-5)))))</f>
        <v>-3757365.0695599997</v>
      </c>
      <c r="C923" t="n" s="0">
        <v>-3757365.0695599997</v>
      </c>
    </row>
    <row r="924">
      <c r="A924" t="n" s="0">
        <v>-90.77</v>
      </c>
      <c r="B924" t="n" s="0">
        <f>(-5-((((-5*(-5/((-5/(((-5*(-90.77--5))-(-5+((-5*-90.77)*(((-5--5)+(-90.77--5))+-90.77))))-(-5+-5)))*-5)))/-5)--5)+(-5*(((-90.77*(-90.77-(-5/-5)))*(-90.77-(-90.77/(-5*-90.77))))-(-5/-5)))))</f>
        <v>-3756125.3934649997</v>
      </c>
      <c r="C924" t="n" s="0">
        <v>-3756125.3934649993</v>
      </c>
    </row>
    <row r="925">
      <c r="A925" t="n" s="0">
        <v>-90.76</v>
      </c>
      <c r="B925" t="n" s="0">
        <f>(-5-((((-5*(-5/((-5/(((-5*(-90.76--5))-(-5+((-5*-90.76)*(((-5--5)+(-90.76--5))+-90.76))))-(-5+-5)))*-5)))/-5)--5)+(-5*(((-90.76*(-90.76-(-5/-5)))*(-90.76-(-90.76/(-5*-90.76))))-(-5/-5)))))</f>
        <v>-3754885.99008</v>
      </c>
      <c r="C925" t="n" s="0">
        <v>-3754885.9900800004</v>
      </c>
    </row>
    <row r="926">
      <c r="A926" t="n" s="0">
        <v>-90.75</v>
      </c>
      <c r="B926" t="n" s="0">
        <f>(-5-((((-5*(-5/((-5/(((-5*(-90.75--5))-(-5+((-5*-90.75)*(((-5--5)+(-90.75--5))+-90.75))))-(-5+-5)))*-5)))/-5)--5)+(-5*(((-90.75*(-90.75-(-5/-5)))*(-90.75-(-90.75/(-5*-90.75))))-(-5/-5)))))</f>
        <v>-3753646.859375</v>
      </c>
      <c r="C926" t="n" s="0">
        <v>-3753646.859375</v>
      </c>
    </row>
    <row r="927">
      <c r="A927" t="n" s="0">
        <v>-90.74</v>
      </c>
      <c r="B927" t="n" s="0">
        <f>(-5-((((-5*(-5/((-5/(((-5*(-90.74--5))-(-5+((-5*-90.74)*(((-5--5)+(-90.74--5))+-90.74))))-(-5+-5)))*-5)))/-5)--5)+(-5*(((-90.74*(-90.74-(-5/-5)))*(-90.74-(-90.74/(-5*-90.74))))-(-5/-5)))))</f>
        <v>-3752408.0013200003</v>
      </c>
      <c r="C927" t="n" s="0">
        <v>-3752408.0013199993</v>
      </c>
    </row>
    <row r="928">
      <c r="A928" t="n" s="0">
        <v>-90.73</v>
      </c>
      <c r="B928" t="n" s="0">
        <f>(-5-((((-5*(-5/((-5/(((-5*(-90.73--5))-(-5+((-5*-90.73)*(((-5--5)+(-90.73--5))+-90.73))))-(-5+-5)))*-5)))/-5)--5)+(-5*(((-90.73*(-90.73-(-5/-5)))*(-90.73-(-90.73/(-5*-90.73))))-(-5/-5)))))</f>
        <v>-3751169.415885</v>
      </c>
      <c r="C928" t="n" s="0">
        <v>-3751169.4158850005</v>
      </c>
    </row>
    <row r="929">
      <c r="A929" t="n" s="0">
        <v>-90.72</v>
      </c>
      <c r="B929" t="n" s="0">
        <f>(-5-((((-5*(-5/((-5/(((-5*(-90.72--5))-(-5+((-5*-90.72)*(((-5--5)+(-90.72--5))+-90.72))))-(-5+-5)))*-5)))/-5)--5)+(-5*(((-90.72*(-90.72-(-5/-5)))*(-90.72-(-90.72/(-5*-90.72))))-(-5/-5)))))</f>
        <v>-3749931.10304</v>
      </c>
      <c r="C929" t="n" s="0">
        <v>-3749931.10304</v>
      </c>
    </row>
    <row r="930">
      <c r="A930" t="n" s="0">
        <v>-90.71</v>
      </c>
      <c r="B930" t="n" s="0">
        <f>(-5-((((-5*(-5/((-5/(((-5*(-90.71--5))-(-5+((-5*-90.71)*(((-5--5)+(-90.71--5))+-90.71))))-(-5+-5)))*-5)))/-5)--5)+(-5*(((-90.71*(-90.71-(-5/-5)))*(-90.71-(-90.71/(-5*-90.71))))-(-5/-5)))))</f>
        <v>-3748693.0627550003</v>
      </c>
      <c r="C930" t="n" s="0">
        <v>-3748693.0627549994</v>
      </c>
    </row>
    <row r="931">
      <c r="A931" t="n" s="0">
        <v>-90.7</v>
      </c>
      <c r="B931" t="n" s="0">
        <f>(-5-((((-5*(-5/((-5/(((-5*(-90.7--5))-(-5+((-5*-90.7)*(((-5--5)+(-90.7--5))+-90.7))))-(-5+-5)))*-5)))/-5)--5)+(-5*(((-90.7*(-90.7-(-5/-5)))*(-90.7-(-90.7/(-5*-90.7))))-(-5/-5)))))</f>
        <v>-3747455.295</v>
      </c>
      <c r="C931" t="n" s="0">
        <v>-3747455.2950000004</v>
      </c>
    </row>
    <row r="932">
      <c r="A932" t="n" s="0">
        <v>-90.69</v>
      </c>
      <c r="B932" t="n" s="0">
        <f>(-5-((((-5*(-5/((-5/(((-5*(-90.69--5))-(-5+((-5*-90.69)*(((-5--5)+(-90.69--5))+-90.69))))-(-5+-5)))*-5)))/-5)--5)+(-5*(((-90.69*(-90.69-(-5/-5)))*(-90.69-(-90.69/(-5*-90.69))))-(-5/-5)))))</f>
        <v>-3746217.799745</v>
      </c>
      <c r="C932" t="n" s="0">
        <v>-3746217.7997449995</v>
      </c>
    </row>
    <row r="933">
      <c r="A933" t="n" s="0">
        <v>-90.68</v>
      </c>
      <c r="B933" t="n" s="0">
        <f>(-5-((((-5*(-5/((-5/(((-5*(-90.68--5))-(-5+((-5*-90.68)*(((-5--5)+(-90.68--5))+-90.68))))-(-5+-5)))*-5)))/-5)--5)+(-5*(((-90.68*(-90.68-(-5/-5)))*(-90.68-(-90.68/(-5*-90.68))))-(-5/-5)))))</f>
        <v>-3744980.5769599997</v>
      </c>
      <c r="C933" t="n" s="0">
        <v>-3744980.5769600007</v>
      </c>
    </row>
    <row r="934">
      <c r="A934" t="n" s="0">
        <v>-90.67</v>
      </c>
      <c r="B934" t="n" s="0">
        <f>(-5-((((-5*(-5/((-5/(((-5*(-90.67--5))-(-5+((-5*-90.67)*(((-5--5)+(-90.67--5))+-90.67))))-(-5+-5)))*-5)))/-5)--5)+(-5*(((-90.67*(-90.67-(-5/-5)))*(-90.67-(-90.67/(-5*-90.67))))-(-5/-5)))))</f>
        <v>-3743743.626615</v>
      </c>
      <c r="C934" t="n" s="0">
        <v>-3743743.626615</v>
      </c>
    </row>
    <row r="935">
      <c r="A935" t="n" s="0">
        <v>-90.66</v>
      </c>
      <c r="B935" t="n" s="0">
        <f>(-5-((((-5*(-5/((-5/(((-5*(-90.66--5))-(-5+((-5*-90.66)*(((-5--5)+(-90.66--5))+-90.66))))-(-5+-5)))*-5)))/-5)--5)+(-5*(((-90.66*(-90.66-(-5/-5)))*(-90.66-(-90.66/(-5*-90.66))))-(-5/-5)))))</f>
        <v>-3742506.94868</v>
      </c>
      <c r="C935" t="n" s="0">
        <v>-3742506.9486799994</v>
      </c>
    </row>
    <row r="936">
      <c r="A936" t="n" s="0">
        <v>-90.65</v>
      </c>
      <c r="B936" t="n" s="0">
        <f>(-5-((((-5*(-5/((-5/(((-5*(-90.65--5))-(-5+((-5*-90.65)*(((-5--5)+(-90.65--5))+-90.65))))-(-5+-5)))*-5)))/-5)--5)+(-5*(((-90.65*(-90.65-(-5/-5)))*(-90.65-(-90.65/(-5*-90.65))))-(-5/-5)))))</f>
        <v>-3741270.543125</v>
      </c>
      <c r="C936" t="n" s="0">
        <v>-3741270.5431250012</v>
      </c>
    </row>
    <row r="937">
      <c r="A937" t="n" s="0">
        <v>-90.64</v>
      </c>
      <c r="B937" t="n" s="0">
        <f>(-5-((((-5*(-5/((-5/(((-5*(-90.64--5))-(-5+((-5*-90.64)*(((-5--5)+(-90.64--5))+-90.64))))-(-5+-5)))*-5)))/-5)--5)+(-5*(((-90.64*(-90.64-(-5/-5)))*(-90.64-(-90.64/(-5*-90.64))))-(-5/-5)))))</f>
        <v>-3740034.40992</v>
      </c>
      <c r="C937" t="n" s="0">
        <v>-3740034.40992</v>
      </c>
    </row>
    <row r="938">
      <c r="A938" t="n" s="0">
        <v>-90.63</v>
      </c>
      <c r="B938" t="n" s="0">
        <f>(-5-((((-5*(-5/((-5/(((-5*(-90.63--5))-(-5+((-5*-90.63)*(((-5--5)+(-90.63--5))+-90.63))))-(-5+-5)))*-5)))/-5)--5)+(-5*(((-90.63*(-90.63-(-5/-5)))*(-90.63-(-90.63/(-5*-90.63))))-(-5/-5)))))</f>
        <v>-3738798.549035</v>
      </c>
      <c r="C938" t="n" s="0">
        <v>-3738798.549034999</v>
      </c>
    </row>
    <row r="939">
      <c r="A939" t="n" s="0">
        <v>-90.62</v>
      </c>
      <c r="B939" t="n" s="0">
        <f>(-5-((((-5*(-5/((-5/(((-5*(-90.62--5))-(-5+((-5*-90.62)*(((-5--5)+(-90.62--5))+-90.62))))-(-5+-5)))*-5)))/-5)--5)+(-5*(((-90.62*(-90.62-(-5/-5)))*(-90.62-(-90.62/(-5*-90.62))))-(-5/-5)))))</f>
        <v>-3737562.96044</v>
      </c>
      <c r="C939" t="n" s="0">
        <v>-3737562.9604400005</v>
      </c>
    </row>
    <row r="940">
      <c r="A940" t="n" s="0">
        <v>-90.61</v>
      </c>
      <c r="B940" t="n" s="0">
        <f>(-5-((((-5*(-5/((-5/(((-5*(-90.61--5))-(-5+((-5*-90.61)*(((-5--5)+(-90.61--5))+-90.61))))-(-5+-5)))*-5)))/-5)--5)+(-5*(((-90.61*(-90.61-(-5/-5)))*(-90.61-(-90.61/(-5*-90.61))))-(-5/-5)))))</f>
        <v>-3736327.644105</v>
      </c>
      <c r="C940" t="n" s="0">
        <v>-3736327.6441050004</v>
      </c>
    </row>
    <row r="941">
      <c r="A941" t="n" s="0">
        <v>-90.6</v>
      </c>
      <c r="B941" t="n" s="0">
        <f>(-5-((((-5*(-5/((-5/(((-5*(-90.6--5))-(-5+((-5*-90.6)*(((-5--5)+(-90.6--5))+-90.6))))-(-5+-5)))*-5)))/-5)--5)+(-5*(((-90.6*(-90.6-(-5/-5)))*(-90.6-(-90.6/(-5*-90.6))))-(-5/-5)))))</f>
        <v>-3735092.6</v>
      </c>
      <c r="C941" t="n" s="0">
        <v>-3735092.599999999</v>
      </c>
    </row>
    <row r="942">
      <c r="A942" t="n" s="0">
        <v>-90.59</v>
      </c>
      <c r="B942" t="n" s="0">
        <f>(-5-((((-5*(-5/((-5/(((-5*(-90.59--5))-(-5+((-5*-90.59)*(((-5--5)+(-90.59--5))+-90.59))))-(-5+-5)))*-5)))/-5)--5)+(-5*(((-90.59*(-90.59-(-5/-5)))*(-90.59-(-90.59/(-5*-90.59))))-(-5/-5)))))</f>
        <v>-3733857.828095</v>
      </c>
      <c r="C942" t="n" s="0">
        <v>-3733857.8280950007</v>
      </c>
    </row>
    <row r="943">
      <c r="A943" t="n" s="0">
        <v>-90.58</v>
      </c>
      <c r="B943" t="n" s="0">
        <f>(-5-((((-5*(-5/((-5/(((-5*(-90.58--5))-(-5+((-5*-90.58)*(((-5--5)+(-90.58--5))+-90.58))))-(-5+-5)))*-5)))/-5)--5)+(-5*(((-90.58*(-90.58-(-5/-5)))*(-90.58-(-90.58/(-5*-90.58))))-(-5/-5)))))</f>
        <v>-3732623.32836</v>
      </c>
      <c r="C943" t="n" s="0">
        <v>-3732623.32836</v>
      </c>
    </row>
    <row r="944">
      <c r="A944" t="n" s="0">
        <v>-90.57</v>
      </c>
      <c r="B944" t="n" s="0">
        <f>(-5-((((-5*(-5/((-5/(((-5*(-90.57--5))-(-5+((-5*-90.57)*(((-5--5)+(-90.57--5))+-90.57))))-(-5+-5)))*-5)))/-5)--5)+(-5*(((-90.57*(-90.57-(-5/-5)))*(-90.57-(-90.57/(-5*-90.57))))-(-5/-5)))))</f>
        <v>-3731389.1007649996</v>
      </c>
      <c r="C944" t="n" s="0">
        <v>-3731389.1007649987</v>
      </c>
    </row>
    <row r="945">
      <c r="A945" t="n" s="0">
        <v>-90.56</v>
      </c>
      <c r="B945" t="n" s="0">
        <f>(-5-((((-5*(-5/((-5/(((-5*(-90.56--5))-(-5+((-5*-90.56)*(((-5--5)+(-90.56--5))+-90.56))))-(-5+-5)))*-5)))/-5)--5)+(-5*(((-90.56*(-90.56-(-5/-5)))*(-90.56-(-90.56/(-5*-90.56))))-(-5/-5)))))</f>
        <v>-3730155.1452800003</v>
      </c>
      <c r="C945" t="n" s="0">
        <v>-3730155.1452800008</v>
      </c>
    </row>
    <row r="946">
      <c r="A946" t="n" s="0">
        <v>-90.55</v>
      </c>
      <c r="B946" t="n" s="0">
        <f>(-5-((((-5*(-5/((-5/(((-5*(-90.55--5))-(-5+((-5*-90.55)*(((-5--5)+(-90.55--5))+-90.55))))-(-5+-5)))*-5)))/-5)--5)+(-5*(((-90.55*(-90.55-(-5/-5)))*(-90.55-(-90.55/(-5*-90.55))))-(-5/-5)))))</f>
        <v>-3728921.461875</v>
      </c>
      <c r="C946" t="n" s="0">
        <v>-3728921.4618749996</v>
      </c>
    </row>
    <row r="947">
      <c r="A947" t="n" s="0">
        <v>-90.54</v>
      </c>
      <c r="B947" t="n" s="0">
        <f>(-5-((((-5*(-5/((-5/(((-5*(-90.54--5))-(-5+((-5*-90.54)*(((-5--5)+(-90.54--5))+-90.54))))-(-5+-5)))*-5)))/-5)--5)+(-5*(((-90.54*(-90.54-(-5/-5)))*(-90.54-(-90.54/(-5*-90.54))))-(-5/-5)))))</f>
        <v>-3727688.05052</v>
      </c>
      <c r="C947" t="n" s="0">
        <v>-3727688.050520001</v>
      </c>
    </row>
    <row r="948">
      <c r="A948" t="n" s="0">
        <v>-90.53</v>
      </c>
      <c r="B948" t="n" s="0">
        <f>(-5-((((-5*(-5/((-5/(((-5*(-90.53--5))-(-5+((-5*-90.53)*(((-5--5)+(-90.53--5))+-90.53))))-(-5+-5)))*-5)))/-5)--5)+(-5*(((-90.53*(-90.53-(-5/-5)))*(-90.53-(-90.53/(-5*-90.53))))-(-5/-5)))))</f>
        <v>-3726454.911185</v>
      </c>
      <c r="C948" t="n" s="0">
        <v>-3726454.911185</v>
      </c>
    </row>
    <row r="949">
      <c r="A949" t="n" s="0">
        <v>-90.52</v>
      </c>
      <c r="B949" t="n" s="0">
        <f>(-5-((((-5*(-5/((-5/(((-5*(-90.52--5))-(-5+((-5*-90.52)*(((-5--5)+(-90.52--5))+-90.52))))-(-5+-5)))*-5)))/-5)--5)+(-5*(((-90.52*(-90.52-(-5/-5)))*(-90.52-(-90.52/(-5*-90.52))))-(-5/-5)))))</f>
        <v>-3725222.04384</v>
      </c>
      <c r="C949" t="n" s="0">
        <v>-3725222.0438399995</v>
      </c>
    </row>
    <row r="950">
      <c r="A950" t="n" s="0">
        <v>-90.51</v>
      </c>
      <c r="B950" t="n" s="0">
        <f>(-5-((((-5*(-5/((-5/(((-5*(-90.51--5))-(-5+((-5*-90.51)*(((-5--5)+(-90.51--5))+-90.51))))-(-5+-5)))*-5)))/-5)--5)+(-5*(((-90.51*(-90.51-(-5/-5)))*(-90.51-(-90.51/(-5*-90.51))))-(-5/-5)))))</f>
        <v>-3723989.448455</v>
      </c>
      <c r="C950" t="n" s="0">
        <v>-3723989.4484550003</v>
      </c>
    </row>
    <row r="951">
      <c r="A951" t="n" s="0">
        <v>-90.5</v>
      </c>
      <c r="B951" t="n" s="0">
        <f>(-5-((((-5*(-5/((-5/(((-5*(-90.5--5))-(-5+((-5*-90.5)*(((-5--5)+(-90.5--5))+-90.5))))-(-5+-5)))*-5)))/-5)--5)+(-5*(((-90.5*(-90.5-(-5/-5)))*(-90.5-(-90.5/(-5*-90.5))))-(-5/-5)))))</f>
        <v>-3722757.125</v>
      </c>
      <c r="C951" t="n" s="0">
        <v>-3722757.125</v>
      </c>
    </row>
    <row r="952">
      <c r="A952" t="n" s="0">
        <v>-90.49</v>
      </c>
      <c r="B952" t="n" s="0">
        <f>(-5-((((-5*(-5/((-5/(((-5*(-90.49--5))-(-5+((-5*-90.49)*(((-5--5)+(-90.49--5))+-90.49))))-(-5+-5)))*-5)))/-5)--5)+(-5*(((-90.49*(-90.49-(-5/-5)))*(-90.49-(-90.49/(-5*-90.49))))-(-5/-5)))))</f>
        <v>-3721525.0734449998</v>
      </c>
      <c r="C952" t="n" s="0">
        <v>-3721525.0734449993</v>
      </c>
    </row>
    <row r="953">
      <c r="A953" t="n" s="0">
        <v>-90.48</v>
      </c>
      <c r="B953" t="n" s="0">
        <f>(-5-((((-5*(-5/((-5/(((-5*(-90.48--5))-(-5+((-5*-90.48)*(((-5--5)+(-90.48--5))+-90.48))))-(-5+-5)))*-5)))/-5)--5)+(-5*(((-90.48*(-90.48-(-5/-5)))*(-90.48-(-90.48/(-5*-90.48))))-(-5/-5)))))</f>
        <v>-3720293.2937600003</v>
      </c>
      <c r="C953" t="n" s="0">
        <v>-3720293.29376</v>
      </c>
    </row>
    <row r="954">
      <c r="A954" t="n" s="0">
        <v>-90.47</v>
      </c>
      <c r="B954" t="n" s="0">
        <f>(-5-((((-5*(-5/((-5/(((-5*(-90.47--5))-(-5+((-5*-90.47)*(((-5--5)+(-90.47--5))+-90.47))))-(-5+-5)))*-5)))/-5)--5)+(-5*(((-90.47*(-90.47-(-5/-5)))*(-90.47-(-90.47/(-5*-90.47))))-(-5/-5)))))</f>
        <v>-3719061.785915</v>
      </c>
      <c r="C954" t="n" s="0">
        <v>-3719061.785915</v>
      </c>
    </row>
    <row r="955">
      <c r="A955" t="n" s="0">
        <v>-90.46</v>
      </c>
      <c r="B955" t="n" s="0">
        <f>(-5-((((-5*(-5/((-5/(((-5*(-90.46--5))-(-5+((-5*-90.46)*(((-5--5)+(-90.46--5))+-90.46))))-(-5+-5)))*-5)))/-5)--5)+(-5*(((-90.46*(-90.46-(-5/-5)))*(-90.46-(-90.46/(-5*-90.46))))-(-5/-5)))))</f>
        <v>-3717830.5498800003</v>
      </c>
      <c r="C955" t="n" s="0">
        <v>-3717830.5498799994</v>
      </c>
    </row>
    <row r="956">
      <c r="A956" t="n" s="0">
        <v>-90.45</v>
      </c>
      <c r="B956" t="n" s="0">
        <f>(-5-((((-5*(-5/((-5/(((-5*(-90.45--5))-(-5+((-5*-90.45)*(((-5--5)+(-90.45--5))+-90.45))))-(-5+-5)))*-5)))/-5)--5)+(-5*(((-90.45*(-90.45-(-5/-5)))*(-90.45-(-90.45/(-5*-90.45))))-(-5/-5)))))</f>
        <v>-3716599.585625</v>
      </c>
      <c r="C956" t="n" s="0">
        <v>-3716599.5856250003</v>
      </c>
    </row>
    <row r="957">
      <c r="A957" t="n" s="0">
        <v>-90.44</v>
      </c>
      <c r="B957" t="n" s="0">
        <f>(-5-((((-5*(-5/((-5/(((-5*(-90.44--5))-(-5+((-5*-90.44)*(((-5--5)+(-90.44--5))+-90.44))))-(-5+-5)))*-5)))/-5)--5)+(-5*(((-90.44*(-90.44-(-5/-5)))*(-90.44-(-90.44/(-5*-90.44))))-(-5/-5)))))</f>
        <v>-3715368.89312</v>
      </c>
      <c r="C957" t="n" s="0">
        <v>-3715368.8931199997</v>
      </c>
    </row>
    <row r="958">
      <c r="A958" t="n" s="0">
        <v>-90.43</v>
      </c>
      <c r="B958" t="n" s="0">
        <f>(-5-((((-5*(-5/((-5/(((-5*(-90.43--5))-(-5+((-5*-90.43)*(((-5--5)+(-90.43--5))+-90.43))))-(-5+-5)))*-5)))/-5)--5)+(-5*(((-90.43*(-90.43-(-5/-5)))*(-90.43-(-90.43/(-5*-90.43))))-(-5/-5)))))</f>
        <v>-3714138.472335</v>
      </c>
      <c r="C958" t="n" s="0">
        <v>-3714138.4723350005</v>
      </c>
    </row>
    <row r="959">
      <c r="A959" t="n" s="0">
        <v>-90.42</v>
      </c>
      <c r="B959" t="n" s="0">
        <f>(-5-((((-5*(-5/((-5/(((-5*(-90.42--5))-(-5+((-5*-90.42)*(((-5--5)+(-90.42--5))+-90.42))))-(-5+-5)))*-5)))/-5)--5)+(-5*(((-90.42*(-90.42-(-5/-5)))*(-90.42-(-90.42/(-5*-90.42))))-(-5/-5)))))</f>
        <v>-3712908.32324</v>
      </c>
      <c r="C959" t="n" s="0">
        <v>-3712908.3232400003</v>
      </c>
    </row>
    <row r="960">
      <c r="A960" t="n" s="0">
        <v>-90.41</v>
      </c>
      <c r="B960" t="n" s="0">
        <f>(-5-((((-5*(-5/((-5/(((-5*(-90.41--5))-(-5+((-5*-90.41)*(((-5--5)+(-90.41--5))+-90.41))))-(-5+-5)))*-5)))/-5)--5)+(-5*(((-90.41*(-90.41-(-5/-5)))*(-90.41-(-90.41/(-5*-90.41))))-(-5/-5)))))</f>
        <v>-3711678.4458049997</v>
      </c>
      <c r="C960" t="n" s="0">
        <v>-3711678.445804999</v>
      </c>
    </row>
    <row r="961">
      <c r="A961" t="n" s="0">
        <v>-90.4</v>
      </c>
      <c r="B961" t="n" s="0">
        <f>(-5-((((-5*(-5/((-5/(((-5*(-90.4--5))-(-5+((-5*-90.4)*(((-5--5)+(-90.4--5))+-90.4))))-(-5+-5)))*-5)))/-5)--5)+(-5*(((-90.4*(-90.4-(-5/-5)))*(-90.4-(-90.4/(-5*-90.4))))-(-5/-5)))))</f>
        <v>-3710448.84</v>
      </c>
      <c r="C961" t="n" s="0">
        <v>-3710448.8400000003</v>
      </c>
    </row>
    <row r="962">
      <c r="A962" t="n" s="0">
        <v>-90.39</v>
      </c>
      <c r="B962" t="n" s="0">
        <f>(-5-((((-5*(-5/((-5/(((-5*(-90.39--5))-(-5+((-5*-90.39)*(((-5--5)+(-90.39--5))+-90.39))))-(-5+-5)))*-5)))/-5)--5)+(-5*(((-90.39*(-90.39-(-5/-5)))*(-90.39-(-90.39/(-5*-90.39))))-(-5/-5)))))</f>
        <v>-3709219.505795</v>
      </c>
      <c r="C962" t="n" s="0">
        <v>-3709219.505795</v>
      </c>
    </row>
    <row r="963">
      <c r="A963" t="n" s="0">
        <v>-90.38</v>
      </c>
      <c r="B963" t="n" s="0">
        <f>(-5-((((-5*(-5/((-5/(((-5*(-90.38--5))-(-5+((-5*-90.38)*(((-5--5)+(-90.38--5))+-90.38))))-(-5+-5)))*-5)))/-5)--5)+(-5*(((-90.38*(-90.38-(-5/-5)))*(-90.38-(-90.38/(-5*-90.38))))-(-5/-5)))))</f>
        <v>-3707990.44316</v>
      </c>
      <c r="C963" t="n" s="0">
        <v>-3707990.44316</v>
      </c>
    </row>
    <row r="964">
      <c r="A964" t="n" s="0">
        <v>-90.37</v>
      </c>
      <c r="B964" t="n" s="0">
        <f>(-5-((((-5*(-5/((-5/(((-5*(-90.37--5))-(-5+((-5*-90.37)*(((-5--5)+(-90.37--5))+-90.37))))-(-5+-5)))*-5)))/-5)--5)+(-5*(((-90.37*(-90.37-(-5/-5)))*(-90.37-(-90.37/(-5*-90.37))))-(-5/-5)))))</f>
        <v>-3706761.652065</v>
      </c>
      <c r="C964" t="n" s="0">
        <v>-3706761.652065</v>
      </c>
    </row>
    <row r="965">
      <c r="A965" t="n" s="0">
        <v>-90.36</v>
      </c>
      <c r="B965" t="n" s="0">
        <f>(-5-((((-5*(-5/((-5/(((-5*(-90.36--5))-(-5+((-5*-90.36)*(((-5--5)+(-90.36--5))+-90.36))))-(-5+-5)))*-5)))/-5)--5)+(-5*(((-90.36*(-90.36-(-5/-5)))*(-90.36-(-90.36/(-5*-90.36))))-(-5/-5)))))</f>
        <v>-3705533.13248</v>
      </c>
      <c r="C965" t="n" s="0">
        <v>-3705533.1324799997</v>
      </c>
    </row>
    <row r="966">
      <c r="A966" t="n" s="0">
        <v>-90.35</v>
      </c>
      <c r="B966" t="n" s="0">
        <f>(-5-((((-5*(-5/((-5/(((-5*(-90.35--5))-(-5+((-5*-90.35)*(((-5--5)+(-90.35--5))+-90.35))))-(-5+-5)))*-5)))/-5)--5)+(-5*(((-90.35*(-90.35-(-5/-5)))*(-90.35-(-90.35/(-5*-90.35))))-(-5/-5)))))</f>
        <v>-3704304.884375</v>
      </c>
      <c r="C966" t="n" s="0">
        <v>-3704304.8843749994</v>
      </c>
    </row>
    <row r="967">
      <c r="A967" t="n" s="0">
        <v>-90.34</v>
      </c>
      <c r="B967" t="n" s="0">
        <f>(-5-((((-5*(-5/((-5/(((-5*(-90.34--5))-(-5+((-5*-90.34)*(((-5--5)+(-90.34--5))+-90.34))))-(-5+-5)))*-5)))/-5)--5)+(-5*(((-90.34*(-90.34-(-5/-5)))*(-90.34-(-90.34/(-5*-90.34))))-(-5/-5)))))</f>
        <v>-3703076.90772</v>
      </c>
      <c r="C967" t="n" s="0">
        <v>-3703076.9077200005</v>
      </c>
    </row>
    <row r="968">
      <c r="A968" t="n" s="0">
        <v>-90.33</v>
      </c>
      <c r="B968" t="n" s="0">
        <f>(-5-((((-5*(-5/((-5/(((-5*(-90.33--5))-(-5+((-5*-90.33)*(((-5--5)+(-90.33--5))+-90.33))))-(-5+-5)))*-5)))/-5)--5)+(-5*(((-90.33*(-90.33-(-5/-5)))*(-90.33-(-90.33/(-5*-90.33))))-(-5/-5)))))</f>
        <v>-3701849.202485</v>
      </c>
      <c r="C968" t="n" s="0">
        <v>-3701849.2024850002</v>
      </c>
    </row>
    <row r="969">
      <c r="A969" t="n" s="0">
        <v>-90.32</v>
      </c>
      <c r="B969" t="n" s="0">
        <f>(-5-((((-5*(-5/((-5/(((-5*(-90.32--5))-(-5+((-5*-90.32)*(((-5--5)+(-90.32--5))+-90.32))))-(-5+-5)))*-5)))/-5)--5)+(-5*(((-90.32*(-90.32-(-5/-5)))*(-90.32-(-90.32/(-5*-90.32))))-(-5/-5)))))</f>
        <v>-3700621.76864</v>
      </c>
      <c r="C969" t="n" s="0">
        <v>-3700621.7686399994</v>
      </c>
    </row>
    <row r="970">
      <c r="A970" t="n" s="0">
        <v>-90.31</v>
      </c>
      <c r="B970" t="n" s="0">
        <f>(-5-((((-5*(-5/((-5/(((-5*(-90.31--5))-(-5+((-5*-90.31)*(((-5--5)+(-90.31--5))+-90.31))))-(-5+-5)))*-5)))/-5)--5)+(-5*(((-90.31*(-90.31-(-5/-5)))*(-90.31-(-90.31/(-5*-90.31))))-(-5/-5)))))</f>
        <v>-3699394.606155</v>
      </c>
      <c r="C970" t="n" s="0">
        <v>-3699394.6061550006</v>
      </c>
    </row>
    <row r="971">
      <c r="A971" t="n" s="0">
        <v>-90.3</v>
      </c>
      <c r="B971" t="n" s="0">
        <f>(-5-((((-5*(-5/((-5/(((-5*(-90.3--5))-(-5+((-5*-90.3)*(((-5--5)+(-90.3--5))+-90.3))))-(-5+-5)))*-5)))/-5)--5)+(-5*(((-90.3*(-90.3-(-5/-5)))*(-90.3-(-90.3/(-5*-90.3))))-(-5/-5)))))</f>
        <v>-3698167.715</v>
      </c>
      <c r="C971" t="n" s="0">
        <v>-3698167.715</v>
      </c>
    </row>
    <row r="972">
      <c r="A972" t="n" s="0">
        <v>-90.29</v>
      </c>
      <c r="B972" t="n" s="0">
        <f>(-5-((((-5*(-5/((-5/(((-5*(-90.29--5))-(-5+((-5*-90.29)*(((-5--5)+(-90.29--5))+-90.29))))-(-5+-5)))*-5)))/-5)--5)+(-5*(((-90.29*(-90.29-(-5/-5)))*(-90.29-(-90.29/(-5*-90.29))))-(-5/-5)))))</f>
        <v>-3696941.095145</v>
      </c>
      <c r="C972" t="n" s="0">
        <v>-3696941.095145001</v>
      </c>
    </row>
    <row r="973">
      <c r="A973" t="n" s="0">
        <v>-90.28</v>
      </c>
      <c r="B973" t="n" s="0">
        <f>(-5-((((-5*(-5/((-5/(((-5*(-90.28--5))-(-5+((-5*-90.28)*(((-5--5)+(-90.28--5))+-90.28))))-(-5+-5)))*-5)))/-5)--5)+(-5*(((-90.28*(-90.28-(-5/-5)))*(-90.28-(-90.28/(-5*-90.28))))-(-5/-5)))))</f>
        <v>-3695714.74656</v>
      </c>
      <c r="C973" t="n" s="0">
        <v>-3695714.74656</v>
      </c>
    </row>
    <row r="974">
      <c r="A974" t="n" s="0">
        <v>-90.27</v>
      </c>
      <c r="B974" t="n" s="0">
        <f>(-5-((((-5*(-5/((-5/(((-5*(-90.27--5))-(-5+((-5*-90.27)*(((-5--5)+(-90.27--5))+-90.27))))-(-5+-5)))*-5)))/-5)--5)+(-5*(((-90.27*(-90.27-(-5/-5)))*(-90.27-(-90.27/(-5*-90.27))))-(-5/-5)))))</f>
        <v>-3694488.669215</v>
      </c>
      <c r="C974" t="n" s="0">
        <v>-3694488.6692149993</v>
      </c>
    </row>
    <row r="975">
      <c r="A975" t="n" s="0">
        <v>-90.26</v>
      </c>
      <c r="B975" t="n" s="0">
        <f>(-5-((((-5*(-5/((-5/(((-5*(-90.26--5))-(-5+((-5*-90.26)*(((-5--5)+(-90.26--5))+-90.26))))-(-5+-5)))*-5)))/-5)--5)+(-5*(((-90.26*(-90.26-(-5/-5)))*(-90.26-(-90.26/(-5*-90.26))))-(-5/-5)))))</f>
        <v>-3693262.86308</v>
      </c>
      <c r="C975" t="n" s="0">
        <v>-3693262.8630800005</v>
      </c>
    </row>
    <row r="976">
      <c r="A976" t="n" s="0">
        <v>-90.25</v>
      </c>
      <c r="B976" t="n" s="0">
        <f>(-5-((((-5*(-5/((-5/(((-5*(-90.25--5))-(-5+((-5*-90.25)*(((-5--5)+(-90.25--5))+-90.25))))-(-5+-5)))*-5)))/-5)--5)+(-5*(((-90.25*(-90.25-(-5/-5)))*(-90.25-(-90.25/(-5*-90.25))))-(-5/-5)))))</f>
        <v>-3692037.328125</v>
      </c>
      <c r="C976" t="n" s="0">
        <v>-3692037.328125</v>
      </c>
    </row>
    <row r="977">
      <c r="A977" t="n" s="0">
        <v>-90.24</v>
      </c>
      <c r="B977" t="n" s="0">
        <f>(-5-((((-5*(-5/((-5/(((-5*(-90.24--5))-(-5+((-5*-90.24)*(((-5--5)+(-90.24--5))+-90.24))))-(-5+-5)))*-5)))/-5)--5)+(-5*(((-90.24*(-90.24-(-5/-5)))*(-90.24-(-90.24/(-5*-90.24))))-(-5/-5)))))</f>
        <v>-3690812.0643200004</v>
      </c>
      <c r="C977" t="n" s="0">
        <v>-3690812.06432</v>
      </c>
    </row>
    <row r="978">
      <c r="A978" t="n" s="0">
        <v>-90.23</v>
      </c>
      <c r="B978" t="n" s="0">
        <f>(-5-((((-5*(-5/((-5/(((-5*(-90.23--5))-(-5+((-5*-90.23)*(((-5--5)+(-90.23--5))+-90.23))))-(-5+-5)))*-5)))/-5)--5)+(-5*(((-90.23*(-90.23-(-5/-5)))*(-90.23-(-90.23/(-5*-90.23))))-(-5/-5)))))</f>
        <v>-3689587.071635</v>
      </c>
      <c r="C978" t="n" s="0">
        <v>-3689587.0716350004</v>
      </c>
    </row>
    <row r="979">
      <c r="A979" t="n" s="0">
        <v>-90.22</v>
      </c>
      <c r="B979" t="n" s="0">
        <f>(-5-((((-5*(-5/((-5/(((-5*(-90.22--5))-(-5+((-5*-90.22)*(((-5--5)+(-90.22--5))+-90.22))))-(-5+-5)))*-5)))/-5)--5)+(-5*(((-90.22*(-90.22-(-5/-5)))*(-90.22-(-90.22/(-5*-90.22))))-(-5/-5)))))</f>
        <v>-3688362.3500400004</v>
      </c>
      <c r="C979" t="n" s="0">
        <v>-3688362.3500400004</v>
      </c>
    </row>
    <row r="980">
      <c r="A980" t="n" s="0">
        <v>-90.21</v>
      </c>
      <c r="B980" t="n" s="0">
        <f>(-5-((((-5*(-5/((-5/(((-5*(-90.21--5))-(-5+((-5*-90.21)*(((-5--5)+(-90.21--5))+-90.21))))-(-5+-5)))*-5)))/-5)--5)+(-5*(((-90.21*(-90.21-(-5/-5)))*(-90.21-(-90.21/(-5*-90.21))))-(-5/-5)))))</f>
        <v>-3687137.899505</v>
      </c>
      <c r="C980" t="n" s="0">
        <v>-3687137.899504999</v>
      </c>
    </row>
    <row r="981">
      <c r="A981" t="n" s="0">
        <v>-90.2</v>
      </c>
      <c r="B981" t="n" s="0">
        <f>(-5-((((-5*(-5/((-5/(((-5*(-90.2--5))-(-5+((-5*-90.2)*(((-5--5)+(-90.2--5))+-90.2))))-(-5+-5)))*-5)))/-5)--5)+(-5*(((-90.2*(-90.2-(-5/-5)))*(-90.2-(-90.2/(-5*-90.2))))-(-5/-5)))))</f>
        <v>-3685913.72</v>
      </c>
      <c r="C981" t="n" s="0">
        <v>-3685913.7200000007</v>
      </c>
    </row>
    <row r="982">
      <c r="A982" t="n" s="0">
        <v>-90.19</v>
      </c>
      <c r="B982" t="n" s="0">
        <f>(-5-((((-5*(-5/((-5/(((-5*(-90.19--5))-(-5+((-5*-90.19)*(((-5--5)+(-90.19--5))+-90.19))))-(-5+-5)))*-5)))/-5)--5)+(-5*(((-90.19*(-90.19-(-5/-5)))*(-90.19-(-90.19/(-5*-90.19))))-(-5/-5)))))</f>
        <v>-3684689.811495</v>
      </c>
      <c r="C982" t="n" s="0">
        <v>-3684689.8114949996</v>
      </c>
    </row>
    <row r="983">
      <c r="A983" t="n" s="0">
        <v>-90.18</v>
      </c>
      <c r="B983" t="n" s="0">
        <f>(-5-((((-5*(-5/((-5/(((-5*(-90.18--5))-(-5+((-5*-90.18)*(((-5--5)+(-90.18--5))+-90.18))))-(-5+-5)))*-5)))/-5)--5)+(-5*(((-90.18*(-90.18-(-5/-5)))*(-90.18-(-90.18/(-5*-90.18))))-(-5/-5)))))</f>
        <v>-3683466.1739600003</v>
      </c>
      <c r="C983" t="n" s="0">
        <v>-3683466.173960001</v>
      </c>
    </row>
    <row r="984">
      <c r="A984" t="n" s="0">
        <v>-90.17</v>
      </c>
      <c r="B984" t="n" s="0">
        <f>(-5-((((-5*(-5/((-5/(((-5*(-90.17--5))-(-5+((-5*-90.17)*(((-5--5)+(-90.17--5))+-90.17))))-(-5+-5)))*-5)))/-5)--5)+(-5*(((-90.17*(-90.17-(-5/-5)))*(-90.17-(-90.17/(-5*-90.17))))-(-5/-5)))))</f>
        <v>-3682242.807365</v>
      </c>
      <c r="C984" t="n" s="0">
        <v>-3682242.8073649993</v>
      </c>
    </row>
    <row r="985">
      <c r="A985" t="n" s="0">
        <v>-90.16</v>
      </c>
      <c r="B985" t="n" s="0">
        <f>(-5-((((-5*(-5/((-5/(((-5*(-90.16--5))-(-5+((-5*-90.16)*(((-5--5)+(-90.16--5))+-90.16))))-(-5+-5)))*-5)))/-5)--5)+(-5*(((-90.16*(-90.16-(-5/-5)))*(-90.16-(-90.16/(-5*-90.16))))-(-5/-5)))))</f>
        <v>-3681019.7116799997</v>
      </c>
      <c r="C985" t="n" s="0">
        <v>-3681019.7116799997</v>
      </c>
    </row>
    <row r="986">
      <c r="A986" t="n" s="0">
        <v>-90.15</v>
      </c>
      <c r="B986" t="n" s="0">
        <f>(-5-((((-5*(-5/((-5/(((-5*(-90.15--5))-(-5+((-5*-90.15)*(((-5--5)+(-90.15--5))+-90.15))))-(-5+-5)))*-5)))/-5)--5)+(-5*(((-90.15*(-90.15-(-5/-5)))*(-90.15-(-90.15/(-5*-90.15))))-(-5/-5)))))</f>
        <v>-3679796.8868750003</v>
      </c>
      <c r="C986" t="n" s="0">
        <v>-3679796.886875001</v>
      </c>
    </row>
    <row r="987">
      <c r="A987" t="n" s="0">
        <v>-90.14</v>
      </c>
      <c r="B987" t="n" s="0">
        <f>(-5-((((-5*(-5/((-5/(((-5*(-90.14--5))-(-5+((-5*-90.14)*(((-5--5)+(-90.14--5))+-90.14))))-(-5+-5)))*-5)))/-5)--5)+(-5*(((-90.14*(-90.14-(-5/-5)))*(-90.14-(-90.14/(-5*-90.14))))-(-5/-5)))))</f>
        <v>-3678574.33292</v>
      </c>
      <c r="C987" t="n" s="0">
        <v>-3678574.33292</v>
      </c>
    </row>
    <row r="988">
      <c r="A988" t="n" s="0">
        <v>-90.13</v>
      </c>
      <c r="B988" t="n" s="0">
        <f>(-5-((((-5*(-5/((-5/(((-5*(-90.13--5))-(-5+((-5*-90.13)*(((-5--5)+(-90.13--5))+-90.13))))-(-5+-5)))*-5)))/-5)--5)+(-5*(((-90.13*(-90.13-(-5/-5)))*(-90.13-(-90.13/(-5*-90.13))))-(-5/-5)))))</f>
        <v>-3677352.049785</v>
      </c>
      <c r="C988" t="n" s="0">
        <v>-3677352.049785</v>
      </c>
    </row>
    <row r="989">
      <c r="A989" t="n" s="0">
        <v>-90.12</v>
      </c>
      <c r="B989" t="n" s="0">
        <f>(-5-((((-5*(-5/((-5/(((-5*(-90.12--5))-(-5+((-5*-90.12)*(((-5--5)+(-90.12--5))+-90.12))))-(-5+-5)))*-5)))/-5)--5)+(-5*(((-90.12*(-90.12-(-5/-5)))*(-90.12-(-90.12/(-5*-90.12))))-(-5/-5)))))</f>
        <v>-3676130.0374399996</v>
      </c>
      <c r="C989" t="n" s="0">
        <v>-3676130.037440001</v>
      </c>
    </row>
    <row r="990">
      <c r="A990" t="n" s="0">
        <v>-90.11</v>
      </c>
      <c r="B990" t="n" s="0">
        <f>(-5-((((-5*(-5/((-5/(((-5*(-90.11--5))-(-5+((-5*-90.11)*(((-5--5)+(-90.11--5))+-90.11))))-(-5+-5)))*-5)))/-5)--5)+(-5*(((-90.11*(-90.11-(-5/-5)))*(-90.11-(-90.11/(-5*-90.11))))-(-5/-5)))))</f>
        <v>-3674908.295855</v>
      </c>
      <c r="C990" t="n" s="0">
        <v>-3674908.295855</v>
      </c>
    </row>
    <row r="991">
      <c r="A991" t="n" s="0">
        <v>-90.1</v>
      </c>
      <c r="B991" t="n" s="0">
        <f>(-5-((((-5*(-5/((-5/(((-5*(-90.1--5))-(-5+((-5*-90.1)*(((-5--5)+(-90.1--5))+-90.1))))-(-5+-5)))*-5)))/-5)--5)+(-5*(((-90.1*(-90.1-(-5/-5)))*(-90.1-(-90.1/(-5*-90.1))))-(-5/-5)))))</f>
        <v>-3673686.8249999997</v>
      </c>
      <c r="C991" t="n" s="0">
        <v>-3673686.8249999993</v>
      </c>
    </row>
    <row r="992">
      <c r="A992" t="n" s="0">
        <v>-90.09</v>
      </c>
      <c r="B992" t="n" s="0">
        <f>(-5-((((-5*(-5/((-5/(((-5*(-90.09--5))-(-5+((-5*-90.09)*(((-5--5)+(-90.09--5))+-90.09))))-(-5+-5)))*-5)))/-5)--5)+(-5*(((-90.09*(-90.09-(-5/-5)))*(-90.09-(-90.09/(-5*-90.09))))-(-5/-5)))))</f>
        <v>-3672465.624845</v>
      </c>
      <c r="C992" t="n" s="0">
        <v>-3672465.6248450004</v>
      </c>
    </row>
    <row r="993">
      <c r="A993" t="n" s="0">
        <v>-90.08</v>
      </c>
      <c r="B993" t="n" s="0">
        <f>(-5-((((-5*(-5/((-5/(((-5*(-90.08--5))-(-5+((-5*-90.08)*(((-5--5)+(-90.08--5))+-90.08))))-(-5+-5)))*-5)))/-5)--5)+(-5*(((-90.08*(-90.08-(-5/-5)))*(-90.08-(-90.08/(-5*-90.08))))-(-5/-5)))))</f>
        <v>-3671244.69536</v>
      </c>
      <c r="C993" t="n" s="0">
        <v>-3671244.69536</v>
      </c>
    </row>
    <row r="994">
      <c r="A994" t="n" s="0">
        <v>-90.07</v>
      </c>
      <c r="B994" t="n" s="0">
        <f>(-5-((((-5*(-5/((-5/(((-5*(-90.07--5))-(-5+((-5*-90.07)*(((-5--5)+(-90.07--5))+-90.07))))-(-5+-5)))*-5)))/-5)--5)+(-5*(((-90.07*(-90.07-(-5/-5)))*(-90.07-(-90.07/(-5*-90.07))))-(-5/-5)))))</f>
        <v>-3670024.036515</v>
      </c>
      <c r="C994" t="n" s="0">
        <v>-3670024.036514999</v>
      </c>
    </row>
    <row r="995">
      <c r="A995" t="n" s="0">
        <v>-90.06</v>
      </c>
      <c r="B995" t="n" s="0">
        <f>(-5-((((-5*(-5/((-5/(((-5*(-90.06--5))-(-5+((-5*-90.06)*(((-5--5)+(-90.06--5))+-90.06))))-(-5+-5)))*-5)))/-5)--5)+(-5*(((-90.06*(-90.06-(-5/-5)))*(-90.06-(-90.06/(-5*-90.06))))-(-5/-5)))))</f>
        <v>-3668803.64828</v>
      </c>
      <c r="C995" t="n" s="0">
        <v>-3668803.6482800003</v>
      </c>
    </row>
    <row r="996">
      <c r="A996" t="n" s="0">
        <v>-90.05</v>
      </c>
      <c r="B996" t="n" s="0">
        <f>(-5-((((-5*(-5/((-5/(((-5*(-90.05--5))-(-5+((-5*-90.05)*(((-5--5)+(-90.05--5))+-90.05))))-(-5+-5)))*-5)))/-5)--5)+(-5*(((-90.05*(-90.05-(-5/-5)))*(-90.05-(-90.05/(-5*-90.05))))-(-5/-5)))))</f>
        <v>-3667583.5306249997</v>
      </c>
      <c r="C996" t="n" s="0">
        <v>-3667583.5306249997</v>
      </c>
    </row>
    <row r="997">
      <c r="A997" t="n" s="0">
        <v>-90.04</v>
      </c>
      <c r="B997" t="n" s="0">
        <f>(-5-((((-5*(-5/((-5/(((-5*(-90.04--5))-(-5+((-5*-90.04)*(((-5--5)+(-90.04--5))+-90.04))))-(-5+-5)))*-5)))/-5)--5)+(-5*(((-90.04*(-90.04-(-5/-5)))*(-90.04-(-90.04/(-5*-90.04))))-(-5/-5)))))</f>
        <v>-3666363.68352</v>
      </c>
      <c r="C997" t="n" s="0">
        <v>-3666363.683520001</v>
      </c>
    </row>
    <row r="998">
      <c r="A998" t="n" s="0">
        <v>-90.03</v>
      </c>
      <c r="B998" t="n" s="0">
        <f>(-5-((((-5*(-5/((-5/(((-5*(-90.03--5))-(-5+((-5*-90.03)*(((-5--5)+(-90.03--5))+-90.03))))-(-5+-5)))*-5)))/-5)--5)+(-5*(((-90.03*(-90.03-(-5/-5)))*(-90.03-(-90.03/(-5*-90.03))))-(-5/-5)))))</f>
        <v>-3665144.106935</v>
      </c>
      <c r="C998" t="n" s="0">
        <v>-3665144.1069349996</v>
      </c>
    </row>
    <row r="999">
      <c r="A999" t="n" s="0">
        <v>-90.02</v>
      </c>
      <c r="B999" t="n" s="0">
        <f>(-5-((((-5*(-5/((-5/(((-5*(-90.02--5))-(-5+((-5*-90.02)*(((-5--5)+(-90.02--5))+-90.02))))-(-5+-5)))*-5)))/-5)--5)+(-5*(((-90.02*(-90.02-(-5/-5)))*(-90.02-(-90.02/(-5*-90.02))))-(-5/-5)))))</f>
        <v>-3663924.8008399997</v>
      </c>
      <c r="C999" t="n" s="0">
        <v>-3663924.80084</v>
      </c>
    </row>
    <row r="1000">
      <c r="A1000" t="n" s="0">
        <v>-90.01</v>
      </c>
      <c r="B1000" t="n" s="0">
        <f>(-5-((((-5*(-5/((-5/(((-5*(-90.01--5))-(-5+((-5*-90.01)*(((-5--5)+(-90.01--5))+-90.01))))-(-5+-5)))*-5)))/-5)--5)+(-5*(((-90.01*(-90.01-(-5/-5)))*(-90.01-(-90.01/(-5*-90.01))))-(-5/-5)))))</f>
        <v>-3662705.7652049996</v>
      </c>
      <c r="C1000" t="n" s="0">
        <v>-3662705.7652050005</v>
      </c>
    </row>
    <row r="1001">
      <c r="A1001" t="n" s="0">
        <v>-90.0</v>
      </c>
      <c r="B1001" t="n" s="0">
        <f>(-5-((((-5*(-5/((-5/(((-5*(-90--5))-(-5+((-5*-90)*(((-5--5)+(-90--5))+-90))))-(-5+-5)))*-5)))/-5)--5)+(-5*(((-90*(-90-(-5/-5)))*(-90-(-90/(-5*-90))))-(-5/-5)))))</f>
        <v>-3661487.0</v>
      </c>
      <c r="C1001" t="n" s="0">
        <v>-3661487.0</v>
      </c>
    </row>
    <row r="1002">
      <c r="A1002" t="n" s="0">
        <v>-89.99</v>
      </c>
      <c r="B1002" t="n" s="0">
        <f>(-5-((((-5*(-5/((-5/(((-5*(-89.99--5))-(-5+((-5*-89.99)*(((-5--5)+(-89.99--5))+-89.99))))-(-5+-5)))*-5)))/-5)--5)+(-5*(((-89.99*(-89.99-(-5/-5)))*(-89.99-(-89.99/(-5*-89.99))))-(-5/-5)))))</f>
        <v>-3660268.5051949997</v>
      </c>
      <c r="C1002" t="n" s="0">
        <v>-3660268.5051949997</v>
      </c>
    </row>
    <row r="1003">
      <c r="A1003" t="n" s="0">
        <v>-89.98</v>
      </c>
      <c r="B1003" t="n" s="0">
        <f>(-5-((((-5*(-5/((-5/(((-5*(-89.98--5))-(-5+((-5*-89.98)*(((-5--5)+(-89.98--5))+-89.98))))-(-5+-5)))*-5)))/-5)--5)+(-5*(((-89.98*(-89.98-(-5/-5)))*(-89.98-(-89.98/(-5*-89.98))))-(-5/-5)))))</f>
        <v>-3659050.28076</v>
      </c>
      <c r="C1003" t="n" s="0">
        <v>-3659050.28076</v>
      </c>
    </row>
    <row r="1004">
      <c r="A1004" t="n" s="0">
        <v>-89.97</v>
      </c>
      <c r="B1004" t="n" s="0">
        <f>(-5-((((-5*(-5/((-5/(((-5*(-89.97--5))-(-5+((-5*-89.97)*(((-5--5)+(-89.97--5))+-89.97))))-(-5+-5)))*-5)))/-5)--5)+(-5*(((-89.97*(-89.97-(-5/-5)))*(-89.97-(-89.97/(-5*-89.97))))-(-5/-5)))))</f>
        <v>-3657832.326665</v>
      </c>
      <c r="C1004" t="n" s="0">
        <v>-3657832.3266649996</v>
      </c>
    </row>
    <row r="1005">
      <c r="A1005" t="n" s="0">
        <v>-89.96</v>
      </c>
      <c r="B1005" t="n" s="0">
        <f>(-5-((((-5*(-5/((-5/(((-5*(-89.96--5))-(-5+((-5*-89.96)*(((-5--5)+(-89.96--5))+-89.96))))-(-5+-5)))*-5)))/-5)--5)+(-5*(((-89.96*(-89.96-(-5/-5)))*(-89.96-(-89.96/(-5*-89.96))))-(-5/-5)))))</f>
        <v>-3656614.64288</v>
      </c>
      <c r="C1005" t="n" s="0">
        <v>-3656614.6428799992</v>
      </c>
    </row>
    <row r="1006">
      <c r="A1006" t="n" s="0">
        <v>-89.95</v>
      </c>
      <c r="B1006" t="n" s="0">
        <f>(-5-((((-5*(-5/((-5/(((-5*(-89.95--5))-(-5+((-5*-89.95)*(((-5--5)+(-89.95--5))+-89.95))))-(-5+-5)))*-5)))/-5)--5)+(-5*(((-89.95*(-89.95-(-5/-5)))*(-89.95-(-89.95/(-5*-89.95))))-(-5/-5)))))</f>
        <v>-3655397.229375</v>
      </c>
      <c r="C1006" t="n" s="0">
        <v>-3655397.229375</v>
      </c>
    </row>
    <row r="1007">
      <c r="A1007" t="n" s="0">
        <v>-89.94</v>
      </c>
      <c r="B1007" t="n" s="0">
        <f>(-5-((((-5*(-5/((-5/(((-5*(-89.94--5))-(-5+((-5*-89.94)*(((-5--5)+(-89.94--5))+-89.94))))-(-5+-5)))*-5)))/-5)--5)+(-5*(((-89.94*(-89.94-(-5/-5)))*(-89.94-(-89.94/(-5*-89.94))))-(-5/-5)))))</f>
        <v>-3654180.08612</v>
      </c>
      <c r="C1007" t="n" s="0">
        <v>-3654180.086119999</v>
      </c>
    </row>
    <row r="1008">
      <c r="A1008" t="n" s="0">
        <v>-89.93</v>
      </c>
      <c r="B1008" t="n" s="0">
        <f>(-5-((((-5*(-5/((-5/(((-5*(-89.93--5))-(-5+((-5*-89.93)*(((-5--5)+(-89.93--5))+-89.93))))-(-5+-5)))*-5)))/-5)--5)+(-5*(((-89.93*(-89.93-(-5/-5)))*(-89.93-(-89.93/(-5*-89.93))))-(-5/-5)))))</f>
        <v>-3652963.213085</v>
      </c>
      <c r="C1008" t="n" s="0">
        <v>-3652963.213085001</v>
      </c>
    </row>
    <row r="1009">
      <c r="A1009" t="n" s="0">
        <v>-89.92</v>
      </c>
      <c r="B1009" t="n" s="0">
        <f>(-5-((((-5*(-5/((-5/(((-5*(-89.92--5))-(-5+((-5*-89.92)*(((-5--5)+(-89.92--5))+-89.92))))-(-5+-5)))*-5)))/-5)--5)+(-5*(((-89.92*(-89.92-(-5/-5)))*(-89.92-(-89.92/(-5*-89.92))))-(-5/-5)))))</f>
        <v>-3651746.61024</v>
      </c>
      <c r="C1009" t="n" s="0">
        <v>-3651746.61024</v>
      </c>
    </row>
    <row r="1010">
      <c r="A1010" t="n" s="0">
        <v>-89.91</v>
      </c>
      <c r="B1010" t="n" s="0">
        <f>(-5-((((-5*(-5/((-5/(((-5*(-89.91--5))-(-5+((-5*-89.91)*(((-5--5)+(-89.91--5))+-89.91))))-(-5+-5)))*-5)))/-5)--5)+(-5*(((-89.91*(-89.91-(-5/-5)))*(-89.91-(-89.91/(-5*-89.91))))-(-5/-5)))))</f>
        <v>-3650530.277555</v>
      </c>
      <c r="C1010" t="n" s="0">
        <v>-3650530.2775549996</v>
      </c>
    </row>
    <row r="1011">
      <c r="A1011" t="n" s="0">
        <v>-89.9</v>
      </c>
      <c r="B1011" t="n" s="0">
        <f>(-5-((((-5*(-5/((-5/(((-5*(-89.9--5))-(-5+((-5*-89.9)*(((-5--5)+(-89.9--5))+-89.9))))-(-5+-5)))*-5)))/-5)--5)+(-5*(((-89.9*(-89.9-(-5/-5)))*(-89.9-(-89.9/(-5*-89.9))))-(-5/-5)))))</f>
        <v>-3649314.215</v>
      </c>
      <c r="C1011" t="n" s="0">
        <v>-3649314.215000001</v>
      </c>
    </row>
    <row r="1012">
      <c r="A1012" t="n" s="0">
        <v>-89.89</v>
      </c>
      <c r="B1012" t="n" s="0">
        <f>(-5-((((-5*(-5/((-5/(((-5*(-89.89--5))-(-5+((-5*-89.89)*(((-5--5)+(-89.89--5))+-89.89))))-(-5+-5)))*-5)))/-5)--5)+(-5*(((-89.89*(-89.89-(-5/-5)))*(-89.89-(-89.89/(-5*-89.89))))-(-5/-5)))))</f>
        <v>-3648098.422545</v>
      </c>
      <c r="C1012" t="n" s="0">
        <v>-3648098.4225449995</v>
      </c>
    </row>
    <row r="1013">
      <c r="A1013" t="n" s="0">
        <v>-89.88</v>
      </c>
      <c r="B1013" t="n" s="0">
        <f>(-5-((((-5*(-5/((-5/(((-5*(-89.88--5))-(-5+((-5*-89.88)*(((-5--5)+(-89.88--5))+-89.88))))-(-5+-5)))*-5)))/-5)--5)+(-5*(((-89.88*(-89.88-(-5/-5)))*(-89.88-(-89.88/(-5*-89.88))))-(-5/-5)))))</f>
        <v>-3646882.9001599997</v>
      </c>
      <c r="C1013" t="n" s="0">
        <v>-3646882.9001599997</v>
      </c>
    </row>
    <row r="1014">
      <c r="A1014" t="n" s="0">
        <v>-89.87</v>
      </c>
      <c r="B1014" t="n" s="0">
        <f>(-5-((((-5*(-5/((-5/(((-5*(-89.87--5))-(-5+((-5*-89.87)*(((-5--5)+(-89.87--5))+-89.87))))-(-5+-5)))*-5)))/-5)--5)+(-5*(((-89.87*(-89.87-(-5/-5)))*(-89.87-(-89.87/(-5*-89.87))))-(-5/-5)))))</f>
        <v>-3645667.647815</v>
      </c>
      <c r="C1014" t="n" s="0">
        <v>-3645667.6478150003</v>
      </c>
    </row>
    <row r="1015">
      <c r="A1015" t="n" s="0">
        <v>-89.86</v>
      </c>
      <c r="B1015" t="n" s="0">
        <f>(-5-((((-5*(-5/((-5/(((-5*(-89.86--5))-(-5+((-5*-89.86)*(((-5--5)+(-89.86--5))+-89.86))))-(-5+-5)))*-5)))/-5)--5)+(-5*(((-89.86*(-89.86-(-5/-5)))*(-89.86-(-89.86/(-5*-89.86))))-(-5/-5)))))</f>
        <v>-3644452.66548</v>
      </c>
      <c r="C1015" t="n" s="0">
        <v>-3644452.66548</v>
      </c>
    </row>
    <row r="1016">
      <c r="A1016" t="n" s="0">
        <v>-89.85</v>
      </c>
      <c r="B1016" t="n" s="0">
        <f>(-5-((((-5*(-5/((-5/(((-5*(-89.85--5))-(-5+((-5*-89.85)*(((-5--5)+(-89.85--5))+-89.85))))-(-5+-5)))*-5)))/-5)--5)+(-5*(((-89.85*(-89.85-(-5/-5)))*(-89.85-(-89.85/(-5*-89.85))))-(-5/-5)))))</f>
        <v>-3643237.953125</v>
      </c>
      <c r="C1016" t="n" s="0">
        <v>-3643237.953124999</v>
      </c>
    </row>
    <row r="1017">
      <c r="A1017" t="n" s="0">
        <v>-89.84</v>
      </c>
      <c r="B1017" t="n" s="0">
        <f>(-5-((((-5*(-5/((-5/(((-5*(-89.84--5))-(-5+((-5*-89.84)*(((-5--5)+(-89.84--5))+-89.84))))-(-5+-5)))*-5)))/-5)--5)+(-5*(((-89.84*(-89.84-(-5/-5)))*(-89.84-(-89.84/(-5*-89.84))))-(-5/-5)))))</f>
        <v>-3642023.5107199997</v>
      </c>
      <c r="C1017" t="n" s="0">
        <v>-3642023.5107200006</v>
      </c>
    </row>
    <row r="1018">
      <c r="A1018" t="n" s="0">
        <v>-89.83</v>
      </c>
      <c r="B1018" t="n" s="0">
        <f>(-5-((((-5*(-5/((-5/(((-5*(-89.83--5))-(-5+((-5*-89.83)*(((-5--5)+(-89.83--5))+-89.83))))-(-5+-5)))*-5)))/-5)--5)+(-5*(((-89.83*(-89.83-(-5/-5)))*(-89.83-(-89.83/(-5*-89.83))))-(-5/-5)))))</f>
        <v>-3640809.338235</v>
      </c>
      <c r="C1018" t="n" s="0">
        <v>-3640809.3382349997</v>
      </c>
    </row>
    <row r="1019">
      <c r="A1019" t="n" s="0">
        <v>-89.82</v>
      </c>
      <c r="B1019" t="n" s="0">
        <f>(-5-((((-5*(-5/((-5/(((-5*(-89.82--5))-(-5+((-5*-89.82)*(((-5--5)+(-89.82--5))+-89.82))))-(-5+-5)))*-5)))/-5)--5)+(-5*(((-89.82*(-89.82-(-5/-5)))*(-89.82-(-89.82/(-5*-89.82))))-(-5/-5)))))</f>
        <v>-3639595.43564</v>
      </c>
      <c r="C1019" t="n" s="0">
        <v>-3639595.4356399993</v>
      </c>
    </row>
    <row r="1020">
      <c r="A1020" t="n" s="0">
        <v>-89.81</v>
      </c>
      <c r="B1020" t="n" s="0">
        <f>(-5-((((-5*(-5/((-5/(((-5*(-89.81--5))-(-5+((-5*-89.81)*(((-5--5)+(-89.81--5))+-89.81))))-(-5+-5)))*-5)))/-5)--5)+(-5*(((-89.81*(-89.81-(-5/-5)))*(-89.81-(-89.81/(-5*-89.81))))-(-5/-5)))))</f>
        <v>-3638381.802905</v>
      </c>
      <c r="C1020" t="n" s="0">
        <v>-3638381.8029050003</v>
      </c>
    </row>
    <row r="1021">
      <c r="A1021" t="n" s="0">
        <v>-89.8</v>
      </c>
      <c r="B1021" t="n" s="0">
        <f>(-5-((((-5*(-5/((-5/(((-5*(-89.8--5))-(-5+((-5*-89.8)*(((-5--5)+(-89.8--5))+-89.8))))-(-5+-5)))*-5)))/-5)--5)+(-5*(((-89.8*(-89.8-(-5/-5)))*(-89.8-(-89.8/(-5*-89.8))))-(-5/-5)))))</f>
        <v>-3637168.44</v>
      </c>
      <c r="C1021" t="n" s="0">
        <v>-3637168.4399999995</v>
      </c>
    </row>
    <row r="1022">
      <c r="A1022" t="n" s="0">
        <v>-89.79</v>
      </c>
      <c r="B1022" t="n" s="0">
        <f>(-5-((((-5*(-5/((-5/(((-5*(-89.79--5))-(-5+((-5*-89.79)*(((-5--5)+(-89.79--5))+-89.79))))-(-5+-5)))*-5)))/-5)--5)+(-5*(((-89.79*(-89.79-(-5/-5)))*(-89.79-(-89.79/(-5*-89.79))))-(-5/-5)))))</f>
        <v>-3635955.346895</v>
      </c>
      <c r="C1022" t="n" s="0">
        <v>-3635955.346895001</v>
      </c>
    </row>
    <row r="1023">
      <c r="A1023" t="n" s="0">
        <v>-89.78</v>
      </c>
      <c r="B1023" t="n" s="0">
        <f>(-5-((((-5*(-5/((-5/(((-5*(-89.78--5))-(-5+((-5*-89.78)*(((-5--5)+(-89.78--5))+-89.78))))-(-5+-5)))*-5)))/-5)--5)+(-5*(((-89.78*(-89.78-(-5/-5)))*(-89.78-(-89.78/(-5*-89.78))))-(-5/-5)))))</f>
        <v>-3634742.52356</v>
      </c>
      <c r="C1023" t="n" s="0">
        <v>-3634742.52356</v>
      </c>
    </row>
    <row r="1024">
      <c r="A1024" t="n" s="0">
        <v>-89.77</v>
      </c>
      <c r="B1024" t="n" s="0">
        <f>(-5-((((-5*(-5/((-5/(((-5*(-89.77--5))-(-5+((-5*-89.77)*(((-5--5)+(-89.77--5))+-89.77))))-(-5+-5)))*-5)))/-5)--5)+(-5*(((-89.77*(-89.77-(-5/-5)))*(-89.77-(-89.77/(-5*-89.77))))-(-5/-5)))))</f>
        <v>-3633529.9699649997</v>
      </c>
      <c r="C1024" t="n" s="0">
        <v>-3633529.969965</v>
      </c>
    </row>
    <row r="1025">
      <c r="A1025" t="n" s="0">
        <v>-89.76</v>
      </c>
      <c r="B1025" t="n" s="0">
        <f>(-5-((((-5*(-5/((-5/(((-5*(-89.76--5))-(-5+((-5*-89.76)*(((-5--5)+(-89.76--5))+-89.76))))-(-5+-5)))*-5)))/-5)--5)+(-5*(((-89.76*(-89.76-(-5/-5)))*(-89.76-(-89.76/(-5*-89.76))))-(-5/-5)))))</f>
        <v>-3632317.68608</v>
      </c>
      <c r="C1025" t="n" s="0">
        <v>-3632317.6860800004</v>
      </c>
    </row>
    <row r="1026">
      <c r="A1026" t="n" s="0">
        <v>-89.75</v>
      </c>
      <c r="B1026" t="n" s="0">
        <f>(-5-((((-5*(-5/((-5/(((-5*(-89.75--5))-(-5+((-5*-89.75)*(((-5--5)+(-89.75--5))+-89.75))))-(-5+-5)))*-5)))/-5)--5)+(-5*(((-89.75*(-89.75-(-5/-5)))*(-89.75-(-89.75/(-5*-89.75))))-(-5/-5)))))</f>
        <v>-3631105.671875</v>
      </c>
      <c r="C1026" t="n" s="0">
        <v>-3631105.671875</v>
      </c>
    </row>
    <row r="1027">
      <c r="A1027" t="n" s="0">
        <v>-89.74</v>
      </c>
      <c r="B1027" t="n" s="0">
        <f>(-5-((((-5*(-5/((-5/(((-5*(-89.74--5))-(-5+((-5*-89.74)*(((-5--5)+(-89.74--5))+-89.74))))-(-5+-5)))*-5)))/-5)--5)+(-5*(((-89.74*(-89.74-(-5/-5)))*(-89.74-(-89.74/(-5*-89.74))))-(-5/-5)))))</f>
        <v>-3629893.9273200002</v>
      </c>
      <c r="C1027" t="n" s="0">
        <v>-3629893.9273199993</v>
      </c>
    </row>
    <row r="1028">
      <c r="A1028" t="n" s="0">
        <v>-89.73</v>
      </c>
      <c r="B1028" t="n" s="0">
        <f>(-5-((((-5*(-5/((-5/(((-5*(-89.73--5))-(-5+((-5*-89.73)*(((-5--5)+(-89.73--5))+-89.73))))-(-5+-5)))*-5)))/-5)--5)+(-5*(((-89.73*(-89.73-(-5/-5)))*(-89.73-(-89.73/(-5*-89.73))))-(-5/-5)))))</f>
        <v>-3628682.452385</v>
      </c>
      <c r="C1028" t="n" s="0">
        <v>-3628682.4523850004</v>
      </c>
    </row>
    <row r="1029">
      <c r="A1029" t="n" s="0">
        <v>-89.72</v>
      </c>
      <c r="B1029" t="n" s="0">
        <f>(-5-((((-5*(-5/((-5/(((-5*(-89.72--5))-(-5+((-5*-89.72)*(((-5--5)+(-89.72--5))+-89.72))))-(-5+-5)))*-5)))/-5)--5)+(-5*(((-89.72*(-89.72-(-5/-5)))*(-89.72-(-89.72/(-5*-89.72))))-(-5/-5)))))</f>
        <v>-3627471.2470400003</v>
      </c>
      <c r="C1029" t="n" s="0">
        <v>-3627471.2470400003</v>
      </c>
    </row>
    <row r="1030">
      <c r="A1030" t="n" s="0">
        <v>-89.71</v>
      </c>
      <c r="B1030" t="n" s="0">
        <f>(-5-((((-5*(-5/((-5/(((-5*(-89.71--5))-(-5+((-5*-89.71)*(((-5--5)+(-89.71--5))+-89.71))))-(-5+-5)))*-5)))/-5)--5)+(-5*(((-89.71*(-89.71-(-5/-5)))*(-89.71-(-89.71/(-5*-89.71))))-(-5/-5)))))</f>
        <v>-3626260.311255</v>
      </c>
      <c r="C1030" t="n" s="0">
        <v>-3626260.3112549987</v>
      </c>
    </row>
    <row r="1031">
      <c r="A1031" t="n" s="0">
        <v>-89.7</v>
      </c>
      <c r="B1031" t="n" s="0">
        <f>(-5-((((-5*(-5/((-5/(((-5*(-89.7--5))-(-5+((-5*-89.7)*(((-5--5)+(-89.7--5))+-89.7))))-(-5+-5)))*-5)))/-5)--5)+(-5*(((-89.7*(-89.7-(-5/-5)))*(-89.7-(-89.7/(-5*-89.7))))-(-5/-5)))))</f>
        <v>-3625049.645</v>
      </c>
      <c r="C1031" t="n" s="0">
        <v>-3625049.6450000005</v>
      </c>
    </row>
    <row r="1032">
      <c r="A1032" t="n" s="0">
        <v>-89.69</v>
      </c>
      <c r="B1032" t="n" s="0">
        <f>(-5-((((-5*(-5/((-5/(((-5*(-89.69--5))-(-5+((-5*-89.69)*(((-5--5)+(-89.69--5))+-89.69))))-(-5+-5)))*-5)))/-5)--5)+(-5*(((-89.69*(-89.69-(-5/-5)))*(-89.69-(-89.69/(-5*-89.69))))-(-5/-5)))))</f>
        <v>-3623839.248245</v>
      </c>
      <c r="C1032" t="n" s="0">
        <v>-3623839.2482449994</v>
      </c>
    </row>
    <row r="1033">
      <c r="A1033" t="n" s="0">
        <v>-89.68</v>
      </c>
      <c r="B1033" t="n" s="0">
        <f>(-5-((((-5*(-5/((-5/(((-5*(-89.68--5))-(-5+((-5*-89.68)*(((-5--5)+(-89.68--5))+-89.68))))-(-5+-5)))*-5)))/-5)--5)+(-5*(((-89.68*(-89.68-(-5/-5)))*(-89.68-(-89.68/(-5*-89.68))))-(-5/-5)))))</f>
        <v>-3622629.12096</v>
      </c>
      <c r="C1033" t="n" s="0">
        <v>-3622629.120960001</v>
      </c>
    </row>
    <row r="1034">
      <c r="A1034" t="n" s="0">
        <v>-89.67</v>
      </c>
      <c r="B1034" t="n" s="0">
        <f>(-5-((((-5*(-5/((-5/(((-5*(-89.67--5))-(-5+((-5*-89.67)*(((-5--5)+(-89.67--5))+-89.67))))-(-5+-5)))*-5)))/-5)--5)+(-5*(((-89.67*(-89.67-(-5/-5)))*(-89.67-(-89.67/(-5*-89.67))))-(-5/-5)))))</f>
        <v>-3621419.2631150004</v>
      </c>
      <c r="C1034" t="n" s="0">
        <v>-3621419.2631149995</v>
      </c>
    </row>
    <row r="1035">
      <c r="A1035" t="n" s="0">
        <v>-89.66</v>
      </c>
      <c r="B1035" t="n" s="0">
        <f>(-5-((((-5*(-5/((-5/(((-5*(-89.66--5))-(-5+((-5*-89.66)*(((-5--5)+(-89.66--5))+-89.66))))-(-5+-5)))*-5)))/-5)--5)+(-5*(((-89.66*(-89.66-(-5/-5)))*(-89.66-(-89.66/(-5*-89.66))))-(-5/-5)))))</f>
        <v>-3620209.67468</v>
      </c>
      <c r="C1035" t="n" s="0">
        <v>-3620209.6746799997</v>
      </c>
    </row>
    <row r="1036">
      <c r="A1036" t="n" s="0">
        <v>-89.65</v>
      </c>
      <c r="B1036" t="n" s="0">
        <f>(-5-((((-5*(-5/((-5/(((-5*(-89.65--5))-(-5+((-5*-89.65)*(((-5--5)+(-89.65--5))+-89.65))))-(-5+-5)))*-5)))/-5)--5)+(-5*(((-89.65*(-89.65-(-5/-5)))*(-89.65-(-89.65/(-5*-89.65))))-(-5/-5)))))</f>
        <v>-3619000.355625</v>
      </c>
      <c r="C1036" t="n" s="0">
        <v>-3619000.355625001</v>
      </c>
    </row>
    <row r="1037">
      <c r="A1037" t="n" s="0">
        <v>-89.64</v>
      </c>
      <c r="B1037" t="n" s="0">
        <f>(-5-((((-5*(-5/((-5/(((-5*(-89.64--5))-(-5+((-5*-89.64)*(((-5--5)+(-89.64--5))+-89.64))))-(-5+-5)))*-5)))/-5)--5)+(-5*(((-89.64*(-89.64-(-5/-5)))*(-89.64-(-89.64/(-5*-89.64))))-(-5/-5)))))</f>
        <v>-3617791.3059199997</v>
      </c>
      <c r="C1037" t="n" s="0">
        <v>-3617791.30592</v>
      </c>
    </row>
    <row r="1038">
      <c r="A1038" t="n" s="0">
        <v>-89.63</v>
      </c>
      <c r="B1038" t="n" s="0">
        <f>(-5-((((-5*(-5/((-5/(((-5*(-89.63--5))-(-5+((-5*-89.63)*(((-5--5)+(-89.63--5))+-89.63))))-(-5+-5)))*-5)))/-5)--5)+(-5*(((-89.63*(-89.63-(-5/-5)))*(-89.63-(-89.63/(-5*-89.63))))-(-5/-5)))))</f>
        <v>-3616582.525535</v>
      </c>
      <c r="C1038" t="n" s="0">
        <v>-3616582.5255349996</v>
      </c>
    </row>
    <row r="1039">
      <c r="A1039" t="n" s="0">
        <v>-89.62</v>
      </c>
      <c r="B1039" t="n" s="0">
        <f>(-5-((((-5*(-5/((-5/(((-5*(-89.62--5))-(-5+((-5*-89.62)*(((-5--5)+(-89.62--5))+-89.62))))-(-5+-5)))*-5)))/-5)--5)+(-5*(((-89.62*(-89.62-(-5/-5)))*(-89.62-(-89.62/(-5*-89.62))))-(-5/-5)))))</f>
        <v>-3615374.01444</v>
      </c>
      <c r="C1039" t="n" s="0">
        <v>-3615374.0144400005</v>
      </c>
    </row>
    <row r="1040">
      <c r="A1040" t="n" s="0">
        <v>-89.61</v>
      </c>
      <c r="B1040" t="n" s="0">
        <f>(-5-((((-5*(-5/((-5/(((-5*(-89.61--5))-(-5+((-5*-89.61)*(((-5--5)+(-89.61--5))+-89.61))))-(-5+-5)))*-5)))/-5)--5)+(-5*(((-89.61*(-89.61-(-5/-5)))*(-89.61-(-89.61/(-5*-89.61))))-(-5/-5)))))</f>
        <v>-3614165.772605</v>
      </c>
      <c r="C1040" t="n" s="0">
        <v>-3614165.772605</v>
      </c>
    </row>
    <row r="1041">
      <c r="A1041" t="n" s="0">
        <v>-89.6</v>
      </c>
      <c r="B1041" t="n" s="0">
        <f>(-5-((((-5*(-5/((-5/(((-5*(-89.6--5))-(-5+((-5*-89.6)*(((-5--5)+(-89.6--5))+-89.6))))-(-5+-5)))*-5)))/-5)--5)+(-5*(((-89.6*(-89.6-(-5/-5)))*(-89.6-(-89.6/(-5*-89.6))))-(-5/-5)))))</f>
        <v>-3612957.8000000003</v>
      </c>
      <c r="C1041" t="n" s="0">
        <v>-3612957.799999999</v>
      </c>
    </row>
    <row r="1042">
      <c r="A1042" t="n" s="0">
        <v>-89.59</v>
      </c>
      <c r="B1042" t="n" s="0">
        <f>(-5-((((-5*(-5/((-5/(((-5*(-89.59--5))-(-5+((-5*-89.59)*(((-5--5)+(-89.59--5))+-89.59))))-(-5+-5)))*-5)))/-5)--5)+(-5*(((-89.59*(-89.59-(-5/-5)))*(-89.59-(-89.59/(-5*-89.59))))-(-5/-5)))))</f>
        <v>-3611750.096595</v>
      </c>
      <c r="C1042" t="n" s="0">
        <v>-3611750.096595001</v>
      </c>
    </row>
    <row r="1043">
      <c r="A1043" t="n" s="0">
        <v>-89.58</v>
      </c>
      <c r="B1043" t="n" s="0">
        <f>(-5-((((-5*(-5/((-5/(((-5*(-89.58--5))-(-5+((-5*-89.58)*(((-5--5)+(-89.58--5))+-89.58))))-(-5+-5)))*-5)))/-5)--5)+(-5*(((-89.58*(-89.58-(-5/-5)))*(-89.58-(-89.58/(-5*-89.58))))-(-5/-5)))))</f>
        <v>-3610542.66236</v>
      </c>
      <c r="C1043" t="n" s="0">
        <v>-3610542.6623599995</v>
      </c>
    </row>
    <row r="1044">
      <c r="A1044" t="n" s="0">
        <v>-89.57</v>
      </c>
      <c r="B1044" t="n" s="0">
        <f>(-5-((((-5*(-5/((-5/(((-5*(-89.57--5))-(-5+((-5*-89.57)*(((-5--5)+(-89.57--5))+-89.57))))-(-5+-5)))*-5)))/-5)--5)+(-5*(((-89.57*(-89.57-(-5/-5)))*(-89.57-(-89.57/(-5*-89.57))))-(-5/-5)))))</f>
        <v>-3609335.497265</v>
      </c>
      <c r="C1044" t="n" s="0">
        <v>-3609335.497264999</v>
      </c>
    </row>
    <row r="1045">
      <c r="A1045" t="n" s="0">
        <v>-89.56</v>
      </c>
      <c r="B1045" t="n" s="0">
        <f>(-5-((((-5*(-5/((-5/(((-5*(-89.56--5))-(-5+((-5*-89.56)*(((-5--5)+(-89.56--5))+-89.56))))-(-5+-5)))*-5)))/-5)--5)+(-5*(((-89.56*(-89.56-(-5/-5)))*(-89.56-(-89.56/(-5*-89.56))))-(-5/-5)))))</f>
        <v>-3608128.60128</v>
      </c>
      <c r="C1045" t="n" s="0">
        <v>-3608128.60128</v>
      </c>
    </row>
    <row r="1046">
      <c r="A1046" t="n" s="0">
        <v>-89.55</v>
      </c>
      <c r="B1046" t="n" s="0">
        <f>(-5-((((-5*(-5/((-5/(((-5*(-89.55--5))-(-5+((-5*-89.55)*(((-5--5)+(-89.55--5))+-89.55))))-(-5+-5)))*-5)))/-5)--5)+(-5*(((-89.55*(-89.55-(-5/-5)))*(-89.55-(-89.55/(-5*-89.55))))-(-5/-5)))))</f>
        <v>-3606921.9743749998</v>
      </c>
      <c r="C1046" t="n" s="0">
        <v>-3606921.9743749993</v>
      </c>
    </row>
    <row r="1047">
      <c r="A1047" t="n" s="0">
        <v>-89.54</v>
      </c>
      <c r="B1047" t="n" s="0">
        <f>(-5-((((-5*(-5/((-5/(((-5*(-89.54--5))-(-5+((-5*-89.54)*(((-5--5)+(-89.54--5))+-89.54))))-(-5+-5)))*-5)))/-5)--5)+(-5*(((-89.54*(-89.54-(-5/-5)))*(-89.54-(-89.54/(-5*-89.54))))-(-5/-5)))))</f>
        <v>-3605715.61652</v>
      </c>
      <c r="C1047" t="n" s="0">
        <v>-3605715.616520001</v>
      </c>
    </row>
    <row r="1048">
      <c r="A1048" t="n" s="0">
        <v>-89.53</v>
      </c>
      <c r="B1048" t="n" s="0">
        <f>(-5-((((-5*(-5/((-5/(((-5*(-89.53--5))-(-5+((-5*-89.53)*(((-5--5)+(-89.53--5))+-89.53))))-(-5+-5)))*-5)))/-5)--5)+(-5*(((-89.53*(-89.53-(-5/-5)))*(-89.53-(-89.53/(-5*-89.53))))-(-5/-5)))))</f>
        <v>-3604509.527685</v>
      </c>
      <c r="C1048" t="n" s="0">
        <v>-3604509.527685</v>
      </c>
    </row>
    <row r="1049">
      <c r="A1049" t="n" s="0">
        <v>-89.52</v>
      </c>
      <c r="B1049" t="n" s="0">
        <f>(-5-((((-5*(-5/((-5/(((-5*(-89.52--5))-(-5+((-5*-89.52)*(((-5--5)+(-89.52--5))+-89.52))))-(-5+-5)))*-5)))/-5)--5)+(-5*(((-89.52*(-89.52-(-5/-5)))*(-89.52-(-89.52/(-5*-89.52))))-(-5/-5)))))</f>
        <v>-3603303.70784</v>
      </c>
      <c r="C1049" t="n" s="0">
        <v>-3603303.70784</v>
      </c>
    </row>
    <row r="1050">
      <c r="A1050" t="n" s="0">
        <v>-89.51</v>
      </c>
      <c r="B1050" t="n" s="0">
        <f>(-5-((((-5*(-5/((-5/(((-5*(-89.51--5))-(-5+((-5*-89.51)*(((-5--5)+(-89.51--5))+-89.51))))-(-5+-5)))*-5)))/-5)--5)+(-5*(((-89.51*(-89.51-(-5/-5)))*(-89.51-(-89.51/(-5*-89.51))))-(-5/-5)))))</f>
        <v>-3602098.156955</v>
      </c>
      <c r="C1050" t="n" s="0">
        <v>-3602098.156955001</v>
      </c>
    </row>
    <row r="1051">
      <c r="A1051" t="n" s="0">
        <v>-89.5</v>
      </c>
      <c r="B1051" t="n" s="0">
        <f>(-5-((((-5*(-5/((-5/(((-5*(-89.5--5))-(-5+((-5*-89.5)*(((-5--5)+(-89.5--5))+-89.5))))-(-5+-5)))*-5)))/-5)--5)+(-5*(((-89.5*(-89.5-(-5/-5)))*(-89.5-(-89.5/(-5*-89.5))))-(-5/-5)))))</f>
        <v>-3600892.875</v>
      </c>
      <c r="C1051" t="n" s="0">
        <v>-3600892.875</v>
      </c>
    </row>
    <row r="1052">
      <c r="A1052" t="n" s="0">
        <v>-89.49</v>
      </c>
      <c r="B1052" t="n" s="0">
        <f>(-5-((((-5*(-5/((-5/(((-5*(-89.49--5))-(-5+((-5*-89.49)*(((-5--5)+(-89.49--5))+-89.49))))-(-5+-5)))*-5)))/-5)--5)+(-5*(((-89.49*(-89.49-(-5/-5)))*(-89.49-(-89.49/(-5*-89.49))))-(-5/-5)))))</f>
        <v>-3599687.861945</v>
      </c>
      <c r="C1052" t="n" s="0">
        <v>-3599687.8619449995</v>
      </c>
    </row>
    <row r="1053">
      <c r="A1053" t="n" s="0">
        <v>-89.48</v>
      </c>
      <c r="B1053" t="n" s="0">
        <f>(-5-((((-5*(-5/((-5/(((-5*(-89.48--5))-(-5+((-5*-89.48)*(((-5--5)+(-89.48--5))+-89.48))))-(-5+-5)))*-5)))/-5)--5)+(-5*(((-89.48*(-89.48-(-5/-5)))*(-89.48-(-89.48/(-5*-89.48))))-(-5/-5)))))</f>
        <v>-3598483.11776</v>
      </c>
      <c r="C1053" t="n" s="0">
        <v>-3598483.11776</v>
      </c>
    </row>
    <row r="1054">
      <c r="A1054" t="n" s="0">
        <v>-89.47</v>
      </c>
      <c r="B1054" t="n" s="0">
        <f>(-5-((((-5*(-5/((-5/(((-5*(-89.47--5))-(-5+((-5*-89.47)*(((-5--5)+(-89.47--5))+-89.47))))-(-5+-5)))*-5)))/-5)--5)+(-5*(((-89.47*(-89.47-(-5/-5)))*(-89.47-(-89.47/(-5*-89.47))))-(-5/-5)))))</f>
        <v>-3597278.642415</v>
      </c>
      <c r="C1054" t="n" s="0">
        <v>-3597278.642415</v>
      </c>
    </row>
    <row r="1055">
      <c r="A1055" t="n" s="0">
        <v>-89.46</v>
      </c>
      <c r="B1055" t="n" s="0">
        <f>(-5-((((-5*(-5/((-5/(((-5*(-89.46--5))-(-5+((-5*-89.46)*(((-5--5)+(-89.46--5))+-89.46))))-(-5+-5)))*-5)))/-5)--5)+(-5*(((-89.46*(-89.46-(-5/-5)))*(-89.46-(-89.46/(-5*-89.46))))-(-5/-5)))))</f>
        <v>-3596074.43588</v>
      </c>
      <c r="C1055" t="n" s="0">
        <v>-3596074.435879999</v>
      </c>
    </row>
    <row r="1056">
      <c r="A1056" t="n" s="0">
        <v>-89.45</v>
      </c>
      <c r="B1056" t="n" s="0">
        <f>(-5-((((-5*(-5/((-5/(((-5*(-89.45--5))-(-5+((-5*-89.45)*(((-5--5)+(-89.45--5))+-89.45))))-(-5+-5)))*-5)))/-5)--5)+(-5*(((-89.45*(-89.45-(-5/-5)))*(-89.45-(-89.45/(-5*-89.45))))-(-5/-5)))))</f>
        <v>-3594870.498125</v>
      </c>
      <c r="C1056" t="n" s="0">
        <v>-3594870.498125</v>
      </c>
    </row>
    <row r="1057">
      <c r="A1057" t="n" s="0">
        <v>-89.44</v>
      </c>
      <c r="B1057" t="n" s="0">
        <f>(-5-((((-5*(-5/((-5/(((-5*(-89.44--5))-(-5+((-5*-89.44)*(((-5--5)+(-89.44--5))+-89.44))))-(-5+-5)))*-5)))/-5)--5)+(-5*(((-89.44*(-89.44-(-5/-5)))*(-89.44-(-89.44/(-5*-89.44))))-(-5/-5)))))</f>
        <v>-3593666.82912</v>
      </c>
      <c r="C1057" t="n" s="0">
        <v>-3593666.8291199994</v>
      </c>
    </row>
    <row r="1058">
      <c r="A1058" t="n" s="0">
        <v>-89.43</v>
      </c>
      <c r="B1058" t="n" s="0">
        <f>(-5-((((-5*(-5/((-5/(((-5*(-89.43--5))-(-5+((-5*-89.43)*(((-5--5)+(-89.43--5))+-89.43))))-(-5+-5)))*-5)))/-5)--5)+(-5*(((-89.43*(-89.43-(-5/-5)))*(-89.43-(-89.43/(-5*-89.43))))-(-5/-5)))))</f>
        <v>-3592463.4288350004</v>
      </c>
      <c r="C1058" t="n" s="0">
        <v>-3592463.4288350013</v>
      </c>
    </row>
    <row r="1059">
      <c r="A1059" t="n" s="0">
        <v>-89.42</v>
      </c>
      <c r="B1059" t="n" s="0">
        <f>(-5-((((-5*(-5/((-5/(((-5*(-89.42--5))-(-5+((-5*-89.42)*(((-5--5)+(-89.42--5))+-89.42))))-(-5+-5)))*-5)))/-5)--5)+(-5*(((-89.42*(-89.42-(-5/-5)))*(-89.42-(-89.42/(-5*-89.42))))-(-5/-5)))))</f>
        <v>-3591260.29724</v>
      </c>
      <c r="C1059" t="n" s="0">
        <v>-3591260.2972399998</v>
      </c>
    </row>
    <row r="1060">
      <c r="A1060" t="n" s="0">
        <v>-89.41</v>
      </c>
      <c r="B1060" t="n" s="0">
        <f>(-5-((((-5*(-5/((-5/(((-5*(-89.41--5))-(-5+((-5*-89.41)*(((-5--5)+(-89.41--5))+-89.41))))-(-5+-5)))*-5)))/-5)--5)+(-5*(((-89.41*(-89.41-(-5/-5)))*(-89.41-(-89.41/(-5*-89.41))))-(-5/-5)))))</f>
        <v>-3590057.434305</v>
      </c>
      <c r="C1060" t="n" s="0">
        <v>-3590057.4343049997</v>
      </c>
    </row>
    <row r="1061">
      <c r="A1061" t="n" s="0">
        <v>-89.4</v>
      </c>
      <c r="B1061" t="n" s="0">
        <f>(-5-((((-5*(-5/((-5/(((-5*(-89.4--5))-(-5+((-5*-89.4)*(((-5--5)+(-89.4--5))+-89.4))))-(-5+-5)))*-5)))/-5)--5)+(-5*(((-89.4*(-89.4-(-5/-5)))*(-89.4-(-89.4/(-5*-89.4))))-(-5/-5)))))</f>
        <v>-3588854.84</v>
      </c>
      <c r="C1061" t="n" s="0">
        <v>-3588854.8400000012</v>
      </c>
    </row>
    <row r="1062">
      <c r="A1062" t="n" s="0">
        <v>-89.39</v>
      </c>
      <c r="B1062" t="n" s="0">
        <f>(-5-((((-5*(-5/((-5/(((-5*(-89.39--5))-(-5+((-5*-89.39)*(((-5--5)+(-89.39--5))+-89.39))))-(-5+-5)))*-5)))/-5)--5)+(-5*(((-89.39*(-89.39-(-5/-5)))*(-89.39-(-89.39/(-5*-89.39))))-(-5/-5)))))</f>
        <v>-3587652.514295</v>
      </c>
      <c r="C1062" t="n" s="0">
        <v>-3587652.514295</v>
      </c>
    </row>
    <row r="1063">
      <c r="A1063" t="n" s="0">
        <v>-89.38</v>
      </c>
      <c r="B1063" t="n" s="0">
        <f>(-5-((((-5*(-5/((-5/(((-5*(-89.38--5))-(-5+((-5*-89.38)*(((-5--5)+(-89.38--5))+-89.38))))-(-5+-5)))*-5)))/-5)--5)+(-5*(((-89.38*(-89.38-(-5/-5)))*(-89.38-(-89.38/(-5*-89.38))))-(-5/-5)))))</f>
        <v>-3586450.45716</v>
      </c>
      <c r="C1063" t="n" s="0">
        <v>-3586450.4571599998</v>
      </c>
    </row>
    <row r="1064">
      <c r="A1064" t="n" s="0">
        <v>-89.37</v>
      </c>
      <c r="B1064" t="n" s="0">
        <f>(-5-((((-5*(-5/((-5/(((-5*(-89.37--5))-(-5+((-5*-89.37)*(((-5--5)+(-89.37--5))+-89.37))))-(-5+-5)))*-5)))/-5)--5)+(-5*(((-89.37*(-89.37-(-5/-5)))*(-89.37-(-89.37/(-5*-89.37))))-(-5/-5)))))</f>
        <v>-3585248.668565</v>
      </c>
      <c r="C1064" t="n" s="0">
        <v>-3585248.6685650004</v>
      </c>
    </row>
    <row r="1065">
      <c r="A1065" t="n" s="0">
        <v>-89.36</v>
      </c>
      <c r="B1065" t="n" s="0">
        <f>(-5-((((-5*(-5/((-5/(((-5*(-89.36--5))-(-5+((-5*-89.36)*(((-5--5)+(-89.36--5))+-89.36))))-(-5+-5)))*-5)))/-5)--5)+(-5*(((-89.36*(-89.36-(-5/-5)))*(-89.36-(-89.36/(-5*-89.36))))-(-5/-5)))))</f>
        <v>-3584047.14848</v>
      </c>
      <c r="C1065" t="n" s="0">
        <v>-3584047.14848</v>
      </c>
    </row>
    <row r="1066">
      <c r="A1066" t="n" s="0">
        <v>-89.35</v>
      </c>
      <c r="B1066" t="n" s="0">
        <f>(-5-((((-5*(-5/((-5/(((-5*(-89.35--5))-(-5+((-5*-89.35)*(((-5--5)+(-89.35--5))+-89.35))))-(-5+-5)))*-5)))/-5)--5)+(-5*(((-89.35*(-89.35-(-5/-5)))*(-89.35-(-89.35/(-5*-89.35))))-(-5/-5)))))</f>
        <v>-3582845.896875</v>
      </c>
      <c r="C1066" t="n" s="0">
        <v>-3582845.896874999</v>
      </c>
    </row>
    <row r="1067">
      <c r="A1067" t="n" s="0">
        <v>-89.34</v>
      </c>
      <c r="B1067" t="n" s="0">
        <f>(-5-((((-5*(-5/((-5/(((-5*(-89.34--5))-(-5+((-5*-89.34)*(((-5--5)+(-89.34--5))+-89.34))))-(-5+-5)))*-5)))/-5)--5)+(-5*(((-89.34*(-89.34-(-5/-5)))*(-89.34-(-89.34/(-5*-89.34))))-(-5/-5)))))</f>
        <v>-3581644.91372</v>
      </c>
      <c r="C1067" t="n" s="0">
        <v>-3581644.9137200005</v>
      </c>
    </row>
    <row r="1068">
      <c r="A1068" t="n" s="0">
        <v>-89.33</v>
      </c>
      <c r="B1068" t="n" s="0">
        <f>(-5-((((-5*(-5/((-5/(((-5*(-89.33--5))-(-5+((-5*-89.33)*(((-5--5)+(-89.33--5))+-89.33))))-(-5+-5)))*-5)))/-5)--5)+(-5*(((-89.33*(-89.33-(-5/-5)))*(-89.33-(-89.33/(-5*-89.33))))-(-5/-5)))))</f>
        <v>-3580444.198985</v>
      </c>
      <c r="C1068" t="n" s="0">
        <v>-3580444.198985</v>
      </c>
    </row>
    <row r="1069">
      <c r="A1069" t="n" s="0">
        <v>-89.32</v>
      </c>
      <c r="B1069" t="n" s="0">
        <f>(-5-((((-5*(-5/((-5/(((-5*(-89.32--5))-(-5+((-5*-89.32)*(((-5--5)+(-89.32--5))+-89.32))))-(-5+-5)))*-5)))/-5)--5)+(-5*(((-89.32*(-89.32-(-5/-5)))*(-89.32-(-89.32/(-5*-89.32))))-(-5/-5)))))</f>
        <v>-3579243.75264</v>
      </c>
      <c r="C1069" t="n" s="0">
        <v>-3579243.752639999</v>
      </c>
    </row>
    <row r="1070">
      <c r="A1070" t="n" s="0">
        <v>-89.31</v>
      </c>
      <c r="B1070" t="n" s="0">
        <f>(-5-((((-5*(-5/((-5/(((-5*(-89.31--5))-(-5+((-5*-89.31)*(((-5--5)+(-89.31--5))+-89.31))))-(-5+-5)))*-5)))/-5)--5)+(-5*(((-89.31*(-89.31-(-5/-5)))*(-89.31-(-89.31/(-5*-89.31))))-(-5/-5)))))</f>
        <v>-3578043.574655</v>
      </c>
      <c r="C1070" t="n" s="0">
        <v>-3578043.574655</v>
      </c>
    </row>
    <row r="1071">
      <c r="A1071" t="n" s="0">
        <v>-89.3</v>
      </c>
      <c r="B1071" t="n" s="0">
        <f>(-5-((((-5*(-5/((-5/(((-5*(-89.3--5))-(-5+((-5*-89.3)*(((-5--5)+(-89.3--5))+-89.3))))-(-5+-5)))*-5)))/-5)--5)+(-5*(((-89.3*(-89.3-(-5/-5)))*(-89.3-(-89.3/(-5*-89.3))))-(-5/-5)))))</f>
        <v>-3576843.665</v>
      </c>
      <c r="C1071" t="n" s="0">
        <v>-3576843.6649999996</v>
      </c>
    </row>
    <row r="1072">
      <c r="A1072" t="n" s="0">
        <v>-89.29</v>
      </c>
      <c r="B1072" t="n" s="0">
        <f>(-5-((((-5*(-5/((-5/(((-5*(-89.29--5))-(-5+((-5*-89.29)*(((-5--5)+(-89.29--5))+-89.29))))-(-5+-5)))*-5)))/-5)--5)+(-5*(((-89.29*(-89.29-(-5/-5)))*(-89.29-(-89.29/(-5*-89.29))))-(-5/-5)))))</f>
        <v>-3575644.023645</v>
      </c>
      <c r="C1072" t="n" s="0">
        <v>-3575644.023645001</v>
      </c>
    </row>
    <row r="1073">
      <c r="A1073" t="n" s="0">
        <v>-89.28</v>
      </c>
      <c r="B1073" t="n" s="0">
        <f>(-5-((((-5*(-5/((-5/(((-5*(-89.28--5))-(-5+((-5*-89.28)*(((-5--5)+(-89.28--5))+-89.28))))-(-5+-5)))*-5)))/-5)--5)+(-5*(((-89.28*(-89.28-(-5/-5)))*(-89.28-(-89.28/(-5*-89.28))))-(-5/-5)))))</f>
        <v>-3574444.65056</v>
      </c>
      <c r="C1073" t="n" s="0">
        <v>-3574444.6505600004</v>
      </c>
    </row>
    <row r="1074">
      <c r="A1074" t="n" s="0">
        <v>-89.27</v>
      </c>
      <c r="B1074" t="n" s="0">
        <f>(-5-((((-5*(-5/((-5/(((-5*(-89.27--5))-(-5+((-5*-89.27)*(((-5--5)+(-89.27--5))+-89.27))))-(-5+-5)))*-5)))/-5)--5)+(-5*(((-89.27*(-89.27-(-5/-5)))*(-89.27-(-89.27/(-5*-89.27))))-(-5/-5)))))</f>
        <v>-3573245.545715</v>
      </c>
      <c r="C1074" t="n" s="0">
        <v>-3573245.545715</v>
      </c>
    </row>
    <row r="1075">
      <c r="A1075" t="n" s="0">
        <v>-89.26</v>
      </c>
      <c r="B1075" t="n" s="0">
        <f>(-5-((((-5*(-5/((-5/(((-5*(-89.26--5))-(-5+((-5*-89.26)*(((-5--5)+(-89.26--5))+-89.26))))-(-5+-5)))*-5)))/-5)--5)+(-5*(((-89.26*(-89.26-(-5/-5)))*(-89.26-(-89.26/(-5*-89.26))))-(-5/-5)))))</f>
        <v>-3572046.70908</v>
      </c>
      <c r="C1075" t="n" s="0">
        <v>-3572046.70908</v>
      </c>
    </row>
    <row r="1076">
      <c r="A1076" t="n" s="0">
        <v>-89.25</v>
      </c>
      <c r="B1076" t="n" s="0">
        <f>(-5-((((-5*(-5/((-5/(((-5*(-89.25--5))-(-5+((-5*-89.25)*(((-5--5)+(-89.25--5))+-89.25))))-(-5+-5)))*-5)))/-5)--5)+(-5*(((-89.25*(-89.25-(-5/-5)))*(-89.25-(-89.25/(-5*-89.25))))-(-5/-5)))))</f>
        <v>-3570848.140625</v>
      </c>
      <c r="C1076" t="n" s="0">
        <v>-3570848.140625</v>
      </c>
    </row>
    <row r="1077">
      <c r="A1077" t="n" s="0">
        <v>-89.24</v>
      </c>
      <c r="B1077" t="n" s="0">
        <f>(-5-((((-5*(-5/((-5/(((-5*(-89.24--5))-(-5+((-5*-89.24)*(((-5--5)+(-89.24--5))+-89.24))))-(-5+-5)))*-5)))/-5)--5)+(-5*(((-89.24*(-89.24-(-5/-5)))*(-89.24-(-89.24/(-5*-89.24))))-(-5/-5)))))</f>
        <v>-3569649.84032</v>
      </c>
      <c r="C1077" t="n" s="0">
        <v>-3569649.8403199995</v>
      </c>
    </row>
    <row r="1078">
      <c r="A1078" t="n" s="0">
        <v>-89.23</v>
      </c>
      <c r="B1078" t="n" s="0">
        <f>(-5-((((-5*(-5/((-5/(((-5*(-89.23--5))-(-5+((-5*-89.23)*(((-5--5)+(-89.23--5))+-89.23))))-(-5+-5)))*-5)))/-5)--5)+(-5*(((-89.23*(-89.23-(-5/-5)))*(-89.23-(-89.23/(-5*-89.23))))-(-5/-5)))))</f>
        <v>-3568451.808135</v>
      </c>
      <c r="C1078" t="n" s="0">
        <v>-3568451.8081350005</v>
      </c>
    </row>
    <row r="1079">
      <c r="A1079" t="n" s="0">
        <v>-89.22</v>
      </c>
      <c r="B1079" t="n" s="0">
        <f>(-5-((((-5*(-5/((-5/(((-5*(-89.22--5))-(-5+((-5*-89.22)*(((-5--5)+(-89.22--5))+-89.22))))-(-5+-5)))*-5)))/-5)--5)+(-5*(((-89.22*(-89.22-(-5/-5)))*(-89.22-(-89.22/(-5*-89.22))))-(-5/-5)))))</f>
        <v>-3567254.04404</v>
      </c>
      <c r="C1079" t="n" s="0">
        <v>-3567254.04404</v>
      </c>
    </row>
    <row r="1080">
      <c r="A1080" t="n" s="0">
        <v>-89.21</v>
      </c>
      <c r="B1080" t="n" s="0">
        <f>(-5-((((-5*(-5/((-5/(((-5*(-89.21--5))-(-5+((-5*-89.21)*(((-5--5)+(-89.21--5))+-89.21))))-(-5+-5)))*-5)))/-5)--5)+(-5*(((-89.21*(-89.21-(-5/-5)))*(-89.21-(-89.21/(-5*-89.21))))-(-5/-5)))))</f>
        <v>-3566056.5480049998</v>
      </c>
      <c r="C1080" t="n" s="0">
        <v>-3566056.5480049993</v>
      </c>
    </row>
    <row r="1081">
      <c r="A1081" t="n" s="0">
        <v>-89.2</v>
      </c>
      <c r="B1081" t="n" s="0">
        <f>(-5-((((-5*(-5/((-5/(((-5*(-89.2--5))-(-5+((-5*-89.2)*(((-5--5)+(-89.2--5))+-89.2))))-(-5+-5)))*-5)))/-5)--5)+(-5*(((-89.2*(-89.2-(-5/-5)))*(-89.2-(-89.2/(-5*-89.2))))-(-5/-5)))))</f>
        <v>-3564859.32</v>
      </c>
      <c r="C1081" t="n" s="0">
        <v>-3564859.3200000003</v>
      </c>
    </row>
    <row r="1082">
      <c r="A1082" t="n" s="0">
        <v>-89.19</v>
      </c>
      <c r="B1082" t="n" s="0">
        <f>(-5-((((-5*(-5/((-5/(((-5*(-89.19--5))-(-5+((-5*-89.19)*(((-5--5)+(-89.19--5))+-89.19))))-(-5+-5)))*-5)))/-5)--5)+(-5*(((-89.19*(-89.19-(-5/-5)))*(-89.19-(-89.19/(-5*-89.19))))-(-5/-5)))))</f>
        <v>-3563662.3599949996</v>
      </c>
      <c r="C1082" t="n" s="0">
        <v>-3563662.3599949996</v>
      </c>
    </row>
    <row r="1083">
      <c r="A1083" t="n" s="0">
        <v>-89.18</v>
      </c>
      <c r="B1083" t="n" s="0">
        <f>(-5-((((-5*(-5/((-5/(((-5*(-89.18--5))-(-5+((-5*-89.18)*(((-5--5)+(-89.18--5))+-89.18))))-(-5+-5)))*-5)))/-5)--5)+(-5*(((-89.18*(-89.18-(-5/-5)))*(-89.18-(-89.18/(-5*-89.18))))-(-5/-5)))))</f>
        <v>-3562465.6679599998</v>
      </c>
      <c r="C1083" t="n" s="0">
        <v>-3562465.667960001</v>
      </c>
    </row>
    <row r="1084">
      <c r="A1084" t="n" s="0">
        <v>-89.17</v>
      </c>
      <c r="B1084" t="n" s="0">
        <f>(-5-((((-5*(-5/((-5/(((-5*(-89.17--5))-(-5+((-5*-89.17)*(((-5--5)+(-89.17--5))+-89.17))))-(-5+-5)))*-5)))/-5)--5)+(-5*(((-89.17*(-89.17-(-5/-5)))*(-89.17-(-89.17/(-5*-89.17))))-(-5/-5)))))</f>
        <v>-3561269.243865</v>
      </c>
      <c r="C1084" t="n" s="0">
        <v>-3561269.243865</v>
      </c>
    </row>
    <row r="1085">
      <c r="A1085" t="n" s="0">
        <v>-89.16</v>
      </c>
      <c r="B1085" t="n" s="0">
        <f>(-5-((((-5*(-5/((-5/(((-5*(-89.16--5))-(-5+((-5*-89.16)*(((-5--5)+(-89.16--5))+-89.16))))-(-5+-5)))*-5)))/-5)--5)+(-5*(((-89.16*(-89.16-(-5/-5)))*(-89.16-(-89.16/(-5*-89.16))))-(-5/-5)))))</f>
        <v>-3560073.08768</v>
      </c>
      <c r="C1085" t="n" s="0">
        <v>-3560073.08768</v>
      </c>
    </row>
    <row r="1086">
      <c r="A1086" t="n" s="0">
        <v>-89.15</v>
      </c>
      <c r="B1086" t="n" s="0">
        <f>(-5-((((-5*(-5/((-5/(((-5*(-89.15--5))-(-5+((-5*-89.15)*(((-5--5)+(-89.15--5))+-89.15))))-(-5+-5)))*-5)))/-5)--5)+(-5*(((-89.15*(-89.15-(-5/-5)))*(-89.15-(-89.15/(-5*-89.15))))-(-5/-5)))))</f>
        <v>-3558877.199375</v>
      </c>
      <c r="C1086" t="n" s="0">
        <v>-3558877.1993750003</v>
      </c>
    </row>
    <row r="1087">
      <c r="A1087" t="n" s="0">
        <v>-89.14</v>
      </c>
      <c r="B1087" t="n" s="0">
        <f>(-5-((((-5*(-5/((-5/(((-5*(-89.14--5))-(-5+((-5*-89.14)*(((-5--5)+(-89.14--5))+-89.14))))-(-5+-5)))*-5)))/-5)--5)+(-5*(((-89.14*(-89.14-(-5/-5)))*(-89.14-(-89.14/(-5*-89.14))))-(-5/-5)))))</f>
        <v>-3557681.57892</v>
      </c>
      <c r="C1087" t="n" s="0">
        <v>-3557681.5789199998</v>
      </c>
    </row>
    <row r="1088">
      <c r="A1088" t="n" s="0">
        <v>-89.13</v>
      </c>
      <c r="B1088" t="n" s="0">
        <f>(-5-((((-5*(-5/((-5/(((-5*(-89.13--5))-(-5+((-5*-89.13)*(((-5--5)+(-89.13--5))+-89.13))))-(-5+-5)))*-5)))/-5)--5)+(-5*(((-89.13*(-89.13-(-5/-5)))*(-89.13-(-89.13/(-5*-89.13))))-(-5/-5)))))</f>
        <v>-3556486.226285</v>
      </c>
      <c r="C1088" t="n" s="0">
        <v>-3556486.2262849994</v>
      </c>
    </row>
    <row r="1089">
      <c r="A1089" t="n" s="0">
        <v>-89.12</v>
      </c>
      <c r="B1089" t="n" s="0">
        <f>(-5-((((-5*(-5/((-5/(((-5*(-89.12--5))-(-5+((-5*-89.12)*(((-5--5)+(-89.12--5))+-89.12))))-(-5+-5)))*-5)))/-5)--5)+(-5*(((-89.12*(-89.12-(-5/-5)))*(-89.12-(-89.12/(-5*-89.12))))-(-5/-5)))))</f>
        <v>-3555291.14144</v>
      </c>
      <c r="C1089" t="n" s="0">
        <v>-3555291.141440001</v>
      </c>
    </row>
    <row r="1090">
      <c r="A1090" t="n" s="0">
        <v>-89.11</v>
      </c>
      <c r="B1090" t="n" s="0">
        <f>(-5-((((-5*(-5/((-5/(((-5*(-89.11--5))-(-5+((-5*-89.11)*(((-5--5)+(-89.11--5))+-89.11))))-(-5+-5)))*-5)))/-5)--5)+(-5*(((-89.11*(-89.11-(-5/-5)))*(-89.11-(-89.11/(-5*-89.11))))-(-5/-5)))))</f>
        <v>-3554096.3243549997</v>
      </c>
      <c r="C1090" t="n" s="0">
        <v>-3554096.324355</v>
      </c>
    </row>
    <row r="1091">
      <c r="A1091" t="n" s="0">
        <v>-89.1</v>
      </c>
      <c r="B1091" t="n" s="0">
        <f>(-5-((((-5*(-5/((-5/(((-5*(-89.1--5))-(-5+((-5*-89.1)*(((-5--5)+(-89.1--5))+-89.1))))-(-5+-5)))*-5)))/-5)--5)+(-5*(((-89.1*(-89.1-(-5/-5)))*(-89.1-(-89.1/(-5*-89.1))))-(-5/-5)))))</f>
        <v>-3552901.775</v>
      </c>
      <c r="C1091" t="n" s="0">
        <v>-3552901.7749999994</v>
      </c>
    </row>
    <row r="1092">
      <c r="A1092" t="n" s="0">
        <v>-89.09</v>
      </c>
      <c r="B1092" t="n" s="0">
        <f>(-5-((((-5*(-5/((-5/(((-5*(-89.09--5))-(-5+((-5*-89.09)*(((-5--5)+(-89.09--5))+-89.09))))-(-5+-5)))*-5)))/-5)--5)+(-5*(((-89.09*(-89.09-(-5/-5)))*(-89.09-(-89.09/(-5*-89.09))))-(-5/-5)))))</f>
        <v>-3551707.493345</v>
      </c>
      <c r="C1092" t="n" s="0">
        <v>-3551707.493345001</v>
      </c>
    </row>
    <row r="1093">
      <c r="A1093" t="n" s="0">
        <v>-89.08</v>
      </c>
      <c r="B1093" t="n" s="0">
        <f>(-5-((((-5*(-5/((-5/(((-5*(-89.08--5))-(-5+((-5*-89.08)*(((-5--5)+(-89.08--5))+-89.08))))-(-5+-5)))*-5)))/-5)--5)+(-5*(((-89.08*(-89.08-(-5/-5)))*(-89.08-(-89.08/(-5*-89.08))))-(-5/-5)))))</f>
        <v>-3550513.47936</v>
      </c>
      <c r="C1093" t="n" s="0">
        <v>-3550513.47936</v>
      </c>
    </row>
    <row r="1094">
      <c r="A1094" t="n" s="0">
        <v>-89.07</v>
      </c>
      <c r="B1094" t="n" s="0">
        <f>(-5-((((-5*(-5/((-5/(((-5*(-89.07--5))-(-5+((-5*-89.07)*(((-5--5)+(-89.07--5))+-89.07))))-(-5+-5)))*-5)))/-5)--5)+(-5*(((-89.07*(-89.07-(-5/-5)))*(-89.07-(-89.07/(-5*-89.07))))-(-5/-5)))))</f>
        <v>-3549319.7330150004</v>
      </c>
      <c r="C1094" t="n" s="0">
        <v>-3549319.7330149994</v>
      </c>
    </row>
    <row r="1095">
      <c r="A1095" t="n" s="0">
        <v>-89.06</v>
      </c>
      <c r="B1095" t="n" s="0">
        <f>(-5-((((-5*(-5/((-5/(((-5*(-89.06--5))-(-5+((-5*-89.06)*(((-5--5)+(-89.06--5))+-89.06))))-(-5+-5)))*-5)))/-5)--5)+(-5*(((-89.06*(-89.06-(-5/-5)))*(-89.06-(-89.06/(-5*-89.06))))-(-5/-5)))))</f>
        <v>-3548126.25428</v>
      </c>
      <c r="C1095" t="n" s="0">
        <v>-3548126.2542800005</v>
      </c>
    </row>
    <row r="1096">
      <c r="A1096" t="n" s="0">
        <v>-89.05</v>
      </c>
      <c r="B1096" t="n" s="0">
        <f>(-5-((((-5*(-5/((-5/(((-5*(-89.05--5))-(-5+((-5*-89.05)*(((-5--5)+(-89.05--5))+-89.05))))-(-5+-5)))*-5)))/-5)--5)+(-5*(((-89.05*(-89.05-(-5/-5)))*(-89.05-(-89.05/(-5*-89.05))))-(-5/-5)))))</f>
        <v>-3546933.043125</v>
      </c>
      <c r="C1096" t="n" s="0">
        <v>-3546933.043125</v>
      </c>
    </row>
    <row r="1097">
      <c r="A1097" t="n" s="0">
        <v>-89.04</v>
      </c>
      <c r="B1097" t="n" s="0">
        <f>(-5-((((-5*(-5/((-5/(((-5*(-89.04--5))-(-5+((-5*-89.04)*(((-5--5)+(-89.04--5))+-89.04))))-(-5+-5)))*-5)))/-5)--5)+(-5*(((-89.04*(-89.04-(-5/-5)))*(-89.04-(-89.04/(-5*-89.04))))-(-5/-5)))))</f>
        <v>-3545740.0995199997</v>
      </c>
      <c r="C1097" t="n" s="0">
        <v>-3545740.099520001</v>
      </c>
    </row>
    <row r="1098">
      <c r="A1098" t="n" s="0">
        <v>-89.03</v>
      </c>
      <c r="B1098" t="n" s="0">
        <f>(-5-((((-5*(-5/((-5/(((-5*(-89.03--5))-(-5+((-5*-89.03)*(((-5--5)+(-89.03--5))+-89.03))))-(-5+-5)))*-5)))/-5)--5)+(-5*(((-89.03*(-89.03-(-5/-5)))*(-89.03-(-89.03/(-5*-89.03))))-(-5/-5)))))</f>
        <v>-3544547.4234350002</v>
      </c>
      <c r="C1098" t="n" s="0">
        <v>-3544547.4234350002</v>
      </c>
    </row>
    <row r="1099">
      <c r="A1099" t="n" s="0">
        <v>-89.02</v>
      </c>
      <c r="B1099" t="n" s="0">
        <f>(-5-((((-5*(-5/((-5/(((-5*(-89.02--5))-(-5+((-5*-89.02)*(((-5--5)+(-89.02--5))+-89.02))))-(-5+-5)))*-5)))/-5)--5)+(-5*(((-89.02*(-89.02-(-5/-5)))*(-89.02-(-89.02/(-5*-89.02))))-(-5/-5)))))</f>
        <v>-3543355.01484</v>
      </c>
      <c r="C1099" t="n" s="0">
        <v>-3543355.01484</v>
      </c>
    </row>
    <row r="1100">
      <c r="A1100" t="n" s="0">
        <v>-89.01</v>
      </c>
      <c r="B1100" t="n" s="0">
        <f>(-5-((((-5*(-5/((-5/(((-5*(-89.01--5))-(-5+((-5*-89.01)*(((-5--5)+(-89.01--5))+-89.01))))-(-5+-5)))*-5)))/-5)--5)+(-5*(((-89.01*(-89.01-(-5/-5)))*(-89.01-(-89.01/(-5*-89.01))))-(-5/-5)))))</f>
        <v>-3542162.8737049997</v>
      </c>
      <c r="C1100" t="n" s="0">
        <v>-3542162.873705001</v>
      </c>
    </row>
    <row r="1101">
      <c r="A1101" t="n" s="0">
        <v>-89.0</v>
      </c>
      <c r="B1101" t="n" s="0">
        <f>(-5-((((-5*(-5/((-5/(((-5*(-89--5))-(-5+((-5*-89)*(((-5--5)+(-89--5))+-89))))-(-5+-5)))*-5)))/-5)--5)+(-5*(((-89*(-89-(-5/-5)))*(-89-(-89/(-5*-89))))-(-5/-5)))))</f>
        <v>-3540971.0</v>
      </c>
      <c r="C1101" t="n" s="0">
        <v>-3540971.0</v>
      </c>
    </row>
    <row r="1102">
      <c r="A1102" t="n" s="0">
        <v>-88.99</v>
      </c>
      <c r="B1102" t="n" s="0">
        <f>(-5-((((-5*(-5/((-5/(((-5*(-88.99--5))-(-5+((-5*-88.99)*(((-5--5)+(-88.99--5))+-88.99))))-(-5+-5)))*-5)))/-5)--5)+(-5*(((-88.99*(-88.99-(-5/-5)))*(-88.99-(-88.99/(-5*-88.99))))-(-5/-5)))))</f>
        <v>-3539779.393695</v>
      </c>
      <c r="C1102" t="n" s="0">
        <v>-3539779.393695</v>
      </c>
    </row>
    <row r="1103">
      <c r="A1103" t="n" s="0">
        <v>-88.98</v>
      </c>
      <c r="B1103" t="n" s="0">
        <f>(-5-((((-5*(-5/((-5/(((-5*(-88.98--5))-(-5+((-5*-88.98)*(((-5--5)+(-88.98--5))+-88.98))))-(-5+-5)))*-5)))/-5)--5)+(-5*(((-88.98*(-88.98-(-5/-5)))*(-88.98-(-88.98/(-5*-88.98))))-(-5/-5)))))</f>
        <v>-3538588.05476</v>
      </c>
      <c r="C1103" t="n" s="0">
        <v>-3538588.0547600007</v>
      </c>
    </row>
    <row r="1104">
      <c r="A1104" t="n" s="0">
        <v>-88.97</v>
      </c>
      <c r="B1104" t="n" s="0">
        <f>(-5-((((-5*(-5/((-5/(((-5*(-88.97--5))-(-5+((-5*-88.97)*(((-5--5)+(-88.97--5))+-88.97))))-(-5+-5)))*-5)))/-5)--5)+(-5*(((-88.97*(-88.97-(-5/-5)))*(-88.97-(-88.97/(-5*-88.97))))-(-5/-5)))))</f>
        <v>-3537396.9831649996</v>
      </c>
      <c r="C1104" t="n" s="0">
        <v>-3537396.983165</v>
      </c>
    </row>
    <row r="1105">
      <c r="A1105" t="n" s="0">
        <v>-88.96</v>
      </c>
      <c r="B1105" t="n" s="0">
        <f>(-5-((((-5*(-5/((-5/(((-5*(-88.96--5))-(-5+((-5*-88.96)*(((-5--5)+(-88.96--5))+-88.96))))-(-5+-5)))*-5)))/-5)--5)+(-5*(((-88.96*(-88.96-(-5/-5)))*(-88.96-(-88.96/(-5*-88.96))))-(-5/-5)))))</f>
        <v>-3536206.17888</v>
      </c>
      <c r="C1105" t="n" s="0">
        <v>-3536206.178879999</v>
      </c>
    </row>
    <row r="1106">
      <c r="A1106" t="n" s="0">
        <v>-88.95</v>
      </c>
      <c r="B1106" t="n" s="0">
        <f>(-5-((((-5*(-5/((-5/(((-5*(-88.95--5))-(-5+((-5*-88.95)*(((-5--5)+(-88.95--5))+-88.95))))-(-5+-5)))*-5)))/-5)--5)+(-5*(((-88.95*(-88.95-(-5/-5)))*(-88.95-(-88.95/(-5*-88.95))))-(-5/-5)))))</f>
        <v>-3535015.641875</v>
      </c>
      <c r="C1106" t="n" s="0">
        <v>-3535015.641875</v>
      </c>
    </row>
    <row r="1107">
      <c r="A1107" t="n" s="0">
        <v>-88.94</v>
      </c>
      <c r="B1107" t="n" s="0">
        <f>(-5-((((-5*(-5/((-5/(((-5*(-88.94--5))-(-5+((-5*-88.94)*(((-5--5)+(-88.94--5))+-88.94))))-(-5+-5)))*-5)))/-5)--5)+(-5*(((-88.94*(-88.94-(-5/-5)))*(-88.94-(-88.94/(-5*-88.94))))-(-5/-5)))))</f>
        <v>-3533825.37212</v>
      </c>
      <c r="C1107" t="n" s="0">
        <v>-3533825.3721199995</v>
      </c>
    </row>
    <row r="1108">
      <c r="A1108" t="n" s="0">
        <v>-88.93</v>
      </c>
      <c r="B1108" t="n" s="0">
        <f>(-5-((((-5*(-5/((-5/(((-5*(-88.93--5))-(-5+((-5*-88.93)*(((-5--5)+(-88.93--5))+-88.93))))-(-5+-5)))*-5)))/-5)--5)+(-5*(((-88.93*(-88.93-(-5/-5)))*(-88.93-(-88.93/(-5*-88.93))))-(-5/-5)))))</f>
        <v>-3532635.369585</v>
      </c>
      <c r="C1108" t="n" s="0">
        <v>-3532635.369585001</v>
      </c>
    </row>
    <row r="1109">
      <c r="A1109" t="n" s="0">
        <v>-88.92</v>
      </c>
      <c r="B1109" t="n" s="0">
        <f>(-5-((((-5*(-5/((-5/(((-5*(-88.92--5))-(-5+((-5*-88.92)*(((-5--5)+(-88.92--5))+-88.92))))-(-5+-5)))*-5)))/-5)--5)+(-5*(((-88.92*(-88.92-(-5/-5)))*(-88.92-(-88.92/(-5*-88.92))))-(-5/-5)))))</f>
        <v>-3531445.63424</v>
      </c>
      <c r="C1109" t="n" s="0">
        <v>-3531445.63424</v>
      </c>
    </row>
    <row r="1110">
      <c r="A1110" t="n" s="0">
        <v>-88.91</v>
      </c>
      <c r="B1110" t="n" s="0">
        <f>(-5-((((-5*(-5/((-5/(((-5*(-88.91--5))-(-5+((-5*-88.91)*(((-5--5)+(-88.91--5))+-88.91))))-(-5+-5)))*-5)))/-5)--5)+(-5*(((-88.91*(-88.91-(-5/-5)))*(-88.91-(-88.91/(-5*-88.91))))-(-5/-5)))))</f>
        <v>-3530256.1660550004</v>
      </c>
      <c r="C1110" t="n" s="0">
        <v>-3530256.1660549995</v>
      </c>
    </row>
    <row r="1111">
      <c r="A1111" t="n" s="0">
        <v>-88.9</v>
      </c>
      <c r="B1111" t="n" s="0">
        <f>(-5-((((-5*(-5/((-5/(((-5*(-88.9--5))-(-5+((-5*-88.9)*(((-5--5)+(-88.9--5))+-88.9))))-(-5+-5)))*-5)))/-5)--5)+(-5*(((-88.9*(-88.9-(-5/-5)))*(-88.9-(-88.9/(-5*-88.9))))-(-5/-5)))))</f>
        <v>-3529066.9650000003</v>
      </c>
      <c r="C1111" t="n" s="0">
        <v>-3529066.965000001</v>
      </c>
    </row>
    <row r="1112">
      <c r="A1112" t="n" s="0">
        <v>-88.89</v>
      </c>
      <c r="B1112" t="n" s="0">
        <f>(-5-((((-5*(-5/((-5/(((-5*(-88.89--5))-(-5+((-5*-88.89)*(((-5--5)+(-88.89--5))+-88.89))))-(-5+-5)))*-5)))/-5)--5)+(-5*(((-88.89*(-88.89-(-5/-5)))*(-88.89-(-88.89/(-5*-88.89))))-(-5/-5)))))</f>
        <v>-3527878.031045</v>
      </c>
      <c r="C1112" t="n" s="0">
        <v>-3527878.031045</v>
      </c>
    </row>
    <row r="1113">
      <c r="A1113" t="n" s="0">
        <v>-88.88</v>
      </c>
      <c r="B1113" t="n" s="0">
        <f>(-5-((((-5*(-5/((-5/(((-5*(-88.88--5))-(-5+((-5*-88.88)*(((-5--5)+(-88.88--5))+-88.88))))-(-5+-5)))*-5)))/-5)--5)+(-5*(((-88.88*(-88.88-(-5/-5)))*(-88.88-(-88.88/(-5*-88.88))))-(-5/-5)))))</f>
        <v>-3526689.36416</v>
      </c>
      <c r="C1113" t="n" s="0">
        <v>-3526689.36416</v>
      </c>
    </row>
    <row r="1114">
      <c r="A1114" t="n" s="0">
        <v>-88.87</v>
      </c>
      <c r="B1114" t="n" s="0">
        <f>(-5-((((-5*(-5/((-5/(((-5*(-88.87--5))-(-5+((-5*-88.87)*(((-5--5)+(-88.87--5))+-88.87))))-(-5+-5)))*-5)))/-5)--5)+(-5*(((-88.87*(-88.87-(-5/-5)))*(-88.87-(-88.87/(-5*-88.87))))-(-5/-5)))))</f>
        <v>-3525500.964315</v>
      </c>
      <c r="C1114" t="n" s="0">
        <v>-3525500.9643150005</v>
      </c>
    </row>
    <row r="1115">
      <c r="A1115" t="n" s="0">
        <v>-88.86</v>
      </c>
      <c r="B1115" t="n" s="0">
        <f>(-5-((((-5*(-5/((-5/(((-5*(-88.86--5))-(-5+((-5*-88.86)*(((-5--5)+(-88.86--5))+-88.86))))-(-5+-5)))*-5)))/-5)--5)+(-5*(((-88.86*(-88.86-(-5/-5)))*(-88.86-(-88.86/(-5*-88.86))))-(-5/-5)))))</f>
        <v>-3524312.8314799997</v>
      </c>
      <c r="C1115" t="n" s="0">
        <v>-3524312.83148</v>
      </c>
    </row>
    <row r="1116">
      <c r="A1116" t="n" s="0">
        <v>-88.85</v>
      </c>
      <c r="B1116" t="n" s="0">
        <f>(-5-((((-5*(-5/((-5/(((-5*(-88.85--5))-(-5+((-5*-88.85)*(((-5--5)+(-88.85--5))+-88.85))))-(-5+-5)))*-5)))/-5)--5)+(-5*(((-88.85*(-88.85-(-5/-5)))*(-88.85-(-88.85/(-5*-88.85))))-(-5/-5)))))</f>
        <v>-3523124.9656249997</v>
      </c>
      <c r="C1116" t="n" s="0">
        <v>-3523124.9656249993</v>
      </c>
    </row>
    <row r="1117">
      <c r="A1117" t="n" s="0">
        <v>-88.84</v>
      </c>
      <c r="B1117" t="n" s="0">
        <f>(-5-((((-5*(-5/((-5/(((-5*(-88.84--5))-(-5+((-5*-88.84)*(((-5--5)+(-88.84--5))+-88.84))))-(-5+-5)))*-5)))/-5)--5)+(-5*(((-88.84*(-88.84-(-5/-5)))*(-88.84-(-88.84/(-5*-88.84))))-(-5/-5)))))</f>
        <v>-3521937.3667200003</v>
      </c>
      <c r="C1117" t="n" s="0">
        <v>-3521937.3667200003</v>
      </c>
    </row>
    <row r="1118">
      <c r="A1118" t="n" s="0">
        <v>-88.83</v>
      </c>
      <c r="B1118" t="n" s="0">
        <f>(-5-((((-5*(-5/((-5/(((-5*(-88.83--5))-(-5+((-5*-88.83)*(((-5--5)+(-88.83--5))+-88.83))))-(-5+-5)))*-5)))/-5)--5)+(-5*(((-88.83*(-88.83-(-5/-5)))*(-88.83-(-88.83/(-5*-88.83))))-(-5/-5)))))</f>
        <v>-3520750.0347349998</v>
      </c>
      <c r="C1118" t="n" s="0">
        <v>-3520750.034735</v>
      </c>
    </row>
    <row r="1119">
      <c r="A1119" t="n" s="0">
        <v>-88.82</v>
      </c>
      <c r="B1119" t="n" s="0">
        <f>(-5-((((-5*(-5/((-5/(((-5*(-88.82--5))-(-5+((-5*-88.82)*(((-5--5)+(-88.82--5))+-88.82))))-(-5+-5)))*-5)))/-5)--5)+(-5*(((-88.82*(-88.82-(-5/-5)))*(-88.82-(-88.82/(-5*-88.82))))-(-5/-5)))))</f>
        <v>-3519562.9696400003</v>
      </c>
      <c r="C1119" t="n" s="0">
        <v>-3519562.9696399993</v>
      </c>
    </row>
    <row r="1120">
      <c r="A1120" t="n" s="0">
        <v>-88.81</v>
      </c>
      <c r="B1120" t="n" s="0">
        <f>(-5-((((-5*(-5/((-5/(((-5*(-88.81--5))-(-5+((-5*-88.81)*(((-5--5)+(-88.81--5))+-88.81))))-(-5+-5)))*-5)))/-5)--5)+(-5*(((-88.81*(-88.81-(-5/-5)))*(-88.81-(-88.81/(-5*-88.81))))-(-5/-5)))))</f>
        <v>-3518376.171405</v>
      </c>
      <c r="C1120" t="n" s="0">
        <v>-3518376.1714050006</v>
      </c>
    </row>
    <row r="1121">
      <c r="A1121" t="n" s="0">
        <v>-88.8</v>
      </c>
      <c r="B1121" t="n" s="0">
        <f>(-5-((((-5*(-5/((-5/(((-5*(-88.8--5))-(-5+((-5*-88.8)*(((-5--5)+(-88.8--5))+-88.8))))-(-5+-5)))*-5)))/-5)--5)+(-5*(((-88.8*(-88.8-(-5/-5)))*(-88.8-(-88.8/(-5*-88.8))))-(-5/-5)))))</f>
        <v>-3517189.6399999997</v>
      </c>
      <c r="C1121" t="n" s="0">
        <v>-3517189.639999999</v>
      </c>
    </row>
    <row r="1122">
      <c r="A1122" t="n" s="0">
        <v>-88.79</v>
      </c>
      <c r="B1122" t="n" s="0">
        <f>(-5-((((-5*(-5/((-5/(((-5*(-88.79--5))-(-5+((-5*-88.79)*(((-5--5)+(-88.79--5))+-88.79))))-(-5+-5)))*-5)))/-5)--5)+(-5*(((-88.79*(-88.79-(-5/-5)))*(-88.79-(-88.79/(-5*-88.79))))-(-5/-5)))))</f>
        <v>-3516003.375395</v>
      </c>
      <c r="C1122" t="n" s="0">
        <v>-3516003.3753950004</v>
      </c>
    </row>
    <row r="1123">
      <c r="A1123" t="n" s="0">
        <v>-88.78</v>
      </c>
      <c r="B1123" t="n" s="0">
        <f>(-5-((((-5*(-5/((-5/(((-5*(-88.78--5))-(-5+((-5*-88.78)*(((-5--5)+(-88.78--5))+-88.78))))-(-5+-5)))*-5)))/-5)--5)+(-5*(((-88.78*(-88.78-(-5/-5)))*(-88.78-(-88.78/(-5*-88.78))))-(-5/-5)))))</f>
        <v>-3514817.37756</v>
      </c>
      <c r="C1123" t="n" s="0">
        <v>-3514817.37756</v>
      </c>
    </row>
    <row r="1124">
      <c r="A1124" t="n" s="0">
        <v>-88.77</v>
      </c>
      <c r="B1124" t="n" s="0">
        <f>(-5-((((-5*(-5/((-5/(((-5*(-88.77--5))-(-5+((-5*-88.77)*(((-5--5)+(-88.77--5))+-88.77))))-(-5+-5)))*-5)))/-5)--5)+(-5*(((-88.77*(-88.77-(-5/-5)))*(-88.77-(-88.77/(-5*-88.77))))-(-5/-5)))))</f>
        <v>-3513631.6464649998</v>
      </c>
      <c r="C1124" t="n" s="0">
        <v>-3513631.6464649998</v>
      </c>
    </row>
    <row r="1125">
      <c r="A1125" t="n" s="0">
        <v>-88.76</v>
      </c>
      <c r="B1125" t="n" s="0">
        <f>(-5-((((-5*(-5/((-5/(((-5*(-88.76--5))-(-5+((-5*-88.76)*(((-5--5)+(-88.76--5))+-88.76))))-(-5+-5)))*-5)))/-5)--5)+(-5*(((-88.76*(-88.76-(-5/-5)))*(-88.76-(-88.76/(-5*-88.76))))-(-5/-5)))))</f>
        <v>-3512446.18208</v>
      </c>
      <c r="C1125" t="n" s="0">
        <v>-3512446.18208</v>
      </c>
    </row>
    <row r="1126">
      <c r="A1126" t="n" s="0">
        <v>-88.75</v>
      </c>
      <c r="B1126" t="n" s="0">
        <f>(-5-((((-5*(-5/((-5/(((-5*(-88.75--5))-(-5+((-5*-88.75)*(((-5--5)+(-88.75--5))+-88.75))))-(-5+-5)))*-5)))/-5)--5)+(-5*(((-88.75*(-88.75-(-5/-5)))*(-88.75-(-88.75/(-5*-88.75))))-(-5/-5)))))</f>
        <v>-3511260.984375</v>
      </c>
      <c r="C1126" t="n" s="0">
        <v>-3511260.984375</v>
      </c>
    </row>
    <row r="1127">
      <c r="A1127" t="n" s="0">
        <v>-88.74</v>
      </c>
      <c r="B1127" t="n" s="0">
        <f>(-5-((((-5*(-5/((-5/(((-5*(-88.74--5))-(-5+((-5*-88.74)*(((-5--5)+(-88.74--5))+-88.74))))-(-5+-5)))*-5)))/-5)--5)+(-5*(((-88.74*(-88.74-(-5/-5)))*(-88.74-(-88.74/(-5*-88.74))))-(-5/-5)))))</f>
        <v>-3510076.05332</v>
      </c>
      <c r="C1127" t="n" s="0">
        <v>-3510076.0533199995</v>
      </c>
    </row>
    <row r="1128">
      <c r="A1128" t="n" s="0">
        <v>-88.73</v>
      </c>
      <c r="B1128" t="n" s="0">
        <f>(-5-((((-5*(-5/((-5/(((-5*(-88.73--5))-(-5+((-5*-88.73)*(((-5--5)+(-88.73--5))+-88.73))))-(-5+-5)))*-5)))/-5)--5)+(-5*(((-88.73*(-88.73-(-5/-5)))*(-88.73-(-88.73/(-5*-88.73))))-(-5/-5)))))</f>
        <v>-3508891.388885</v>
      </c>
      <c r="C1128" t="n" s="0">
        <v>-3508891.3888850003</v>
      </c>
    </row>
    <row r="1129">
      <c r="A1129" t="n" s="0">
        <v>-88.72</v>
      </c>
      <c r="B1129" t="n" s="0">
        <f>(-5-((((-5*(-5/((-5/(((-5*(-88.72--5))-(-5+((-5*-88.72)*(((-5--5)+(-88.72--5))+-88.72))))-(-5+-5)))*-5)))/-5)--5)+(-5*(((-88.72*(-88.72-(-5/-5)))*(-88.72-(-88.72/(-5*-88.72))))-(-5/-5)))))</f>
        <v>-3507706.99104</v>
      </c>
      <c r="C1129" t="n" s="0">
        <v>-3507706.9910399998</v>
      </c>
    </row>
    <row r="1130">
      <c r="A1130" t="n" s="0">
        <v>-88.71</v>
      </c>
      <c r="B1130" t="n" s="0">
        <f>(-5-((((-5*(-5/((-5/(((-5*(-88.71--5))-(-5+((-5*-88.71)*(((-5--5)+(-88.71--5))+-88.71))))-(-5+-5)))*-5)))/-5)--5)+(-5*(((-88.71*(-88.71-(-5/-5)))*(-88.71-(-88.71/(-5*-88.71))))-(-5/-5)))))</f>
        <v>-3506522.859755</v>
      </c>
      <c r="C1130" t="n" s="0">
        <v>-3506522.859754999</v>
      </c>
    </row>
    <row r="1131">
      <c r="A1131" t="n" s="0">
        <v>-88.7</v>
      </c>
      <c r="B1131" t="n" s="0">
        <f>(-5-((((-5*(-5/((-5/(((-5*(-88.7--5))-(-5+((-5*-88.7)*(((-5--5)+(-88.7--5))+-88.7))))-(-5+-5)))*-5)))/-5)--5)+(-5*(((-88.7*(-88.7-(-5/-5)))*(-88.7-(-88.7/(-5*-88.7))))-(-5/-5)))))</f>
        <v>-3505338.995</v>
      </c>
      <c r="C1131" t="n" s="0">
        <v>-3505338.9950000006</v>
      </c>
    </row>
    <row r="1132">
      <c r="A1132" t="n" s="0">
        <v>-88.69</v>
      </c>
      <c r="B1132" t="n" s="0">
        <f>(-5-((((-5*(-5/((-5/(((-5*(-88.69--5))-(-5+((-5*-88.69)*(((-5--5)+(-88.69--5))+-88.69))))-(-5+-5)))*-5)))/-5)--5)+(-5*(((-88.69*(-88.69-(-5/-5)))*(-88.69-(-88.69/(-5*-88.69))))-(-5/-5)))))</f>
        <v>-3504155.396745</v>
      </c>
      <c r="C1132" t="n" s="0">
        <v>-3504155.3967449996</v>
      </c>
    </row>
    <row r="1133">
      <c r="A1133" t="n" s="0">
        <v>-88.68</v>
      </c>
      <c r="B1133" t="n" s="0">
        <f>(-5-((((-5*(-5/((-5/(((-5*(-88.68--5))-(-5+((-5*-88.68)*(((-5--5)+(-88.68--5))+-88.68))))-(-5+-5)))*-5)))/-5)--5)+(-5*(((-88.68*(-88.68-(-5/-5)))*(-88.68-(-88.68/(-5*-88.68))))-(-5/-5)))))</f>
        <v>-3502972.06496</v>
      </c>
      <c r="C1133" t="n" s="0">
        <v>-3502972.064960001</v>
      </c>
    </row>
    <row r="1134">
      <c r="A1134" t="n" s="0">
        <v>-88.67</v>
      </c>
      <c r="B1134" t="n" s="0">
        <f>(-5-((((-5*(-5/((-5/(((-5*(-88.67--5))-(-5+((-5*-88.67)*(((-5--5)+(-88.67--5))+-88.67))))-(-5+-5)))*-5)))/-5)--5)+(-5*(((-88.67*(-88.67-(-5/-5)))*(-88.67-(-88.67/(-5*-88.67))))-(-5/-5)))))</f>
        <v>-3501788.999615</v>
      </c>
      <c r="C1134" t="n" s="0">
        <v>-3501788.999615</v>
      </c>
    </row>
    <row r="1135">
      <c r="A1135" t="n" s="0">
        <v>-88.66</v>
      </c>
      <c r="B1135" t="n" s="0">
        <f>(-5-((((-5*(-5/((-5/(((-5*(-88.66--5))-(-5+((-5*-88.66)*(((-5--5)+(-88.66--5))+-88.66))))-(-5+-5)))*-5)))/-5)--5)+(-5*(((-88.66*(-88.66-(-5/-5)))*(-88.66-(-88.66/(-5*-88.66))))-(-5/-5)))))</f>
        <v>-3500606.20068</v>
      </c>
      <c r="C1135" t="n" s="0">
        <v>-3500606.200679999</v>
      </c>
    </row>
    <row r="1136">
      <c r="A1136" t="n" s="0">
        <v>-88.65</v>
      </c>
      <c r="B1136" t="n" s="0">
        <f>(-5-((((-5*(-5/((-5/(((-5*(-88.65--5))-(-5+((-5*-88.65)*(((-5--5)+(-88.65--5))+-88.65))))-(-5+-5)))*-5)))/-5)--5)+(-5*(((-88.65*(-88.65-(-5/-5)))*(-88.65-(-88.65/(-5*-88.65))))-(-5/-5)))))</f>
        <v>-3499423.668125</v>
      </c>
      <c r="C1136" t="n" s="0">
        <v>-3499423.6681250012</v>
      </c>
    </row>
    <row r="1137">
      <c r="A1137" t="n" s="0">
        <v>-88.64</v>
      </c>
      <c r="B1137" t="n" s="0">
        <f>(-5-((((-5*(-5/((-5/(((-5*(-88.64--5))-(-5+((-5*-88.64)*(((-5--5)+(-88.64--5))+-88.64))))-(-5+-5)))*-5)))/-5)--5)+(-5*(((-88.64*(-88.64-(-5/-5)))*(-88.64-(-88.64/(-5*-88.64))))-(-5/-5)))))</f>
        <v>-3498241.40192</v>
      </c>
      <c r="C1137" t="n" s="0">
        <v>-3498241.40192</v>
      </c>
    </row>
    <row r="1138">
      <c r="A1138" t="n" s="0">
        <v>-88.63</v>
      </c>
      <c r="B1138" t="n" s="0">
        <f>(-5-((((-5*(-5/((-5/(((-5*(-88.63--5))-(-5+((-5*-88.63)*(((-5--5)+(-88.63--5))+-88.63))))-(-5+-5)))*-5)))/-5)--5)+(-5*(((-88.63*(-88.63-(-5/-5)))*(-88.63-(-88.63/(-5*-88.63))))-(-5/-5)))))</f>
        <v>-3497059.4020350003</v>
      </c>
      <c r="C1138" t="n" s="0">
        <v>-3497059.4020349993</v>
      </c>
    </row>
    <row r="1139">
      <c r="A1139" t="n" s="0">
        <v>-88.62</v>
      </c>
      <c r="B1139" t="n" s="0">
        <f>(-5-((((-5*(-5/((-5/(((-5*(-88.62--5))-(-5+((-5*-88.62)*(((-5--5)+(-88.62--5))+-88.62))))-(-5+-5)))*-5)))/-5)--5)+(-5*(((-88.62*(-88.62-(-5/-5)))*(-88.62-(-88.62/(-5*-88.62))))-(-5/-5)))))</f>
        <v>-3495877.66844</v>
      </c>
      <c r="C1139" t="n" s="0">
        <v>-3495877.66844</v>
      </c>
    </row>
    <row r="1140">
      <c r="A1140" t="n" s="0">
        <v>-88.61</v>
      </c>
      <c r="B1140" t="n" s="0">
        <f>(-5-((((-5*(-5/((-5/(((-5*(-88.61--5))-(-5+((-5*-88.61)*(((-5--5)+(-88.61--5))+-88.61))))-(-5+-5)))*-5)))/-5)--5)+(-5*(((-88.61*(-88.61-(-5/-5)))*(-88.61-(-88.61/(-5*-88.61))))-(-5/-5)))))</f>
        <v>-3494696.201105</v>
      </c>
      <c r="C1140" t="n" s="0">
        <v>-3494696.201105</v>
      </c>
    </row>
    <row r="1141">
      <c r="A1141" t="n" s="0">
        <v>-88.6</v>
      </c>
      <c r="B1141" t="n" s="0">
        <f>(-5-((((-5*(-5/((-5/(((-5*(-88.6--5))-(-5+((-5*-88.6)*(((-5--5)+(-88.6--5))+-88.6))))-(-5+-5)))*-5)))/-5)--5)+(-5*(((-88.6*(-88.6-(-5/-5)))*(-88.6-(-88.6/(-5*-88.6))))-(-5/-5)))))</f>
        <v>-3493515.0</v>
      </c>
      <c r="C1141" t="n" s="0">
        <v>-3493514.999999999</v>
      </c>
    </row>
    <row r="1142">
      <c r="A1142" t="n" s="0">
        <v>-88.59</v>
      </c>
      <c r="B1142" t="n" s="0">
        <f>(-5-((((-5*(-5/((-5/(((-5*(-88.59--5))-(-5+((-5*-88.59)*(((-5--5)+(-88.59--5))+-88.59))))-(-5+-5)))*-5)))/-5)--5)+(-5*(((-88.59*(-88.59-(-5/-5)))*(-88.59-(-88.59/(-5*-88.59))))-(-5/-5)))))</f>
        <v>-3492334.065095</v>
      </c>
      <c r="C1142" t="n" s="0">
        <v>-3492334.0650950004</v>
      </c>
    </row>
    <row r="1143">
      <c r="A1143" t="n" s="0">
        <v>-88.58</v>
      </c>
      <c r="B1143" t="n" s="0">
        <f>(-5-((((-5*(-5/((-5/(((-5*(-88.58--5))-(-5+((-5*-88.58)*(((-5--5)+(-88.58--5))+-88.58))))-(-5+-5)))*-5)))/-5)--5)+(-5*(((-88.58*(-88.58-(-5/-5)))*(-88.58-(-88.58/(-5*-88.58))))-(-5/-5)))))</f>
        <v>-3491153.3963599997</v>
      </c>
      <c r="C1143" t="n" s="0">
        <v>-3491153.39636</v>
      </c>
    </row>
    <row r="1144">
      <c r="A1144" t="n" s="0">
        <v>-88.57</v>
      </c>
      <c r="B1144" t="n" s="0">
        <f>(-5-((((-5*(-5/((-5/(((-5*(-88.57--5))-(-5+((-5*-88.57)*(((-5--5)+(-88.57--5))+-88.57))))-(-5+-5)))*-5)))/-5)--5)+(-5*(((-88.57*(-88.57-(-5/-5)))*(-88.57-(-88.57/(-5*-88.57))))-(-5/-5)))))</f>
        <v>-3489972.993765</v>
      </c>
      <c r="C1144" t="n" s="0">
        <v>-3489972.993764999</v>
      </c>
    </row>
    <row r="1145">
      <c r="A1145" t="n" s="0">
        <v>-88.56</v>
      </c>
      <c r="B1145" t="n" s="0">
        <f>(-5-((((-5*(-5/((-5/(((-5*(-88.56--5))-(-5+((-5*-88.56)*(((-5--5)+(-88.56--5))+-88.56))))-(-5+-5)))*-5)))/-5)--5)+(-5*(((-88.56*(-88.56-(-5/-5)))*(-88.56-(-88.56/(-5*-88.56))))-(-5/-5)))))</f>
        <v>-3488792.85728</v>
      </c>
      <c r="C1145" t="n" s="0">
        <v>-3488792.8572800006</v>
      </c>
    </row>
    <row r="1146">
      <c r="A1146" t="n" s="0">
        <v>-88.55</v>
      </c>
      <c r="B1146" t="n" s="0">
        <f>(-5-((((-5*(-5/((-5/(((-5*(-88.55--5))-(-5+((-5*-88.55)*(((-5--5)+(-88.55--5))+-88.55))))-(-5+-5)))*-5)))/-5)--5)+(-5*(((-88.55*(-88.55-(-5/-5)))*(-88.55-(-88.55/(-5*-88.55))))-(-5/-5)))))</f>
        <v>-3487612.986875</v>
      </c>
      <c r="C1146" t="n" s="0">
        <v>-3487612.9868749995</v>
      </c>
    </row>
    <row r="1147">
      <c r="A1147" t="n" s="0">
        <v>-88.54</v>
      </c>
      <c r="B1147" t="n" s="0">
        <f>(-5-((((-5*(-5/((-5/(((-5*(-88.54--5))-(-5+((-5*-88.54)*(((-5--5)+(-88.54--5))+-88.54))))-(-5+-5)))*-5)))/-5)--5)+(-5*(((-88.54*(-88.54-(-5/-5)))*(-88.54-(-88.54/(-5*-88.54))))-(-5/-5)))))</f>
        <v>-3486433.38252</v>
      </c>
      <c r="C1147" t="n" s="0">
        <v>-3486433.382520001</v>
      </c>
    </row>
    <row r="1148">
      <c r="A1148" t="n" s="0">
        <v>-88.53</v>
      </c>
      <c r="B1148" t="n" s="0">
        <f>(-5-((((-5*(-5/((-5/(((-5*(-88.53--5))-(-5+((-5*-88.53)*(((-5--5)+(-88.53--5))+-88.53))))-(-5+-5)))*-5)))/-5)--5)+(-5*(((-88.53*(-88.53-(-5/-5)))*(-88.53-(-88.53/(-5*-88.53))))-(-5/-5)))))</f>
        <v>-3485254.044185</v>
      </c>
      <c r="C1148" t="n" s="0">
        <v>-3485254.044185</v>
      </c>
    </row>
    <row r="1149">
      <c r="A1149" t="n" s="0">
        <v>-88.52</v>
      </c>
      <c r="B1149" t="n" s="0">
        <f>(-5-((((-5*(-5/((-5/(((-5*(-88.52--5))-(-5+((-5*-88.52)*(((-5--5)+(-88.52--5))+-88.52))))-(-5+-5)))*-5)))/-5)--5)+(-5*(((-88.52*(-88.52-(-5/-5)))*(-88.52-(-88.52/(-5*-88.52))))-(-5/-5)))))</f>
        <v>-3484074.97184</v>
      </c>
      <c r="C1149" t="n" s="0">
        <v>-3484074.97184</v>
      </c>
    </row>
    <row r="1150">
      <c r="A1150" t="n" s="0">
        <v>-88.51</v>
      </c>
      <c r="B1150" t="n" s="0">
        <f>(-5-((((-5*(-5/((-5/(((-5*(-88.51--5))-(-5+((-5*-88.51)*(((-5--5)+(-88.51--5))+-88.51))))-(-5+-5)))*-5)))/-5)--5)+(-5*(((-88.51*(-88.51-(-5/-5)))*(-88.51-(-88.51/(-5*-88.51))))-(-5/-5)))))</f>
        <v>-3482896.165455</v>
      </c>
      <c r="C1150" t="n" s="0">
        <v>-3482896.1654550005</v>
      </c>
    </row>
    <row r="1151">
      <c r="A1151" t="n" s="0">
        <v>-88.5</v>
      </c>
      <c r="B1151" t="n" s="0">
        <f>(-5-((((-5*(-5/((-5/(((-5*(-88.5--5))-(-5+((-5*-88.5)*(((-5--5)+(-88.5--5))+-88.5))))-(-5+-5)))*-5)))/-5)--5)+(-5*(((-88.5*(-88.5-(-5/-5)))*(-88.5-(-88.5/(-5*-88.5))))-(-5/-5)))))</f>
        <v>-3481717.625</v>
      </c>
      <c r="C1151" t="n" s="0">
        <v>-3481717.625</v>
      </c>
    </row>
    <row r="1152">
      <c r="A1152" t="n" s="0">
        <v>-88.49</v>
      </c>
      <c r="B1152" t="n" s="0">
        <f>(-5-((((-5*(-5/((-5/(((-5*(-88.49--5))-(-5+((-5*-88.49)*(((-5--5)+(-88.49--5))+-88.49))))-(-5+-5)))*-5)))/-5)--5)+(-5*(((-88.49*(-88.49-(-5/-5)))*(-88.49-(-88.49/(-5*-88.49))))-(-5/-5)))))</f>
        <v>-3480539.350445</v>
      </c>
      <c r="C1152" t="n" s="0">
        <v>-3480539.350445</v>
      </c>
    </row>
    <row r="1153">
      <c r="A1153" t="n" s="0">
        <v>-88.48</v>
      </c>
      <c r="B1153" t="n" s="0">
        <f>(-5-((((-5*(-5/((-5/(((-5*(-88.48--5))-(-5+((-5*-88.48)*(((-5--5)+(-88.48--5))+-88.48))))-(-5+-5)))*-5)))/-5)--5)+(-5*(((-88.48*(-88.48-(-5/-5)))*(-88.48-(-88.48/(-5*-88.48))))-(-5/-5)))))</f>
        <v>-3479361.3417599997</v>
      </c>
      <c r="C1153" t="n" s="0">
        <v>-3479361.34176</v>
      </c>
    </row>
    <row r="1154">
      <c r="A1154" t="n" s="0">
        <v>-88.47</v>
      </c>
      <c r="B1154" t="n" s="0">
        <f>(-5-((((-5*(-5/((-5/(((-5*(-88.47--5))-(-5+((-5*-88.47)*(((-5--5)+(-88.47--5))+-88.47))))-(-5+-5)))*-5)))/-5)--5)+(-5*(((-88.47*(-88.47-(-5/-5)))*(-88.47-(-88.47/(-5*-88.47))))-(-5/-5)))))</f>
        <v>-3478183.598915</v>
      </c>
      <c r="C1154" t="n" s="0">
        <v>-3478183.598915</v>
      </c>
    </row>
    <row r="1155">
      <c r="A1155" t="n" s="0">
        <v>-88.46</v>
      </c>
      <c r="B1155" t="n" s="0">
        <f>(-5-((((-5*(-5/((-5/(((-5*(-88.46--5))-(-5+((-5*-88.46)*(((-5--5)+(-88.46--5))+-88.46))))-(-5+-5)))*-5)))/-5)--5)+(-5*(((-88.46*(-88.46-(-5/-5)))*(-88.46-(-88.46/(-5*-88.46))))-(-5/-5)))))</f>
        <v>-3477006.12188</v>
      </c>
      <c r="C1155" t="n" s="0">
        <v>-3477006.1218799995</v>
      </c>
    </row>
    <row r="1156">
      <c r="A1156" t="n" s="0">
        <v>-88.45</v>
      </c>
      <c r="B1156" t="n" s="0">
        <f>(-5-((((-5*(-5/((-5/(((-5*(-88.45--5))-(-5+((-5*-88.45)*(((-5--5)+(-88.45--5))+-88.45))))-(-5+-5)))*-5)))/-5)--5)+(-5*(((-88.45*(-88.45-(-5/-5)))*(-88.45-(-88.45/(-5*-88.45))))-(-5/-5)))))</f>
        <v>-3475828.910625</v>
      </c>
      <c r="C1156" t="n" s="0">
        <v>-3475828.9106250005</v>
      </c>
    </row>
    <row r="1157">
      <c r="A1157" t="n" s="0">
        <v>-88.44</v>
      </c>
      <c r="B1157" t="n" s="0">
        <f>(-5-((((-5*(-5/((-5/(((-5*(-88.44--5))-(-5+((-5*-88.44)*(((-5--5)+(-88.44--5))+-88.44))))-(-5+-5)))*-5)))/-5)--5)+(-5*(((-88.44*(-88.44-(-5/-5)))*(-88.44-(-88.44/(-5*-88.44))))-(-5/-5)))))</f>
        <v>-3474651.9651200003</v>
      </c>
      <c r="C1157" t="n" s="0">
        <v>-3474651.96512</v>
      </c>
    </row>
    <row r="1158">
      <c r="A1158" t="n" s="0">
        <v>-88.43</v>
      </c>
      <c r="B1158" t="n" s="0">
        <f>(-5-((((-5*(-5/((-5/(((-5*(-88.43--5))-(-5+((-5*-88.43)*(((-5--5)+(-88.43--5))+-88.43))))-(-5+-5)))*-5)))/-5)--5)+(-5*(((-88.43*(-88.43-(-5/-5)))*(-88.43-(-88.43/(-5*-88.43))))-(-5/-5)))))</f>
        <v>-3473475.2853349997</v>
      </c>
      <c r="C1158" t="n" s="0">
        <v>-3473475.2853350006</v>
      </c>
    </row>
    <row r="1159">
      <c r="A1159" t="n" s="0">
        <v>-88.42</v>
      </c>
      <c r="B1159" t="n" s="0">
        <f>(-5-((((-5*(-5/((-5/(((-5*(-88.42--5))-(-5+((-5*-88.42)*(((-5--5)+(-88.42--5))+-88.42))))-(-5+-5)))*-5)))/-5)--5)+(-5*(((-88.42*(-88.42-(-5/-5)))*(-88.42-(-88.42/(-5*-88.42))))-(-5/-5)))))</f>
        <v>-3472298.87124</v>
      </c>
      <c r="C1159" t="n" s="0">
        <v>-3472298.87124</v>
      </c>
    </row>
    <row r="1160">
      <c r="A1160" t="n" s="0">
        <v>-88.41</v>
      </c>
      <c r="B1160" t="n" s="0">
        <f>(-5-((((-5*(-5/((-5/(((-5*(-88.41--5))-(-5+((-5*-88.41)*(((-5--5)+(-88.41--5))+-88.41))))-(-5+-5)))*-5)))/-5)--5)+(-5*(((-88.41*(-88.41-(-5/-5)))*(-88.41-(-88.41/(-5*-88.41))))-(-5/-5)))))</f>
        <v>-3471122.722805</v>
      </c>
      <c r="C1160" t="n" s="0">
        <v>-3471122.7228049994</v>
      </c>
    </row>
    <row r="1161">
      <c r="A1161" t="n" s="0">
        <v>-88.4</v>
      </c>
      <c r="B1161" t="n" s="0">
        <f>(-5-((((-5*(-5/((-5/(((-5*(-88.4--5))-(-5+((-5*-88.4)*(((-5--5)+(-88.4--5))+-88.4))))-(-5+-5)))*-5)))/-5)--5)+(-5*(((-88.4*(-88.4-(-5/-5)))*(-88.4-(-88.4/(-5*-88.4))))-(-5/-5)))))</f>
        <v>-3469946.84</v>
      </c>
      <c r="C1161" t="n" s="0">
        <v>-3469946.8400000012</v>
      </c>
    </row>
    <row r="1162">
      <c r="A1162" t="n" s="0">
        <v>-88.39</v>
      </c>
      <c r="B1162" t="n" s="0">
        <f>(-5-((((-5*(-5/((-5/(((-5*(-88.39--5))-(-5+((-5*-88.39)*(((-5--5)+(-88.39--5))+-88.39))))-(-5+-5)))*-5)))/-5)--5)+(-5*(((-88.39*(-88.39-(-5/-5)))*(-88.39-(-88.39/(-5*-88.39))))-(-5/-5)))))</f>
        <v>-3468771.2227950003</v>
      </c>
      <c r="C1162" t="n" s="0">
        <v>-3468771.222795</v>
      </c>
    </row>
    <row r="1163">
      <c r="A1163" t="n" s="0">
        <v>-88.38</v>
      </c>
      <c r="B1163" t="n" s="0">
        <f>(-5-((((-5*(-5/((-5/(((-5*(-88.38--5))-(-5+((-5*-88.38)*(((-5--5)+(-88.38--5))+-88.38))))-(-5+-5)))*-5)))/-5)--5)+(-5*(((-88.38*(-88.38-(-5/-5)))*(-88.38-(-88.38/(-5*-88.38))))-(-5/-5)))))</f>
        <v>-3467595.87116</v>
      </c>
      <c r="C1163" t="n" s="0">
        <v>-3467595.8711599996</v>
      </c>
    </row>
    <row r="1164">
      <c r="A1164" t="n" s="0">
        <v>-88.37</v>
      </c>
      <c r="B1164" t="n" s="0">
        <f>(-5-((((-5*(-5/((-5/(((-5*(-88.37--5))-(-5+((-5*-88.37)*(((-5--5)+(-88.37--5))+-88.37))))-(-5+-5)))*-5)))/-5)--5)+(-5*(((-88.37*(-88.37-(-5/-5)))*(-88.37-(-88.37/(-5*-88.37))))-(-5/-5)))))</f>
        <v>-3466420.785065</v>
      </c>
      <c r="C1164" t="n" s="0">
        <v>-3466420.785065</v>
      </c>
    </row>
    <row r="1165">
      <c r="A1165" t="n" s="0">
        <v>-88.36</v>
      </c>
      <c r="B1165" t="n" s="0">
        <f>(-5-((((-5*(-5/((-5/(((-5*(-88.36--5))-(-5+((-5*-88.36)*(((-5--5)+(-88.36--5))+-88.36))))-(-5+-5)))*-5)))/-5)--5)+(-5*(((-88.36*(-88.36-(-5/-5)))*(-88.36-(-88.36/(-5*-88.36))))-(-5/-5)))))</f>
        <v>-3465245.96448</v>
      </c>
      <c r="C1165" t="n" s="0">
        <v>-3465245.96448</v>
      </c>
    </row>
    <row r="1166">
      <c r="A1166" t="n" s="0">
        <v>-88.35</v>
      </c>
      <c r="B1166" t="n" s="0">
        <f>(-5-((((-5*(-5/((-5/(((-5*(-88.35--5))-(-5+((-5*-88.35)*(((-5--5)+(-88.35--5))+-88.35))))-(-5+-5)))*-5)))/-5)--5)+(-5*(((-88.35*(-88.35-(-5/-5)))*(-88.35-(-88.35/(-5*-88.35))))-(-5/-5)))))</f>
        <v>-3464071.4093750003</v>
      </c>
      <c r="C1166" t="n" s="0">
        <v>-3464071.409374999</v>
      </c>
    </row>
    <row r="1167">
      <c r="A1167" t="n" s="0">
        <v>-88.34</v>
      </c>
      <c r="B1167" t="n" s="0">
        <f>(-5-((((-5*(-5/((-5/(((-5*(-88.34--5))-(-5+((-5*-88.34)*(((-5--5)+(-88.34--5))+-88.34))))-(-5+-5)))*-5)))/-5)--5)+(-5*(((-88.34*(-88.34-(-5/-5)))*(-88.34-(-88.34/(-5*-88.34))))-(-5/-5)))))</f>
        <v>-3462897.11972</v>
      </c>
      <c r="C1167" t="n" s="0">
        <v>-3462897.1197200003</v>
      </c>
    </row>
    <row r="1168">
      <c r="A1168" t="n" s="0">
        <v>-88.33</v>
      </c>
      <c r="B1168" t="n" s="0">
        <f>(-5-((((-5*(-5/((-5/(((-5*(-88.33--5))-(-5+((-5*-88.33)*(((-5--5)+(-88.33--5))+-88.33))))-(-5+-5)))*-5)))/-5)--5)+(-5*(((-88.33*(-88.33-(-5/-5)))*(-88.33-(-88.33/(-5*-88.33))))-(-5/-5)))))</f>
        <v>-3461723.095485</v>
      </c>
      <c r="C1168" t="n" s="0">
        <v>-3461723.095485</v>
      </c>
    </row>
    <row r="1169">
      <c r="A1169" t="n" s="0">
        <v>-88.32</v>
      </c>
      <c r="B1169" t="n" s="0">
        <f>(-5-((((-5*(-5/((-5/(((-5*(-88.32--5))-(-5+((-5*-88.32)*(((-5--5)+(-88.32--5))+-88.32))))-(-5+-5)))*-5)))/-5)--5)+(-5*(((-88.32*(-88.32-(-5/-5)))*(-88.32-(-88.32/(-5*-88.32))))-(-5/-5)))))</f>
        <v>-3460549.3366400003</v>
      </c>
      <c r="C1169" t="n" s="0">
        <v>-3460549.3366399994</v>
      </c>
    </row>
    <row r="1170">
      <c r="A1170" t="n" s="0">
        <v>-88.31</v>
      </c>
      <c r="B1170" t="n" s="0">
        <f>(-5-((((-5*(-5/((-5/(((-5*(-88.31--5))-(-5+((-5*-88.31)*(((-5--5)+(-88.31--5))+-88.31))))-(-5+-5)))*-5)))/-5)--5)+(-5*(((-88.31*(-88.31-(-5/-5)))*(-88.31-(-88.31/(-5*-88.31))))-(-5/-5)))))</f>
        <v>-3459375.8431550004</v>
      </c>
      <c r="C1170" t="n" s="0">
        <v>-3459375.8431550004</v>
      </c>
    </row>
    <row r="1171">
      <c r="A1171" t="n" s="0">
        <v>-88.3</v>
      </c>
      <c r="B1171" t="n" s="0">
        <f>(-5-((((-5*(-5/((-5/(((-5*(-88.3--5))-(-5+((-5*-88.3)*(((-5--5)+(-88.3--5))+-88.3))))-(-5+-5)))*-5)))/-5)--5)+(-5*(((-88.3*(-88.3-(-5/-5)))*(-88.3-(-88.3/(-5*-88.3))))-(-5/-5)))))</f>
        <v>-3458202.6149999998</v>
      </c>
      <c r="C1171" t="n" s="0">
        <v>-3458202.6149999998</v>
      </c>
    </row>
    <row r="1172">
      <c r="A1172" t="n" s="0">
        <v>-88.29</v>
      </c>
      <c r="B1172" t="n" s="0">
        <f>(-5-((((-5*(-5/((-5/(((-5*(-88.29--5))-(-5+((-5*-88.29)*(((-5--5)+(-88.29--5))+-88.29))))-(-5+-5)))*-5)))/-5)--5)+(-5*(((-88.29*(-88.29-(-5/-5)))*(-88.29-(-88.29/(-5*-88.29))))-(-5/-5)))))</f>
        <v>-3457029.6521449997</v>
      </c>
      <c r="C1172" t="n" s="0">
        <v>-3457029.6521450006</v>
      </c>
    </row>
    <row r="1173">
      <c r="A1173" t="n" s="0">
        <v>-88.28</v>
      </c>
      <c r="B1173" t="n" s="0">
        <f>(-5-((((-5*(-5/((-5/(((-5*(-88.28--5))-(-5+((-5*-88.28)*(((-5--5)+(-88.28--5))+-88.28))))-(-5+-5)))*-5)))/-5)--5)+(-5*(((-88.28*(-88.28-(-5/-5)))*(-88.28-(-88.28/(-5*-88.28))))-(-5/-5)))))</f>
        <v>-3455856.95456</v>
      </c>
      <c r="C1173" t="n" s="0">
        <v>-3455856.95456</v>
      </c>
    </row>
    <row r="1174">
      <c r="A1174" t="n" s="0">
        <v>-88.27</v>
      </c>
      <c r="B1174" t="n" s="0">
        <f>(-5-((((-5*(-5/((-5/(((-5*(-88.27--5))-(-5+((-5*-88.27)*(((-5--5)+(-88.27--5))+-88.27))))-(-5+-5)))*-5)))/-5)--5)+(-5*(((-88.27*(-88.27-(-5/-5)))*(-88.27-(-88.27/(-5*-88.27))))-(-5/-5)))))</f>
        <v>-3454684.522215</v>
      </c>
      <c r="C1174" t="n" s="0">
        <v>-3454684.5222149994</v>
      </c>
    </row>
    <row r="1175">
      <c r="A1175" t="n" s="0">
        <v>-88.26</v>
      </c>
      <c r="B1175" t="n" s="0">
        <f>(-5-((((-5*(-5/((-5/(((-5*(-88.26--5))-(-5+((-5*-88.26)*(((-5--5)+(-88.26--5))+-88.26))))-(-5+-5)))*-5)))/-5)--5)+(-5*(((-88.26*(-88.26-(-5/-5)))*(-88.26-(-88.26/(-5*-88.26))))-(-5/-5)))))</f>
        <v>-3453512.35508</v>
      </c>
      <c r="C1175" t="n" s="0">
        <v>-3453512.3550800006</v>
      </c>
    </row>
    <row r="1176">
      <c r="A1176" t="n" s="0">
        <v>-88.25</v>
      </c>
      <c r="B1176" t="n" s="0">
        <f>(-5-((((-5*(-5/((-5/(((-5*(-88.25--5))-(-5+((-5*-88.25)*(((-5--5)+(-88.25--5))+-88.25))))-(-5+-5)))*-5)))/-5)--5)+(-5*(((-88.25*(-88.25-(-5/-5)))*(-88.25-(-88.25/(-5*-88.25))))-(-5/-5)))))</f>
        <v>-3452340.453125</v>
      </c>
      <c r="C1176" t="n" s="0">
        <v>-3452340.453125</v>
      </c>
    </row>
    <row r="1177">
      <c r="A1177" t="n" s="0">
        <v>-88.24</v>
      </c>
      <c r="B1177" t="n" s="0">
        <f>(-5-((((-5*(-5/((-5/(((-5*(-88.24--5))-(-5+((-5*-88.24)*(((-5--5)+(-88.24--5))+-88.24))))-(-5+-5)))*-5)))/-5)--5)+(-5*(((-88.24*(-88.24-(-5/-5)))*(-88.24-(-88.24/(-5*-88.24))))-(-5/-5)))))</f>
        <v>-3451168.81632</v>
      </c>
      <c r="C1177" t="n" s="0">
        <v>-3451168.8163199993</v>
      </c>
    </row>
    <row r="1178">
      <c r="A1178" t="n" s="0">
        <v>-88.23</v>
      </c>
      <c r="B1178" t="n" s="0">
        <f>(-5-((((-5*(-5/((-5/(((-5*(-88.23--5))-(-5+((-5*-88.23)*(((-5--5)+(-88.23--5))+-88.23))))-(-5+-5)))*-5)))/-5)--5)+(-5*(((-88.23*(-88.23-(-5/-5)))*(-88.23-(-88.23/(-5*-88.23))))-(-5/-5)))))</f>
        <v>-3449997.444635</v>
      </c>
      <c r="C1178" t="n" s="0">
        <v>-3449997.4446350005</v>
      </c>
    </row>
    <row r="1179">
      <c r="A1179" t="n" s="0">
        <v>-88.22</v>
      </c>
      <c r="B1179" t="n" s="0">
        <f>(-5-((((-5*(-5/((-5/(((-5*(-88.22--5))-(-5+((-5*-88.22)*(((-5--5)+(-88.22--5))+-88.22))))-(-5+-5)))*-5)))/-5)--5)+(-5*(((-88.22*(-88.22-(-5/-5)))*(-88.22-(-88.22/(-5*-88.22))))-(-5/-5)))))</f>
        <v>-3448826.33804</v>
      </c>
      <c r="C1179" t="n" s="0">
        <v>-3448826.33804</v>
      </c>
    </row>
    <row r="1180">
      <c r="A1180" t="n" s="0">
        <v>-88.21</v>
      </c>
      <c r="B1180" t="n" s="0">
        <f>(-5-((((-5*(-5/((-5/(((-5*(-88.21--5))-(-5+((-5*-88.21)*(((-5--5)+(-88.21--5))+-88.21))))-(-5+-5)))*-5)))/-5)--5)+(-5*(((-88.21*(-88.21-(-5/-5)))*(-88.21-(-88.21/(-5*-88.21))))-(-5/-5)))))</f>
        <v>-3447655.4965049997</v>
      </c>
      <c r="C1180" t="n" s="0">
        <v>-3447655.496504999</v>
      </c>
    </row>
    <row r="1181">
      <c r="A1181" t="n" s="0">
        <v>-88.2</v>
      </c>
      <c r="B1181" t="n" s="0">
        <f>(-5-((((-5*(-5/((-5/(((-5*(-88.2--5))-(-5+((-5*-88.2)*(((-5--5)+(-88.2--5))+-88.2))))-(-5+-5)))*-5)))/-5)--5)+(-5*(((-88.2*(-88.2-(-5/-5)))*(-88.2-(-88.2/(-5*-88.2))))-(-5/-5)))))</f>
        <v>-3446484.92</v>
      </c>
      <c r="C1181" t="n" s="0">
        <v>-3446484.920000001</v>
      </c>
    </row>
    <row r="1182">
      <c r="A1182" t="n" s="0">
        <v>-88.19</v>
      </c>
      <c r="B1182" t="n" s="0">
        <f>(-5-((((-5*(-5/((-5/(((-5*(-88.19--5))-(-5+((-5*-88.19)*(((-5--5)+(-88.19--5))+-88.19))))-(-5+-5)))*-5)))/-5)--5)+(-5*(((-88.19*(-88.19-(-5/-5)))*(-88.19-(-88.19/(-5*-88.19))))-(-5/-5)))))</f>
        <v>-3445314.6084950003</v>
      </c>
      <c r="C1182" t="n" s="0">
        <v>-3445314.608495</v>
      </c>
    </row>
    <row r="1183">
      <c r="A1183" t="n" s="0">
        <v>-88.18</v>
      </c>
      <c r="B1183" t="n" s="0">
        <f>(-5-((((-5*(-5/((-5/(((-5*(-88.18--5))-(-5+((-5*-88.18)*(((-5--5)+(-88.18--5))+-88.18))))-(-5+-5)))*-5)))/-5)--5)+(-5*(((-88.18*(-88.18-(-5/-5)))*(-88.18-(-88.18/(-5*-88.18))))-(-5/-5)))))</f>
        <v>-3444144.56196</v>
      </c>
      <c r="C1183" t="n" s="0">
        <v>-3444144.561960001</v>
      </c>
    </row>
    <row r="1184">
      <c r="A1184" t="n" s="0">
        <v>-88.17</v>
      </c>
      <c r="B1184" t="n" s="0">
        <f>(-5-((((-5*(-5/((-5/(((-5*(-88.17--5))-(-5+((-5*-88.17)*(((-5--5)+(-88.17--5))+-88.17))))-(-5+-5)))*-5)))/-5)--5)+(-5*(((-88.17*(-88.17-(-5/-5)))*(-88.17-(-88.17/(-5*-88.17))))-(-5/-5)))))</f>
        <v>-3442974.780365</v>
      </c>
      <c r="C1184" t="n" s="0">
        <v>-3442974.780365</v>
      </c>
    </row>
    <row r="1185">
      <c r="A1185" t="n" s="0">
        <v>-88.16</v>
      </c>
      <c r="B1185" t="n" s="0">
        <f>(-5-((((-5*(-5/((-5/(((-5*(-88.16--5))-(-5+((-5*-88.16)*(((-5--5)+(-88.16--5))+-88.16))))-(-5+-5)))*-5)))/-5)--5)+(-5*(((-88.16*(-88.16-(-5/-5)))*(-88.16-(-88.16/(-5*-88.16))))-(-5/-5)))))</f>
        <v>-3441805.2636800003</v>
      </c>
      <c r="C1185" t="n" s="0">
        <v>-3441805.2636799994</v>
      </c>
    </row>
    <row r="1186">
      <c r="A1186" t="n" s="0">
        <v>-88.15</v>
      </c>
      <c r="B1186" t="n" s="0">
        <f>(-5-((((-5*(-5/((-5/(((-5*(-88.15--5))-(-5+((-5*-88.15)*(((-5--5)+(-88.15--5))+-88.15))))-(-5+-5)))*-5)))/-5)--5)+(-5*(((-88.15*(-88.15-(-5/-5)))*(-88.15-(-88.15/(-5*-88.15))))-(-5/-5)))))</f>
        <v>-3440636.011875</v>
      </c>
      <c r="C1186" t="n" s="0">
        <v>-3440636.011875001</v>
      </c>
    </row>
    <row r="1187">
      <c r="A1187" t="n" s="0">
        <v>-88.14</v>
      </c>
      <c r="B1187" t="n" s="0">
        <f>(-5-((((-5*(-5/((-5/(((-5*(-88.14--5))-(-5+((-5*-88.14)*(((-5--5)+(-88.14--5))+-88.14))))-(-5+-5)))*-5)))/-5)--5)+(-5*(((-88.14*(-88.14-(-5/-5)))*(-88.14-(-88.14/(-5*-88.14))))-(-5/-5)))))</f>
        <v>-3439467.0249199998</v>
      </c>
      <c r="C1187" t="n" s="0">
        <v>-3439467.0249199998</v>
      </c>
    </row>
    <row r="1188">
      <c r="A1188" t="n" s="0">
        <v>-88.13</v>
      </c>
      <c r="B1188" t="n" s="0">
        <f>(-5-((((-5*(-5/((-5/(((-5*(-88.13--5))-(-5+((-5*-88.13)*(((-5--5)+(-88.13--5))+-88.13))))-(-5+-5)))*-5)))/-5)--5)+(-5*(((-88.13*(-88.13-(-5/-5)))*(-88.13-(-88.13/(-5*-88.13))))-(-5/-5)))))</f>
        <v>-3438298.302785</v>
      </c>
      <c r="C1188" t="n" s="0">
        <v>-3438298.302785</v>
      </c>
    </row>
    <row r="1189">
      <c r="A1189" t="n" s="0">
        <v>-88.12</v>
      </c>
      <c r="B1189" t="n" s="0">
        <f>(-5-((((-5*(-5/((-5/(((-5*(-88.12--5))-(-5+((-5*-88.12)*(((-5--5)+(-88.12--5))+-88.12))))-(-5+-5)))*-5)))/-5)--5)+(-5*(((-88.12*(-88.12-(-5/-5)))*(-88.12-(-88.12/(-5*-88.12))))-(-5/-5)))))</f>
        <v>-3437129.84544</v>
      </c>
      <c r="C1189" t="n" s="0">
        <v>-3437129.8454400003</v>
      </c>
    </row>
    <row r="1190">
      <c r="A1190" t="n" s="0">
        <v>-88.11</v>
      </c>
      <c r="B1190" t="n" s="0">
        <f>(-5-((((-5*(-5/((-5/(((-5*(-88.11--5))-(-5+((-5*-88.11)*(((-5--5)+(-88.11--5))+-88.11))))-(-5+-5)))*-5)))/-5)--5)+(-5*(((-88.11*(-88.11-(-5/-5)))*(-88.11-(-88.11/(-5*-88.11))))-(-5/-5)))))</f>
        <v>-3435961.652855</v>
      </c>
      <c r="C1190" t="n" s="0">
        <v>-3435961.652855</v>
      </c>
    </row>
    <row r="1191">
      <c r="A1191" t="n" s="0">
        <v>-88.1</v>
      </c>
      <c r="B1191" t="n" s="0">
        <f>(-5-((((-5*(-5/((-5/(((-5*(-88.1--5))-(-5+((-5*-88.1)*(((-5--5)+(-88.1--5))+-88.1))))-(-5+-5)))*-5)))/-5)--5)+(-5*(((-88.1*(-88.1-(-5/-5)))*(-88.1-(-88.1/(-5*-88.1))))-(-5/-5)))))</f>
        <v>-3434793.725</v>
      </c>
      <c r="C1191" t="n" s="0">
        <v>-3434793.7249999996</v>
      </c>
    </row>
    <row r="1192">
      <c r="A1192" t="n" s="0">
        <v>-88.09</v>
      </c>
      <c r="B1192" t="n" s="0">
        <f>(-5-((((-5*(-5/((-5/(((-5*(-88.09--5))-(-5+((-5*-88.09)*(((-5--5)+(-88.09--5))+-88.09))))-(-5+-5)))*-5)))/-5)--5)+(-5*(((-88.09*(-88.09-(-5/-5)))*(-88.09-(-88.09/(-5*-88.09))))-(-5/-5)))))</f>
        <v>-3433626.0618450004</v>
      </c>
      <c r="C1192" t="n" s="0">
        <v>-3433626.0618450004</v>
      </c>
    </row>
    <row r="1193">
      <c r="A1193" t="n" s="0">
        <v>-88.08</v>
      </c>
      <c r="B1193" t="n" s="0">
        <f>(-5-((((-5*(-5/((-5/(((-5*(-88.08--5))-(-5+((-5*-88.08)*(((-5--5)+(-88.08--5))+-88.08))))-(-5+-5)))*-5)))/-5)--5)+(-5*(((-88.08*(-88.08-(-5/-5)))*(-88.08-(-88.08/(-5*-88.08))))-(-5/-5)))))</f>
        <v>-3432458.66336</v>
      </c>
      <c r="C1193" t="n" s="0">
        <v>-3432458.6633599997</v>
      </c>
    </row>
    <row r="1194">
      <c r="A1194" t="n" s="0">
        <v>-88.07</v>
      </c>
      <c r="B1194" t="n" s="0">
        <f>(-5-((((-5*(-5/((-5/(((-5*(-88.07--5))-(-5+((-5*-88.07)*(((-5--5)+(-88.07--5))+-88.07))))-(-5+-5)))*-5)))/-5)--5)+(-5*(((-88.07*(-88.07-(-5/-5)))*(-88.07-(-88.07/(-5*-88.07))))-(-5/-5)))))</f>
        <v>-3431291.529515</v>
      </c>
      <c r="C1194" t="n" s="0">
        <v>-3431291.5295149987</v>
      </c>
    </row>
    <row r="1195">
      <c r="A1195" t="n" s="0">
        <v>-88.06</v>
      </c>
      <c r="B1195" t="n" s="0">
        <f>(-5-((((-5*(-5/((-5/(((-5*(-88.06--5))-(-5+((-5*-88.06)*(((-5--5)+(-88.06--5))+-88.06))))-(-5+-5)))*-5)))/-5)--5)+(-5*(((-88.06*(-88.06-(-5/-5)))*(-88.06-(-88.06/(-5*-88.06))))-(-5/-5)))))</f>
        <v>-3430124.66028</v>
      </c>
      <c r="C1195" t="n" s="0">
        <v>-3430124.6602800004</v>
      </c>
    </row>
    <row r="1196">
      <c r="A1196" t="n" s="0">
        <v>-88.05</v>
      </c>
      <c r="B1196" t="n" s="0">
        <f>(-5-((((-5*(-5/((-5/(((-5*(-88.05--5))-(-5+((-5*-88.05)*(((-5--5)+(-88.05--5))+-88.05))))-(-5+-5)))*-5)))/-5)--5)+(-5*(((-88.05*(-88.05-(-5/-5)))*(-88.05-(-88.05/(-5*-88.05))))-(-5/-5)))))</f>
        <v>-3428958.055625</v>
      </c>
      <c r="C1196" t="n" s="0">
        <v>-3428958.0556249996</v>
      </c>
    </row>
    <row r="1197">
      <c r="A1197" t="n" s="0">
        <v>-88.04</v>
      </c>
      <c r="B1197" t="n" s="0">
        <f>(-5-((((-5*(-5/((-5/(((-5*(-88.04--5))-(-5+((-5*-88.04)*(((-5--5)+(-88.04--5))+-88.04))))-(-5+-5)))*-5)))/-5)--5)+(-5*(((-88.04*(-88.04-(-5/-5)))*(-88.04-(-88.04/(-5*-88.04))))-(-5/-5)))))</f>
        <v>-3427791.71552</v>
      </c>
      <c r="C1197" t="n" s="0">
        <v>-3427791.715520001</v>
      </c>
    </row>
    <row r="1198">
      <c r="A1198" t="n" s="0">
        <v>-88.03</v>
      </c>
      <c r="B1198" t="n" s="0">
        <f>(-5-((((-5*(-5/((-5/(((-5*(-88.03--5))-(-5+((-5*-88.03)*(((-5--5)+(-88.03--5))+-88.03))))-(-5+-5)))*-5)))/-5)--5)+(-5*(((-88.03*(-88.03-(-5/-5)))*(-88.03-(-88.03/(-5*-88.03))))-(-5/-5)))))</f>
        <v>-3426625.639935</v>
      </c>
      <c r="C1198" t="n" s="0">
        <v>-3426625.639935</v>
      </c>
    </row>
    <row r="1199">
      <c r="A1199" t="n" s="0">
        <v>-88.02</v>
      </c>
      <c r="B1199" t="n" s="0">
        <f>(-5-((((-5*(-5/((-5/(((-5*(-88.02--5))-(-5+((-5*-88.02)*(((-5--5)+(-88.02--5))+-88.02))))-(-5+-5)))*-5)))/-5)--5)+(-5*(((-88.02*(-88.02-(-5/-5)))*(-88.02-(-88.02/(-5*-88.02))))-(-5/-5)))))</f>
        <v>-3425459.82884</v>
      </c>
      <c r="C1199" t="n" s="0">
        <v>-3425459.8288399996</v>
      </c>
    </row>
    <row r="1200">
      <c r="A1200" t="n" s="0">
        <v>-88.01</v>
      </c>
      <c r="B1200" t="n" s="0">
        <f>(-5-((((-5*(-5/((-5/(((-5*(-88.01--5))-(-5+((-5*-88.01)*(((-5--5)+(-88.01--5))+-88.01))))-(-5+-5)))*-5)))/-5)--5)+(-5*(((-88.01*(-88.01-(-5/-5)))*(-88.01-(-88.01/(-5*-88.01))))-(-5/-5)))))</f>
        <v>-3424294.282205</v>
      </c>
      <c r="C1200" t="n" s="0">
        <v>-3424294.282205001</v>
      </c>
    </row>
    <row r="1201">
      <c r="A1201" t="n" s="0">
        <v>-88.0</v>
      </c>
      <c r="B1201" t="n" s="0">
        <f>(-5-((((-5*(-5/((-5/(((-5*(-88--5))-(-5+((-5*-88)*(((-5--5)+(-88--5))+-88))))-(-5+-5)))*-5)))/-5)--5)+(-5*(((-88*(-88-(-5/-5)))*(-88-(-88/(-5*-88))))-(-5/-5)))))</f>
        <v>-3423129.0</v>
      </c>
      <c r="C1201" t="n" s="0">
        <v>-3423129.0</v>
      </c>
    </row>
    <row r="1202">
      <c r="A1202" t="n" s="0">
        <v>-87.99</v>
      </c>
      <c r="B1202" t="n" s="0">
        <f>(-5-((((-5*(-5/((-5/(((-5*(-87.99--5))-(-5+((-5*-87.99)*(((-5--5)+(-87.99--5))+-87.99))))-(-5+-5)))*-5)))/-5)--5)+(-5*(((-87.99*(-87.99-(-5/-5)))*(-87.99-(-87.99/(-5*-87.99))))-(-5/-5)))))</f>
        <v>-3421963.9821949997</v>
      </c>
      <c r="C1202" t="n" s="0">
        <v>-3421963.9821949997</v>
      </c>
    </row>
    <row r="1203">
      <c r="A1203" t="n" s="0">
        <v>-87.98</v>
      </c>
      <c r="B1203" t="n" s="0">
        <f>(-5-((((-5*(-5/((-5/(((-5*(-87.98--5))-(-5+((-5*-87.98)*(((-5--5)+(-87.98--5))+-87.98))))-(-5+-5)))*-5)))/-5)--5)+(-5*(((-87.98*(-87.98-(-5/-5)))*(-87.98-(-87.98/(-5*-87.98))))-(-5/-5)))))</f>
        <v>-3420799.22876</v>
      </c>
      <c r="C1203" t="n" s="0">
        <v>-3420799.2287600003</v>
      </c>
    </row>
    <row r="1204">
      <c r="A1204" t="n" s="0">
        <v>-87.97</v>
      </c>
      <c r="B1204" t="n" s="0">
        <f>(-5-((((-5*(-5/((-5/(((-5*(-87.97--5))-(-5+((-5*-87.97)*(((-5--5)+(-87.97--5))+-87.97))))-(-5+-5)))*-5)))/-5)--5)+(-5*(((-87.97*(-87.97-(-5/-5)))*(-87.97-(-87.97/(-5*-87.97))))-(-5/-5)))))</f>
        <v>-3419634.7396650002</v>
      </c>
      <c r="C1204" t="n" s="0">
        <v>-3419634.739665</v>
      </c>
    </row>
    <row r="1205">
      <c r="A1205" t="n" s="0">
        <v>-87.96</v>
      </c>
      <c r="B1205" t="n" s="0">
        <f>(-5-((((-5*(-5/((-5/(((-5*(-87.96--5))-(-5+((-5*-87.96)*(((-5--5)+(-87.96--5))+-87.96))))-(-5+-5)))*-5)))/-5)--5)+(-5*(((-87.96*(-87.96-(-5/-5)))*(-87.96-(-87.96/(-5*-87.96))))-(-5/-5)))))</f>
        <v>-3418470.5148799997</v>
      </c>
      <c r="C1205" t="n" s="0">
        <v>-3418470.514879999</v>
      </c>
    </row>
    <row r="1206">
      <c r="A1206" t="n" s="0">
        <v>-87.95</v>
      </c>
      <c r="B1206" t="n" s="0">
        <f>(-5-((((-5*(-5/((-5/(((-5*(-87.95--5))-(-5+((-5*-87.95)*(((-5--5)+(-87.95--5))+-87.95))))-(-5+-5)))*-5)))/-5)--5)+(-5*(((-87.95*(-87.95-(-5/-5)))*(-87.95-(-87.95/(-5*-87.95))))-(-5/-5)))))</f>
        <v>-3417306.554375</v>
      </c>
      <c r="C1206" t="n" s="0">
        <v>-3417306.5543750003</v>
      </c>
    </row>
    <row r="1207">
      <c r="A1207" t="n" s="0">
        <v>-87.94</v>
      </c>
      <c r="B1207" t="n" s="0">
        <f>(-5-((((-5*(-5/((-5/(((-5*(-87.94--5))-(-5+((-5*-87.94)*(((-5--5)+(-87.94--5))+-87.94))))-(-5+-5)))*-5)))/-5)--5)+(-5*(((-87.94*(-87.94-(-5/-5)))*(-87.94-(-87.94/(-5*-87.94))))-(-5/-5)))))</f>
        <v>-3416142.85812</v>
      </c>
      <c r="C1207" t="n" s="0">
        <v>-3416142.8581199995</v>
      </c>
    </row>
    <row r="1208">
      <c r="A1208" t="n" s="0">
        <v>-87.93</v>
      </c>
      <c r="B1208" t="n" s="0">
        <f>(-5-((((-5*(-5/((-5/(((-5*(-87.93--5))-(-5+((-5*-87.93)*(((-5--5)+(-87.93--5))+-87.93))))-(-5+-5)))*-5)))/-5)--5)+(-5*(((-87.93*(-87.93-(-5/-5)))*(-87.93-(-87.93/(-5*-87.93))))-(-5/-5)))))</f>
        <v>-3414979.4260850004</v>
      </c>
      <c r="C1208" t="n" s="0">
        <v>-3414979.426085001</v>
      </c>
    </row>
    <row r="1209">
      <c r="A1209" t="n" s="0">
        <v>-87.92</v>
      </c>
      <c r="B1209" t="n" s="0">
        <f>(-5-((((-5*(-5/((-5/(((-5*(-87.92--5))-(-5+((-5*-87.92)*(((-5--5)+(-87.92--5))+-87.92))))-(-5+-5)))*-5)))/-5)--5)+(-5*(((-87.92*(-87.92-(-5/-5)))*(-87.92-(-87.92/(-5*-87.92))))-(-5/-5)))))</f>
        <v>-3413816.2582400003</v>
      </c>
      <c r="C1209" t="n" s="0">
        <v>-3413816.25824</v>
      </c>
    </row>
    <row r="1210">
      <c r="A1210" t="n" s="0">
        <v>-87.91</v>
      </c>
      <c r="B1210" t="n" s="0">
        <f>(-5-((((-5*(-5/((-5/(((-5*(-87.91--5))-(-5+((-5*-87.91)*(((-5--5)+(-87.91--5))+-87.91))))-(-5+-5)))*-5)))/-5)--5)+(-5*(((-87.91*(-87.91-(-5/-5)))*(-87.91-(-87.91/(-5*-87.91))))-(-5/-5)))))</f>
        <v>-3412653.354555</v>
      </c>
      <c r="C1210" t="n" s="0">
        <v>-3412653.3545549996</v>
      </c>
    </row>
    <row r="1211">
      <c r="A1211" t="n" s="0">
        <v>-87.9</v>
      </c>
      <c r="B1211" t="n" s="0">
        <f>(-5-((((-5*(-5/((-5/(((-5*(-87.9--5))-(-5+((-5*-87.9)*(((-5--5)+(-87.9--5))+-87.9))))-(-5+-5)))*-5)))/-5)--5)+(-5*(((-87.9*(-87.9-(-5/-5)))*(-87.9-(-87.9/(-5*-87.9))))-(-5/-5)))))</f>
        <v>-3411490.715</v>
      </c>
      <c r="C1211" t="n" s="0">
        <v>-3411490.715000001</v>
      </c>
    </row>
    <row r="1212">
      <c r="A1212" t="n" s="0">
        <v>-87.89</v>
      </c>
      <c r="B1212" t="n" s="0">
        <f>(-5-((((-5*(-5/((-5/(((-5*(-87.89--5))-(-5+((-5*-87.89)*(((-5--5)+(-87.89--5))+-87.89))))-(-5+-5)))*-5)))/-5)--5)+(-5*(((-87.89*(-87.89-(-5/-5)))*(-87.89-(-87.89/(-5*-87.89))))-(-5/-5)))))</f>
        <v>-3410328.339545</v>
      </c>
      <c r="C1212" t="n" s="0">
        <v>-3410328.3395450003</v>
      </c>
    </row>
    <row r="1213">
      <c r="A1213" t="n" s="0">
        <v>-87.88</v>
      </c>
      <c r="B1213" t="n" s="0">
        <f>(-5-((((-5*(-5/((-5/(((-5*(-87.88--5))-(-5+((-5*-87.88)*(((-5--5)+(-87.88--5))+-87.88))))-(-5+-5)))*-5)))/-5)--5)+(-5*(((-87.88*(-87.88-(-5/-5)))*(-87.88-(-87.88/(-5*-87.88))))-(-5/-5)))))</f>
        <v>-3409166.22816</v>
      </c>
      <c r="C1213" t="n" s="0">
        <v>-3409166.22816</v>
      </c>
    </row>
    <row r="1214">
      <c r="A1214" t="n" s="0">
        <v>-87.87</v>
      </c>
      <c r="B1214" t="n" s="0">
        <f>(-5-((((-5*(-5/((-5/(((-5*(-87.87--5))-(-5+((-5*-87.87)*(((-5--5)+(-87.87--5))+-87.87))))-(-5+-5)))*-5)))/-5)--5)+(-5*(((-87.87*(-87.87-(-5/-5)))*(-87.87-(-87.87/(-5*-87.87))))-(-5/-5)))))</f>
        <v>-3408004.380815</v>
      </c>
      <c r="C1214" t="n" s="0">
        <v>-3408004.3808150007</v>
      </c>
    </row>
    <row r="1215">
      <c r="A1215" t="n" s="0">
        <v>-87.86</v>
      </c>
      <c r="B1215" t="n" s="0">
        <f>(-5-((((-5*(-5/((-5/(((-5*(-87.86--5))-(-5+((-5*-87.86)*(((-5--5)+(-87.86--5))+-87.86))))-(-5+-5)))*-5)))/-5)--5)+(-5*(((-87.86*(-87.86-(-5/-5)))*(-87.86-(-87.86/(-5*-87.86))))-(-5/-5)))))</f>
        <v>-3406842.79748</v>
      </c>
      <c r="C1215" t="n" s="0">
        <v>-3406842.79748</v>
      </c>
    </row>
    <row r="1216">
      <c r="A1216" t="n" s="0">
        <v>-87.85</v>
      </c>
      <c r="B1216" t="n" s="0">
        <f>(-5-((((-5*(-5/((-5/(((-5*(-87.85--5))-(-5+((-5*-87.85)*(((-5--5)+(-87.85--5))+-87.85))))-(-5+-5)))*-5)))/-5)--5)+(-5*(((-87.85*(-87.85-(-5/-5)))*(-87.85-(-87.85/(-5*-87.85))))-(-5/-5)))))</f>
        <v>-3405681.478125</v>
      </c>
      <c r="C1216" t="n" s="0">
        <v>-3405681.4781249994</v>
      </c>
    </row>
    <row r="1217">
      <c r="A1217" t="n" s="0">
        <v>-87.84</v>
      </c>
      <c r="B1217" t="n" s="0">
        <f>(-5-((((-5*(-5/((-5/(((-5*(-87.84--5))-(-5+((-5*-87.84)*(((-5--5)+(-87.84--5))+-87.84))))-(-5+-5)))*-5)))/-5)--5)+(-5*(((-87.84*(-87.84-(-5/-5)))*(-87.84-(-87.84/(-5*-87.84))))-(-5/-5)))))</f>
        <v>-3404520.42272</v>
      </c>
      <c r="C1217" t="n" s="0">
        <v>-3404520.42272</v>
      </c>
    </row>
    <row r="1218">
      <c r="A1218" t="n" s="0">
        <v>-87.83</v>
      </c>
      <c r="B1218" t="n" s="0">
        <f>(-5-((((-5*(-5/((-5/(((-5*(-87.83--5))-(-5+((-5*-87.83)*(((-5--5)+(-87.83--5))+-87.83))))-(-5+-5)))*-5)))/-5)--5)+(-5*(((-87.83*(-87.83-(-5/-5)))*(-87.83-(-87.83/(-5*-87.83))))-(-5/-5)))))</f>
        <v>-3403359.631235</v>
      </c>
      <c r="C1218" t="n" s="0">
        <v>-3403359.631235</v>
      </c>
    </row>
    <row r="1219">
      <c r="A1219" t="n" s="0">
        <v>-87.82</v>
      </c>
      <c r="B1219" t="n" s="0">
        <f>(-5-((((-5*(-5/((-5/(((-5*(-87.82--5))-(-5+((-5*-87.82)*(((-5--5)+(-87.82--5))+-87.82))))-(-5+-5)))*-5)))/-5)--5)+(-5*(((-87.82*(-87.82-(-5/-5)))*(-87.82-(-87.82/(-5*-87.82))))-(-5/-5)))))</f>
        <v>-3402199.10364</v>
      </c>
      <c r="C1219" t="n" s="0">
        <v>-3402199.103639999</v>
      </c>
    </row>
    <row r="1220">
      <c r="A1220" t="n" s="0">
        <v>-87.81</v>
      </c>
      <c r="B1220" t="n" s="0">
        <f>(-5-((((-5*(-5/((-5/(((-5*(-87.81--5))-(-5+((-5*-87.81)*(((-5--5)+(-87.81--5))+-87.81))))-(-5+-5)))*-5)))/-5)--5)+(-5*(((-87.81*(-87.81-(-5/-5)))*(-87.81-(-87.81/(-5*-87.81))))-(-5/-5)))))</f>
        <v>-3401038.839905</v>
      </c>
      <c r="C1220" t="n" s="0">
        <v>-3401038.8399050003</v>
      </c>
    </row>
    <row r="1221">
      <c r="A1221" t="n" s="0">
        <v>-87.8</v>
      </c>
      <c r="B1221" t="n" s="0">
        <f>(-5-((((-5*(-5/((-5/(((-5*(-87.8--5))-(-5+((-5*-87.8)*(((-5--5)+(-87.8--5))+-87.8))))-(-5+-5)))*-5)))/-5)--5)+(-5*(((-87.8*(-87.8-(-5/-5)))*(-87.8-(-87.8/(-5*-87.8))))-(-5/-5)))))</f>
        <v>-3399878.84</v>
      </c>
      <c r="C1221" t="n" s="0">
        <v>-3399878.8399999994</v>
      </c>
    </row>
    <row r="1222">
      <c r="A1222" t="n" s="0">
        <v>-87.79</v>
      </c>
      <c r="B1222" t="n" s="0">
        <f>(-5-((((-5*(-5/((-5/(((-5*(-87.79--5))-(-5+((-5*-87.79)*(((-5--5)+(-87.79--5))+-87.79))))-(-5+-5)))*-5)))/-5)--5)+(-5*(((-87.79*(-87.79-(-5/-5)))*(-87.79-(-87.79/(-5*-87.79))))-(-5/-5)))))</f>
        <v>-3398719.103895</v>
      </c>
      <c r="C1222" t="n" s="0">
        <v>-3398719.103895001</v>
      </c>
    </row>
    <row r="1223">
      <c r="A1223" t="n" s="0">
        <v>-87.78</v>
      </c>
      <c r="B1223" t="n" s="0">
        <f>(-5-((((-5*(-5/((-5/(((-5*(-87.78--5))-(-5+((-5*-87.78)*(((-5--5)+(-87.78--5))+-87.78))))-(-5+-5)))*-5)))/-5)--5)+(-5*(((-87.78*(-87.78-(-5/-5)))*(-87.78-(-87.78/(-5*-87.78))))-(-5/-5)))))</f>
        <v>-3397559.63156</v>
      </c>
      <c r="C1223" t="n" s="0">
        <v>-3397559.63156</v>
      </c>
    </row>
    <row r="1224">
      <c r="A1224" t="n" s="0">
        <v>-87.77</v>
      </c>
      <c r="B1224" t="n" s="0">
        <f>(-5-((((-5*(-5/((-5/(((-5*(-87.77--5))-(-5+((-5*-87.77)*(((-5--5)+(-87.77--5))+-87.77))))-(-5+-5)))*-5)))/-5)--5)+(-5*(((-87.77*(-87.77-(-5/-5)))*(-87.77-(-87.77/(-5*-87.77))))-(-5/-5)))))</f>
        <v>-3396400.422965</v>
      </c>
      <c r="C1224" t="n" s="0">
        <v>-3396400.422965</v>
      </c>
    </row>
    <row r="1225">
      <c r="A1225" t="n" s="0">
        <v>-87.76</v>
      </c>
      <c r="B1225" t="n" s="0">
        <f>(-5-((((-5*(-5/((-5/(((-5*(-87.76--5))-(-5+((-5*-87.76)*(((-5--5)+(-87.76--5))+-87.76))))-(-5+-5)))*-5)))/-5)--5)+(-5*(((-87.76*(-87.76-(-5/-5)))*(-87.76-(-87.76/(-5*-87.76))))-(-5/-5)))))</f>
        <v>-3395241.4780800003</v>
      </c>
      <c r="C1225" t="n" s="0">
        <v>-3395241.47808</v>
      </c>
    </row>
    <row r="1226">
      <c r="A1226" t="n" s="0">
        <v>-87.75</v>
      </c>
      <c r="B1226" t="n" s="0">
        <f>(-5-((((-5*(-5/((-5/(((-5*(-87.75--5))-(-5+((-5*-87.75)*(((-5--5)+(-87.75--5))+-87.75))))-(-5+-5)))*-5)))/-5)--5)+(-5*(((-87.75*(-87.75-(-5/-5)))*(-87.75-(-87.75/(-5*-87.75))))-(-5/-5)))))</f>
        <v>-3394082.796875</v>
      </c>
      <c r="C1226" t="n" s="0">
        <v>-3394082.796875</v>
      </c>
    </row>
    <row r="1227">
      <c r="A1227" t="n" s="0">
        <v>-87.74</v>
      </c>
      <c r="B1227" t="n" s="0">
        <f>(-5-((((-5*(-5/((-5/(((-5*(-87.74--5))-(-5+((-5*-87.74)*(((-5--5)+(-87.74--5))+-87.74))))-(-5+-5)))*-5)))/-5)--5)+(-5*(((-87.74*(-87.74-(-5/-5)))*(-87.74-(-87.74/(-5*-87.74))))-(-5/-5)))))</f>
        <v>-3392924.3793200003</v>
      </c>
      <c r="C1227" t="n" s="0">
        <v>-3392924.37932</v>
      </c>
    </row>
    <row r="1228">
      <c r="A1228" t="n" s="0">
        <v>-87.73</v>
      </c>
      <c r="B1228" t="n" s="0">
        <f>(-5-((((-5*(-5/((-5/(((-5*(-87.73--5))-(-5+((-5*-87.73)*(((-5--5)+(-87.73--5))+-87.73))))-(-5+-5)))*-5)))/-5)--5)+(-5*(((-87.73*(-87.73-(-5/-5)))*(-87.73-(-87.73/(-5*-87.73))))-(-5/-5)))))</f>
        <v>-3391766.225385</v>
      </c>
      <c r="C1228" t="n" s="0">
        <v>-3391766.2253850005</v>
      </c>
    </row>
    <row r="1229">
      <c r="A1229" t="n" s="0">
        <v>-87.72</v>
      </c>
      <c r="B1229" t="n" s="0">
        <f>(-5-((((-5*(-5/((-5/(((-5*(-87.72--5))-(-5+((-5*-87.72)*(((-5--5)+(-87.72--5))+-87.72))))-(-5+-5)))*-5)))/-5)--5)+(-5*(((-87.72*(-87.72-(-5/-5)))*(-87.72-(-87.72/(-5*-87.72))))-(-5/-5)))))</f>
        <v>-3390608.33504</v>
      </c>
      <c r="C1229" t="n" s="0">
        <v>-3390608.3350400003</v>
      </c>
    </row>
    <row r="1230">
      <c r="A1230" t="n" s="0">
        <v>-87.71</v>
      </c>
      <c r="B1230" t="n" s="0">
        <f>(-5-((((-5*(-5/((-5/(((-5*(-87.71--5))-(-5+((-5*-87.71)*(((-5--5)+(-87.71--5))+-87.71))))-(-5+-5)))*-5)))/-5)--5)+(-5*(((-87.71*(-87.71-(-5/-5)))*(-87.71-(-87.71/(-5*-87.71))))-(-5/-5)))))</f>
        <v>-3389450.7082550004</v>
      </c>
      <c r="C1230" t="n" s="0">
        <v>-3389450.7082549995</v>
      </c>
    </row>
    <row r="1231">
      <c r="A1231" t="n" s="0">
        <v>-87.7</v>
      </c>
      <c r="B1231" t="n" s="0">
        <f>(-5-((((-5*(-5/((-5/(((-5*(-87.7--5))-(-5+((-5*-87.7)*(((-5--5)+(-87.7--5))+-87.7))))-(-5+-5)))*-5)))/-5)--5)+(-5*(((-87.7*(-87.7-(-5/-5)))*(-87.7-(-87.7/(-5*-87.7))))-(-5/-5)))))</f>
        <v>-3388293.345</v>
      </c>
      <c r="C1231" t="n" s="0">
        <v>-3388293.345</v>
      </c>
    </row>
    <row r="1232">
      <c r="A1232" t="n" s="0">
        <v>-87.69</v>
      </c>
      <c r="B1232" t="n" s="0">
        <f>(-5-((((-5*(-5/((-5/(((-5*(-87.69--5))-(-5+((-5*-87.69)*(((-5--5)+(-87.69--5))+-87.69))))-(-5+-5)))*-5)))/-5)--5)+(-5*(((-87.69*(-87.69-(-5/-5)))*(-87.69-(-87.69/(-5*-87.69))))-(-5/-5)))))</f>
        <v>-3387136.245245</v>
      </c>
      <c r="C1232" t="n" s="0">
        <v>-3387136.2452449994</v>
      </c>
    </row>
    <row r="1233">
      <c r="A1233" t="n" s="0">
        <v>-87.68</v>
      </c>
      <c r="B1233" t="n" s="0">
        <f>(-5-((((-5*(-5/((-5/(((-5*(-87.68--5))-(-5+((-5*-87.68)*(((-5--5)+(-87.68--5))+-87.68))))-(-5+-5)))*-5)))/-5)--5)+(-5*(((-87.68*(-87.68-(-5/-5)))*(-87.68-(-87.68/(-5*-87.68))))-(-5/-5)))))</f>
        <v>-3385979.40896</v>
      </c>
      <c r="C1233" t="n" s="0">
        <v>-3385979.4089600006</v>
      </c>
    </row>
    <row r="1234">
      <c r="A1234" t="n" s="0">
        <v>-87.67</v>
      </c>
      <c r="B1234" t="n" s="0">
        <f>(-5-((((-5*(-5/((-5/(((-5*(-87.67--5))-(-5+((-5*-87.67)*(((-5--5)+(-87.67--5))+-87.67))))-(-5+-5)))*-5)))/-5)--5)+(-5*(((-87.67*(-87.67-(-5/-5)))*(-87.67-(-87.67/(-5*-87.67))))-(-5/-5)))))</f>
        <v>-3384822.8361150003</v>
      </c>
      <c r="C1234" t="n" s="0">
        <v>-3384822.8361150003</v>
      </c>
    </row>
    <row r="1235">
      <c r="A1235" t="n" s="0">
        <v>-87.66</v>
      </c>
      <c r="B1235" t="n" s="0">
        <f>(-5-((((-5*(-5/((-5/(((-5*(-87.66--5))-(-5+((-5*-87.66)*(((-5--5)+(-87.66--5))+-87.66))))-(-5+-5)))*-5)))/-5)--5)+(-5*(((-87.66*(-87.66-(-5/-5)))*(-87.66-(-87.66/(-5*-87.66))))-(-5/-5)))))</f>
        <v>-3383666.52668</v>
      </c>
      <c r="C1235" t="n" s="0">
        <v>-3383666.52668</v>
      </c>
    </row>
    <row r="1236">
      <c r="A1236" t="n" s="0">
        <v>-87.65</v>
      </c>
      <c r="B1236" t="n" s="0">
        <f>(-5-((((-5*(-5/((-5/(((-5*(-87.65--5))-(-5+((-5*-87.65)*(((-5--5)+(-87.65--5))+-87.65))))-(-5+-5)))*-5)))/-5)--5)+(-5*(((-87.65*(-87.65-(-5/-5)))*(-87.65-(-87.65/(-5*-87.65))))-(-5/-5)))))</f>
        <v>-3382510.4806250003</v>
      </c>
      <c r="C1236" t="n" s="0">
        <v>-3382510.480625001</v>
      </c>
    </row>
    <row r="1237">
      <c r="A1237" t="n" s="0">
        <v>-87.64</v>
      </c>
      <c r="B1237" t="n" s="0">
        <f>(-5-((((-5*(-5/((-5/(((-5*(-87.64--5))-(-5+((-5*-87.64)*(((-5--5)+(-87.64--5))+-87.64))))-(-5+-5)))*-5)))/-5)--5)+(-5*(((-87.64*(-87.64-(-5/-5)))*(-87.64-(-87.64/(-5*-87.64))))-(-5/-5)))))</f>
        <v>-3381354.69792</v>
      </c>
      <c r="C1237" t="n" s="0">
        <v>-3381354.6979199997</v>
      </c>
    </row>
    <row r="1238">
      <c r="A1238" t="n" s="0">
        <v>-87.63</v>
      </c>
      <c r="B1238" t="n" s="0">
        <f>(-5-((((-5*(-5/((-5/(((-5*(-87.63--5))-(-5+((-5*-87.63)*(((-5--5)+(-87.63--5))+-87.63))))-(-5+-5)))*-5)))/-5)--5)+(-5*(((-87.63*(-87.63-(-5/-5)))*(-87.63-(-87.63/(-5*-87.63))))-(-5/-5)))))</f>
        <v>-3380199.178535</v>
      </c>
      <c r="C1238" t="n" s="0">
        <v>-3380199.1785349995</v>
      </c>
    </row>
    <row r="1239">
      <c r="A1239" t="n" s="0">
        <v>-87.62</v>
      </c>
      <c r="B1239" t="n" s="0">
        <f>(-5-((((-5*(-5/((-5/(((-5*(-87.62--5))-(-5+((-5*-87.62)*(((-5--5)+(-87.62--5))+-87.62))))-(-5+-5)))*-5)))/-5)--5)+(-5*(((-87.62*(-87.62-(-5/-5)))*(-87.62-(-87.62/(-5*-87.62))))-(-5/-5)))))</f>
        <v>-3379043.92244</v>
      </c>
      <c r="C1239" t="n" s="0">
        <v>-3379043.922440001</v>
      </c>
    </row>
    <row r="1240">
      <c r="A1240" t="n" s="0">
        <v>-87.61</v>
      </c>
      <c r="B1240" t="n" s="0">
        <f>(-5-((((-5*(-5/((-5/(((-5*(-87.61--5))-(-5+((-5*-87.61)*(((-5--5)+(-87.61--5))+-87.61))))-(-5+-5)))*-5)))/-5)--5)+(-5*(((-87.61*(-87.61-(-5/-5)))*(-87.61-(-87.61/(-5*-87.61))))-(-5/-5)))))</f>
        <v>-3377888.929605</v>
      </c>
      <c r="C1240" t="n" s="0">
        <v>-3377888.929605</v>
      </c>
    </row>
    <row r="1241">
      <c r="A1241" t="n" s="0">
        <v>-87.6</v>
      </c>
      <c r="B1241" t="n" s="0">
        <f>(-5-((((-5*(-5/((-5/(((-5*(-87.6--5))-(-5+((-5*-87.6)*(((-5--5)+(-87.6--5))+-87.6))))-(-5+-5)))*-5)))/-5)--5)+(-5*(((-87.6*(-87.6-(-5/-5)))*(-87.6-(-87.6/(-5*-87.6))))-(-5/-5)))))</f>
        <v>-3376734.1999999997</v>
      </c>
      <c r="C1241" t="n" s="0">
        <v>-3376734.199999999</v>
      </c>
    </row>
    <row r="1242">
      <c r="A1242" t="n" s="0">
        <v>-87.59</v>
      </c>
      <c r="B1242" t="n" s="0">
        <f>(-5-((((-5*(-5/((-5/(((-5*(-87.59--5))-(-5+((-5*-87.59)*(((-5--5)+(-87.59--5))+-87.59))))-(-5+-5)))*-5)))/-5)--5)+(-5*(((-87.59*(-87.59-(-5/-5)))*(-87.59-(-87.59/(-5*-87.59))))-(-5/-5)))))</f>
        <v>-3375579.733595</v>
      </c>
      <c r="C1242" t="n" s="0">
        <v>-3375579.733595</v>
      </c>
    </row>
    <row r="1243">
      <c r="A1243" t="n" s="0">
        <v>-87.58</v>
      </c>
      <c r="B1243" t="n" s="0">
        <f>(-5-((((-5*(-5/((-5/(((-5*(-87.58--5))-(-5+((-5*-87.58)*(((-5--5)+(-87.58--5))+-87.58))))-(-5+-5)))*-5)))/-5)--5)+(-5*(((-87.58*(-87.58-(-5/-5)))*(-87.58-(-87.58/(-5*-87.58))))-(-5/-5)))))</f>
        <v>-3374425.53036</v>
      </c>
      <c r="C1243" t="n" s="0">
        <v>-3374425.53036</v>
      </c>
    </row>
    <row r="1244">
      <c r="A1244" t="n" s="0">
        <v>-87.57</v>
      </c>
      <c r="B1244" t="n" s="0">
        <f>(-5-((((-5*(-5/((-5/(((-5*(-87.57--5))-(-5+((-5*-87.57)*(((-5--5)+(-87.57--5))+-87.57))))-(-5+-5)))*-5)))/-5)--5)+(-5*(((-87.57*(-87.57-(-5/-5)))*(-87.57-(-87.57/(-5*-87.57))))-(-5/-5)))))</f>
        <v>-3373271.5902650002</v>
      </c>
      <c r="C1244" t="n" s="0">
        <v>-3373271.5902649993</v>
      </c>
    </row>
    <row r="1245">
      <c r="A1245" t="n" s="0">
        <v>-87.56</v>
      </c>
      <c r="B1245" t="n" s="0">
        <f>(-5-((((-5*(-5/((-5/(((-5*(-87.56--5))-(-5+((-5*-87.56)*(((-5--5)+(-87.56--5))+-87.56))))-(-5+-5)))*-5)))/-5)--5)+(-5*(((-87.56*(-87.56-(-5/-5)))*(-87.56-(-87.56/(-5*-87.56))))-(-5/-5)))))</f>
        <v>-3372117.91328</v>
      </c>
      <c r="C1245" t="n" s="0">
        <v>-3372117.9132800004</v>
      </c>
    </row>
    <row r="1246">
      <c r="A1246" t="n" s="0">
        <v>-87.55</v>
      </c>
      <c r="B1246" t="n" s="0">
        <f>(-5-((((-5*(-5/((-5/(((-5*(-87.55--5))-(-5+((-5*-87.55)*(((-5--5)+(-87.55--5))+-87.55))))-(-5+-5)))*-5)))/-5)--5)+(-5*(((-87.55*(-87.55-(-5/-5)))*(-87.55-(-87.55/(-5*-87.55))))-(-5/-5)))))</f>
        <v>-3370964.4993749997</v>
      </c>
      <c r="C1246" t="n" s="0">
        <v>-3370964.499374999</v>
      </c>
    </row>
    <row r="1247">
      <c r="A1247" t="n" s="0">
        <v>-87.54</v>
      </c>
      <c r="B1247" t="n" s="0">
        <f>(-5-((((-5*(-5/((-5/(((-5*(-87.54--5))-(-5+((-5*-87.54)*(((-5--5)+(-87.54--5))+-87.54))))-(-5+-5)))*-5)))/-5)--5)+(-5*(((-87.54*(-87.54-(-5/-5)))*(-87.54-(-87.54/(-5*-87.54))))-(-5/-5)))))</f>
        <v>-3369811.34852</v>
      </c>
      <c r="C1247" t="n" s="0">
        <v>-3369811.3485200014</v>
      </c>
    </row>
    <row r="1248">
      <c r="A1248" t="n" s="0">
        <v>-87.53</v>
      </c>
      <c r="B1248" t="n" s="0">
        <f>(-5-((((-5*(-5/((-5/(((-5*(-87.53--5))-(-5+((-5*-87.53)*(((-5--5)+(-87.53--5))+-87.53))))-(-5+-5)))*-5)))/-5)--5)+(-5*(((-87.53*(-87.53-(-5/-5)))*(-87.53-(-87.53/(-5*-87.53))))-(-5/-5)))))</f>
        <v>-3368658.460685</v>
      </c>
      <c r="C1248" t="n" s="0">
        <v>-3368658.4606850003</v>
      </c>
    </row>
    <row r="1249">
      <c r="A1249" t="n" s="0">
        <v>-87.52</v>
      </c>
      <c r="B1249" t="n" s="0">
        <f>(-5-((((-5*(-5/((-5/(((-5*(-87.52--5))-(-5+((-5*-87.52)*(((-5--5)+(-87.52--5))+-87.52))))-(-5+-5)))*-5)))/-5)--5)+(-5*(((-87.52*(-87.52-(-5/-5)))*(-87.52-(-87.52/(-5*-87.52))))-(-5/-5)))))</f>
        <v>-3367505.83584</v>
      </c>
      <c r="C1249" t="n" s="0">
        <v>-3367505.83584</v>
      </c>
    </row>
    <row r="1250">
      <c r="A1250" t="n" s="0">
        <v>-87.51</v>
      </c>
      <c r="B1250" t="n" s="0">
        <f>(-5-((((-5*(-5/((-5/(((-5*(-87.51--5))-(-5+((-5*-87.51)*(((-5--5)+(-87.51--5))+-87.51))))-(-5+-5)))*-5)))/-5)--5)+(-5*(((-87.51*(-87.51-(-5/-5)))*(-87.51-(-87.51/(-5*-87.51))))-(-5/-5)))))</f>
        <v>-3366353.473955</v>
      </c>
      <c r="C1250" t="n" s="0">
        <v>-3366353.4739550008</v>
      </c>
    </row>
    <row r="1251">
      <c r="A1251" t="n" s="0">
        <v>-87.5</v>
      </c>
      <c r="B1251" t="n" s="0">
        <f>(-5-((((-5*(-5/((-5/(((-5*(-87.5--5))-(-5+((-5*-87.5)*(((-5--5)+(-87.5--5))+-87.5))))-(-5+-5)))*-5)))/-5)--5)+(-5*(((-87.5*(-87.5-(-5/-5)))*(-87.5-(-87.5/(-5*-87.5))))-(-5/-5)))))</f>
        <v>-3365201.375</v>
      </c>
      <c r="C1251" t="n" s="0">
        <v>-3365201.375</v>
      </c>
    </row>
    <row r="1252">
      <c r="A1252" t="n" s="0">
        <v>-87.49</v>
      </c>
      <c r="B1252" t="n" s="0">
        <f>(-5-((((-5*(-5/((-5/(((-5*(-87.49--5))-(-5+((-5*-87.49)*(((-5--5)+(-87.49--5))+-87.49))))-(-5+-5)))*-5)))/-5)--5)+(-5*(((-87.49*(-87.49-(-5/-5)))*(-87.49-(-87.49/(-5*-87.49))))-(-5/-5)))))</f>
        <v>-3364049.5389449997</v>
      </c>
      <c r="C1252" t="n" s="0">
        <v>-3364049.5389449997</v>
      </c>
    </row>
    <row r="1253">
      <c r="A1253" t="n" s="0">
        <v>-87.48</v>
      </c>
      <c r="B1253" t="n" s="0">
        <f>(-5-((((-5*(-5/((-5/(((-5*(-87.48--5))-(-5+((-5*-87.48)*(((-5--5)+(-87.48--5))+-87.48))))-(-5+-5)))*-5)))/-5)--5)+(-5*(((-87.48*(-87.48-(-5/-5)))*(-87.48-(-87.48/(-5*-87.48))))-(-5/-5)))))</f>
        <v>-3362897.96576</v>
      </c>
      <c r="C1253" t="n" s="0">
        <v>-3362897.96576</v>
      </c>
    </row>
    <row r="1254">
      <c r="A1254" t="n" s="0">
        <v>-87.47</v>
      </c>
      <c r="B1254" t="n" s="0">
        <f>(-5-((((-5*(-5/((-5/(((-5*(-87.47--5))-(-5+((-5*-87.47)*(((-5--5)+(-87.47--5))+-87.47))))-(-5+-5)))*-5)))/-5)--5)+(-5*(((-87.47*(-87.47-(-5/-5)))*(-87.47-(-87.47/(-5*-87.47))))-(-5/-5)))))</f>
        <v>-3361746.655415</v>
      </c>
      <c r="C1254" t="n" s="0">
        <v>-3361746.6554150004</v>
      </c>
    </row>
    <row r="1255">
      <c r="A1255" t="n" s="0">
        <v>-87.46</v>
      </c>
      <c r="B1255" t="n" s="0">
        <f>(-5-((((-5*(-5/((-5/(((-5*(-87.46--5))-(-5+((-5*-87.46)*(((-5--5)+(-87.46--5))+-87.46))))-(-5+-5)))*-5)))/-5)--5)+(-5*(((-87.46*(-87.46-(-5/-5)))*(-87.46-(-87.46/(-5*-87.46))))-(-5/-5)))))</f>
        <v>-3360595.60788</v>
      </c>
      <c r="C1255" t="n" s="0">
        <v>-3360595.6078799996</v>
      </c>
    </row>
    <row r="1256">
      <c r="A1256" t="n" s="0">
        <v>-87.45</v>
      </c>
      <c r="B1256" t="n" s="0">
        <f>(-5-((((-5*(-5/((-5/(((-5*(-87.45--5))-(-5+((-5*-87.45)*(((-5--5)+(-87.45--5))+-87.45))))-(-5+-5)))*-5)))/-5)--5)+(-5*(((-87.45*(-87.45-(-5/-5)))*(-87.45-(-87.45/(-5*-87.45))))-(-5/-5)))))</f>
        <v>-3359444.823125</v>
      </c>
      <c r="C1256" t="n" s="0">
        <v>-3359444.8231250006</v>
      </c>
    </row>
    <row r="1257">
      <c r="A1257" t="n" s="0">
        <v>-87.44</v>
      </c>
      <c r="B1257" t="n" s="0">
        <f>(-5-((((-5*(-5/((-5/(((-5*(-87.44--5))-(-5+((-5*-87.44)*(((-5--5)+(-87.44--5))+-87.44))))-(-5+-5)))*-5)))/-5)--5)+(-5*(((-87.44*(-87.44-(-5/-5)))*(-87.44-(-87.44/(-5*-87.44))))-(-5/-5)))))</f>
        <v>-3358294.30112</v>
      </c>
      <c r="C1257" t="n" s="0">
        <v>-3358294.3011199995</v>
      </c>
    </row>
    <row r="1258">
      <c r="A1258" t="n" s="0">
        <v>-87.43</v>
      </c>
      <c r="B1258" t="n" s="0">
        <f>(-5-((((-5*(-5/((-5/(((-5*(-87.43--5))-(-5+((-5*-87.43)*(((-5--5)+(-87.43--5))+-87.43))))-(-5+-5)))*-5)))/-5)--5)+(-5*(((-87.43*(-87.43-(-5/-5)))*(-87.43-(-87.43/(-5*-87.43))))-(-5/-5)))))</f>
        <v>-3357144.0418350003</v>
      </c>
      <c r="C1258" t="n" s="0">
        <v>-3357144.041835001</v>
      </c>
    </row>
    <row r="1259">
      <c r="A1259" t="n" s="0">
        <v>-87.42</v>
      </c>
      <c r="B1259" t="n" s="0">
        <f>(-5-((((-5*(-5/((-5/(((-5*(-87.42--5))-(-5+((-5*-87.42)*(((-5--5)+(-87.42--5))+-87.42))))-(-5+-5)))*-5)))/-5)--5)+(-5*(((-87.42*(-87.42-(-5/-5)))*(-87.42-(-87.42/(-5*-87.42))))-(-5/-5)))))</f>
        <v>-3355994.04524</v>
      </c>
      <c r="C1259" t="n" s="0">
        <v>-3355994.04524</v>
      </c>
    </row>
    <row r="1260">
      <c r="A1260" t="n" s="0">
        <v>-87.41</v>
      </c>
      <c r="B1260" t="n" s="0">
        <f>(-5-((((-5*(-5/((-5/(((-5*(-87.41--5))-(-5+((-5*-87.41)*(((-5--5)+(-87.41--5))+-87.41))))-(-5+-5)))*-5)))/-5)--5)+(-5*(((-87.41*(-87.41-(-5/-5)))*(-87.41-(-87.41/(-5*-87.41))))-(-5/-5)))))</f>
        <v>-3354844.311305</v>
      </c>
      <c r="C1260" t="n" s="0">
        <v>-3354844.3113049995</v>
      </c>
    </row>
    <row r="1261">
      <c r="A1261" t="n" s="0">
        <v>-87.4</v>
      </c>
      <c r="B1261" t="n" s="0">
        <f>(-5-((((-5*(-5/((-5/(((-5*(-87.4--5))-(-5+((-5*-87.4)*(((-5--5)+(-87.4--5))+-87.4))))-(-5+-5)))*-5)))/-5)--5)+(-5*(((-87.4*(-87.4-(-5/-5)))*(-87.4-(-87.4/(-5*-87.4))))-(-5/-5)))))</f>
        <v>-3353694.84</v>
      </c>
      <c r="C1261" t="n" s="0">
        <v>-3353694.8400000012</v>
      </c>
    </row>
    <row r="1262">
      <c r="A1262" t="n" s="0">
        <v>-87.39</v>
      </c>
      <c r="B1262" t="n" s="0">
        <f>(-5-((((-5*(-5/((-5/(((-5*(-87.39--5))-(-5+((-5*-87.39)*(((-5--5)+(-87.39--5))+-87.39))))-(-5+-5)))*-5)))/-5)--5)+(-5*(((-87.39*(-87.39-(-5/-5)))*(-87.39-(-87.39/(-5*-87.39))))-(-5/-5)))))</f>
        <v>-3352545.631295</v>
      </c>
      <c r="C1262" t="n" s="0">
        <v>-3352545.6312949997</v>
      </c>
    </row>
    <row r="1263">
      <c r="A1263" t="n" s="0">
        <v>-87.38</v>
      </c>
      <c r="B1263" t="n" s="0">
        <f>(-5-((((-5*(-5/((-5/(((-5*(-87.38--5))-(-5+((-5*-87.38)*(((-5--5)+(-87.38--5))+-87.38))))-(-5+-5)))*-5)))/-5)--5)+(-5*(((-87.38*(-87.38-(-5/-5)))*(-87.38-(-87.38/(-5*-87.38))))-(-5/-5)))))</f>
        <v>-3351396.68516</v>
      </c>
      <c r="C1263" t="n" s="0">
        <v>-3351396.68516</v>
      </c>
    </row>
    <row r="1264">
      <c r="A1264" t="n" s="0">
        <v>-87.37</v>
      </c>
      <c r="B1264" t="n" s="0">
        <f>(-5-((((-5*(-5/((-5/(((-5*(-87.37--5))-(-5+((-5*-87.37)*(((-5--5)+(-87.37--5))+-87.37))))-(-5+-5)))*-5)))/-5)--5)+(-5*(((-87.37*(-87.37-(-5/-5)))*(-87.37-(-87.37/(-5*-87.37))))-(-5/-5)))))</f>
        <v>-3350248.001565</v>
      </c>
      <c r="C1264" t="n" s="0">
        <v>-3350248.001565</v>
      </c>
    </row>
    <row r="1265">
      <c r="A1265" t="n" s="0">
        <v>-87.36</v>
      </c>
      <c r="B1265" t="n" s="0">
        <f>(-5-((((-5*(-5/((-5/(((-5*(-87.36--5))-(-5+((-5*-87.36)*(((-5--5)+(-87.36--5))+-87.36))))-(-5+-5)))*-5)))/-5)--5)+(-5*(((-87.36*(-87.36-(-5/-5)))*(-87.36-(-87.36/(-5*-87.36))))-(-5/-5)))))</f>
        <v>-3349099.58048</v>
      </c>
      <c r="C1265" t="n" s="0">
        <v>-3349099.58048</v>
      </c>
    </row>
    <row r="1266">
      <c r="A1266" t="n" s="0">
        <v>-87.35</v>
      </c>
      <c r="B1266" t="n" s="0">
        <f>(-5-((((-5*(-5/((-5/(((-5*(-87.35--5))-(-5+((-5*-87.35)*(((-5--5)+(-87.35--5))+-87.35))))-(-5+-5)))*-5)))/-5)--5)+(-5*(((-87.35*(-87.35-(-5/-5)))*(-87.35-(-87.35/(-5*-87.35))))-(-5/-5)))))</f>
        <v>-3347951.421875</v>
      </c>
      <c r="C1266" t="n" s="0">
        <v>-3347951.421874999</v>
      </c>
    </row>
    <row r="1267">
      <c r="A1267" t="n" s="0">
        <v>-87.34</v>
      </c>
      <c r="B1267" t="n" s="0">
        <f>(-5-((((-5*(-5/((-5/(((-5*(-87.34--5))-(-5+((-5*-87.34)*(((-5--5)+(-87.34--5))+-87.34))))-(-5+-5)))*-5)))/-5)--5)+(-5*(((-87.34*(-87.34-(-5/-5)))*(-87.34-(-87.34/(-5*-87.34))))-(-5/-5)))))</f>
        <v>-3346803.5257200003</v>
      </c>
      <c r="C1267" t="n" s="0">
        <v>-3346803.5257200007</v>
      </c>
    </row>
    <row r="1268">
      <c r="A1268" t="n" s="0">
        <v>-87.33</v>
      </c>
      <c r="B1268" t="n" s="0">
        <f>(-5-((((-5*(-5/((-5/(((-5*(-87.33--5))-(-5+((-5*-87.33)*(((-5--5)+(-87.33--5))+-87.33))))-(-5+-5)))*-5)))/-5)--5)+(-5*(((-87.33*(-87.33-(-5/-5)))*(-87.33-(-87.33/(-5*-87.33))))-(-5/-5)))))</f>
        <v>-3345655.891985</v>
      </c>
      <c r="C1268" t="n" s="0">
        <v>-3345655.8919850006</v>
      </c>
    </row>
    <row r="1269">
      <c r="A1269" t="n" s="0">
        <v>-87.32</v>
      </c>
      <c r="B1269" t="n" s="0">
        <f>(-5-((((-5*(-5/((-5/(((-5*(-87.32--5))-(-5+((-5*-87.32)*(((-5--5)+(-87.32--5))+-87.32))))-(-5+-5)))*-5)))/-5)--5)+(-5*(((-87.32*(-87.32-(-5/-5)))*(-87.32-(-87.32/(-5*-87.32))))-(-5/-5)))))</f>
        <v>-3344508.52064</v>
      </c>
      <c r="C1269" t="n" s="0">
        <v>-3344508.520639999</v>
      </c>
    </row>
    <row r="1270">
      <c r="A1270" t="n" s="0">
        <v>-87.31</v>
      </c>
      <c r="B1270" t="n" s="0">
        <f>(-5-((((-5*(-5/((-5/(((-5*(-87.31--5))-(-5+((-5*-87.31)*(((-5--5)+(-87.31--5))+-87.31))))-(-5+-5)))*-5)))/-5)--5)+(-5*(((-87.31*(-87.31-(-5/-5)))*(-87.31-(-87.31/(-5*-87.31))))-(-5/-5)))))</f>
        <v>-3343361.411655</v>
      </c>
      <c r="C1270" t="n" s="0">
        <v>-3343361.4116550004</v>
      </c>
    </row>
    <row r="1271">
      <c r="A1271" t="n" s="0">
        <v>-87.3</v>
      </c>
      <c r="B1271" t="n" s="0">
        <f>(-5-((((-5*(-5/((-5/(((-5*(-87.3--5))-(-5+((-5*-87.3)*(((-5--5)+(-87.3--5))+-87.3))))-(-5+-5)))*-5)))/-5)--5)+(-5*(((-87.3*(-87.3-(-5/-5)))*(-87.3-(-87.3/(-5*-87.3))))-(-5/-5)))))</f>
        <v>-3342214.565</v>
      </c>
      <c r="C1271" t="n" s="0">
        <v>-3342214.565</v>
      </c>
    </row>
    <row r="1272">
      <c r="A1272" t="n" s="0">
        <v>-87.29</v>
      </c>
      <c r="B1272" t="n" s="0">
        <f>(-5-((((-5*(-5/((-5/(((-5*(-87.29--5))-(-5+((-5*-87.29)*(((-5--5)+(-87.29--5))+-87.29))))-(-5+-5)))*-5)))/-5)--5)+(-5*(((-87.29*(-87.29-(-5/-5)))*(-87.29-(-87.29/(-5*-87.29))))-(-5/-5)))))</f>
        <v>-3341067.980645</v>
      </c>
      <c r="C1272" t="n" s="0">
        <v>-3341067.980645001</v>
      </c>
    </row>
    <row r="1273">
      <c r="A1273" t="n" s="0">
        <v>-87.28</v>
      </c>
      <c r="B1273" t="n" s="0">
        <f>(-5-((((-5*(-5/((-5/(((-5*(-87.28--5))-(-5+((-5*-87.28)*(((-5--5)+(-87.28--5))+-87.28))))-(-5+-5)))*-5)))/-5)--5)+(-5*(((-87.28*(-87.28-(-5/-5)))*(-87.28-(-87.28/(-5*-87.28))))-(-5/-5)))))</f>
        <v>-3339921.6585600004</v>
      </c>
      <c r="C1273" t="n" s="0">
        <v>-3339921.65856</v>
      </c>
    </row>
    <row r="1274">
      <c r="A1274" t="n" s="0">
        <v>-87.27</v>
      </c>
      <c r="B1274" t="n" s="0">
        <f>(-5-((((-5*(-5/((-5/(((-5*(-87.27--5))-(-5+((-5*-87.27)*(((-5--5)+(-87.27--5))+-87.27))))-(-5+-5)))*-5)))/-5)--5)+(-5*(((-87.27*(-87.27-(-5/-5)))*(-87.27-(-87.27/(-5*-87.27))))-(-5/-5)))))</f>
        <v>-3338775.598715</v>
      </c>
      <c r="C1274" t="n" s="0">
        <v>-3338775.5987149994</v>
      </c>
    </row>
    <row r="1275">
      <c r="A1275" t="n" s="0">
        <v>-87.26</v>
      </c>
      <c r="B1275" t="n" s="0">
        <f>(-5-((((-5*(-5/((-5/(((-5*(-87.26--5))-(-5+((-5*-87.26)*(((-5--5)+(-87.26--5))+-87.26))))-(-5+-5)))*-5)))/-5)--5)+(-5*(((-87.26*(-87.26-(-5/-5)))*(-87.26-(-87.26/(-5*-87.26))))-(-5/-5)))))</f>
        <v>-3337629.80108</v>
      </c>
      <c r="C1275" t="n" s="0">
        <v>-3337629.80108</v>
      </c>
    </row>
    <row r="1276">
      <c r="A1276" t="n" s="0">
        <v>-87.25</v>
      </c>
      <c r="B1276" t="n" s="0">
        <f>(-5-((((-5*(-5/((-5/(((-5*(-87.25--5))-(-5+((-5*-87.25)*(((-5--5)+(-87.25--5))+-87.25))))-(-5+-5)))*-5)))/-5)--5)+(-5*(((-87.25*(-87.25-(-5/-5)))*(-87.25-(-87.25/(-5*-87.25))))-(-5/-5)))))</f>
        <v>-3336484.265625</v>
      </c>
      <c r="C1276" t="n" s="0">
        <v>-3336484.265625</v>
      </c>
    </row>
    <row r="1277">
      <c r="A1277" t="n" s="0">
        <v>-87.24</v>
      </c>
      <c r="B1277" t="n" s="0">
        <f>(-5-((((-5*(-5/((-5/(((-5*(-87.24--5))-(-5+((-5*-87.24)*(((-5--5)+(-87.24--5))+-87.24))))-(-5+-5)))*-5)))/-5)--5)+(-5*(((-87.24*(-87.24-(-5/-5)))*(-87.24-(-87.24/(-5*-87.24))))-(-5/-5)))))</f>
        <v>-3335338.99232</v>
      </c>
      <c r="C1277" t="n" s="0">
        <v>-3335338.9923199997</v>
      </c>
    </row>
    <row r="1278">
      <c r="A1278" t="n" s="0">
        <v>-87.23</v>
      </c>
      <c r="B1278" t="n" s="0">
        <f>(-5-((((-5*(-5/((-5/(((-5*(-87.23--5))-(-5+((-5*-87.23)*(((-5--5)+(-87.23--5))+-87.23))))-(-5+-5)))*-5)))/-5)--5)+(-5*(((-87.23*(-87.23-(-5/-5)))*(-87.23-(-87.23/(-5*-87.23))))-(-5/-5)))))</f>
        <v>-3334193.981135</v>
      </c>
      <c r="C1278" t="n" s="0">
        <v>-3334193.981135</v>
      </c>
    </row>
    <row r="1279">
      <c r="A1279" t="n" s="0">
        <v>-87.22</v>
      </c>
      <c r="B1279" t="n" s="0">
        <f>(-5-((((-5*(-5/((-5/(((-5*(-87.22--5))-(-5+((-5*-87.22)*(((-5--5)+(-87.22--5))+-87.22))))-(-5+-5)))*-5)))/-5)--5)+(-5*(((-87.22*(-87.22-(-5/-5)))*(-87.22-(-87.22/(-5*-87.22))))-(-5/-5)))))</f>
        <v>-3333049.2320399997</v>
      </c>
      <c r="C1279" t="n" s="0">
        <v>-3333049.23204</v>
      </c>
    </row>
    <row r="1280">
      <c r="A1280" t="n" s="0">
        <v>-87.21</v>
      </c>
      <c r="B1280" t="n" s="0">
        <f>(-5-((((-5*(-5/((-5/(((-5*(-87.21--5))-(-5+((-5*-87.21)*(((-5--5)+(-87.21--5))+-87.21))))-(-5+-5)))*-5)))/-5)--5)+(-5*(((-87.21*(-87.21-(-5/-5)))*(-87.21-(-87.21/(-5*-87.21))))-(-5/-5)))))</f>
        <v>-3331904.745005</v>
      </c>
      <c r="C1280" t="n" s="0">
        <v>-3331904.7450049995</v>
      </c>
    </row>
    <row r="1281">
      <c r="A1281" t="n" s="0">
        <v>-87.2</v>
      </c>
      <c r="B1281" t="n" s="0">
        <f>(-5-((((-5*(-5/((-5/(((-5*(-87.2--5))-(-5+((-5*-87.2)*(((-5--5)+(-87.2--5))+-87.2))))-(-5+-5)))*-5)))/-5)--5)+(-5*(((-87.2*(-87.2-(-5/-5)))*(-87.2-(-87.2/(-5*-87.2))))-(-5/-5)))))</f>
        <v>-3330760.52</v>
      </c>
      <c r="C1281" t="n" s="0">
        <v>-3330760.520000001</v>
      </c>
    </row>
    <row r="1282">
      <c r="A1282" t="n" s="0">
        <v>-87.19</v>
      </c>
      <c r="B1282" t="n" s="0">
        <f>(-5-((((-5*(-5/((-5/(((-5*(-87.19--5))-(-5+((-5*-87.19)*(((-5--5)+(-87.19--5))+-87.19))))-(-5+-5)))*-5)))/-5)--5)+(-5*(((-87.19*(-87.19-(-5/-5)))*(-87.19-(-87.19/(-5*-87.19))))-(-5/-5)))))</f>
        <v>-3329616.5569949998</v>
      </c>
      <c r="C1282" t="n" s="0">
        <v>-3329616.5569949998</v>
      </c>
    </row>
    <row r="1283">
      <c r="A1283" t="n" s="0">
        <v>-87.18</v>
      </c>
      <c r="B1283" t="n" s="0">
        <f>(-5-((((-5*(-5/((-5/(((-5*(-87.18--5))-(-5+((-5*-87.18)*(((-5--5)+(-87.18--5))+-87.18))))-(-5+-5)))*-5)))/-5)--5)+(-5*(((-87.18*(-87.18-(-5/-5)))*(-87.18-(-87.18/(-5*-87.18))))-(-5/-5)))))</f>
        <v>-3328472.85596</v>
      </c>
      <c r="C1283" t="n" s="0">
        <v>-3328472.855960001</v>
      </c>
    </row>
    <row r="1284">
      <c r="A1284" t="n" s="0">
        <v>-87.17</v>
      </c>
      <c r="B1284" t="n" s="0">
        <f>(-5-((((-5*(-5/((-5/(((-5*(-87.17--5))-(-5+((-5*-87.17)*(((-5--5)+(-87.17--5))+-87.17))))-(-5+-5)))*-5)))/-5)--5)+(-5*(((-87.17*(-87.17-(-5/-5)))*(-87.17-(-87.17/(-5*-87.17))))-(-5/-5)))))</f>
        <v>-3327329.416865</v>
      </c>
      <c r="C1284" t="n" s="0">
        <v>-3327329.416865</v>
      </c>
    </row>
    <row r="1285">
      <c r="A1285" t="n" s="0">
        <v>-87.16</v>
      </c>
      <c r="B1285" t="n" s="0">
        <f>(-5-((((-5*(-5/((-5/(((-5*(-87.16--5))-(-5+((-5*-87.16)*(((-5--5)+(-87.16--5))+-87.16))))-(-5+-5)))*-5)))/-5)--5)+(-5*(((-87.16*(-87.16-(-5/-5)))*(-87.16-(-87.16/(-5*-87.16))))-(-5/-5)))))</f>
        <v>-3326186.2396799996</v>
      </c>
      <c r="C1285" t="n" s="0">
        <v>-3326186.239679999</v>
      </c>
    </row>
    <row r="1286">
      <c r="A1286" t="n" s="0">
        <v>-87.15</v>
      </c>
      <c r="B1286" t="n" s="0">
        <f>(-5-((((-5*(-5/((-5/(((-5*(-87.15--5))-(-5+((-5*-87.15)*(((-5--5)+(-87.15--5))+-87.15))))-(-5+-5)))*-5)))/-5)--5)+(-5*(((-87.15*(-87.15-(-5/-5)))*(-87.15-(-87.15/(-5*-87.15))))-(-5/-5)))))</f>
        <v>-3325043.324375</v>
      </c>
      <c r="C1286" t="n" s="0">
        <v>-3325043.324375001</v>
      </c>
    </row>
    <row r="1287">
      <c r="A1287" t="n" s="0">
        <v>-87.14</v>
      </c>
      <c r="B1287" t="n" s="0">
        <f>(-5-((((-5*(-5/((-5/(((-5*(-87.14--5))-(-5+((-5*-87.14)*(((-5--5)+(-87.14--5))+-87.14))))-(-5+-5)))*-5)))/-5)--5)+(-5*(((-87.14*(-87.14-(-5/-5)))*(-87.14-(-87.14/(-5*-87.14))))-(-5/-5)))))</f>
        <v>-3323900.67092</v>
      </c>
      <c r="C1287" t="n" s="0">
        <v>-3323900.6709200004</v>
      </c>
    </row>
    <row r="1288">
      <c r="A1288" t="n" s="0">
        <v>-87.13</v>
      </c>
      <c r="B1288" t="n" s="0">
        <f>(-5-((((-5*(-5/((-5/(((-5*(-87.13--5))-(-5+((-5*-87.13)*(((-5--5)+(-87.13--5))+-87.13))))-(-5+-5)))*-5)))/-5)--5)+(-5*(((-87.13*(-87.13-(-5/-5)))*(-87.13-(-87.13/(-5*-87.13))))-(-5/-5)))))</f>
        <v>-3322758.2792849997</v>
      </c>
      <c r="C1288" t="n" s="0">
        <v>-3322758.2792849997</v>
      </c>
    </row>
    <row r="1289">
      <c r="A1289" t="n" s="0">
        <v>-87.12</v>
      </c>
      <c r="B1289" t="n" s="0">
        <f>(-5-((((-5*(-5/((-5/(((-5*(-87.12--5))-(-5+((-5*-87.12)*(((-5--5)+(-87.12--5))+-87.12))))-(-5+-5)))*-5)))/-5)--5)+(-5*(((-87.12*(-87.12-(-5/-5)))*(-87.12-(-87.12/(-5*-87.12))))-(-5/-5)))))</f>
        <v>-3321616.14944</v>
      </c>
      <c r="C1289" t="n" s="0">
        <v>-3321616.1494400008</v>
      </c>
    </row>
    <row r="1290">
      <c r="A1290" t="n" s="0">
        <v>-87.11</v>
      </c>
      <c r="B1290" t="n" s="0">
        <f>(-5-((((-5*(-5/((-5/(((-5*(-87.11--5))-(-5+((-5*-87.11)*(((-5--5)+(-87.11--5))+-87.11))))-(-5+-5)))*-5)))/-5)--5)+(-5*(((-87.11*(-87.11-(-5/-5)))*(-87.11-(-87.11/(-5*-87.11))))-(-5/-5)))))</f>
        <v>-3320474.2813549996</v>
      </c>
      <c r="C1290" t="n" s="0">
        <v>-3320474.281355</v>
      </c>
    </row>
    <row r="1291">
      <c r="A1291" t="n" s="0">
        <v>-87.1</v>
      </c>
      <c r="B1291" t="n" s="0">
        <f>(-5-((((-5*(-5/((-5/(((-5*(-87.1--5))-(-5+((-5*-87.1)*(((-5--5)+(-87.1--5))+-87.1))))-(-5+-5)))*-5)))/-5)--5)+(-5*(((-87.1*(-87.1-(-5/-5)))*(-87.1-(-87.1/(-5*-87.1))))-(-5/-5)))))</f>
        <v>-3319332.6750000003</v>
      </c>
      <c r="C1291" t="n" s="0">
        <v>-3319332.674999999</v>
      </c>
    </row>
    <row r="1292">
      <c r="A1292" t="n" s="0">
        <v>-87.09</v>
      </c>
      <c r="B1292" t="n" s="0">
        <f>(-5-((((-5*(-5/((-5/(((-5*(-87.09--5))-(-5+((-5*-87.09)*(((-5--5)+(-87.09--5))+-87.09))))-(-5+-5)))*-5)))/-5)--5)+(-5*(((-87.09*(-87.09-(-5/-5)))*(-87.09-(-87.09/(-5*-87.09))))-(-5/-5)))))</f>
        <v>-3318191.330345</v>
      </c>
      <c r="C1292" t="n" s="0">
        <v>-3318191.330345</v>
      </c>
    </row>
    <row r="1293">
      <c r="A1293" t="n" s="0">
        <v>-87.08</v>
      </c>
      <c r="B1293" t="n" s="0">
        <f>(-5-((((-5*(-5/((-5/(((-5*(-87.08--5))-(-5+((-5*-87.08)*(((-5--5)+(-87.08--5))+-87.08))))-(-5+-5)))*-5)))/-5)--5)+(-5*(((-87.08*(-87.08-(-5/-5)))*(-87.08-(-87.08/(-5*-87.08))))-(-5/-5)))))</f>
        <v>-3317050.24736</v>
      </c>
      <c r="C1293" t="n" s="0">
        <v>-3317050.24736</v>
      </c>
    </row>
    <row r="1294">
      <c r="A1294" t="n" s="0">
        <v>-87.07</v>
      </c>
      <c r="B1294" t="n" s="0">
        <f>(-5-((((-5*(-5/((-5/(((-5*(-87.07--5))-(-5+((-5*-87.07)*(((-5--5)+(-87.07--5))+-87.07))))-(-5+-5)))*-5)))/-5)--5)+(-5*(((-87.07*(-87.07-(-5/-5)))*(-87.07-(-87.07/(-5*-87.07))))-(-5/-5)))))</f>
        <v>-3315909.426015</v>
      </c>
      <c r="C1294" t="n" s="0">
        <v>-3315909.4260149994</v>
      </c>
    </row>
    <row r="1295">
      <c r="A1295" t="n" s="0">
        <v>-87.06</v>
      </c>
      <c r="B1295" t="n" s="0">
        <f>(-5-((((-5*(-5/((-5/(((-5*(-87.06--5))-(-5+((-5*-87.06)*(((-5--5)+(-87.06--5))+-87.06))))-(-5+-5)))*-5)))/-5)--5)+(-5*(((-87.06*(-87.06-(-5/-5)))*(-87.06-(-87.06/(-5*-87.06))))-(-5/-5)))))</f>
        <v>-3314768.86628</v>
      </c>
      <c r="C1295" t="n" s="0">
        <v>-3314768.8662800007</v>
      </c>
    </row>
    <row r="1296">
      <c r="A1296" t="n" s="0">
        <v>-87.05</v>
      </c>
      <c r="B1296" t="n" s="0">
        <f>(-5-((((-5*(-5/((-5/(((-5*(-87.05--5))-(-5+((-5*-87.05)*(((-5--5)+(-87.05--5))+-87.05))))-(-5+-5)))*-5)))/-5)--5)+(-5*(((-87.05*(-87.05-(-5/-5)))*(-87.05-(-87.05/(-5*-87.05))))-(-5/-5)))))</f>
        <v>-3313628.5681249998</v>
      </c>
      <c r="C1296" t="n" s="0">
        <v>-3313628.5681249993</v>
      </c>
    </row>
    <row r="1297">
      <c r="A1297" t="n" s="0">
        <v>-87.04</v>
      </c>
      <c r="B1297" t="n" s="0">
        <f>(-5-((((-5*(-5/((-5/(((-5*(-87.04--5))-(-5+((-5*-87.04)*(((-5--5)+(-87.04--5))+-87.04))))-(-5+-5)))*-5)))/-5)--5)+(-5*(((-87.04*(-87.04-(-5/-5)))*(-87.04-(-87.04/(-5*-87.04))))-(-5/-5)))))</f>
        <v>-3312488.53152</v>
      </c>
      <c r="C1297" t="n" s="0">
        <v>-3312488.5315200007</v>
      </c>
    </row>
    <row r="1298">
      <c r="A1298" t="n" s="0">
        <v>-87.03</v>
      </c>
      <c r="B1298" t="n" s="0">
        <f>(-5-((((-5*(-5/((-5/(((-5*(-87.03--5))-(-5+((-5*-87.03)*(((-5--5)+(-87.03--5))+-87.03))))-(-5+-5)))*-5)))/-5)--5)+(-5*(((-87.03*(-87.03-(-5/-5)))*(-87.03-(-87.03/(-5*-87.03))))-(-5/-5)))))</f>
        <v>-3311348.756435</v>
      </c>
      <c r="C1298" t="n" s="0">
        <v>-3311348.756435</v>
      </c>
    </row>
    <row r="1299">
      <c r="A1299" t="n" s="0">
        <v>-87.02</v>
      </c>
      <c r="B1299" t="n" s="0">
        <f>(-5-((((-5*(-5/((-5/(((-5*(-87.02--5))-(-5+((-5*-87.02)*(((-5--5)+(-87.02--5))+-87.02))))-(-5+-5)))*-5)))/-5)--5)+(-5*(((-87.02*(-87.02-(-5/-5)))*(-87.02-(-87.02/(-5*-87.02))))-(-5/-5)))))</f>
        <v>-3310209.24284</v>
      </c>
      <c r="C1299" t="n" s="0">
        <v>-3310209.2428399995</v>
      </c>
    </row>
    <row r="1300">
      <c r="A1300" t="n" s="0">
        <v>-87.01</v>
      </c>
      <c r="B1300" t="n" s="0">
        <f>(-5-((((-5*(-5/((-5/(((-5*(-87.01--5))-(-5+((-5*-87.01)*(((-5--5)+(-87.01--5))+-87.01))))-(-5+-5)))*-5)))/-5)--5)+(-5*(((-87.01*(-87.01-(-5/-5)))*(-87.01-(-87.01/(-5*-87.01))))-(-5/-5)))))</f>
        <v>-3309069.990705</v>
      </c>
      <c r="C1300" t="n" s="0">
        <v>-3309069.9907050002</v>
      </c>
    </row>
    <row r="1301">
      <c r="A1301" t="n" s="0">
        <v>-87.0</v>
      </c>
      <c r="B1301" t="n" s="0">
        <f>(-5-((((-5*(-5/((-5/(((-5*(-87--5))-(-5+((-5*-87)*(((-5--5)+(-87--5))+-87))))-(-5+-5)))*-5)))/-5)--5)+(-5*(((-87*(-87-(-5/-5)))*(-87-(-87/(-5*-87))))-(-5/-5)))))</f>
        <v>-3307931.0</v>
      </c>
      <c r="C1301" t="n" s="0">
        <v>-3307931.0</v>
      </c>
    </row>
    <row r="1302">
      <c r="A1302" t="n" s="0">
        <v>-86.99</v>
      </c>
      <c r="B1302" t="n" s="0">
        <f>(-5-((((-5*(-5/((-5/(((-5*(-86.99--5))-(-5+((-5*-86.99)*(((-5--5)+(-86.99--5))+-86.99))))-(-5+-5)))*-5)))/-5)--5)+(-5*(((-86.99*(-86.99-(-5/-5)))*(-86.99-(-86.99/(-5*-86.99))))-(-5/-5)))))</f>
        <v>-3306792.270695</v>
      </c>
      <c r="C1302" t="n" s="0">
        <v>-3306792.2706949995</v>
      </c>
    </row>
    <row r="1303">
      <c r="A1303" t="n" s="0">
        <v>-86.98</v>
      </c>
      <c r="B1303" t="n" s="0">
        <f>(-5-((((-5*(-5/((-5/(((-5*(-86.98--5))-(-5+((-5*-86.98)*(((-5--5)+(-86.98--5))+-86.98))))-(-5+-5)))*-5)))/-5)--5)+(-5*(((-86.98*(-86.98-(-5/-5)))*(-86.98-(-86.98/(-5*-86.98))))-(-5/-5)))))</f>
        <v>-3305653.80276</v>
      </c>
      <c r="C1303" t="n" s="0">
        <v>-3305653.8027600003</v>
      </c>
    </row>
    <row r="1304">
      <c r="A1304" t="n" s="0">
        <v>-86.97</v>
      </c>
      <c r="B1304" t="n" s="0">
        <f>(-5-((((-5*(-5/((-5/(((-5*(-86.97--5))-(-5+((-5*-86.97)*(((-5--5)+(-86.97--5))+-86.97))))-(-5+-5)))*-5)))/-5)--5)+(-5*(((-86.97*(-86.97-(-5/-5)))*(-86.97-(-86.97/(-5*-86.97))))-(-5/-5)))))</f>
        <v>-3304515.596165</v>
      </c>
      <c r="C1304" t="n" s="0">
        <v>-3304515.596165</v>
      </c>
    </row>
    <row r="1305">
      <c r="A1305" t="n" s="0">
        <v>-86.96</v>
      </c>
      <c r="B1305" t="n" s="0">
        <f>(-5-((((-5*(-5/((-5/(((-5*(-86.96--5))-(-5+((-5*-86.96)*(((-5--5)+(-86.96--5))+-86.96))))-(-5+-5)))*-5)))/-5)--5)+(-5*(((-86.96*(-86.96-(-5/-5)))*(-86.96-(-86.96/(-5*-86.96))))-(-5/-5)))))</f>
        <v>-3303377.65088</v>
      </c>
      <c r="C1305" t="n" s="0">
        <v>-3303377.6508799996</v>
      </c>
    </row>
    <row r="1306">
      <c r="A1306" t="n" s="0">
        <v>-86.95</v>
      </c>
      <c r="B1306" t="n" s="0">
        <f>(-5-((((-5*(-5/((-5/(((-5*(-86.95--5))-(-5+((-5*-86.95)*(((-5--5)+(-86.95--5))+-86.95))))-(-5+-5)))*-5)))/-5)--5)+(-5*(((-86.95*(-86.95-(-5/-5)))*(-86.95-(-86.95/(-5*-86.95))))-(-5/-5)))))</f>
        <v>-3302239.966875</v>
      </c>
      <c r="C1306" t="n" s="0">
        <v>-3302239.9668750004</v>
      </c>
    </row>
    <row r="1307">
      <c r="A1307" t="n" s="0">
        <v>-86.94</v>
      </c>
      <c r="B1307" t="n" s="0">
        <f>(-5-((((-5*(-5/((-5/(((-5*(-86.94--5))-(-5+((-5*-86.94)*(((-5--5)+(-86.94--5))+-86.94))))-(-5+-5)))*-5)))/-5)--5)+(-5*(((-86.94*(-86.94-(-5/-5)))*(-86.94-(-86.94/(-5*-86.94))))-(-5/-5)))))</f>
        <v>-3301102.5441199997</v>
      </c>
      <c r="C1307" t="n" s="0">
        <v>-3301102.5441199997</v>
      </c>
    </row>
    <row r="1308">
      <c r="A1308" t="n" s="0">
        <v>-86.93</v>
      </c>
      <c r="B1308" t="n" s="0">
        <f>(-5-((((-5*(-5/((-5/(((-5*(-86.93--5))-(-5+((-5*-86.93)*(((-5--5)+(-86.93--5))+-86.93))))-(-5+-5)))*-5)))/-5)--5)+(-5*(((-86.93*(-86.93-(-5/-5)))*(-86.93-(-86.93/(-5*-86.93))))-(-5/-5)))))</f>
        <v>-3299965.382585</v>
      </c>
      <c r="C1308" t="n" s="0">
        <v>-3299965.3825850002</v>
      </c>
    </row>
    <row r="1309">
      <c r="A1309" t="n" s="0">
        <v>-86.92</v>
      </c>
      <c r="B1309" t="n" s="0">
        <f>(-5-((((-5*(-5/((-5/(((-5*(-86.92--5))-(-5+((-5*-86.92)*(((-5--5)+(-86.92--5))+-86.92))))-(-5+-5)))*-5)))/-5)--5)+(-5*(((-86.92*(-86.92-(-5/-5)))*(-86.92-(-86.92/(-5*-86.92))))-(-5/-5)))))</f>
        <v>-3298828.48224</v>
      </c>
      <c r="C1309" t="n" s="0">
        <v>-3298828.48224</v>
      </c>
    </row>
    <row r="1310">
      <c r="A1310" t="n" s="0">
        <v>-86.91</v>
      </c>
      <c r="B1310" t="n" s="0">
        <f>(-5-((((-5*(-5/((-5/(((-5*(-86.91--5))-(-5+((-5*-86.91)*(((-5--5)+(-86.91--5))+-86.91))))-(-5+-5)))*-5)))/-5)--5)+(-5*(((-86.91*(-86.91-(-5/-5)))*(-86.91-(-86.91/(-5*-86.91))))-(-5/-5)))))</f>
        <v>-3297691.843055</v>
      </c>
      <c r="C1310" t="n" s="0">
        <v>-3297691.8430549996</v>
      </c>
    </row>
    <row r="1311">
      <c r="A1311" t="n" s="0">
        <v>-86.9</v>
      </c>
      <c r="B1311" t="n" s="0">
        <f>(-5-((((-5*(-5/((-5/(((-5*(-86.9--5))-(-5+((-5*-86.9)*(((-5--5)+(-86.9--5))+-86.9))))-(-5+-5)))*-5)))/-5)--5)+(-5*(((-86.9*(-86.9-(-5/-5)))*(-86.9-(-86.9/(-5*-86.9))))-(-5/-5)))))</f>
        <v>-3296555.465</v>
      </c>
      <c r="C1311" t="n" s="0">
        <v>-3296555.465000001</v>
      </c>
    </row>
    <row r="1312">
      <c r="A1312" t="n" s="0">
        <v>-86.89</v>
      </c>
      <c r="B1312" t="n" s="0">
        <f>(-5-((((-5*(-5/((-5/(((-5*(-86.89--5))-(-5+((-5*-86.89)*(((-5--5)+(-86.89--5))+-86.89))))-(-5+-5)))*-5)))/-5)--5)+(-5*(((-86.89*(-86.89-(-5/-5)))*(-86.89-(-86.89/(-5*-86.89))))-(-5/-5)))))</f>
        <v>-3295419.348045</v>
      </c>
      <c r="C1312" t="n" s="0">
        <v>-3295419.348045</v>
      </c>
    </row>
    <row r="1313">
      <c r="A1313" t="n" s="0">
        <v>-86.88</v>
      </c>
      <c r="B1313" t="n" s="0">
        <f>(-5-((((-5*(-5/((-5/(((-5*(-86.88--5))-(-5+((-5*-86.88)*(((-5--5)+(-86.88--5))+-86.88))))-(-5+-5)))*-5)))/-5)--5)+(-5*(((-86.88*(-86.88-(-5/-5)))*(-86.88-(-86.88/(-5*-86.88))))-(-5/-5)))))</f>
        <v>-3294283.49216</v>
      </c>
      <c r="C1313" t="n" s="0">
        <v>-3294283.4921599994</v>
      </c>
    </row>
    <row r="1314">
      <c r="A1314" t="n" s="0">
        <v>-86.87</v>
      </c>
      <c r="B1314" t="n" s="0">
        <f>(-5-((((-5*(-5/((-5/(((-5*(-86.87--5))-(-5+((-5*-86.87)*(((-5--5)+(-86.87--5))+-86.87))))-(-5+-5)))*-5)))/-5)--5)+(-5*(((-86.87*(-86.87-(-5/-5)))*(-86.87-(-86.87/(-5*-86.87))))-(-5/-5)))))</f>
        <v>-3293147.8973149997</v>
      </c>
      <c r="C1314" t="n" s="0">
        <v>-3293147.8973150006</v>
      </c>
    </row>
    <row r="1315">
      <c r="A1315" t="n" s="0">
        <v>-86.86</v>
      </c>
      <c r="B1315" t="n" s="0">
        <f>(-5-((((-5*(-5/((-5/(((-5*(-86.86--5))-(-5+((-5*-86.86)*(((-5--5)+(-86.86--5))+-86.86))))-(-5+-5)))*-5)))/-5)--5)+(-5*(((-86.86*(-86.86-(-5/-5)))*(-86.86-(-86.86/(-5*-86.86))))-(-5/-5)))))</f>
        <v>-3292012.56348</v>
      </c>
      <c r="C1315" t="n" s="0">
        <v>-3292012.56348</v>
      </c>
    </row>
    <row r="1316">
      <c r="A1316" t="n" s="0">
        <v>-86.85</v>
      </c>
      <c r="B1316" t="n" s="0">
        <f>(-5-((((-5*(-5/((-5/(((-5*(-86.85--5))-(-5+((-5*-86.85)*(((-5--5)+(-86.85--5))+-86.85))))-(-5+-5)))*-5)))/-5)--5)+(-5*(((-86.85*(-86.85-(-5/-5)))*(-86.85-(-86.85/(-5*-86.85))))-(-5/-5)))))</f>
        <v>-3290877.490625</v>
      </c>
      <c r="C1316" t="n" s="0">
        <v>-3290877.4906249996</v>
      </c>
    </row>
    <row r="1317">
      <c r="A1317" t="n" s="0">
        <v>-86.84</v>
      </c>
      <c r="B1317" t="n" s="0">
        <f>(-5-((((-5*(-5/((-5/(((-5*(-86.84--5))-(-5+((-5*-86.84)*(((-5--5)+(-86.84--5))+-86.84))))-(-5+-5)))*-5)))/-5)--5)+(-5*(((-86.84*(-86.84-(-5/-5)))*(-86.84-(-86.84/(-5*-86.84))))-(-5/-5)))))</f>
        <v>-3289742.6787199997</v>
      </c>
      <c r="C1317" t="n" s="0">
        <v>-3289742.67872</v>
      </c>
    </row>
    <row r="1318">
      <c r="A1318" t="n" s="0">
        <v>-86.83</v>
      </c>
      <c r="B1318" t="n" s="0">
        <f>(-5-((((-5*(-5/((-5/(((-5*(-86.83--5))-(-5+((-5*-86.83)*(((-5--5)+(-86.83--5))+-86.83))))-(-5+-5)))*-5)))/-5)--5)+(-5*(((-86.83*(-86.83-(-5/-5)))*(-86.83-(-86.83/(-5*-86.83))))-(-5/-5)))))</f>
        <v>-3288608.127735</v>
      </c>
      <c r="C1318" t="n" s="0">
        <v>-3288608.127735</v>
      </c>
    </row>
    <row r="1319">
      <c r="A1319" t="n" s="0">
        <v>-86.82</v>
      </c>
      <c r="B1319" t="n" s="0">
        <f>(-5-((((-5*(-5/((-5/(((-5*(-86.82--5))-(-5+((-5*-86.82)*(((-5--5)+(-86.82--5))+-86.82))))-(-5+-5)))*-5)))/-5)--5)+(-5*(((-86.82*(-86.82-(-5/-5)))*(-86.82-(-86.82/(-5*-86.82))))-(-5/-5)))))</f>
        <v>-3287473.83764</v>
      </c>
      <c r="C1319" t="n" s="0">
        <v>-3287473.8376399996</v>
      </c>
    </row>
    <row r="1320">
      <c r="A1320" t="n" s="0">
        <v>-86.81</v>
      </c>
      <c r="B1320" t="n" s="0">
        <f>(-5-((((-5*(-5/((-5/(((-5*(-86.81--5))-(-5+((-5*-86.81)*(((-5--5)+(-86.81--5))+-86.81))))-(-5+-5)))*-5)))/-5)--5)+(-5*(((-86.81*(-86.81-(-5/-5)))*(-86.81-(-86.81/(-5*-86.81))))-(-5/-5)))))</f>
        <v>-3286339.8084050003</v>
      </c>
      <c r="C1320" t="n" s="0">
        <v>-3286339.8084050007</v>
      </c>
    </row>
    <row r="1321">
      <c r="A1321" t="n" s="0">
        <v>-86.8</v>
      </c>
      <c r="B1321" t="n" s="0">
        <f>(-5-((((-5*(-5/((-5/(((-5*(-86.8--5))-(-5+((-5*-86.8)*(((-5--5)+(-86.8--5))+-86.8))))-(-5+-5)))*-5)))/-5)--5)+(-5*(((-86.8*(-86.8-(-5/-5)))*(-86.8-(-86.8/(-5*-86.8))))-(-5/-5)))))</f>
        <v>-3285206.04</v>
      </c>
      <c r="C1321" t="n" s="0">
        <v>-3285206.039999999</v>
      </c>
    </row>
    <row r="1322">
      <c r="A1322" t="n" s="0">
        <v>-86.79</v>
      </c>
      <c r="B1322" t="n" s="0">
        <f>(-5-((((-5*(-5/((-5/(((-5*(-86.79--5))-(-5+((-5*-86.79)*(((-5--5)+(-86.79--5))+-86.79))))-(-5+-5)))*-5)))/-5)--5)+(-5*(((-86.79*(-86.79-(-5/-5)))*(-86.79-(-86.79/(-5*-86.79))))-(-5/-5)))))</f>
        <v>-3284072.532395</v>
      </c>
      <c r="C1322" t="n" s="0">
        <v>-3284072.5323950006</v>
      </c>
    </row>
    <row r="1323">
      <c r="A1323" t="n" s="0">
        <v>-86.78</v>
      </c>
      <c r="B1323" t="n" s="0">
        <f>(-5-((((-5*(-5/((-5/(((-5*(-86.78--5))-(-5+((-5*-86.78)*(((-5--5)+(-86.78--5))+-86.78))))-(-5+-5)))*-5)))/-5)--5)+(-5*(((-86.78*(-86.78-(-5/-5)))*(-86.78-(-86.78/(-5*-86.78))))-(-5/-5)))))</f>
        <v>-3282939.28556</v>
      </c>
      <c r="C1323" t="n" s="0">
        <v>-3282939.2855599998</v>
      </c>
    </row>
    <row r="1324">
      <c r="A1324" t="n" s="0">
        <v>-86.77</v>
      </c>
      <c r="B1324" t="n" s="0">
        <f>(-5-((((-5*(-5/((-5/(((-5*(-86.77--5))-(-5+((-5*-86.77)*(((-5--5)+(-86.77--5))+-86.77))))-(-5+-5)))*-5)))/-5)--5)+(-5*(((-86.77*(-86.77-(-5/-5)))*(-86.77-(-86.77/(-5*-86.77))))-(-5/-5)))))</f>
        <v>-3281806.299465</v>
      </c>
      <c r="C1324" t="n" s="0">
        <v>-3281806.299464999</v>
      </c>
    </row>
    <row r="1325">
      <c r="A1325" t="n" s="0">
        <v>-86.76</v>
      </c>
      <c r="B1325" t="n" s="0">
        <f>(-5-((((-5*(-5/((-5/(((-5*(-86.76--5))-(-5+((-5*-86.76)*(((-5--5)+(-86.76--5))+-86.76))))-(-5+-5)))*-5)))/-5)--5)+(-5*(((-86.76*(-86.76-(-5/-5)))*(-86.76-(-86.76/(-5*-86.76))))-(-5/-5)))))</f>
        <v>-3280673.57408</v>
      </c>
      <c r="C1325" t="n" s="0">
        <v>-3280673.57408</v>
      </c>
    </row>
    <row r="1326">
      <c r="A1326" t="n" s="0">
        <v>-86.75</v>
      </c>
      <c r="B1326" t="n" s="0">
        <f>(-5-((((-5*(-5/((-5/(((-5*(-86.75--5))-(-5+((-5*-86.75)*(((-5--5)+(-86.75--5))+-86.75))))-(-5+-5)))*-5)))/-5)--5)+(-5*(((-86.75*(-86.75-(-5/-5)))*(-86.75-(-86.75/(-5*-86.75))))-(-5/-5)))))</f>
        <v>-3279541.109375</v>
      </c>
      <c r="C1326" t="n" s="0">
        <v>-3279541.109375</v>
      </c>
    </row>
    <row r="1327">
      <c r="A1327" t="n" s="0">
        <v>-86.74</v>
      </c>
      <c r="B1327" t="n" s="0">
        <f>(-5-((((-5*(-5/((-5/(((-5*(-86.74--5))-(-5+((-5*-86.74)*(((-5--5)+(-86.74--5))+-86.74))))-(-5+-5)))*-5)))/-5)--5)+(-5*(((-86.74*(-86.74-(-5/-5)))*(-86.74-(-86.74/(-5*-86.74))))-(-5/-5)))))</f>
        <v>-3278408.90532</v>
      </c>
      <c r="C1327" t="n" s="0">
        <v>-3278408.90532</v>
      </c>
    </row>
    <row r="1328">
      <c r="A1328" t="n" s="0">
        <v>-86.73</v>
      </c>
      <c r="B1328" t="n" s="0">
        <f>(-5-((((-5*(-5/((-5/(((-5*(-86.73--5))-(-5+((-5*-86.73)*(((-5--5)+(-86.73--5))+-86.73))))-(-5+-5)))*-5)))/-5)--5)+(-5*(((-86.73*(-86.73-(-5/-5)))*(-86.73-(-86.73/(-5*-86.73))))-(-5/-5)))))</f>
        <v>-3277276.9618849996</v>
      </c>
      <c r="C1328" t="n" s="0">
        <v>-3277276.9618850006</v>
      </c>
    </row>
    <row r="1329">
      <c r="A1329" t="n" s="0">
        <v>-86.72</v>
      </c>
      <c r="B1329" t="n" s="0">
        <f>(-5-((((-5*(-5/((-5/(((-5*(-86.72--5))-(-5+((-5*-86.72)*(((-5--5)+(-86.72--5))+-86.72))))-(-5+-5)))*-5)))/-5)--5)+(-5*(((-86.72*(-86.72-(-5/-5)))*(-86.72-(-86.72/(-5*-86.72))))-(-5/-5)))))</f>
        <v>-3276145.27904</v>
      </c>
      <c r="C1329" t="n" s="0">
        <v>-3276145.2790400004</v>
      </c>
    </row>
    <row r="1330">
      <c r="A1330" t="n" s="0">
        <v>-86.71</v>
      </c>
      <c r="B1330" t="n" s="0">
        <f>(-5-((((-5*(-5/((-5/(((-5*(-86.71--5))-(-5+((-5*-86.71)*(((-5--5)+(-86.71--5))+-86.71))))-(-5+-5)))*-5)))/-5)--5)+(-5*(((-86.71*(-86.71-(-5/-5)))*(-86.71-(-86.71/(-5*-86.71))))-(-5/-5)))))</f>
        <v>-3275013.856755</v>
      </c>
      <c r="C1330" t="n" s="0">
        <v>-3275013.856754999</v>
      </c>
    </row>
    <row r="1331">
      <c r="A1331" t="n" s="0">
        <v>-86.7</v>
      </c>
      <c r="B1331" t="n" s="0">
        <f>(-5-((((-5*(-5/((-5/(((-5*(-86.7--5))-(-5+((-5*-86.7)*(((-5--5)+(-86.7--5))+-86.7))))-(-5+-5)))*-5)))/-5)--5)+(-5*(((-86.7*(-86.7-(-5/-5)))*(-86.7-(-86.7/(-5*-86.7))))-(-5/-5)))))</f>
        <v>-3273882.695</v>
      </c>
      <c r="C1331" t="n" s="0">
        <v>-3273882.695</v>
      </c>
    </row>
    <row r="1332">
      <c r="A1332" t="n" s="0">
        <v>-86.69</v>
      </c>
      <c r="B1332" t="n" s="0">
        <f>(-5-((((-5*(-5/((-5/(((-5*(-86.69--5))-(-5+((-5*-86.69)*(((-5--5)+(-86.69--5))+-86.69))))-(-5+-5)))*-5)))/-5)--5)+(-5*(((-86.69*(-86.69-(-5/-5)))*(-86.69-(-86.69/(-5*-86.69))))-(-5/-5)))))</f>
        <v>-3272751.7937450004</v>
      </c>
      <c r="C1332" t="n" s="0">
        <v>-3272751.7937449994</v>
      </c>
    </row>
    <row r="1333">
      <c r="A1333" t="n" s="0">
        <v>-86.68</v>
      </c>
      <c r="B1333" t="n" s="0">
        <f>(-5-((((-5*(-5/((-5/(((-5*(-86.68--5))-(-5+((-5*-86.68)*(((-5--5)+(-86.68--5))+-86.68))))-(-5+-5)))*-5)))/-5)--5)+(-5*(((-86.68*(-86.68-(-5/-5)))*(-86.68-(-86.68/(-5*-86.68))))-(-5/-5)))))</f>
        <v>-3271621.15296</v>
      </c>
      <c r="C1333" t="n" s="0">
        <v>-3271621.1529600006</v>
      </c>
    </row>
    <row r="1334">
      <c r="A1334" t="n" s="0">
        <v>-86.67</v>
      </c>
      <c r="B1334" t="n" s="0">
        <f>(-5-((((-5*(-5/((-5/(((-5*(-86.67--5))-(-5+((-5*-86.67)*(((-5--5)+(-86.67--5))+-86.67))))-(-5+-5)))*-5)))/-5)--5)+(-5*(((-86.67*(-86.67-(-5/-5)))*(-86.67-(-86.67/(-5*-86.67))))-(-5/-5)))))</f>
        <v>-3270490.7726149997</v>
      </c>
      <c r="C1334" t="n" s="0">
        <v>-3270490.7726149997</v>
      </c>
    </row>
    <row r="1335">
      <c r="A1335" t="n" s="0">
        <v>-86.66</v>
      </c>
      <c r="B1335" t="n" s="0">
        <f>(-5-((((-5*(-5/((-5/(((-5*(-86.66--5))-(-5+((-5*-86.66)*(((-5--5)+(-86.66--5))+-86.66))))-(-5+-5)))*-5)))/-5)--5)+(-5*(((-86.66*(-86.66-(-5/-5)))*(-86.66-(-86.66/(-5*-86.66))))-(-5/-5)))))</f>
        <v>-3269360.6526800003</v>
      </c>
      <c r="C1335" t="n" s="0">
        <v>-3269360.6526799994</v>
      </c>
    </row>
    <row r="1336">
      <c r="A1336" t="n" s="0">
        <v>-86.65</v>
      </c>
      <c r="B1336" t="n" s="0">
        <f>(-5-((((-5*(-5/((-5/(((-5*(-86.65--5))-(-5+((-5*-86.65)*(((-5--5)+(-86.65--5))+-86.65))))-(-5+-5)))*-5)))/-5)--5)+(-5*(((-86.65*(-86.65-(-5/-5)))*(-86.65-(-86.65/(-5*-86.65))))-(-5/-5)))))</f>
        <v>-3268230.793125</v>
      </c>
      <c r="C1336" t="n" s="0">
        <v>-3268230.793125001</v>
      </c>
    </row>
    <row r="1337">
      <c r="A1337" t="n" s="0">
        <v>-86.64</v>
      </c>
      <c r="B1337" t="n" s="0">
        <f>(-5-((((-5*(-5/((-5/(((-5*(-86.64--5))-(-5+((-5*-86.64)*(((-5--5)+(-86.64--5))+-86.64))))-(-5+-5)))*-5)))/-5)--5)+(-5*(((-86.64*(-86.64-(-5/-5)))*(-86.64-(-86.64/(-5*-86.64))))-(-5/-5)))))</f>
        <v>-3267101.19392</v>
      </c>
      <c r="C1337" t="n" s="0">
        <v>-3267101.19392</v>
      </c>
    </row>
    <row r="1338">
      <c r="A1338" t="n" s="0">
        <v>-86.63</v>
      </c>
      <c r="B1338" t="n" s="0">
        <f>(-5-((((-5*(-5/((-5/(((-5*(-86.63--5))-(-5+((-5*-86.63)*(((-5--5)+(-86.63--5))+-86.63))))-(-5+-5)))*-5)))/-5)--5)+(-5*(((-86.63*(-86.63-(-5/-5)))*(-86.63-(-86.63/(-5*-86.63))))-(-5/-5)))))</f>
        <v>-3265971.855035</v>
      </c>
      <c r="C1338" t="n" s="0">
        <v>-3265971.855034999</v>
      </c>
    </row>
    <row r="1339">
      <c r="A1339" t="n" s="0">
        <v>-86.62</v>
      </c>
      <c r="B1339" t="n" s="0">
        <f>(-5-((((-5*(-5/((-5/(((-5*(-86.62--5))-(-5+((-5*-86.62)*(((-5--5)+(-86.62--5))+-86.62))))-(-5+-5)))*-5)))/-5)--5)+(-5*(((-86.62*(-86.62-(-5/-5)))*(-86.62-(-86.62/(-5*-86.62))))-(-5/-5)))))</f>
        <v>-3264842.77644</v>
      </c>
      <c r="C1339" t="n" s="0">
        <v>-3264842.77644</v>
      </c>
    </row>
    <row r="1340">
      <c r="A1340" t="n" s="0">
        <v>-86.61</v>
      </c>
      <c r="B1340" t="n" s="0">
        <f>(-5-((((-5*(-5/((-5/(((-5*(-86.61--5))-(-5+((-5*-86.61)*(((-5--5)+(-86.61--5))+-86.61))))-(-5+-5)))*-5)))/-5)--5)+(-5*(((-86.61*(-86.61-(-5/-5)))*(-86.61-(-86.61/(-5*-86.61))))-(-5/-5)))))</f>
        <v>-3263713.958105</v>
      </c>
      <c r="C1340" t="n" s="0">
        <v>-3263713.9581049997</v>
      </c>
    </row>
    <row r="1341">
      <c r="A1341" t="n" s="0">
        <v>-86.6</v>
      </c>
      <c r="B1341" t="n" s="0">
        <f>(-5-((((-5*(-5/((-5/(((-5*(-86.6--5))-(-5+((-5*-86.6)*(((-5--5)+(-86.6--5))+-86.6))))-(-5+-5)))*-5)))/-5)--5)+(-5*(((-86.6*(-86.6-(-5/-5)))*(-86.6-(-86.6/(-5*-86.6))))-(-5/-5)))))</f>
        <v>-3262585.4</v>
      </c>
      <c r="C1341" t="n" s="0">
        <v>-3262585.399999999</v>
      </c>
    </row>
    <row r="1342">
      <c r="A1342" t="n" s="0">
        <v>-86.59</v>
      </c>
      <c r="B1342" t="n" s="0">
        <f>(-5-((((-5*(-5/((-5/(((-5*(-86.59--5))-(-5+((-5*-86.59)*(((-5--5)+(-86.59--5))+-86.59))))-(-5+-5)))*-5)))/-5)--5)+(-5*(((-86.59*(-86.59-(-5/-5)))*(-86.59-(-86.59/(-5*-86.59))))-(-5/-5)))))</f>
        <v>-3261457.102095</v>
      </c>
      <c r="C1342" t="n" s="0">
        <v>-3261457.102095</v>
      </c>
    </row>
    <row r="1343">
      <c r="A1343" t="n" s="0">
        <v>-86.58</v>
      </c>
      <c r="B1343" t="n" s="0">
        <f>(-5-((((-5*(-5/((-5/(((-5*(-86.58--5))-(-5+((-5*-86.58)*(((-5--5)+(-86.58--5))+-86.58))))-(-5+-5)))*-5)))/-5)--5)+(-5*(((-86.58*(-86.58-(-5/-5)))*(-86.58-(-86.58/(-5*-86.58))))-(-5/-5)))))</f>
        <v>-3260329.06436</v>
      </c>
      <c r="C1343" t="n" s="0">
        <v>-3260329.06436</v>
      </c>
    </row>
    <row r="1344">
      <c r="A1344" t="n" s="0">
        <v>-86.57</v>
      </c>
      <c r="B1344" t="n" s="0">
        <f>(-5-((((-5*(-5/((-5/(((-5*(-86.57--5))-(-5+((-5*-86.57)*(((-5--5)+(-86.57--5))+-86.57))))-(-5+-5)))*-5)))/-5)--5)+(-5*(((-86.57*(-86.57-(-5/-5)))*(-86.57-(-86.57/(-5*-86.57))))-(-5/-5)))))</f>
        <v>-3259201.286765</v>
      </c>
      <c r="C1344" t="n" s="0">
        <v>-3259201.286764999</v>
      </c>
    </row>
    <row r="1345">
      <c r="A1345" t="n" s="0">
        <v>-86.56</v>
      </c>
      <c r="B1345" t="n" s="0">
        <f>(-5-((((-5*(-5/((-5/(((-5*(-86.56--5))-(-5+((-5*-86.56)*(((-5--5)+(-86.56--5))+-86.56))))-(-5+-5)))*-5)))/-5)--5)+(-5*(((-86.56*(-86.56-(-5/-5)))*(-86.56-(-86.56/(-5*-86.56))))-(-5/-5)))))</f>
        <v>-3258073.76928</v>
      </c>
      <c r="C1345" t="n" s="0">
        <v>-3258073.7692800006</v>
      </c>
    </row>
    <row r="1346">
      <c r="A1346" t="n" s="0">
        <v>-86.55</v>
      </c>
      <c r="B1346" t="n" s="0">
        <f>(-5-((((-5*(-5/((-5/(((-5*(-86.55--5))-(-5+((-5*-86.55)*(((-5--5)+(-86.55--5))+-86.55))))-(-5+-5)))*-5)))/-5)--5)+(-5*(((-86.55*(-86.55-(-5/-5)))*(-86.55-(-86.55/(-5*-86.55))))-(-5/-5)))))</f>
        <v>-3256946.511875</v>
      </c>
      <c r="C1346" t="n" s="0">
        <v>-3256946.511875</v>
      </c>
    </row>
    <row r="1347">
      <c r="A1347" t="n" s="0">
        <v>-86.54</v>
      </c>
      <c r="B1347" t="n" s="0">
        <f>(-5-((((-5*(-5/((-5/(((-5*(-86.54--5))-(-5+((-5*-86.54)*(((-5--5)+(-86.54--5))+-86.54))))-(-5+-5)))*-5)))/-5)--5)+(-5*(((-86.54*(-86.54-(-5/-5)))*(-86.54-(-86.54/(-5*-86.54))))-(-5/-5)))))</f>
        <v>-3255819.51452</v>
      </c>
      <c r="C1347" t="n" s="0">
        <v>-3255819.514520001</v>
      </c>
    </row>
    <row r="1348">
      <c r="A1348" t="n" s="0">
        <v>-86.53</v>
      </c>
      <c r="B1348" t="n" s="0">
        <f>(-5-((((-5*(-5/((-5/(((-5*(-86.53--5))-(-5+((-5*-86.53)*(((-5--5)+(-86.53--5))+-86.53))))-(-5+-5)))*-5)))/-5)--5)+(-5*(((-86.53*(-86.53-(-5/-5)))*(-86.53-(-86.53/(-5*-86.53))))-(-5/-5)))))</f>
        <v>-3254692.777185</v>
      </c>
      <c r="C1348" t="n" s="0">
        <v>-3254692.777185</v>
      </c>
    </row>
    <row r="1349">
      <c r="A1349" t="n" s="0">
        <v>-86.52</v>
      </c>
      <c r="B1349" t="n" s="0">
        <f>(-5-((((-5*(-5/((-5/(((-5*(-86.52--5))-(-5+((-5*-86.52)*(((-5--5)+(-86.52--5))+-86.52))))-(-5+-5)))*-5)))/-5)--5)+(-5*(((-86.52*(-86.52-(-5/-5)))*(-86.52-(-86.52/(-5*-86.52))))-(-5/-5)))))</f>
        <v>-3253566.29984</v>
      </c>
      <c r="C1349" t="n" s="0">
        <v>-3253566.2998399995</v>
      </c>
    </row>
    <row r="1350">
      <c r="A1350" t="n" s="0">
        <v>-86.51</v>
      </c>
      <c r="B1350" t="n" s="0">
        <f>(-5-((((-5*(-5/((-5/(((-5*(-86.51--5))-(-5+((-5*-86.51)*(((-5--5)+(-86.51--5))+-86.51))))-(-5+-5)))*-5)))/-5)--5)+(-5*(((-86.51*(-86.51-(-5/-5)))*(-86.51-(-86.51/(-5*-86.51))))-(-5/-5)))))</f>
        <v>-3252440.082455</v>
      </c>
      <c r="C1350" t="n" s="0">
        <v>-3252440.0824550004</v>
      </c>
    </row>
    <row r="1351">
      <c r="A1351" t="n" s="0">
        <v>-86.5</v>
      </c>
      <c r="B1351" t="n" s="0">
        <f>(-5-((((-5*(-5/((-5/(((-5*(-86.5--5))-(-5+((-5*-86.5)*(((-5--5)+(-86.5--5))+-86.5))))-(-5+-5)))*-5)))/-5)--5)+(-5*(((-86.5*(-86.5-(-5/-5)))*(-86.5-(-86.5/(-5*-86.5))))-(-5/-5)))))</f>
        <v>-3251314.125</v>
      </c>
      <c r="C1351" t="n" s="0">
        <v>-3251314.125</v>
      </c>
    </row>
    <row r="1352">
      <c r="A1352" t="n" s="0">
        <v>-86.49</v>
      </c>
      <c r="B1352" t="n" s="0">
        <f>(-5-((((-5*(-5/((-5/(((-5*(-86.49--5))-(-5+((-5*-86.49)*(((-5--5)+(-86.49--5))+-86.49))))-(-5+-5)))*-5)))/-5)--5)+(-5*(((-86.49*(-86.49-(-5/-5)))*(-86.49-(-86.49/(-5*-86.49))))-(-5/-5)))))</f>
        <v>-3250188.4274449996</v>
      </c>
      <c r="C1352" t="n" s="0">
        <v>-3250188.427445</v>
      </c>
    </row>
    <row r="1353">
      <c r="A1353" t="n" s="0">
        <v>-86.48</v>
      </c>
      <c r="B1353" t="n" s="0">
        <f>(-5-((((-5*(-5/((-5/(((-5*(-86.48--5))-(-5+((-5*-86.48)*(((-5--5)+(-86.48--5))+-86.48))))-(-5+-5)))*-5)))/-5)--5)+(-5*(((-86.48*(-86.48-(-5/-5)))*(-86.48-(-86.48/(-5*-86.48))))-(-5/-5)))))</f>
        <v>-3249062.98976</v>
      </c>
      <c r="C1353" t="n" s="0">
        <v>-3249062.9897600003</v>
      </c>
    </row>
    <row r="1354">
      <c r="A1354" t="n" s="0">
        <v>-86.47</v>
      </c>
      <c r="B1354" t="n" s="0">
        <f>(-5-((((-5*(-5/((-5/(((-5*(-86.47--5))-(-5+((-5*-86.47)*(((-5--5)+(-86.47--5))+-86.47))))-(-5+-5)))*-5)))/-5)--5)+(-5*(((-86.47*(-86.47-(-5/-5)))*(-86.47-(-86.47/(-5*-86.47))))-(-5/-5)))))</f>
        <v>-3247937.811915</v>
      </c>
      <c r="C1354" t="n" s="0">
        <v>-3247937.811915</v>
      </c>
    </row>
    <row r="1355">
      <c r="A1355" t="n" s="0">
        <v>-86.46</v>
      </c>
      <c r="B1355" t="n" s="0">
        <f>(-5-((((-5*(-5/((-5/(((-5*(-86.46--5))-(-5+((-5*-86.46)*(((-5--5)+(-86.46--5))+-86.46))))-(-5+-5)))*-5)))/-5)--5)+(-5*(((-86.46*(-86.46-(-5/-5)))*(-86.46-(-86.46/(-5*-86.46))))-(-5/-5)))))</f>
        <v>-3246812.89388</v>
      </c>
      <c r="C1355" t="n" s="0">
        <v>-3246812.8938799994</v>
      </c>
    </row>
    <row r="1356">
      <c r="A1356" t="n" s="0">
        <v>-86.45</v>
      </c>
      <c r="B1356" t="n" s="0">
        <f>(-5-((((-5*(-5/((-5/(((-5*(-86.45--5))-(-5+((-5*-86.45)*(((-5--5)+(-86.45--5))+-86.45))))-(-5+-5)))*-5)))/-5)--5)+(-5*(((-86.45*(-86.45-(-5/-5)))*(-86.45-(-86.45/(-5*-86.45))))-(-5/-5)))))</f>
        <v>-3245688.235625</v>
      </c>
      <c r="C1356" t="n" s="0">
        <v>-3245688.235625</v>
      </c>
    </row>
    <row r="1357">
      <c r="A1357" t="n" s="0">
        <v>-86.44</v>
      </c>
      <c r="B1357" t="n" s="0">
        <f>(-5-((((-5*(-5/((-5/(((-5*(-86.44--5))-(-5+((-5*-86.44)*(((-5--5)+(-86.44--5))+-86.44))))-(-5+-5)))*-5)))/-5)--5)+(-5*(((-86.44*(-86.44-(-5/-5)))*(-86.44-(-86.44/(-5*-86.44))))-(-5/-5)))))</f>
        <v>-3244563.8371200003</v>
      </c>
      <c r="C1357" t="n" s="0">
        <v>-3244563.83712</v>
      </c>
    </row>
    <row r="1358">
      <c r="A1358" t="n" s="0">
        <v>-86.43</v>
      </c>
      <c r="B1358" t="n" s="0">
        <f>(-5-((((-5*(-5/((-5/(((-5*(-86.43--5))-(-5+((-5*-86.43)*(((-5--5)+(-86.43--5))+-86.43))))-(-5+-5)))*-5)))/-5)--5)+(-5*(((-86.43*(-86.43-(-5/-5)))*(-86.43-(-86.43/(-5*-86.43))))-(-5/-5)))))</f>
        <v>-3243439.698335</v>
      </c>
      <c r="C1358" t="n" s="0">
        <v>-3243439.698335001</v>
      </c>
    </row>
    <row r="1359">
      <c r="A1359" t="n" s="0">
        <v>-86.42</v>
      </c>
      <c r="B1359" t="n" s="0">
        <f>(-5-((((-5*(-5/((-5/(((-5*(-86.42--5))-(-5+((-5*-86.42)*(((-5--5)+(-86.42--5))+-86.42))))-(-5+-5)))*-5)))/-5)--5)+(-5*(((-86.42*(-86.42-(-5/-5)))*(-86.42-(-86.42/(-5*-86.42))))-(-5/-5)))))</f>
        <v>-3242315.81924</v>
      </c>
      <c r="C1359" t="n" s="0">
        <v>-3242315.81924</v>
      </c>
    </row>
    <row r="1360">
      <c r="A1360" t="n" s="0">
        <v>-86.41</v>
      </c>
      <c r="B1360" t="n" s="0">
        <f>(-5-((((-5*(-5/((-5/(((-5*(-86.41--5))-(-5+((-5*-86.41)*(((-5--5)+(-86.41--5))+-86.41))))-(-5+-5)))*-5)))/-5)--5)+(-5*(((-86.41*(-86.41-(-5/-5)))*(-86.41-(-86.41/(-5*-86.41))))-(-5/-5)))))</f>
        <v>-3241192.199805</v>
      </c>
      <c r="C1360" t="n" s="0">
        <v>-3241192.1998049994</v>
      </c>
    </row>
    <row r="1361">
      <c r="A1361" t="n" s="0">
        <v>-86.4</v>
      </c>
      <c r="B1361" t="n" s="0">
        <f>(-5-((((-5*(-5/((-5/(((-5*(-86.4--5))-(-5+((-5*-86.4)*(((-5--5)+(-86.4--5))+-86.4))))-(-5+-5)))*-5)))/-5)--5)+(-5*(((-86.4*(-86.4-(-5/-5)))*(-86.4-(-86.4/(-5*-86.4))))-(-5/-5)))))</f>
        <v>-3240068.8400000003</v>
      </c>
      <c r="C1361" t="n" s="0">
        <v>-3240068.840000001</v>
      </c>
    </row>
    <row r="1362">
      <c r="A1362" t="n" s="0">
        <v>-86.39</v>
      </c>
      <c r="B1362" t="n" s="0">
        <f>(-5-((((-5*(-5/((-5/(((-5*(-86.39--5))-(-5+((-5*-86.39)*(((-5--5)+(-86.39--5))+-86.39))))-(-5+-5)))*-5)))/-5)--5)+(-5*(((-86.39*(-86.39-(-5/-5)))*(-86.39-(-86.39/(-5*-86.39))))-(-5/-5)))))</f>
        <v>-3238945.739795</v>
      </c>
      <c r="C1362" t="n" s="0">
        <v>-3238945.739795</v>
      </c>
    </row>
    <row r="1363">
      <c r="A1363" t="n" s="0">
        <v>-86.38</v>
      </c>
      <c r="B1363" t="n" s="0">
        <f>(-5-((((-5*(-5/((-5/(((-5*(-86.38--5))-(-5+((-5*-86.38)*(((-5--5)+(-86.38--5))+-86.38))))-(-5+-5)))*-5)))/-5)--5)+(-5*(((-86.38*(-86.38-(-5/-5)))*(-86.38-(-86.38/(-5*-86.38))))-(-5/-5)))))</f>
        <v>-3237822.89916</v>
      </c>
      <c r="C1363" t="n" s="0">
        <v>-3237822.899159999</v>
      </c>
    </row>
    <row r="1364">
      <c r="A1364" t="n" s="0">
        <v>-86.37</v>
      </c>
      <c r="B1364" t="n" s="0">
        <f>(-5-((((-5*(-5/((-5/(((-5*(-86.37--5))-(-5+((-5*-86.37)*(((-5--5)+(-86.37--5))+-86.37))))-(-5+-5)))*-5)))/-5)--5)+(-5*(((-86.37*(-86.37-(-5/-5)))*(-86.37-(-86.37/(-5*-86.37))))-(-5/-5)))))</f>
        <v>-3236700.318065</v>
      </c>
      <c r="C1364" t="n" s="0">
        <v>-3236700.318065</v>
      </c>
    </row>
    <row r="1365">
      <c r="A1365" t="n" s="0">
        <v>-86.36</v>
      </c>
      <c r="B1365" t="n" s="0">
        <f>(-5-((((-5*(-5/((-5/(((-5*(-86.36--5))-(-5+((-5*-86.36)*(((-5--5)+(-86.36--5))+-86.36))))-(-5+-5)))*-5)))/-5)--5)+(-5*(((-86.36*(-86.36-(-5/-5)))*(-86.36-(-86.36/(-5*-86.36))))-(-5/-5)))))</f>
        <v>-3235577.9964799997</v>
      </c>
      <c r="C1365" t="n" s="0">
        <v>-3235577.99648</v>
      </c>
    </row>
    <row r="1366">
      <c r="A1366" t="n" s="0">
        <v>-86.35</v>
      </c>
      <c r="B1366" t="n" s="0">
        <f>(-5-((((-5*(-5/((-5/(((-5*(-86.35--5))-(-5+((-5*-86.35)*(((-5--5)+(-86.35--5))+-86.35))))-(-5+-5)))*-5)))/-5)--5)+(-5*(((-86.35*(-86.35-(-5/-5)))*(-86.35-(-86.35/(-5*-86.35))))-(-5/-5)))))</f>
        <v>-3234455.9343749997</v>
      </c>
      <c r="C1366" t="n" s="0">
        <v>-3234455.934374999</v>
      </c>
    </row>
    <row r="1367">
      <c r="A1367" t="n" s="0">
        <v>-86.34</v>
      </c>
      <c r="B1367" t="n" s="0">
        <f>(-5-((((-5*(-5/((-5/(((-5*(-86.34--5))-(-5+((-5*-86.34)*(((-5--5)+(-86.34--5))+-86.34))))-(-5+-5)))*-5)))/-5)--5)+(-5*(((-86.34*(-86.34-(-5/-5)))*(-86.34-(-86.34/(-5*-86.34))))-(-5/-5)))))</f>
        <v>-3233334.13172</v>
      </c>
      <c r="C1367" t="n" s="0">
        <v>-3233334.1317200004</v>
      </c>
    </row>
    <row r="1368">
      <c r="A1368" t="n" s="0">
        <v>-86.33</v>
      </c>
      <c r="B1368" t="n" s="0">
        <f>(-5-((((-5*(-5/((-5/(((-5*(-86.33--5))-(-5+((-5*-86.33)*(((-5--5)+(-86.33--5))+-86.33))))-(-5+-5)))*-5)))/-5)--5)+(-5*(((-86.33*(-86.33-(-5/-5)))*(-86.33-(-86.33/(-5*-86.33))))-(-5/-5)))))</f>
        <v>-3232212.588485</v>
      </c>
      <c r="C1368" t="n" s="0">
        <v>-3232212.588485</v>
      </c>
    </row>
    <row r="1369">
      <c r="A1369" t="n" s="0">
        <v>-86.32</v>
      </c>
      <c r="B1369" t="n" s="0">
        <f>(-5-((((-5*(-5/((-5/(((-5*(-86.32--5))-(-5+((-5*-86.32)*(((-5--5)+(-86.32--5))+-86.32))))-(-5+-5)))*-5)))/-5)--5)+(-5*(((-86.32*(-86.32-(-5/-5)))*(-86.32-(-86.32/(-5*-86.32))))-(-5/-5)))))</f>
        <v>-3231091.3046399998</v>
      </c>
      <c r="C1369" t="n" s="0">
        <v>-3231091.3046399993</v>
      </c>
    </row>
    <row r="1370">
      <c r="A1370" t="n" s="0">
        <v>-86.31</v>
      </c>
      <c r="B1370" t="n" s="0">
        <f>(-5-((((-5*(-5/((-5/(((-5*(-86.31--5))-(-5+((-5*-86.31)*(((-5--5)+(-86.31--5))+-86.31))))-(-5+-5)))*-5)))/-5)--5)+(-5*(((-86.31*(-86.31-(-5/-5)))*(-86.31-(-86.31/(-5*-86.31))))-(-5/-5)))))</f>
        <v>-3229970.2801550003</v>
      </c>
      <c r="C1370" t="n" s="0">
        <v>-3229970.2801550007</v>
      </c>
    </row>
    <row r="1371">
      <c r="A1371" t="n" s="0">
        <v>-86.3</v>
      </c>
      <c r="B1371" t="n" s="0">
        <f>(-5-((((-5*(-5/((-5/(((-5*(-86.3--5))-(-5+((-5*-86.3)*(((-5--5)+(-86.3--5))+-86.3))))-(-5+-5)))*-5)))/-5)--5)+(-5*(((-86.3*(-86.3-(-5/-5)))*(-86.3-(-86.3/(-5*-86.3))))-(-5/-5)))))</f>
        <v>-3228849.5149999997</v>
      </c>
      <c r="C1371" t="n" s="0">
        <v>-3228849.514999999</v>
      </c>
    </row>
    <row r="1372">
      <c r="A1372" t="n" s="0">
        <v>-86.29</v>
      </c>
      <c r="B1372" t="n" s="0">
        <f>(-5-((((-5*(-5/((-5/(((-5*(-86.29--5))-(-5+((-5*-86.29)*(((-5--5)+(-86.29--5))+-86.29))))-(-5+-5)))*-5)))/-5)--5)+(-5*(((-86.29*(-86.29-(-5/-5)))*(-86.29-(-86.29/(-5*-86.29))))-(-5/-5)))))</f>
        <v>-3227729.009145</v>
      </c>
      <c r="C1372" t="n" s="0">
        <v>-3227729.009145001</v>
      </c>
    </row>
    <row r="1373">
      <c r="A1373" t="n" s="0">
        <v>-86.28</v>
      </c>
      <c r="B1373" t="n" s="0">
        <f>(-5-((((-5*(-5/((-5/(((-5*(-86.28--5))-(-5+((-5*-86.28)*(((-5--5)+(-86.28--5))+-86.28))))-(-5+-5)))*-5)))/-5)--5)+(-5*(((-86.28*(-86.28-(-5/-5)))*(-86.28-(-86.28/(-5*-86.28))))-(-5/-5)))))</f>
        <v>-3226608.7625599997</v>
      </c>
      <c r="C1373" t="n" s="0">
        <v>-3226608.76256</v>
      </c>
    </row>
    <row r="1374">
      <c r="A1374" t="n" s="0">
        <v>-86.27</v>
      </c>
      <c r="B1374" t="n" s="0">
        <f>(-5-((((-5*(-5/((-5/(((-5*(-86.27--5))-(-5+((-5*-86.27)*(((-5--5)+(-86.27--5))+-86.27))))-(-5+-5)))*-5)))/-5)--5)+(-5*(((-86.27*(-86.27-(-5/-5)))*(-86.27-(-86.27/(-5*-86.27))))-(-5/-5)))))</f>
        <v>-3225488.775215</v>
      </c>
      <c r="C1374" t="n" s="0">
        <v>-3225488.7752149994</v>
      </c>
    </row>
    <row r="1375">
      <c r="A1375" t="n" s="0">
        <v>-86.26</v>
      </c>
      <c r="B1375" t="n" s="0">
        <f>(-5-((((-5*(-5/((-5/(((-5*(-86.26--5))-(-5+((-5*-86.26)*(((-5--5)+(-86.26--5))+-86.26))))-(-5+-5)))*-5)))/-5)--5)+(-5*(((-86.26*(-86.26-(-5/-5)))*(-86.26-(-86.26/(-5*-86.26))))-(-5/-5)))))</f>
        <v>-3224369.0470800004</v>
      </c>
      <c r="C1375" t="n" s="0">
        <v>-3224369.04708</v>
      </c>
    </row>
    <row r="1376">
      <c r="A1376" t="n" s="0">
        <v>-86.25</v>
      </c>
      <c r="B1376" t="n" s="0">
        <f>(-5-((((-5*(-5/((-5/(((-5*(-86.25--5))-(-5+((-5*-86.25)*(((-5--5)+(-86.25--5))+-86.25))))-(-5+-5)))*-5)))/-5)--5)+(-5*(((-86.25*(-86.25-(-5/-5)))*(-86.25-(-86.25/(-5*-86.25))))-(-5/-5)))))</f>
        <v>-3223249.578125</v>
      </c>
      <c r="C1376" t="n" s="0">
        <v>-3223249.578125</v>
      </c>
    </row>
    <row r="1377">
      <c r="A1377" t="n" s="0">
        <v>-86.24</v>
      </c>
      <c r="B1377" t="n" s="0">
        <f>(-5-((((-5*(-5/((-5/(((-5*(-86.24--5))-(-5+((-5*-86.24)*(((-5--5)+(-86.24--5))+-86.24))))-(-5+-5)))*-5)))/-5)--5)+(-5*(((-86.24*(-86.24-(-5/-5)))*(-86.24-(-86.24/(-5*-86.24))))-(-5/-5)))))</f>
        <v>-3222130.36832</v>
      </c>
      <c r="C1377" t="n" s="0">
        <v>-3222130.36832</v>
      </c>
    </row>
    <row r="1378">
      <c r="A1378" t="n" s="0">
        <v>-86.23</v>
      </c>
      <c r="B1378" t="n" s="0">
        <f>(-5-((((-5*(-5/((-5/(((-5*(-86.23--5))-(-5+((-5*-86.23)*(((-5--5)+(-86.23--5))+-86.23))))-(-5+-5)))*-5)))/-5)--5)+(-5*(((-86.23*(-86.23-(-5/-5)))*(-86.23-(-86.23/(-5*-86.23))))-(-5/-5)))))</f>
        <v>-3221011.417635</v>
      </c>
      <c r="C1378" t="n" s="0">
        <v>-3221011.417635001</v>
      </c>
    </row>
    <row r="1379">
      <c r="A1379" t="n" s="0">
        <v>-86.22</v>
      </c>
      <c r="B1379" t="n" s="0">
        <f>(-5-((((-5*(-5/((-5/(((-5*(-86.22--5))-(-5+((-5*-86.22)*(((-5--5)+(-86.22--5))+-86.22))))-(-5+-5)))*-5)))/-5)--5)+(-5*(((-86.22*(-86.22-(-5/-5)))*(-86.22-(-86.22/(-5*-86.22))))-(-5/-5)))))</f>
        <v>-3219892.7260399996</v>
      </c>
      <c r="C1379" t="n" s="0">
        <v>-3219892.72604</v>
      </c>
    </row>
    <row r="1380">
      <c r="A1380" t="n" s="0">
        <v>-86.21</v>
      </c>
      <c r="B1380" t="n" s="0">
        <f>(-5-((((-5*(-5/((-5/(((-5*(-86.21--5))-(-5+((-5*-86.21)*(((-5--5)+(-86.21--5))+-86.21))))-(-5+-5)))*-5)))/-5)--5)+(-5*(((-86.21*(-86.21-(-5/-5)))*(-86.21-(-86.21/(-5*-86.21))))-(-5/-5)))))</f>
        <v>-3218774.293505</v>
      </c>
      <c r="C1380" t="n" s="0">
        <v>-3218774.293504999</v>
      </c>
    </row>
    <row r="1381">
      <c r="A1381" t="n" s="0">
        <v>-86.2</v>
      </c>
      <c r="B1381" t="n" s="0">
        <f>(-5-((((-5*(-5/((-5/(((-5*(-86.2--5))-(-5+((-5*-86.2)*(((-5--5)+(-86.2--5))+-86.2))))-(-5+-5)))*-5)))/-5)--5)+(-5*(((-86.2*(-86.2-(-5/-5)))*(-86.2-(-86.2/(-5*-86.2))))-(-5/-5)))))</f>
        <v>-3217656.12</v>
      </c>
      <c r="C1381" t="n" s="0">
        <v>-3217656.1200000006</v>
      </c>
    </row>
    <row r="1382">
      <c r="A1382" t="n" s="0">
        <v>-86.19</v>
      </c>
      <c r="B1382" t="n" s="0">
        <f>(-5-((((-5*(-5/((-5/(((-5*(-86.19--5))-(-5+((-5*-86.19)*(((-5--5)+(-86.19--5))+-86.19))))-(-5+-5)))*-5)))/-5)--5)+(-5*(((-86.19*(-86.19-(-5/-5)))*(-86.19-(-86.19/(-5*-86.19))))-(-5/-5)))))</f>
        <v>-3216538.205495</v>
      </c>
      <c r="C1382" t="n" s="0">
        <v>-3216538.205495</v>
      </c>
    </row>
    <row r="1383">
      <c r="A1383" t="n" s="0">
        <v>-86.18</v>
      </c>
      <c r="B1383" t="n" s="0">
        <f>(-5-((((-5*(-5/((-5/(((-5*(-86.18--5))-(-5+((-5*-86.18)*(((-5--5)+(-86.18--5))+-86.18))))-(-5+-5)))*-5)))/-5)--5)+(-5*(((-86.18*(-86.18-(-5/-5)))*(-86.18-(-86.18/(-5*-86.18))))-(-5/-5)))))</f>
        <v>-3215420.54996</v>
      </c>
      <c r="C1383" t="n" s="0">
        <v>-3215420.5499600014</v>
      </c>
    </row>
    <row r="1384">
      <c r="A1384" t="n" s="0">
        <v>-86.17</v>
      </c>
      <c r="B1384" t="n" s="0">
        <f>(-5-((((-5*(-5/((-5/(((-5*(-86.17--5))-(-5+((-5*-86.17)*(((-5--5)+(-86.17--5))+-86.17))))-(-5+-5)))*-5)))/-5)--5)+(-5*(((-86.17*(-86.17-(-5/-5)))*(-86.17-(-86.17/(-5*-86.17))))-(-5/-5)))))</f>
        <v>-3214303.153365</v>
      </c>
      <c r="C1384" t="n" s="0">
        <v>-3214303.153365</v>
      </c>
    </row>
    <row r="1385">
      <c r="A1385" t="n" s="0">
        <v>-86.16</v>
      </c>
      <c r="B1385" t="n" s="0">
        <f>(-5-((((-5*(-5/((-5/(((-5*(-86.16--5))-(-5+((-5*-86.16)*(((-5--5)+(-86.16--5))+-86.16))))-(-5+-5)))*-5)))/-5)--5)+(-5*(((-86.16*(-86.16-(-5/-5)))*(-86.16-(-86.16/(-5*-86.16))))-(-5/-5)))))</f>
        <v>-3213186.01568</v>
      </c>
      <c r="C1385" t="n" s="0">
        <v>-3213186.0156799997</v>
      </c>
    </row>
    <row r="1386">
      <c r="A1386" t="n" s="0">
        <v>-86.15</v>
      </c>
      <c r="B1386" t="n" s="0">
        <f>(-5-((((-5*(-5/((-5/(((-5*(-86.15--5))-(-5+((-5*-86.15)*(((-5--5)+(-86.15--5))+-86.15))))-(-5+-5)))*-5)))/-5)--5)+(-5*(((-86.15*(-86.15-(-5/-5)))*(-86.15-(-86.15/(-5*-86.15))))-(-5/-5)))))</f>
        <v>-3212069.136875</v>
      </c>
      <c r="C1386" t="n" s="0">
        <v>-3212069.136875001</v>
      </c>
    </row>
    <row r="1387">
      <c r="A1387" t="n" s="0">
        <v>-86.14</v>
      </c>
      <c r="B1387" t="n" s="0">
        <f>(-5-((((-5*(-5/((-5/(((-5*(-86.14--5))-(-5+((-5*-86.14)*(((-5--5)+(-86.14--5))+-86.14))))-(-5+-5)))*-5)))/-5)--5)+(-5*(((-86.14*(-86.14-(-5/-5)))*(-86.14-(-86.14/(-5*-86.14))))-(-5/-5)))))</f>
        <v>-3210952.51692</v>
      </c>
      <c r="C1387" t="n" s="0">
        <v>-3210952.5169200003</v>
      </c>
    </row>
    <row r="1388">
      <c r="A1388" t="n" s="0">
        <v>-86.13</v>
      </c>
      <c r="B1388" t="n" s="0">
        <f>(-5-((((-5*(-5/((-5/(((-5*(-86.13--5))-(-5+((-5*-86.13)*(((-5--5)+(-86.13--5))+-86.13))))-(-5+-5)))*-5)))/-5)--5)+(-5*(((-86.13*(-86.13-(-5/-5)))*(-86.13-(-86.13/(-5*-86.13))))-(-5/-5)))))</f>
        <v>-3209836.155785</v>
      </c>
      <c r="C1388" t="n" s="0">
        <v>-3209836.1557849995</v>
      </c>
    </row>
    <row r="1389">
      <c r="A1389" t="n" s="0">
        <v>-86.12</v>
      </c>
      <c r="B1389" t="n" s="0">
        <f>(-5-((((-5*(-5/((-5/(((-5*(-86.12--5))-(-5+((-5*-86.12)*(((-5--5)+(-86.12--5))+-86.12))))-(-5+-5)))*-5)))/-5)--5)+(-5*(((-86.12*(-86.12-(-5/-5)))*(-86.12-(-86.12/(-5*-86.12))))-(-5/-5)))))</f>
        <v>-3208720.0534400004</v>
      </c>
      <c r="C1389" t="n" s="0">
        <v>-3208720.053440001</v>
      </c>
    </row>
    <row r="1390">
      <c r="A1390" t="n" s="0">
        <v>-86.11</v>
      </c>
      <c r="B1390" t="n" s="0">
        <f>(-5-((((-5*(-5/((-5/(((-5*(-86.11--5))-(-5+((-5*-86.11)*(((-5--5)+(-86.11--5))+-86.11))))-(-5+-5)))*-5)))/-5)--5)+(-5*(((-86.11*(-86.11-(-5/-5)))*(-86.11-(-86.11/(-5*-86.11))))-(-5/-5)))))</f>
        <v>-3207604.209855</v>
      </c>
      <c r="C1390" t="n" s="0">
        <v>-3207604.2098550005</v>
      </c>
    </row>
    <row r="1391">
      <c r="A1391" t="n" s="0">
        <v>-86.1</v>
      </c>
      <c r="B1391" t="n" s="0">
        <f>(-5-((((-5*(-5/((-5/(((-5*(-86.1--5))-(-5+((-5*-86.1)*(((-5--5)+(-86.1--5))+-86.1))))-(-5+-5)))*-5)))/-5)--5)+(-5*(((-86.1*(-86.1-(-5/-5)))*(-86.1-(-86.1/(-5*-86.1))))-(-5/-5)))))</f>
        <v>-3206488.625</v>
      </c>
      <c r="C1391" t="n" s="0">
        <v>-3206488.624999999</v>
      </c>
    </row>
    <row r="1392">
      <c r="A1392" t="n" s="0">
        <v>-86.09</v>
      </c>
      <c r="B1392" t="n" s="0">
        <f>(-5-((((-5*(-5/((-5/(((-5*(-86.09--5))-(-5+((-5*-86.09)*(((-5--5)+(-86.09--5))+-86.09))))-(-5+-5)))*-5)))/-5)--5)+(-5*(((-86.09*(-86.09-(-5/-5)))*(-86.09-(-86.09/(-5*-86.09))))-(-5/-5)))))</f>
        <v>-3205373.298845</v>
      </c>
      <c r="C1392" t="n" s="0">
        <v>-3205373.2988450006</v>
      </c>
    </row>
    <row r="1393">
      <c r="A1393" t="n" s="0">
        <v>-86.08</v>
      </c>
      <c r="B1393" t="n" s="0">
        <f>(-5-((((-5*(-5/((-5/(((-5*(-86.08--5))-(-5+((-5*-86.08)*(((-5--5)+(-86.08--5))+-86.08))))-(-5+-5)))*-5)))/-5)--5)+(-5*(((-86.08*(-86.08-(-5/-5)))*(-86.08-(-86.08/(-5*-86.08))))-(-5/-5)))))</f>
        <v>-3204258.23136</v>
      </c>
      <c r="C1393" t="n" s="0">
        <v>-3204258.23136</v>
      </c>
    </row>
    <row r="1394">
      <c r="A1394" t="n" s="0">
        <v>-86.07</v>
      </c>
      <c r="B1394" t="n" s="0">
        <f>(-5-((((-5*(-5/((-5/(((-5*(-86.07--5))-(-5+((-5*-86.07)*(((-5--5)+(-86.07--5))+-86.07))))-(-5+-5)))*-5)))/-5)--5)+(-5*(((-86.07*(-86.07-(-5/-5)))*(-86.07-(-86.07/(-5*-86.07))))-(-5/-5)))))</f>
        <v>-3203143.422515</v>
      </c>
      <c r="C1394" t="n" s="0">
        <v>-3203143.4225149993</v>
      </c>
    </row>
    <row r="1395">
      <c r="A1395" t="n" s="0">
        <v>-86.06</v>
      </c>
      <c r="B1395" t="n" s="0">
        <f>(-5-((((-5*(-5/((-5/(((-5*(-86.06--5))-(-5+((-5*-86.06)*(((-5--5)+(-86.06--5))+-86.06))))-(-5+-5)))*-5)))/-5)--5)+(-5*(((-86.06*(-86.06-(-5/-5)))*(-86.06-(-86.06/(-5*-86.06))))-(-5/-5)))))</f>
        <v>-3202028.8722800002</v>
      </c>
      <c r="C1395" t="n" s="0">
        <v>-3202028.8722800002</v>
      </c>
    </row>
    <row r="1396">
      <c r="A1396" t="n" s="0">
        <v>-86.05</v>
      </c>
      <c r="B1396" t="n" s="0">
        <f>(-5-((((-5*(-5/((-5/(((-5*(-86.05--5))-(-5+((-5*-86.05)*(((-5--5)+(-86.05--5))+-86.05))))-(-5+-5)))*-5)))/-5)--5)+(-5*(((-86.05*(-86.05-(-5/-5)))*(-86.05-(-86.05/(-5*-86.05))))-(-5/-5)))))</f>
        <v>-3200914.580625</v>
      </c>
      <c r="C1396" t="n" s="0">
        <v>-3200914.580625</v>
      </c>
    </row>
    <row r="1397">
      <c r="A1397" t="n" s="0">
        <v>-86.04</v>
      </c>
      <c r="B1397" t="n" s="0">
        <f>(-5-((((-5*(-5/((-5/(((-5*(-86.04--5))-(-5+((-5*-86.04)*(((-5--5)+(-86.04--5))+-86.04))))-(-5+-5)))*-5)))/-5)--5)+(-5*(((-86.04*(-86.04-(-5/-5)))*(-86.04-(-86.04/(-5*-86.04))))-(-5/-5)))))</f>
        <v>-3199800.54752</v>
      </c>
      <c r="C1397" t="n" s="0">
        <v>-3199800.5475200005</v>
      </c>
    </row>
    <row r="1398">
      <c r="A1398" t="n" s="0">
        <v>-86.03</v>
      </c>
      <c r="B1398" t="n" s="0">
        <f>(-5-((((-5*(-5/((-5/(((-5*(-86.03--5))-(-5+((-5*-86.03)*(((-5--5)+(-86.03--5))+-86.03))))-(-5+-5)))*-5)))/-5)--5)+(-5*(((-86.03*(-86.03-(-5/-5)))*(-86.03-(-86.03/(-5*-86.03))))-(-5/-5)))))</f>
        <v>-3198686.7729350002</v>
      </c>
      <c r="C1398" t="n" s="0">
        <v>-3198686.7729350002</v>
      </c>
    </row>
    <row r="1399">
      <c r="A1399" t="n" s="0">
        <v>-86.02</v>
      </c>
      <c r="B1399" t="n" s="0">
        <f>(-5-((((-5*(-5/((-5/(((-5*(-86.02--5))-(-5+((-5*-86.02)*(((-5--5)+(-86.02--5))+-86.02))))-(-5+-5)))*-5)))/-5)--5)+(-5*(((-86.02*(-86.02-(-5/-5)))*(-86.02-(-86.02/(-5*-86.02))))-(-5/-5)))))</f>
        <v>-3197573.25684</v>
      </c>
      <c r="C1399" t="n" s="0">
        <v>-3197573.25684</v>
      </c>
    </row>
    <row r="1400">
      <c r="A1400" t="n" s="0">
        <v>-86.01</v>
      </c>
      <c r="B1400" t="n" s="0">
        <f>(-5-((((-5*(-5/((-5/(((-5*(-86.01--5))-(-5+((-5*-86.01)*(((-5--5)+(-86.01--5))+-86.01))))-(-5+-5)))*-5)))/-5)--5)+(-5*(((-86.01*(-86.01-(-5/-5)))*(-86.01-(-86.01/(-5*-86.01))))-(-5/-5)))))</f>
        <v>-3196459.999205</v>
      </c>
      <c r="C1400" t="n" s="0">
        <v>-3196459.9992050002</v>
      </c>
    </row>
    <row r="1401">
      <c r="A1401" t="n" s="0">
        <v>-86.0</v>
      </c>
      <c r="B1401" t="n" s="0">
        <f>(-5-((((-5*(-5/((-5/(((-5*(-86--5))-(-5+((-5*-86)*(((-5--5)+(-86--5))+-86))))-(-5+-5)))*-5)))/-5)--5)+(-5*(((-86*(-86-(-5/-5)))*(-86-(-86/(-5*-86))))-(-5/-5)))))</f>
        <v>-3195347.0</v>
      </c>
      <c r="C1401" t="n" s="0">
        <v>-3195347.0</v>
      </c>
    </row>
    <row r="1402">
      <c r="A1402" t="n" s="0">
        <v>-85.99</v>
      </c>
      <c r="B1402" t="n" s="0">
        <f>(-5-((((-5*(-5/((-5/(((-5*(-85.99--5))-(-5+((-5*-85.99)*(((-5--5)+(-85.99--5))+-85.99))))-(-5+-5)))*-5)))/-5)--5)+(-5*(((-85.99*(-85.99-(-5/-5)))*(-85.99-(-85.99/(-5*-85.99))))-(-5/-5)))))</f>
        <v>-3194234.259195</v>
      </c>
      <c r="C1402" t="n" s="0">
        <v>-3194234.259195</v>
      </c>
    </row>
    <row r="1403">
      <c r="A1403" t="n" s="0">
        <v>-85.98</v>
      </c>
      <c r="B1403" t="n" s="0">
        <f>(-5-((((-5*(-5/((-5/(((-5*(-85.98--5))-(-5+((-5*-85.98)*(((-5--5)+(-85.98--5))+-85.98))))-(-5+-5)))*-5)))/-5)--5)+(-5*(((-85.98*(-85.98-(-5/-5)))*(-85.98-(-85.98/(-5*-85.98))))-(-5/-5)))))</f>
        <v>-3193121.77676</v>
      </c>
      <c r="C1403" t="n" s="0">
        <v>-3193121.7767600003</v>
      </c>
    </row>
    <row r="1404">
      <c r="A1404" t="n" s="0">
        <v>-85.97</v>
      </c>
      <c r="B1404" t="n" s="0">
        <f>(-5-((((-5*(-5/((-5/(((-5*(-85.97--5))-(-5+((-5*-85.97)*(((-5--5)+(-85.97--5))+-85.97))))-(-5+-5)))*-5)))/-5)--5)+(-5*(((-85.97*(-85.97-(-5/-5)))*(-85.97-(-85.97/(-5*-85.97))))-(-5/-5)))))</f>
        <v>-3192009.552665</v>
      </c>
      <c r="C1404" t="n" s="0">
        <v>-3192009.552665</v>
      </c>
    </row>
    <row r="1405">
      <c r="A1405" t="n" s="0">
        <v>-85.96</v>
      </c>
      <c r="B1405" t="n" s="0">
        <f>(-5-((((-5*(-5/((-5/(((-5*(-85.96--5))-(-5+((-5*-85.96)*(((-5--5)+(-85.96--5))+-85.96))))-(-5+-5)))*-5)))/-5)--5)+(-5*(((-85.96*(-85.96-(-5/-5)))*(-85.96-(-85.96/(-5*-85.96))))-(-5/-5)))))</f>
        <v>-3190897.58688</v>
      </c>
      <c r="C1405" t="n" s="0">
        <v>-3190897.5868799994</v>
      </c>
    </row>
    <row r="1406">
      <c r="A1406" t="n" s="0">
        <v>-85.95</v>
      </c>
      <c r="B1406" t="n" s="0">
        <f>(-5-((((-5*(-5/((-5/(((-5*(-85.95--5))-(-5+((-5*-85.95)*(((-5--5)+(-85.95--5))+-85.95))))-(-5+-5)))*-5)))/-5)--5)+(-5*(((-85.95*(-85.95-(-5/-5)))*(-85.95-(-85.95/(-5*-85.95))))-(-5/-5)))))</f>
        <v>-3189785.879375</v>
      </c>
      <c r="C1406" t="n" s="0">
        <v>-3189785.8793750005</v>
      </c>
    </row>
    <row r="1407">
      <c r="A1407" t="n" s="0">
        <v>-85.94</v>
      </c>
      <c r="B1407" t="n" s="0">
        <f>(-5-((((-5*(-5/((-5/(((-5*(-85.94--5))-(-5+((-5*-85.94)*(((-5--5)+(-85.94--5))+-85.94))))-(-5+-5)))*-5)))/-5)--5)+(-5*(((-85.94*(-85.94-(-5/-5)))*(-85.94-(-85.94/(-5*-85.94))))-(-5/-5)))))</f>
        <v>-3188674.43012</v>
      </c>
      <c r="C1407" t="n" s="0">
        <v>-3188674.4301199997</v>
      </c>
    </row>
    <row r="1408">
      <c r="A1408" t="n" s="0">
        <v>-85.93</v>
      </c>
      <c r="B1408" t="n" s="0">
        <f>(-5-((((-5*(-5/((-5/(((-5*(-85.93--5))-(-5+((-5*-85.93)*(((-5--5)+(-85.93--5))+-85.93))))-(-5+-5)))*-5)))/-5)--5)+(-5*(((-85.93*(-85.93-(-5/-5)))*(-85.93-(-85.93/(-5*-85.93))))-(-5/-5)))))</f>
        <v>-3187563.239085</v>
      </c>
      <c r="C1408" t="n" s="0">
        <v>-3187563.239085001</v>
      </c>
    </row>
    <row r="1409">
      <c r="A1409" t="n" s="0">
        <v>-85.92</v>
      </c>
      <c r="B1409" t="n" s="0">
        <f>(-5-((((-5*(-5/((-5/(((-5*(-85.92--5))-(-5+((-5*-85.92)*(((-5--5)+(-85.92--5))+-85.92))))-(-5+-5)))*-5)))/-5)--5)+(-5*(((-85.92*(-85.92-(-5/-5)))*(-85.92-(-85.92/(-5*-85.92))))-(-5/-5)))))</f>
        <v>-3186452.30624</v>
      </c>
      <c r="C1409" t="n" s="0">
        <v>-3186452.30624</v>
      </c>
    </row>
    <row r="1410">
      <c r="A1410" t="n" s="0">
        <v>-85.91</v>
      </c>
      <c r="B1410" t="n" s="0">
        <f>(-5-((((-5*(-5/((-5/(((-5*(-85.91--5))-(-5+((-5*-85.91)*(((-5--5)+(-85.91--5))+-85.91))))-(-5+-5)))*-5)))/-5)--5)+(-5*(((-85.91*(-85.91-(-5/-5)))*(-85.91-(-85.91/(-5*-85.91))))-(-5/-5)))))</f>
        <v>-3185341.6315550003</v>
      </c>
      <c r="C1410" t="n" s="0">
        <v>-3185341.631555</v>
      </c>
    </row>
    <row r="1411">
      <c r="A1411" t="n" s="0">
        <v>-85.9</v>
      </c>
      <c r="B1411" t="n" s="0">
        <f>(-5-((((-5*(-5/((-5/(((-5*(-85.9--5))-(-5+((-5*-85.9)*(((-5--5)+(-85.9--5))+-85.9))))-(-5+-5)))*-5)))/-5)--5)+(-5*(((-85.9*(-85.9-(-5/-5)))*(-85.9-(-85.9/(-5*-85.9))))-(-5/-5)))))</f>
        <v>-3184231.215</v>
      </c>
      <c r="C1411" t="n" s="0">
        <v>-3184231.215000001</v>
      </c>
    </row>
    <row r="1412">
      <c r="A1412" t="n" s="0">
        <v>-85.89</v>
      </c>
      <c r="B1412" t="n" s="0">
        <f>(-5-((((-5*(-5/((-5/(((-5*(-85.89--5))-(-5+((-5*-85.89)*(((-5--5)+(-85.89--5))+-85.89))))-(-5+-5)))*-5)))/-5)--5)+(-5*(((-85.89*(-85.89-(-5/-5)))*(-85.89-(-85.89/(-5*-85.89))))-(-5/-5)))))</f>
        <v>-3183121.056545</v>
      </c>
      <c r="C1412" t="n" s="0">
        <v>-3183121.056545</v>
      </c>
    </row>
    <row r="1413">
      <c r="A1413" t="n" s="0">
        <v>-85.88</v>
      </c>
      <c r="B1413" t="n" s="0">
        <f>(-5-((((-5*(-5/((-5/(((-5*(-85.88--5))-(-5+((-5*-85.88)*(((-5--5)+(-85.88--5))+-85.88))))-(-5+-5)))*-5)))/-5)--5)+(-5*(((-85.88*(-85.88-(-5/-5)))*(-85.88-(-85.88/(-5*-85.88))))-(-5/-5)))))</f>
        <v>-3182011.15616</v>
      </c>
      <c r="C1413" t="n" s="0">
        <v>-3182011.15616</v>
      </c>
    </row>
    <row r="1414">
      <c r="A1414" t="n" s="0">
        <v>-85.87</v>
      </c>
      <c r="B1414" t="n" s="0">
        <f>(-5-((((-5*(-5/((-5/(((-5*(-85.87--5))-(-5+((-5*-85.87)*(((-5--5)+(-85.87--5))+-85.87))))-(-5+-5)))*-5)))/-5)--5)+(-5*(((-85.87*(-85.87-(-5/-5)))*(-85.87-(-85.87/(-5*-85.87))))-(-5/-5)))))</f>
        <v>-3180901.5138149997</v>
      </c>
      <c r="C1414" t="n" s="0">
        <v>-3180901.5138150007</v>
      </c>
    </row>
    <row r="1415">
      <c r="A1415" t="n" s="0">
        <v>-85.86</v>
      </c>
      <c r="B1415" t="n" s="0">
        <f>(-5-((((-5*(-5/((-5/(((-5*(-85.86--5))-(-5+((-5*-85.86)*(((-5--5)+(-85.86--5))+-85.86))))-(-5+-5)))*-5)))/-5)--5)+(-5*(((-85.86*(-85.86-(-5/-5)))*(-85.86-(-85.86/(-5*-85.86))))-(-5/-5)))))</f>
        <v>-3179792.12948</v>
      </c>
      <c r="C1415" t="n" s="0">
        <v>-3179792.12948</v>
      </c>
    </row>
    <row r="1416">
      <c r="A1416" t="n" s="0">
        <v>-85.85</v>
      </c>
      <c r="B1416" t="n" s="0">
        <f>(-5-((((-5*(-5/((-5/(((-5*(-85.85--5))-(-5+((-5*-85.85)*(((-5--5)+(-85.85--5))+-85.85))))-(-5+-5)))*-5)))/-5)--5)+(-5*(((-85.85*(-85.85-(-5/-5)))*(-85.85-(-85.85/(-5*-85.85))))-(-5/-5)))))</f>
        <v>-3178683.0031250003</v>
      </c>
      <c r="C1416" t="n" s="0">
        <v>-3178683.0031249993</v>
      </c>
    </row>
    <row r="1417">
      <c r="A1417" t="n" s="0">
        <v>-85.84</v>
      </c>
      <c r="B1417" t="n" s="0">
        <f>(-5-((((-5*(-5/((-5/(((-5*(-85.84--5))-(-5+((-5*-85.84)*(((-5--5)+(-85.84--5))+-85.84))))-(-5+-5)))*-5)))/-5)--5)+(-5*(((-85.84*(-85.84-(-5/-5)))*(-85.84-(-85.84/(-5*-85.84))))-(-5/-5)))))</f>
        <v>-3177574.13472</v>
      </c>
      <c r="C1417" t="n" s="0">
        <v>-3177574.1347200004</v>
      </c>
    </row>
    <row r="1418">
      <c r="A1418" t="n" s="0">
        <v>-85.83</v>
      </c>
      <c r="B1418" t="n" s="0">
        <f>(-5-((((-5*(-5/((-5/(((-5*(-85.83--5))-(-5+((-5*-85.83)*(((-5--5)+(-85.83--5))+-85.83))))-(-5+-5)))*-5)))/-5)--5)+(-5*(((-85.83*(-85.83-(-5/-5)))*(-85.83-(-85.83/(-5*-85.83))))-(-5/-5)))))</f>
        <v>-3176465.5242350004</v>
      </c>
      <c r="C1418" t="n" s="0">
        <v>-3176465.5242350004</v>
      </c>
    </row>
    <row r="1419">
      <c r="A1419" t="n" s="0">
        <v>-85.82</v>
      </c>
      <c r="B1419" t="n" s="0">
        <f>(-5-((((-5*(-5/((-5/(((-5*(-85.82--5))-(-5+((-5*-85.82)*(((-5--5)+(-85.82--5))+-85.82))))-(-5+-5)))*-5)))/-5)--5)+(-5*(((-85.82*(-85.82-(-5/-5)))*(-85.82-(-85.82/(-5*-85.82))))-(-5/-5)))))</f>
        <v>-3175357.17164</v>
      </c>
      <c r="C1419" t="n" s="0">
        <v>-3175357.171639999</v>
      </c>
    </row>
    <row r="1420">
      <c r="A1420" t="n" s="0">
        <v>-85.81</v>
      </c>
      <c r="B1420" t="n" s="0">
        <f>(-5-((((-5*(-5/((-5/(((-5*(-85.81--5))-(-5+((-5*-85.81)*(((-5--5)+(-85.81--5))+-85.81))))-(-5+-5)))*-5)))/-5)--5)+(-5*(((-85.81*(-85.81-(-5/-5)))*(-85.81-(-85.81/(-5*-85.81))))-(-5/-5)))))</f>
        <v>-3174249.076905</v>
      </c>
      <c r="C1420" t="n" s="0">
        <v>-3174249.0769050005</v>
      </c>
    </row>
    <row r="1421">
      <c r="A1421" t="n" s="0">
        <v>-85.8</v>
      </c>
      <c r="B1421" t="n" s="0">
        <f>(-5-((((-5*(-5/((-5/(((-5*(-85.8--5))-(-5+((-5*-85.8)*(((-5--5)+(-85.8--5))+-85.8))))-(-5+-5)))*-5)))/-5)--5)+(-5*(((-85.8*(-85.8-(-5/-5)))*(-85.8-(-85.8/(-5*-85.8))))-(-5/-5)))))</f>
        <v>-3173141.2399999998</v>
      </c>
      <c r="C1421" t="n" s="0">
        <v>-3173141.2399999993</v>
      </c>
    </row>
    <row r="1422">
      <c r="A1422" t="n" s="0">
        <v>-85.79</v>
      </c>
      <c r="B1422" t="n" s="0">
        <f>(-5-((((-5*(-5/((-5/(((-5*(-85.79--5))-(-5+((-5*-85.79)*(((-5--5)+(-85.79--5))+-85.79))))-(-5+-5)))*-5)))/-5)--5)+(-5*(((-85.79*(-85.79-(-5/-5)))*(-85.79-(-85.79/(-5*-85.79))))-(-5/-5)))))</f>
        <v>-3172033.6608949997</v>
      </c>
      <c r="C1422" t="n" s="0">
        <v>-3172033.660895001</v>
      </c>
    </row>
    <row r="1423">
      <c r="A1423" t="n" s="0">
        <v>-85.78</v>
      </c>
      <c r="B1423" t="n" s="0">
        <f>(-5-((((-5*(-5/((-5/(((-5*(-85.78--5))-(-5+((-5*-85.78)*(((-5--5)+(-85.78--5))+-85.78))))-(-5+-5)))*-5)))/-5)--5)+(-5*(((-85.78*(-85.78-(-5/-5)))*(-85.78-(-85.78/(-5*-85.78))))-(-5/-5)))))</f>
        <v>-3170926.3395599998</v>
      </c>
      <c r="C1423" t="n" s="0">
        <v>-3170926.3395599998</v>
      </c>
    </row>
    <row r="1424">
      <c r="A1424" t="n" s="0">
        <v>-85.77</v>
      </c>
      <c r="B1424" t="n" s="0">
        <f>(-5-((((-5*(-5/((-5/(((-5*(-85.77--5))-(-5+((-5*-85.77)*(((-5--5)+(-85.77--5))+-85.77))))-(-5+-5)))*-5)))/-5)--5)+(-5*(((-85.77*(-85.77-(-5/-5)))*(-85.77-(-85.77/(-5*-85.77))))-(-5/-5)))))</f>
        <v>-3169819.275965</v>
      </c>
      <c r="C1424" t="n" s="0">
        <v>-3169819.275965</v>
      </c>
    </row>
    <row r="1425">
      <c r="A1425" t="n" s="0">
        <v>-85.76</v>
      </c>
      <c r="B1425" t="n" s="0">
        <f>(-5-((((-5*(-5/((-5/(((-5*(-85.76--5))-(-5+((-5*-85.76)*(((-5--5)+(-85.76--5))+-85.76))))-(-5+-5)))*-5)))/-5)--5)+(-5*(((-85.76*(-85.76-(-5/-5)))*(-85.76-(-85.76/(-5*-85.76))))-(-5/-5)))))</f>
        <v>-3168712.4700800003</v>
      </c>
      <c r="C1425" t="n" s="0">
        <v>-3168712.4700800003</v>
      </c>
    </row>
    <row r="1426">
      <c r="A1426" t="n" s="0">
        <v>-85.75</v>
      </c>
      <c r="B1426" t="n" s="0">
        <f>(-5-((((-5*(-5/((-5/(((-5*(-85.75--5))-(-5+((-5*-85.75)*(((-5--5)+(-85.75--5))+-85.75))))-(-5+-5)))*-5)))/-5)--5)+(-5*(((-85.75*(-85.75-(-5/-5)))*(-85.75-(-85.75/(-5*-85.75))))-(-5/-5)))))</f>
        <v>-3167605.921875</v>
      </c>
      <c r="C1426" t="n" s="0">
        <v>-3167605.921875</v>
      </c>
    </row>
    <row r="1427">
      <c r="A1427" t="n" s="0">
        <v>-85.74</v>
      </c>
      <c r="B1427" t="n" s="0">
        <f>(-5-((((-5*(-5/((-5/(((-5*(-85.74--5))-(-5+((-5*-85.74)*(((-5--5)+(-85.74--5))+-85.74))))-(-5+-5)))*-5)))/-5)--5)+(-5*(((-85.74*(-85.74-(-5/-5)))*(-85.74-(-85.74/(-5*-85.74))))-(-5/-5)))))</f>
        <v>-3166499.63132</v>
      </c>
      <c r="C1427" t="n" s="0">
        <v>-3166499.6313199997</v>
      </c>
    </row>
    <row r="1428">
      <c r="A1428" t="n" s="0">
        <v>-85.73</v>
      </c>
      <c r="B1428" t="n" s="0">
        <f>(-5-((((-5*(-5/((-5/(((-5*(-85.73--5))-(-5+((-5*-85.73)*(((-5--5)+(-85.73--5))+-85.73))))-(-5+-5)))*-5)))/-5)--5)+(-5*(((-85.73*(-85.73-(-5/-5)))*(-85.73-(-85.73/(-5*-85.73))))-(-5/-5)))))</f>
        <v>-3165393.598385</v>
      </c>
      <c r="C1428" t="n" s="0">
        <v>-3165393.598385001</v>
      </c>
    </row>
    <row r="1429">
      <c r="A1429" t="n" s="0">
        <v>-85.72</v>
      </c>
      <c r="B1429" t="n" s="0">
        <f>(-5-((((-5*(-5/((-5/(((-5*(-85.72--5))-(-5+((-5*-85.72)*(((-5--5)+(-85.72--5))+-85.72))))-(-5+-5)))*-5)))/-5)--5)+(-5*(((-85.72*(-85.72-(-5/-5)))*(-85.72-(-85.72/(-5*-85.72))))-(-5/-5)))))</f>
        <v>-3164287.82304</v>
      </c>
      <c r="C1429" t="n" s="0">
        <v>-3164287.82304</v>
      </c>
    </row>
    <row r="1430">
      <c r="A1430" t="n" s="0">
        <v>-85.71</v>
      </c>
      <c r="B1430" t="n" s="0">
        <f>(-5-((((-5*(-5/((-5/(((-5*(-85.71--5))-(-5+((-5*-85.71)*(((-5--5)+(-85.71--5))+-85.71))))-(-5+-5)))*-5)))/-5)--5)+(-5*(((-85.71*(-85.71-(-5/-5)))*(-85.71-(-85.71/(-5*-85.71))))-(-5/-5)))))</f>
        <v>-3163182.305255</v>
      </c>
      <c r="C1430" t="n" s="0">
        <v>-3163182.3052549995</v>
      </c>
    </row>
    <row r="1431">
      <c r="A1431" t="n" s="0">
        <v>-85.7</v>
      </c>
      <c r="B1431" t="n" s="0">
        <f>(-5-((((-5*(-5/((-5/(((-5*(-85.7--5))-(-5+((-5*-85.7)*(((-5--5)+(-85.7--5))+-85.7))))-(-5+-5)))*-5)))/-5)--5)+(-5*(((-85.7*(-85.7-(-5/-5)))*(-85.7-(-85.7/(-5*-85.7))))-(-5/-5)))))</f>
        <v>-3162077.045</v>
      </c>
      <c r="C1431" t="n" s="0">
        <v>-3162077.0450000004</v>
      </c>
    </row>
    <row r="1432">
      <c r="A1432" t="n" s="0">
        <v>-85.69</v>
      </c>
      <c r="B1432" t="n" s="0">
        <f>(-5-((((-5*(-5/((-5/(((-5*(-85.69--5))-(-5+((-5*-85.69)*(((-5--5)+(-85.69--5))+-85.69))))-(-5+-5)))*-5)))/-5)--5)+(-5*(((-85.69*(-85.69-(-5/-5)))*(-85.69-(-85.69/(-5*-85.69))))-(-5/-5)))))</f>
        <v>-3160972.042245</v>
      </c>
      <c r="C1432" t="n" s="0">
        <v>-3160972.0422449997</v>
      </c>
    </row>
    <row r="1433">
      <c r="A1433" t="n" s="0">
        <v>-85.68</v>
      </c>
      <c r="B1433" t="n" s="0">
        <f>(-5-((((-5*(-5/((-5/(((-5*(-85.68--5))-(-5+((-5*-85.68)*(((-5--5)+(-85.68--5))+-85.68))))-(-5+-5)))*-5)))/-5)--5)+(-5*(((-85.68*(-85.68-(-5/-5)))*(-85.68-(-85.68/(-5*-85.68))))-(-5/-5)))))</f>
        <v>-3159867.29696</v>
      </c>
      <c r="C1433" t="n" s="0">
        <v>-3159867.296960001</v>
      </c>
    </row>
    <row r="1434">
      <c r="A1434" t="n" s="0">
        <v>-85.67</v>
      </c>
      <c r="B1434" t="n" s="0">
        <f>(-5-((((-5*(-5/((-5/(((-5*(-85.67--5))-(-5+((-5*-85.67)*(((-5--5)+(-85.67--5))+-85.67))))-(-5+-5)))*-5)))/-5)--5)+(-5*(((-85.67*(-85.67-(-5/-5)))*(-85.67-(-85.67/(-5*-85.67))))-(-5/-5)))))</f>
        <v>-3158762.809115</v>
      </c>
      <c r="C1434" t="n" s="0">
        <v>-3158762.809115</v>
      </c>
    </row>
    <row r="1435">
      <c r="A1435" t="n" s="0">
        <v>-85.66</v>
      </c>
      <c r="B1435" t="n" s="0">
        <f>(-5-((((-5*(-5/((-5/(((-5*(-85.66--5))-(-5+((-5*-85.66)*(((-5--5)+(-85.66--5))+-85.66))))-(-5+-5)))*-5)))/-5)--5)+(-5*(((-85.66*(-85.66-(-5/-5)))*(-85.66-(-85.66/(-5*-85.66))))-(-5/-5)))))</f>
        <v>-3157658.57868</v>
      </c>
      <c r="C1435" t="n" s="0">
        <v>-3157658.5786799993</v>
      </c>
    </row>
    <row r="1436">
      <c r="A1436" t="n" s="0">
        <v>-85.65</v>
      </c>
      <c r="B1436" t="n" s="0">
        <f>(-5-((((-5*(-5/((-5/(((-5*(-85.65--5))-(-5+((-5*-85.65)*(((-5--5)+(-85.65--5))+-85.65))))-(-5+-5)))*-5)))/-5)--5)+(-5*(((-85.65*(-85.65-(-5/-5)))*(-85.65-(-85.65/(-5*-85.65))))-(-5/-5)))))</f>
        <v>-3156554.605625</v>
      </c>
      <c r="C1436" t="n" s="0">
        <v>-3156554.6056250012</v>
      </c>
    </row>
    <row r="1437">
      <c r="A1437" t="n" s="0">
        <v>-85.64</v>
      </c>
      <c r="B1437" t="n" s="0">
        <f>(-5-((((-5*(-5/((-5/(((-5*(-85.64--5))-(-5+((-5*-85.64)*(((-5--5)+(-85.64--5))+-85.64))))-(-5+-5)))*-5)))/-5)--5)+(-5*(((-85.64*(-85.64-(-5/-5)))*(-85.64-(-85.64/(-5*-85.64))))-(-5/-5)))))</f>
        <v>-3155450.88992</v>
      </c>
      <c r="C1437" t="n" s="0">
        <v>-3155450.88992</v>
      </c>
    </row>
    <row r="1438">
      <c r="A1438" t="n" s="0">
        <v>-85.63</v>
      </c>
      <c r="B1438" t="n" s="0">
        <f>(-5-((((-5*(-5/((-5/(((-5*(-85.63--5))-(-5+((-5*-85.63)*(((-5--5)+(-85.63--5))+-85.63))))-(-5+-5)))*-5)))/-5)--5)+(-5*(((-85.63*(-85.63-(-5/-5)))*(-85.63-(-85.63/(-5*-85.63))))-(-5/-5)))))</f>
        <v>-3154347.431535</v>
      </c>
      <c r="C1438" t="n" s="0">
        <v>-3154347.4315349995</v>
      </c>
    </row>
    <row r="1439">
      <c r="A1439" t="n" s="0">
        <v>-85.62</v>
      </c>
      <c r="B1439" t="n" s="0">
        <f>(-5-((((-5*(-5/((-5/(((-5*(-85.62--5))-(-5+((-5*-85.62)*(((-5--5)+(-85.62--5))+-85.62))))-(-5+-5)))*-5)))/-5)--5)+(-5*(((-85.62*(-85.62-(-5/-5)))*(-85.62-(-85.62/(-5*-85.62))))-(-5/-5)))))</f>
        <v>-3153244.23044</v>
      </c>
      <c r="C1439" t="n" s="0">
        <v>-3153244.23044</v>
      </c>
    </row>
    <row r="1440">
      <c r="A1440" t="n" s="0">
        <v>-85.61</v>
      </c>
      <c r="B1440" t="n" s="0">
        <f>(-5-((((-5*(-5/((-5/(((-5*(-85.61--5))-(-5+((-5*-85.61)*(((-5--5)+(-85.61--5))+-85.61))))-(-5+-5)))*-5)))/-5)--5)+(-5*(((-85.61*(-85.61-(-5/-5)))*(-85.61-(-85.61/(-5*-85.61))))-(-5/-5)))))</f>
        <v>-3152141.286605</v>
      </c>
      <c r="C1440" t="n" s="0">
        <v>-3152141.286605</v>
      </c>
    </row>
    <row r="1441">
      <c r="A1441" t="n" s="0">
        <v>-85.6</v>
      </c>
      <c r="B1441" t="n" s="0">
        <f>(-5-((((-5*(-5/((-5/(((-5*(-85.6--5))-(-5+((-5*-85.6)*(((-5--5)+(-85.6--5))+-85.6))))-(-5+-5)))*-5)))/-5)--5)+(-5*(((-85.6*(-85.6-(-5/-5)))*(-85.6-(-85.6/(-5*-85.6))))-(-5/-5)))))</f>
        <v>-3151038.6</v>
      </c>
      <c r="C1441" t="n" s="0">
        <v>-3151038.599999999</v>
      </c>
    </row>
    <row r="1442">
      <c r="A1442" t="n" s="0">
        <v>-85.59</v>
      </c>
      <c r="B1442" t="n" s="0">
        <f>(-5-((((-5*(-5/((-5/(((-5*(-85.59--5))-(-5+((-5*-85.59)*(((-5--5)+(-85.59--5))+-85.59))))-(-5+-5)))*-5)))/-5)--5)+(-5*(((-85.59*(-85.59-(-5/-5)))*(-85.59-(-85.59/(-5*-85.59))))-(-5/-5)))))</f>
        <v>-3149936.170595</v>
      </c>
      <c r="C1442" t="n" s="0">
        <v>-3149936.1705950005</v>
      </c>
    </row>
    <row r="1443">
      <c r="A1443" t="n" s="0">
        <v>-85.58</v>
      </c>
      <c r="B1443" t="n" s="0">
        <f>(-5-((((-5*(-5/((-5/(((-5*(-85.58--5))-(-5+((-5*-85.58)*(((-5--5)+(-85.58--5))+-85.58))))-(-5+-5)))*-5)))/-5)--5)+(-5*(((-85.58*(-85.58-(-5/-5)))*(-85.58-(-85.58/(-5*-85.58))))-(-5/-5)))))</f>
        <v>-3148833.9983599996</v>
      </c>
      <c r="C1443" t="n" s="0">
        <v>-3148833.99836</v>
      </c>
    </row>
    <row r="1444">
      <c r="A1444" t="n" s="0">
        <v>-85.57</v>
      </c>
      <c r="B1444" t="n" s="0">
        <f>(-5-((((-5*(-5/((-5/(((-5*(-85.57--5))-(-5+((-5*-85.57)*(((-5--5)+(-85.57--5))+-85.57))))-(-5+-5)))*-5)))/-5)--5)+(-5*(((-85.57*(-85.57-(-5/-5)))*(-85.57-(-85.57/(-5*-85.57))))-(-5/-5)))))</f>
        <v>-3147732.083265</v>
      </c>
      <c r="C1444" t="n" s="0">
        <v>-3147732.0832649996</v>
      </c>
    </row>
    <row r="1445">
      <c r="A1445" t="n" s="0">
        <v>-85.56</v>
      </c>
      <c r="B1445" t="n" s="0">
        <f>(-5-((((-5*(-5/((-5/(((-5*(-85.56--5))-(-5+((-5*-85.56)*(((-5--5)+(-85.56--5))+-85.56))))-(-5+-5)))*-5)))/-5)--5)+(-5*(((-85.56*(-85.56-(-5/-5)))*(-85.56-(-85.56/(-5*-85.56))))-(-5/-5)))))</f>
        <v>-3146630.42528</v>
      </c>
      <c r="C1445" t="n" s="0">
        <v>-3146630.4252800005</v>
      </c>
    </row>
    <row r="1446">
      <c r="A1446" t="n" s="0">
        <v>-85.55</v>
      </c>
      <c r="B1446" t="n" s="0">
        <f>(-5-((((-5*(-5/((-5/(((-5*(-85.55--5))-(-5+((-5*-85.55)*(((-5--5)+(-85.55--5))+-85.55))))-(-5+-5)))*-5)))/-5)--5)+(-5*(((-85.55*(-85.55-(-5/-5)))*(-85.55-(-85.55/(-5*-85.55))))-(-5/-5)))))</f>
        <v>-3145529.024375</v>
      </c>
      <c r="C1446" t="n" s="0">
        <v>-3145529.024375</v>
      </c>
    </row>
    <row r="1447">
      <c r="A1447" t="n" s="0">
        <v>-85.54</v>
      </c>
      <c r="B1447" t="n" s="0">
        <f>(-5-((((-5*(-5/((-5/(((-5*(-85.54--5))-(-5+((-5*-85.54)*(((-5--5)+(-85.54--5))+-85.54))))-(-5+-5)))*-5)))/-5)--5)+(-5*(((-85.54*(-85.54-(-5/-5)))*(-85.54-(-85.54/(-5*-85.54))))-(-5/-5)))))</f>
        <v>-3144427.8805199997</v>
      </c>
      <c r="C1447" t="n" s="0">
        <v>-3144427.880520001</v>
      </c>
    </row>
    <row r="1448">
      <c r="A1448" t="n" s="0">
        <v>-85.53</v>
      </c>
      <c r="B1448" t="n" s="0">
        <f>(-5-((((-5*(-5/((-5/(((-5*(-85.53--5))-(-5+((-5*-85.53)*(((-5--5)+(-85.53--5))+-85.53))))-(-5+-5)))*-5)))/-5)--5)+(-5*(((-85.53*(-85.53-(-5/-5)))*(-85.53-(-85.53/(-5*-85.53))))-(-5/-5)))))</f>
        <v>-3143326.993685</v>
      </c>
      <c r="C1448" t="n" s="0">
        <v>-3143326.993685</v>
      </c>
    </row>
    <row r="1449">
      <c r="A1449" t="n" s="0">
        <v>-85.52</v>
      </c>
      <c r="B1449" t="n" s="0">
        <f>(-5-((((-5*(-5/((-5/(((-5*(-85.52--5))-(-5+((-5*-85.52)*(((-5--5)+(-85.52--5))+-85.52))))-(-5+-5)))*-5)))/-5)--5)+(-5*(((-85.52*(-85.52-(-5/-5)))*(-85.52-(-85.52/(-5*-85.52))))-(-5/-5)))))</f>
        <v>-3142226.3638400002</v>
      </c>
      <c r="C1449" t="n" s="0">
        <v>-3142226.36384</v>
      </c>
    </row>
    <row r="1450">
      <c r="A1450" t="n" s="0">
        <v>-85.51</v>
      </c>
      <c r="B1450" t="n" s="0">
        <f>(-5-((((-5*(-5/((-5/(((-5*(-85.51--5))-(-5+((-5*-85.51)*(((-5--5)+(-85.51--5))+-85.51))))-(-5+-5)))*-5)))/-5)--5)+(-5*(((-85.51*(-85.51-(-5/-5)))*(-85.51-(-85.51/(-5*-85.51))))-(-5/-5)))))</f>
        <v>-3141125.990955</v>
      </c>
      <c r="C1450" t="n" s="0">
        <v>-3141125.9909550003</v>
      </c>
    </row>
    <row r="1451">
      <c r="A1451" t="n" s="0">
        <v>-85.5</v>
      </c>
      <c r="B1451" t="n" s="0">
        <f>(-5-((((-5*(-5/((-5/(((-5*(-85.5--5))-(-5+((-5*-85.5)*(((-5--5)+(-85.5--5))+-85.5))))-(-5+-5)))*-5)))/-5)--5)+(-5*(((-85.5*(-85.5-(-5/-5)))*(-85.5-(-85.5/(-5*-85.5))))-(-5/-5)))))</f>
        <v>-3140025.875</v>
      </c>
      <c r="C1451" t="n" s="0">
        <v>-3140025.875</v>
      </c>
    </row>
    <row r="1452">
      <c r="A1452" t="n" s="0">
        <v>-85.49</v>
      </c>
      <c r="B1452" t="n" s="0">
        <f>(-5-((((-5*(-5/((-5/(((-5*(-85.49--5))-(-5+((-5*-85.49)*(((-5--5)+(-85.49--5))+-85.49))))-(-5+-5)))*-5)))/-5)--5)+(-5*(((-85.49*(-85.49-(-5/-5)))*(-85.49-(-85.49/(-5*-85.49))))-(-5/-5)))))</f>
        <v>-3138926.015945</v>
      </c>
      <c r="C1452" t="n" s="0">
        <v>-3138926.0159449996</v>
      </c>
    </row>
    <row r="1453">
      <c r="A1453" t="n" s="0">
        <v>-85.48</v>
      </c>
      <c r="B1453" t="n" s="0">
        <f>(-5-((((-5*(-5/((-5/(((-5*(-85.48--5))-(-5+((-5*-85.48)*(((-5--5)+(-85.48--5))+-85.48))))-(-5+-5)))*-5)))/-5)--5)+(-5*(((-85.48*(-85.48-(-5/-5)))*(-85.48-(-85.48/(-5*-85.48))))-(-5/-5)))))</f>
        <v>-3137826.4137600004</v>
      </c>
      <c r="C1453" t="n" s="0">
        <v>-3137826.4137600004</v>
      </c>
    </row>
    <row r="1454">
      <c r="A1454" t="n" s="0">
        <v>-85.47</v>
      </c>
      <c r="B1454" t="n" s="0">
        <f>(-5-((((-5*(-5/((-5/(((-5*(-85.47--5))-(-5+((-5*-85.47)*(((-5--5)+(-85.47--5))+-85.47))))-(-5+-5)))*-5)))/-5)--5)+(-5*(((-85.47*(-85.47-(-5/-5)))*(-85.47-(-85.47/(-5*-85.47))))-(-5/-5)))))</f>
        <v>-3136727.068415</v>
      </c>
      <c r="C1454" t="n" s="0">
        <v>-3136727.068415</v>
      </c>
    </row>
    <row r="1455">
      <c r="A1455" t="n" s="0">
        <v>-85.46</v>
      </c>
      <c r="B1455" t="n" s="0">
        <f>(-5-((((-5*(-5/((-5/(((-5*(-85.46--5))-(-5+((-5*-85.46)*(((-5--5)+(-85.46--5))+-85.46))))-(-5+-5)))*-5)))/-5)--5)+(-5*(((-85.46*(-85.46-(-5/-5)))*(-85.46-(-85.46/(-5*-85.46))))-(-5/-5)))))</f>
        <v>-3135627.97988</v>
      </c>
      <c r="C1455" t="n" s="0">
        <v>-3135627.979879999</v>
      </c>
    </row>
    <row r="1456">
      <c r="A1456" t="n" s="0">
        <v>-85.45</v>
      </c>
      <c r="B1456" t="n" s="0">
        <f>(-5-((((-5*(-5/((-5/(((-5*(-85.45--5))-(-5+((-5*-85.45)*(((-5--5)+(-85.45--5))+-85.45))))-(-5+-5)))*-5)))/-5)--5)+(-5*(((-85.45*(-85.45-(-5/-5)))*(-85.45-(-85.45/(-5*-85.45))))-(-5/-5)))))</f>
        <v>-3134529.148125</v>
      </c>
      <c r="C1456" t="n" s="0">
        <v>-3134529.1481250003</v>
      </c>
    </row>
    <row r="1457">
      <c r="A1457" t="n" s="0">
        <v>-85.44</v>
      </c>
      <c r="B1457" t="n" s="0">
        <f>(-5-((((-5*(-5/((-5/(((-5*(-85.44--5))-(-5+((-5*-85.44)*(((-5--5)+(-85.44--5))+-85.44))))-(-5+-5)))*-5)))/-5)--5)+(-5*(((-85.44*(-85.44-(-5/-5)))*(-85.44-(-85.44/(-5*-85.44))))-(-5/-5)))))</f>
        <v>-3133430.57312</v>
      </c>
      <c r="C1457" t="n" s="0">
        <v>-3133430.57312</v>
      </c>
    </row>
    <row r="1458">
      <c r="A1458" t="n" s="0">
        <v>-85.43</v>
      </c>
      <c r="B1458" t="n" s="0">
        <f>(-5-((((-5*(-5/((-5/(((-5*(-85.43--5))-(-5+((-5*-85.43)*(((-5--5)+(-85.43--5))+-85.43))))-(-5+-5)))*-5)))/-5)--5)+(-5*(((-85.43*(-85.43-(-5/-5)))*(-85.43-(-85.43/(-5*-85.43))))-(-5/-5)))))</f>
        <v>-3132332.2548350003</v>
      </c>
      <c r="C1458" t="n" s="0">
        <v>-3132332.2548350007</v>
      </c>
    </row>
    <row r="1459">
      <c r="A1459" t="n" s="0">
        <v>-85.42</v>
      </c>
      <c r="B1459" t="n" s="0">
        <f>(-5-((((-5*(-5/((-5/(((-5*(-85.42--5))-(-5+((-5*-85.42)*(((-5--5)+(-85.42--5))+-85.42))))-(-5+-5)))*-5)))/-5)--5)+(-5*(((-85.42*(-85.42-(-5/-5)))*(-85.42-(-85.42/(-5*-85.42))))-(-5/-5)))))</f>
        <v>-3131234.19324</v>
      </c>
      <c r="C1459" t="n" s="0">
        <v>-3131234.19324</v>
      </c>
    </row>
    <row r="1460">
      <c r="A1460" t="n" s="0">
        <v>-85.41</v>
      </c>
      <c r="B1460" t="n" s="0">
        <f>(-5-((((-5*(-5/((-5/(((-5*(-85.41--5))-(-5+((-5*-85.41)*(((-5--5)+(-85.41--5))+-85.41))))-(-5+-5)))*-5)))/-5)--5)+(-5*(((-85.41*(-85.41-(-5/-5)))*(-85.41-(-85.41/(-5*-85.41))))-(-5/-5)))))</f>
        <v>-3130136.388305</v>
      </c>
      <c r="C1460" t="n" s="0">
        <v>-3130136.388305</v>
      </c>
    </row>
    <row r="1461">
      <c r="A1461" t="n" s="0">
        <v>-85.4</v>
      </c>
      <c r="B1461" t="n" s="0">
        <f>(-5-((((-5*(-5/((-5/(((-5*(-85.4--5))-(-5+((-5*-85.4)*(((-5--5)+(-85.4--5))+-85.4))))-(-5+-5)))*-5)))/-5)--5)+(-5*(((-85.4*(-85.4-(-5/-5)))*(-85.4-(-85.4/(-5*-85.4))))-(-5/-5)))))</f>
        <v>-3129038.84</v>
      </c>
      <c r="C1461" t="n" s="0">
        <v>-3129038.840000001</v>
      </c>
    </row>
    <row r="1462">
      <c r="A1462" t="n" s="0">
        <v>-85.39</v>
      </c>
      <c r="B1462" t="n" s="0">
        <f>(-5-((((-5*(-5/((-5/(((-5*(-85.39--5))-(-5+((-5*-85.39)*(((-5--5)+(-85.39--5))+-85.39))))-(-5+-5)))*-5)))/-5)--5)+(-5*(((-85.39*(-85.39-(-5/-5)))*(-85.39-(-85.39/(-5*-85.39))))-(-5/-5)))))</f>
        <v>-3127941.5482949996</v>
      </c>
      <c r="C1462" t="n" s="0">
        <v>-3127941.548295</v>
      </c>
    </row>
    <row r="1463">
      <c r="A1463" t="n" s="0">
        <v>-85.38</v>
      </c>
      <c r="B1463" t="n" s="0">
        <f>(-5-((((-5*(-5/((-5/(((-5*(-85.38--5))-(-5+((-5*-85.38)*(((-5--5)+(-85.38--5))+-85.38))))-(-5+-5)))*-5)))/-5)--5)+(-5*(((-85.38*(-85.38-(-5/-5)))*(-85.38-(-85.38/(-5*-85.38))))-(-5/-5)))))</f>
        <v>-3126844.51316</v>
      </c>
      <c r="C1463" t="n" s="0">
        <v>-3126844.5131599996</v>
      </c>
    </row>
    <row r="1464">
      <c r="A1464" t="n" s="0">
        <v>-85.37</v>
      </c>
      <c r="B1464" t="n" s="0">
        <f>(-5-((((-5*(-5/((-5/(((-5*(-85.37--5))-(-5+((-5*-85.37)*(((-5--5)+(-85.37--5))+-85.37))))-(-5+-5)))*-5)))/-5)--5)+(-5*(((-85.37*(-85.37-(-5/-5)))*(-85.37-(-85.37/(-5*-85.37))))-(-5/-5)))))</f>
        <v>-3125747.734565</v>
      </c>
      <c r="C1464" t="n" s="0">
        <v>-3125747.734565</v>
      </c>
    </row>
    <row r="1465">
      <c r="A1465" t="n" s="0">
        <v>-85.36</v>
      </c>
      <c r="B1465" t="n" s="0">
        <f>(-5-((((-5*(-5/((-5/(((-5*(-85.36--5))-(-5+((-5*-85.36)*(((-5--5)+(-85.36--5))+-85.36))))-(-5+-5)))*-5)))/-5)--5)+(-5*(((-85.36*(-85.36-(-5/-5)))*(-85.36-(-85.36/(-5*-85.36))))-(-5/-5)))))</f>
        <v>-3124651.2124799998</v>
      </c>
      <c r="C1465" t="n" s="0">
        <v>-3124651.21248</v>
      </c>
    </row>
    <row r="1466">
      <c r="A1466" t="n" s="0">
        <v>-85.35</v>
      </c>
      <c r="B1466" t="n" s="0">
        <f>(-5-((((-5*(-5/((-5/(((-5*(-85.35--5))-(-5+((-5*-85.35)*(((-5--5)+(-85.35--5))+-85.35))))-(-5+-5)))*-5)))/-5)--5)+(-5*(((-85.35*(-85.35-(-5/-5)))*(-85.35-(-85.35/(-5*-85.35))))-(-5/-5)))))</f>
        <v>-3123554.946875</v>
      </c>
      <c r="C1466" t="n" s="0">
        <v>-3123554.9468749994</v>
      </c>
    </row>
    <row r="1467">
      <c r="A1467" t="n" s="0">
        <v>-85.34</v>
      </c>
      <c r="B1467" t="n" s="0">
        <f>(-5-((((-5*(-5/((-5/(((-5*(-85.34--5))-(-5+((-5*-85.34)*(((-5--5)+(-85.34--5))+-85.34))))-(-5+-5)))*-5)))/-5)--5)+(-5*(((-85.34*(-85.34-(-5/-5)))*(-85.34-(-85.34/(-5*-85.34))))-(-5/-5)))))</f>
        <v>-3122458.93772</v>
      </c>
      <c r="C1467" t="n" s="0">
        <v>-3122458.9377200003</v>
      </c>
    </row>
    <row r="1468">
      <c r="A1468" t="n" s="0">
        <v>-85.33</v>
      </c>
      <c r="B1468" t="n" s="0">
        <f>(-5-((((-5*(-5/((-5/(((-5*(-85.33--5))-(-5+((-5*-85.33)*(((-5--5)+(-85.33--5))+-85.33))))-(-5+-5)))*-5)))/-5)--5)+(-5*(((-85.33*(-85.33-(-5/-5)))*(-85.33-(-85.33/(-5*-85.33))))-(-5/-5)))))</f>
        <v>-3121363.1849849997</v>
      </c>
      <c r="C1468" t="n" s="0">
        <v>-3121363.184985</v>
      </c>
    </row>
    <row r="1469">
      <c r="A1469" t="n" s="0">
        <v>-85.32</v>
      </c>
      <c r="B1469" t="n" s="0">
        <f>(-5-((((-5*(-5/((-5/(((-5*(-85.32--5))-(-5+((-5*-85.32)*(((-5--5)+(-85.32--5))+-85.32))))-(-5+-5)))*-5)))/-5)--5)+(-5*(((-85.32*(-85.32-(-5/-5)))*(-85.32-(-85.32/(-5*-85.32))))-(-5/-5)))))</f>
        <v>-3120267.68864</v>
      </c>
      <c r="C1469" t="n" s="0">
        <v>-3120267.6886399994</v>
      </c>
    </row>
    <row r="1470">
      <c r="A1470" t="n" s="0">
        <v>-85.31</v>
      </c>
      <c r="B1470" t="n" s="0">
        <f>(-5-((((-5*(-5/((-5/(((-5*(-85.31--5))-(-5+((-5*-85.31)*(((-5--5)+(-85.31--5))+-85.31))))-(-5+-5)))*-5)))/-5)--5)+(-5*(((-85.31*(-85.31-(-5/-5)))*(-85.31-(-85.31/(-5*-85.31))))-(-5/-5)))))</f>
        <v>-3119172.448655</v>
      </c>
      <c r="C1470" t="n" s="0">
        <v>-3119172.4486550004</v>
      </c>
    </row>
    <row r="1471">
      <c r="A1471" t="n" s="0">
        <v>-85.3</v>
      </c>
      <c r="B1471" t="n" s="0">
        <f>(-5-((((-5*(-5/((-5/(((-5*(-85.3--5))-(-5+((-5*-85.3)*(((-5--5)+(-85.3--5))+-85.3))))-(-5+-5)))*-5)))/-5)--5)+(-5*(((-85.3*(-85.3-(-5/-5)))*(-85.3-(-85.3/(-5*-85.3))))-(-5/-5)))))</f>
        <v>-3118077.465</v>
      </c>
      <c r="C1471" t="n" s="0">
        <v>-3118077.465</v>
      </c>
    </row>
    <row r="1472">
      <c r="A1472" t="n" s="0">
        <v>-85.29</v>
      </c>
      <c r="B1472" t="n" s="0">
        <f>(-5-((((-5*(-5/((-5/(((-5*(-85.29--5))-(-5+((-5*-85.29)*(((-5--5)+(-85.29--5))+-85.29))))-(-5+-5)))*-5)))/-5)--5)+(-5*(((-85.29*(-85.29-(-5/-5)))*(-85.29-(-85.29/(-5*-85.29))))-(-5/-5)))))</f>
        <v>-3116982.7376449998</v>
      </c>
      <c r="C1472" t="n" s="0">
        <v>-3116982.7376450007</v>
      </c>
    </row>
    <row r="1473">
      <c r="A1473" t="n" s="0">
        <v>-85.28</v>
      </c>
      <c r="B1473" t="n" s="0">
        <f>(-5-((((-5*(-5/((-5/(((-5*(-85.28--5))-(-5+((-5*-85.28)*(((-5--5)+(-85.28--5))+-85.28))))-(-5+-5)))*-5)))/-5)--5)+(-5*(((-85.28*(-85.28-(-5/-5)))*(-85.28-(-85.28/(-5*-85.28))))-(-5/-5)))))</f>
        <v>-3115888.26656</v>
      </c>
      <c r="C1473" t="n" s="0">
        <v>-3115888.2665600004</v>
      </c>
    </row>
    <row r="1474">
      <c r="A1474" t="n" s="0">
        <v>-85.27</v>
      </c>
      <c r="B1474" t="n" s="0">
        <f>(-5-((((-5*(-5/((-5/(((-5*(-85.27--5))-(-5+((-5*-85.27)*(((-5--5)+(-85.27--5))+-85.27))))-(-5+-5)))*-5)))/-5)--5)+(-5*(((-85.27*(-85.27-(-5/-5)))*(-85.27-(-85.27/(-5*-85.27))))-(-5/-5)))))</f>
        <v>-3114794.051715</v>
      </c>
      <c r="C1474" t="n" s="0">
        <v>-3114794.0517149996</v>
      </c>
    </row>
    <row r="1475">
      <c r="A1475" t="n" s="0">
        <v>-85.26</v>
      </c>
      <c r="B1475" t="n" s="0">
        <f>(-5-((((-5*(-5/((-5/(((-5*(-85.26--5))-(-5+((-5*-85.26)*(((-5--5)+(-85.26--5))+-85.26))))-(-5+-5)))*-5)))/-5)--5)+(-5*(((-85.26*(-85.26-(-5/-5)))*(-85.26-(-85.26/(-5*-85.26))))-(-5/-5)))))</f>
        <v>-3113700.09308</v>
      </c>
      <c r="C1475" t="n" s="0">
        <v>-3113700.09308</v>
      </c>
    </row>
    <row r="1476">
      <c r="A1476" t="n" s="0">
        <v>-85.25</v>
      </c>
      <c r="B1476" t="n" s="0">
        <f>(-5-((((-5*(-5/((-5/(((-5*(-85.25--5))-(-5+((-5*-85.25)*(((-5--5)+(-85.25--5))+-85.25))))-(-5+-5)))*-5)))/-5)--5)+(-5*(((-85.25*(-85.25-(-5/-5)))*(-85.25-(-85.25/(-5*-85.25))))-(-5/-5)))))</f>
        <v>-3112606.390625</v>
      </c>
      <c r="C1476" t="n" s="0">
        <v>-3112606.390625</v>
      </c>
    </row>
    <row r="1477">
      <c r="A1477" t="n" s="0">
        <v>-85.24</v>
      </c>
      <c r="B1477" t="n" s="0">
        <f>(-5-((((-5*(-5/((-5/(((-5*(-85.24--5))-(-5+((-5*-85.24)*(((-5--5)+(-85.24--5))+-85.24))))-(-5+-5)))*-5)))/-5)--5)+(-5*(((-85.24*(-85.24-(-5/-5)))*(-85.24-(-85.24/(-5*-85.24))))-(-5/-5)))))</f>
        <v>-3111512.94432</v>
      </c>
      <c r="C1477" t="n" s="0">
        <v>-3111512.94432</v>
      </c>
    </row>
    <row r="1478">
      <c r="A1478" t="n" s="0">
        <v>-85.23</v>
      </c>
      <c r="B1478" t="n" s="0">
        <f>(-5-((((-5*(-5/((-5/(((-5*(-85.23--5))-(-5+((-5*-85.23)*(((-5--5)+(-85.23--5))+-85.23))))-(-5+-5)))*-5)))/-5)--5)+(-5*(((-85.23*(-85.23-(-5/-5)))*(-85.23-(-85.23/(-5*-85.23))))-(-5/-5)))))</f>
        <v>-3110419.754135</v>
      </c>
      <c r="C1478" t="n" s="0">
        <v>-3110419.754135001</v>
      </c>
    </row>
    <row r="1479">
      <c r="A1479" t="n" s="0">
        <v>-85.22</v>
      </c>
      <c r="B1479" t="n" s="0">
        <f>(-5-((((-5*(-5/((-5/(((-5*(-85.22--5))-(-5+((-5*-85.22)*(((-5--5)+(-85.22--5))+-85.22))))-(-5+-5)))*-5)))/-5)--5)+(-5*(((-85.22*(-85.22-(-5/-5)))*(-85.22-(-85.22/(-5*-85.22))))-(-5/-5)))))</f>
        <v>-3109326.82004</v>
      </c>
      <c r="C1479" t="n" s="0">
        <v>-3109326.8200400006</v>
      </c>
    </row>
    <row r="1480">
      <c r="A1480" t="n" s="0">
        <v>-85.21</v>
      </c>
      <c r="B1480" t="n" s="0">
        <f>(-5-((((-5*(-5/((-5/(((-5*(-85.21--5))-(-5+((-5*-85.21)*(((-5--5)+(-85.21--5))+-85.21))))-(-5+-5)))*-5)))/-5)--5)+(-5*(((-85.21*(-85.21-(-5/-5)))*(-85.21-(-85.21/(-5*-85.21))))-(-5/-5)))))</f>
        <v>-3108234.142005</v>
      </c>
      <c r="C1480" t="n" s="0">
        <v>-3108234.142004999</v>
      </c>
    </row>
    <row r="1481">
      <c r="A1481" t="n" s="0">
        <v>-85.2</v>
      </c>
      <c r="B1481" t="n" s="0">
        <f>(-5-((((-5*(-5/((-5/(((-5*(-85.2--5))-(-5+((-5*-85.2)*(((-5--5)+(-85.2--5))+-85.2))))-(-5+-5)))*-5)))/-5)--5)+(-5*(((-85.2*(-85.2-(-5/-5)))*(-85.2-(-85.2/(-5*-85.2))))-(-5/-5)))))</f>
        <v>-3107141.72</v>
      </c>
      <c r="C1481" t="n" s="0">
        <v>-3107141.7200000007</v>
      </c>
    </row>
    <row r="1482">
      <c r="A1482" t="n" s="0">
        <v>-85.19</v>
      </c>
      <c r="B1482" t="n" s="0">
        <f>(-5-((((-5*(-5/((-5/(((-5*(-85.19--5))-(-5+((-5*-85.19)*(((-5--5)+(-85.19--5))+-85.19))))-(-5+-5)))*-5)))/-5)--5)+(-5*(((-85.19*(-85.19-(-5/-5)))*(-85.19-(-85.19/(-5*-85.19))))-(-5/-5)))))</f>
        <v>-3106049.5539949997</v>
      </c>
      <c r="C1482" t="n" s="0">
        <v>-3106049.5539949997</v>
      </c>
    </row>
    <row r="1483">
      <c r="A1483" t="n" s="0">
        <v>-85.18</v>
      </c>
      <c r="B1483" t="n" s="0">
        <f>(-5-((((-5*(-5/((-5/(((-5*(-85.18--5))-(-5+((-5*-85.18)*(((-5--5)+(-85.18--5))+-85.18))))-(-5+-5)))*-5)))/-5)--5)+(-5*(((-85.18*(-85.18-(-5/-5)))*(-85.18-(-85.18/(-5*-85.18))))-(-5/-5)))))</f>
        <v>-3104957.64396</v>
      </c>
      <c r="C1483" t="n" s="0">
        <v>-3104957.643960001</v>
      </c>
    </row>
    <row r="1484">
      <c r="A1484" t="n" s="0">
        <v>-85.17</v>
      </c>
      <c r="B1484" t="n" s="0">
        <f>(-5-((((-5*(-5/((-5/(((-5*(-85.17--5))-(-5+((-5*-85.17)*(((-5--5)+(-85.17--5))+-85.17))))-(-5+-5)))*-5)))/-5)--5)+(-5*(((-85.17*(-85.17-(-5/-5)))*(-85.17-(-85.17/(-5*-85.17))))-(-5/-5)))))</f>
        <v>-3103865.989865</v>
      </c>
      <c r="C1484" t="n" s="0">
        <v>-3103865.989865</v>
      </c>
    </row>
    <row r="1485">
      <c r="A1485" t="n" s="0">
        <v>-85.16</v>
      </c>
      <c r="B1485" t="n" s="0">
        <f>(-5-((((-5*(-5/((-5/(((-5*(-85.16--5))-(-5+((-5*-85.16)*(((-5--5)+(-85.16--5))+-85.16))))-(-5+-5)))*-5)))/-5)--5)+(-5*(((-85.16*(-85.16-(-5/-5)))*(-85.16-(-85.16/(-5*-85.16))))-(-5/-5)))))</f>
        <v>-3102774.59168</v>
      </c>
      <c r="C1485" t="n" s="0">
        <v>-3102774.5916799996</v>
      </c>
    </row>
    <row r="1486">
      <c r="A1486" t="n" s="0">
        <v>-85.15</v>
      </c>
      <c r="B1486" t="n" s="0">
        <f>(-5-((((-5*(-5/((-5/(((-5*(-85.15--5))-(-5+((-5*-85.15)*(((-5--5)+(-85.15--5))+-85.15))))-(-5+-5)))*-5)))/-5)--5)+(-5*(((-85.15*(-85.15-(-5/-5)))*(-85.15-(-85.15/(-5*-85.15))))-(-5/-5)))))</f>
        <v>-3101683.4493750003</v>
      </c>
      <c r="C1486" t="n" s="0">
        <v>-3101683.449375001</v>
      </c>
    </row>
    <row r="1487">
      <c r="A1487" t="n" s="0">
        <v>-85.14</v>
      </c>
      <c r="B1487" t="n" s="0">
        <f>(-5-((((-5*(-5/((-5/(((-5*(-85.14--5))-(-5+((-5*-85.14)*(((-5--5)+(-85.14--5))+-85.14))))-(-5+-5)))*-5)))/-5)--5)+(-5*(((-85.14*(-85.14-(-5/-5)))*(-85.14-(-85.14/(-5*-85.14))))-(-5/-5)))))</f>
        <v>-3100592.56292</v>
      </c>
      <c r="C1487" t="n" s="0">
        <v>-3100592.56292</v>
      </c>
    </row>
    <row r="1488">
      <c r="A1488" t="n" s="0">
        <v>-85.13</v>
      </c>
      <c r="B1488" t="n" s="0">
        <f>(-5-((((-5*(-5/((-5/(((-5*(-85.13--5))-(-5+((-5*-85.13)*(((-5--5)+(-85.13--5))+-85.13))))-(-5+-5)))*-5)))/-5)--5)+(-5*(((-85.13*(-85.13-(-5/-5)))*(-85.13-(-85.13/(-5*-85.13))))-(-5/-5)))))</f>
        <v>-3099501.932285</v>
      </c>
      <c r="C1488" t="n" s="0">
        <v>-3099501.9322849996</v>
      </c>
    </row>
    <row r="1489">
      <c r="A1489" t="n" s="0">
        <v>-85.12</v>
      </c>
      <c r="B1489" t="n" s="0">
        <f>(-5-((((-5*(-5/((-5/(((-5*(-85.12--5))-(-5+((-5*-85.12)*(((-5--5)+(-85.12--5))+-85.12))))-(-5+-5)))*-5)))/-5)--5)+(-5*(((-85.12*(-85.12-(-5/-5)))*(-85.12-(-85.12/(-5*-85.12))))-(-5/-5)))))</f>
        <v>-3098411.55744</v>
      </c>
      <c r="C1489" t="n" s="0">
        <v>-3098411.5574400006</v>
      </c>
    </row>
    <row r="1490">
      <c r="A1490" t="n" s="0">
        <v>-85.11</v>
      </c>
      <c r="B1490" t="n" s="0">
        <f>(-5-((((-5*(-5/((-5/(((-5*(-85.11--5))-(-5+((-5*-85.11)*(((-5--5)+(-85.11--5))+-85.11))))-(-5+-5)))*-5)))/-5)--5)+(-5*(((-85.11*(-85.11-(-5/-5)))*(-85.11-(-85.11/(-5*-85.11))))-(-5/-5)))))</f>
        <v>-3097321.438355</v>
      </c>
      <c r="C1490" t="n" s="0">
        <v>-3097321.4383549993</v>
      </c>
    </row>
    <row r="1491">
      <c r="A1491" t="n" s="0">
        <v>-85.1</v>
      </c>
      <c r="B1491" t="n" s="0">
        <f>(-5-((((-5*(-5/((-5/(((-5*(-85.1--5))-(-5+((-5*-85.1)*(((-5--5)+(-85.1--5))+-85.1))))-(-5+-5)))*-5)))/-5)--5)+(-5*(((-85.1*(-85.1-(-5/-5)))*(-85.1-(-85.1/(-5*-85.1))))-(-5/-5)))))</f>
        <v>-3096231.5749999997</v>
      </c>
      <c r="C1491" t="n" s="0">
        <v>-3096231.5749999993</v>
      </c>
    </row>
    <row r="1492">
      <c r="A1492" t="n" s="0">
        <v>-85.09</v>
      </c>
      <c r="B1492" t="n" s="0">
        <f>(-5-((((-5*(-5/((-5/(((-5*(-85.09--5))-(-5+((-5*-85.09)*(((-5--5)+(-85.09--5))+-85.09))))-(-5+-5)))*-5)))/-5)--5)+(-5*(((-85.09*(-85.09-(-5/-5)))*(-85.09-(-85.09/(-5*-85.09))))-(-5/-5)))))</f>
        <v>-3095141.967345</v>
      </c>
      <c r="C1492" t="n" s="0">
        <v>-3095141.9673450007</v>
      </c>
    </row>
    <row r="1493">
      <c r="A1493" t="n" s="0">
        <v>-85.08</v>
      </c>
      <c r="B1493" t="n" s="0">
        <f>(-5-((((-5*(-5/((-5/(((-5*(-85.08--5))-(-5+((-5*-85.08)*(((-5--5)+(-85.08--5))+-85.08))))-(-5+-5)))*-5)))/-5)--5)+(-5*(((-85.08*(-85.08-(-5/-5)))*(-85.08-(-85.08/(-5*-85.08))))-(-5/-5)))))</f>
        <v>-3094052.61536</v>
      </c>
      <c r="C1493" t="n" s="0">
        <v>-3094052.6153599997</v>
      </c>
    </row>
    <row r="1494">
      <c r="A1494" t="n" s="0">
        <v>-85.07</v>
      </c>
      <c r="B1494" t="n" s="0">
        <f>(-5-((((-5*(-5/((-5/(((-5*(-85.07--5))-(-5+((-5*-85.07)*(((-5--5)+(-85.07--5))+-85.07))))-(-5+-5)))*-5)))/-5)--5)+(-5*(((-85.07*(-85.07-(-5/-5)))*(-85.07-(-85.07/(-5*-85.07))))-(-5/-5)))))</f>
        <v>-3092963.5190149997</v>
      </c>
      <c r="C1494" t="n" s="0">
        <v>-3092963.5190149993</v>
      </c>
    </row>
    <row r="1495">
      <c r="A1495" t="n" s="0">
        <v>-85.06</v>
      </c>
      <c r="B1495" t="n" s="0">
        <f>(-5-((((-5*(-5/((-5/(((-5*(-85.06--5))-(-5+((-5*-85.06)*(((-5--5)+(-85.06--5))+-85.06))))-(-5+-5)))*-5)))/-5)--5)+(-5*(((-85.06*(-85.06-(-5/-5)))*(-85.06-(-85.06/(-5*-85.06))))-(-5/-5)))))</f>
        <v>-3091874.67828</v>
      </c>
      <c r="C1495" t="n" s="0">
        <v>-3091874.6782800006</v>
      </c>
    </row>
    <row r="1496">
      <c r="A1496" t="n" s="0">
        <v>-85.05</v>
      </c>
      <c r="B1496" t="n" s="0">
        <f>(-5-((((-5*(-5/((-5/(((-5*(-85.05--5))-(-5+((-5*-85.05)*(((-5--5)+(-85.05--5))+-85.05))))-(-5+-5)))*-5)))/-5)--5)+(-5*(((-85.05*(-85.05-(-5/-5)))*(-85.05-(-85.05/(-5*-85.05))))-(-5/-5)))))</f>
        <v>-3090786.0931249997</v>
      </c>
      <c r="C1496" t="n" s="0">
        <v>-3090786.0931249997</v>
      </c>
    </row>
    <row r="1497">
      <c r="A1497" t="n" s="0">
        <v>-85.04</v>
      </c>
      <c r="B1497" t="n" s="0">
        <f>(-5-((((-5*(-5/((-5/(((-5*(-85.04--5))-(-5+((-5*-85.04)*(((-5--5)+(-85.04--5))+-85.04))))-(-5+-5)))*-5)))/-5)--5)+(-5*(((-85.04*(-85.04-(-5/-5)))*(-85.04-(-85.04/(-5*-85.04))))-(-5/-5)))))</f>
        <v>-3089697.76352</v>
      </c>
      <c r="C1497" t="n" s="0">
        <v>-3089697.763520001</v>
      </c>
    </row>
    <row r="1498">
      <c r="A1498" t="n" s="0">
        <v>-85.03</v>
      </c>
      <c r="B1498" t="n" s="0">
        <f>(-5-((((-5*(-5/((-5/(((-5*(-85.03--5))-(-5+((-5*-85.03)*(((-5--5)+(-85.03--5))+-85.03))))-(-5+-5)))*-5)))/-5)--5)+(-5*(((-85.03*(-85.03-(-5/-5)))*(-85.03-(-85.03/(-5*-85.03))))-(-5/-5)))))</f>
        <v>-3088609.689435</v>
      </c>
      <c r="C1498" t="n" s="0">
        <v>-3088609.6894349996</v>
      </c>
    </row>
    <row r="1499">
      <c r="A1499" t="n" s="0">
        <v>-85.02</v>
      </c>
      <c r="B1499" t="n" s="0">
        <f>(-5-((((-5*(-5/((-5/(((-5*(-85.02--5))-(-5+((-5*-85.02)*(((-5--5)+(-85.02--5))+-85.02))))-(-5+-5)))*-5)))/-5)--5)+(-5*(((-85.02*(-85.02-(-5/-5)))*(-85.02-(-85.02/(-5*-85.02))))-(-5/-5)))))</f>
        <v>-3087521.8708400005</v>
      </c>
      <c r="C1499" t="n" s="0">
        <v>-3087521.8708399995</v>
      </c>
    </row>
    <row r="1500">
      <c r="A1500" t="n" s="0">
        <v>-85.01</v>
      </c>
      <c r="B1500" t="n" s="0">
        <f>(-5-((((-5*(-5/((-5/(((-5*(-85.01--5))-(-5+((-5*-85.01)*(((-5--5)+(-85.01--5))+-85.01))))-(-5+-5)))*-5)))/-5)--5)+(-5*(((-85.01*(-85.01-(-5/-5)))*(-85.01-(-85.01/(-5*-85.01))))-(-5/-5)))))</f>
        <v>-3086434.307705</v>
      </c>
      <c r="C1500" t="n" s="0">
        <v>-3086434.3077050005</v>
      </c>
    </row>
    <row r="1501">
      <c r="A1501" t="n" s="0">
        <v>-85.0</v>
      </c>
      <c r="B1501" t="n" s="0">
        <f>(-5-((((-5*(-5/((-5/(((-5*(-85--5))-(-5+((-5*-85)*(((-5--5)+(-85--5))+-85))))-(-5+-5)))*-5)))/-5)--5)+(-5*(((-85*(-85-(-5/-5)))*(-85-(-85/(-5*-85))))-(-5/-5)))))</f>
        <v>-3085347.0</v>
      </c>
      <c r="C1501" t="n" s="0">
        <v>-3085347.0</v>
      </c>
    </row>
    <row r="1502">
      <c r="A1502" t="n" s="0">
        <v>-84.99</v>
      </c>
      <c r="B1502" t="n" s="0">
        <f>(-5-((((-5*(-5/((-5/(((-5*(-84.99--5))-(-5+((-5*-84.99)*(((-5--5)+(-84.99--5))+-84.99))))-(-5+-5)))*-5)))/-5)--5)+(-5*(((-84.99*(-84.99-(-5/-5)))*(-84.99-(-84.99/(-5*-84.99))))-(-5/-5)))))</f>
        <v>-3084259.947695</v>
      </c>
      <c r="C1502" t="n" s="0">
        <v>-3084259.9476949996</v>
      </c>
    </row>
    <row r="1503">
      <c r="A1503" t="n" s="0">
        <v>-84.98</v>
      </c>
      <c r="B1503" t="n" s="0">
        <f>(-5-((((-5*(-5/((-5/(((-5*(-84.98--5))-(-5+((-5*-84.98)*(((-5--5)+(-84.98--5))+-84.98))))-(-5+-5)))*-5)))/-5)--5)+(-5*(((-84.98*(-84.98-(-5/-5)))*(-84.98-(-84.98/(-5*-84.98))))-(-5/-5)))))</f>
        <v>-3083173.15076</v>
      </c>
      <c r="C1503" t="n" s="0">
        <v>-3083173.1507600006</v>
      </c>
    </row>
    <row r="1504">
      <c r="A1504" t="n" s="0">
        <v>-84.97</v>
      </c>
      <c r="B1504" t="n" s="0">
        <f>(-5-((((-5*(-5/((-5/(((-5*(-84.97--5))-(-5+((-5*-84.97)*(((-5--5)+(-84.97--5))+-84.97))))-(-5+-5)))*-5)))/-5)--5)+(-5*(((-84.97*(-84.97-(-5/-5)))*(-84.97-(-84.97/(-5*-84.97))))-(-5/-5)))))</f>
        <v>-3082086.609165</v>
      </c>
      <c r="C1504" t="n" s="0">
        <v>-3082086.609165</v>
      </c>
    </row>
    <row r="1505">
      <c r="A1505" t="n" s="0">
        <v>-84.96</v>
      </c>
      <c r="B1505" t="n" s="0">
        <f>(-5-((((-5*(-5/((-5/(((-5*(-84.96--5))-(-5+((-5*-84.96)*(((-5--5)+(-84.96--5))+-84.96))))-(-5+-5)))*-5)))/-5)--5)+(-5*(((-84.96*(-84.96-(-5/-5)))*(-84.96-(-84.96/(-5*-84.96))))-(-5/-5)))))</f>
        <v>-3081000.32288</v>
      </c>
      <c r="C1505" t="n" s="0">
        <v>-3081000.3228799994</v>
      </c>
    </row>
    <row r="1506">
      <c r="A1506" t="n" s="0">
        <v>-84.95</v>
      </c>
      <c r="B1506" t="n" s="0">
        <f>(-5-((((-5*(-5/((-5/(((-5*(-84.95--5))-(-5+((-5*-84.95)*(((-5--5)+(-84.95--5))+-84.95))))-(-5+-5)))*-5)))/-5)--5)+(-5*(((-84.95*(-84.95-(-5/-5)))*(-84.95-(-84.95/(-5*-84.95))))-(-5/-5)))))</f>
        <v>-3079914.291875</v>
      </c>
      <c r="C1506" t="n" s="0">
        <v>-3079914.291875</v>
      </c>
    </row>
    <row r="1507">
      <c r="A1507" t="n" s="0">
        <v>-84.94</v>
      </c>
      <c r="B1507" t="n" s="0">
        <f>(-5-((((-5*(-5/((-5/(((-5*(-84.94--5))-(-5+((-5*-84.94)*(((-5--5)+(-84.94--5))+-84.94))))-(-5+-5)))*-5)))/-5)--5)+(-5*(((-84.94*(-84.94-(-5/-5)))*(-84.94-(-84.94/(-5*-84.94))))-(-5/-5)))))</f>
        <v>-3078828.51612</v>
      </c>
      <c r="C1507" t="n" s="0">
        <v>-3078828.5161199993</v>
      </c>
    </row>
    <row r="1508">
      <c r="A1508" t="n" s="0">
        <v>-84.93</v>
      </c>
      <c r="B1508" t="n" s="0">
        <f>(-5-((((-5*(-5/((-5/(((-5*(-84.93--5))-(-5+((-5*-84.93)*(((-5--5)+(-84.93--5))+-84.93))))-(-5+-5)))*-5)))/-5)--5)+(-5*(((-84.93*(-84.93-(-5/-5)))*(-84.93-(-84.93/(-5*-84.93))))-(-5/-5)))))</f>
        <v>-3077742.9955849997</v>
      </c>
      <c r="C1508" t="n" s="0">
        <v>-3077742.9955850006</v>
      </c>
    </row>
    <row r="1509">
      <c r="A1509" t="n" s="0">
        <v>-84.92</v>
      </c>
      <c r="B1509" t="n" s="0">
        <f>(-5-((((-5*(-5/((-5/(((-5*(-84.92--5))-(-5+((-5*-84.92)*(((-5--5)+(-84.92--5))+-84.92))))-(-5+-5)))*-5)))/-5)--5)+(-5*(((-84.92*(-84.92-(-5/-5)))*(-84.92-(-84.92/(-5*-84.92))))-(-5/-5)))))</f>
        <v>-3076657.7302400004</v>
      </c>
      <c r="C1509" t="n" s="0">
        <v>-3076657.73024</v>
      </c>
    </row>
    <row r="1510">
      <c r="A1510" t="n" s="0">
        <v>-84.91</v>
      </c>
      <c r="B1510" t="n" s="0">
        <f>(-5-((((-5*(-5/((-5/(((-5*(-84.91--5))-(-5+((-5*-84.91)*(((-5--5)+(-84.91--5))+-84.91))))-(-5+-5)))*-5)))/-5)--5)+(-5*(((-84.91*(-84.91-(-5/-5)))*(-84.91-(-84.91/(-5*-84.91))))-(-5/-5)))))</f>
        <v>-3075572.720055</v>
      </c>
      <c r="C1510" t="n" s="0">
        <v>-3075572.7200549995</v>
      </c>
    </row>
    <row r="1511">
      <c r="A1511" t="n" s="0">
        <v>-84.9</v>
      </c>
      <c r="B1511" t="n" s="0">
        <f>(-5-((((-5*(-5/((-5/(((-5*(-84.9--5))-(-5+((-5*-84.9)*(((-5--5)+(-84.9--5))+-84.9))))-(-5+-5)))*-5)))/-5)--5)+(-5*(((-84.9*(-84.9-(-5/-5)))*(-84.9-(-84.9/(-5*-84.9))))-(-5/-5)))))</f>
        <v>-3074487.965</v>
      </c>
      <c r="C1511" t="n" s="0">
        <v>-3074487.965000001</v>
      </c>
    </row>
    <row r="1512">
      <c r="A1512" t="n" s="0">
        <v>-84.89</v>
      </c>
      <c r="B1512" t="n" s="0">
        <f>(-5-((((-5*(-5/((-5/(((-5*(-84.89--5))-(-5+((-5*-84.89)*(((-5--5)+(-84.89--5))+-84.89))))-(-5+-5)))*-5)))/-5)--5)+(-5*(((-84.89*(-84.89-(-5/-5)))*(-84.89-(-84.89/(-5*-84.89))))-(-5/-5)))))</f>
        <v>-3073403.465045</v>
      </c>
      <c r="C1512" t="n" s="0">
        <v>-3073403.465045</v>
      </c>
    </row>
    <row r="1513">
      <c r="A1513" t="n" s="0">
        <v>-84.88</v>
      </c>
      <c r="B1513" t="n" s="0">
        <f>(-5-((((-5*(-5/((-5/(((-5*(-84.88--5))-(-5+((-5*-84.88)*(((-5--5)+(-84.88--5))+-84.88))))-(-5+-5)))*-5)))/-5)--5)+(-5*(((-84.88*(-84.88-(-5/-5)))*(-84.88-(-84.88/(-5*-84.88))))-(-5/-5)))))</f>
        <v>-3072319.22016</v>
      </c>
      <c r="C1513" t="n" s="0">
        <v>-3072319.22016</v>
      </c>
    </row>
    <row r="1514">
      <c r="A1514" t="n" s="0">
        <v>-84.87</v>
      </c>
      <c r="B1514" t="n" s="0">
        <f>(-5-((((-5*(-5/((-5/(((-5*(-84.87--5))-(-5+((-5*-84.87)*(((-5--5)+(-84.87--5))+-84.87))))-(-5+-5)))*-5)))/-5)--5)+(-5*(((-84.87*(-84.87-(-5/-5)))*(-84.87-(-84.87/(-5*-84.87))))-(-5/-5)))))</f>
        <v>-3071235.230315</v>
      </c>
      <c r="C1514" t="n" s="0">
        <v>-3071235.2303150008</v>
      </c>
    </row>
    <row r="1515">
      <c r="A1515" t="n" s="0">
        <v>-84.86</v>
      </c>
      <c r="B1515" t="n" s="0">
        <f>(-5-((((-5*(-5/((-5/(((-5*(-84.86--5))-(-5+((-5*-84.86)*(((-5--5)+(-84.86--5))+-84.86))))-(-5+-5)))*-5)))/-5)--5)+(-5*(((-84.86*(-84.86-(-5/-5)))*(-84.86-(-84.86/(-5*-84.86))))-(-5/-5)))))</f>
        <v>-3070151.49548</v>
      </c>
      <c r="C1515" t="n" s="0">
        <v>-3070151.49548</v>
      </c>
    </row>
    <row r="1516">
      <c r="A1516" t="n" s="0">
        <v>-84.85</v>
      </c>
      <c r="B1516" t="n" s="0">
        <f>(-5-((((-5*(-5/((-5/(((-5*(-84.85--5))-(-5+((-5*-84.85)*(((-5--5)+(-84.85--5))+-84.85))))-(-5+-5)))*-5)))/-5)--5)+(-5*(((-84.85*(-84.85-(-5/-5)))*(-84.85-(-84.85/(-5*-84.85))))-(-5/-5)))))</f>
        <v>-3069068.015625</v>
      </c>
      <c r="C1516" t="n" s="0">
        <v>-3069068.015624999</v>
      </c>
    </row>
    <row r="1517">
      <c r="A1517" t="n" s="0">
        <v>-84.84</v>
      </c>
      <c r="B1517" t="n" s="0">
        <f>(-5-((((-5*(-5/((-5/(((-5*(-84.84--5))-(-5+((-5*-84.84)*(((-5--5)+(-84.84--5))+-84.84))))-(-5+-5)))*-5)))/-5)--5)+(-5*(((-84.84*(-84.84-(-5/-5)))*(-84.84-(-84.84/(-5*-84.84))))-(-5/-5)))))</f>
        <v>-3067984.79072</v>
      </c>
      <c r="C1517" t="n" s="0">
        <v>-3067984.7907200004</v>
      </c>
    </row>
    <row r="1518">
      <c r="A1518" t="n" s="0">
        <v>-84.83</v>
      </c>
      <c r="B1518" t="n" s="0">
        <f>(-5-((((-5*(-5/((-5/(((-5*(-84.83--5))-(-5+((-5*-84.83)*(((-5--5)+(-84.83--5))+-84.83))))-(-5+-5)))*-5)))/-5)--5)+(-5*(((-84.83*(-84.83-(-5/-5)))*(-84.83-(-84.83/(-5*-84.83))))-(-5/-5)))))</f>
        <v>-3066901.820735</v>
      </c>
      <c r="C1518" t="n" s="0">
        <v>-3066901.820735</v>
      </c>
    </row>
    <row r="1519">
      <c r="A1519" t="n" s="0">
        <v>-84.82</v>
      </c>
      <c r="B1519" t="n" s="0">
        <f>(-5-((((-5*(-5/((-5/(((-5*(-84.82--5))-(-5+((-5*-84.82)*(((-5--5)+(-84.82--5))+-84.82))))-(-5+-5)))*-5)))/-5)--5)+(-5*(((-84.82*(-84.82-(-5/-5)))*(-84.82-(-84.82/(-5*-84.82))))-(-5/-5)))))</f>
        <v>-3065819.10564</v>
      </c>
      <c r="C1519" t="n" s="0">
        <v>-3065819.1056399993</v>
      </c>
    </row>
    <row r="1520">
      <c r="A1520" t="n" s="0">
        <v>-84.81</v>
      </c>
      <c r="B1520" t="n" s="0">
        <f>(-5-((((-5*(-5/((-5/(((-5*(-84.81--5))-(-5+((-5*-84.81)*(((-5--5)+(-84.81--5))+-84.81))))-(-5+-5)))*-5)))/-5)--5)+(-5*(((-84.81*(-84.81-(-5/-5)))*(-84.81-(-84.81/(-5*-84.81))))-(-5/-5)))))</f>
        <v>-3064736.645405</v>
      </c>
      <c r="C1520" t="n" s="0">
        <v>-3064736.645405001</v>
      </c>
    </row>
    <row r="1521">
      <c r="A1521" t="n" s="0">
        <v>-84.8</v>
      </c>
      <c r="B1521" t="n" s="0">
        <f>(-5-((((-5*(-5/((-5/(((-5*(-84.8--5))-(-5+((-5*-84.8)*(((-5--5)+(-84.8--5))+-84.8))))-(-5+-5)))*-5)))/-5)--5)+(-5*(((-84.8*(-84.8-(-5/-5)))*(-84.8-(-84.8/(-5*-84.8))))-(-5/-5)))))</f>
        <v>-3063654.44</v>
      </c>
      <c r="C1521" t="n" s="0">
        <v>-3063654.4399999995</v>
      </c>
    </row>
    <row r="1522">
      <c r="A1522" t="n" s="0">
        <v>-84.79</v>
      </c>
      <c r="B1522" t="n" s="0">
        <f>(-5-((((-5*(-5/((-5/(((-5*(-84.79--5))-(-5+((-5*-84.79)*(((-5--5)+(-84.79--5))+-84.79))))-(-5+-5)))*-5)))/-5)--5)+(-5*(((-84.79*(-84.79-(-5/-5)))*(-84.79-(-84.79/(-5*-84.79))))-(-5/-5)))))</f>
        <v>-3062572.489395</v>
      </c>
      <c r="C1522" t="n" s="0">
        <v>-3062572.489395001</v>
      </c>
    </row>
    <row r="1523">
      <c r="A1523" t="n" s="0">
        <v>-84.78</v>
      </c>
      <c r="B1523" t="n" s="0">
        <f>(-5-((((-5*(-5/((-5/(((-5*(-84.78--5))-(-5+((-5*-84.78)*(((-5--5)+(-84.78--5))+-84.78))))-(-5+-5)))*-5)))/-5)--5)+(-5*(((-84.78*(-84.78-(-5/-5)))*(-84.78-(-84.78/(-5*-84.78))))-(-5/-5)))))</f>
        <v>-3061490.79356</v>
      </c>
      <c r="C1523" t="n" s="0">
        <v>-3061490.79356</v>
      </c>
    </row>
    <row r="1524">
      <c r="A1524" t="n" s="0">
        <v>-84.77</v>
      </c>
      <c r="B1524" t="n" s="0">
        <f>(-5-((((-5*(-5/((-5/(((-5*(-84.77--5))-(-5+((-5*-84.77)*(((-5--5)+(-84.77--5))+-84.77))))-(-5+-5)))*-5)))/-5)--5)+(-5*(((-84.77*(-84.77-(-5/-5)))*(-84.77-(-84.77/(-5*-84.77))))-(-5/-5)))))</f>
        <v>-3060409.352465</v>
      </c>
      <c r="C1524" t="n" s="0">
        <v>-3060409.3524649995</v>
      </c>
    </row>
    <row r="1525">
      <c r="A1525" t="n" s="0">
        <v>-84.76</v>
      </c>
      <c r="B1525" t="n" s="0">
        <f>(-5-((((-5*(-5/((-5/(((-5*(-84.76--5))-(-5+((-5*-84.76)*(((-5--5)+(-84.76--5))+-84.76))))-(-5+-5)))*-5)))/-5)--5)+(-5*(((-84.76*(-84.76-(-5/-5)))*(-84.76-(-84.76/(-5*-84.76))))-(-5/-5)))))</f>
        <v>-3059328.16608</v>
      </c>
      <c r="C1525" t="n" s="0">
        <v>-3059328.16608</v>
      </c>
    </row>
    <row r="1526">
      <c r="A1526" t="n" s="0">
        <v>-84.75</v>
      </c>
      <c r="B1526" t="n" s="0">
        <f>(-5-((((-5*(-5/((-5/(((-5*(-84.75--5))-(-5+((-5*-84.75)*(((-5--5)+(-84.75--5))+-84.75))))-(-5+-5)))*-5)))/-5)--5)+(-5*(((-84.75*(-84.75-(-5/-5)))*(-84.75-(-84.75/(-5*-84.75))))-(-5/-5)))))</f>
        <v>-3058247.234375</v>
      </c>
      <c r="C1526" t="n" s="0">
        <v>-3058247.234375</v>
      </c>
    </row>
    <row r="1527">
      <c r="A1527" t="n" s="0">
        <v>-84.74</v>
      </c>
      <c r="B1527" t="n" s="0">
        <f>(-5-((((-5*(-5/((-5/(((-5*(-84.74--5))-(-5+((-5*-84.74)*(((-5--5)+(-84.74--5))+-84.74))))-(-5+-5)))*-5)))/-5)--5)+(-5*(((-84.74*(-84.74-(-5/-5)))*(-84.74-(-84.74/(-5*-84.74))))-(-5/-5)))))</f>
        <v>-3057166.55732</v>
      </c>
      <c r="C1527" t="n" s="0">
        <v>-3057166.55732</v>
      </c>
    </row>
    <row r="1528">
      <c r="A1528" t="n" s="0">
        <v>-84.73</v>
      </c>
      <c r="B1528" t="n" s="0">
        <f>(-5-((((-5*(-5/((-5/(((-5*(-84.73--5))-(-5+((-5*-84.73)*(((-5--5)+(-84.73--5))+-84.73))))-(-5+-5)))*-5)))/-5)--5)+(-5*(((-84.73*(-84.73-(-5/-5)))*(-84.73-(-84.73/(-5*-84.73))))-(-5/-5)))))</f>
        <v>-3056086.134885</v>
      </c>
      <c r="C1528" t="n" s="0">
        <v>-3056086.134885</v>
      </c>
    </row>
    <row r="1529">
      <c r="A1529" t="n" s="0">
        <v>-84.72</v>
      </c>
      <c r="B1529" t="n" s="0">
        <f>(-5-((((-5*(-5/((-5/(((-5*(-84.72--5))-(-5+((-5*-84.72)*(((-5--5)+(-84.72--5))+-84.72))))-(-5+-5)))*-5)))/-5)--5)+(-5*(((-84.72*(-84.72-(-5/-5)))*(-84.72-(-84.72/(-5*-84.72))))-(-5/-5)))))</f>
        <v>-3055005.96704</v>
      </c>
      <c r="C1529" t="n" s="0">
        <v>-3055005.96704</v>
      </c>
    </row>
    <row r="1530">
      <c r="A1530" t="n" s="0">
        <v>-84.71</v>
      </c>
      <c r="B1530" t="n" s="0">
        <f>(-5-((((-5*(-5/((-5/(((-5*(-84.71--5))-(-5+((-5*-84.71)*(((-5--5)+(-84.71--5))+-84.71))))-(-5+-5)))*-5)))/-5)--5)+(-5*(((-84.71*(-84.71-(-5/-5)))*(-84.71-(-84.71/(-5*-84.71))))-(-5/-5)))))</f>
        <v>-3053926.0537550002</v>
      </c>
      <c r="C1530" t="n" s="0">
        <v>-3053926.0537549993</v>
      </c>
    </row>
    <row r="1531">
      <c r="A1531" t="n" s="0">
        <v>-84.7</v>
      </c>
      <c r="B1531" t="n" s="0">
        <f>(-5-((((-5*(-5/((-5/(((-5*(-84.7--5))-(-5+((-5*-84.7)*(((-5--5)+(-84.7--5))+-84.7))))-(-5+-5)))*-5)))/-5)--5)+(-5*(((-84.7*(-84.7-(-5/-5)))*(-84.7-(-84.7/(-5*-84.7))))-(-5/-5)))))</f>
        <v>-3052846.395</v>
      </c>
      <c r="C1531" t="n" s="0">
        <v>-3052846.3950000005</v>
      </c>
    </row>
    <row r="1532">
      <c r="A1532" t="n" s="0">
        <v>-84.69</v>
      </c>
      <c r="B1532" t="n" s="0">
        <f>(-5-((((-5*(-5/((-5/(((-5*(-84.69--5))-(-5+((-5*-84.69)*(((-5--5)+(-84.69--5))+-84.69))))-(-5+-5)))*-5)))/-5)--5)+(-5*(((-84.69*(-84.69-(-5/-5)))*(-84.69-(-84.69/(-5*-84.69))))-(-5/-5)))))</f>
        <v>-3051766.990745</v>
      </c>
      <c r="C1532" t="n" s="0">
        <v>-3051766.990744999</v>
      </c>
    </row>
    <row r="1533">
      <c r="A1533" t="n" s="0">
        <v>-84.68</v>
      </c>
      <c r="B1533" t="n" s="0">
        <f>(-5-((((-5*(-5/((-5/(((-5*(-84.68--5))-(-5+((-5*-84.68)*(((-5--5)+(-84.68--5))+-84.68))))-(-5+-5)))*-5)))/-5)--5)+(-5*(((-84.68*(-84.68-(-5/-5)))*(-84.68-(-84.68/(-5*-84.68))))-(-5/-5)))))</f>
        <v>-3050687.84096</v>
      </c>
      <c r="C1533" t="n" s="0">
        <v>-3050687.840960001</v>
      </c>
    </row>
    <row r="1534">
      <c r="A1534" t="n" s="0">
        <v>-84.67</v>
      </c>
      <c r="B1534" t="n" s="0">
        <f>(-5-((((-5*(-5/((-5/(((-5*(-84.67--5))-(-5+((-5*-84.67)*(((-5--5)+(-84.67--5))+-84.67))))-(-5+-5)))*-5)))/-5)--5)+(-5*(((-84.67*(-84.67-(-5/-5)))*(-84.67-(-84.67/(-5*-84.67))))-(-5/-5)))))</f>
        <v>-3049608.945615</v>
      </c>
      <c r="C1534" t="n" s="0">
        <v>-3049608.9456149996</v>
      </c>
    </row>
    <row r="1535">
      <c r="A1535" t="n" s="0">
        <v>-84.66</v>
      </c>
      <c r="B1535" t="n" s="0">
        <f>(-5-((((-5*(-5/((-5/(((-5*(-84.66--5))-(-5+((-5*-84.66)*(((-5--5)+(-84.66--5))+-84.66))))-(-5+-5)))*-5)))/-5)--5)+(-5*(((-84.66*(-84.66-(-5/-5)))*(-84.66-(-84.66/(-5*-84.66))))-(-5/-5)))))</f>
        <v>-3048530.30468</v>
      </c>
      <c r="C1535" t="n" s="0">
        <v>-3048530.3046799996</v>
      </c>
    </row>
    <row r="1536">
      <c r="A1536" t="n" s="0">
        <v>-84.65</v>
      </c>
      <c r="B1536" t="n" s="0">
        <f>(-5-((((-5*(-5/((-5/(((-5*(-84.65--5))-(-5+((-5*-84.65)*(((-5--5)+(-84.65--5))+-84.65))))-(-5+-5)))*-5)))/-5)--5)+(-5*(((-84.65*(-84.65-(-5/-5)))*(-84.65-(-84.65/(-5*-84.65))))-(-5/-5)))))</f>
        <v>-3047451.918125</v>
      </c>
      <c r="C1536" t="n" s="0">
        <v>-3047451.918125001</v>
      </c>
    </row>
    <row r="1537">
      <c r="A1537" t="n" s="0">
        <v>-84.64</v>
      </c>
      <c r="B1537" t="n" s="0">
        <f>(-5-((((-5*(-5/((-5/(((-5*(-84.64--5))-(-5+((-5*-84.64)*(((-5--5)+(-84.64--5))+-84.64))))-(-5+-5)))*-5)))/-5)--5)+(-5*(((-84.64*(-84.64-(-5/-5)))*(-84.64-(-84.64/(-5*-84.64))))-(-5/-5)))))</f>
        <v>-3046373.78592</v>
      </c>
      <c r="C1537" t="n" s="0">
        <v>-3046373.7859199997</v>
      </c>
    </row>
    <row r="1538">
      <c r="A1538" t="n" s="0">
        <v>-84.63</v>
      </c>
      <c r="B1538" t="n" s="0">
        <f>(-5-((((-5*(-5/((-5/(((-5*(-84.63--5))-(-5+((-5*-84.63)*(((-5--5)+(-84.63--5))+-84.63))))-(-5+-5)))*-5)))/-5)--5)+(-5*(((-84.63*(-84.63-(-5/-5)))*(-84.63-(-84.63/(-5*-84.63))))-(-5/-5)))))</f>
        <v>-3045295.9080350003</v>
      </c>
      <c r="C1538" t="n" s="0">
        <v>-3045295.9080349994</v>
      </c>
    </row>
    <row r="1539">
      <c r="A1539" t="n" s="0">
        <v>-84.62</v>
      </c>
      <c r="B1539" t="n" s="0">
        <f>(-5-((((-5*(-5/((-5/(((-5*(-84.62--5))-(-5+((-5*-84.62)*(((-5--5)+(-84.62--5))+-84.62))))-(-5+-5)))*-5)))/-5)--5)+(-5*(((-84.62*(-84.62-(-5/-5)))*(-84.62-(-84.62/(-5*-84.62))))-(-5/-5)))))</f>
        <v>-3044218.28444</v>
      </c>
      <c r="C1539" t="n" s="0">
        <v>-3044218.2844400005</v>
      </c>
    </row>
    <row r="1540">
      <c r="A1540" t="n" s="0">
        <v>-84.61</v>
      </c>
      <c r="B1540" t="n" s="0">
        <f>(-5-((((-5*(-5/((-5/(((-5*(-84.61--5))-(-5+((-5*-84.61)*(((-5--5)+(-84.61--5))+-84.61))))-(-5+-5)))*-5)))/-5)--5)+(-5*(((-84.61*(-84.61-(-5/-5)))*(-84.61-(-84.61/(-5*-84.61))))-(-5/-5)))))</f>
        <v>-3043140.915105</v>
      </c>
      <c r="C1540" t="n" s="0">
        <v>-3043140.915105</v>
      </c>
    </row>
    <row r="1541">
      <c r="A1541" t="n" s="0">
        <v>-84.6</v>
      </c>
      <c r="B1541" t="n" s="0">
        <f>(-5-((((-5*(-5/((-5/(((-5*(-84.6--5))-(-5+((-5*-84.6)*(((-5--5)+(-84.6--5))+-84.6))))-(-5+-5)))*-5)))/-5)--5)+(-5*(((-84.6*(-84.6-(-5/-5)))*(-84.6-(-84.6/(-5*-84.6))))-(-5/-5)))))</f>
        <v>-3042063.8000000003</v>
      </c>
      <c r="C1541" t="n" s="0">
        <v>-3042063.7999999993</v>
      </c>
    </row>
    <row r="1542">
      <c r="A1542" t="n" s="0">
        <v>-84.59</v>
      </c>
      <c r="B1542" t="n" s="0">
        <f>(-5-((((-5*(-5/((-5/(((-5*(-84.59--5))-(-5+((-5*-84.59)*(((-5--5)+(-84.59--5))+-84.59))))-(-5+-5)))*-5)))/-5)--5)+(-5*(((-84.59*(-84.59-(-5/-5)))*(-84.59-(-84.59/(-5*-84.59))))-(-5/-5)))))</f>
        <v>-3040986.939095</v>
      </c>
      <c r="C1542" t="n" s="0">
        <v>-3040986.9390950003</v>
      </c>
    </row>
    <row r="1543">
      <c r="A1543" t="n" s="0">
        <v>-84.58</v>
      </c>
      <c r="B1543" t="n" s="0">
        <f>(-5-((((-5*(-5/((-5/(((-5*(-84.58--5))-(-5+((-5*-84.58)*(((-5--5)+(-84.58--5))+-84.58))))-(-5+-5)))*-5)))/-5)--5)+(-5*(((-84.58*(-84.58-(-5/-5)))*(-84.58-(-84.58/(-5*-84.58))))-(-5/-5)))))</f>
        <v>-3039910.3323600003</v>
      </c>
      <c r="C1543" t="n" s="0">
        <v>-3039910.3323600003</v>
      </c>
    </row>
    <row r="1544">
      <c r="A1544" t="n" s="0">
        <v>-84.57</v>
      </c>
      <c r="B1544" t="n" s="0">
        <f>(-5-((((-5*(-5/((-5/(((-5*(-84.57--5))-(-5+((-5*-84.57)*(((-5--5)+(-84.57--5))+-84.57))))-(-5+-5)))*-5)))/-5)--5)+(-5*(((-84.57*(-84.57-(-5/-5)))*(-84.57-(-84.57/(-5*-84.57))))-(-5/-5)))))</f>
        <v>-3038833.979765</v>
      </c>
      <c r="C1544" t="n" s="0">
        <v>-3038833.9797649994</v>
      </c>
    </row>
    <row r="1545">
      <c r="A1545" t="n" s="0">
        <v>-84.56</v>
      </c>
      <c r="B1545" t="n" s="0">
        <f>(-5-((((-5*(-5/((-5/(((-5*(-84.56--5))-(-5+((-5*-84.56)*(((-5--5)+(-84.56--5))+-84.56))))-(-5+-5)))*-5)))/-5)--5)+(-5*(((-84.56*(-84.56-(-5/-5)))*(-84.56-(-84.56/(-5*-84.56))))-(-5/-5)))))</f>
        <v>-3037757.88128</v>
      </c>
      <c r="C1545" t="n" s="0">
        <v>-3037757.881280001</v>
      </c>
    </row>
    <row r="1546">
      <c r="A1546" t="n" s="0">
        <v>-84.55</v>
      </c>
      <c r="B1546" t="n" s="0">
        <f>(-5-((((-5*(-5/((-5/(((-5*(-84.55--5))-(-5+((-5*-84.55)*(((-5--5)+(-84.55--5))+-84.55))))-(-5+-5)))*-5)))/-5)--5)+(-5*(((-84.55*(-84.55-(-5/-5)))*(-84.55-(-84.55/(-5*-84.55))))-(-5/-5)))))</f>
        <v>-3036682.0368749998</v>
      </c>
      <c r="C1546" t="n" s="0">
        <v>-3036682.0368749993</v>
      </c>
    </row>
    <row r="1547">
      <c r="A1547" t="n" s="0">
        <v>-84.54</v>
      </c>
      <c r="B1547" t="n" s="0">
        <f>(-5-((((-5*(-5/((-5/(((-5*(-84.54--5))-(-5+((-5*-84.54)*(((-5--5)+(-84.54--5))+-84.54))))-(-5+-5)))*-5)))/-5)--5)+(-5*(((-84.54*(-84.54-(-5/-5)))*(-84.54-(-84.54/(-5*-84.54))))-(-5/-5)))))</f>
        <v>-3035606.4465199998</v>
      </c>
      <c r="C1547" t="n" s="0">
        <v>-3035606.446520001</v>
      </c>
    </row>
    <row r="1548">
      <c r="A1548" t="n" s="0">
        <v>-84.53</v>
      </c>
      <c r="B1548" t="n" s="0">
        <f>(-5-((((-5*(-5/((-5/(((-5*(-84.53--5))-(-5+((-5*-84.53)*(((-5--5)+(-84.53--5))+-84.53))))-(-5+-5)))*-5)))/-5)--5)+(-5*(((-84.53*(-84.53-(-5/-5)))*(-84.53-(-84.53/(-5*-84.53))))-(-5/-5)))))</f>
        <v>-3034531.1101849996</v>
      </c>
      <c r="C1548" t="n" s="0">
        <v>-3034531.1101849996</v>
      </c>
    </row>
    <row r="1549">
      <c r="A1549" t="n" s="0">
        <v>-84.52</v>
      </c>
      <c r="B1549" t="n" s="0">
        <f>(-5-((((-5*(-5/((-5/(((-5*(-84.52--5))-(-5+((-5*-84.52)*(((-5--5)+(-84.52--5))+-84.52))))-(-5+-5)))*-5)))/-5)--5)+(-5*(((-84.52*(-84.52-(-5/-5)))*(-84.52-(-84.52/(-5*-84.52))))-(-5/-5)))))</f>
        <v>-3033456.0278399996</v>
      </c>
      <c r="C1549" t="n" s="0">
        <v>-3033456.0278399996</v>
      </c>
    </row>
    <row r="1550">
      <c r="A1550" t="n" s="0">
        <v>-84.51</v>
      </c>
      <c r="B1550" t="n" s="0">
        <f>(-5-((((-5*(-5/((-5/(((-5*(-84.51--5))-(-5+((-5*-84.51)*(((-5--5)+(-84.51--5))+-84.51))))-(-5+-5)))*-5)))/-5)--5)+(-5*(((-84.51*(-84.51-(-5/-5)))*(-84.51-(-84.51/(-5*-84.51))))-(-5/-5)))))</f>
        <v>-3032381.199455</v>
      </c>
      <c r="C1550" t="n" s="0">
        <v>-3032381.1994550005</v>
      </c>
    </row>
    <row r="1551">
      <c r="A1551" t="n" s="0">
        <v>-84.5</v>
      </c>
      <c r="B1551" t="n" s="0">
        <f>(-5-((((-5*(-5/((-5/(((-5*(-84.5--5))-(-5+((-5*-84.5)*(((-5--5)+(-84.5--5))+-84.5))))-(-5+-5)))*-5)))/-5)--5)+(-5*(((-84.5*(-84.5-(-5/-5)))*(-84.5-(-84.5/(-5*-84.5))))-(-5/-5)))))</f>
        <v>-3031306.625</v>
      </c>
      <c r="C1551" t="n" s="0">
        <v>-3031306.625</v>
      </c>
    </row>
    <row r="1552">
      <c r="A1552" t="n" s="0">
        <v>-84.49</v>
      </c>
      <c r="B1552" t="n" s="0">
        <f>(-5-((((-5*(-5/((-5/(((-5*(-84.49--5))-(-5+((-5*-84.49)*(((-5--5)+(-84.49--5))+-84.49))))-(-5+-5)))*-5)))/-5)--5)+(-5*(((-84.49*(-84.49-(-5/-5)))*(-84.49-(-84.49/(-5*-84.49))))-(-5/-5)))))</f>
        <v>-3030232.3044450004</v>
      </c>
      <c r="C1552" t="n" s="0">
        <v>-3030232.3044449994</v>
      </c>
    </row>
    <row r="1553">
      <c r="A1553" t="n" s="0">
        <v>-84.48</v>
      </c>
      <c r="B1553" t="n" s="0">
        <f>(-5-((((-5*(-5/((-5/(((-5*(-84.48--5))-(-5+((-5*-84.48)*(((-5--5)+(-84.48--5))+-84.48))))-(-5+-5)))*-5)))/-5)--5)+(-5*(((-84.48*(-84.48-(-5/-5)))*(-84.48-(-84.48/(-5*-84.48))))-(-5/-5)))))</f>
        <v>-3029158.23776</v>
      </c>
      <c r="C1553" t="n" s="0">
        <v>-3029158.23776</v>
      </c>
    </row>
    <row r="1554">
      <c r="A1554" t="n" s="0">
        <v>-84.47</v>
      </c>
      <c r="B1554" t="n" s="0">
        <f>(-5-((((-5*(-5/((-5/(((-5*(-84.47--5))-(-5+((-5*-84.47)*(((-5--5)+(-84.47--5))+-84.47))))-(-5+-5)))*-5)))/-5)--5)+(-5*(((-84.47*(-84.47-(-5/-5)))*(-84.47-(-84.47/(-5*-84.47))))-(-5/-5)))))</f>
        <v>-3028084.424915</v>
      </c>
      <c r="C1554" t="n" s="0">
        <v>-3028084.424915</v>
      </c>
    </row>
    <row r="1555">
      <c r="A1555" t="n" s="0">
        <v>-84.46</v>
      </c>
      <c r="B1555" t="n" s="0">
        <f>(-5-((((-5*(-5/((-5/(((-5*(-84.46--5))-(-5+((-5*-84.46)*(((-5--5)+(-84.46--5))+-84.46))))-(-5+-5)))*-5)))/-5)--5)+(-5*(((-84.46*(-84.46-(-5/-5)))*(-84.46-(-84.46/(-5*-84.46))))-(-5/-5)))))</f>
        <v>-3027010.8658800004</v>
      </c>
      <c r="C1555" t="n" s="0">
        <v>-3027010.865879999</v>
      </c>
    </row>
    <row r="1556">
      <c r="A1556" t="n" s="0">
        <v>-84.45</v>
      </c>
      <c r="B1556" t="n" s="0">
        <f>(-5-((((-5*(-5/((-5/(((-5*(-84.45--5))-(-5+((-5*-84.45)*(((-5--5)+(-84.45--5))+-84.45))))-(-5+-5)))*-5)))/-5)--5)+(-5*(((-84.45*(-84.45-(-5/-5)))*(-84.45-(-84.45/(-5*-84.45))))-(-5/-5)))))</f>
        <v>-3025937.560625</v>
      </c>
      <c r="C1556" t="n" s="0">
        <v>-3025937.5606250004</v>
      </c>
    </row>
    <row r="1557">
      <c r="A1557" t="n" s="0">
        <v>-84.44</v>
      </c>
      <c r="B1557" t="n" s="0">
        <f>(-5-((((-5*(-5/((-5/(((-5*(-84.44--5))-(-5+((-5*-84.44)*(((-5--5)+(-84.44--5))+-84.44))))-(-5+-5)))*-5)))/-5)--5)+(-5*(((-84.44*(-84.44-(-5/-5)))*(-84.44-(-84.44/(-5*-84.44))))-(-5/-5)))))</f>
        <v>-3024864.50912</v>
      </c>
      <c r="C1557" t="n" s="0">
        <v>-3024864.5091199996</v>
      </c>
    </row>
    <row r="1558">
      <c r="A1558" t="n" s="0">
        <v>-84.43</v>
      </c>
      <c r="B1558" t="n" s="0">
        <f>(-5-((((-5*(-5/((-5/(((-5*(-84.43--5))-(-5+((-5*-84.43)*(((-5--5)+(-84.43--5))+-84.43))))-(-5+-5)))*-5)))/-5)--5)+(-5*(((-84.43*(-84.43-(-5/-5)))*(-84.43-(-84.43/(-5*-84.43))))-(-5/-5)))))</f>
        <v>-3023791.7113349997</v>
      </c>
      <c r="C1558" t="n" s="0">
        <v>-3023791.7113350006</v>
      </c>
    </row>
    <row r="1559">
      <c r="A1559" t="n" s="0">
        <v>-84.42</v>
      </c>
      <c r="B1559" t="n" s="0">
        <f>(-5-((((-5*(-5/((-5/(((-5*(-84.42--5))-(-5+((-5*-84.42)*(((-5--5)+(-84.42--5))+-84.42))))-(-5+-5)))*-5)))/-5)--5)+(-5*(((-84.42*(-84.42-(-5/-5)))*(-84.42-(-84.42/(-5*-84.42))))-(-5/-5)))))</f>
        <v>-3022719.16724</v>
      </c>
      <c r="C1559" t="n" s="0">
        <v>-3022719.16724</v>
      </c>
    </row>
    <row r="1560">
      <c r="A1560" t="n" s="0">
        <v>-84.41</v>
      </c>
      <c r="B1560" t="n" s="0">
        <f>(-5-((((-5*(-5/((-5/(((-5*(-84.41--5))-(-5+((-5*-84.41)*(((-5--5)+(-84.41--5))+-84.41))))-(-5+-5)))*-5)))/-5)--5)+(-5*(((-84.41*(-84.41-(-5/-5)))*(-84.41-(-84.41/(-5*-84.41))))-(-5/-5)))))</f>
        <v>-3021646.876805</v>
      </c>
      <c r="C1560" t="n" s="0">
        <v>-3021646.8768049995</v>
      </c>
    </row>
    <row r="1561">
      <c r="A1561" t="n" s="0">
        <v>-84.4</v>
      </c>
      <c r="B1561" t="n" s="0">
        <f>(-5-((((-5*(-5/((-5/(((-5*(-84.4--5))-(-5+((-5*-84.4)*(((-5--5)+(-84.4--5))+-84.4))))-(-5+-5)))*-5)))/-5)--5)+(-5*(((-84.4*(-84.4-(-5/-5)))*(-84.4-(-84.4/(-5*-84.4))))-(-5/-5)))))</f>
        <v>-3020574.84</v>
      </c>
      <c r="C1561" t="n" s="0">
        <v>-3020574.8400000012</v>
      </c>
    </row>
    <row r="1562">
      <c r="A1562" t="n" s="0">
        <v>-84.39</v>
      </c>
      <c r="B1562" t="n" s="0">
        <f>(-5-((((-5*(-5/((-5/(((-5*(-84.39--5))-(-5+((-5*-84.39)*(((-5--5)+(-84.39--5))+-84.39))))-(-5+-5)))*-5)))/-5)--5)+(-5*(((-84.39*(-84.39-(-5/-5)))*(-84.39-(-84.39/(-5*-84.39))))-(-5/-5)))))</f>
        <v>-3019503.056795</v>
      </c>
      <c r="C1562" t="n" s="0">
        <v>-3019503.056795</v>
      </c>
    </row>
    <row r="1563">
      <c r="A1563" t="n" s="0">
        <v>-84.38</v>
      </c>
      <c r="B1563" t="n" s="0">
        <f>(-5-((((-5*(-5/((-5/(((-5*(-84.38--5))-(-5+((-5*-84.38)*(((-5--5)+(-84.38--5))+-84.38))))-(-5+-5)))*-5)))/-5)--5)+(-5*(((-84.38*(-84.38-(-5/-5)))*(-84.38-(-84.38/(-5*-84.38))))-(-5/-5)))))</f>
        <v>-3018431.52716</v>
      </c>
      <c r="C1563" t="n" s="0">
        <v>-3018431.5271599996</v>
      </c>
    </row>
    <row r="1564">
      <c r="A1564" t="n" s="0">
        <v>-84.37</v>
      </c>
      <c r="B1564" t="n" s="0">
        <f>(-5-((((-5*(-5/((-5/(((-5*(-84.37--5))-(-5+((-5*-84.37)*(((-5--5)+(-84.37--5))+-84.37))))-(-5+-5)))*-5)))/-5)--5)+(-5*(((-84.37*(-84.37-(-5/-5)))*(-84.37-(-84.37/(-5*-84.37))))-(-5/-5)))))</f>
        <v>-3017360.251065</v>
      </c>
      <c r="C1564" t="n" s="0">
        <v>-3017360.2510650004</v>
      </c>
    </row>
    <row r="1565">
      <c r="A1565" t="n" s="0">
        <v>-84.36</v>
      </c>
      <c r="B1565" t="n" s="0">
        <f>(-5-((((-5*(-5/((-5/(((-5*(-84.36--5))-(-5+((-5*-84.36)*(((-5--5)+(-84.36--5))+-84.36))))-(-5+-5)))*-5)))/-5)--5)+(-5*(((-84.36*(-84.36-(-5/-5)))*(-84.36-(-84.36/(-5*-84.36))))-(-5/-5)))))</f>
        <v>-3016289.2284799996</v>
      </c>
      <c r="C1565" t="n" s="0">
        <v>-3016289.22848</v>
      </c>
    </row>
    <row r="1566">
      <c r="A1566" t="n" s="0">
        <v>-84.35</v>
      </c>
      <c r="B1566" t="n" s="0">
        <f>(-5-((((-5*(-5/((-5/(((-5*(-84.35--5))-(-5+((-5*-84.35)*(((-5--5)+(-84.35--5))+-84.35))))-(-5+-5)))*-5)))/-5)--5)+(-5*(((-84.35*(-84.35-(-5/-5)))*(-84.35-(-84.35/(-5*-84.35))))-(-5/-5)))))</f>
        <v>-3015218.459375</v>
      </c>
      <c r="C1566" t="n" s="0">
        <v>-3015218.459374999</v>
      </c>
    </row>
    <row r="1567">
      <c r="A1567" t="n" s="0">
        <v>-84.34</v>
      </c>
      <c r="B1567" t="n" s="0">
        <f>(-5-((((-5*(-5/((-5/(((-5*(-84.34--5))-(-5+((-5*-84.34)*(((-5--5)+(-84.34--5))+-84.34))))-(-5+-5)))*-5)))/-5)--5)+(-5*(((-84.34*(-84.34-(-5/-5)))*(-84.34-(-84.34/(-5*-84.34))))-(-5/-5)))))</f>
        <v>-3014147.94372</v>
      </c>
      <c r="C1567" t="n" s="0">
        <v>-3014147.9437200003</v>
      </c>
    </row>
    <row r="1568">
      <c r="A1568" t="n" s="0">
        <v>-84.33</v>
      </c>
      <c r="B1568" t="n" s="0">
        <f>(-5-((((-5*(-5/((-5/(((-5*(-84.33--5))-(-5+((-5*-84.33)*(((-5--5)+(-84.33--5))+-84.33))))-(-5+-5)))*-5)))/-5)--5)+(-5*(((-84.33*(-84.33-(-5/-5)))*(-84.33-(-84.33/(-5*-84.33))))-(-5/-5)))))</f>
        <v>-3013077.681485</v>
      </c>
      <c r="C1568" t="n" s="0">
        <v>-3013077.681485</v>
      </c>
    </row>
    <row r="1569">
      <c r="A1569" t="n" s="0">
        <v>-84.32</v>
      </c>
      <c r="B1569" t="n" s="0">
        <f>(-5-((((-5*(-5/((-5/(((-5*(-84.32--5))-(-5+((-5*-84.32)*(((-5--5)+(-84.32--5))+-84.32))))-(-5+-5)))*-5)))/-5)--5)+(-5*(((-84.32*(-84.32-(-5/-5)))*(-84.32-(-84.32/(-5*-84.32))))-(-5/-5)))))</f>
        <v>-3012007.67264</v>
      </c>
      <c r="C1569" t="n" s="0">
        <v>-3012007.672639999</v>
      </c>
    </row>
    <row r="1570">
      <c r="A1570" t="n" s="0">
        <v>-84.31</v>
      </c>
      <c r="B1570" t="n" s="0">
        <f>(-5-((((-5*(-5/((-5/(((-5*(-84.31--5))-(-5+((-5*-84.31)*(((-5--5)+(-84.31--5))+-84.31))))-(-5+-5)))*-5)))/-5)--5)+(-5*(((-84.31*(-84.31-(-5/-5)))*(-84.31-(-84.31/(-5*-84.31))))-(-5/-5)))))</f>
        <v>-3010937.917155</v>
      </c>
      <c r="C1570" t="n" s="0">
        <v>-3010937.917155001</v>
      </c>
    </row>
    <row r="1571">
      <c r="A1571" t="n" s="0">
        <v>-84.3</v>
      </c>
      <c r="B1571" t="n" s="0">
        <f>(-5-((((-5*(-5/((-5/(((-5*(-84.3--5))-(-5+((-5*-84.3)*(((-5--5)+(-84.3--5))+-84.3))))-(-5+-5)))*-5)))/-5)--5)+(-5*(((-84.3*(-84.3-(-5/-5)))*(-84.3-(-84.3/(-5*-84.3))))-(-5/-5)))))</f>
        <v>-3009868.415</v>
      </c>
      <c r="C1571" t="n" s="0">
        <v>-3009868.4149999996</v>
      </c>
    </row>
    <row r="1572">
      <c r="A1572" t="n" s="0">
        <v>-84.29</v>
      </c>
      <c r="B1572" t="n" s="0">
        <f>(-5-((((-5*(-5/((-5/(((-5*(-84.29--5))-(-5+((-5*-84.29)*(((-5--5)+(-84.29--5))+-84.29))))-(-5+-5)))*-5)))/-5)--5)+(-5*(((-84.29*(-84.29-(-5/-5)))*(-84.29-(-84.29/(-5*-84.29))))-(-5/-5)))))</f>
        <v>-3008799.166145</v>
      </c>
      <c r="C1572" t="n" s="0">
        <v>-3008799.1661450006</v>
      </c>
    </row>
    <row r="1573">
      <c r="A1573" t="n" s="0">
        <v>-84.28</v>
      </c>
      <c r="B1573" t="n" s="0">
        <f>(-5-((((-5*(-5/((-5/(((-5*(-84.28--5))-(-5+((-5*-84.28)*(((-5--5)+(-84.28--5))+-84.28))))-(-5+-5)))*-5)))/-5)--5)+(-5*(((-84.28*(-84.28-(-5/-5)))*(-84.28-(-84.28/(-5*-84.28))))-(-5/-5)))))</f>
        <v>-3007730.17056</v>
      </c>
      <c r="C1573" t="n" s="0">
        <v>-3007730.17056</v>
      </c>
    </row>
    <row r="1574">
      <c r="A1574" t="n" s="0">
        <v>-84.27</v>
      </c>
      <c r="B1574" t="n" s="0">
        <f>(-5-((((-5*(-5/((-5/(((-5*(-84.27--5))-(-5+((-5*-84.27)*(((-5--5)+(-84.27--5))+-84.27))))-(-5+-5)))*-5)))/-5)--5)+(-5*(((-84.27*(-84.27-(-5/-5)))*(-84.27-(-84.27/(-5*-84.27))))-(-5/-5)))))</f>
        <v>-3006661.428215</v>
      </c>
      <c r="C1574" t="n" s="0">
        <v>-3006661.4282149994</v>
      </c>
    </row>
    <row r="1575">
      <c r="A1575" t="n" s="0">
        <v>-84.26</v>
      </c>
      <c r="B1575" t="n" s="0">
        <f>(-5-((((-5*(-5/((-5/(((-5*(-84.26--5))-(-5+((-5*-84.26)*(((-5--5)+(-84.26--5))+-84.26))))-(-5+-5)))*-5)))/-5)--5)+(-5*(((-84.26*(-84.26-(-5/-5)))*(-84.26-(-84.26/(-5*-84.26))))-(-5/-5)))))</f>
        <v>-3005592.93908</v>
      </c>
      <c r="C1575" t="n" s="0">
        <v>-3005592.9390800004</v>
      </c>
    </row>
    <row r="1576">
      <c r="A1576" t="n" s="0">
        <v>-84.25</v>
      </c>
      <c r="B1576" t="n" s="0">
        <f>(-5-((((-5*(-5/((-5/(((-5*(-84.25--5))-(-5+((-5*-84.25)*(((-5--5)+(-84.25--5))+-84.25))))-(-5+-5)))*-5)))/-5)--5)+(-5*(((-84.25*(-84.25-(-5/-5)))*(-84.25-(-84.25/(-5*-84.25))))-(-5/-5)))))</f>
        <v>-3004524.703125</v>
      </c>
      <c r="C1576" t="n" s="0">
        <v>-3004524.703125</v>
      </c>
    </row>
    <row r="1577">
      <c r="A1577" t="n" s="0">
        <v>-84.24</v>
      </c>
      <c r="B1577" t="n" s="0">
        <f>(-5-((((-5*(-5/((-5/(((-5*(-84.24--5))-(-5+((-5*-84.24)*(((-5--5)+(-84.24--5))+-84.24))))-(-5+-5)))*-5)))/-5)--5)+(-5*(((-84.24*(-84.24-(-5/-5)))*(-84.24-(-84.24/(-5*-84.24))))-(-5/-5)))))</f>
        <v>-3003456.72032</v>
      </c>
      <c r="C1577" t="n" s="0">
        <v>-3003456.7203199994</v>
      </c>
    </row>
    <row r="1578">
      <c r="A1578" t="n" s="0">
        <v>-84.23</v>
      </c>
      <c r="B1578" t="n" s="0">
        <f>(-5-((((-5*(-5/((-5/(((-5*(-84.23--5))-(-5+((-5*-84.23)*(((-5--5)+(-84.23--5))+-84.23))))-(-5+-5)))*-5)))/-5)--5)+(-5*(((-84.23*(-84.23-(-5/-5)))*(-84.23-(-84.23/(-5*-84.23))))-(-5/-5)))))</f>
        <v>-3002388.990635</v>
      </c>
      <c r="C1578" t="n" s="0">
        <v>-3002388.990635</v>
      </c>
    </row>
    <row r="1579">
      <c r="A1579" t="n" s="0">
        <v>-84.22</v>
      </c>
      <c r="B1579" t="n" s="0">
        <f>(-5-((((-5*(-5/((-5/(((-5*(-84.22--5))-(-5+((-5*-84.22)*(((-5--5)+(-84.22--5))+-84.22))))-(-5+-5)))*-5)))/-5)--5)+(-5*(((-84.22*(-84.22-(-5/-5)))*(-84.22-(-84.22/(-5*-84.22))))-(-5/-5)))))</f>
        <v>-3001321.51404</v>
      </c>
      <c r="C1579" t="n" s="0">
        <v>-3001321.51404</v>
      </c>
    </row>
    <row r="1580">
      <c r="A1580" t="n" s="0">
        <v>-84.21</v>
      </c>
      <c r="B1580" t="n" s="0">
        <f>(-5-((((-5*(-5/((-5/(((-5*(-84.21--5))-(-5+((-5*-84.21)*(((-5--5)+(-84.21--5))+-84.21))))-(-5+-5)))*-5)))/-5)--5)+(-5*(((-84.21*(-84.21-(-5/-5)))*(-84.21-(-84.21/(-5*-84.21))))-(-5/-5)))))</f>
        <v>-3000254.290505</v>
      </c>
      <c r="C1580" t="n" s="0">
        <v>-3000254.2905049995</v>
      </c>
    </row>
    <row r="1581">
      <c r="A1581" t="n" s="0">
        <v>-84.2</v>
      </c>
      <c r="B1581" t="n" s="0">
        <f>(-5-((((-5*(-5/((-5/(((-5*(-84.2--5))-(-5+((-5*-84.2)*(((-5--5)+(-84.2--5))+-84.2))))-(-5+-5)))*-5)))/-5)--5)+(-5*(((-84.2*(-84.2-(-5/-5)))*(-84.2-(-84.2/(-5*-84.2))))-(-5/-5)))))</f>
        <v>-2999187.32</v>
      </c>
      <c r="C1581" t="n" s="0">
        <v>-2999187.3200000003</v>
      </c>
    </row>
    <row r="1582">
      <c r="A1582" t="n" s="0">
        <v>-84.19</v>
      </c>
      <c r="B1582" t="n" s="0">
        <f>(-5-((((-5*(-5/((-5/(((-5*(-84.19--5))-(-5+((-5*-84.19)*(((-5--5)+(-84.19--5))+-84.19))))-(-5+-5)))*-5)))/-5)--5)+(-5*(((-84.19*(-84.19-(-5/-5)))*(-84.19-(-84.19/(-5*-84.19))))-(-5/-5)))))</f>
        <v>-2998120.602495</v>
      </c>
      <c r="C1582" t="n" s="0">
        <v>-2998120.6024949998</v>
      </c>
    </row>
    <row r="1583">
      <c r="A1583" t="n" s="0">
        <v>-84.18</v>
      </c>
      <c r="B1583" t="n" s="0">
        <f>(-5-((((-5*(-5/((-5/(((-5*(-84.18--5))-(-5+((-5*-84.18)*(((-5--5)+(-84.18--5))+-84.18))))-(-5+-5)))*-5)))/-5)--5)+(-5*(((-84.18*(-84.18-(-5/-5)))*(-84.18-(-84.18/(-5*-84.18))))-(-5/-5)))))</f>
        <v>-2997054.13796</v>
      </c>
      <c r="C1583" t="n" s="0">
        <v>-2997054.137960001</v>
      </c>
    </row>
    <row r="1584">
      <c r="A1584" t="n" s="0">
        <v>-84.17</v>
      </c>
      <c r="B1584" t="n" s="0">
        <f>(-5-((((-5*(-5/((-5/(((-5*(-84.17--5))-(-5+((-5*-84.17)*(((-5--5)+(-84.17--5))+-84.17))))-(-5+-5)))*-5)))/-5)--5)+(-5*(((-84.17*(-84.17-(-5/-5)))*(-84.17-(-84.17/(-5*-84.17))))-(-5/-5)))))</f>
        <v>-2995987.926365</v>
      </c>
      <c r="C1584" t="n" s="0">
        <v>-2995987.926365</v>
      </c>
    </row>
    <row r="1585">
      <c r="A1585" t="n" s="0">
        <v>-84.16</v>
      </c>
      <c r="B1585" t="n" s="0">
        <f>(-5-((((-5*(-5/((-5/(((-5*(-84.16--5))-(-5+((-5*-84.16)*(((-5--5)+(-84.16--5))+-84.16))))-(-5+-5)))*-5)))/-5)--5)+(-5*(((-84.16*(-84.16-(-5/-5)))*(-84.16-(-84.16/(-5*-84.16))))-(-5/-5)))))</f>
        <v>-2994921.96768</v>
      </c>
      <c r="C1585" t="n" s="0">
        <v>-2994921.9676799993</v>
      </c>
    </row>
    <row r="1586">
      <c r="A1586" t="n" s="0">
        <v>-84.15</v>
      </c>
      <c r="B1586" t="n" s="0">
        <f>(-5-((((-5*(-5/((-5/(((-5*(-84.15--5))-(-5+((-5*-84.15)*(((-5--5)+(-84.15--5))+-84.15))))-(-5+-5)))*-5)))/-5)--5)+(-5*(((-84.15*(-84.15-(-5/-5)))*(-84.15-(-84.15/(-5*-84.15))))-(-5/-5)))))</f>
        <v>-2993856.261875</v>
      </c>
      <c r="C1586" t="n" s="0">
        <v>-2993856.2618750003</v>
      </c>
    </row>
    <row r="1587">
      <c r="A1587" t="n" s="0">
        <v>-84.14</v>
      </c>
      <c r="B1587" t="n" s="0">
        <f>(-5-((((-5*(-5/((-5/(((-5*(-84.14--5))-(-5+((-5*-84.14)*(((-5--5)+(-84.14--5))+-84.14))))-(-5+-5)))*-5)))/-5)--5)+(-5*(((-84.14*(-84.14-(-5/-5)))*(-84.14-(-84.14/(-5*-84.14))))-(-5/-5)))))</f>
        <v>-2992790.80892</v>
      </c>
      <c r="C1587" t="n" s="0">
        <v>-2992790.8089199997</v>
      </c>
    </row>
    <row r="1588">
      <c r="A1588" t="n" s="0">
        <v>-84.13</v>
      </c>
      <c r="B1588" t="n" s="0">
        <f>(-5-((((-5*(-5/((-5/(((-5*(-84.13--5))-(-5+((-5*-84.13)*(((-5--5)+(-84.13--5))+-84.13))))-(-5+-5)))*-5)))/-5)--5)+(-5*(((-84.13*(-84.13-(-5/-5)))*(-84.13-(-84.13/(-5*-84.13))))-(-5/-5)))))</f>
        <v>-2991725.608785</v>
      </c>
      <c r="C1588" t="n" s="0">
        <v>-2991725.6087849997</v>
      </c>
    </row>
    <row r="1589">
      <c r="A1589" t="n" s="0">
        <v>-84.12</v>
      </c>
      <c r="B1589" t="n" s="0">
        <f>(-5-((((-5*(-5/((-5/(((-5*(-84.12--5))-(-5+((-5*-84.12)*(((-5--5)+(-84.12--5))+-84.12))))-(-5+-5)))*-5)))/-5)--5)+(-5*(((-84.12*(-84.12-(-5/-5)))*(-84.12-(-84.12/(-5*-84.12))))-(-5/-5)))))</f>
        <v>-2990660.6614400004</v>
      </c>
      <c r="C1589" t="n" s="0">
        <v>-2990660.6614400004</v>
      </c>
    </row>
    <row r="1590">
      <c r="A1590" t="n" s="0">
        <v>-84.11</v>
      </c>
      <c r="B1590" t="n" s="0">
        <f>(-5-((((-5*(-5/((-5/(((-5*(-84.11--5))-(-5+((-5*-84.11)*(((-5--5)+(-84.11--5))+-84.11))))-(-5+-5)))*-5)))/-5)--5)+(-5*(((-84.11*(-84.11-(-5/-5)))*(-84.11-(-84.11/(-5*-84.11))))-(-5/-5)))))</f>
        <v>-2989595.9668550002</v>
      </c>
      <c r="C1590" t="n" s="0">
        <v>-2989595.966855</v>
      </c>
    </row>
    <row r="1591">
      <c r="A1591" t="n" s="0">
        <v>-84.1</v>
      </c>
      <c r="B1591" t="n" s="0">
        <f>(-5-((((-5*(-5/((-5/(((-5*(-84.1--5))-(-5+((-5*-84.1)*(((-5--5)+(-84.1--5))+-84.1))))-(-5+-5)))*-5)))/-5)--5)+(-5*(((-84.1*(-84.1-(-5/-5)))*(-84.1-(-84.1/(-5*-84.1))))-(-5/-5)))))</f>
        <v>-2988531.525</v>
      </c>
      <c r="C1591" t="n" s="0">
        <v>-2988531.5249999994</v>
      </c>
    </row>
    <row r="1592">
      <c r="A1592" t="n" s="0">
        <v>-84.09</v>
      </c>
      <c r="B1592" t="n" s="0">
        <f>(-5-((((-5*(-5/((-5/(((-5*(-84.09--5))-(-5+((-5*-84.09)*(((-5--5)+(-84.09--5))+-84.09))))-(-5+-5)))*-5)))/-5)--5)+(-5*(((-84.09*(-84.09-(-5/-5)))*(-84.09-(-84.09/(-5*-84.09))))-(-5/-5)))))</f>
        <v>-2987467.335845</v>
      </c>
      <c r="C1592" t="n" s="0">
        <v>-2987467.3358450006</v>
      </c>
    </row>
    <row r="1593">
      <c r="A1593" t="n" s="0">
        <v>-84.08</v>
      </c>
      <c r="B1593" t="n" s="0">
        <f>(-5-((((-5*(-5/((-5/(((-5*(-84.08--5))-(-5+((-5*-84.08)*(((-5--5)+(-84.08--5))+-84.08))))-(-5+-5)))*-5)))/-5)--5)+(-5*(((-84.08*(-84.08-(-5/-5)))*(-84.08-(-84.08/(-5*-84.08))))-(-5/-5)))))</f>
        <v>-2986403.3993599997</v>
      </c>
      <c r="C1593" t="n" s="0">
        <v>-2986403.39936</v>
      </c>
    </row>
    <row r="1594">
      <c r="A1594" t="n" s="0">
        <v>-84.07</v>
      </c>
      <c r="B1594" t="n" s="0">
        <f>(-5-((((-5*(-5/((-5/(((-5*(-84.07--5))-(-5+((-5*-84.07)*(((-5--5)+(-84.07--5))+-84.07))))-(-5+-5)))*-5)))/-5)--5)+(-5*(((-84.07*(-84.07-(-5/-5)))*(-84.07-(-84.07/(-5*-84.07))))-(-5/-5)))))</f>
        <v>-2985339.7155150003</v>
      </c>
      <c r="C1594" t="n" s="0">
        <v>-2985339.7155149993</v>
      </c>
    </row>
    <row r="1595">
      <c r="A1595" t="n" s="0">
        <v>-84.06</v>
      </c>
      <c r="B1595" t="n" s="0">
        <f>(-5-((((-5*(-5/((-5/(((-5*(-84.06--5))-(-5+((-5*-84.06)*(((-5--5)+(-84.06--5))+-84.06))))-(-5+-5)))*-5)))/-5)--5)+(-5*(((-84.06*(-84.06-(-5/-5)))*(-84.06-(-84.06/(-5*-84.06))))-(-5/-5)))))</f>
        <v>-2984276.2842800003</v>
      </c>
      <c r="C1595" t="n" s="0">
        <v>-2984276.2842800007</v>
      </c>
    </row>
    <row r="1596">
      <c r="A1596" t="n" s="0">
        <v>-84.05</v>
      </c>
      <c r="B1596" t="n" s="0">
        <f>(-5-((((-5*(-5/((-5/(((-5*(-84.05--5))-(-5+((-5*-84.05)*(((-5--5)+(-84.05--5))+-84.05))))-(-5+-5)))*-5)))/-5)--5)+(-5*(((-84.05*(-84.05-(-5/-5)))*(-84.05-(-84.05/(-5*-84.05))))-(-5/-5)))))</f>
        <v>-2983213.105625</v>
      </c>
      <c r="C1596" t="n" s="0">
        <v>-2983213.105625</v>
      </c>
    </row>
    <row r="1597">
      <c r="A1597" t="n" s="0">
        <v>-84.04</v>
      </c>
      <c r="B1597" t="n" s="0">
        <f>(-5-((((-5*(-5/((-5/(((-5*(-84.04--5))-(-5+((-5*-84.04)*(((-5--5)+(-84.04--5))+-84.04))))-(-5+-5)))*-5)))/-5)--5)+(-5*(((-84.04*(-84.04-(-5/-5)))*(-84.04-(-84.04/(-5*-84.04))))-(-5/-5)))))</f>
        <v>-2982150.1795200002</v>
      </c>
      <c r="C1597" t="n" s="0">
        <v>-2982150.179520001</v>
      </c>
    </row>
    <row r="1598">
      <c r="A1598" t="n" s="0">
        <v>-84.03</v>
      </c>
      <c r="B1598" t="n" s="0">
        <f>(-5-((((-5*(-5/((-5/(((-5*(-84.03--5))-(-5+((-5*-84.03)*(((-5--5)+(-84.03--5))+-84.03))))-(-5+-5)))*-5)))/-5)--5)+(-5*(((-84.03*(-84.03-(-5/-5)))*(-84.03-(-84.03/(-5*-84.03))))-(-5/-5)))))</f>
        <v>-2981087.505935</v>
      </c>
      <c r="C1598" t="n" s="0">
        <v>-2981087.5059350003</v>
      </c>
    </row>
    <row r="1599">
      <c r="A1599" t="n" s="0">
        <v>-84.02</v>
      </c>
      <c r="B1599" t="n" s="0">
        <f>(-5-((((-5*(-5/((-5/(((-5*(-84.02--5))-(-5+((-5*-84.02)*(((-5--5)+(-84.02--5))+-84.02))))-(-5+-5)))*-5)))/-5)--5)+(-5*(((-84.02*(-84.02-(-5/-5)))*(-84.02-(-84.02/(-5*-84.02))))-(-5/-5)))))</f>
        <v>-2980025.0848399997</v>
      </c>
      <c r="C1599" t="n" s="0">
        <v>-2980025.0848399997</v>
      </c>
    </row>
    <row r="1600">
      <c r="A1600" t="n" s="0">
        <v>-84.01</v>
      </c>
      <c r="B1600" t="n" s="0">
        <f>(-5-((((-5*(-5/((-5/(((-5*(-84.01--5))-(-5+((-5*-84.01)*(((-5--5)+(-84.01--5))+-84.01))))-(-5+-5)))*-5)))/-5)--5)+(-5*(((-84.01*(-84.01-(-5/-5)))*(-84.01-(-84.01/(-5*-84.01))))-(-5/-5)))))</f>
        <v>-2978962.916205</v>
      </c>
      <c r="C1600" t="n" s="0">
        <v>-2978962.916205</v>
      </c>
    </row>
    <row r="1601">
      <c r="A1601" t="n" s="0">
        <v>-84.0</v>
      </c>
      <c r="B1601" t="n" s="0">
        <f>(-5-((((-5*(-5/((-5/(((-5*(-84--5))-(-5+((-5*-84)*(((-5--5)+(-84--5))+-84))))-(-5+-5)))*-5)))/-5)--5)+(-5*(((-84*(-84-(-5/-5)))*(-84-(-84/(-5*-84))))-(-5/-5)))))</f>
        <v>-2977901.0</v>
      </c>
      <c r="C1601" t="n" s="0">
        <v>-2977901.0</v>
      </c>
    </row>
    <row r="1602">
      <c r="A1602" t="n" s="0">
        <v>-83.99</v>
      </c>
      <c r="B1602" t="n" s="0">
        <f>(-5-((((-5*(-5/((-5/(((-5*(-83.99--5))-(-5+((-5*-83.99)*(((-5--5)+(-83.99--5))+-83.99))))-(-5+-5)))*-5)))/-5)--5)+(-5*(((-83.99*(-83.99-(-5/-5)))*(-83.99-(-83.99/(-5*-83.99))))-(-5/-5)))))</f>
        <v>-2976839.336195</v>
      </c>
      <c r="C1602" t="n" s="0">
        <v>-2976839.3361949995</v>
      </c>
    </row>
    <row r="1603">
      <c r="A1603" t="n" s="0">
        <v>-83.98</v>
      </c>
      <c r="B1603" t="n" s="0">
        <f>(-5-((((-5*(-5/((-5/(((-5*(-83.98--5))-(-5+((-5*-83.98)*(((-5--5)+(-83.98--5))+-83.98))))-(-5+-5)))*-5)))/-5)--5)+(-5*(((-83.98*(-83.98-(-5/-5)))*(-83.98-(-83.98/(-5*-83.98))))-(-5/-5)))))</f>
        <v>-2975777.9247600003</v>
      </c>
      <c r="C1603" t="n" s="0">
        <v>-2975777.9247600003</v>
      </c>
    </row>
    <row r="1604">
      <c r="A1604" t="n" s="0">
        <v>-83.97</v>
      </c>
      <c r="B1604" t="n" s="0">
        <f>(-5-((((-5*(-5/((-5/(((-5*(-83.97--5))-(-5+((-5*-83.97)*(((-5--5)+(-83.97--5))+-83.97))))-(-5+-5)))*-5)))/-5)--5)+(-5*(((-83.97*(-83.97-(-5/-5)))*(-83.97-(-83.97/(-5*-83.97))))-(-5/-5)))))</f>
        <v>-2974716.7656650003</v>
      </c>
      <c r="C1604" t="n" s="0">
        <v>-2974716.765665</v>
      </c>
    </row>
    <row r="1605">
      <c r="A1605" t="n" s="0">
        <v>-83.96</v>
      </c>
      <c r="B1605" t="n" s="0">
        <f>(-5-((((-5*(-5/((-5/(((-5*(-83.96--5))-(-5+((-5*-83.96)*(((-5--5)+(-83.96--5))+-83.96))))-(-5+-5)))*-5)))/-5)--5)+(-5*(((-83.96*(-83.96-(-5/-5)))*(-83.96-(-83.96/(-5*-83.96))))-(-5/-5)))))</f>
        <v>-2973655.85888</v>
      </c>
      <c r="C1605" t="n" s="0">
        <v>-2973655.8588799993</v>
      </c>
    </row>
    <row r="1606">
      <c r="A1606" t="n" s="0">
        <v>-83.95</v>
      </c>
      <c r="B1606" t="n" s="0">
        <f>(-5-((((-5*(-5/((-5/(((-5*(-83.95--5))-(-5+((-5*-83.95)*(((-5--5)+(-83.95--5))+-83.95))))-(-5+-5)))*-5)))/-5)--5)+(-5*(((-83.95*(-83.95-(-5/-5)))*(-83.95-(-83.95/(-5*-83.95))))-(-5/-5)))))</f>
        <v>-2972595.204375</v>
      </c>
      <c r="C1606" t="n" s="0">
        <v>-2972595.2043750007</v>
      </c>
    </row>
    <row r="1607">
      <c r="A1607" t="n" s="0">
        <v>-83.94</v>
      </c>
      <c r="B1607" t="n" s="0">
        <f>(-5-((((-5*(-5/((-5/(((-5*(-83.94--5))-(-5+((-5*-83.94)*(((-5--5)+(-83.94--5))+-83.94))))-(-5+-5)))*-5)))/-5)--5)+(-5*(((-83.94*(-83.94-(-5/-5)))*(-83.94-(-83.94/(-5*-83.94))))-(-5/-5)))))</f>
        <v>-2971534.80212</v>
      </c>
      <c r="C1607" t="n" s="0">
        <v>-2971534.8021199997</v>
      </c>
    </row>
    <row r="1608">
      <c r="A1608" t="n" s="0">
        <v>-83.93</v>
      </c>
      <c r="B1608" t="n" s="0">
        <f>(-5-((((-5*(-5/((-5/(((-5*(-83.93--5))-(-5+((-5*-83.93)*(((-5--5)+(-83.93--5))+-83.93))))-(-5+-5)))*-5)))/-5)--5)+(-5*(((-83.93*(-83.93-(-5/-5)))*(-83.93-(-83.93/(-5*-83.93))))-(-5/-5)))))</f>
        <v>-2970474.652085</v>
      </c>
      <c r="C1608" t="n" s="0">
        <v>-2970474.652085001</v>
      </c>
    </row>
    <row r="1609">
      <c r="A1609" t="n" s="0">
        <v>-83.92</v>
      </c>
      <c r="B1609" t="n" s="0">
        <f>(-5-((((-5*(-5/((-5/(((-5*(-83.92--5))-(-5+((-5*-83.92)*(((-5--5)+(-83.92--5))+-83.92))))-(-5+-5)))*-5)))/-5)--5)+(-5*(((-83.92*(-83.92-(-5/-5)))*(-83.92-(-83.92/(-5*-83.92))))-(-5/-5)))))</f>
        <v>-2969414.7542399997</v>
      </c>
      <c r="C1609" t="n" s="0">
        <v>-2969414.7542399997</v>
      </c>
    </row>
    <row r="1610">
      <c r="A1610" t="n" s="0">
        <v>-83.91</v>
      </c>
      <c r="B1610" t="n" s="0">
        <f>(-5-((((-5*(-5/((-5/(((-5*(-83.91--5))-(-5+((-5*-83.91)*(((-5--5)+(-83.91--5))+-83.91))))-(-5+-5)))*-5)))/-5)--5)+(-5*(((-83.91*(-83.91-(-5/-5)))*(-83.91-(-83.91/(-5*-83.91))))-(-5/-5)))))</f>
        <v>-2968355.108555</v>
      </c>
      <c r="C1610" t="n" s="0">
        <v>-2968355.108555</v>
      </c>
    </row>
    <row r="1611">
      <c r="A1611" t="n" s="0">
        <v>-83.9</v>
      </c>
      <c r="B1611" t="n" s="0">
        <f>(-5-((((-5*(-5/((-5/(((-5*(-83.9--5))-(-5+((-5*-83.9)*(((-5--5)+(-83.9--5))+-83.9))))-(-5+-5)))*-5)))/-5)--5)+(-5*(((-83.9*(-83.9-(-5/-5)))*(-83.9-(-83.9/(-5*-83.9))))-(-5/-5)))))</f>
        <v>-2967295.7150000003</v>
      </c>
      <c r="C1611" t="n" s="0">
        <v>-2967295.715000001</v>
      </c>
    </row>
    <row r="1612">
      <c r="A1612" t="n" s="0">
        <v>-83.89</v>
      </c>
      <c r="B1612" t="n" s="0">
        <f>(-5-((((-5*(-5/((-5/(((-5*(-83.89--5))-(-5+((-5*-83.89)*(((-5--5)+(-83.89--5))+-83.89))))-(-5+-5)))*-5)))/-5)--5)+(-5*(((-83.89*(-83.89-(-5/-5)))*(-83.89-(-83.89/(-5*-83.89))))-(-5/-5)))))</f>
        <v>-2966236.573545</v>
      </c>
      <c r="C1612" t="n" s="0">
        <v>-2966236.573545</v>
      </c>
    </row>
    <row r="1613">
      <c r="A1613" t="n" s="0">
        <v>-83.88</v>
      </c>
      <c r="B1613" t="n" s="0">
        <f>(-5-((((-5*(-5/((-5/(((-5*(-83.88--5))-(-5+((-5*-83.88)*(((-5--5)+(-83.88--5))+-83.88))))-(-5+-5)))*-5)))/-5)--5)+(-5*(((-83.88*(-83.88-(-5/-5)))*(-83.88-(-83.88/(-5*-83.88))))-(-5/-5)))))</f>
        <v>-2965177.6841599997</v>
      </c>
      <c r="C1613" t="n" s="0">
        <v>-2965177.6841599997</v>
      </c>
    </row>
    <row r="1614">
      <c r="A1614" t="n" s="0">
        <v>-83.87</v>
      </c>
      <c r="B1614" t="n" s="0">
        <f>(-5-((((-5*(-5/((-5/(((-5*(-83.87--5))-(-5+((-5*-83.87)*(((-5--5)+(-83.87--5))+-83.87))))-(-5+-5)))*-5)))/-5)--5)+(-5*(((-83.87*(-83.87-(-5/-5)))*(-83.87-(-83.87/(-5*-83.87))))-(-5/-5)))))</f>
        <v>-2964119.046815</v>
      </c>
      <c r="C1614" t="n" s="0">
        <v>-2964119.0468150005</v>
      </c>
    </row>
    <row r="1615">
      <c r="A1615" t="n" s="0">
        <v>-83.86</v>
      </c>
      <c r="B1615" t="n" s="0">
        <f>(-5-((((-5*(-5/((-5/(((-5*(-83.86--5))-(-5+((-5*-83.86)*(((-5--5)+(-83.86--5))+-83.86))))-(-5+-5)))*-5)))/-5)--5)+(-5*(((-83.86*(-83.86-(-5/-5)))*(-83.86-(-83.86/(-5*-83.86))))-(-5/-5)))))</f>
        <v>-2963060.66148</v>
      </c>
      <c r="C1615" t="n" s="0">
        <v>-2963060.66148</v>
      </c>
    </row>
    <row r="1616">
      <c r="A1616" t="n" s="0">
        <v>-83.85</v>
      </c>
      <c r="B1616" t="n" s="0">
        <f>(-5-((((-5*(-5/((-5/(((-5*(-83.85--5))-(-5+((-5*-83.85)*(((-5--5)+(-83.85--5))+-83.85))))-(-5+-5)))*-5)))/-5)--5)+(-5*(((-83.85*(-83.85-(-5/-5)))*(-83.85-(-83.85/(-5*-83.85))))-(-5/-5)))))</f>
        <v>-2962002.5281249997</v>
      </c>
      <c r="C1616" t="n" s="0">
        <v>-2962002.5281249993</v>
      </c>
    </row>
    <row r="1617">
      <c r="A1617" t="n" s="0">
        <v>-83.84</v>
      </c>
      <c r="B1617" t="n" s="0">
        <f>(-5-((((-5*(-5/((-5/(((-5*(-83.84--5))-(-5+((-5*-83.84)*(((-5--5)+(-83.84--5))+-83.84))))-(-5+-5)))*-5)))/-5)--5)+(-5*(((-83.84*(-83.84-(-5/-5)))*(-83.84-(-83.84/(-5*-83.84))))-(-5/-5)))))</f>
        <v>-2960944.64672</v>
      </c>
      <c r="C1617" t="n" s="0">
        <v>-2960944.64672</v>
      </c>
    </row>
    <row r="1618">
      <c r="A1618" t="n" s="0">
        <v>-83.83</v>
      </c>
      <c r="B1618" t="n" s="0">
        <f>(-5-((((-5*(-5/((-5/(((-5*(-83.83--5))-(-5+((-5*-83.83)*(((-5--5)+(-83.83--5))+-83.83))))-(-5+-5)))*-5)))/-5)--5)+(-5*(((-83.83*(-83.83-(-5/-5)))*(-83.83-(-83.83/(-5*-83.83))))-(-5/-5)))))</f>
        <v>-2959887.0172349997</v>
      </c>
      <c r="C1618" t="n" s="0">
        <v>-2959887.017235</v>
      </c>
    </row>
    <row r="1619">
      <c r="A1619" t="n" s="0">
        <v>-83.82</v>
      </c>
      <c r="B1619" t="n" s="0">
        <f>(-5-((((-5*(-5/((-5/(((-5*(-83.82--5))-(-5+((-5*-83.82)*(((-5--5)+(-83.82--5))+-83.82))))-(-5+-5)))*-5)))/-5)--5)+(-5*(((-83.82*(-83.82-(-5/-5)))*(-83.82-(-83.82/(-5*-83.82))))-(-5/-5)))))</f>
        <v>-2958829.63964</v>
      </c>
      <c r="C1619" t="n" s="0">
        <v>-2958829.6396399993</v>
      </c>
    </row>
    <row r="1620">
      <c r="A1620" t="n" s="0">
        <v>-83.81</v>
      </c>
      <c r="B1620" t="n" s="0">
        <f>(-5-((((-5*(-5/((-5/(((-5*(-83.81--5))-(-5+((-5*-83.81)*(((-5--5)+(-83.81--5))+-83.81))))-(-5+-5)))*-5)))/-5)--5)+(-5*(((-83.81*(-83.81-(-5/-5)))*(-83.81-(-83.81/(-5*-83.81))))-(-5/-5)))))</f>
        <v>-2957772.513905</v>
      </c>
      <c r="C1620" t="n" s="0">
        <v>-2957772.5139050004</v>
      </c>
    </row>
    <row r="1621">
      <c r="A1621" t="n" s="0">
        <v>-83.8</v>
      </c>
      <c r="B1621" t="n" s="0">
        <f>(-5-((((-5*(-5/((-5/(((-5*(-83.8--5))-(-5+((-5*-83.8)*(((-5--5)+(-83.8--5))+-83.8))))-(-5+-5)))*-5)))/-5)--5)+(-5*(((-83.8*(-83.8-(-5/-5)))*(-83.8-(-83.8/(-5*-83.8))))-(-5/-5)))))</f>
        <v>-2956715.6399999997</v>
      </c>
      <c r="C1621" t="n" s="0">
        <v>-2956715.6399999997</v>
      </c>
    </row>
    <row r="1622">
      <c r="A1622" t="n" s="0">
        <v>-83.79</v>
      </c>
      <c r="B1622" t="n" s="0">
        <f>(-5-((((-5*(-5/((-5/(((-5*(-83.79--5))-(-5+((-5*-83.79)*(((-5--5)+(-83.79--5))+-83.79))))-(-5+-5)))*-5)))/-5)--5)+(-5*(((-83.79*(-83.79-(-5/-5)))*(-83.79-(-83.79/(-5*-83.79))))-(-5/-5)))))</f>
        <v>-2955659.017895</v>
      </c>
      <c r="C1622" t="n" s="0">
        <v>-2955659.017895001</v>
      </c>
    </row>
    <row r="1623">
      <c r="A1623" t="n" s="0">
        <v>-83.78</v>
      </c>
      <c r="B1623" t="n" s="0">
        <f>(-5-((((-5*(-5/((-5/(((-5*(-83.78--5))-(-5+((-5*-83.78)*(((-5--5)+(-83.78--5))+-83.78))))-(-5+-5)))*-5)))/-5)--5)+(-5*(((-83.78*(-83.78-(-5/-5)))*(-83.78-(-83.78/(-5*-83.78))))-(-5/-5)))))</f>
        <v>-2954602.64756</v>
      </c>
      <c r="C1623" t="n" s="0">
        <v>-2954602.64756</v>
      </c>
    </row>
    <row r="1624">
      <c r="A1624" t="n" s="0">
        <v>-83.77</v>
      </c>
      <c r="B1624" t="n" s="0">
        <f>(-5-((((-5*(-5/((-5/(((-5*(-83.77--5))-(-5+((-5*-83.77)*(((-5--5)+(-83.77--5))+-83.77))))-(-5+-5)))*-5)))/-5)--5)+(-5*(((-83.77*(-83.77-(-5/-5)))*(-83.77-(-83.77/(-5*-83.77))))-(-5/-5)))))</f>
        <v>-2953546.528965</v>
      </c>
      <c r="C1624" t="n" s="0">
        <v>-2953546.5289649996</v>
      </c>
    </row>
    <row r="1625">
      <c r="A1625" t="n" s="0">
        <v>-83.76</v>
      </c>
      <c r="B1625" t="n" s="0">
        <f>(-5-((((-5*(-5/((-5/(((-5*(-83.76--5))-(-5+((-5*-83.76)*(((-5--5)+(-83.76--5))+-83.76))))-(-5+-5)))*-5)))/-5)--5)+(-5*(((-83.76*(-83.76-(-5/-5)))*(-83.76-(-83.76/(-5*-83.76))))-(-5/-5)))))</f>
        <v>-2952490.6620799997</v>
      </c>
      <c r="C1625" t="n" s="0">
        <v>-2952490.66208</v>
      </c>
    </row>
    <row r="1626">
      <c r="A1626" t="n" s="0">
        <v>-83.75</v>
      </c>
      <c r="B1626" t="n" s="0">
        <f>(-5-((((-5*(-5/((-5/(((-5*(-83.75--5))-(-5+((-5*-83.75)*(((-5--5)+(-83.75--5))+-83.75))))-(-5+-5)))*-5)))/-5)--5)+(-5*(((-83.75*(-83.75-(-5/-5)))*(-83.75-(-83.75/(-5*-83.75))))-(-5/-5)))))</f>
        <v>-2951435.046875</v>
      </c>
      <c r="C1626" t="n" s="0">
        <v>-2951435.046875</v>
      </c>
    </row>
    <row r="1627">
      <c r="A1627" t="n" s="0">
        <v>-83.74</v>
      </c>
      <c r="B1627" t="n" s="0">
        <f>(-5-((((-5*(-5/((-5/(((-5*(-83.74--5))-(-5+((-5*-83.74)*(((-5--5)+(-83.74--5))+-83.74))))-(-5+-5)))*-5)))/-5)--5)+(-5*(((-83.74*(-83.74-(-5/-5)))*(-83.74-(-83.74/(-5*-83.74))))-(-5/-5)))))</f>
        <v>-2950379.68332</v>
      </c>
      <c r="C1627" t="n" s="0">
        <v>-2950379.68332</v>
      </c>
    </row>
    <row r="1628">
      <c r="A1628" t="n" s="0">
        <v>-83.73</v>
      </c>
      <c r="B1628" t="n" s="0">
        <f>(-5-((((-5*(-5/((-5/(((-5*(-83.73--5))-(-5+((-5*-83.73)*(((-5--5)+(-83.73--5))+-83.73))))-(-5+-5)))*-5)))/-5)--5)+(-5*(((-83.73*(-83.73-(-5/-5)))*(-83.73-(-83.73/(-5*-83.73))))-(-5/-5)))))</f>
        <v>-2949324.571385</v>
      </c>
      <c r="C1628" t="n" s="0">
        <v>-2949324.5713850004</v>
      </c>
    </row>
    <row r="1629">
      <c r="A1629" t="n" s="0">
        <v>-83.72</v>
      </c>
      <c r="B1629" t="n" s="0">
        <f>(-5-((((-5*(-5/((-5/(((-5*(-83.72--5))-(-5+((-5*-83.72)*(((-5--5)+(-83.72--5))+-83.72))))-(-5+-5)))*-5)))/-5)--5)+(-5*(((-83.72*(-83.72-(-5/-5)))*(-83.72-(-83.72/(-5*-83.72))))-(-5/-5)))))</f>
        <v>-2948269.71104</v>
      </c>
      <c r="C1629" t="n" s="0">
        <v>-2948269.71104</v>
      </c>
    </row>
    <row r="1630">
      <c r="A1630" t="n" s="0">
        <v>-83.71</v>
      </c>
      <c r="B1630" t="n" s="0">
        <f>(-5-((((-5*(-5/((-5/(((-5*(-83.71--5))-(-5+((-5*-83.71)*(((-5--5)+(-83.71--5))+-83.71))))-(-5+-5)))*-5)))/-5)--5)+(-5*(((-83.71*(-83.71-(-5/-5)))*(-83.71-(-83.71/(-5*-83.71))))-(-5/-5)))))</f>
        <v>-2947215.1022550003</v>
      </c>
      <c r="C1630" t="n" s="0">
        <v>-2947215.102254999</v>
      </c>
    </row>
    <row r="1631">
      <c r="A1631" t="n" s="0">
        <v>-83.7</v>
      </c>
      <c r="B1631" t="n" s="0">
        <f>(-5-((((-5*(-5/((-5/(((-5*(-83.7--5))-(-5+((-5*-83.7)*(((-5--5)+(-83.7--5))+-83.7))))-(-5+-5)))*-5)))/-5)--5)+(-5*(((-83.7*(-83.7-(-5/-5)))*(-83.7-(-83.7/(-5*-83.7))))-(-5/-5)))))</f>
        <v>-2946160.745</v>
      </c>
      <c r="C1631" t="n" s="0">
        <v>-2946160.745</v>
      </c>
    </row>
    <row r="1632">
      <c r="A1632" t="n" s="0">
        <v>-83.69</v>
      </c>
      <c r="B1632" t="n" s="0">
        <f>(-5-((((-5*(-5/((-5/(((-5*(-83.69--5))-(-5+((-5*-83.69)*(((-5--5)+(-83.69--5))+-83.69))))-(-5+-5)))*-5)))/-5)--5)+(-5*(((-83.69*(-83.69-(-5/-5)))*(-83.69-(-83.69/(-5*-83.69))))-(-5/-5)))))</f>
        <v>-2945106.639245</v>
      </c>
      <c r="C1632" t="n" s="0">
        <v>-2945106.6392449993</v>
      </c>
    </row>
    <row r="1633">
      <c r="A1633" t="n" s="0">
        <v>-83.68</v>
      </c>
      <c r="B1633" t="n" s="0">
        <f>(-5-((((-5*(-5/((-5/(((-5*(-83.68--5))-(-5+((-5*-83.68)*(((-5--5)+(-83.68--5))+-83.68))))-(-5+-5)))*-5)))/-5)--5)+(-5*(((-83.68*(-83.68-(-5/-5)))*(-83.68-(-83.68/(-5*-83.68))))-(-5/-5)))))</f>
        <v>-2944052.78496</v>
      </c>
      <c r="C1633" t="n" s="0">
        <v>-2944052.784960001</v>
      </c>
    </row>
    <row r="1634">
      <c r="A1634" t="n" s="0">
        <v>-83.67</v>
      </c>
      <c r="B1634" t="n" s="0">
        <f>(-5-((((-5*(-5/((-5/(((-5*(-83.67--5))-(-5+((-5*-83.67)*(((-5--5)+(-83.67--5))+-83.67))))-(-5+-5)))*-5)))/-5)--5)+(-5*(((-83.67*(-83.67-(-5/-5)))*(-83.67-(-83.67/(-5*-83.67))))-(-5/-5)))))</f>
        <v>-2942999.1821149997</v>
      </c>
      <c r="C1634" t="n" s="0">
        <v>-2942999.1821149997</v>
      </c>
    </row>
    <row r="1635">
      <c r="A1635" t="n" s="0">
        <v>-83.66</v>
      </c>
      <c r="B1635" t="n" s="0">
        <f>(-5-((((-5*(-5/((-5/(((-5*(-83.66--5))-(-5+((-5*-83.66)*(((-5--5)+(-83.66--5))+-83.66))))-(-5+-5)))*-5)))/-5)--5)+(-5*(((-83.66*(-83.66-(-5/-5)))*(-83.66-(-83.66/(-5*-83.66))))-(-5/-5)))))</f>
        <v>-2941945.83068</v>
      </c>
      <c r="C1635" t="n" s="0">
        <v>-2941945.83068</v>
      </c>
    </row>
    <row r="1636">
      <c r="A1636" t="n" s="0">
        <v>-83.65</v>
      </c>
      <c r="B1636" t="n" s="0">
        <f>(-5-((((-5*(-5/((-5/(((-5*(-83.65--5))-(-5+((-5*-83.65)*(((-5--5)+(-83.65--5))+-83.65))))-(-5+-5)))*-5)))/-5)--5)+(-5*(((-83.65*(-83.65-(-5/-5)))*(-83.65-(-83.65/(-5*-83.65))))-(-5/-5)))))</f>
        <v>-2940892.730625</v>
      </c>
      <c r="C1636" t="n" s="0">
        <v>-2940892.730625001</v>
      </c>
    </row>
    <row r="1637">
      <c r="A1637" t="n" s="0">
        <v>-83.64</v>
      </c>
      <c r="B1637" t="n" s="0">
        <f>(-5-((((-5*(-5/((-5/(((-5*(-83.64--5))-(-5+((-5*-83.64)*(((-5--5)+(-83.64--5))+-83.64))))-(-5+-5)))*-5)))/-5)--5)+(-5*(((-83.64*(-83.64-(-5/-5)))*(-83.64-(-83.64/(-5*-83.64))))-(-5/-5)))))</f>
        <v>-2939839.8819199996</v>
      </c>
      <c r="C1637" t="n" s="0">
        <v>-2939839.88192</v>
      </c>
    </row>
    <row r="1638">
      <c r="A1638" t="n" s="0">
        <v>-83.63</v>
      </c>
      <c r="B1638" t="n" s="0">
        <f>(-5-((((-5*(-5/((-5/(((-5*(-83.63--5))-(-5+((-5*-83.63)*(((-5--5)+(-83.63--5))+-83.63))))-(-5+-5)))*-5)))/-5)--5)+(-5*(((-83.63*(-83.63-(-5/-5)))*(-83.63-(-83.63/(-5*-83.63))))-(-5/-5)))))</f>
        <v>-2938787.2845349996</v>
      </c>
      <c r="C1638" t="n" s="0">
        <v>-2938787.284534999</v>
      </c>
    </row>
    <row r="1639">
      <c r="A1639" t="n" s="0">
        <v>-83.62</v>
      </c>
      <c r="B1639" t="n" s="0">
        <f>(-5-((((-5*(-5/((-5/(((-5*(-83.62--5))-(-5+((-5*-83.62)*(((-5--5)+(-83.62--5))+-83.62))))-(-5+-5)))*-5)))/-5)--5)+(-5*(((-83.62*(-83.62-(-5/-5)))*(-83.62-(-83.62/(-5*-83.62))))-(-5/-5)))))</f>
        <v>-2937734.9384399997</v>
      </c>
      <c r="C1639" t="n" s="0">
        <v>-2937734.9384400006</v>
      </c>
    </row>
    <row r="1640">
      <c r="A1640" t="n" s="0">
        <v>-83.61</v>
      </c>
      <c r="B1640" t="n" s="0">
        <f>(-5-((((-5*(-5/((-5/(((-5*(-83.61--5))-(-5+((-5*-83.61)*(((-5--5)+(-83.61--5))+-83.61))))-(-5+-5)))*-5)))/-5)--5)+(-5*(((-83.61*(-83.61-(-5/-5)))*(-83.61-(-83.61/(-5*-83.61))))-(-5/-5)))))</f>
        <v>-2936682.843605</v>
      </c>
      <c r="C1640" t="n" s="0">
        <v>-2936682.8436050005</v>
      </c>
    </row>
    <row r="1641">
      <c r="A1641" t="n" s="0">
        <v>-83.6</v>
      </c>
      <c r="B1641" t="n" s="0">
        <f>(-5-((((-5*(-5/((-5/(((-5*(-83.6--5))-(-5+((-5*-83.6)*(((-5--5)+(-83.6--5))+-83.6))))-(-5+-5)))*-5)))/-5)--5)+(-5*(((-83.6*(-83.6-(-5/-5)))*(-83.6-(-83.6/(-5*-83.6))))-(-5/-5)))))</f>
        <v>-2935631.0</v>
      </c>
      <c r="C1641" t="n" s="0">
        <v>-2935630.999999999</v>
      </c>
    </row>
    <row r="1642">
      <c r="A1642" t="n" s="0">
        <v>-83.59</v>
      </c>
      <c r="B1642" t="n" s="0">
        <f>(-5-((((-5*(-5/((-5/(((-5*(-83.59--5))-(-5+((-5*-83.59)*(((-5--5)+(-83.59--5))+-83.59))))-(-5+-5)))*-5)))/-5)--5)+(-5*(((-83.59*(-83.59-(-5/-5)))*(-83.59-(-83.59/(-5*-83.59))))-(-5/-5)))))</f>
        <v>-2934579.4075949998</v>
      </c>
      <c r="C1642" t="n" s="0">
        <v>-2934579.407595</v>
      </c>
    </row>
    <row r="1643">
      <c r="A1643" t="n" s="0">
        <v>-83.58</v>
      </c>
      <c r="B1643" t="n" s="0">
        <f>(-5-((((-5*(-5/((-5/(((-5*(-83.58--5))-(-5+((-5*-83.58)*(((-5--5)+(-83.58--5))+-83.58))))-(-5+-5)))*-5)))/-5)--5)+(-5*(((-83.58*(-83.58-(-5/-5)))*(-83.58-(-83.58/(-5*-83.58))))-(-5/-5)))))</f>
        <v>-2933528.06636</v>
      </c>
      <c r="C1643" t="n" s="0">
        <v>-2933528.0663599996</v>
      </c>
    </row>
    <row r="1644">
      <c r="A1644" t="n" s="0">
        <v>-83.57</v>
      </c>
      <c r="B1644" t="n" s="0">
        <f>(-5-((((-5*(-5/((-5/(((-5*(-83.57--5))-(-5+((-5*-83.57)*(((-5--5)+(-83.57--5))+-83.57))))-(-5+-5)))*-5)))/-5)--5)+(-5*(((-83.57*(-83.57-(-5/-5)))*(-83.57-(-83.57/(-5*-83.57))))-(-5/-5)))))</f>
        <v>-2932476.9762649997</v>
      </c>
      <c r="C1644" t="n" s="0">
        <v>-2932476.9762649992</v>
      </c>
    </row>
    <row r="1645">
      <c r="A1645" t="n" s="0">
        <v>-83.56</v>
      </c>
      <c r="B1645" t="n" s="0">
        <f>(-5-((((-5*(-5/((-5/(((-5*(-83.56--5))-(-5+((-5*-83.56)*(((-5--5)+(-83.56--5))+-83.56))))-(-5+-5)))*-5)))/-5)--5)+(-5*(((-83.56*(-83.56-(-5/-5)))*(-83.56-(-83.56/(-5*-83.56))))-(-5/-5)))))</f>
        <v>-2931426.13728</v>
      </c>
      <c r="C1645" t="n" s="0">
        <v>-2931426.13728</v>
      </c>
    </row>
    <row r="1646">
      <c r="A1646" t="n" s="0">
        <v>-83.55</v>
      </c>
      <c r="B1646" t="n" s="0">
        <f>(-5-((((-5*(-5/((-5/(((-5*(-83.55--5))-(-5+((-5*-83.55)*(((-5--5)+(-83.55--5))+-83.55))))-(-5+-5)))*-5)))/-5)--5)+(-5*(((-83.55*(-83.55-(-5/-5)))*(-83.55-(-83.55/(-5*-83.55))))-(-5/-5)))))</f>
        <v>-2930375.549375</v>
      </c>
      <c r="C1646" t="n" s="0">
        <v>-2930375.5493749995</v>
      </c>
    </row>
    <row r="1647">
      <c r="A1647" t="n" s="0">
        <v>-83.54</v>
      </c>
      <c r="B1647" t="n" s="0">
        <f>(-5-((((-5*(-5/((-5/(((-5*(-83.54--5))-(-5+((-5*-83.54)*(((-5--5)+(-83.54--5))+-83.54))))-(-5+-5)))*-5)))/-5)--5)+(-5*(((-83.54*(-83.54-(-5/-5)))*(-83.54-(-83.54/(-5*-83.54))))-(-5/-5)))))</f>
        <v>-2929325.21252</v>
      </c>
      <c r="C1647" t="n" s="0">
        <v>-2929325.212520001</v>
      </c>
    </row>
    <row r="1648">
      <c r="A1648" t="n" s="0">
        <v>-83.53</v>
      </c>
      <c r="B1648" t="n" s="0">
        <f>(-5-((((-5*(-5/((-5/(((-5*(-83.53--5))-(-5+((-5*-83.53)*(((-5--5)+(-83.53--5))+-83.53))))-(-5+-5)))*-5)))/-5)--5)+(-5*(((-83.53*(-83.53-(-5/-5)))*(-83.53-(-83.53/(-5*-83.53))))-(-5/-5)))))</f>
        <v>-2928275.126685</v>
      </c>
      <c r="C1648" t="n" s="0">
        <v>-2928275.1266850005</v>
      </c>
    </row>
    <row r="1649">
      <c r="A1649" t="n" s="0">
        <v>-83.52</v>
      </c>
      <c r="B1649" t="n" s="0">
        <f>(-5-((((-5*(-5/((-5/(((-5*(-83.52--5))-(-5+((-5*-83.52)*(((-5--5)+(-83.52--5))+-83.52))))-(-5+-5)))*-5)))/-5)--5)+(-5*(((-83.52*(-83.52-(-5/-5)))*(-83.52-(-83.52/(-5*-83.52))))-(-5/-5)))))</f>
        <v>-2927225.29184</v>
      </c>
      <c r="C1649" t="n" s="0">
        <v>-2927225.2918399996</v>
      </c>
    </row>
    <row r="1650">
      <c r="A1650" t="n" s="0">
        <v>-83.51</v>
      </c>
      <c r="B1650" t="n" s="0">
        <f>(-5-((((-5*(-5/((-5/(((-5*(-83.51--5))-(-5+((-5*-83.51)*(((-5--5)+(-83.51--5))+-83.51))))-(-5+-5)))*-5)))/-5)--5)+(-5*(((-83.51*(-83.51-(-5/-5)))*(-83.51-(-83.51/(-5*-83.51))))-(-5/-5)))))</f>
        <v>-2926175.707955</v>
      </c>
      <c r="C1650" t="n" s="0">
        <v>-2926175.7079550005</v>
      </c>
    </row>
    <row r="1651">
      <c r="A1651" t="n" s="0">
        <v>-83.5</v>
      </c>
      <c r="B1651" t="n" s="0">
        <f>(-5-((((-5*(-5/((-5/(((-5*(-83.5--5))-(-5+((-5*-83.5)*(((-5--5)+(-83.5--5))+-83.5))))-(-5+-5)))*-5)))/-5)--5)+(-5*(((-83.5*(-83.5-(-5/-5)))*(-83.5-(-83.5/(-5*-83.5))))-(-5/-5)))))</f>
        <v>-2925126.375</v>
      </c>
      <c r="C1651" t="n" s="0">
        <v>-2925126.375</v>
      </c>
    </row>
    <row r="1652">
      <c r="A1652" t="n" s="0">
        <v>-83.49</v>
      </c>
      <c r="B1652" t="n" s="0">
        <f>(-5-((((-5*(-5/((-5/(((-5*(-83.49--5))-(-5+((-5*-83.49)*(((-5--5)+(-83.49--5))+-83.49))))-(-5+-5)))*-5)))/-5)--5)+(-5*(((-83.49*(-83.49-(-5/-5)))*(-83.49-(-83.49/(-5*-83.49))))-(-5/-5)))))</f>
        <v>-2924077.2929450003</v>
      </c>
      <c r="C1652" t="n" s="0">
        <v>-2924077.292945</v>
      </c>
    </row>
    <row r="1653">
      <c r="A1653" t="n" s="0">
        <v>-83.48</v>
      </c>
      <c r="B1653" t="n" s="0">
        <f>(-5-((((-5*(-5/((-5/(((-5*(-83.48--5))-(-5+((-5*-83.48)*(((-5--5)+(-83.48--5))+-83.48))))-(-5+-5)))*-5)))/-5)--5)+(-5*(((-83.48*(-83.48-(-5/-5)))*(-83.48-(-83.48/(-5*-83.48))))-(-5/-5)))))</f>
        <v>-2923028.46176</v>
      </c>
      <c r="C1653" t="n" s="0">
        <v>-2923028.4617600003</v>
      </c>
    </row>
    <row r="1654">
      <c r="A1654" t="n" s="0">
        <v>-83.47</v>
      </c>
      <c r="B1654" t="n" s="0">
        <f>(-5-((((-5*(-5/((-5/(((-5*(-83.47--5))-(-5+((-5*-83.47)*(((-5--5)+(-83.47--5))+-83.47))))-(-5+-5)))*-5)))/-5)--5)+(-5*(((-83.47*(-83.47-(-5/-5)))*(-83.47-(-83.47/(-5*-83.47))))-(-5/-5)))))</f>
        <v>-2921979.881415</v>
      </c>
      <c r="C1654" t="n" s="0">
        <v>-2921979.881415</v>
      </c>
    </row>
    <row r="1655">
      <c r="A1655" t="n" s="0">
        <v>-83.46</v>
      </c>
      <c r="B1655" t="n" s="0">
        <f>(-5-((((-5*(-5/((-5/(((-5*(-83.46--5))-(-5+((-5*-83.46)*(((-5--5)+(-83.46--5))+-83.46))))-(-5+-5)))*-5)))/-5)--5)+(-5*(((-83.46*(-83.46-(-5/-5)))*(-83.46-(-83.46/(-5*-83.46))))-(-5/-5)))))</f>
        <v>-2920931.55188</v>
      </c>
      <c r="C1655" t="n" s="0">
        <v>-2920931.551879999</v>
      </c>
    </row>
    <row r="1656">
      <c r="A1656" t="n" s="0">
        <v>-83.45</v>
      </c>
      <c r="B1656" t="n" s="0">
        <f>(-5-((((-5*(-5/((-5/(((-5*(-83.45--5))-(-5+((-5*-83.45)*(((-5--5)+(-83.45--5))+-83.45))))-(-5+-5)))*-5)))/-5)--5)+(-5*(((-83.45*(-83.45-(-5/-5)))*(-83.45-(-83.45/(-5*-83.45))))-(-5/-5)))))</f>
        <v>-2919883.473125</v>
      </c>
      <c r="C1656" t="n" s="0">
        <v>-2919883.4731250005</v>
      </c>
    </row>
    <row r="1657">
      <c r="A1657" t="n" s="0">
        <v>-83.44</v>
      </c>
      <c r="B1657" t="n" s="0">
        <f>(-5-((((-5*(-5/((-5/(((-5*(-83.44--5))-(-5+((-5*-83.44)*(((-5--5)+(-83.44--5))+-83.44))))-(-5+-5)))*-5)))/-5)--5)+(-5*(((-83.44*(-83.44-(-5/-5)))*(-83.44-(-83.44/(-5*-83.44))))-(-5/-5)))))</f>
        <v>-2918835.64512</v>
      </c>
      <c r="C1657" t="n" s="0">
        <v>-2918835.6451199995</v>
      </c>
    </row>
    <row r="1658">
      <c r="A1658" t="n" s="0">
        <v>-83.43</v>
      </c>
      <c r="B1658" t="n" s="0">
        <f>(-5-((((-5*(-5/((-5/(((-5*(-83.43--5))-(-5+((-5*-83.43)*(((-5--5)+(-83.43--5))+-83.43))))-(-5+-5)))*-5)))/-5)--5)+(-5*(((-83.43*(-83.43-(-5/-5)))*(-83.43-(-83.43/(-5*-83.43))))-(-5/-5)))))</f>
        <v>-2917788.067835</v>
      </c>
      <c r="C1658" t="n" s="0">
        <v>-2917788.067835001</v>
      </c>
    </row>
    <row r="1659">
      <c r="A1659" t="n" s="0">
        <v>-83.42</v>
      </c>
      <c r="B1659" t="n" s="0">
        <f>(-5-((((-5*(-5/((-5/(((-5*(-83.42--5))-(-5+((-5*-83.42)*(((-5--5)+(-83.42--5))+-83.42))))-(-5+-5)))*-5)))/-5)--5)+(-5*(((-83.42*(-83.42-(-5/-5)))*(-83.42-(-83.42/(-5*-83.42))))-(-5/-5)))))</f>
        <v>-2916740.7412400004</v>
      </c>
      <c r="C1659" t="n" s="0">
        <v>-2916740.7412399994</v>
      </c>
    </row>
    <row r="1660">
      <c r="A1660" t="n" s="0">
        <v>-83.41</v>
      </c>
      <c r="B1660" t="n" s="0">
        <f>(-5-((((-5*(-5/((-5/(((-5*(-83.41--5))-(-5+((-5*-83.41)*(((-5--5)+(-83.41--5))+-83.41))))-(-5+-5)))*-5)))/-5)--5)+(-5*(((-83.41*(-83.41-(-5/-5)))*(-83.41-(-83.41/(-5*-83.41))))-(-5/-5)))))</f>
        <v>-2915693.6653050003</v>
      </c>
      <c r="C1660" t="n" s="0">
        <v>-2915693.665305</v>
      </c>
    </row>
    <row r="1661">
      <c r="A1661" t="n" s="0">
        <v>-83.4</v>
      </c>
      <c r="B1661" t="n" s="0">
        <f>(-5-((((-5*(-5/((-5/(((-5*(-83.4--5))-(-5+((-5*-83.4)*(((-5--5)+(-83.4--5))+-83.4))))-(-5+-5)))*-5)))/-5)--5)+(-5*(((-83.4*(-83.4-(-5/-5)))*(-83.4-(-83.4/(-5*-83.4))))-(-5/-5)))))</f>
        <v>-2914646.84</v>
      </c>
      <c r="C1661" t="n" s="0">
        <v>-2914646.840000001</v>
      </c>
    </row>
    <row r="1662">
      <c r="A1662" t="n" s="0">
        <v>-83.39</v>
      </c>
      <c r="B1662" t="n" s="0">
        <f>(-5-((((-5*(-5/((-5/(((-5*(-83.39--5))-(-5+((-5*-83.39)*(((-5--5)+(-83.39--5))+-83.39))))-(-5+-5)))*-5)))/-5)--5)+(-5*(((-83.39*(-83.39-(-5/-5)))*(-83.39-(-83.39/(-5*-83.39))))-(-5/-5)))))</f>
        <v>-2913600.265295</v>
      </c>
      <c r="C1662" t="n" s="0">
        <v>-2913600.265295</v>
      </c>
    </row>
    <row r="1663">
      <c r="A1663" t="n" s="0">
        <v>-83.38</v>
      </c>
      <c r="B1663" t="n" s="0">
        <f>(-5-((((-5*(-5/((-5/(((-5*(-83.38--5))-(-5+((-5*-83.38)*(((-5--5)+(-83.38--5))+-83.38))))-(-5+-5)))*-5)))/-5)--5)+(-5*(((-83.38*(-83.38-(-5/-5)))*(-83.38-(-83.38/(-5*-83.38))))-(-5/-5)))))</f>
        <v>-2912553.94116</v>
      </c>
      <c r="C1663" t="n" s="0">
        <v>-2912553.94116</v>
      </c>
    </row>
    <row r="1664">
      <c r="A1664" t="n" s="0">
        <v>-83.37</v>
      </c>
      <c r="B1664" t="n" s="0">
        <f>(-5-((((-5*(-5/((-5/(((-5*(-83.37--5))-(-5+((-5*-83.37)*(((-5--5)+(-83.37--5))+-83.37))))-(-5+-5)))*-5)))/-5)--5)+(-5*(((-83.37*(-83.37-(-5/-5)))*(-83.37-(-83.37/(-5*-83.37))))-(-5/-5)))))</f>
        <v>-2911507.867565</v>
      </c>
      <c r="C1664" t="n" s="0">
        <v>-2911507.8675650004</v>
      </c>
    </row>
    <row r="1665">
      <c r="A1665" t="n" s="0">
        <v>-83.36</v>
      </c>
      <c r="B1665" t="n" s="0">
        <f>(-5-((((-5*(-5/((-5/(((-5*(-83.36--5))-(-5+((-5*-83.36)*(((-5--5)+(-83.36--5))+-83.36))))-(-5+-5)))*-5)))/-5)--5)+(-5*(((-83.36*(-83.36-(-5/-5)))*(-83.36-(-83.36/(-5*-83.36))))-(-5/-5)))))</f>
        <v>-2910462.04448</v>
      </c>
      <c r="C1665" t="n" s="0">
        <v>-2910462.04448</v>
      </c>
    </row>
    <row r="1666">
      <c r="A1666" t="n" s="0">
        <v>-83.35</v>
      </c>
      <c r="B1666" t="n" s="0">
        <f>(-5-((((-5*(-5/((-5/(((-5*(-83.35--5))-(-5+((-5*-83.35)*(((-5--5)+(-83.35--5))+-83.35))))-(-5+-5)))*-5)))/-5)--5)+(-5*(((-83.35*(-83.35-(-5/-5)))*(-83.35-(-83.35/(-5*-83.35))))-(-5/-5)))))</f>
        <v>-2909416.4718750003</v>
      </c>
      <c r="C1666" t="n" s="0">
        <v>-2909416.471874999</v>
      </c>
    </row>
    <row r="1667">
      <c r="A1667" t="n" s="0">
        <v>-83.34</v>
      </c>
      <c r="B1667" t="n" s="0">
        <f>(-5-((((-5*(-5/((-5/(((-5*(-83.34--5))-(-5+((-5*-83.34)*(((-5--5)+(-83.34--5))+-83.34))))-(-5+-5)))*-5)))/-5)--5)+(-5*(((-83.34*(-83.34-(-5/-5)))*(-83.34-(-83.34/(-5*-83.34))))-(-5/-5)))))</f>
        <v>-2908371.14972</v>
      </c>
      <c r="C1667" t="n" s="0">
        <v>-2908371.1497200006</v>
      </c>
    </row>
    <row r="1668">
      <c r="A1668" t="n" s="0">
        <v>-83.33</v>
      </c>
      <c r="B1668" t="n" s="0">
        <f>(-5-((((-5*(-5/((-5/(((-5*(-83.33--5))-(-5+((-5*-83.33)*(((-5--5)+(-83.33--5))+-83.33))))-(-5+-5)))*-5)))/-5)--5)+(-5*(((-83.33*(-83.33-(-5/-5)))*(-83.33-(-83.33/(-5*-83.33))))-(-5/-5)))))</f>
        <v>-2907326.077985</v>
      </c>
      <c r="C1668" t="n" s="0">
        <v>-2907326.0779849994</v>
      </c>
    </row>
    <row r="1669">
      <c r="A1669" t="n" s="0">
        <v>-83.32</v>
      </c>
      <c r="B1669" t="n" s="0">
        <f>(-5-((((-5*(-5/((-5/(((-5*(-83.32--5))-(-5+((-5*-83.32)*(((-5--5)+(-83.32--5))+-83.32))))-(-5+-5)))*-5)))/-5)--5)+(-5*(((-83.32*(-83.32-(-5/-5)))*(-83.32-(-83.32/(-5*-83.32))))-(-5/-5)))))</f>
        <v>-2906281.2566400003</v>
      </c>
      <c r="C1669" t="n" s="0">
        <v>-2906281.2566399993</v>
      </c>
    </row>
    <row r="1670">
      <c r="A1670" t="n" s="0">
        <v>-83.31</v>
      </c>
      <c r="B1670" t="n" s="0">
        <f>(-5-((((-5*(-5/((-5/(((-5*(-83.31--5))-(-5+((-5*-83.31)*(((-5--5)+(-83.31--5))+-83.31))))-(-5+-5)))*-5)))/-5)--5)+(-5*(((-83.31*(-83.31-(-5/-5)))*(-83.31-(-83.31/(-5*-83.31))))-(-5/-5)))))</f>
        <v>-2905236.6856549997</v>
      </c>
      <c r="C1670" t="n" s="0">
        <v>-2905236.685655</v>
      </c>
    </row>
    <row r="1671">
      <c r="A1671" t="n" s="0">
        <v>-83.3</v>
      </c>
      <c r="B1671" t="n" s="0">
        <f>(-5-((((-5*(-5/((-5/(((-5*(-83.3--5))-(-5+((-5*-83.3)*(((-5--5)+(-83.3--5))+-83.3))))-(-5+-5)))*-5)))/-5)--5)+(-5*(((-83.3*(-83.3-(-5/-5)))*(-83.3-(-83.3/(-5*-83.3))))-(-5/-5)))))</f>
        <v>-2904192.3649999998</v>
      </c>
      <c r="C1671" t="n" s="0">
        <v>-2904192.3649999993</v>
      </c>
    </row>
    <row r="1672">
      <c r="A1672" t="n" s="0">
        <v>-83.29</v>
      </c>
      <c r="B1672" t="n" s="0">
        <f>(-5-((((-5*(-5/((-5/(((-5*(-83.29--5))-(-5+((-5*-83.29)*(((-5--5)+(-83.29--5))+-83.29))))-(-5+-5)))*-5)))/-5)--5)+(-5*(((-83.29*(-83.29-(-5/-5)))*(-83.29-(-83.29/(-5*-83.29))))-(-5/-5)))))</f>
        <v>-2903148.2946450002</v>
      </c>
      <c r="C1672" t="n" s="0">
        <v>-2903148.2946450007</v>
      </c>
    </row>
    <row r="1673">
      <c r="A1673" t="n" s="0">
        <v>-83.28</v>
      </c>
      <c r="B1673" t="n" s="0">
        <f>(-5-((((-5*(-5/((-5/(((-5*(-83.28--5))-(-5+((-5*-83.28)*(((-5--5)+(-83.28--5))+-83.28))))-(-5+-5)))*-5)))/-5)--5)+(-5*(((-83.28*(-83.28-(-5/-5)))*(-83.28-(-83.28/(-5*-83.28))))-(-5/-5)))))</f>
        <v>-2902104.47456</v>
      </c>
      <c r="C1673" t="n" s="0">
        <v>-2902104.4745599995</v>
      </c>
    </row>
    <row r="1674">
      <c r="A1674" t="n" s="0">
        <v>-83.27</v>
      </c>
      <c r="B1674" t="n" s="0">
        <f>(-5-((((-5*(-5/((-5/(((-5*(-83.27--5))-(-5+((-5*-83.27)*(((-5--5)+(-83.27--5))+-83.27))))-(-5+-5)))*-5)))/-5)--5)+(-5*(((-83.27*(-83.27-(-5/-5)))*(-83.27-(-83.27/(-5*-83.27))))-(-5/-5)))))</f>
        <v>-2901060.9047149997</v>
      </c>
      <c r="C1674" t="n" s="0">
        <v>-2901060.904715</v>
      </c>
    </row>
    <row r="1675">
      <c r="A1675" t="n" s="0">
        <v>-83.26</v>
      </c>
      <c r="B1675" t="n" s="0">
        <f>(-5-((((-5*(-5/((-5/(((-5*(-83.26--5))-(-5+((-5*-83.26)*(((-5--5)+(-83.26--5))+-83.26))))-(-5+-5)))*-5)))/-5)--5)+(-5*(((-83.26*(-83.26-(-5/-5)))*(-83.26-(-83.26/(-5*-83.26))))-(-5/-5)))))</f>
        <v>-2900017.5850799996</v>
      </c>
      <c r="C1675" t="n" s="0">
        <v>-2900017.5850800006</v>
      </c>
    </row>
    <row r="1676">
      <c r="A1676" t="n" s="0">
        <v>-83.25</v>
      </c>
      <c r="B1676" t="n" s="0">
        <f>(-5-((((-5*(-5/((-5/(((-5*(-83.25--5))-(-5+((-5*-83.25)*(((-5--5)+(-83.25--5))+-83.25))))-(-5+-5)))*-5)))/-5)--5)+(-5*(((-83.25*(-83.25-(-5/-5)))*(-83.25-(-83.25/(-5*-83.25))))-(-5/-5)))))</f>
        <v>-2898974.515625</v>
      </c>
      <c r="C1676" t="n" s="0">
        <v>-2898974.515625</v>
      </c>
    </row>
    <row r="1677">
      <c r="A1677" t="n" s="0">
        <v>-83.24</v>
      </c>
      <c r="B1677" t="n" s="0">
        <f>(-5-((((-5*(-5/((-5/(((-5*(-83.24--5))-(-5+((-5*-83.24)*(((-5--5)+(-83.24--5))+-83.24))))-(-5+-5)))*-5)))/-5)--5)+(-5*(((-83.24*(-83.24-(-5/-5)))*(-83.24-(-83.24/(-5*-83.24))))-(-5/-5)))))</f>
        <v>-2897931.69632</v>
      </c>
      <c r="C1677" t="n" s="0">
        <v>-2897931.69632</v>
      </c>
    </row>
    <row r="1678">
      <c r="A1678" t="n" s="0">
        <v>-83.23</v>
      </c>
      <c r="B1678" t="n" s="0">
        <f>(-5-((((-5*(-5/((-5/(((-5*(-83.23--5))-(-5+((-5*-83.23)*(((-5--5)+(-83.23--5))+-83.23))))-(-5+-5)))*-5)))/-5)--5)+(-5*(((-83.23*(-83.23-(-5/-5)))*(-83.23-(-83.23/(-5*-83.23))))-(-5/-5)))))</f>
        <v>-2896889.127135</v>
      </c>
      <c r="C1678" t="n" s="0">
        <v>-2896889.127135</v>
      </c>
    </row>
    <row r="1679">
      <c r="A1679" t="n" s="0">
        <v>-83.22</v>
      </c>
      <c r="B1679" t="n" s="0">
        <f>(-5-((((-5*(-5/((-5/(((-5*(-83.22--5))-(-5+((-5*-83.22)*(((-5--5)+(-83.22--5))+-83.22))))-(-5+-5)))*-5)))/-5)--5)+(-5*(((-83.22*(-83.22-(-5/-5)))*(-83.22-(-83.22/(-5*-83.22))))-(-5/-5)))))</f>
        <v>-2895846.80804</v>
      </c>
      <c r="C1679" t="n" s="0">
        <v>-2895846.80804</v>
      </c>
    </row>
    <row r="1680">
      <c r="A1680" t="n" s="0">
        <v>-83.21</v>
      </c>
      <c r="B1680" t="n" s="0">
        <f>(-5-((((-5*(-5/((-5/(((-5*(-83.21--5))-(-5+((-5*-83.21)*(((-5--5)+(-83.21--5))+-83.21))))-(-5+-5)))*-5)))/-5)--5)+(-5*(((-83.21*(-83.21-(-5/-5)))*(-83.21-(-83.21/(-5*-83.21))))-(-5/-5)))))</f>
        <v>-2894804.739005</v>
      </c>
      <c r="C1680" t="n" s="0">
        <v>-2894804.7390049994</v>
      </c>
    </row>
    <row r="1681">
      <c r="A1681" t="n" s="0">
        <v>-83.2</v>
      </c>
      <c r="B1681" t="n" s="0">
        <f>(-5-((((-5*(-5/((-5/(((-5*(-83.2--5))-(-5+((-5*-83.2)*(((-5--5)+(-83.2--5))+-83.2))))-(-5+-5)))*-5)))/-5)--5)+(-5*(((-83.2*(-83.2-(-5/-5)))*(-83.2-(-83.2/(-5*-83.2))))-(-5/-5)))))</f>
        <v>-2893762.92</v>
      </c>
      <c r="C1681" t="n" s="0">
        <v>-2893762.92</v>
      </c>
    </row>
    <row r="1682">
      <c r="A1682" t="n" s="0">
        <v>-83.19</v>
      </c>
      <c r="B1682" t="n" s="0">
        <f>(-5-((((-5*(-5/((-5/(((-5*(-83.19--5))-(-5+((-5*-83.19)*(((-5--5)+(-83.19--5))+-83.19))))-(-5+-5)))*-5)))/-5)--5)+(-5*(((-83.19*(-83.19-(-5/-5)))*(-83.19-(-83.19/(-5*-83.19))))-(-5/-5)))))</f>
        <v>-2892721.350995</v>
      </c>
      <c r="C1682" t="n" s="0">
        <v>-2892721.3509949995</v>
      </c>
    </row>
    <row r="1683">
      <c r="A1683" t="n" s="0">
        <v>-83.18</v>
      </c>
      <c r="B1683" t="n" s="0">
        <f>(-5-((((-5*(-5/((-5/(((-5*(-83.18--5))-(-5+((-5*-83.18)*(((-5--5)+(-83.18--5))+-83.18))))-(-5+-5)))*-5)))/-5)--5)+(-5*(((-83.18*(-83.18-(-5/-5)))*(-83.18-(-83.18/(-5*-83.18))))-(-5/-5)))))</f>
        <v>-2891680.0319600003</v>
      </c>
      <c r="C1683" t="n" s="0">
        <v>-2891680.0319600007</v>
      </c>
    </row>
    <row r="1684">
      <c r="A1684" t="n" s="0">
        <v>-83.17</v>
      </c>
      <c r="B1684" t="n" s="0">
        <f>(-5-((((-5*(-5/((-5/(((-5*(-83.17--5))-(-5+((-5*-83.17)*(((-5--5)+(-83.17--5))+-83.17))))-(-5+-5)))*-5)))/-5)--5)+(-5*(((-83.17*(-83.17-(-5/-5)))*(-83.17-(-83.17/(-5*-83.17))))-(-5/-5)))))</f>
        <v>-2890638.962865</v>
      </c>
      <c r="C1684" t="n" s="0">
        <v>-2890638.9628649997</v>
      </c>
    </row>
    <row r="1685">
      <c r="A1685" t="n" s="0">
        <v>-83.16</v>
      </c>
      <c r="B1685" t="n" s="0">
        <f>(-5-((((-5*(-5/((-5/(((-5*(-83.16--5))-(-5+((-5*-83.16)*(((-5--5)+(-83.16--5))+-83.16))))-(-5+-5)))*-5)))/-5)--5)+(-5*(((-83.16*(-83.16-(-5/-5)))*(-83.16-(-83.16/(-5*-83.16))))-(-5/-5)))))</f>
        <v>-2889598.1436799997</v>
      </c>
      <c r="C1685" t="n" s="0">
        <v>-2889598.1436799997</v>
      </c>
    </row>
    <row r="1686">
      <c r="A1686" t="n" s="0">
        <v>-83.15</v>
      </c>
      <c r="B1686" t="n" s="0">
        <f>(-5-((((-5*(-5/((-5/(((-5*(-83.15--5))-(-5+((-5*-83.15)*(((-5--5)+(-83.15--5))+-83.15))))-(-5+-5)))*-5)))/-5)--5)+(-5*(((-83.15*(-83.15-(-5/-5)))*(-83.15-(-83.15/(-5*-83.15))))-(-5/-5)))))</f>
        <v>-2888557.574375</v>
      </c>
      <c r="C1686" t="n" s="0">
        <v>-2888557.5743750012</v>
      </c>
    </row>
    <row r="1687">
      <c r="A1687" t="n" s="0">
        <v>-83.14</v>
      </c>
      <c r="B1687" t="n" s="0">
        <f>(-5-((((-5*(-5/((-5/(((-5*(-83.14--5))-(-5+((-5*-83.14)*(((-5--5)+(-83.14--5))+-83.14))))-(-5+-5)))*-5)))/-5)--5)+(-5*(((-83.14*(-83.14-(-5/-5)))*(-83.14-(-83.14/(-5*-83.14))))-(-5/-5)))))</f>
        <v>-2887517.25492</v>
      </c>
      <c r="C1687" t="n" s="0">
        <v>-2887517.2549199997</v>
      </c>
    </row>
    <row r="1688">
      <c r="A1688" t="n" s="0">
        <v>-83.13</v>
      </c>
      <c r="B1688" t="n" s="0">
        <f>(-5-((((-5*(-5/((-5/(((-5*(-83.13--5))-(-5+((-5*-83.13)*(((-5--5)+(-83.13--5))+-83.13))))-(-5+-5)))*-5)))/-5)--5)+(-5*(((-83.13*(-83.13-(-5/-5)))*(-83.13-(-83.13/(-5*-83.13))))-(-5/-5)))))</f>
        <v>-2886477.185285</v>
      </c>
      <c r="C1688" t="n" s="0">
        <v>-2886477.185284999</v>
      </c>
    </row>
    <row r="1689">
      <c r="A1689" t="n" s="0">
        <v>-83.12</v>
      </c>
      <c r="B1689" t="n" s="0">
        <f>(-5-((((-5*(-5/((-5/(((-5*(-83.12--5))-(-5+((-5*-83.12)*(((-5--5)+(-83.12--5))+-83.12))))-(-5+-5)))*-5)))/-5)--5)+(-5*(((-83.12*(-83.12-(-5/-5)))*(-83.12-(-83.12/(-5*-83.12))))-(-5/-5)))))</f>
        <v>-2885437.3654400003</v>
      </c>
      <c r="C1689" t="n" s="0">
        <v>-2885437.3654400003</v>
      </c>
    </row>
    <row r="1690">
      <c r="A1690" t="n" s="0">
        <v>-83.11</v>
      </c>
      <c r="B1690" t="n" s="0">
        <f>(-5-((((-5*(-5/((-5/(((-5*(-83.11--5))-(-5+((-5*-83.11)*(((-5--5)+(-83.11--5))+-83.11))))-(-5+-5)))*-5)))/-5)--5)+(-5*(((-83.11*(-83.11-(-5/-5)))*(-83.11-(-83.11/(-5*-83.11))))-(-5/-5)))))</f>
        <v>-2884397.795355</v>
      </c>
      <c r="C1690" t="n" s="0">
        <v>-2884397.795355</v>
      </c>
    </row>
    <row r="1691">
      <c r="A1691" t="n" s="0">
        <v>-83.1</v>
      </c>
      <c r="B1691" t="n" s="0">
        <f>(-5-((((-5*(-5/((-5/(((-5*(-83.1--5))-(-5+((-5*-83.1)*(((-5--5)+(-83.1--5))+-83.1))))-(-5+-5)))*-5)))/-5)--5)+(-5*(((-83.1*(-83.1-(-5/-5)))*(-83.1-(-83.1/(-5*-83.1))))-(-5/-5)))))</f>
        <v>-2883358.475</v>
      </c>
      <c r="C1691" t="n" s="0">
        <v>-2883358.474999999</v>
      </c>
    </row>
    <row r="1692">
      <c r="A1692" t="n" s="0">
        <v>-83.09</v>
      </c>
      <c r="B1692" t="n" s="0">
        <f>(-5-((((-5*(-5/((-5/(((-5*(-83.09--5))-(-5+((-5*-83.09)*(((-5--5)+(-83.09--5))+-83.09))))-(-5+-5)))*-5)))/-5)--5)+(-5*(((-83.09*(-83.09-(-5/-5)))*(-83.09-(-83.09/(-5*-83.09))))-(-5/-5)))))</f>
        <v>-2882319.404345</v>
      </c>
      <c r="C1692" t="n" s="0">
        <v>-2882319.404345</v>
      </c>
    </row>
    <row r="1693">
      <c r="A1693" t="n" s="0">
        <v>-83.08</v>
      </c>
      <c r="B1693" t="n" s="0">
        <f>(-5-((((-5*(-5/((-5/(((-5*(-83.08--5))-(-5+((-5*-83.08)*(((-5--5)+(-83.08--5))+-83.08))))-(-5+-5)))*-5)))/-5)--5)+(-5*(((-83.08*(-83.08-(-5/-5)))*(-83.08-(-83.08/(-5*-83.08))))-(-5/-5)))))</f>
        <v>-2881280.58336</v>
      </c>
      <c r="C1693" t="n" s="0">
        <v>-2881280.58336</v>
      </c>
    </row>
    <row r="1694">
      <c r="A1694" t="n" s="0">
        <v>-83.07</v>
      </c>
      <c r="B1694" t="n" s="0">
        <f>(-5-((((-5*(-5/((-5/(((-5*(-83.07--5))-(-5+((-5*-83.07)*(((-5--5)+(-83.07--5))+-83.07))))-(-5+-5)))*-5)))/-5)--5)+(-5*(((-83.07*(-83.07-(-5/-5)))*(-83.07-(-83.07/(-5*-83.07))))-(-5/-5)))))</f>
        <v>-2880242.012015</v>
      </c>
      <c r="C1694" t="n" s="0">
        <v>-2880242.0120149995</v>
      </c>
    </row>
    <row r="1695">
      <c r="A1695" t="n" s="0">
        <v>-83.06</v>
      </c>
      <c r="B1695" t="n" s="0">
        <f>(-5-((((-5*(-5/((-5/(((-5*(-83.06--5))-(-5+((-5*-83.06)*(((-5--5)+(-83.06--5))+-83.06))))-(-5+-5)))*-5)))/-5)--5)+(-5*(((-83.06*(-83.06-(-5/-5)))*(-83.06-(-83.06/(-5*-83.06))))-(-5/-5)))))</f>
        <v>-2879203.6902799997</v>
      </c>
      <c r="C1695" t="n" s="0">
        <v>-2879203.69028</v>
      </c>
    </row>
    <row r="1696">
      <c r="A1696" t="n" s="0">
        <v>-83.05</v>
      </c>
      <c r="B1696" t="n" s="0">
        <f>(-5-((((-5*(-5/((-5/(((-5*(-83.05--5))-(-5+((-5*-83.05)*(((-5--5)+(-83.05--5))+-83.05))))-(-5+-5)))*-5)))/-5)--5)+(-5*(((-83.05*(-83.05-(-5/-5)))*(-83.05-(-83.05/(-5*-83.05))))-(-5/-5)))))</f>
        <v>-2878165.618125</v>
      </c>
      <c r="C1696" t="n" s="0">
        <v>-2878165.6181249996</v>
      </c>
    </row>
    <row r="1697">
      <c r="A1697" t="n" s="0">
        <v>-83.04</v>
      </c>
      <c r="B1697" t="n" s="0">
        <f>(-5-((((-5*(-5/((-5/(((-5*(-83.04--5))-(-5+((-5*-83.04)*(((-5--5)+(-83.04--5))+-83.04))))-(-5+-5)))*-5)))/-5)--5)+(-5*(((-83.04*(-83.04-(-5/-5)))*(-83.04-(-83.04/(-5*-83.04))))-(-5/-5)))))</f>
        <v>-2877127.79552</v>
      </c>
      <c r="C1697" t="n" s="0">
        <v>-2877127.7955200006</v>
      </c>
    </row>
    <row r="1698">
      <c r="A1698" t="n" s="0">
        <v>-83.03</v>
      </c>
      <c r="B1698" t="n" s="0">
        <f>(-5-((((-5*(-5/((-5/(((-5*(-83.03--5))-(-5+((-5*-83.03)*(((-5--5)+(-83.03--5))+-83.03))))-(-5+-5)))*-5)))/-5)--5)+(-5*(((-83.03*(-83.03-(-5/-5)))*(-83.03-(-83.03/(-5*-83.03))))-(-5/-5)))))</f>
        <v>-2876090.222435</v>
      </c>
      <c r="C1698" t="n" s="0">
        <v>-2876090.222435</v>
      </c>
    </row>
    <row r="1699">
      <c r="A1699" t="n" s="0">
        <v>-83.02</v>
      </c>
      <c r="B1699" t="n" s="0">
        <f>(-5-((((-5*(-5/((-5/(((-5*(-83.02--5))-(-5+((-5*-83.02)*(((-5--5)+(-83.02--5))+-83.02))))-(-5+-5)))*-5)))/-5)--5)+(-5*(((-83.02*(-83.02-(-5/-5)))*(-83.02-(-83.02/(-5*-83.02))))-(-5/-5)))))</f>
        <v>-2875052.89884</v>
      </c>
      <c r="C1699" t="n" s="0">
        <v>-2875052.8988399995</v>
      </c>
    </row>
    <row r="1700">
      <c r="A1700" t="n" s="0">
        <v>-83.01</v>
      </c>
      <c r="B1700" t="n" s="0">
        <f>(-5-((((-5*(-5/((-5/(((-5*(-83.01--5))-(-5+((-5*-83.01)*(((-5--5)+(-83.01--5))+-83.01))))-(-5+-5)))*-5)))/-5)--5)+(-5*(((-83.01*(-83.01-(-5/-5)))*(-83.01-(-83.01/(-5*-83.01))))-(-5/-5)))))</f>
        <v>-2874015.824705</v>
      </c>
      <c r="C1700" t="n" s="0">
        <v>-2874015.8247050005</v>
      </c>
    </row>
    <row r="1701">
      <c r="A1701" t="n" s="0">
        <v>-83.0</v>
      </c>
      <c r="B1701" t="n" s="0">
        <f>(-5-((((-5*(-5/((-5/(((-5*(-83--5))-(-5+((-5*-83)*(((-5--5)+(-83--5))+-83))))-(-5+-5)))*-5)))/-5)--5)+(-5*(((-83*(-83-(-5/-5)))*(-83-(-83/(-5*-83))))-(-5/-5)))))</f>
        <v>-2872979.0</v>
      </c>
      <c r="C1701" t="n" s="0">
        <v>-2872979.0</v>
      </c>
    </row>
    <row r="1702">
      <c r="A1702" t="n" s="0">
        <v>-82.99</v>
      </c>
      <c r="B1702" t="n" s="0">
        <f>(-5-((((-5*(-5/((-5/(((-5*(-82.99--5))-(-5+((-5*-82.99)*(((-5--5)+(-82.99--5))+-82.99))))-(-5+-5)))*-5)))/-5)--5)+(-5*(((-82.99*(-82.99-(-5/-5)))*(-82.99-(-82.99/(-5*-82.99))))-(-5/-5)))))</f>
        <v>-2871942.424695</v>
      </c>
      <c r="C1702" t="n" s="0">
        <v>-2871942.4246949996</v>
      </c>
    </row>
    <row r="1703">
      <c r="A1703" t="n" s="0">
        <v>-82.98</v>
      </c>
      <c r="B1703" t="n" s="0">
        <f>(-5-((((-5*(-5/((-5/(((-5*(-82.98--5))-(-5+((-5*-82.98)*(((-5--5)+(-82.98--5))+-82.98))))-(-5+-5)))*-5)))/-5)--5)+(-5*(((-82.98*(-82.98-(-5/-5)))*(-82.98-(-82.98/(-5*-82.98))))-(-5/-5)))))</f>
        <v>-2870906.09876</v>
      </c>
      <c r="C1703" t="n" s="0">
        <v>-2870906.09876</v>
      </c>
    </row>
    <row r="1704">
      <c r="A1704" t="n" s="0">
        <v>-82.97</v>
      </c>
      <c r="B1704" t="n" s="0">
        <f>(-5-((((-5*(-5/((-5/(((-5*(-82.97--5))-(-5+((-5*-82.97)*(((-5--5)+(-82.97--5))+-82.97))))-(-5+-5)))*-5)))/-5)--5)+(-5*(((-82.97*(-82.97-(-5/-5)))*(-82.97-(-82.97/(-5*-82.97))))-(-5/-5)))))</f>
        <v>-2869870.022165</v>
      </c>
      <c r="C1704" t="n" s="0">
        <v>-2869870.022165</v>
      </c>
    </row>
    <row r="1705">
      <c r="A1705" t="n" s="0">
        <v>-82.96</v>
      </c>
      <c r="B1705" t="n" s="0">
        <f>(-5-((((-5*(-5/((-5/(((-5*(-82.96--5))-(-5+((-5*-82.96)*(((-5--5)+(-82.96--5))+-82.96))))-(-5+-5)))*-5)))/-5)--5)+(-5*(((-82.96*(-82.96-(-5/-5)))*(-82.96-(-82.96/(-5*-82.96))))-(-5/-5)))))</f>
        <v>-2868834.19488</v>
      </c>
      <c r="C1705" t="n" s="0">
        <v>-2868834.1948799994</v>
      </c>
    </row>
    <row r="1706">
      <c r="A1706" t="n" s="0">
        <v>-82.95</v>
      </c>
      <c r="B1706" t="n" s="0">
        <f>(-5-((((-5*(-5/((-5/(((-5*(-82.95--5))-(-5+((-5*-82.95)*(((-5--5)+(-82.95--5))+-82.95))))-(-5+-5)))*-5)))/-5)--5)+(-5*(((-82.95*(-82.95-(-5/-5)))*(-82.95-(-82.95/(-5*-82.95))))-(-5/-5)))))</f>
        <v>-2867798.616875</v>
      </c>
      <c r="C1706" t="n" s="0">
        <v>-2867798.6168750003</v>
      </c>
    </row>
    <row r="1707">
      <c r="A1707" t="n" s="0">
        <v>-82.94</v>
      </c>
      <c r="B1707" t="n" s="0">
        <f>(-5-((((-5*(-5/((-5/(((-5*(-82.94--5))-(-5+((-5*-82.94)*(((-5--5)+(-82.94--5))+-82.94))))-(-5+-5)))*-5)))/-5)--5)+(-5*(((-82.94*(-82.94-(-5/-5)))*(-82.94-(-82.94/(-5*-82.94))))-(-5/-5)))))</f>
        <v>-2866763.2881199997</v>
      </c>
      <c r="C1707" t="n" s="0">
        <v>-2866763.288119999</v>
      </c>
    </row>
    <row r="1708">
      <c r="A1708" t="n" s="0">
        <v>-82.93</v>
      </c>
      <c r="B1708" t="n" s="0">
        <f>(-5-((((-5*(-5/((-5/(((-5*(-82.93--5))-(-5+((-5*-82.93)*(((-5--5)+(-82.93--5))+-82.93))))-(-5+-5)))*-5)))/-5)--5)+(-5*(((-82.93*(-82.93-(-5/-5)))*(-82.93-(-82.93/(-5*-82.93))))-(-5/-5)))))</f>
        <v>-2865728.2085849997</v>
      </c>
      <c r="C1708" t="n" s="0">
        <v>-2865728.2085850006</v>
      </c>
    </row>
    <row r="1709">
      <c r="A1709" t="n" s="0">
        <v>-82.92</v>
      </c>
      <c r="B1709" t="n" s="0">
        <f>(-5-((((-5*(-5/((-5/(((-5*(-82.92--5))-(-5+((-5*-82.92)*(((-5--5)+(-82.92--5))+-82.92))))-(-5+-5)))*-5)))/-5)--5)+(-5*(((-82.92*(-82.92-(-5/-5)))*(-82.92-(-82.92/(-5*-82.92))))-(-5/-5)))))</f>
        <v>-2864693.37824</v>
      </c>
      <c r="C1709" t="n" s="0">
        <v>-2864693.3782399995</v>
      </c>
    </row>
    <row r="1710">
      <c r="A1710" t="n" s="0">
        <v>-82.91</v>
      </c>
      <c r="B1710" t="n" s="0">
        <f>(-5-((((-5*(-5/((-5/(((-5*(-82.91--5))-(-5+((-5*-82.91)*(((-5--5)+(-82.91--5))+-82.91))))-(-5+-5)))*-5)))/-5)--5)+(-5*(((-82.91*(-82.91-(-5/-5)))*(-82.91-(-82.91/(-5*-82.91))))-(-5/-5)))))</f>
        <v>-2863658.797055</v>
      </c>
      <c r="C1710" t="n" s="0">
        <v>-2863658.7970549995</v>
      </c>
    </row>
    <row r="1711">
      <c r="A1711" t="n" s="0">
        <v>-82.9</v>
      </c>
      <c r="B1711" t="n" s="0">
        <f>(-5-((((-5*(-5/((-5/(((-5*(-82.9--5))-(-5+((-5*-82.9)*(((-5--5)+(-82.9--5))+-82.9))))-(-5+-5)))*-5)))/-5)--5)+(-5*(((-82.9*(-82.9-(-5/-5)))*(-82.9-(-82.9/(-5*-82.9))))-(-5/-5)))))</f>
        <v>-2862624.465</v>
      </c>
      <c r="C1711" t="n" s="0">
        <v>-2862624.4650000003</v>
      </c>
    </row>
    <row r="1712">
      <c r="A1712" t="n" s="0">
        <v>-82.89</v>
      </c>
      <c r="B1712" t="n" s="0">
        <f>(-5-((((-5*(-5/((-5/(((-5*(-82.89--5))-(-5+((-5*-82.89)*(((-5--5)+(-82.89--5))+-82.89))))-(-5+-5)))*-5)))/-5)--5)+(-5*(((-82.89*(-82.89-(-5/-5)))*(-82.89-(-82.89/(-5*-82.89))))-(-5/-5)))))</f>
        <v>-2861590.3820450003</v>
      </c>
      <c r="C1712" t="n" s="0">
        <v>-2861590.3820449994</v>
      </c>
    </row>
    <row r="1713">
      <c r="A1713" t="n" s="0">
        <v>-82.88</v>
      </c>
      <c r="B1713" t="n" s="0">
        <f>(-5-((((-5*(-5/((-5/(((-5*(-82.88--5))-(-5+((-5*-82.88)*(((-5--5)+(-82.88--5))+-82.88))))-(-5+-5)))*-5)))/-5)--5)+(-5*(((-82.88*(-82.88-(-5/-5)))*(-82.88-(-82.88/(-5*-82.88))))-(-5/-5)))))</f>
        <v>-2860556.54816</v>
      </c>
      <c r="C1713" t="n" s="0">
        <v>-2860556.54816</v>
      </c>
    </row>
    <row r="1714">
      <c r="A1714" t="n" s="0">
        <v>-82.87</v>
      </c>
      <c r="B1714" t="n" s="0">
        <f>(-5-((((-5*(-5/((-5/(((-5*(-82.87--5))-(-5+((-5*-82.87)*(((-5--5)+(-82.87--5))+-82.87))))-(-5+-5)))*-5)))/-5)--5)+(-5*(((-82.87*(-82.87-(-5/-5)))*(-82.87-(-82.87/(-5*-82.87))))-(-5/-5)))))</f>
        <v>-2859522.963315</v>
      </c>
      <c r="C1714" t="n" s="0">
        <v>-2859522.9633150008</v>
      </c>
    </row>
    <row r="1715">
      <c r="A1715" t="n" s="0">
        <v>-82.86</v>
      </c>
      <c r="B1715" t="n" s="0">
        <f>(-5-((((-5*(-5/((-5/(((-5*(-82.86--5))-(-5+((-5*-82.86)*(((-5--5)+(-82.86--5))+-82.86))))-(-5+-5)))*-5)))/-5)--5)+(-5*(((-82.86*(-82.86-(-5/-5)))*(-82.86-(-82.86/(-5*-82.86))))-(-5/-5)))))</f>
        <v>-2858489.62748</v>
      </c>
      <c r="C1715" t="n" s="0">
        <v>-2858489.62748</v>
      </c>
    </row>
    <row r="1716">
      <c r="A1716" t="n" s="0">
        <v>-82.85</v>
      </c>
      <c r="B1716" t="n" s="0">
        <f>(-5-((((-5*(-5/((-5/(((-5*(-82.85--5))-(-5+((-5*-82.85)*(((-5--5)+(-82.85--5))+-82.85))))-(-5+-5)))*-5)))/-5)--5)+(-5*(((-82.85*(-82.85-(-5/-5)))*(-82.85-(-82.85/(-5*-82.85))))-(-5/-5)))))</f>
        <v>-2857456.540625</v>
      </c>
      <c r="C1716" t="n" s="0">
        <v>-2857456.5406249994</v>
      </c>
    </row>
    <row r="1717">
      <c r="A1717" t="n" s="0">
        <v>-82.84</v>
      </c>
      <c r="B1717" t="n" s="0">
        <f>(-5-((((-5*(-5/((-5/(((-5*(-82.84--5))-(-5+((-5*-82.84)*(((-5--5)+(-82.84--5))+-82.84))))-(-5+-5)))*-5)))/-5)--5)+(-5*(((-82.84*(-82.84-(-5/-5)))*(-82.84-(-82.84/(-5*-82.84))))-(-5/-5)))))</f>
        <v>-2856423.70272</v>
      </c>
      <c r="C1717" t="n" s="0">
        <v>-2856423.7027200004</v>
      </c>
    </row>
    <row r="1718">
      <c r="A1718" t="n" s="0">
        <v>-82.83</v>
      </c>
      <c r="B1718" t="n" s="0">
        <f>(-5-((((-5*(-5/((-5/(((-5*(-82.83--5))-(-5+((-5*-82.83)*(((-5--5)+(-82.83--5))+-82.83))))-(-5+-5)))*-5)))/-5)--5)+(-5*(((-82.83*(-82.83-(-5/-5)))*(-82.83-(-82.83/(-5*-82.83))))-(-5/-5)))))</f>
        <v>-2855391.113735</v>
      </c>
      <c r="C1718" t="n" s="0">
        <v>-2855391.1137350006</v>
      </c>
    </row>
    <row r="1719">
      <c r="A1719" t="n" s="0">
        <v>-82.82</v>
      </c>
      <c r="B1719" t="n" s="0">
        <f>(-5-((((-5*(-5/((-5/(((-5*(-82.82--5))-(-5+((-5*-82.82)*(((-5--5)+(-82.82--5))+-82.82))))-(-5+-5)))*-5)))/-5)--5)+(-5*(((-82.82*(-82.82-(-5/-5)))*(-82.82-(-82.82/(-5*-82.82))))-(-5/-5)))))</f>
        <v>-2854358.7736400003</v>
      </c>
      <c r="C1719" t="n" s="0">
        <v>-2854358.7736399993</v>
      </c>
    </row>
    <row r="1720">
      <c r="A1720" t="n" s="0">
        <v>-82.81</v>
      </c>
      <c r="B1720" t="n" s="0">
        <f>(-5-((((-5*(-5/((-5/(((-5*(-82.81--5))-(-5+((-5*-82.81)*(((-5--5)+(-82.81--5))+-82.81))))-(-5+-5)))*-5)))/-5)--5)+(-5*(((-82.81*(-82.81-(-5/-5)))*(-82.81-(-82.81/(-5*-82.81))))-(-5/-5)))))</f>
        <v>-2853326.682405</v>
      </c>
      <c r="C1720" t="n" s="0">
        <v>-2853326.6824050006</v>
      </c>
    </row>
    <row r="1721">
      <c r="A1721" t="n" s="0">
        <v>-82.8</v>
      </c>
      <c r="B1721" t="n" s="0">
        <f>(-5-((((-5*(-5/((-5/(((-5*(-82.8--5))-(-5+((-5*-82.8)*(((-5--5)+(-82.8--5))+-82.8))))-(-5+-5)))*-5)))/-5)--5)+(-5*(((-82.8*(-82.8-(-5/-5)))*(-82.8-(-82.8/(-5*-82.8))))-(-5/-5)))))</f>
        <v>-2852294.84</v>
      </c>
      <c r="C1721" t="n" s="0">
        <v>-2852294.84</v>
      </c>
    </row>
    <row r="1722">
      <c r="A1722" t="n" s="0">
        <v>-82.79</v>
      </c>
      <c r="B1722" t="n" s="0">
        <f>(-5-((((-5*(-5/((-5/(((-5*(-82.79--5))-(-5+((-5*-82.79)*(((-5--5)+(-82.79--5))+-82.79))))-(-5+-5)))*-5)))/-5)--5)+(-5*(((-82.79*(-82.79-(-5/-5)))*(-82.79-(-82.79/(-5*-82.79))))-(-5/-5)))))</f>
        <v>-2851263.246395</v>
      </c>
      <c r="C1722" t="n" s="0">
        <v>-2851263.2463950007</v>
      </c>
    </row>
    <row r="1723">
      <c r="A1723" t="n" s="0">
        <v>-82.78</v>
      </c>
      <c r="B1723" t="n" s="0">
        <f>(-5-((((-5*(-5/((-5/(((-5*(-82.78--5))-(-5+((-5*-82.78)*(((-5--5)+(-82.78--5))+-82.78))))-(-5+-5)))*-5)))/-5)--5)+(-5*(((-82.78*(-82.78-(-5/-5)))*(-82.78-(-82.78/(-5*-82.78))))-(-5/-5)))))</f>
        <v>-2850231.90156</v>
      </c>
      <c r="C1723" t="n" s="0">
        <v>-2850231.90156</v>
      </c>
    </row>
    <row r="1724">
      <c r="A1724" t="n" s="0">
        <v>-82.77</v>
      </c>
      <c r="B1724" t="n" s="0">
        <f>(-5-((((-5*(-5/((-5/(((-5*(-82.77--5))-(-5+((-5*-82.77)*(((-5--5)+(-82.77--5))+-82.77))))-(-5+-5)))*-5)))/-5)--5)+(-5*(((-82.77*(-82.77-(-5/-5)))*(-82.77-(-82.77/(-5*-82.77))))-(-5/-5)))))</f>
        <v>-2849200.8054649998</v>
      </c>
      <c r="C1724" t="n" s="0">
        <v>-2849200.8054649998</v>
      </c>
    </row>
    <row r="1725">
      <c r="A1725" t="n" s="0">
        <v>-82.76</v>
      </c>
      <c r="B1725" t="n" s="0">
        <f>(-5-((((-5*(-5/((-5/(((-5*(-82.76--5))-(-5+((-5*-82.76)*(((-5--5)+(-82.76--5))+-82.76))))-(-5+-5)))*-5)))/-5)--5)+(-5*(((-82.76*(-82.76-(-5/-5)))*(-82.76-(-82.76/(-5*-82.76))))-(-5/-5)))))</f>
        <v>-2848169.95808</v>
      </c>
      <c r="C1725" t="n" s="0">
        <v>-2848169.9580800007</v>
      </c>
    </row>
    <row r="1726">
      <c r="A1726" t="n" s="0">
        <v>-82.75</v>
      </c>
      <c r="B1726" t="n" s="0">
        <f>(-5-((((-5*(-5/((-5/(((-5*(-82.75--5))-(-5+((-5*-82.75)*(((-5--5)+(-82.75--5))+-82.75))))-(-5+-5)))*-5)))/-5)--5)+(-5*(((-82.75*(-82.75-(-5/-5)))*(-82.75-(-82.75/(-5*-82.75))))-(-5/-5)))))</f>
        <v>-2847139.359375</v>
      </c>
      <c r="C1726" t="n" s="0">
        <v>-2847139.359375</v>
      </c>
    </row>
    <row r="1727">
      <c r="A1727" t="n" s="0">
        <v>-82.74</v>
      </c>
      <c r="B1727" t="n" s="0">
        <f>(-5-((((-5*(-5/((-5/(((-5*(-82.74--5))-(-5+((-5*-82.74)*(((-5--5)+(-82.74--5))+-82.74))))-(-5+-5)))*-5)))/-5)--5)+(-5*(((-82.74*(-82.74-(-5/-5)))*(-82.74-(-82.74/(-5*-82.74))))-(-5/-5)))))</f>
        <v>-2846109.0093199997</v>
      </c>
      <c r="C1727" t="n" s="0">
        <v>-2846109.0093199997</v>
      </c>
    </row>
    <row r="1728">
      <c r="A1728" t="n" s="0">
        <v>-82.73</v>
      </c>
      <c r="B1728" t="n" s="0">
        <f>(-5-((((-5*(-5/((-5/(((-5*(-82.73--5))-(-5+((-5*-82.73)*(((-5--5)+(-82.73--5))+-82.73))))-(-5+-5)))*-5)))/-5)--5)+(-5*(((-82.73*(-82.73-(-5/-5)))*(-82.73-(-82.73/(-5*-82.73))))-(-5/-5)))))</f>
        <v>-2845078.907885</v>
      </c>
      <c r="C1728" t="n" s="0">
        <v>-2845078.907885</v>
      </c>
    </row>
    <row r="1729">
      <c r="A1729" t="n" s="0">
        <v>-82.72</v>
      </c>
      <c r="B1729" t="n" s="0">
        <f>(-5-((((-5*(-5/((-5/(((-5*(-82.72--5))-(-5+((-5*-82.72)*(((-5--5)+(-82.72--5))+-82.72))))-(-5+-5)))*-5)))/-5)--5)+(-5*(((-82.72*(-82.72-(-5/-5)))*(-82.72-(-82.72/(-5*-82.72))))-(-5/-5)))))</f>
        <v>-2844049.05504</v>
      </c>
      <c r="C1729" t="n" s="0">
        <v>-2844049.05504</v>
      </c>
    </row>
    <row r="1730">
      <c r="A1730" t="n" s="0">
        <v>-82.71</v>
      </c>
      <c r="B1730" t="n" s="0">
        <f>(-5-((((-5*(-5/((-5/(((-5*(-82.71--5))-(-5+((-5*-82.71)*(((-5--5)+(-82.71--5))+-82.71))))-(-5+-5)))*-5)))/-5)--5)+(-5*(((-82.71*(-82.71-(-5/-5)))*(-82.71-(-82.71/(-5*-82.71))))-(-5/-5)))))</f>
        <v>-2843019.450755</v>
      </c>
      <c r="C1730" t="n" s="0">
        <v>-2843019.450754999</v>
      </c>
    </row>
    <row r="1731">
      <c r="A1731" t="n" s="0">
        <v>-82.7</v>
      </c>
      <c r="B1731" t="n" s="0">
        <f>(-5-((((-5*(-5/((-5/(((-5*(-82.7--5))-(-5+((-5*-82.7)*(((-5--5)+(-82.7--5))+-82.7))))-(-5+-5)))*-5)))/-5)--5)+(-5*(((-82.7*(-82.7-(-5/-5)))*(-82.7-(-82.7/(-5*-82.7))))-(-5/-5)))))</f>
        <v>-2841990.095</v>
      </c>
      <c r="C1731" t="n" s="0">
        <v>-2841990.095</v>
      </c>
    </row>
    <row r="1732">
      <c r="A1732" t="n" s="0">
        <v>-82.69</v>
      </c>
      <c r="B1732" t="n" s="0">
        <f>(-5-((((-5*(-5/((-5/(((-5*(-82.69--5))-(-5+((-5*-82.69)*(((-5--5)+(-82.69--5))+-82.69))))-(-5+-5)))*-5)))/-5)--5)+(-5*(((-82.69*(-82.69-(-5/-5)))*(-82.69-(-82.69/(-5*-82.69))))-(-5/-5)))))</f>
        <v>-2840960.9877449996</v>
      </c>
      <c r="C1732" t="n" s="0">
        <v>-2840960.9877449996</v>
      </c>
    </row>
    <row r="1733">
      <c r="A1733" t="n" s="0">
        <v>-82.68</v>
      </c>
      <c r="B1733" t="n" s="0">
        <f>(-5-((((-5*(-5/((-5/(((-5*(-82.68--5))-(-5+((-5*-82.68)*(((-5--5)+(-82.68--5))+-82.68))))-(-5+-5)))*-5)))/-5)--5)+(-5*(((-82.68*(-82.68-(-5/-5)))*(-82.68-(-82.68/(-5*-82.68))))-(-5/-5)))))</f>
        <v>-2839932.12896</v>
      </c>
      <c r="C1733" t="n" s="0">
        <v>-2839932.128960001</v>
      </c>
    </row>
    <row r="1734">
      <c r="A1734" t="n" s="0">
        <v>-82.67</v>
      </c>
      <c r="B1734" t="n" s="0">
        <f>(-5-((((-5*(-5/((-5/(((-5*(-82.67--5))-(-5+((-5*-82.67)*(((-5--5)+(-82.67--5))+-82.67))))-(-5+-5)))*-5)))/-5)--5)+(-5*(((-82.67*(-82.67-(-5/-5)))*(-82.67-(-82.67/(-5*-82.67))))-(-5/-5)))))</f>
        <v>-2838903.518615</v>
      </c>
      <c r="C1734" t="n" s="0">
        <v>-2838903.518615</v>
      </c>
    </row>
    <row r="1735">
      <c r="A1735" t="n" s="0">
        <v>-82.66</v>
      </c>
      <c r="B1735" t="n" s="0">
        <f>(-5-((((-5*(-5/((-5/(((-5*(-82.66--5))-(-5+((-5*-82.66)*(((-5--5)+(-82.66--5))+-82.66))))-(-5+-5)))*-5)))/-5)--5)+(-5*(((-82.66*(-82.66-(-5/-5)))*(-82.66-(-82.66/(-5*-82.66))))-(-5/-5)))))</f>
        <v>-2837875.15668</v>
      </c>
      <c r="C1735" t="n" s="0">
        <v>-2837875.156679999</v>
      </c>
    </row>
    <row r="1736">
      <c r="A1736" t="n" s="0">
        <v>-82.65</v>
      </c>
      <c r="B1736" t="n" s="0">
        <f>(-5-((((-5*(-5/((-5/(((-5*(-82.65--5))-(-5+((-5*-82.65)*(((-5--5)+(-82.65--5))+-82.65))))-(-5+-5)))*-5)))/-5)--5)+(-5*(((-82.65*(-82.65-(-5/-5)))*(-82.65-(-82.65/(-5*-82.65))))-(-5/-5)))))</f>
        <v>-2836847.0431250003</v>
      </c>
      <c r="C1736" t="n" s="0">
        <v>-2836847.0431250003</v>
      </c>
    </row>
    <row r="1737">
      <c r="A1737" t="n" s="0">
        <v>-82.64</v>
      </c>
      <c r="B1737" t="n" s="0">
        <f>(-5-((((-5*(-5/((-5/(((-5*(-82.64--5))-(-5+((-5*-82.64)*(((-5--5)+(-82.64--5))+-82.64))))-(-5+-5)))*-5)))/-5)--5)+(-5*(((-82.64*(-82.64-(-5/-5)))*(-82.64-(-82.64/(-5*-82.64))))-(-5/-5)))))</f>
        <v>-2835819.1779199997</v>
      </c>
      <c r="C1737" t="n" s="0">
        <v>-2835819.17792</v>
      </c>
    </row>
    <row r="1738">
      <c r="A1738" t="n" s="0">
        <v>-82.63</v>
      </c>
      <c r="B1738" t="n" s="0">
        <f>(-5-((((-5*(-5/((-5/(((-5*(-82.63--5))-(-5+((-5*-82.63)*(((-5--5)+(-82.63--5))+-82.63))))-(-5+-5)))*-5)))/-5)--5)+(-5*(((-82.63*(-82.63-(-5/-5)))*(-82.63-(-82.63/(-5*-82.63))))-(-5/-5)))))</f>
        <v>-2834791.561035</v>
      </c>
      <c r="C1738" t="n" s="0">
        <v>-2834791.5610349993</v>
      </c>
    </row>
    <row r="1739">
      <c r="A1739" t="n" s="0">
        <v>-82.62</v>
      </c>
      <c r="B1739" t="n" s="0">
        <f>(-5-((((-5*(-5/((-5/(((-5*(-82.62--5))-(-5+((-5*-82.62)*(((-5--5)+(-82.62--5))+-82.62))))-(-5+-5)))*-5)))/-5)--5)+(-5*(((-82.62*(-82.62-(-5/-5)))*(-82.62-(-82.62/(-5*-82.62))))-(-5/-5)))))</f>
        <v>-2833764.19244</v>
      </c>
      <c r="C1739" t="n" s="0">
        <v>-2833764.192440001</v>
      </c>
    </row>
    <row r="1740">
      <c r="A1740" t="n" s="0">
        <v>-82.61</v>
      </c>
      <c r="B1740" t="n" s="0">
        <f>(-5-((((-5*(-5/((-5/(((-5*(-82.61--5))-(-5+((-5*-82.61)*(((-5--5)+(-82.61--5))+-82.61))))-(-5+-5)))*-5)))/-5)--5)+(-5*(((-82.61*(-82.61-(-5/-5)))*(-82.61-(-82.61/(-5*-82.61))))-(-5/-5)))))</f>
        <v>-2832737.072105</v>
      </c>
      <c r="C1740" t="n" s="0">
        <v>-2832737.0721050003</v>
      </c>
    </row>
    <row r="1741">
      <c r="A1741" t="n" s="0">
        <v>-82.6</v>
      </c>
      <c r="B1741" t="n" s="0">
        <f>(-5-((((-5*(-5/((-5/(((-5*(-82.6--5))-(-5+((-5*-82.6)*(((-5--5)+(-82.6--5))+-82.6))))-(-5+-5)))*-5)))/-5)--5)+(-5*(((-82.6*(-82.6-(-5/-5)))*(-82.6-(-82.6/(-5*-82.6))))-(-5/-5)))))</f>
        <v>-2831710.1999999997</v>
      </c>
      <c r="C1741" t="n" s="0">
        <v>-2831710.1999999993</v>
      </c>
    </row>
    <row r="1742">
      <c r="A1742" t="n" s="0">
        <v>-82.59</v>
      </c>
      <c r="B1742" t="n" s="0">
        <f>(-5-((((-5*(-5/((-5/(((-5*(-82.59--5))-(-5+((-5*-82.59)*(((-5--5)+(-82.59--5))+-82.59))))-(-5+-5)))*-5)))/-5)--5)+(-5*(((-82.59*(-82.59-(-5/-5)))*(-82.59-(-82.59/(-5*-82.59))))-(-5/-5)))))</f>
        <v>-2830683.5760950004</v>
      </c>
      <c r="C1742" t="n" s="0">
        <v>-2830683.5760950004</v>
      </c>
    </row>
    <row r="1743">
      <c r="A1743" t="n" s="0">
        <v>-82.58</v>
      </c>
      <c r="B1743" t="n" s="0">
        <f>(-5-((((-5*(-5/((-5/(((-5*(-82.58--5))-(-5+((-5*-82.58)*(((-5--5)+(-82.58--5))+-82.58))))-(-5+-5)))*-5)))/-5)--5)+(-5*(((-82.58*(-82.58-(-5/-5)))*(-82.58-(-82.58/(-5*-82.58))))-(-5/-5)))))</f>
        <v>-2829657.2003599997</v>
      </c>
      <c r="C1743" t="n" s="0">
        <v>-2829657.20036</v>
      </c>
    </row>
    <row r="1744">
      <c r="A1744" t="n" s="0">
        <v>-82.57</v>
      </c>
      <c r="B1744" t="n" s="0">
        <f>(-5-((((-5*(-5/((-5/(((-5*(-82.57--5))-(-5+((-5*-82.57)*(((-5--5)+(-82.57--5))+-82.57))))-(-5+-5)))*-5)))/-5)--5)+(-5*(((-82.57*(-82.57-(-5/-5)))*(-82.57-(-82.57/(-5*-82.57))))-(-5/-5)))))</f>
        <v>-2828631.072765</v>
      </c>
      <c r="C1744" t="n" s="0">
        <v>-2828631.0727649997</v>
      </c>
    </row>
    <row r="1745">
      <c r="A1745" t="n" s="0">
        <v>-82.56</v>
      </c>
      <c r="B1745" t="n" s="0">
        <f>(-5-((((-5*(-5/((-5/(((-5*(-82.56--5))-(-5+((-5*-82.56)*(((-5--5)+(-82.56--5))+-82.56))))-(-5+-5)))*-5)))/-5)--5)+(-5*(((-82.56*(-82.56-(-5/-5)))*(-82.56-(-82.56/(-5*-82.56))))-(-5/-5)))))</f>
        <v>-2827605.1932800002</v>
      </c>
      <c r="C1745" t="n" s="0">
        <v>-2827605.1932800007</v>
      </c>
    </row>
    <row r="1746">
      <c r="A1746" t="n" s="0">
        <v>-82.55</v>
      </c>
      <c r="B1746" t="n" s="0">
        <f>(-5-((((-5*(-5/((-5/(((-5*(-82.55--5))-(-5+((-5*-82.55)*(((-5--5)+(-82.55--5))+-82.55))))-(-5+-5)))*-5)))/-5)--5)+(-5*(((-82.55*(-82.55-(-5/-5)))*(-82.55-(-82.55/(-5*-82.55))))-(-5/-5)))))</f>
        <v>-2826579.5618749997</v>
      </c>
      <c r="C1746" t="n" s="0">
        <v>-2826579.561874999</v>
      </c>
    </row>
    <row r="1747">
      <c r="A1747" t="n" s="0">
        <v>-82.54</v>
      </c>
      <c r="B1747" t="n" s="0">
        <f>(-5-((((-5*(-5/((-5/(((-5*(-82.54--5))-(-5+((-5*-82.54)*(((-5--5)+(-82.54--5))+-82.54))))-(-5+-5)))*-5)))/-5)--5)+(-5*(((-82.54*(-82.54-(-5/-5)))*(-82.54-(-82.54/(-5*-82.54))))-(-5/-5)))))</f>
        <v>-2825554.1785199996</v>
      </c>
      <c r="C1747" t="n" s="0">
        <v>-2825554.1785200005</v>
      </c>
    </row>
    <row r="1748">
      <c r="A1748" t="n" s="0">
        <v>-82.53</v>
      </c>
      <c r="B1748" t="n" s="0">
        <f>(-5-((((-5*(-5/((-5/(((-5*(-82.53--5))-(-5+((-5*-82.53)*(((-5--5)+(-82.53--5))+-82.53))))-(-5+-5)))*-5)))/-5)--5)+(-5*(((-82.53*(-82.53-(-5/-5)))*(-82.53-(-82.53/(-5*-82.53))))-(-5/-5)))))</f>
        <v>-2824529.043185</v>
      </c>
      <c r="C1748" t="n" s="0">
        <v>-2824529.0431850003</v>
      </c>
    </row>
    <row r="1749">
      <c r="A1749" t="n" s="0">
        <v>-82.52</v>
      </c>
      <c r="B1749" t="n" s="0">
        <f>(-5-((((-5*(-5/((-5/(((-5*(-82.52--5))-(-5+((-5*-82.52)*(((-5--5)+(-82.52--5))+-82.52))))-(-5+-5)))*-5)))/-5)--5)+(-5*(((-82.52*(-82.52-(-5/-5)))*(-82.52-(-82.52/(-5*-82.52))))-(-5/-5)))))</f>
        <v>-2823504.15584</v>
      </c>
      <c r="C1749" t="n" s="0">
        <v>-2823504.1558399997</v>
      </c>
    </row>
    <row r="1750">
      <c r="A1750" t="n" s="0">
        <v>-82.51</v>
      </c>
      <c r="B1750" t="n" s="0">
        <f>(-5-((((-5*(-5/((-5/(((-5*(-82.51--5))-(-5+((-5*-82.51)*(((-5--5)+(-82.51--5))+-82.51))))-(-5+-5)))*-5)))/-5)--5)+(-5*(((-82.51*(-82.51-(-5/-5)))*(-82.51-(-82.51/(-5*-82.51))))-(-5/-5)))))</f>
        <v>-2822479.5164550003</v>
      </c>
      <c r="C1750" t="n" s="0">
        <v>-2822479.5164550003</v>
      </c>
    </row>
    <row r="1751">
      <c r="A1751" t="n" s="0">
        <v>-82.5</v>
      </c>
      <c r="B1751" t="n" s="0">
        <f>(-5-((((-5*(-5/((-5/(((-5*(-82.5--5))-(-5+((-5*-82.5)*(((-5--5)+(-82.5--5))+-82.5))))-(-5+-5)))*-5)))/-5)--5)+(-5*(((-82.5*(-82.5-(-5/-5)))*(-82.5-(-82.5/(-5*-82.5))))-(-5/-5)))))</f>
        <v>-2821455.125</v>
      </c>
      <c r="C1751" t="n" s="0">
        <v>-2821455.125</v>
      </c>
    </row>
    <row r="1752">
      <c r="A1752" t="n" s="0">
        <v>-82.49</v>
      </c>
      <c r="B1752" t="n" s="0">
        <f>(-5-((((-5*(-5/((-5/(((-5*(-82.49--5))-(-5+((-5*-82.49)*(((-5--5)+(-82.49--5))+-82.49))))-(-5+-5)))*-5)))/-5)--5)+(-5*(((-82.49*(-82.49-(-5/-5)))*(-82.49-(-82.49/(-5*-82.49))))-(-5/-5)))))</f>
        <v>-2820430.981445</v>
      </c>
      <c r="C1752" t="n" s="0">
        <v>-2820430.981444999</v>
      </c>
    </row>
    <row r="1753">
      <c r="A1753" t="n" s="0">
        <v>-82.48</v>
      </c>
      <c r="B1753" t="n" s="0">
        <f>(-5-((((-5*(-5/((-5/(((-5*(-82.48--5))-(-5+((-5*-82.48)*(((-5--5)+(-82.48--5))+-82.48))))-(-5+-5)))*-5)))/-5)--5)+(-5*(((-82.48*(-82.48-(-5/-5)))*(-82.48-(-82.48/(-5*-82.48))))-(-5/-5)))))</f>
        <v>-2819407.08576</v>
      </c>
      <c r="C1753" t="n" s="0">
        <v>-2819407.0857600006</v>
      </c>
    </row>
    <row r="1754">
      <c r="A1754" t="n" s="0">
        <v>-82.47</v>
      </c>
      <c r="B1754" t="n" s="0">
        <f>(-5-((((-5*(-5/((-5/(((-5*(-82.47--5))-(-5+((-5*-82.47)*(((-5--5)+(-82.47--5))+-82.47))))-(-5+-5)))*-5)))/-5)--5)+(-5*(((-82.47*(-82.47-(-5/-5)))*(-82.47-(-82.47/(-5*-82.47))))-(-5/-5)))))</f>
        <v>-2818383.437915</v>
      </c>
      <c r="C1754" t="n" s="0">
        <v>-2818383.4379149997</v>
      </c>
    </row>
    <row r="1755">
      <c r="A1755" t="n" s="0">
        <v>-82.46</v>
      </c>
      <c r="B1755" t="n" s="0">
        <f>(-5-((((-5*(-5/((-5/(((-5*(-82.46--5))-(-5+((-5*-82.46)*(((-5--5)+(-82.46--5))+-82.46))))-(-5+-5)))*-5)))/-5)--5)+(-5*(((-82.46*(-82.46-(-5/-5)))*(-82.46-(-82.46/(-5*-82.46))))-(-5/-5)))))</f>
        <v>-2817360.0378799997</v>
      </c>
      <c r="C1755" t="n" s="0">
        <v>-2817360.0378799997</v>
      </c>
    </row>
    <row r="1756">
      <c r="A1756" t="n" s="0">
        <v>-82.45</v>
      </c>
      <c r="B1756" t="n" s="0">
        <f>(-5-((((-5*(-5/((-5/(((-5*(-82.45--5))-(-5+((-5*-82.45)*(((-5--5)+(-82.45--5))+-82.45))))-(-5+-5)))*-5)))/-5)--5)+(-5*(((-82.45*(-82.45-(-5/-5)))*(-82.45-(-82.45/(-5*-82.45))))-(-5/-5)))))</f>
        <v>-2816336.885625</v>
      </c>
      <c r="C1756" t="n" s="0">
        <v>-2816336.885625</v>
      </c>
    </row>
    <row r="1757">
      <c r="A1757" t="n" s="0">
        <v>-82.44</v>
      </c>
      <c r="B1757" t="n" s="0">
        <f>(-5-((((-5*(-5/((-5/(((-5*(-82.44--5))-(-5+((-5*-82.44)*(((-5--5)+(-82.44--5))+-82.44))))-(-5+-5)))*-5)))/-5)--5)+(-5*(((-82.44*(-82.44-(-5/-5)))*(-82.44-(-82.44/(-5*-82.44))))-(-5/-5)))))</f>
        <v>-2815313.98112</v>
      </c>
      <c r="C1757" t="n" s="0">
        <v>-2815313.9811199997</v>
      </c>
    </row>
    <row r="1758">
      <c r="A1758" t="n" s="0">
        <v>-82.43</v>
      </c>
      <c r="B1758" t="n" s="0">
        <f>(-5-((((-5*(-5/((-5/(((-5*(-82.43--5))-(-5+((-5*-82.43)*(((-5--5)+(-82.43--5))+-82.43))))-(-5+-5)))*-5)))/-5)--5)+(-5*(((-82.43*(-82.43-(-5/-5)))*(-82.43-(-82.43/(-5*-82.43))))-(-5/-5)))))</f>
        <v>-2814291.324335</v>
      </c>
      <c r="C1758" t="n" s="0">
        <v>-2814291.324335001</v>
      </c>
    </row>
    <row r="1759">
      <c r="A1759" t="n" s="0">
        <v>-82.42</v>
      </c>
      <c r="B1759" t="n" s="0">
        <f>(-5-((((-5*(-5/((-5/(((-5*(-82.42--5))-(-5+((-5*-82.42)*(((-5--5)+(-82.42--5))+-82.42))))-(-5+-5)))*-5)))/-5)--5)+(-5*(((-82.42*(-82.42-(-5/-5)))*(-82.42-(-82.42/(-5*-82.42))))-(-5/-5)))))</f>
        <v>-2813268.91524</v>
      </c>
      <c r="C1759" t="n" s="0">
        <v>-2813268.91524</v>
      </c>
    </row>
    <row r="1760">
      <c r="A1760" t="n" s="0">
        <v>-82.41</v>
      </c>
      <c r="B1760" t="n" s="0">
        <f>(-5-((((-5*(-5/((-5/(((-5*(-82.41--5))-(-5+((-5*-82.41)*(((-5--5)+(-82.41--5))+-82.41))))-(-5+-5)))*-5)))/-5)--5)+(-5*(((-82.41*(-82.41-(-5/-5)))*(-82.41-(-82.41/(-5*-82.41))))-(-5/-5)))))</f>
        <v>-2812246.753805</v>
      </c>
      <c r="C1760" t="n" s="0">
        <v>-2812246.7538049994</v>
      </c>
    </row>
    <row r="1761">
      <c r="A1761" t="n" s="0">
        <v>-82.4</v>
      </c>
      <c r="B1761" t="n" s="0">
        <f>(-5-((((-5*(-5/((-5/(((-5*(-82.4--5))-(-5+((-5*-82.4)*(((-5--5)+(-82.4--5))+-82.4))))-(-5+-5)))*-5)))/-5)--5)+(-5*(((-82.4*(-82.4-(-5/-5)))*(-82.4-(-82.4/(-5*-82.4))))-(-5/-5)))))</f>
        <v>-2811224.84</v>
      </c>
      <c r="C1761" t="n" s="0">
        <v>-2811224.8400000012</v>
      </c>
    </row>
    <row r="1762">
      <c r="A1762" t="n" s="0">
        <v>-82.39</v>
      </c>
      <c r="B1762" t="n" s="0">
        <f>(-5-((((-5*(-5/((-5/(((-5*(-82.39--5))-(-5+((-5*-82.39)*(((-5--5)+(-82.39--5))+-82.39))))-(-5+-5)))*-5)))/-5)--5)+(-5*(((-82.39*(-82.39-(-5/-5)))*(-82.39-(-82.39/(-5*-82.39))))-(-5/-5)))))</f>
        <v>-2810203.173795</v>
      </c>
      <c r="C1762" t="n" s="0">
        <v>-2810203.173795</v>
      </c>
    </row>
    <row r="1763">
      <c r="A1763" t="n" s="0">
        <v>-82.38</v>
      </c>
      <c r="B1763" t="n" s="0">
        <f>(-5-((((-5*(-5/((-5/(((-5*(-82.38--5))-(-5+((-5*-82.38)*(((-5--5)+(-82.38--5))+-82.38))))-(-5+-5)))*-5)))/-5)--5)+(-5*(((-82.38*(-82.38-(-5/-5)))*(-82.38-(-82.38/(-5*-82.38))))-(-5/-5)))))</f>
        <v>-2809181.75516</v>
      </c>
      <c r="C1763" t="n" s="0">
        <v>-2809181.7551599997</v>
      </c>
    </row>
    <row r="1764">
      <c r="A1764" t="n" s="0">
        <v>-82.37</v>
      </c>
      <c r="B1764" t="n" s="0">
        <f>(-5-((((-5*(-5/((-5/(((-5*(-82.37--5))-(-5+((-5*-82.37)*(((-5--5)+(-82.37--5))+-82.37))))-(-5+-5)))*-5)))/-5)--5)+(-5*(((-82.37*(-82.37-(-5/-5)))*(-82.37-(-82.37/(-5*-82.37))))-(-5/-5)))))</f>
        <v>-2808160.584065</v>
      </c>
      <c r="C1764" t="n" s="0">
        <v>-2808160.584065</v>
      </c>
    </row>
    <row r="1765">
      <c r="A1765" t="n" s="0">
        <v>-82.36</v>
      </c>
      <c r="B1765" t="n" s="0">
        <f>(-5-((((-5*(-5/((-5/(((-5*(-82.36--5))-(-5+((-5*-82.36)*(((-5--5)+(-82.36--5))+-82.36))))-(-5+-5)))*-5)))/-5)--5)+(-5*(((-82.36*(-82.36-(-5/-5)))*(-82.36-(-82.36/(-5*-82.36))))-(-5/-5)))))</f>
        <v>-2807139.66048</v>
      </c>
      <c r="C1765" t="n" s="0">
        <v>-2807139.6604799996</v>
      </c>
    </row>
    <row r="1766">
      <c r="A1766" t="n" s="0">
        <v>-82.35</v>
      </c>
      <c r="B1766" t="n" s="0">
        <f>(-5-((((-5*(-5/((-5/(((-5*(-82.35--5))-(-5+((-5*-82.35)*(((-5--5)+(-82.35--5))+-82.35))))-(-5+-5)))*-5)))/-5)--5)+(-5*(((-82.35*(-82.35-(-5/-5)))*(-82.35-(-82.35/(-5*-82.35))))-(-5/-5)))))</f>
        <v>-2806118.984375</v>
      </c>
      <c r="C1766" t="n" s="0">
        <v>-2806118.984374999</v>
      </c>
    </row>
    <row r="1767">
      <c r="A1767" t="n" s="0">
        <v>-82.34</v>
      </c>
      <c r="B1767" t="n" s="0">
        <f>(-5-((((-5*(-5/((-5/(((-5*(-82.34--5))-(-5+((-5*-82.34)*(((-5--5)+(-82.34--5))+-82.34))))-(-5+-5)))*-5)))/-5)--5)+(-5*(((-82.34*(-82.34-(-5/-5)))*(-82.34-(-82.34/(-5*-82.34))))-(-5/-5)))))</f>
        <v>-2805098.55572</v>
      </c>
      <c r="C1767" t="n" s="0">
        <v>-2805098.55572</v>
      </c>
    </row>
    <row r="1768">
      <c r="A1768" t="n" s="0">
        <v>-82.33</v>
      </c>
      <c r="B1768" t="n" s="0">
        <f>(-5-((((-5*(-5/((-5/(((-5*(-82.33--5))-(-5+((-5*-82.33)*(((-5--5)+(-82.33--5))+-82.33))))-(-5+-5)))*-5)))/-5)--5)+(-5*(((-82.33*(-82.33-(-5/-5)))*(-82.33-(-82.33/(-5*-82.33))))-(-5/-5)))))</f>
        <v>-2804078.374485</v>
      </c>
      <c r="C1768" t="n" s="0">
        <v>-2804078.374485</v>
      </c>
    </row>
    <row r="1769">
      <c r="A1769" t="n" s="0">
        <v>-82.32</v>
      </c>
      <c r="B1769" t="n" s="0">
        <f>(-5-((((-5*(-5/((-5/(((-5*(-82.32--5))-(-5+((-5*-82.32)*(((-5--5)+(-82.32--5))+-82.32))))-(-5+-5)))*-5)))/-5)--5)+(-5*(((-82.32*(-82.32-(-5/-5)))*(-82.32-(-82.32/(-5*-82.32))))-(-5/-5)))))</f>
        <v>-2803058.4406399997</v>
      </c>
      <c r="C1769" t="n" s="0">
        <v>-2803058.440639999</v>
      </c>
    </row>
    <row r="1770">
      <c r="A1770" t="n" s="0">
        <v>-82.31</v>
      </c>
      <c r="B1770" t="n" s="0">
        <f>(-5-((((-5*(-5/((-5/(((-5*(-82.31--5))-(-5+((-5*-82.31)*(((-5--5)+(-82.31--5))+-82.31))))-(-5+-5)))*-5)))/-5)--5)+(-5*(((-82.31*(-82.31-(-5/-5)))*(-82.31-(-82.31/(-5*-82.31))))-(-5/-5)))))</f>
        <v>-2802038.754155</v>
      </c>
      <c r="C1770" t="n" s="0">
        <v>-2802038.7541550007</v>
      </c>
    </row>
    <row r="1771">
      <c r="A1771" t="n" s="0">
        <v>-82.3</v>
      </c>
      <c r="B1771" t="n" s="0">
        <f>(-5-((((-5*(-5/((-5/(((-5*(-82.3--5))-(-5+((-5*-82.3)*(((-5--5)+(-82.3--5))+-82.3))))-(-5+-5)))*-5)))/-5)--5)+(-5*(((-82.3*(-82.3-(-5/-5)))*(-82.3-(-82.3/(-5*-82.3))))-(-5/-5)))))</f>
        <v>-2801019.315</v>
      </c>
      <c r="C1771" t="n" s="0">
        <v>-2801019.315</v>
      </c>
    </row>
    <row r="1772">
      <c r="A1772" t="n" s="0">
        <v>-82.29</v>
      </c>
      <c r="B1772" t="n" s="0">
        <f>(-5-((((-5*(-5/((-5/(((-5*(-82.29--5))-(-5+((-5*-82.29)*(((-5--5)+(-82.29--5))+-82.29))))-(-5+-5)))*-5)))/-5)--5)+(-5*(((-82.29*(-82.29-(-5/-5)))*(-82.29-(-82.29/(-5*-82.29))))-(-5/-5)))))</f>
        <v>-2800000.123145</v>
      </c>
      <c r="C1772" t="n" s="0">
        <v>-2800000.1231450005</v>
      </c>
    </row>
    <row r="1773">
      <c r="A1773" t="n" s="0">
        <v>-82.28</v>
      </c>
      <c r="B1773" t="n" s="0">
        <f>(-5-((((-5*(-5/((-5/(((-5*(-82.28--5))-(-5+((-5*-82.28)*(((-5--5)+(-82.28--5))+-82.28))))-(-5+-5)))*-5)))/-5)--5)+(-5*(((-82.28*(-82.28-(-5/-5)))*(-82.28-(-82.28/(-5*-82.28))))-(-5/-5)))))</f>
        <v>-2798981.17856</v>
      </c>
      <c r="C1773" t="n" s="0">
        <v>-2798981.17856</v>
      </c>
    </row>
    <row r="1774">
      <c r="A1774" t="n" s="0">
        <v>-82.27</v>
      </c>
      <c r="B1774" t="n" s="0">
        <f>(-5-((((-5*(-5/((-5/(((-5*(-82.27--5))-(-5+((-5*-82.27)*(((-5--5)+(-82.27--5))+-82.27))))-(-5+-5)))*-5)))/-5)--5)+(-5*(((-82.27*(-82.27-(-5/-5)))*(-82.27-(-82.27/(-5*-82.27))))-(-5/-5)))))</f>
        <v>-2797962.481215</v>
      </c>
      <c r="C1774" t="n" s="0">
        <v>-2797962.481215</v>
      </c>
    </row>
    <row r="1775">
      <c r="A1775" t="n" s="0">
        <v>-82.26</v>
      </c>
      <c r="B1775" t="n" s="0">
        <f>(-5-((((-5*(-5/((-5/(((-5*(-82.26--5))-(-5+((-5*-82.26)*(((-5--5)+(-82.26--5))+-82.26))))-(-5+-5)))*-5)))/-5)--5)+(-5*(((-82.26*(-82.26-(-5/-5)))*(-82.26-(-82.26/(-5*-82.26))))-(-5/-5)))))</f>
        <v>-2796944.03108</v>
      </c>
      <c r="C1775" t="n" s="0">
        <v>-2796944.0310800006</v>
      </c>
    </row>
    <row r="1776">
      <c r="A1776" t="n" s="0">
        <v>-82.25</v>
      </c>
      <c r="B1776" t="n" s="0">
        <f>(-5-((((-5*(-5/((-5/(((-5*(-82.25--5))-(-5+((-5*-82.25)*(((-5--5)+(-82.25--5))+-82.25))))-(-5+-5)))*-5)))/-5)--5)+(-5*(((-82.25*(-82.25-(-5/-5)))*(-82.25-(-82.25/(-5*-82.25))))-(-5/-5)))))</f>
        <v>-2795925.828125</v>
      </c>
      <c r="C1776" t="n" s="0">
        <v>-2795925.828125</v>
      </c>
    </row>
    <row r="1777">
      <c r="A1777" t="n" s="0">
        <v>-82.24</v>
      </c>
      <c r="B1777" t="n" s="0">
        <f>(-5-((((-5*(-5/((-5/(((-5*(-82.24--5))-(-5+((-5*-82.24)*(((-5--5)+(-82.24--5))+-82.24))))-(-5+-5)))*-5)))/-5)--5)+(-5*(((-82.24*(-82.24-(-5/-5)))*(-82.24-(-82.24/(-5*-82.24))))-(-5/-5)))))</f>
        <v>-2794907.87232</v>
      </c>
      <c r="C1777" t="n" s="0">
        <v>-2794907.8723199996</v>
      </c>
    </row>
    <row r="1778">
      <c r="A1778" t="n" s="0">
        <v>-82.23</v>
      </c>
      <c r="B1778" t="n" s="0">
        <f>(-5-((((-5*(-5/((-5/(((-5*(-82.23--5))-(-5+((-5*-82.23)*(((-5--5)+(-82.23--5))+-82.23))))-(-5+-5)))*-5)))/-5)--5)+(-5*(((-82.23*(-82.23-(-5/-5)))*(-82.23-(-82.23/(-5*-82.23))))-(-5/-5)))))</f>
        <v>-2793890.163635</v>
      </c>
      <c r="C1778" t="n" s="0">
        <v>-2793890.1636350006</v>
      </c>
    </row>
    <row r="1779">
      <c r="A1779" t="n" s="0">
        <v>-82.22</v>
      </c>
      <c r="B1779" t="n" s="0">
        <f>(-5-((((-5*(-5/((-5/(((-5*(-82.22--5))-(-5+((-5*-82.22)*(((-5--5)+(-82.22--5))+-82.22))))-(-5+-5)))*-5)))/-5)--5)+(-5*(((-82.22*(-82.22-(-5/-5)))*(-82.22-(-82.22/(-5*-82.22))))-(-5/-5)))))</f>
        <v>-2792872.70204</v>
      </c>
      <c r="C1779" t="n" s="0">
        <v>-2792872.7020400004</v>
      </c>
    </row>
    <row r="1780">
      <c r="A1780" t="n" s="0">
        <v>-82.21</v>
      </c>
      <c r="B1780" t="n" s="0">
        <f>(-5-((((-5*(-5/((-5/(((-5*(-82.21--5))-(-5+((-5*-82.21)*(((-5--5)+(-82.21--5))+-82.21))))-(-5+-5)))*-5)))/-5)--5)+(-5*(((-82.21*(-82.21-(-5/-5)))*(-82.21-(-82.21/(-5*-82.21))))-(-5/-5)))))</f>
        <v>-2791855.4875049996</v>
      </c>
      <c r="C1780" t="n" s="0">
        <v>-2791855.487504999</v>
      </c>
    </row>
    <row r="1781">
      <c r="A1781" t="n" s="0">
        <v>-82.2</v>
      </c>
      <c r="B1781" t="n" s="0">
        <f>(-5-((((-5*(-5/((-5/(((-5*(-82.2--5))-(-5+((-5*-82.2)*(((-5--5)+(-82.2--5))+-82.2))))-(-5+-5)))*-5)))/-5)--5)+(-5*(((-82.2*(-82.2-(-5/-5)))*(-82.2-(-82.2/(-5*-82.2))))-(-5/-5)))))</f>
        <v>-2790838.52</v>
      </c>
      <c r="C1781" t="n" s="0">
        <v>-2790838.5200000005</v>
      </c>
    </row>
    <row r="1782">
      <c r="A1782" t="n" s="0">
        <v>-82.19</v>
      </c>
      <c r="B1782" t="n" s="0">
        <f>(-5-((((-5*(-5/((-5/(((-5*(-82.19--5))-(-5+((-5*-82.19)*(((-5--5)+(-82.19--5))+-82.19))))-(-5+-5)))*-5)))/-5)--5)+(-5*(((-82.19*(-82.19-(-5/-5)))*(-82.19-(-82.19/(-5*-82.19))))-(-5/-5)))))</f>
        <v>-2789821.799495</v>
      </c>
      <c r="C1782" t="n" s="0">
        <v>-2789821.7994949995</v>
      </c>
    </row>
    <row r="1783">
      <c r="A1783" t="n" s="0">
        <v>-82.18</v>
      </c>
      <c r="B1783" t="n" s="0">
        <f>(-5-((((-5*(-5/((-5/(((-5*(-82.18--5))-(-5+((-5*-82.18)*(((-5--5)+(-82.18--5))+-82.18))))-(-5+-5)))*-5)))/-5)--5)+(-5*(((-82.18*(-82.18-(-5/-5)))*(-82.18-(-82.18/(-5*-82.18))))-(-5/-5)))))</f>
        <v>-2788805.32596</v>
      </c>
      <c r="C1783" t="n" s="0">
        <v>-2788805.3259600005</v>
      </c>
    </row>
    <row r="1784">
      <c r="A1784" t="n" s="0">
        <v>-82.17</v>
      </c>
      <c r="B1784" t="n" s="0">
        <f>(-5-((((-5*(-5/((-5/(((-5*(-82.17--5))-(-5+((-5*-82.17)*(((-5--5)+(-82.17--5))+-82.17))))-(-5+-5)))*-5)))/-5)--5)+(-5*(((-82.17*(-82.17-(-5/-5)))*(-82.17-(-82.17/(-5*-82.17))))-(-5/-5)))))</f>
        <v>-2787789.0993649997</v>
      </c>
      <c r="C1784" t="n" s="0">
        <v>-2787789.0993649997</v>
      </c>
    </row>
    <row r="1785">
      <c r="A1785" t="n" s="0">
        <v>-82.16</v>
      </c>
      <c r="B1785" t="n" s="0">
        <f>(-5-((((-5*(-5/((-5/(((-5*(-82.16--5))-(-5+((-5*-82.16)*(((-5--5)+(-82.16--5))+-82.16))))-(-5+-5)))*-5)))/-5)--5)+(-5*(((-82.16*(-82.16-(-5/-5)))*(-82.16-(-82.16/(-5*-82.16))))-(-5/-5)))))</f>
        <v>-2786773.11968</v>
      </c>
      <c r="C1785" t="n" s="0">
        <v>-2786773.11968</v>
      </c>
    </row>
    <row r="1786">
      <c r="A1786" t="n" s="0">
        <v>-82.15</v>
      </c>
      <c r="B1786" t="n" s="0">
        <f>(-5-((((-5*(-5/((-5/(((-5*(-82.15--5))-(-5+((-5*-82.15)*(((-5--5)+(-82.15--5))+-82.15))))-(-5+-5)))*-5)))/-5)--5)+(-5*(((-82.15*(-82.15-(-5/-5)))*(-82.15-(-82.15/(-5*-82.15))))-(-5/-5)))))</f>
        <v>-2785757.386875</v>
      </c>
      <c r="C1786" t="n" s="0">
        <v>-2785757.3868750012</v>
      </c>
    </row>
    <row r="1787">
      <c r="A1787" t="n" s="0">
        <v>-82.14</v>
      </c>
      <c r="B1787" t="n" s="0">
        <f>(-5-((((-5*(-5/((-5/(((-5*(-82.14--5))-(-5+((-5*-82.14)*(((-5--5)+(-82.14--5))+-82.14))))-(-5+-5)))*-5)))/-5)--5)+(-5*(((-82.14*(-82.14-(-5/-5)))*(-82.14-(-82.14/(-5*-82.14))))-(-5/-5)))))</f>
        <v>-2784741.90092</v>
      </c>
      <c r="C1787" t="n" s="0">
        <v>-2784741.90092</v>
      </c>
    </row>
    <row r="1788">
      <c r="A1788" t="n" s="0">
        <v>-82.13</v>
      </c>
      <c r="B1788" t="n" s="0">
        <f>(-5-((((-5*(-5/((-5/(((-5*(-82.13--5))-(-5+((-5*-82.13)*(((-5--5)+(-82.13--5))+-82.13))))-(-5+-5)))*-5)))/-5)--5)+(-5*(((-82.13*(-82.13-(-5/-5)))*(-82.13-(-82.13/(-5*-82.13))))-(-5/-5)))))</f>
        <v>-2783726.661785</v>
      </c>
      <c r="C1788" t="n" s="0">
        <v>-2783726.6617849995</v>
      </c>
    </row>
    <row r="1789">
      <c r="A1789" t="n" s="0">
        <v>-82.12</v>
      </c>
      <c r="B1789" t="n" s="0">
        <f>(-5-((((-5*(-5/((-5/(((-5*(-82.12--5))-(-5+((-5*-82.12)*(((-5--5)+(-82.12--5))+-82.12))))-(-5+-5)))*-5)))/-5)--5)+(-5*(((-82.12*(-82.12-(-5/-5)))*(-82.12-(-82.12/(-5*-82.12))))-(-5/-5)))))</f>
        <v>-2782711.6694400003</v>
      </c>
      <c r="C1789" t="n" s="0">
        <v>-2782711.66944</v>
      </c>
    </row>
    <row r="1790">
      <c r="A1790" t="n" s="0">
        <v>-82.11</v>
      </c>
      <c r="B1790" t="n" s="0">
        <f>(-5-((((-5*(-5/((-5/(((-5*(-82.11--5))-(-5+((-5*-82.11)*(((-5--5)+(-82.11--5))+-82.11))))-(-5+-5)))*-5)))/-5)--5)+(-5*(((-82.11*(-82.11-(-5/-5)))*(-82.11-(-82.11/(-5*-82.11))))-(-5/-5)))))</f>
        <v>-2781696.923855</v>
      </c>
      <c r="C1790" t="n" s="0">
        <v>-2781696.923855</v>
      </c>
    </row>
    <row r="1791">
      <c r="A1791" t="n" s="0">
        <v>-82.1</v>
      </c>
      <c r="B1791" t="n" s="0">
        <f>(-5-((((-5*(-5/((-5/(((-5*(-82.1--5))-(-5+((-5*-82.1)*(((-5--5)+(-82.1--5))+-82.1))))-(-5+-5)))*-5)))/-5)--5)+(-5*(((-82.1*(-82.1-(-5/-5)))*(-82.1-(-82.1/(-5*-82.1))))-(-5/-5)))))</f>
        <v>-2780682.4250000003</v>
      </c>
      <c r="C1791" t="n" s="0">
        <v>-2780682.424999999</v>
      </c>
    </row>
    <row r="1792">
      <c r="A1792" t="n" s="0">
        <v>-82.09</v>
      </c>
      <c r="B1792" t="n" s="0">
        <f>(-5-((((-5*(-5/((-5/(((-5*(-82.09--5))-(-5+((-5*-82.09)*(((-5--5)+(-82.09--5))+-82.09))))-(-5+-5)))*-5)))/-5)--5)+(-5*(((-82.09*(-82.09-(-5/-5)))*(-82.09-(-82.09/(-5*-82.09))))-(-5/-5)))))</f>
        <v>-2779668.172845</v>
      </c>
      <c r="C1792" t="n" s="0">
        <v>-2779668.1728450004</v>
      </c>
    </row>
    <row r="1793">
      <c r="A1793" t="n" s="0">
        <v>-82.08</v>
      </c>
      <c r="B1793" t="n" s="0">
        <f>(-5-((((-5*(-5/((-5/(((-5*(-82.08--5))-(-5+((-5*-82.08)*(((-5--5)+(-82.08--5))+-82.08))))-(-5+-5)))*-5)))/-5)--5)+(-5*(((-82.08*(-82.08-(-5/-5)))*(-82.08-(-82.08/(-5*-82.08))))-(-5/-5)))))</f>
        <v>-2778654.16736</v>
      </c>
      <c r="C1793" t="n" s="0">
        <v>-2778654.1673600003</v>
      </c>
    </row>
    <row r="1794">
      <c r="A1794" t="n" s="0">
        <v>-82.07</v>
      </c>
      <c r="B1794" t="n" s="0">
        <f>(-5-((((-5*(-5/((-5/(((-5*(-82.07--5))-(-5+((-5*-82.07)*(((-5--5)+(-82.07--5))+-82.07))))-(-5+-5)))*-5)))/-5)--5)+(-5*(((-82.07*(-82.07-(-5/-5)))*(-82.07-(-82.07/(-5*-82.07))))-(-5/-5)))))</f>
        <v>-2777640.4085150003</v>
      </c>
      <c r="C1794" t="n" s="0">
        <v>-2777640.4085149993</v>
      </c>
    </row>
    <row r="1795">
      <c r="A1795" t="n" s="0">
        <v>-82.06</v>
      </c>
      <c r="B1795" t="n" s="0">
        <f>(-5-((((-5*(-5/((-5/(((-5*(-82.06--5))-(-5+((-5*-82.06)*(((-5--5)+(-82.06--5))+-82.06))))-(-5+-5)))*-5)))/-5)--5)+(-5*(((-82.06*(-82.06-(-5/-5)))*(-82.06-(-82.06/(-5*-82.06))))-(-5/-5)))))</f>
        <v>-2776626.89628</v>
      </c>
      <c r="C1795" t="n" s="0">
        <v>-2776626.89628</v>
      </c>
    </row>
    <row r="1796">
      <c r="A1796" t="n" s="0">
        <v>-82.05</v>
      </c>
      <c r="B1796" t="n" s="0">
        <f>(-5-((((-5*(-5/((-5/(((-5*(-82.05--5))-(-5+((-5*-82.05)*(((-5--5)+(-82.05--5))+-82.05))))-(-5+-5)))*-5)))/-5)--5)+(-5*(((-82.05*(-82.05-(-5/-5)))*(-82.05-(-82.05/(-5*-82.05))))-(-5/-5)))))</f>
        <v>-2775613.6306249998</v>
      </c>
      <c r="C1796" t="n" s="0">
        <v>-2775613.6306249998</v>
      </c>
    </row>
    <row r="1797">
      <c r="A1797" t="n" s="0">
        <v>-82.04</v>
      </c>
      <c r="B1797" t="n" s="0">
        <f>(-5-((((-5*(-5/((-5/(((-5*(-82.04--5))-(-5+((-5*-82.04)*(((-5--5)+(-82.04--5))+-82.04))))-(-5+-5)))*-5)))/-5)--5)+(-5*(((-82.04*(-82.04-(-5/-5)))*(-82.04-(-82.04/(-5*-82.04))))-(-5/-5)))))</f>
        <v>-2774600.61152</v>
      </c>
      <c r="C1797" t="n" s="0">
        <v>-2774600.6115200003</v>
      </c>
    </row>
    <row r="1798">
      <c r="A1798" t="n" s="0">
        <v>-82.03</v>
      </c>
      <c r="B1798" t="n" s="0">
        <f>(-5-((((-5*(-5/((-5/(((-5*(-82.03--5))-(-5+((-5*-82.03)*(((-5--5)+(-82.03--5))+-82.03))))-(-5+-5)))*-5)))/-5)--5)+(-5*(((-82.03*(-82.03-(-5/-5)))*(-82.03-(-82.03/(-5*-82.03))))-(-5/-5)))))</f>
        <v>-2773587.838935</v>
      </c>
      <c r="C1798" t="n" s="0">
        <v>-2773587.8389350004</v>
      </c>
    </row>
    <row r="1799">
      <c r="A1799" t="n" s="0">
        <v>-82.02</v>
      </c>
      <c r="B1799" t="n" s="0">
        <f>(-5-((((-5*(-5/((-5/(((-5*(-82.02--5))-(-5+((-5*-82.02)*(((-5--5)+(-82.02--5))+-82.02))))-(-5+-5)))*-5)))/-5)--5)+(-5*(((-82.02*(-82.02-(-5/-5)))*(-82.02-(-82.02/(-5*-82.02))))-(-5/-5)))))</f>
        <v>-2772575.31284</v>
      </c>
      <c r="C1799" t="n" s="0">
        <v>-2772575.31284</v>
      </c>
    </row>
    <row r="1800">
      <c r="A1800" t="n" s="0">
        <v>-82.01</v>
      </c>
      <c r="B1800" t="n" s="0">
        <f>(-5-((((-5*(-5/((-5/(((-5*(-82.01--5))-(-5+((-5*-82.01)*(((-5--5)+(-82.01--5))+-82.01))))-(-5+-5)))*-5)))/-5)--5)+(-5*(((-82.01*(-82.01-(-5/-5)))*(-82.01-(-82.01/(-5*-82.01))))-(-5/-5)))))</f>
        <v>-2771563.033205</v>
      </c>
      <c r="C1800" t="n" s="0">
        <v>-2771563.033205</v>
      </c>
    </row>
    <row r="1801">
      <c r="A1801" t="n" s="0">
        <v>-82.0</v>
      </c>
      <c r="B1801" t="n" s="0">
        <f>(-5-((((-5*(-5/((-5/(((-5*(-82--5))-(-5+((-5*-82)*(((-5--5)+(-82--5))+-82))))-(-5+-5)))*-5)))/-5)--5)+(-5*(((-82*(-82-(-5/-5)))*(-82-(-82/(-5*-82))))-(-5/-5)))))</f>
        <v>-2770551.0</v>
      </c>
      <c r="C1801" t="n" s="0">
        <v>-2770551.0</v>
      </c>
    </row>
    <row r="1802">
      <c r="A1802" t="n" s="0">
        <v>-81.99</v>
      </c>
      <c r="B1802" t="n" s="0">
        <f>(-5-((((-5*(-5/((-5/(((-5*(-81.99--5))-(-5+((-5*-81.99)*(((-5--5)+(-81.99--5))+-81.99))))-(-5+-5)))*-5)))/-5)--5)+(-5*(((-81.99*(-81.99-(-5/-5)))*(-81.99-(-81.99/(-5*-81.99))))-(-5/-5)))))</f>
        <v>-2769539.2131950003</v>
      </c>
      <c r="C1802" t="n" s="0">
        <v>-2769539.213195</v>
      </c>
    </row>
    <row r="1803">
      <c r="A1803" t="n" s="0">
        <v>-81.98</v>
      </c>
      <c r="B1803" t="n" s="0">
        <f>(-5-((((-5*(-5/((-5/(((-5*(-81.98--5))-(-5+((-5*-81.98)*(((-5--5)+(-81.98--5))+-81.98))))-(-5+-5)))*-5)))/-5)--5)+(-5*(((-81.98*(-81.98-(-5/-5)))*(-81.98-(-81.98/(-5*-81.98))))-(-5/-5)))))</f>
        <v>-2768527.67276</v>
      </c>
      <c r="C1803" t="n" s="0">
        <v>-2768527.6727600005</v>
      </c>
    </row>
    <row r="1804">
      <c r="A1804" t="n" s="0">
        <v>-81.97</v>
      </c>
      <c r="B1804" t="n" s="0">
        <f>(-5-((((-5*(-5/((-5/(((-5*(-81.97--5))-(-5+((-5*-81.97)*(((-5--5)+(-81.97--5))+-81.97))))-(-5+-5)))*-5)))/-5)--5)+(-5*(((-81.97*(-81.97-(-5/-5)))*(-81.97-(-81.97/(-5*-81.97))))-(-5/-5)))))</f>
        <v>-2767516.378665</v>
      </c>
      <c r="C1804" t="n" s="0">
        <v>-2767516.378665</v>
      </c>
    </row>
    <row r="1805">
      <c r="A1805" t="n" s="0">
        <v>-81.96</v>
      </c>
      <c r="B1805" t="n" s="0">
        <f>(-5-((((-5*(-5/((-5/(((-5*(-81.96--5))-(-5+((-5*-81.96)*(((-5--5)+(-81.96--5))+-81.96))))-(-5+-5)))*-5)))/-5)--5)+(-5*(((-81.96*(-81.96-(-5/-5)))*(-81.96-(-81.96/(-5*-81.96))))-(-5/-5)))))</f>
        <v>-2766505.33088</v>
      </c>
      <c r="C1805" t="n" s="0">
        <v>-2766505.3308799993</v>
      </c>
    </row>
    <row r="1806">
      <c r="A1806" t="n" s="0">
        <v>-81.95</v>
      </c>
      <c r="B1806" t="n" s="0">
        <f>(-5-((((-5*(-5/((-5/(((-5*(-81.95--5))-(-5+((-5*-81.95)*(((-5--5)+(-81.95--5))+-81.95))))-(-5+-5)))*-5)))/-5)--5)+(-5*(((-81.95*(-81.95-(-5/-5)))*(-81.95-(-81.95/(-5*-81.95))))-(-5/-5)))))</f>
        <v>-2765494.529375</v>
      </c>
      <c r="C1806" t="n" s="0">
        <v>-2765494.529375001</v>
      </c>
    </row>
    <row r="1807">
      <c r="A1807" t="n" s="0">
        <v>-81.94</v>
      </c>
      <c r="B1807" t="n" s="0">
        <f>(-5-((((-5*(-5/((-5/(((-5*(-81.94--5))-(-5+((-5*-81.94)*(((-5--5)+(-81.94--5))+-81.94))))-(-5+-5)))*-5)))/-5)--5)+(-5*(((-81.94*(-81.94-(-5/-5)))*(-81.94-(-81.94/(-5*-81.94))))-(-5/-5)))))</f>
        <v>-2764483.97412</v>
      </c>
      <c r="C1807" t="n" s="0">
        <v>-2764483.97412</v>
      </c>
    </row>
    <row r="1808">
      <c r="A1808" t="n" s="0">
        <v>-81.93</v>
      </c>
      <c r="B1808" t="n" s="0">
        <f>(-5-((((-5*(-5/((-5/(((-5*(-81.93--5))-(-5+((-5*-81.93)*(((-5--5)+(-81.93--5))+-81.93))))-(-5+-5)))*-5)))/-5)--5)+(-5*(((-81.93*(-81.93-(-5/-5)))*(-81.93-(-81.93/(-5*-81.93))))-(-5/-5)))))</f>
        <v>-2763473.665085</v>
      </c>
      <c r="C1808" t="n" s="0">
        <v>-2763473.665085001</v>
      </c>
    </row>
    <row r="1809">
      <c r="A1809" t="n" s="0">
        <v>-81.92</v>
      </c>
      <c r="B1809" t="n" s="0">
        <f>(-5-((((-5*(-5/((-5/(((-5*(-81.92--5))-(-5+((-5*-81.92)*(((-5--5)+(-81.92--5))+-81.92))))-(-5+-5)))*-5)))/-5)--5)+(-5*(((-81.92*(-81.92-(-5/-5)))*(-81.92-(-81.92/(-5*-81.92))))-(-5/-5)))))</f>
        <v>-2762463.60224</v>
      </c>
      <c r="C1809" t="n" s="0">
        <v>-2762463.6022400004</v>
      </c>
    </row>
    <row r="1810">
      <c r="A1810" t="n" s="0">
        <v>-81.91</v>
      </c>
      <c r="B1810" t="n" s="0">
        <f>(-5-((((-5*(-5/((-5/(((-5*(-81.91--5))-(-5+((-5*-81.91)*(((-5--5)+(-81.91--5))+-81.91))))-(-5+-5)))*-5)))/-5)--5)+(-5*(((-81.91*(-81.91-(-5/-5)))*(-81.91-(-81.91/(-5*-81.91))))-(-5/-5)))))</f>
        <v>-2761453.7855550004</v>
      </c>
      <c r="C1810" t="n" s="0">
        <v>-2761453.7855549995</v>
      </c>
    </row>
    <row r="1811">
      <c r="A1811" t="n" s="0">
        <v>-81.9</v>
      </c>
      <c r="B1811" t="n" s="0">
        <f>(-5-((((-5*(-5/((-5/(((-5*(-81.9--5))-(-5+((-5*-81.9)*(((-5--5)+(-81.9--5))+-81.9))))-(-5+-5)))*-5)))/-5)--5)+(-5*(((-81.9*(-81.9-(-5/-5)))*(-81.9-(-81.9/(-5*-81.9))))-(-5/-5)))))</f>
        <v>-2760444.215</v>
      </c>
      <c r="C1811" t="n" s="0">
        <v>-2760444.215000001</v>
      </c>
    </row>
    <row r="1812">
      <c r="A1812" t="n" s="0">
        <v>-81.89</v>
      </c>
      <c r="B1812" t="n" s="0">
        <f>(-5-((((-5*(-5/((-5/(((-5*(-81.89--5))-(-5+((-5*-81.89)*(((-5--5)+(-81.89--5))+-81.89))))-(-5+-5)))*-5)))/-5)--5)+(-5*(((-81.89*(-81.89-(-5/-5)))*(-81.89-(-81.89/(-5*-81.89))))-(-5/-5)))))</f>
        <v>-2759434.890545</v>
      </c>
      <c r="C1812" t="n" s="0">
        <v>-2759434.890545</v>
      </c>
    </row>
    <row r="1813">
      <c r="A1813" t="n" s="0">
        <v>-81.88</v>
      </c>
      <c r="B1813" t="n" s="0">
        <f>(-5-((((-5*(-5/((-5/(((-5*(-81.88--5))-(-5+((-5*-81.88)*(((-5--5)+(-81.88--5))+-81.88))))-(-5+-5)))*-5)))/-5)--5)+(-5*(((-81.88*(-81.88-(-5/-5)))*(-81.88-(-81.88/(-5*-81.88))))-(-5/-5)))))</f>
        <v>-2758425.8121599997</v>
      </c>
      <c r="C1813" t="n" s="0">
        <v>-2758425.8121599997</v>
      </c>
    </row>
    <row r="1814">
      <c r="A1814" t="n" s="0">
        <v>-81.87</v>
      </c>
      <c r="B1814" t="n" s="0">
        <f>(-5-((((-5*(-5/((-5/(((-5*(-81.87--5))-(-5+((-5*-81.87)*(((-5--5)+(-81.87--5))+-81.87))))-(-5+-5)))*-5)))/-5)--5)+(-5*(((-81.87*(-81.87-(-5/-5)))*(-81.87-(-81.87/(-5*-81.87))))-(-5/-5)))))</f>
        <v>-2757416.9798149997</v>
      </c>
      <c r="C1814" t="n" s="0">
        <v>-2757416.9798150007</v>
      </c>
    </row>
    <row r="1815">
      <c r="A1815" t="n" s="0">
        <v>-81.86</v>
      </c>
      <c r="B1815" t="n" s="0">
        <f>(-5-((((-5*(-5/((-5/(((-5*(-81.86--5))-(-5+((-5*-81.86)*(((-5--5)+(-81.86--5))+-81.86))))-(-5+-5)))*-5)))/-5)--5)+(-5*(((-81.86*(-81.86-(-5/-5)))*(-81.86-(-81.86/(-5*-81.86))))-(-5/-5)))))</f>
        <v>-2756408.39348</v>
      </c>
      <c r="C1815" t="n" s="0">
        <v>-2756408.39348</v>
      </c>
    </row>
    <row r="1816">
      <c r="A1816" t="n" s="0">
        <v>-81.85</v>
      </c>
      <c r="B1816" t="n" s="0">
        <f>(-5-((((-5*(-5/((-5/(((-5*(-81.85--5))-(-5+((-5*-81.85)*(((-5--5)+(-81.85--5))+-81.85))))-(-5+-5)))*-5)))/-5)--5)+(-5*(((-81.85*(-81.85-(-5/-5)))*(-81.85-(-81.85/(-5*-81.85))))-(-5/-5)))))</f>
        <v>-2755400.053125</v>
      </c>
      <c r="C1816" t="n" s="0">
        <v>-2755400.0531249996</v>
      </c>
    </row>
    <row r="1817">
      <c r="A1817" t="n" s="0">
        <v>-81.84</v>
      </c>
      <c r="B1817" t="n" s="0">
        <f>(-5-((((-5*(-5/((-5/(((-5*(-81.84--5))-(-5+((-5*-81.84)*(((-5--5)+(-81.84--5))+-81.84))))-(-5+-5)))*-5)))/-5)--5)+(-5*(((-81.84*(-81.84-(-5/-5)))*(-81.84-(-81.84/(-5*-81.84))))-(-5/-5)))))</f>
        <v>-2754391.95872</v>
      </c>
      <c r="C1817" t="n" s="0">
        <v>-2754391.9587200005</v>
      </c>
    </row>
    <row r="1818">
      <c r="A1818" t="n" s="0">
        <v>-81.83</v>
      </c>
      <c r="B1818" t="n" s="0">
        <f>(-5-((((-5*(-5/((-5/(((-5*(-81.83--5))-(-5+((-5*-81.83)*(((-5--5)+(-81.83--5))+-81.83))))-(-5+-5)))*-5)))/-5)--5)+(-5*(((-81.83*(-81.83-(-5/-5)))*(-81.83-(-81.83/(-5*-81.83))))-(-5/-5)))))</f>
        <v>-2753384.110235</v>
      </c>
      <c r="C1818" t="n" s="0">
        <v>-2753384.1102349996</v>
      </c>
    </row>
    <row r="1819">
      <c r="A1819" t="n" s="0">
        <v>-81.82</v>
      </c>
      <c r="B1819" t="n" s="0">
        <f>(-5-((((-5*(-5/((-5/(((-5*(-81.82--5))-(-5+((-5*-81.82)*(((-5--5)+(-81.82--5))+-81.82))))-(-5+-5)))*-5)))/-5)--5)+(-5*(((-81.82*(-81.82-(-5/-5)))*(-81.82-(-81.82/(-5*-81.82))))-(-5/-5)))))</f>
        <v>-2752376.50764</v>
      </c>
      <c r="C1819" t="n" s="0">
        <v>-2752376.507639999</v>
      </c>
    </row>
    <row r="1820">
      <c r="A1820" t="n" s="0">
        <v>-81.81</v>
      </c>
      <c r="B1820" t="n" s="0">
        <f>(-5-((((-5*(-5/((-5/(((-5*(-81.81--5))-(-5+((-5*-81.81)*(((-5--5)+(-81.81--5))+-81.81))))-(-5+-5)))*-5)))/-5)--5)+(-5*(((-81.81*(-81.81-(-5/-5)))*(-81.81-(-81.81/(-5*-81.81))))-(-5/-5)))))</f>
        <v>-2751369.1509049996</v>
      </c>
      <c r="C1820" t="n" s="0">
        <v>-2751369.1509050005</v>
      </c>
    </row>
    <row r="1821">
      <c r="A1821" t="n" s="0">
        <v>-81.8</v>
      </c>
      <c r="B1821" t="n" s="0">
        <f>(-5-((((-5*(-5/((-5/(((-5*(-81.8--5))-(-5+((-5*-81.8)*(((-5--5)+(-81.8--5))+-81.8))))-(-5+-5)))*-5)))/-5)--5)+(-5*(((-81.8*(-81.8-(-5/-5)))*(-81.8-(-81.8/(-5*-81.8))))-(-5/-5)))))</f>
        <v>-2750362.04</v>
      </c>
      <c r="C1821" t="n" s="0">
        <v>-2750362.0399999996</v>
      </c>
    </row>
    <row r="1822">
      <c r="A1822" t="n" s="0">
        <v>-81.79</v>
      </c>
      <c r="B1822" t="n" s="0">
        <f>(-5-((((-5*(-5/((-5/(((-5*(-81.79--5))-(-5+((-5*-81.79)*(((-5--5)+(-81.79--5))+-81.79))))-(-5+-5)))*-5)))/-5)--5)+(-5*(((-81.79*(-81.79-(-5/-5)))*(-81.79-(-81.79/(-5*-81.79))))-(-5/-5)))))</f>
        <v>-2749355.1748949997</v>
      </c>
      <c r="C1822" t="n" s="0">
        <v>-2749355.174895001</v>
      </c>
    </row>
    <row r="1823">
      <c r="A1823" t="n" s="0">
        <v>-81.78</v>
      </c>
      <c r="B1823" t="n" s="0">
        <f>(-5-((((-5*(-5/((-5/(((-5*(-81.78--5))-(-5+((-5*-81.78)*(((-5--5)+(-81.78--5))+-81.78))))-(-5+-5)))*-5)))/-5)--5)+(-5*(((-81.78*(-81.78-(-5/-5)))*(-81.78-(-81.78/(-5*-81.78))))-(-5/-5)))))</f>
        <v>-2748348.55556</v>
      </c>
      <c r="C1823" t="n" s="0">
        <v>-2748348.55556</v>
      </c>
    </row>
    <row r="1824">
      <c r="A1824" t="n" s="0">
        <v>-81.77</v>
      </c>
      <c r="B1824" t="n" s="0">
        <f>(-5-((((-5*(-5/((-5/(((-5*(-81.77--5))-(-5+((-5*-81.77)*(((-5--5)+(-81.77--5))+-81.77))))-(-5+-5)))*-5)))/-5)--5)+(-5*(((-81.77*(-81.77-(-5/-5)))*(-81.77-(-81.77/(-5*-81.77))))-(-5/-5)))))</f>
        <v>-2747342.181965</v>
      </c>
      <c r="C1824" t="n" s="0">
        <v>-2747342.1819649995</v>
      </c>
    </row>
    <row r="1825">
      <c r="A1825" t="n" s="0">
        <v>-81.76</v>
      </c>
      <c r="B1825" t="n" s="0">
        <f>(-5-((((-5*(-5/((-5/(((-5*(-81.76--5))-(-5+((-5*-81.76)*(((-5--5)+(-81.76--5))+-81.76))))-(-5+-5)))*-5)))/-5)--5)+(-5*(((-81.76*(-81.76-(-5/-5)))*(-81.76-(-81.76/(-5*-81.76))))-(-5/-5)))))</f>
        <v>-2746336.0540799997</v>
      </c>
      <c r="C1825" t="n" s="0">
        <v>-2746336.0540800006</v>
      </c>
    </row>
    <row r="1826">
      <c r="A1826" t="n" s="0">
        <v>-81.75</v>
      </c>
      <c r="B1826" t="n" s="0">
        <f>(-5-((((-5*(-5/((-5/(((-5*(-81.75--5))-(-5+((-5*-81.75)*(((-5--5)+(-81.75--5))+-81.75))))-(-5+-5)))*-5)))/-5)--5)+(-5*(((-81.75*(-81.75-(-5/-5)))*(-81.75-(-81.75/(-5*-81.75))))-(-5/-5)))))</f>
        <v>-2745330.171875</v>
      </c>
      <c r="C1826" t="n" s="0">
        <v>-2745330.171875</v>
      </c>
    </row>
    <row r="1827">
      <c r="A1827" t="n" s="0">
        <v>-81.74</v>
      </c>
      <c r="B1827" t="n" s="0">
        <f>(-5-((((-5*(-5/((-5/(((-5*(-81.74--5))-(-5+((-5*-81.74)*(((-5--5)+(-81.74--5))+-81.74))))-(-5+-5)))*-5)))/-5)--5)+(-5*(((-81.74*(-81.74-(-5/-5)))*(-81.74-(-81.74/(-5*-81.74))))-(-5/-5)))))</f>
        <v>-2744324.53532</v>
      </c>
      <c r="C1827" t="n" s="0">
        <v>-2744324.5353200003</v>
      </c>
    </row>
    <row r="1828">
      <c r="A1828" t="n" s="0">
        <v>-81.73</v>
      </c>
      <c r="B1828" t="n" s="0">
        <f>(-5-((((-5*(-5/((-5/(((-5*(-81.73--5))-(-5+((-5*-81.73)*(((-5--5)+(-81.73--5))+-81.73))))-(-5+-5)))*-5)))/-5)--5)+(-5*(((-81.73*(-81.73-(-5/-5)))*(-81.73-(-81.73/(-5*-81.73))))-(-5/-5)))))</f>
        <v>-2743319.1443849998</v>
      </c>
      <c r="C1828" t="n" s="0">
        <v>-2743319.1443850007</v>
      </c>
    </row>
    <row r="1829">
      <c r="A1829" t="n" s="0">
        <v>-81.72</v>
      </c>
      <c r="B1829" t="n" s="0">
        <f>(-5-((((-5*(-5/((-5/(((-5*(-81.72--5))-(-5+((-5*-81.72)*(((-5--5)+(-81.72--5))+-81.72))))-(-5+-5)))*-5)))/-5)--5)+(-5*(((-81.72*(-81.72-(-5/-5)))*(-81.72-(-81.72/(-5*-81.72))))-(-5/-5)))))</f>
        <v>-2742313.99904</v>
      </c>
      <c r="C1829" t="n" s="0">
        <v>-2742313.99904</v>
      </c>
    </row>
    <row r="1830">
      <c r="A1830" t="n" s="0">
        <v>-81.71</v>
      </c>
      <c r="B1830" t="n" s="0">
        <f>(-5-((((-5*(-5/((-5/(((-5*(-81.71--5))-(-5+((-5*-81.71)*(((-5--5)+(-81.71--5))+-81.71))))-(-5+-5)))*-5)))/-5)--5)+(-5*(((-81.71*(-81.71-(-5/-5)))*(-81.71-(-81.71/(-5*-81.71))))-(-5/-5)))))</f>
        <v>-2741309.099255</v>
      </c>
      <c r="C1830" t="n" s="0">
        <v>-2741309.0992549993</v>
      </c>
    </row>
    <row r="1831">
      <c r="A1831" t="n" s="0">
        <v>-81.7</v>
      </c>
      <c r="B1831" t="n" s="0">
        <f>(-5-((((-5*(-5/((-5/(((-5*(-81.7--5))-(-5+((-5*-81.7)*(((-5--5)+(-81.7--5))+-81.7))))-(-5+-5)))*-5)))/-5)--5)+(-5*(((-81.7*(-81.7-(-5/-5)))*(-81.7-(-81.7/(-5*-81.7))))-(-5/-5)))))</f>
        <v>-2740304.445</v>
      </c>
      <c r="C1831" t="n" s="0">
        <v>-2740304.4450000003</v>
      </c>
    </row>
    <row r="1832">
      <c r="A1832" t="n" s="0">
        <v>-81.69</v>
      </c>
      <c r="B1832" t="n" s="0">
        <f>(-5-((((-5*(-5/((-5/(((-5*(-81.69--5))-(-5+((-5*-81.69)*(((-5--5)+(-81.69--5))+-81.69))))-(-5+-5)))*-5)))/-5)--5)+(-5*(((-81.69*(-81.69-(-5/-5)))*(-81.69-(-81.69/(-5*-81.69))))-(-5/-5)))))</f>
        <v>-2739300.036245</v>
      </c>
      <c r="C1832" t="n" s="0">
        <v>-2739300.0362449996</v>
      </c>
    </row>
    <row r="1833">
      <c r="A1833" t="n" s="0">
        <v>-81.68</v>
      </c>
      <c r="B1833" t="n" s="0">
        <f>(-5-((((-5*(-5/((-5/(((-5*(-81.68--5))-(-5+((-5*-81.68)*(((-5--5)+(-81.68--5))+-81.68))))-(-5+-5)))*-5)))/-5)--5)+(-5*(((-81.68*(-81.68-(-5/-5)))*(-81.68-(-81.68/(-5*-81.68))))-(-5/-5)))))</f>
        <v>-2738295.8729600003</v>
      </c>
      <c r="C1833" t="n" s="0">
        <v>-2738295.8729600008</v>
      </c>
    </row>
    <row r="1834">
      <c r="A1834" t="n" s="0">
        <v>-81.67</v>
      </c>
      <c r="B1834" t="n" s="0">
        <f>(-5-((((-5*(-5/((-5/(((-5*(-81.67--5))-(-5+((-5*-81.67)*(((-5--5)+(-81.67--5))+-81.67))))-(-5+-5)))*-5)))/-5)--5)+(-5*(((-81.67*(-81.67-(-5/-5)))*(-81.67-(-81.67/(-5*-81.67))))-(-5/-5)))))</f>
        <v>-2737291.9551150003</v>
      </c>
      <c r="C1834" t="n" s="0">
        <v>-2737291.9551150003</v>
      </c>
    </row>
    <row r="1835">
      <c r="A1835" t="n" s="0">
        <v>-81.66</v>
      </c>
      <c r="B1835" t="n" s="0">
        <f>(-5-((((-5*(-5/((-5/(((-5*(-81.66--5))-(-5+((-5*-81.66)*(((-5--5)+(-81.66--5))+-81.66))))-(-5+-5)))*-5)))/-5)--5)+(-5*(((-81.66*(-81.66-(-5/-5)))*(-81.66-(-81.66/(-5*-81.66))))-(-5/-5)))))</f>
        <v>-2736288.2826799997</v>
      </c>
      <c r="C1835" t="n" s="0">
        <v>-2736288.2826799997</v>
      </c>
    </row>
    <row r="1836">
      <c r="A1836" t="n" s="0">
        <v>-81.65</v>
      </c>
      <c r="B1836" t="n" s="0">
        <f>(-5-((((-5*(-5/((-5/(((-5*(-81.65--5))-(-5+((-5*-81.65)*(((-5--5)+(-81.65--5))+-81.65))))-(-5+-5)))*-5)))/-5)--5)+(-5*(((-81.65*(-81.65-(-5/-5)))*(-81.65-(-81.65/(-5*-81.65))))-(-5/-5)))))</f>
        <v>-2735284.855625</v>
      </c>
      <c r="C1836" t="n" s="0">
        <v>-2735284.855625001</v>
      </c>
    </row>
    <row r="1837">
      <c r="A1837" t="n" s="0">
        <v>-81.64</v>
      </c>
      <c r="B1837" t="n" s="0">
        <f>(-5-((((-5*(-5/((-5/(((-5*(-81.64--5))-(-5+((-5*-81.64)*(((-5--5)+(-81.64--5))+-81.64))))-(-5+-5)))*-5)))/-5)--5)+(-5*(((-81.64*(-81.64-(-5/-5)))*(-81.64-(-81.64/(-5*-81.64))))-(-5/-5)))))</f>
        <v>-2734281.67392</v>
      </c>
      <c r="C1837" t="n" s="0">
        <v>-2734281.67392</v>
      </c>
    </row>
    <row r="1838">
      <c r="A1838" t="n" s="0">
        <v>-81.63</v>
      </c>
      <c r="B1838" t="n" s="0">
        <f>(-5-((((-5*(-5/((-5/(((-5*(-81.63--5))-(-5+((-5*-81.63)*(((-5--5)+(-81.63--5))+-81.63))))-(-5+-5)))*-5)))/-5)--5)+(-5*(((-81.63*(-81.63-(-5/-5)))*(-81.63-(-81.63/(-5*-81.63))))-(-5/-5)))))</f>
        <v>-2733278.737535</v>
      </c>
      <c r="C1838" t="n" s="0">
        <v>-2733278.737535</v>
      </c>
    </row>
    <row r="1839">
      <c r="A1839" t="n" s="0">
        <v>-81.62</v>
      </c>
      <c r="B1839" t="n" s="0">
        <f>(-5-((((-5*(-5/((-5/(((-5*(-81.62--5))-(-5+((-5*-81.62)*(((-5--5)+(-81.62--5))+-81.62))))-(-5+-5)))*-5)))/-5)--5)+(-5*(((-81.62*(-81.62-(-5/-5)))*(-81.62-(-81.62/(-5*-81.62))))-(-5/-5)))))</f>
        <v>-2732276.0464399997</v>
      </c>
      <c r="C1839" t="n" s="0">
        <v>-2732276.0464400006</v>
      </c>
    </row>
    <row r="1840">
      <c r="A1840" t="n" s="0">
        <v>-81.61</v>
      </c>
      <c r="B1840" t="n" s="0">
        <f>(-5-((((-5*(-5/((-5/(((-5*(-81.61--5))-(-5+((-5*-81.61)*(((-5--5)+(-81.61--5))+-81.61))))-(-5+-5)))*-5)))/-5)--5)+(-5*(((-81.61*(-81.61-(-5/-5)))*(-81.61-(-81.61/(-5*-81.61))))-(-5/-5)))))</f>
        <v>-2731273.6006050003</v>
      </c>
      <c r="C1840" t="n" s="0">
        <v>-2731273.6006050007</v>
      </c>
    </row>
    <row r="1841">
      <c r="A1841" t="n" s="0">
        <v>-81.6</v>
      </c>
      <c r="B1841" t="n" s="0">
        <f>(-5-((((-5*(-5/((-5/(((-5*(-81.6--5))-(-5+((-5*-81.6)*(((-5--5)+(-81.6--5))+-81.6))))-(-5+-5)))*-5)))/-5)--5)+(-5*(((-81.6*(-81.6-(-5/-5)))*(-81.6-(-81.6/(-5*-81.6))))-(-5/-5)))))</f>
        <v>-2730271.4</v>
      </c>
      <c r="C1841" t="n" s="0">
        <v>-2730271.3999999994</v>
      </c>
    </row>
    <row r="1842">
      <c r="A1842" t="n" s="0">
        <v>-81.59</v>
      </c>
      <c r="B1842" t="n" s="0">
        <f>(-5-((((-5*(-5/((-5/(((-5*(-81.59--5))-(-5+((-5*-81.59)*(((-5--5)+(-81.59--5))+-81.59))))-(-5+-5)))*-5)))/-5)--5)+(-5*(((-81.59*(-81.59-(-5/-5)))*(-81.59-(-81.59/(-5*-81.59))))-(-5/-5)))))</f>
        <v>-2729269.4445950002</v>
      </c>
      <c r="C1842" t="n" s="0">
        <v>-2729269.4445950002</v>
      </c>
    </row>
    <row r="1843">
      <c r="A1843" t="n" s="0">
        <v>-81.58</v>
      </c>
      <c r="B1843" t="n" s="0">
        <f>(-5-((((-5*(-5/((-5/(((-5*(-81.58--5))-(-5+((-5*-81.58)*(((-5--5)+(-81.58--5))+-81.58))))-(-5+-5)))*-5)))/-5)--5)+(-5*(((-81.58*(-81.58-(-5/-5)))*(-81.58-(-81.58/(-5*-81.58))))-(-5/-5)))))</f>
        <v>-2728267.73436</v>
      </c>
      <c r="C1843" t="n" s="0">
        <v>-2728267.7343600006</v>
      </c>
    </row>
    <row r="1844">
      <c r="A1844" t="n" s="0">
        <v>-81.57</v>
      </c>
      <c r="B1844" t="n" s="0">
        <f>(-5-((((-5*(-5/((-5/(((-5*(-81.57--5))-(-5+((-5*-81.57)*(((-5--5)+(-81.57--5))+-81.57))))-(-5+-5)))*-5)))/-5)--5)+(-5*(((-81.57*(-81.57-(-5/-5)))*(-81.57-(-81.57/(-5*-81.57))))-(-5/-5)))))</f>
        <v>-2727266.269265</v>
      </c>
      <c r="C1844" t="n" s="0">
        <v>-2727266.2692649993</v>
      </c>
    </row>
    <row r="1845">
      <c r="A1845" t="n" s="0">
        <v>-81.56</v>
      </c>
      <c r="B1845" t="n" s="0">
        <f>(-5-((((-5*(-5/((-5/(((-5*(-81.56--5))-(-5+((-5*-81.56)*(((-5--5)+(-81.56--5))+-81.56))))-(-5+-5)))*-5)))/-5)--5)+(-5*(((-81.56*(-81.56-(-5/-5)))*(-81.56-(-81.56/(-5*-81.56))))-(-5/-5)))))</f>
        <v>-2726265.04928</v>
      </c>
      <c r="C1845" t="n" s="0">
        <v>-2726265.04928</v>
      </c>
    </row>
    <row r="1846">
      <c r="A1846" t="n" s="0">
        <v>-81.55</v>
      </c>
      <c r="B1846" t="n" s="0">
        <f>(-5-((((-5*(-5/((-5/(((-5*(-81.55--5))-(-5+((-5*-81.55)*(((-5--5)+(-81.55--5))+-81.55))))-(-5+-5)))*-5)))/-5)--5)+(-5*(((-81.55*(-81.55-(-5/-5)))*(-81.55-(-81.55/(-5*-81.55))))-(-5/-5)))))</f>
        <v>-2725264.074375</v>
      </c>
      <c r="C1846" t="n" s="0">
        <v>-2725264.0743749994</v>
      </c>
    </row>
    <row r="1847">
      <c r="A1847" t="n" s="0">
        <v>-81.54</v>
      </c>
      <c r="B1847" t="n" s="0">
        <f>(-5-((((-5*(-5/((-5/(((-5*(-81.54--5))-(-5+((-5*-81.54)*(((-5--5)+(-81.54--5))+-81.54))))-(-5+-5)))*-5)))/-5)--5)+(-5*(((-81.54*(-81.54-(-5/-5)))*(-81.54-(-81.54/(-5*-81.54))))-(-5/-5)))))</f>
        <v>-2724263.34452</v>
      </c>
      <c r="C1847" t="n" s="0">
        <v>-2724263.344520001</v>
      </c>
    </row>
    <row r="1848">
      <c r="A1848" t="n" s="0">
        <v>-81.53</v>
      </c>
      <c r="B1848" t="n" s="0">
        <f>(-5-((((-5*(-5/((-5/(((-5*(-81.53--5))-(-5+((-5*-81.53)*(((-5--5)+(-81.53--5))+-81.53))))-(-5+-5)))*-5)))/-5)--5)+(-5*(((-81.53*(-81.53-(-5/-5)))*(-81.53-(-81.53/(-5*-81.53))))-(-5/-5)))))</f>
        <v>-2723262.859685</v>
      </c>
      <c r="C1848" t="n" s="0">
        <v>-2723262.8596849996</v>
      </c>
    </row>
    <row r="1849">
      <c r="A1849" t="n" s="0">
        <v>-81.52</v>
      </c>
      <c r="B1849" t="n" s="0">
        <f>(-5-((((-5*(-5/((-5/(((-5*(-81.52--5))-(-5+((-5*-81.52)*(((-5--5)+(-81.52--5))+-81.52))))-(-5+-5)))*-5)))/-5)--5)+(-5*(((-81.52*(-81.52-(-5/-5)))*(-81.52-(-81.52/(-5*-81.52))))-(-5/-5)))))</f>
        <v>-2722262.61984</v>
      </c>
      <c r="C1849" t="n" s="0">
        <v>-2722262.61984</v>
      </c>
    </row>
    <row r="1850">
      <c r="A1850" t="n" s="0">
        <v>-81.51</v>
      </c>
      <c r="B1850" t="n" s="0">
        <f>(-5-((((-5*(-5/((-5/(((-5*(-81.51--5))-(-5+((-5*-81.51)*(((-5--5)+(-81.51--5))+-81.51))))-(-5+-5)))*-5)))/-5)--5)+(-5*(((-81.51*(-81.51-(-5/-5)))*(-81.51-(-81.51/(-5*-81.51))))-(-5/-5)))))</f>
        <v>-2721262.6249550004</v>
      </c>
      <c r="C1850" t="n" s="0">
        <v>-2721262.6249550004</v>
      </c>
    </row>
    <row r="1851">
      <c r="A1851" t="n" s="0">
        <v>-81.5</v>
      </c>
      <c r="B1851" t="n" s="0">
        <f>(-5-((((-5*(-5/((-5/(((-5*(-81.5--5))-(-5+((-5*-81.5)*(((-5--5)+(-81.5--5))+-81.5))))-(-5+-5)))*-5)))/-5)--5)+(-5*(((-81.5*(-81.5-(-5/-5)))*(-81.5-(-81.5/(-5*-81.5))))-(-5/-5)))))</f>
        <v>-2720262.875</v>
      </c>
      <c r="C1851" t="n" s="0">
        <v>-2720262.875</v>
      </c>
    </row>
    <row r="1852">
      <c r="A1852" t="n" s="0">
        <v>-81.49</v>
      </c>
      <c r="B1852" t="n" s="0">
        <f>(-5-((((-5*(-5/((-5/(((-5*(-81.49--5))-(-5+((-5*-81.49)*(((-5--5)+(-81.49--5))+-81.49))))-(-5+-5)))*-5)))/-5)--5)+(-5*(((-81.49*(-81.49-(-5/-5)))*(-81.49-(-81.49/(-5*-81.49))))-(-5/-5)))))</f>
        <v>-2719263.369945</v>
      </c>
      <c r="C1852" t="n" s="0">
        <v>-2719263.369945</v>
      </c>
    </row>
    <row r="1853">
      <c r="A1853" t="n" s="0">
        <v>-81.48</v>
      </c>
      <c r="B1853" t="n" s="0">
        <f>(-5-((((-5*(-5/((-5/(((-5*(-81.48--5))-(-5+((-5*-81.48)*(((-5--5)+(-81.48--5))+-81.48))))-(-5+-5)))*-5)))/-5)--5)+(-5*(((-81.48*(-81.48-(-5/-5)))*(-81.48-(-81.48/(-5*-81.48))))-(-5/-5)))))</f>
        <v>-2718264.10976</v>
      </c>
      <c r="C1853" t="n" s="0">
        <v>-2718264.109760001</v>
      </c>
    </row>
    <row r="1854">
      <c r="A1854" t="n" s="0">
        <v>-81.47</v>
      </c>
      <c r="B1854" t="n" s="0">
        <f>(-5-((((-5*(-5/((-5/(((-5*(-81.47--5))-(-5+((-5*-81.47)*(((-5--5)+(-81.47--5))+-81.47))))-(-5+-5)))*-5)))/-5)--5)+(-5*(((-81.47*(-81.47-(-5/-5)))*(-81.47-(-81.47/(-5*-81.47))))-(-5/-5)))))</f>
        <v>-2717265.094415</v>
      </c>
      <c r="C1854" t="n" s="0">
        <v>-2717265.0944149997</v>
      </c>
    </row>
    <row r="1855">
      <c r="A1855" t="n" s="0">
        <v>-81.46</v>
      </c>
      <c r="B1855" t="n" s="0">
        <f>(-5-((((-5*(-5/((-5/(((-5*(-81.46--5))-(-5+((-5*-81.46)*(((-5--5)+(-81.46--5))+-81.46))))-(-5+-5)))*-5)))/-5)--5)+(-5*(((-81.46*(-81.46-(-5/-5)))*(-81.46-(-81.46/(-5*-81.46))))-(-5/-5)))))</f>
        <v>-2716266.32388</v>
      </c>
      <c r="C1855" t="n" s="0">
        <v>-2716266.323879999</v>
      </c>
    </row>
    <row r="1856">
      <c r="A1856" t="n" s="0">
        <v>-81.45</v>
      </c>
      <c r="B1856" t="n" s="0">
        <f>(-5-((((-5*(-5/((-5/(((-5*(-81.45--5))-(-5+((-5*-81.45)*(((-5--5)+(-81.45--5))+-81.45))))-(-5+-5)))*-5)))/-5)--5)+(-5*(((-81.45*(-81.45-(-5/-5)))*(-81.45-(-81.45/(-5*-81.45))))-(-5/-5)))))</f>
        <v>-2715267.798125</v>
      </c>
      <c r="C1856" t="n" s="0">
        <v>-2715267.798125</v>
      </c>
    </row>
    <row r="1857">
      <c r="A1857" t="n" s="0">
        <v>-81.44</v>
      </c>
      <c r="B1857" t="n" s="0">
        <f>(-5-((((-5*(-5/((-5/(((-5*(-81.44--5))-(-5+((-5*-81.44)*(((-5--5)+(-81.44--5))+-81.44))))-(-5+-5)))*-5)))/-5)--5)+(-5*(((-81.44*(-81.44-(-5/-5)))*(-81.44-(-81.44/(-5*-81.44))))-(-5/-5)))))</f>
        <v>-2714269.51712</v>
      </c>
      <c r="C1857" t="n" s="0">
        <v>-2714269.517119999</v>
      </c>
    </row>
    <row r="1858">
      <c r="A1858" t="n" s="0">
        <v>-81.43</v>
      </c>
      <c r="B1858" t="n" s="0">
        <f>(-5-((((-5*(-5/((-5/(((-5*(-81.43--5))-(-5+((-5*-81.43)*(((-5--5)+(-81.43--5))+-81.43))))-(-5+-5)))*-5)))/-5)--5)+(-5*(((-81.43*(-81.43-(-5/-5)))*(-81.43-(-81.43/(-5*-81.43))))-(-5/-5)))))</f>
        <v>-2713271.480835</v>
      </c>
      <c r="C1858" t="n" s="0">
        <v>-2713271.4808350005</v>
      </c>
    </row>
    <row r="1859">
      <c r="A1859" t="n" s="0">
        <v>-81.42</v>
      </c>
      <c r="B1859" t="n" s="0">
        <f>(-5-((((-5*(-5/((-5/(((-5*(-81.42--5))-(-5+((-5*-81.42)*(((-5--5)+(-81.42--5))+-81.42))))-(-5+-5)))*-5)))/-5)--5)+(-5*(((-81.42*(-81.42-(-5/-5)))*(-81.42-(-81.42/(-5*-81.42))))-(-5/-5)))))</f>
        <v>-2712273.68924</v>
      </c>
      <c r="C1859" t="n" s="0">
        <v>-2712273.6892399997</v>
      </c>
    </row>
    <row r="1860">
      <c r="A1860" t="n" s="0">
        <v>-81.41</v>
      </c>
      <c r="B1860" t="n" s="0">
        <f>(-5-((((-5*(-5/((-5/(((-5*(-81.41--5))-(-5+((-5*-81.41)*(((-5--5)+(-81.41--5))+-81.41))))-(-5+-5)))*-5)))/-5)--5)+(-5*(((-81.41*(-81.41-(-5/-5)))*(-81.41-(-81.41/(-5*-81.41))))-(-5/-5)))))</f>
        <v>-2711276.142305</v>
      </c>
      <c r="C1860" t="n" s="0">
        <v>-2711276.1423049998</v>
      </c>
    </row>
    <row r="1861">
      <c r="A1861" t="n" s="0">
        <v>-81.4</v>
      </c>
      <c r="B1861" t="n" s="0">
        <f>(-5-((((-5*(-5/((-5/(((-5*(-81.4--5))-(-5+((-5*-81.4)*(((-5--5)+(-81.4--5))+-81.4))))-(-5+-5)))*-5)))/-5)--5)+(-5*(((-81.4*(-81.4-(-5/-5)))*(-81.4-(-81.4/(-5*-81.4))))-(-5/-5)))))</f>
        <v>-2710278.8400000003</v>
      </c>
      <c r="C1861" t="n" s="0">
        <v>-2710278.840000001</v>
      </c>
    </row>
    <row r="1862">
      <c r="A1862" t="n" s="0">
        <v>-81.39</v>
      </c>
      <c r="B1862" t="n" s="0">
        <f>(-5-((((-5*(-5/((-5/(((-5*(-81.39--5))-(-5+((-5*-81.39)*(((-5--5)+(-81.39--5))+-81.39))))-(-5+-5)))*-5)))/-5)--5)+(-5*(((-81.39*(-81.39-(-5/-5)))*(-81.39-(-81.39/(-5*-81.39))))-(-5/-5)))))</f>
        <v>-2709281.7822950003</v>
      </c>
      <c r="C1862" t="n" s="0">
        <v>-2709281.7822950003</v>
      </c>
    </row>
    <row r="1863">
      <c r="A1863" t="n" s="0">
        <v>-81.38</v>
      </c>
      <c r="B1863" t="n" s="0">
        <f>(-5-((((-5*(-5/((-5/(((-5*(-81.38--5))-(-5+((-5*-81.38)*(((-5--5)+(-81.38--5))+-81.38))))-(-5+-5)))*-5)))/-5)--5)+(-5*(((-81.38*(-81.38-(-5/-5)))*(-81.38-(-81.38/(-5*-81.38))))-(-5/-5)))))</f>
        <v>-2708284.9691600003</v>
      </c>
      <c r="C1863" t="n" s="0">
        <v>-2708284.9691599994</v>
      </c>
    </row>
    <row r="1864">
      <c r="A1864" t="n" s="0">
        <v>-81.37</v>
      </c>
      <c r="B1864" t="n" s="0">
        <f>(-5-((((-5*(-5/((-5/(((-5*(-81.37--5))-(-5+((-5*-81.37)*(((-5--5)+(-81.37--5))+-81.37))))-(-5+-5)))*-5)))/-5)--5)+(-5*(((-81.37*(-81.37-(-5/-5)))*(-81.37-(-81.37/(-5*-81.37))))-(-5/-5)))))</f>
        <v>-2707288.400565</v>
      </c>
      <c r="C1864" t="n" s="0">
        <v>-2707288.4005650003</v>
      </c>
    </row>
    <row r="1865">
      <c r="A1865" t="n" s="0">
        <v>-81.36</v>
      </c>
      <c r="B1865" t="n" s="0">
        <f>(-5-((((-5*(-5/((-5/(((-5*(-81.36--5))-(-5+((-5*-81.36)*(((-5--5)+(-81.36--5))+-81.36))))-(-5+-5)))*-5)))/-5)--5)+(-5*(((-81.36*(-81.36-(-5/-5)))*(-81.36-(-81.36/(-5*-81.36))))-(-5/-5)))))</f>
        <v>-2706292.0764800003</v>
      </c>
      <c r="C1865" t="n" s="0">
        <v>-2706292.07648</v>
      </c>
    </row>
    <row r="1866">
      <c r="A1866" t="n" s="0">
        <v>-81.35</v>
      </c>
      <c r="B1866" t="n" s="0">
        <f>(-5-((((-5*(-5/((-5/(((-5*(-81.35--5))-(-5+((-5*-81.35)*(((-5--5)+(-81.35--5))+-81.35))))-(-5+-5)))*-5)))/-5)--5)+(-5*(((-81.35*(-81.35-(-5/-5)))*(-81.35-(-81.35/(-5*-81.35))))-(-5/-5)))))</f>
        <v>-2705295.9968749997</v>
      </c>
      <c r="C1866" t="n" s="0">
        <v>-2705295.9968749997</v>
      </c>
    </row>
    <row r="1867">
      <c r="A1867" t="n" s="0">
        <v>-81.34</v>
      </c>
      <c r="B1867" t="n" s="0">
        <f>(-5-((((-5*(-5/((-5/(((-5*(-81.34--5))-(-5+((-5*-81.34)*(((-5--5)+(-81.34--5))+-81.34))))-(-5+-5)))*-5)))/-5)--5)+(-5*(((-81.34*(-81.34-(-5/-5)))*(-81.34-(-81.34/(-5*-81.34))))-(-5/-5)))))</f>
        <v>-2704300.1617199997</v>
      </c>
      <c r="C1867" t="n" s="0">
        <v>-2704300.16172</v>
      </c>
    </row>
    <row r="1868">
      <c r="A1868" t="n" s="0">
        <v>-81.33</v>
      </c>
      <c r="B1868" t="n" s="0">
        <f>(-5-((((-5*(-5/((-5/(((-5*(-81.33--5))-(-5+((-5*-81.33)*(((-5--5)+(-81.33--5))+-81.33))))-(-5+-5)))*-5)))/-5)--5)+(-5*(((-81.33*(-81.33-(-5/-5)))*(-81.33-(-81.33/(-5*-81.33))))-(-5/-5)))))</f>
        <v>-2703304.570985</v>
      </c>
      <c r="C1868" t="n" s="0">
        <v>-2703304.570985</v>
      </c>
    </row>
    <row r="1869">
      <c r="A1869" t="n" s="0">
        <v>-81.32</v>
      </c>
      <c r="B1869" t="n" s="0">
        <f>(-5-((((-5*(-5/((-5/(((-5*(-81.32--5))-(-5+((-5*-81.32)*(((-5--5)+(-81.32--5))+-81.32))))-(-5+-5)))*-5)))/-5)--5)+(-5*(((-81.32*(-81.32-(-5/-5)))*(-81.32-(-81.32/(-5*-81.32))))-(-5/-5)))))</f>
        <v>-2702309.22464</v>
      </c>
      <c r="C1869" t="n" s="0">
        <v>-2702309.2246399997</v>
      </c>
    </row>
    <row r="1870">
      <c r="A1870" t="n" s="0">
        <v>-81.31</v>
      </c>
      <c r="B1870" t="n" s="0">
        <f>(-5-((((-5*(-5/((-5/(((-5*(-81.31--5))-(-5+((-5*-81.31)*(((-5--5)+(-81.31--5))+-81.31))))-(-5+-5)))*-5)))/-5)--5)+(-5*(((-81.31*(-81.31-(-5/-5)))*(-81.31-(-81.31/(-5*-81.31))))-(-5/-5)))))</f>
        <v>-2701314.122655</v>
      </c>
      <c r="C1870" t="n" s="0">
        <v>-2701314.1226550005</v>
      </c>
    </row>
    <row r="1871">
      <c r="A1871" t="n" s="0">
        <v>-81.3</v>
      </c>
      <c r="B1871" t="n" s="0">
        <f>(-5-((((-5*(-5/((-5/(((-5*(-81.3--5))-(-5+((-5*-81.3)*(((-5--5)+(-81.3--5))+-81.3))))-(-5+-5)))*-5)))/-5)--5)+(-5*(((-81.3*(-81.3-(-5/-5)))*(-81.3-(-81.3/(-5*-81.3))))-(-5/-5)))))</f>
        <v>-2700319.2649999997</v>
      </c>
      <c r="C1871" t="n" s="0">
        <v>-2700319.264999999</v>
      </c>
    </row>
    <row r="1872">
      <c r="A1872" t="n" s="0">
        <v>-81.29</v>
      </c>
      <c r="B1872" t="n" s="0">
        <f>(-5-((((-5*(-5/((-5/(((-5*(-81.29--5))-(-5+((-5*-81.29)*(((-5--5)+(-81.29--5))+-81.29))))-(-5+-5)))*-5)))/-5)--5)+(-5*(((-81.29*(-81.29-(-5/-5)))*(-81.29-(-81.29/(-5*-81.29))))-(-5/-5)))))</f>
        <v>-2699324.651645</v>
      </c>
      <c r="C1872" t="n" s="0">
        <v>-2699324.651645001</v>
      </c>
    </row>
    <row r="1873">
      <c r="A1873" t="n" s="0">
        <v>-81.28</v>
      </c>
      <c r="B1873" t="n" s="0">
        <f>(-5-((((-5*(-5/((-5/(((-5*(-81.28--5))-(-5+((-5*-81.28)*(((-5--5)+(-81.28--5))+-81.28))))-(-5+-5)))*-5)))/-5)--5)+(-5*(((-81.28*(-81.28-(-5/-5)))*(-81.28-(-81.28/(-5*-81.28))))-(-5/-5)))))</f>
        <v>-2698330.2825599997</v>
      </c>
      <c r="C1873" t="n" s="0">
        <v>-2698330.2825600007</v>
      </c>
    </row>
    <row r="1874">
      <c r="A1874" t="n" s="0">
        <v>-81.27</v>
      </c>
      <c r="B1874" t="n" s="0">
        <f>(-5-((((-5*(-5/((-5/(((-5*(-81.27--5))-(-5+((-5*-81.27)*(((-5--5)+(-81.27--5))+-81.27))))-(-5+-5)))*-5)))/-5)--5)+(-5*(((-81.27*(-81.27-(-5/-5)))*(-81.27-(-81.27/(-5*-81.27))))-(-5/-5)))))</f>
        <v>-2697336.157715</v>
      </c>
      <c r="C1874" t="n" s="0">
        <v>-2697336.157715</v>
      </c>
    </row>
    <row r="1875">
      <c r="A1875" t="n" s="0">
        <v>-81.26</v>
      </c>
      <c r="B1875" t="n" s="0">
        <f>(-5-((((-5*(-5/((-5/(((-5*(-81.26--5))-(-5+((-5*-81.26)*(((-5--5)+(-81.26--5))+-81.26))))-(-5+-5)))*-5)))/-5)--5)+(-5*(((-81.26*(-81.26-(-5/-5)))*(-81.26-(-81.26/(-5*-81.26))))-(-5/-5)))))</f>
        <v>-2696342.27708</v>
      </c>
      <c r="C1875" t="n" s="0">
        <v>-2696342.2770800004</v>
      </c>
    </row>
    <row r="1876">
      <c r="A1876" t="n" s="0">
        <v>-81.25</v>
      </c>
      <c r="B1876" t="n" s="0">
        <f>(-5-((((-5*(-5/((-5/(((-5*(-81.25--5))-(-5+((-5*-81.25)*(((-5--5)+(-81.25--5))+-81.25))))-(-5+-5)))*-5)))/-5)--5)+(-5*(((-81.25*(-81.25-(-5/-5)))*(-81.25-(-81.25/(-5*-81.25))))-(-5/-5)))))</f>
        <v>-2695348.640625</v>
      </c>
      <c r="C1876" t="n" s="0">
        <v>-2695348.640625</v>
      </c>
    </row>
    <row r="1877">
      <c r="A1877" t="n" s="0">
        <v>-81.24</v>
      </c>
      <c r="B1877" t="n" s="0">
        <f>(-5-((((-5*(-5/((-5/(((-5*(-81.24--5))-(-5+((-5*-81.24)*(((-5--5)+(-81.24--5))+-81.24))))-(-5+-5)))*-5)))/-5)--5)+(-5*(((-81.24*(-81.24-(-5/-5)))*(-81.24-(-81.24/(-5*-81.24))))-(-5/-5)))))</f>
        <v>-2694355.24832</v>
      </c>
      <c r="C1877" t="n" s="0">
        <v>-2694355.24832</v>
      </c>
    </row>
    <row r="1878">
      <c r="A1878" t="n" s="0">
        <v>-81.23</v>
      </c>
      <c r="B1878" t="n" s="0">
        <f>(-5-((((-5*(-5/((-5/(((-5*(-81.23--5))-(-5+((-5*-81.23)*(((-5--5)+(-81.23--5))+-81.23))))-(-5+-5)))*-5)))/-5)--5)+(-5*(((-81.23*(-81.23-(-5/-5)))*(-81.23-(-81.23/(-5*-81.23))))-(-5/-5)))))</f>
        <v>-2693362.100135</v>
      </c>
      <c r="C1878" t="n" s="0">
        <v>-2693362.1001350004</v>
      </c>
    </row>
    <row r="1879">
      <c r="A1879" t="n" s="0">
        <v>-81.22</v>
      </c>
      <c r="B1879" t="n" s="0">
        <f>(-5-((((-5*(-5/((-5/(((-5*(-81.22--5))-(-5+((-5*-81.22)*(((-5--5)+(-81.22--5))+-81.22))))-(-5+-5)))*-5)))/-5)--5)+(-5*(((-81.22*(-81.22-(-5/-5)))*(-81.22-(-81.22/(-5*-81.22))))-(-5/-5)))))</f>
        <v>-2692369.1960400003</v>
      </c>
      <c r="C1879" t="n" s="0">
        <v>-2692369.1960400003</v>
      </c>
    </row>
    <row r="1880">
      <c r="A1880" t="n" s="0">
        <v>-81.21</v>
      </c>
      <c r="B1880" t="n" s="0">
        <f>(-5-((((-5*(-5/((-5/(((-5*(-81.21--5))-(-5+((-5*-81.21)*(((-5--5)+(-81.21--5))+-81.21))))-(-5+-5)))*-5)))/-5)--5)+(-5*(((-81.21*(-81.21-(-5/-5)))*(-81.21-(-81.21/(-5*-81.21))))-(-5/-5)))))</f>
        <v>-2691376.536005</v>
      </c>
      <c r="C1880" t="n" s="0">
        <v>-2691376.5360049997</v>
      </c>
    </row>
    <row r="1881">
      <c r="A1881" t="n" s="0">
        <v>-81.2</v>
      </c>
      <c r="B1881" t="n" s="0">
        <f>(-5-((((-5*(-5/((-5/(((-5*(-81.2--5))-(-5+((-5*-81.2)*(((-5--5)+(-81.2--5))+-81.2))))-(-5+-5)))*-5)))/-5)--5)+(-5*(((-81.2*(-81.2-(-5/-5)))*(-81.2-(-81.2/(-5*-81.2))))-(-5/-5)))))</f>
        <v>-2690384.12</v>
      </c>
      <c r="C1881" t="n" s="0">
        <v>-2690384.1200000006</v>
      </c>
    </row>
    <row r="1882">
      <c r="A1882" t="n" s="0">
        <v>-81.19</v>
      </c>
      <c r="B1882" t="n" s="0">
        <f>(-5-((((-5*(-5/((-5/(((-5*(-81.19--5))-(-5+((-5*-81.19)*(((-5--5)+(-81.19--5))+-81.19))))-(-5+-5)))*-5)))/-5)--5)+(-5*(((-81.19*(-81.19-(-5/-5)))*(-81.19-(-81.19/(-5*-81.19))))-(-5/-5)))))</f>
        <v>-2689391.947995</v>
      </c>
      <c r="C1882" t="n" s="0">
        <v>-2689391.947994999</v>
      </c>
    </row>
    <row r="1883">
      <c r="A1883" t="n" s="0">
        <v>-81.18</v>
      </c>
      <c r="B1883" t="n" s="0">
        <f>(-5-((((-5*(-5/((-5/(((-5*(-81.18--5))-(-5+((-5*-81.18)*(((-5--5)+(-81.18--5))+-81.18))))-(-5+-5)))*-5)))/-5)--5)+(-5*(((-81.18*(-81.18-(-5/-5)))*(-81.18-(-81.18/(-5*-81.18))))-(-5/-5)))))</f>
        <v>-2688400.01996</v>
      </c>
      <c r="C1883" t="n" s="0">
        <v>-2688400.019960001</v>
      </c>
    </row>
    <row r="1884">
      <c r="A1884" t="n" s="0">
        <v>-81.17</v>
      </c>
      <c r="B1884" t="n" s="0">
        <f>(-5-((((-5*(-5/((-5/(((-5*(-81.17--5))-(-5+((-5*-81.17)*(((-5--5)+(-81.17--5))+-81.17))))-(-5+-5)))*-5)))/-5)--5)+(-5*(((-81.17*(-81.17-(-5/-5)))*(-81.17-(-81.17/(-5*-81.17))))-(-5/-5)))))</f>
        <v>-2687408.335865</v>
      </c>
      <c r="C1884" t="n" s="0">
        <v>-2687408.335865</v>
      </c>
    </row>
    <row r="1885">
      <c r="A1885" t="n" s="0">
        <v>-81.16</v>
      </c>
      <c r="B1885" t="n" s="0">
        <f>(-5-((((-5*(-5/((-5/(((-5*(-81.16--5))-(-5+((-5*-81.16)*(((-5--5)+(-81.16--5))+-81.16))))-(-5+-5)))*-5)))/-5)--5)+(-5*(((-81.16*(-81.16-(-5/-5)))*(-81.16-(-81.16/(-5*-81.16))))-(-5/-5)))))</f>
        <v>-2686416.89568</v>
      </c>
      <c r="C1885" t="n" s="0">
        <v>-2686416.8956799996</v>
      </c>
    </row>
    <row r="1886">
      <c r="A1886" t="n" s="0">
        <v>-81.15</v>
      </c>
      <c r="B1886" t="n" s="0">
        <f>(-5-((((-5*(-5/((-5/(((-5*(-81.15--5))-(-5+((-5*-81.15)*(((-5--5)+(-81.15--5))+-81.15))))-(-5+-5)))*-5)))/-5)--5)+(-5*(((-81.15*(-81.15-(-5/-5)))*(-81.15-(-81.15/(-5*-81.15))))-(-5/-5)))))</f>
        <v>-2685425.699375</v>
      </c>
      <c r="C1886" t="n" s="0">
        <v>-2685425.6993750003</v>
      </c>
    </row>
    <row r="1887">
      <c r="A1887" t="n" s="0">
        <v>-81.14</v>
      </c>
      <c r="B1887" t="n" s="0">
        <f>(-5-((((-5*(-5/((-5/(((-5*(-81.14--5))-(-5+((-5*-81.14)*(((-5--5)+(-81.14--5))+-81.14))))-(-5+-5)))*-5)))/-5)--5)+(-5*(((-81.14*(-81.14-(-5/-5)))*(-81.14-(-81.14/(-5*-81.14))))-(-5/-5)))))</f>
        <v>-2684434.7469200003</v>
      </c>
      <c r="C1887" t="n" s="0">
        <v>-2684434.74692</v>
      </c>
    </row>
    <row r="1888">
      <c r="A1888" t="n" s="0">
        <v>-81.13</v>
      </c>
      <c r="B1888" t="n" s="0">
        <f>(-5-((((-5*(-5/((-5/(((-5*(-81.13--5))-(-5+((-5*-81.13)*(((-5--5)+(-81.13--5))+-81.13))))-(-5+-5)))*-5)))/-5)--5)+(-5*(((-81.13*(-81.13-(-5/-5)))*(-81.13-(-81.13/(-5*-81.13))))-(-5/-5)))))</f>
        <v>-2683444.0382850002</v>
      </c>
      <c r="C1888" t="n" s="0">
        <v>-2683444.0382849993</v>
      </c>
    </row>
    <row r="1889">
      <c r="A1889" t="n" s="0">
        <v>-81.12</v>
      </c>
      <c r="B1889" t="n" s="0">
        <f>(-5-((((-5*(-5/((-5/(((-5*(-81.12--5))-(-5+((-5*-81.12)*(((-5--5)+(-81.12--5))+-81.12))))-(-5+-5)))*-5)))/-5)--5)+(-5*(((-81.12*(-81.12-(-5/-5)))*(-81.12-(-81.12/(-5*-81.12))))-(-5/-5)))))</f>
        <v>-2682453.57344</v>
      </c>
      <c r="C1889" t="n" s="0">
        <v>-2682453.57344</v>
      </c>
    </row>
    <row r="1890">
      <c r="A1890" t="n" s="0">
        <v>-81.11</v>
      </c>
      <c r="B1890" t="n" s="0">
        <f>(-5-((((-5*(-5/((-5/(((-5*(-81.11--5))-(-5+((-5*-81.11)*(((-5--5)+(-81.11--5))+-81.11))))-(-5+-5)))*-5)))/-5)--5)+(-5*(((-81.11*(-81.11-(-5/-5)))*(-81.11-(-81.11/(-5*-81.11))))-(-5/-5)))))</f>
        <v>-2681463.352355</v>
      </c>
      <c r="C1890" t="n" s="0">
        <v>-2681463.352355</v>
      </c>
    </row>
    <row r="1891">
      <c r="A1891" t="n" s="0">
        <v>-81.1</v>
      </c>
      <c r="B1891" t="n" s="0">
        <f>(-5-((((-5*(-5/((-5/(((-5*(-81.1--5))-(-5+((-5*-81.1)*(((-5--5)+(-81.1--5))+-81.1))))-(-5+-5)))*-5)))/-5)--5)+(-5*(((-81.1*(-81.1-(-5/-5)))*(-81.1-(-81.1/(-5*-81.1))))-(-5/-5)))))</f>
        <v>-2680473.375</v>
      </c>
      <c r="C1891" t="n" s="0">
        <v>-2680473.374999999</v>
      </c>
    </row>
    <row r="1892">
      <c r="A1892" t="n" s="0">
        <v>-81.09</v>
      </c>
      <c r="B1892" t="n" s="0">
        <f>(-5-((((-5*(-5/((-5/(((-5*(-81.09--5))-(-5+((-5*-81.09)*(((-5--5)+(-81.09--5))+-81.09))))-(-5+-5)))*-5)))/-5)--5)+(-5*(((-81.09*(-81.09-(-5/-5)))*(-81.09-(-81.09/(-5*-81.09))))-(-5/-5)))))</f>
        <v>-2679483.6413450004</v>
      </c>
      <c r="C1892" t="n" s="0">
        <v>-2679483.641345001</v>
      </c>
    </row>
    <row r="1893">
      <c r="A1893" t="n" s="0">
        <v>-81.08</v>
      </c>
      <c r="B1893" t="n" s="0">
        <f>(-5-((((-5*(-5/((-5/(((-5*(-81.08--5))-(-5+((-5*-81.08)*(((-5--5)+(-81.08--5))+-81.08))))-(-5+-5)))*-5)))/-5)--5)+(-5*(((-81.08*(-81.08-(-5/-5)))*(-81.08-(-81.08/(-5*-81.08))))-(-5/-5)))))</f>
        <v>-2678494.15136</v>
      </c>
      <c r="C1893" t="n" s="0">
        <v>-2678494.1513600005</v>
      </c>
    </row>
    <row r="1894">
      <c r="A1894" t="n" s="0">
        <v>-81.07</v>
      </c>
      <c r="B1894" t="n" s="0">
        <f>(-5-((((-5*(-5/((-5/(((-5*(-81.07--5))-(-5+((-5*-81.07)*(((-5--5)+(-81.07--5))+-81.07))))-(-5+-5)))*-5)))/-5)--5)+(-5*(((-81.07*(-81.07-(-5/-5)))*(-81.07-(-81.07/(-5*-81.07))))-(-5/-5)))))</f>
        <v>-2677504.905015</v>
      </c>
      <c r="C1894" t="n" s="0">
        <v>-2677504.905014999</v>
      </c>
    </row>
    <row r="1895">
      <c r="A1895" t="n" s="0">
        <v>-81.06</v>
      </c>
      <c r="B1895" t="n" s="0">
        <f>(-5-((((-5*(-5/((-5/(((-5*(-81.06--5))-(-5+((-5*-81.06)*(((-5--5)+(-81.06--5))+-81.06))))-(-5+-5)))*-5)))/-5)--5)+(-5*(((-81.06*(-81.06-(-5/-5)))*(-81.06-(-81.06/(-5*-81.06))))-(-5/-5)))))</f>
        <v>-2676515.90228</v>
      </c>
      <c r="C1895" t="n" s="0">
        <v>-2676515.90228</v>
      </c>
    </row>
    <row r="1896">
      <c r="A1896" t="n" s="0">
        <v>-81.05</v>
      </c>
      <c r="B1896" t="n" s="0">
        <f>(-5-((((-5*(-5/((-5/(((-5*(-81.05--5))-(-5+((-5*-81.05)*(((-5--5)+(-81.05--5))+-81.05))))-(-5+-5)))*-5)))/-5)--5)+(-5*(((-81.05*(-81.05-(-5/-5)))*(-81.05-(-81.05/(-5*-81.05))))-(-5/-5)))))</f>
        <v>-2675527.143125</v>
      </c>
      <c r="C1896" t="n" s="0">
        <v>-2675527.143125</v>
      </c>
    </row>
    <row r="1897">
      <c r="A1897" t="n" s="0">
        <v>-81.04</v>
      </c>
      <c r="B1897" t="n" s="0">
        <f>(-5-((((-5*(-5/((-5/(((-5*(-81.04--5))-(-5+((-5*-81.04)*(((-5--5)+(-81.04--5))+-81.04))))-(-5+-5)))*-5)))/-5)--5)+(-5*(((-81.04*(-81.04-(-5/-5)))*(-81.04-(-81.04/(-5*-81.04))))-(-5/-5)))))</f>
        <v>-2674538.62752</v>
      </c>
      <c r="C1897" t="n" s="0">
        <v>-2674538.627520001</v>
      </c>
    </row>
    <row r="1898">
      <c r="A1898" t="n" s="0">
        <v>-81.03</v>
      </c>
      <c r="B1898" t="n" s="0">
        <f>(-5-((((-5*(-5/((-5/(((-5*(-81.03--5))-(-5+((-5*-81.03)*(((-5--5)+(-81.03--5))+-81.03))))-(-5+-5)))*-5)))/-5)--5)+(-5*(((-81.03*(-81.03-(-5/-5)))*(-81.03-(-81.03/(-5*-81.03))))-(-5/-5)))))</f>
        <v>-2673550.3554350003</v>
      </c>
      <c r="C1898" t="n" s="0">
        <v>-2673550.3554350003</v>
      </c>
    </row>
    <row r="1899">
      <c r="A1899" t="n" s="0">
        <v>-81.02</v>
      </c>
      <c r="B1899" t="n" s="0">
        <f>(-5-((((-5*(-5/((-5/(((-5*(-81.02--5))-(-5+((-5*-81.02)*(((-5--5)+(-81.02--5))+-81.02))))-(-5+-5)))*-5)))/-5)--5)+(-5*(((-81.02*(-81.02-(-5/-5)))*(-81.02-(-81.02/(-5*-81.02))))-(-5/-5)))))</f>
        <v>-2672562.32684</v>
      </c>
      <c r="C1899" t="n" s="0">
        <v>-2672562.3268399998</v>
      </c>
    </row>
    <row r="1900">
      <c r="A1900" t="n" s="0">
        <v>-81.01</v>
      </c>
      <c r="B1900" t="n" s="0">
        <f>(-5-((((-5*(-5/((-5/(((-5*(-81.01--5))-(-5+((-5*-81.01)*(((-5--5)+(-81.01--5))+-81.01))))-(-5+-5)))*-5)))/-5)--5)+(-5*(((-81.01*(-81.01-(-5/-5)))*(-81.01-(-81.01/(-5*-81.01))))-(-5/-5)))))</f>
        <v>-2671574.541705</v>
      </c>
      <c r="C1900" t="n" s="0">
        <v>-2671574.541705</v>
      </c>
    </row>
    <row r="1901">
      <c r="A1901" t="n" s="0">
        <v>-81.0</v>
      </c>
      <c r="B1901" t="n" s="0">
        <f>(-5-((((-5*(-5/((-5/(((-5*(-81--5))-(-5+((-5*-81)*(((-5--5)+(-81--5))+-81))))-(-5+-5)))*-5)))/-5)--5)+(-5*(((-81*(-81-(-5/-5)))*(-81-(-81/(-5*-81))))-(-5/-5)))))</f>
        <v>-2670587.0</v>
      </c>
      <c r="C1901" t="n" s="0">
        <v>-2670587.0</v>
      </c>
    </row>
    <row r="1902">
      <c r="A1902" t="n" s="0">
        <v>-80.99</v>
      </c>
      <c r="B1902" t="n" s="0">
        <f>(-5-((((-5*(-5/((-5/(((-5*(-80.99--5))-(-5+((-5*-80.99)*(((-5--5)+(-80.99--5))+-80.99))))-(-5+-5)))*-5)))/-5)--5)+(-5*(((-80.99*(-80.99-(-5/-5)))*(-80.99-(-80.99/(-5*-80.99))))-(-5/-5)))))</f>
        <v>-2669599.7016950003</v>
      </c>
      <c r="C1902" t="n" s="0">
        <v>-2669599.7016949994</v>
      </c>
    </row>
    <row r="1903">
      <c r="A1903" t="n" s="0">
        <v>-80.98</v>
      </c>
      <c r="B1903" t="n" s="0">
        <f>(-5-((((-5*(-5/((-5/(((-5*(-80.98--5))-(-5+((-5*-80.98)*(((-5--5)+(-80.98--5))+-80.98))))-(-5+-5)))*-5)))/-5)--5)+(-5*(((-80.98*(-80.98-(-5/-5)))*(-80.98-(-80.98/(-5*-80.98))))-(-5/-5)))))</f>
        <v>-2668612.64676</v>
      </c>
      <c r="C1903" t="n" s="0">
        <v>-2668612.6467600004</v>
      </c>
    </row>
    <row r="1904">
      <c r="A1904" t="n" s="0">
        <v>-80.97</v>
      </c>
      <c r="B1904" t="n" s="0">
        <f>(-5-((((-5*(-5/((-5/(((-5*(-80.97--5))-(-5+((-5*-80.97)*(((-5--5)+(-80.97--5))+-80.97))))-(-5+-5)))*-5)))/-5)--5)+(-5*(((-80.97*(-80.97-(-5/-5)))*(-80.97-(-80.97/(-5*-80.97))))-(-5/-5)))))</f>
        <v>-2667625.835165</v>
      </c>
      <c r="C1904" t="n" s="0">
        <v>-2667625.835165</v>
      </c>
    </row>
    <row r="1905">
      <c r="A1905" t="n" s="0">
        <v>-80.96</v>
      </c>
      <c r="B1905" t="n" s="0">
        <f>(-5-((((-5*(-5/((-5/(((-5*(-80.96--5))-(-5+((-5*-80.96)*(((-5--5)+(-80.96--5))+-80.96))))-(-5+-5)))*-5)))/-5)--5)+(-5*(((-80.96*(-80.96-(-5/-5)))*(-80.96-(-80.96/(-5*-80.96))))-(-5/-5)))))</f>
        <v>-2666639.26688</v>
      </c>
      <c r="C1905" t="n" s="0">
        <v>-2666639.2668799995</v>
      </c>
    </row>
    <row r="1906">
      <c r="A1906" t="n" s="0">
        <v>-80.95</v>
      </c>
      <c r="B1906" t="n" s="0">
        <f>(-5-((((-5*(-5/((-5/(((-5*(-80.95--5))-(-5+((-5*-80.95)*(((-5--5)+(-80.95--5))+-80.95))))-(-5+-5)))*-5)))/-5)--5)+(-5*(((-80.95*(-80.95-(-5/-5)))*(-80.95-(-80.95/(-5*-80.95))))-(-5/-5)))))</f>
        <v>-2665652.941875</v>
      </c>
      <c r="C1906" t="n" s="0">
        <v>-2665652.9418750005</v>
      </c>
    </row>
    <row r="1907">
      <c r="A1907" t="n" s="0">
        <v>-80.94</v>
      </c>
      <c r="B1907" t="n" s="0">
        <f>(-5-((((-5*(-5/((-5/(((-5*(-80.94--5))-(-5+((-5*-80.94)*(((-5--5)+(-80.94--5))+-80.94))))-(-5+-5)))*-5)))/-5)--5)+(-5*(((-80.94*(-80.94-(-5/-5)))*(-80.94-(-80.94/(-5*-80.94))))-(-5/-5)))))</f>
        <v>-2664666.86012</v>
      </c>
      <c r="C1907" t="n" s="0">
        <v>-2664666.86012</v>
      </c>
    </row>
    <row r="1908">
      <c r="A1908" t="n" s="0">
        <v>-80.93</v>
      </c>
      <c r="B1908" t="n" s="0">
        <f>(-5-((((-5*(-5/((-5/(((-5*(-80.93--5))-(-5+((-5*-80.93)*(((-5--5)+(-80.93--5))+-80.93))))-(-5+-5)))*-5)))/-5)--5)+(-5*(((-80.93*(-80.93-(-5/-5)))*(-80.93-(-80.93/(-5*-80.93))))-(-5/-5)))))</f>
        <v>-2663681.0215849997</v>
      </c>
      <c r="C1908" t="n" s="0">
        <v>-2663681.0215850007</v>
      </c>
    </row>
    <row r="1909">
      <c r="A1909" t="n" s="0">
        <v>-80.92</v>
      </c>
      <c r="B1909" t="n" s="0">
        <f>(-5-((((-5*(-5/((-5/(((-5*(-80.92--5))-(-5+((-5*-80.92)*(((-5--5)+(-80.92--5))+-80.92))))-(-5+-5)))*-5)))/-5)--5)+(-5*(((-80.92*(-80.92-(-5/-5)))*(-80.92-(-80.92/(-5*-80.92))))-(-5/-5)))))</f>
        <v>-2662695.42624</v>
      </c>
      <c r="C1909" t="n" s="0">
        <v>-2662695.42624</v>
      </c>
    </row>
    <row r="1910">
      <c r="A1910" t="n" s="0">
        <v>-80.91</v>
      </c>
      <c r="B1910" t="n" s="0">
        <f>(-5-((((-5*(-5/((-5/(((-5*(-80.91--5))-(-5+((-5*-80.91)*(((-5--5)+(-80.91--5))+-80.91))))-(-5+-5)))*-5)))/-5)--5)+(-5*(((-80.91*(-80.91-(-5/-5)))*(-80.91-(-80.91/(-5*-80.91))))-(-5/-5)))))</f>
        <v>-2661710.0740549997</v>
      </c>
      <c r="C1910" t="n" s="0">
        <v>-2661710.0740549993</v>
      </c>
    </row>
    <row r="1911">
      <c r="A1911" t="n" s="0">
        <v>-80.9</v>
      </c>
      <c r="B1911" t="n" s="0">
        <f>(-5-((((-5*(-5/((-5/(((-5*(-80.9--5))-(-5+((-5*-80.9)*(((-5--5)+(-80.9--5))+-80.9))))-(-5+-5)))*-5)))/-5)--5)+(-5*(((-80.9*(-80.9-(-5/-5)))*(-80.9-(-80.9/(-5*-80.9))))-(-5/-5)))))</f>
        <v>-2660724.965</v>
      </c>
      <c r="C1911" t="n" s="0">
        <v>-2660724.965000001</v>
      </c>
    </row>
    <row r="1912">
      <c r="A1912" t="n" s="0">
        <v>-80.89</v>
      </c>
      <c r="B1912" t="n" s="0">
        <f>(-5-((((-5*(-5/((-5/(((-5*(-80.89--5))-(-5+((-5*-80.89)*(((-5--5)+(-80.89--5))+-80.89))))-(-5+-5)))*-5)))/-5)--5)+(-5*(((-80.89*(-80.89-(-5/-5)))*(-80.89-(-80.89/(-5*-80.89))))-(-5/-5)))))</f>
        <v>-2659740.099045</v>
      </c>
      <c r="C1912" t="n" s="0">
        <v>-2659740.099045</v>
      </c>
    </row>
    <row r="1913">
      <c r="A1913" t="n" s="0">
        <v>-80.88</v>
      </c>
      <c r="B1913" t="n" s="0">
        <f>(-5-((((-5*(-5/((-5/(((-5*(-80.88--5))-(-5+((-5*-80.88)*(((-5--5)+(-80.88--5))+-80.88))))-(-5+-5)))*-5)))/-5)--5)+(-5*(((-80.88*(-80.88-(-5/-5)))*(-80.88-(-80.88/(-5*-80.88))))-(-5/-5)))))</f>
        <v>-2658755.47616</v>
      </c>
      <c r="C1913" t="n" s="0">
        <v>-2658755.4761599996</v>
      </c>
    </row>
    <row r="1914">
      <c r="A1914" t="n" s="0">
        <v>-80.87</v>
      </c>
      <c r="B1914" t="n" s="0">
        <f>(-5-((((-5*(-5/((-5/(((-5*(-80.87--5))-(-5+((-5*-80.87)*(((-5--5)+(-80.87--5))+-80.87))))-(-5+-5)))*-5)))/-5)--5)+(-5*(((-80.87*(-80.87-(-5/-5)))*(-80.87-(-80.87/(-5*-80.87))))-(-5/-5)))))</f>
        <v>-2657771.0963149997</v>
      </c>
      <c r="C1914" t="n" s="0">
        <v>-2657771.0963150007</v>
      </c>
    </row>
    <row r="1915">
      <c r="A1915" t="n" s="0">
        <v>-80.86</v>
      </c>
      <c r="B1915" t="n" s="0">
        <f>(-5-((((-5*(-5/((-5/(((-5*(-80.86--5))-(-5+((-5*-80.86)*(((-5--5)+(-80.86--5))+-80.86))))-(-5+-5)))*-5)))/-5)--5)+(-5*(((-80.86*(-80.86-(-5/-5)))*(-80.86-(-80.86/(-5*-80.86))))-(-5/-5)))))</f>
        <v>-2656786.9594799997</v>
      </c>
      <c r="C1915" t="n" s="0">
        <v>-2656786.95948</v>
      </c>
    </row>
    <row r="1916">
      <c r="A1916" t="n" s="0">
        <v>-80.85</v>
      </c>
      <c r="B1916" t="n" s="0">
        <f>(-5-((((-5*(-5/((-5/(((-5*(-80.85--5))-(-5+((-5*-80.85)*(((-5--5)+(-80.85--5))+-80.85))))-(-5+-5)))*-5)))/-5)--5)+(-5*(((-80.85*(-80.85-(-5/-5)))*(-80.85-(-80.85/(-5*-80.85))))-(-5/-5)))))</f>
        <v>-2655803.0656250003</v>
      </c>
      <c r="C1916" t="n" s="0">
        <v>-2655803.065624999</v>
      </c>
    </row>
    <row r="1917">
      <c r="A1917" t="n" s="0">
        <v>-80.84</v>
      </c>
      <c r="B1917" t="n" s="0">
        <f>(-5-((((-5*(-5/((-5/(((-5*(-80.84--5))-(-5+((-5*-80.84)*(((-5--5)+(-80.84--5))+-80.84))))-(-5+-5)))*-5)))/-5)--5)+(-5*(((-80.84*(-80.84-(-5/-5)))*(-80.84-(-80.84/(-5*-80.84))))-(-5/-5)))))</f>
        <v>-2654819.4147200002</v>
      </c>
      <c r="C1917" t="n" s="0">
        <v>-2654819.4147200002</v>
      </c>
    </row>
    <row r="1918">
      <c r="A1918" t="n" s="0">
        <v>-80.83</v>
      </c>
      <c r="B1918" t="n" s="0">
        <f>(-5-((((-5*(-5/((-5/(((-5*(-80.83--5))-(-5+((-5*-80.83)*(((-5--5)+(-80.83--5))+-80.83))))-(-5+-5)))*-5)))/-5)--5)+(-5*(((-80.83*(-80.83-(-5/-5)))*(-80.83-(-80.83/(-5*-80.83))))-(-5/-5)))))</f>
        <v>-2653836.006735</v>
      </c>
      <c r="C1918" t="n" s="0">
        <v>-2653836.006735</v>
      </c>
    </row>
    <row r="1919">
      <c r="A1919" t="n" s="0">
        <v>-80.82</v>
      </c>
      <c r="B1919" t="n" s="0">
        <f>(-5-((((-5*(-5/((-5/(((-5*(-80.82--5))-(-5+((-5*-80.82)*(((-5--5)+(-80.82--5))+-80.82))))-(-5+-5)))*-5)))/-5)--5)+(-5*(((-80.82*(-80.82-(-5/-5)))*(-80.82-(-80.82/(-5*-80.82))))-(-5/-5)))))</f>
        <v>-2652852.8416399998</v>
      </c>
      <c r="C1919" t="n" s="0">
        <v>-2652852.8416399998</v>
      </c>
    </row>
    <row r="1920">
      <c r="A1920" t="n" s="0">
        <v>-80.81</v>
      </c>
      <c r="B1920" t="n" s="0">
        <f>(-5-((((-5*(-5/((-5/(((-5*(-80.81--5))-(-5+((-5*-80.81)*(((-5--5)+(-80.81--5))+-80.81))))-(-5+-5)))*-5)))/-5)--5)+(-5*(((-80.81*(-80.81-(-5/-5)))*(-80.81-(-80.81/(-5*-80.81))))-(-5/-5)))))</f>
        <v>-2651869.919405</v>
      </c>
      <c r="C1920" t="n" s="0">
        <v>-2651869.9194050007</v>
      </c>
    </row>
    <row r="1921">
      <c r="A1921" t="n" s="0">
        <v>-80.8</v>
      </c>
      <c r="B1921" t="n" s="0">
        <f>(-5-((((-5*(-5/((-5/(((-5*(-80.8--5))-(-5+((-5*-80.8)*(((-5--5)+(-80.8--5))+-80.8))))-(-5+-5)))*-5)))/-5)--5)+(-5*(((-80.8*(-80.8-(-5/-5)))*(-80.8-(-80.8/(-5*-80.8))))-(-5/-5)))))</f>
        <v>-2650887.2399999998</v>
      </c>
      <c r="C1921" t="n" s="0">
        <v>-2650887.2399999993</v>
      </c>
    </row>
    <row r="1922">
      <c r="A1922" t="n" s="0">
        <v>-80.79</v>
      </c>
      <c r="B1922" t="n" s="0">
        <f>(-5-((((-5*(-5/((-5/(((-5*(-80.79--5))-(-5+((-5*-80.79)*(((-5--5)+(-80.79--5))+-80.79))))-(-5+-5)))*-5)))/-5)--5)+(-5*(((-80.79*(-80.79-(-5/-5)))*(-80.79-(-80.79/(-5*-80.79))))-(-5/-5)))))</f>
        <v>-2649904.8033950003</v>
      </c>
      <c r="C1922" t="n" s="0">
        <v>-2649904.8033950003</v>
      </c>
    </row>
    <row r="1923">
      <c r="A1923" t="n" s="0">
        <v>-80.78</v>
      </c>
      <c r="B1923" t="n" s="0">
        <f>(-5-((((-5*(-5/((-5/(((-5*(-80.78--5))-(-5+((-5*-80.78)*(((-5--5)+(-80.78--5))+-80.78))))-(-5+-5)))*-5)))/-5)--5)+(-5*(((-80.78*(-80.78-(-5/-5)))*(-80.78-(-80.78/(-5*-80.78))))-(-5/-5)))))</f>
        <v>-2648922.60956</v>
      </c>
      <c r="C1923" t="n" s="0">
        <v>-2648922.60956</v>
      </c>
    </row>
    <row r="1924">
      <c r="A1924" t="n" s="0">
        <v>-80.77</v>
      </c>
      <c r="B1924" t="n" s="0">
        <f>(-5-((((-5*(-5/((-5/(((-5*(-80.77--5))-(-5+((-5*-80.77)*(((-5--5)+(-80.77--5))+-80.77))))-(-5+-5)))*-5)))/-5)--5)+(-5*(((-80.77*(-80.77-(-5/-5)))*(-80.77-(-80.77/(-5*-80.77))))-(-5/-5)))))</f>
        <v>-2647940.658465</v>
      </c>
      <c r="C1924" t="n" s="0">
        <v>-2647940.658465</v>
      </c>
    </row>
    <row r="1925">
      <c r="A1925" t="n" s="0">
        <v>-80.76</v>
      </c>
      <c r="B1925" t="n" s="0">
        <f>(-5-((((-5*(-5/((-5/(((-5*(-80.76--5))-(-5+((-5*-80.76)*(((-5--5)+(-80.76--5))+-80.76))))-(-5+-5)))*-5)))/-5)--5)+(-5*(((-80.76*(-80.76-(-5/-5)))*(-80.76-(-80.76/(-5*-80.76))))-(-5/-5)))))</f>
        <v>-2646958.95008</v>
      </c>
      <c r="C1925" t="n" s="0">
        <v>-2646958.9500800003</v>
      </c>
    </row>
    <row r="1926">
      <c r="A1926" t="n" s="0">
        <v>-80.75</v>
      </c>
      <c r="B1926" t="n" s="0">
        <f>(-5-((((-5*(-5/((-5/(((-5*(-80.75--5))-(-5+((-5*-80.75)*(((-5--5)+(-80.75--5))+-80.75))))-(-5+-5)))*-5)))/-5)--5)+(-5*(((-80.75*(-80.75-(-5/-5)))*(-80.75-(-80.75/(-5*-80.75))))-(-5/-5)))))</f>
        <v>-2645977.484375</v>
      </c>
      <c r="C1926" t="n" s="0">
        <v>-2645977.484375</v>
      </c>
    </row>
    <row r="1927">
      <c r="A1927" t="n" s="0">
        <v>-80.74</v>
      </c>
      <c r="B1927" t="n" s="0">
        <f>(-5-((((-5*(-5/((-5/(((-5*(-80.74--5))-(-5+((-5*-80.74)*(((-5--5)+(-80.74--5))+-80.74))))-(-5+-5)))*-5)))/-5)--5)+(-5*(((-80.74*(-80.74-(-5/-5)))*(-80.74-(-80.74/(-5*-80.74))))-(-5/-5)))))</f>
        <v>-2644996.26132</v>
      </c>
      <c r="C1927" t="n" s="0">
        <v>-2644996.2613199996</v>
      </c>
    </row>
    <row r="1928">
      <c r="A1928" t="n" s="0">
        <v>-80.73</v>
      </c>
      <c r="B1928" t="n" s="0">
        <f>(-5-((((-5*(-5/((-5/(((-5*(-80.73--5))-(-5+((-5*-80.73)*(((-5--5)+(-80.73--5))+-80.73))))-(-5+-5)))*-5)))/-5)--5)+(-5*(((-80.73*(-80.73-(-5/-5)))*(-80.73-(-80.73/(-5*-80.73))))-(-5/-5)))))</f>
        <v>-2644015.280885</v>
      </c>
      <c r="C1928" t="n" s="0">
        <v>-2644015.2808850002</v>
      </c>
    </row>
    <row r="1929">
      <c r="A1929" t="n" s="0">
        <v>-80.72</v>
      </c>
      <c r="B1929" t="n" s="0">
        <f>(-5-((((-5*(-5/((-5/(((-5*(-80.72--5))-(-5+((-5*-80.72)*(((-5--5)+(-80.72--5))+-80.72))))-(-5+-5)))*-5)))/-5)--5)+(-5*(((-80.72*(-80.72-(-5/-5)))*(-80.72-(-80.72/(-5*-80.72))))-(-5/-5)))))</f>
        <v>-2643034.54304</v>
      </c>
      <c r="C1929" t="n" s="0">
        <v>-2643034.54304</v>
      </c>
    </row>
    <row r="1930">
      <c r="A1930" t="n" s="0">
        <v>-80.71</v>
      </c>
      <c r="B1930" t="n" s="0">
        <f>(-5-((((-5*(-5/((-5/(((-5*(-80.71--5))-(-5+((-5*-80.71)*(((-5--5)+(-80.71--5))+-80.71))))-(-5+-5)))*-5)))/-5)--5)+(-5*(((-80.71*(-80.71-(-5/-5)))*(-80.71-(-80.71/(-5*-80.71))))-(-5/-5)))))</f>
        <v>-2642054.047755</v>
      </c>
      <c r="C1930" t="n" s="0">
        <v>-2642054.0477549993</v>
      </c>
    </row>
    <row r="1931">
      <c r="A1931" t="n" s="0">
        <v>-80.7</v>
      </c>
      <c r="B1931" t="n" s="0">
        <f>(-5-((((-5*(-5/((-5/(((-5*(-80.7--5))-(-5+((-5*-80.7)*(((-5--5)+(-80.7--5))+-80.7))))-(-5+-5)))*-5)))/-5)--5)+(-5*(((-80.7*(-80.7-(-5/-5)))*(-80.7-(-80.7/(-5*-80.7))))-(-5/-5)))))</f>
        <v>-2641073.795</v>
      </c>
      <c r="C1931" t="n" s="0">
        <v>-2641073.7950000004</v>
      </c>
    </row>
    <row r="1932">
      <c r="A1932" t="n" s="0">
        <v>-80.69</v>
      </c>
      <c r="B1932" t="n" s="0">
        <f>(-5-((((-5*(-5/((-5/(((-5*(-80.69--5))-(-5+((-5*-80.69)*(((-5--5)+(-80.69--5))+-80.69))))-(-5+-5)))*-5)))/-5)--5)+(-5*(((-80.69*(-80.69-(-5/-5)))*(-80.69-(-80.69/(-5*-80.69))))-(-5/-5)))))</f>
        <v>-2640093.784745</v>
      </c>
      <c r="C1932" t="n" s="0">
        <v>-2640093.784745</v>
      </c>
    </row>
    <row r="1933">
      <c r="A1933" t="n" s="0">
        <v>-80.68</v>
      </c>
      <c r="B1933" t="n" s="0">
        <f>(-5-((((-5*(-5/((-5/(((-5*(-80.68--5))-(-5+((-5*-80.68)*(((-5--5)+(-80.68--5))+-80.68))))-(-5+-5)))*-5)))/-5)--5)+(-5*(((-80.68*(-80.68-(-5/-5)))*(-80.68-(-80.68/(-5*-80.68))))-(-5/-5)))))</f>
        <v>-2639114.01696</v>
      </c>
      <c r="C1933" t="n" s="0">
        <v>-2639114.0169600006</v>
      </c>
    </row>
    <row r="1934">
      <c r="A1934" t="n" s="0">
        <v>-80.67</v>
      </c>
      <c r="B1934" t="n" s="0">
        <f>(-5-((((-5*(-5/((-5/(((-5*(-80.67--5))-(-5+((-5*-80.67)*(((-5--5)+(-80.67--5))+-80.67))))-(-5+-5)))*-5)))/-5)--5)+(-5*(((-80.67*(-80.67-(-5/-5)))*(-80.67-(-80.67/(-5*-80.67))))-(-5/-5)))))</f>
        <v>-2638134.4916149997</v>
      </c>
      <c r="C1934" t="n" s="0">
        <v>-2638134.491615</v>
      </c>
    </row>
    <row r="1935">
      <c r="A1935" t="n" s="0">
        <v>-80.66</v>
      </c>
      <c r="B1935" t="n" s="0">
        <f>(-5-((((-5*(-5/((-5/(((-5*(-80.66--5))-(-5+((-5*-80.66)*(((-5--5)+(-80.66--5))+-80.66))))-(-5+-5)))*-5)))/-5)--5)+(-5*(((-80.66*(-80.66-(-5/-5)))*(-80.66-(-80.66/(-5*-80.66))))-(-5/-5)))))</f>
        <v>-2637155.20868</v>
      </c>
      <c r="C1935" t="n" s="0">
        <v>-2637155.2086799997</v>
      </c>
    </row>
    <row r="1936">
      <c r="A1936" t="n" s="0">
        <v>-80.65</v>
      </c>
      <c r="B1936" t="n" s="0">
        <f>(-5-((((-5*(-5/((-5/(((-5*(-80.65--5))-(-5+((-5*-80.65)*(((-5--5)+(-80.65--5))+-80.65))))-(-5+-5)))*-5)))/-5)--5)+(-5*(((-80.65*(-80.65-(-5/-5)))*(-80.65-(-80.65/(-5*-80.65))))-(-5/-5)))))</f>
        <v>-2636176.168125</v>
      </c>
      <c r="C1936" t="n" s="0">
        <v>-2636176.168125001</v>
      </c>
    </row>
    <row r="1937">
      <c r="A1937" t="n" s="0">
        <v>-80.64</v>
      </c>
      <c r="B1937" t="n" s="0">
        <f>(-5-((((-5*(-5/((-5/(((-5*(-80.64--5))-(-5+((-5*-80.64)*(((-5--5)+(-80.64--5))+-80.64))))-(-5+-5)))*-5)))/-5)--5)+(-5*(((-80.64*(-80.64-(-5/-5)))*(-80.64-(-80.64/(-5*-80.64))))-(-5/-5)))))</f>
        <v>-2635197.36992</v>
      </c>
      <c r="C1937" t="n" s="0">
        <v>-2635197.36992</v>
      </c>
    </row>
    <row r="1938">
      <c r="A1938" t="n" s="0">
        <v>-80.63</v>
      </c>
      <c r="B1938" t="n" s="0">
        <f>(-5-((((-5*(-5/((-5/(((-5*(-80.63--5))-(-5+((-5*-80.63)*(((-5--5)+(-80.63--5))+-80.63))))-(-5+-5)))*-5)))/-5)--5)+(-5*(((-80.63*(-80.63-(-5/-5)))*(-80.63-(-80.63/(-5*-80.63))))-(-5/-5)))))</f>
        <v>-2634218.814035</v>
      </c>
      <c r="C1938" t="n" s="0">
        <v>-2634218.814035</v>
      </c>
    </row>
    <row r="1939">
      <c r="A1939" t="n" s="0">
        <v>-80.62</v>
      </c>
      <c r="B1939" t="n" s="0">
        <f>(-5-((((-5*(-5/((-5/(((-5*(-80.62--5))-(-5+((-5*-80.62)*(((-5--5)+(-80.62--5))+-80.62))))-(-5+-5)))*-5)))/-5)--5)+(-5*(((-80.62*(-80.62-(-5/-5)))*(-80.62-(-80.62/(-5*-80.62))))-(-5/-5)))))</f>
        <v>-2633240.50044</v>
      </c>
      <c r="C1939" t="n" s="0">
        <v>-2633240.5004400006</v>
      </c>
    </row>
    <row r="1940">
      <c r="A1940" t="n" s="0">
        <v>-80.61</v>
      </c>
      <c r="B1940" t="n" s="0">
        <f>(-5-((((-5*(-5/((-5/(((-5*(-80.61--5))-(-5+((-5*-80.61)*(((-5--5)+(-80.61--5))+-80.61))))-(-5+-5)))*-5)))/-5)--5)+(-5*(((-80.61*(-80.61-(-5/-5)))*(-80.61-(-80.61/(-5*-80.61))))-(-5/-5)))))</f>
        <v>-2632262.429105</v>
      </c>
      <c r="C1940" t="n" s="0">
        <v>-2632262.4291049996</v>
      </c>
    </row>
    <row r="1941">
      <c r="A1941" t="n" s="0">
        <v>-80.6</v>
      </c>
      <c r="B1941" t="n" s="0">
        <f>(-5-((((-5*(-5/((-5/(((-5*(-80.6--5))-(-5+((-5*-80.6)*(((-5--5)+(-80.6--5))+-80.6))))-(-5+-5)))*-5)))/-5)--5)+(-5*(((-80.6*(-80.6-(-5/-5)))*(-80.6-(-80.6/(-5*-80.6))))-(-5/-5)))))</f>
        <v>-2631284.6</v>
      </c>
      <c r="C1941" t="n" s="0">
        <v>-2631284.599999999</v>
      </c>
    </row>
    <row r="1942">
      <c r="A1942" t="n" s="0">
        <v>-80.59</v>
      </c>
      <c r="B1942" t="n" s="0">
        <f>(-5-((((-5*(-5/((-5/(((-5*(-80.59--5))-(-5+((-5*-80.59)*(((-5--5)+(-80.59--5))+-80.59))))-(-5+-5)))*-5)))/-5)--5)+(-5*(((-80.59*(-80.59-(-5/-5)))*(-80.59-(-80.59/(-5*-80.59))))-(-5/-5)))))</f>
        <v>-2630307.013095</v>
      </c>
      <c r="C1942" t="n" s="0">
        <v>-2630307.0130950003</v>
      </c>
    </row>
    <row r="1943">
      <c r="A1943" t="n" s="0">
        <v>-80.58</v>
      </c>
      <c r="B1943" t="n" s="0">
        <f>(-5-((((-5*(-5/((-5/(((-5*(-80.58--5))-(-5+((-5*-80.58)*(((-5--5)+(-80.58--5))+-80.58))))-(-5+-5)))*-5)))/-5)--5)+(-5*(((-80.58*(-80.58-(-5/-5)))*(-80.58-(-80.58/(-5*-80.58))))-(-5/-5)))))</f>
        <v>-2629329.66836</v>
      </c>
      <c r="C1943" t="n" s="0">
        <v>-2629329.66836</v>
      </c>
    </row>
    <row r="1944">
      <c r="A1944" t="n" s="0">
        <v>-80.57</v>
      </c>
      <c r="B1944" t="n" s="0">
        <f>(-5-((((-5*(-5/((-5/(((-5*(-80.57--5))-(-5+((-5*-80.57)*(((-5--5)+(-80.57--5))+-80.57))))-(-5+-5)))*-5)))/-5)--5)+(-5*(((-80.57*(-80.57-(-5/-5)))*(-80.57-(-80.57/(-5*-80.57))))-(-5/-5)))))</f>
        <v>-2628352.565765</v>
      </c>
      <c r="C1944" t="n" s="0">
        <v>-2628352.5657649995</v>
      </c>
    </row>
    <row r="1945">
      <c r="A1945" t="n" s="0">
        <v>-80.56</v>
      </c>
      <c r="B1945" t="n" s="0">
        <f>(-5-((((-5*(-5/((-5/(((-5*(-80.56--5))-(-5+((-5*-80.56)*(((-5--5)+(-80.56--5))+-80.56))))-(-5+-5)))*-5)))/-5)--5)+(-5*(((-80.56*(-80.56-(-5/-5)))*(-80.56-(-80.56/(-5*-80.56))))-(-5/-5)))))</f>
        <v>-2627375.70528</v>
      </c>
      <c r="C1945" t="n" s="0">
        <v>-2627375.705280001</v>
      </c>
    </row>
    <row r="1946">
      <c r="A1946" t="n" s="0">
        <v>-80.55</v>
      </c>
      <c r="B1946" t="n" s="0">
        <f>(-5-((((-5*(-5/((-5/(((-5*(-80.55--5))-(-5+((-5*-80.55)*(((-5--5)+(-80.55--5))+-80.55))))-(-5+-5)))*-5)))/-5)--5)+(-5*(((-80.55*(-80.55-(-5/-5)))*(-80.55-(-80.55/(-5*-80.55))))-(-5/-5)))))</f>
        <v>-2626399.086875</v>
      </c>
      <c r="C1946" t="n" s="0">
        <v>-2626399.0868749996</v>
      </c>
    </row>
    <row r="1947">
      <c r="A1947" t="n" s="0">
        <v>-80.54</v>
      </c>
      <c r="B1947" t="n" s="0">
        <f>(-5-((((-5*(-5/((-5/(((-5*(-80.54--5))-(-5+((-5*-80.54)*(((-5--5)+(-80.54--5))+-80.54))))-(-5+-5)))*-5)))/-5)--5)+(-5*(((-80.54*(-80.54-(-5/-5)))*(-80.54-(-80.54/(-5*-80.54))))-(-5/-5)))))</f>
        <v>-2625422.71052</v>
      </c>
      <c r="C1947" t="n" s="0">
        <v>-2625422.7105200007</v>
      </c>
    </row>
    <row r="1948">
      <c r="A1948" t="n" s="0">
        <v>-80.53</v>
      </c>
      <c r="B1948" t="n" s="0">
        <f>(-5-((((-5*(-5/((-5/(((-5*(-80.53--5))-(-5+((-5*-80.53)*(((-5--5)+(-80.53--5))+-80.53))))-(-5+-5)))*-5)))/-5)--5)+(-5*(((-80.53*(-80.53-(-5/-5)))*(-80.53-(-80.53/(-5*-80.53))))-(-5/-5)))))</f>
        <v>-2624446.576185</v>
      </c>
      <c r="C1948" t="n" s="0">
        <v>-2624446.5761849997</v>
      </c>
    </row>
    <row r="1949">
      <c r="A1949" t="n" s="0">
        <v>-80.52</v>
      </c>
      <c r="B1949" t="n" s="0">
        <f>(-5-((((-5*(-5/((-5/(((-5*(-80.52--5))-(-5+((-5*-80.52)*(((-5--5)+(-80.52--5))+-80.52))))-(-5+-5)))*-5)))/-5)--5)+(-5*(((-80.52*(-80.52-(-5/-5)))*(-80.52-(-80.52/(-5*-80.52))))-(-5/-5)))))</f>
        <v>-2623470.68384</v>
      </c>
      <c r="C1949" t="n" s="0">
        <v>-2623470.6838399996</v>
      </c>
    </row>
    <row r="1950">
      <c r="A1950" t="n" s="0">
        <v>-80.51</v>
      </c>
      <c r="B1950" t="n" s="0">
        <f>(-5-((((-5*(-5/((-5/(((-5*(-80.51--5))-(-5+((-5*-80.51)*(((-5--5)+(-80.51--5))+-80.51))))-(-5+-5)))*-5)))/-5)--5)+(-5*(((-80.51*(-80.51-(-5/-5)))*(-80.51-(-80.51/(-5*-80.51))))-(-5/-5)))))</f>
        <v>-2622495.0334550003</v>
      </c>
      <c r="C1950" t="n" s="0">
        <v>-2622495.0334550003</v>
      </c>
    </row>
    <row r="1951">
      <c r="A1951" t="n" s="0">
        <v>-80.5</v>
      </c>
      <c r="B1951" t="n" s="0">
        <f>(-5-((((-5*(-5/((-5/(((-5*(-80.5--5))-(-5+((-5*-80.5)*(((-5--5)+(-80.5--5))+-80.5))))-(-5+-5)))*-5)))/-5)--5)+(-5*(((-80.5*(-80.5-(-5/-5)))*(-80.5-(-80.5/(-5*-80.5))))-(-5/-5)))))</f>
        <v>-2621519.625</v>
      </c>
      <c r="C1951" t="n" s="0">
        <v>-2621519.625</v>
      </c>
    </row>
    <row r="1952">
      <c r="A1952" t="n" s="0">
        <v>-80.49</v>
      </c>
      <c r="B1952" t="n" s="0">
        <f>(-5-((((-5*(-5/((-5/(((-5*(-80.49--5))-(-5+((-5*-80.49)*(((-5--5)+(-80.49--5))+-80.49))))-(-5+-5)))*-5)))/-5)--5)+(-5*(((-80.49*(-80.49-(-5/-5)))*(-80.49-(-80.49/(-5*-80.49))))-(-5/-5)))))</f>
        <v>-2620544.458445</v>
      </c>
      <c r="C1952" t="n" s="0">
        <v>-2620544.4584449995</v>
      </c>
    </row>
    <row r="1953">
      <c r="A1953" t="n" s="0">
        <v>-80.48</v>
      </c>
      <c r="B1953" t="n" s="0">
        <f>(-5-((((-5*(-5/((-5/(((-5*(-80.48--5))-(-5+((-5*-80.48)*(((-5--5)+(-80.48--5))+-80.48))))-(-5+-5)))*-5)))/-5)--5)+(-5*(((-80.48*(-80.48-(-5/-5)))*(-80.48-(-80.48/(-5*-80.48))))-(-5/-5)))))</f>
        <v>-2619569.53376</v>
      </c>
      <c r="C1953" t="n" s="0">
        <v>-2619569.5337600005</v>
      </c>
    </row>
    <row r="1954">
      <c r="A1954" t="n" s="0">
        <v>-80.47</v>
      </c>
      <c r="B1954" t="n" s="0">
        <f>(-5-((((-5*(-5/((-5/(((-5*(-80.47--5))-(-5+((-5*-80.47)*(((-5--5)+(-80.47--5))+-80.47))))-(-5+-5)))*-5)))/-5)--5)+(-5*(((-80.47*(-80.47-(-5/-5)))*(-80.47-(-80.47/(-5*-80.47))))-(-5/-5)))))</f>
        <v>-2618594.850915</v>
      </c>
      <c r="C1954" t="n" s="0">
        <v>-2618594.8509150003</v>
      </c>
    </row>
    <row r="1955">
      <c r="A1955" t="n" s="0">
        <v>-80.46</v>
      </c>
      <c r="B1955" t="n" s="0">
        <f>(-5-((((-5*(-5/((-5/(((-5*(-80.46--5))-(-5+((-5*-80.46)*(((-5--5)+(-80.46--5))+-80.46))))-(-5+-5)))*-5)))/-5)--5)+(-5*(((-80.46*(-80.46-(-5/-5)))*(-80.46-(-80.46/(-5*-80.46))))-(-5/-5)))))</f>
        <v>-2617620.40988</v>
      </c>
      <c r="C1955" t="n" s="0">
        <v>-2617620.4098799992</v>
      </c>
    </row>
    <row r="1956">
      <c r="A1956" t="n" s="0">
        <v>-80.45</v>
      </c>
      <c r="B1956" t="n" s="0">
        <f>(-5-((((-5*(-5/((-5/(((-5*(-80.45--5))-(-5+((-5*-80.45)*(((-5--5)+(-80.45--5))+-80.45))))-(-5+-5)))*-5)))/-5)--5)+(-5*(((-80.45*(-80.45-(-5/-5)))*(-80.45-(-80.45/(-5*-80.45))))-(-5/-5)))))</f>
        <v>-2616646.210625</v>
      </c>
      <c r="C1956" t="n" s="0">
        <v>-2616646.2106250003</v>
      </c>
    </row>
    <row r="1957">
      <c r="A1957" t="n" s="0">
        <v>-80.44</v>
      </c>
      <c r="B1957" t="n" s="0">
        <f>(-5-((((-5*(-5/((-5/(((-5*(-80.44--5))-(-5+((-5*-80.44)*(((-5--5)+(-80.44--5))+-80.44))))-(-5+-5)))*-5)))/-5)--5)+(-5*(((-80.44*(-80.44-(-5/-5)))*(-80.44-(-80.44/(-5*-80.44))))-(-5/-5)))))</f>
        <v>-2615672.25312</v>
      </c>
      <c r="C1957" t="n" s="0">
        <v>-2615672.2531199995</v>
      </c>
    </row>
    <row r="1958">
      <c r="A1958" t="n" s="0">
        <v>-80.43</v>
      </c>
      <c r="B1958" t="n" s="0">
        <f>(-5-((((-5*(-5/((-5/(((-5*(-80.43--5))-(-5+((-5*-80.43)*(((-5--5)+(-80.43--5))+-80.43))))-(-5+-5)))*-5)))/-5)--5)+(-5*(((-80.43*(-80.43-(-5/-5)))*(-80.43-(-80.43/(-5*-80.43))))-(-5/-5)))))</f>
        <v>-2614698.537335</v>
      </c>
      <c r="C1958" t="n" s="0">
        <v>-2614698.537335001</v>
      </c>
    </row>
    <row r="1959">
      <c r="A1959" t="n" s="0">
        <v>-80.42</v>
      </c>
      <c r="B1959" t="n" s="0">
        <f>(-5-((((-5*(-5/((-5/(((-5*(-80.42--5))-(-5+((-5*-80.42)*(((-5--5)+(-80.42--5))+-80.42))))-(-5+-5)))*-5)))/-5)--5)+(-5*(((-80.42*(-80.42-(-5/-5)))*(-80.42-(-80.42/(-5*-80.42))))-(-5/-5)))))</f>
        <v>-2613725.0632399996</v>
      </c>
      <c r="C1959" t="n" s="0">
        <v>-2613725.0632399996</v>
      </c>
    </row>
    <row r="1960">
      <c r="A1960" t="n" s="0">
        <v>-80.41</v>
      </c>
      <c r="B1960" t="n" s="0">
        <f>(-5-((((-5*(-5/((-5/(((-5*(-80.41--5))-(-5+((-5*-80.41)*(((-5--5)+(-80.41--5))+-80.41))))-(-5+-5)))*-5)))/-5)--5)+(-5*(((-80.41*(-80.41-(-5/-5)))*(-80.41-(-80.41/(-5*-80.41))))-(-5/-5)))))</f>
        <v>-2612751.8308050004</v>
      </c>
      <c r="C1960" t="n" s="0">
        <v>-2612751.8308049995</v>
      </c>
    </row>
    <row r="1961">
      <c r="A1961" t="n" s="0">
        <v>-80.4</v>
      </c>
      <c r="B1961" t="n" s="0">
        <f>(-5-((((-5*(-5/((-5/(((-5*(-80.4--5))-(-5+((-5*-80.4)*(((-5--5)+(-80.4--5))+-80.4))))-(-5+-5)))*-5)))/-5)--5)+(-5*(((-80.4*(-80.4-(-5/-5)))*(-80.4-(-80.4/(-5*-80.4))))-(-5/-5)))))</f>
        <v>-2611778.84</v>
      </c>
      <c r="C1961" t="n" s="0">
        <v>-2611778.8400000003</v>
      </c>
    </row>
    <row r="1962">
      <c r="A1962" t="n" s="0">
        <v>-80.39</v>
      </c>
      <c r="B1962" t="n" s="0">
        <f>(-5-((((-5*(-5/((-5/(((-5*(-80.39--5))-(-5+((-5*-80.39)*(((-5--5)+(-80.39--5))+-80.39))))-(-5+-5)))*-5)))/-5)--5)+(-5*(((-80.39*(-80.39-(-5/-5)))*(-80.39-(-80.39/(-5*-80.39))))-(-5/-5)))))</f>
        <v>-2610806.090795</v>
      </c>
      <c r="C1962" t="n" s="0">
        <v>-2610806.090795</v>
      </c>
    </row>
    <row r="1963">
      <c r="A1963" t="n" s="0">
        <v>-80.38</v>
      </c>
      <c r="B1963" t="n" s="0">
        <f>(-5-((((-5*(-5/((-5/(((-5*(-80.38--5))-(-5+((-5*-80.38)*(((-5--5)+(-80.38--5))+-80.38))))-(-5+-5)))*-5)))/-5)--5)+(-5*(((-80.38*(-80.38-(-5/-5)))*(-80.38-(-80.38/(-5*-80.38))))-(-5/-5)))))</f>
        <v>-2609833.5831600004</v>
      </c>
      <c r="C1963" t="n" s="0">
        <v>-2609833.5831599995</v>
      </c>
    </row>
    <row r="1964">
      <c r="A1964" t="n" s="0">
        <v>-80.37</v>
      </c>
      <c r="B1964" t="n" s="0">
        <f>(-5-((((-5*(-5/((-5/(((-5*(-80.37--5))-(-5+((-5*-80.37)*(((-5--5)+(-80.37--5))+-80.37))))-(-5+-5)))*-5)))/-5)--5)+(-5*(((-80.37*(-80.37-(-5/-5)))*(-80.37-(-80.37/(-5*-80.37))))-(-5/-5)))))</f>
        <v>-2608861.317065</v>
      </c>
      <c r="C1964" t="n" s="0">
        <v>-2608861.3170650005</v>
      </c>
    </row>
    <row r="1965">
      <c r="A1965" t="n" s="0">
        <v>-80.36</v>
      </c>
      <c r="B1965" t="n" s="0">
        <f>(-5-((((-5*(-5/((-5/(((-5*(-80.36--5))-(-5+((-5*-80.36)*(((-5--5)+(-80.36--5))+-80.36))))-(-5+-5)))*-5)))/-5)--5)+(-5*(((-80.36*(-80.36-(-5/-5)))*(-80.36-(-80.36/(-5*-80.36))))-(-5/-5)))))</f>
        <v>-2607889.29248</v>
      </c>
      <c r="C1965" t="n" s="0">
        <v>-2607889.29248</v>
      </c>
    </row>
    <row r="1966">
      <c r="A1966" t="n" s="0">
        <v>-80.35</v>
      </c>
      <c r="B1966" t="n" s="0">
        <f>(-5-((((-5*(-5/((-5/(((-5*(-80.35--5))-(-5+((-5*-80.35)*(((-5--5)+(-80.35--5))+-80.35))))-(-5+-5)))*-5)))/-5)--5)+(-5*(((-80.35*(-80.35-(-5/-5)))*(-80.35-(-80.35/(-5*-80.35))))-(-5/-5)))))</f>
        <v>-2606917.509375</v>
      </c>
      <c r="C1966" t="n" s="0">
        <v>-2606917.5093749994</v>
      </c>
    </row>
    <row r="1967">
      <c r="A1967" t="n" s="0">
        <v>-80.34</v>
      </c>
      <c r="B1967" t="n" s="0">
        <f>(-5-((((-5*(-5/((-5/(((-5*(-80.34--5))-(-5+((-5*-80.34)*(((-5--5)+(-80.34--5))+-80.34))))-(-5+-5)))*-5)))/-5)--5)+(-5*(((-80.34*(-80.34-(-5/-5)))*(-80.34-(-80.34/(-5*-80.34))))-(-5/-5)))))</f>
        <v>-2605945.9677199996</v>
      </c>
      <c r="C1967" t="n" s="0">
        <v>-2605945.9677200005</v>
      </c>
    </row>
    <row r="1968">
      <c r="A1968" t="n" s="0">
        <v>-80.33</v>
      </c>
      <c r="B1968" t="n" s="0">
        <f>(-5-((((-5*(-5/((-5/(((-5*(-80.33--5))-(-5+((-5*-80.33)*(((-5--5)+(-80.33--5))+-80.33))))-(-5+-5)))*-5)))/-5)--5)+(-5*(((-80.33*(-80.33-(-5/-5)))*(-80.33-(-80.33/(-5*-80.33))))-(-5/-5)))))</f>
        <v>-2604974.667485</v>
      </c>
      <c r="C1968" t="n" s="0">
        <v>-2604974.6674849996</v>
      </c>
    </row>
    <row r="1969">
      <c r="A1969" t="n" s="0">
        <v>-80.32</v>
      </c>
      <c r="B1969" t="n" s="0">
        <f>(-5-((((-5*(-5/((-5/(((-5*(-80.32--5))-(-5+((-5*-80.32)*(((-5--5)+(-80.32--5))+-80.32))))-(-5+-5)))*-5)))/-5)--5)+(-5*(((-80.32*(-80.32-(-5/-5)))*(-80.32-(-80.32/(-5*-80.32))))-(-5/-5)))))</f>
        <v>-2604003.6086399998</v>
      </c>
      <c r="C1969" t="n" s="0">
        <v>-2604003.6086399993</v>
      </c>
    </row>
    <row r="1970">
      <c r="A1970" t="n" s="0">
        <v>-80.31</v>
      </c>
      <c r="B1970" t="n" s="0">
        <f>(-5-((((-5*(-5/((-5/(((-5*(-80.31--5))-(-5+((-5*-80.31)*(((-5--5)+(-80.31--5))+-80.31))))-(-5+-5)))*-5)))/-5)--5)+(-5*(((-80.31*(-80.31-(-5/-5)))*(-80.31-(-80.31/(-5*-80.31))))-(-5/-5)))))</f>
        <v>-2603032.791155</v>
      </c>
      <c r="C1970" t="n" s="0">
        <v>-2603032.791155</v>
      </c>
    </row>
    <row r="1971">
      <c r="A1971" t="n" s="0">
        <v>-80.3</v>
      </c>
      <c r="B1971" t="n" s="0">
        <f>(-5-((((-5*(-5/((-5/(((-5*(-80.3--5))-(-5+((-5*-80.3)*(((-5--5)+(-80.3--5))+-80.3))))-(-5+-5)))*-5)))/-5)--5)+(-5*(((-80.3*(-80.3-(-5/-5)))*(-80.3-(-80.3/(-5*-80.3))))-(-5/-5)))))</f>
        <v>-2602062.215</v>
      </c>
      <c r="C1971" t="n" s="0">
        <v>-2602062.215</v>
      </c>
    </row>
    <row r="1972">
      <c r="A1972" t="n" s="0">
        <v>-80.29</v>
      </c>
      <c r="B1972" t="n" s="0">
        <f>(-5-((((-5*(-5/((-5/(((-5*(-80.29--5))-(-5+((-5*-80.29)*(((-5--5)+(-80.29--5))+-80.29))))-(-5+-5)))*-5)))/-5)--5)+(-5*(((-80.29*(-80.29-(-5/-5)))*(-80.29-(-80.29/(-5*-80.29))))-(-5/-5)))))</f>
        <v>-2601091.8801450003</v>
      </c>
      <c r="C1972" t="n" s="0">
        <v>-2601091.8801450008</v>
      </c>
    </row>
    <row r="1973">
      <c r="A1973" t="n" s="0">
        <v>-80.28</v>
      </c>
      <c r="B1973" t="n" s="0">
        <f>(-5-((((-5*(-5/((-5/(((-5*(-80.28--5))-(-5+((-5*-80.28)*(((-5--5)+(-80.28--5))+-80.28))))-(-5+-5)))*-5)))/-5)--5)+(-5*(((-80.28*(-80.28-(-5/-5)))*(-80.28-(-80.28/(-5*-80.28))))-(-5/-5)))))</f>
        <v>-2600121.78656</v>
      </c>
      <c r="C1973" t="n" s="0">
        <v>-2600121.78656</v>
      </c>
    </row>
    <row r="1974">
      <c r="A1974" t="n" s="0">
        <v>-80.27</v>
      </c>
      <c r="B1974" t="n" s="0">
        <f>(-5-((((-5*(-5/((-5/(((-5*(-80.27--5))-(-5+((-5*-80.27)*(((-5--5)+(-80.27--5))+-80.27))))-(-5+-5)))*-5)))/-5)--5)+(-5*(((-80.27*(-80.27-(-5/-5)))*(-80.27-(-80.27/(-5*-80.27))))-(-5/-5)))))</f>
        <v>-2599151.934215</v>
      </c>
      <c r="C1974" t="n" s="0">
        <v>-2599151.9342149994</v>
      </c>
    </row>
    <row r="1975">
      <c r="A1975" t="n" s="0">
        <v>-80.26</v>
      </c>
      <c r="B1975" t="n" s="0">
        <f>(-5-((((-5*(-5/((-5/(((-5*(-80.26--5))-(-5+((-5*-80.26)*(((-5--5)+(-80.26--5))+-80.26))))-(-5+-5)))*-5)))/-5)--5)+(-5*(((-80.26*(-80.26-(-5/-5)))*(-80.26-(-80.26/(-5*-80.26))))-(-5/-5)))))</f>
        <v>-2598182.32308</v>
      </c>
      <c r="C1975" t="n" s="0">
        <v>-2598182.3230800005</v>
      </c>
    </row>
    <row r="1976">
      <c r="A1976" t="n" s="0">
        <v>-80.25</v>
      </c>
      <c r="B1976" t="n" s="0">
        <f>(-5-((((-5*(-5/((-5/(((-5*(-80.25--5))-(-5+((-5*-80.25)*(((-5--5)+(-80.25--5))+-80.25))))-(-5+-5)))*-5)))/-5)--5)+(-5*(((-80.25*(-80.25-(-5/-5)))*(-80.25-(-80.25/(-5*-80.25))))-(-5/-5)))))</f>
        <v>-2597212.953125</v>
      </c>
      <c r="C1976" t="n" s="0">
        <v>-2597212.953125</v>
      </c>
    </row>
    <row r="1977">
      <c r="A1977" t="n" s="0">
        <v>-80.24</v>
      </c>
      <c r="B1977" t="n" s="0">
        <f>(-5-((((-5*(-5/((-5/(((-5*(-80.24--5))-(-5+((-5*-80.24)*(((-5--5)+(-80.24--5))+-80.24))))-(-5+-5)))*-5)))/-5)--5)+(-5*(((-80.24*(-80.24-(-5/-5)))*(-80.24-(-80.24/(-5*-80.24))))-(-5/-5)))))</f>
        <v>-2596243.8243199997</v>
      </c>
      <c r="C1977" t="n" s="0">
        <v>-2596243.82432</v>
      </c>
    </row>
    <row r="1978">
      <c r="A1978" t="n" s="0">
        <v>-80.23</v>
      </c>
      <c r="B1978" t="n" s="0">
        <f>(-5-((((-5*(-5/((-5/(((-5*(-80.23--5))-(-5+((-5*-80.23)*(((-5--5)+(-80.23--5))+-80.23))))-(-5+-5)))*-5)))/-5)--5)+(-5*(((-80.23*(-80.23-(-5/-5)))*(-80.23-(-80.23/(-5*-80.23))))-(-5/-5)))))</f>
        <v>-2595274.9366349997</v>
      </c>
      <c r="C1978" t="n" s="0">
        <v>-2595274.9366350006</v>
      </c>
    </row>
    <row r="1979">
      <c r="A1979" t="n" s="0">
        <v>-80.22</v>
      </c>
      <c r="B1979" t="n" s="0">
        <f>(-5-((((-5*(-5/((-5/(((-5*(-80.22--5))-(-5+((-5*-80.22)*(((-5--5)+(-80.22--5))+-80.22))))-(-5+-5)))*-5)))/-5)--5)+(-5*(((-80.22*(-80.22-(-5/-5)))*(-80.22-(-80.22/(-5*-80.22))))-(-5/-5)))))</f>
        <v>-2594306.29004</v>
      </c>
      <c r="C1979" t="n" s="0">
        <v>-2594306.29004</v>
      </c>
    </row>
    <row r="1980">
      <c r="A1980" t="n" s="0">
        <v>-80.21</v>
      </c>
      <c r="B1980" t="n" s="0">
        <f>(-5-((((-5*(-5/((-5/(((-5*(-80.21--5))-(-5+((-5*-80.21)*(((-5--5)+(-80.21--5))+-80.21))))-(-5+-5)))*-5)))/-5)--5)+(-5*(((-80.21*(-80.21-(-5/-5)))*(-80.21-(-80.21/(-5*-80.21))))-(-5/-5)))))</f>
        <v>-2593337.884505</v>
      </c>
      <c r="C1980" t="n" s="0">
        <v>-2593337.884504999</v>
      </c>
    </row>
    <row r="1981">
      <c r="A1981" t="n" s="0">
        <v>-80.2</v>
      </c>
      <c r="B1981" t="n" s="0">
        <f>(-5-((((-5*(-5/((-5/(((-5*(-80.2--5))-(-5+((-5*-80.2)*(((-5--5)+(-80.2--5))+-80.2))))-(-5+-5)))*-5)))/-5)--5)+(-5*(((-80.2*(-80.2-(-5/-5)))*(-80.2-(-80.2/(-5*-80.2))))-(-5/-5)))))</f>
        <v>-2592369.72</v>
      </c>
      <c r="C1981" t="n" s="0">
        <v>-2592369.7200000007</v>
      </c>
    </row>
    <row r="1982">
      <c r="A1982" t="n" s="0">
        <v>-80.19</v>
      </c>
      <c r="B1982" t="n" s="0">
        <f>(-5-((((-5*(-5/((-5/(((-5*(-80.19--5))-(-5+((-5*-80.19)*(((-5--5)+(-80.19--5))+-80.19))))-(-5+-5)))*-5)))/-5)--5)+(-5*(((-80.19*(-80.19-(-5/-5)))*(-80.19-(-80.19/(-5*-80.19))))-(-5/-5)))))</f>
        <v>-2591401.7964950004</v>
      </c>
      <c r="C1982" t="n" s="0">
        <v>-2591401.7964949994</v>
      </c>
    </row>
    <row r="1983">
      <c r="A1983" t="n" s="0">
        <v>-80.18</v>
      </c>
      <c r="B1983" t="n" s="0">
        <f>(-5-((((-5*(-5/((-5/(((-5*(-80.18--5))-(-5+((-5*-80.18)*(((-5--5)+(-80.18--5))+-80.18))))-(-5+-5)))*-5)))/-5)--5)+(-5*(((-80.18*(-80.18-(-5/-5)))*(-80.18-(-80.18/(-5*-80.18))))-(-5/-5)))))</f>
        <v>-2590434.1139599998</v>
      </c>
      <c r="C1983" t="n" s="0">
        <v>-2590434.1139600007</v>
      </c>
    </row>
    <row r="1984">
      <c r="A1984" t="n" s="0">
        <v>-80.17</v>
      </c>
      <c r="B1984" t="n" s="0">
        <f>(-5-((((-5*(-5/((-5/(((-5*(-80.17--5))-(-5+((-5*-80.17)*(((-5--5)+(-80.17--5))+-80.17))))-(-5+-5)))*-5)))/-5)--5)+(-5*(((-80.17*(-80.17-(-5/-5)))*(-80.17-(-80.17/(-5*-80.17))))-(-5/-5)))))</f>
        <v>-2589466.672365</v>
      </c>
      <c r="C1984" t="n" s="0">
        <v>-2589466.672365</v>
      </c>
    </row>
    <row r="1985">
      <c r="A1985" t="n" s="0">
        <v>-80.16</v>
      </c>
      <c r="B1985" t="n" s="0">
        <f>(-5-((((-5*(-5/((-5/(((-5*(-80.16--5))-(-5+((-5*-80.16)*(((-5--5)+(-80.16--5))+-80.16))))-(-5+-5)))*-5)))/-5)--5)+(-5*(((-80.16*(-80.16-(-5/-5)))*(-80.16-(-80.16/(-5*-80.16))))-(-5/-5)))))</f>
        <v>-2588499.47168</v>
      </c>
      <c r="C1985" t="n" s="0">
        <v>-2588499.4716799995</v>
      </c>
    </row>
    <row r="1986">
      <c r="A1986" t="n" s="0">
        <v>-80.15</v>
      </c>
      <c r="B1986" t="n" s="0">
        <f>(-5-((((-5*(-5/((-5/(((-5*(-80.15--5))-(-5+((-5*-80.15)*(((-5--5)+(-80.15--5))+-80.15))))-(-5+-5)))*-5)))/-5)--5)+(-5*(((-80.15*(-80.15-(-5/-5)))*(-80.15-(-80.15/(-5*-80.15))))-(-5/-5)))))</f>
        <v>-2587532.5118750003</v>
      </c>
      <c r="C1986" t="n" s="0">
        <v>-2587532.511875001</v>
      </c>
    </row>
    <row r="1987">
      <c r="A1987" t="n" s="0">
        <v>-80.14</v>
      </c>
      <c r="B1987" t="n" s="0">
        <f>(-5-((((-5*(-5/((-5/(((-5*(-80.14--5))-(-5+((-5*-80.14)*(((-5--5)+(-80.14--5))+-80.14))))-(-5+-5)))*-5)))/-5)--5)+(-5*(((-80.14*(-80.14-(-5/-5)))*(-80.14-(-80.14/(-5*-80.14))))-(-5/-5)))))</f>
        <v>-2586565.79292</v>
      </c>
      <c r="C1987" t="n" s="0">
        <v>-2586565.79292</v>
      </c>
    </row>
    <row r="1988">
      <c r="A1988" t="n" s="0">
        <v>-80.13</v>
      </c>
      <c r="B1988" t="n" s="0">
        <f>(-5-((((-5*(-5/((-5/(((-5*(-80.13--5))-(-5+((-5*-80.13)*(((-5--5)+(-80.13--5))+-80.13))))-(-5+-5)))*-5)))/-5)--5)+(-5*(((-80.13*(-80.13-(-5/-5)))*(-80.13-(-80.13/(-5*-80.13))))-(-5/-5)))))</f>
        <v>-2585599.314785</v>
      </c>
      <c r="C1988" t="n" s="0">
        <v>-2585599.3147849995</v>
      </c>
    </row>
    <row r="1989">
      <c r="A1989" t="n" s="0">
        <v>-80.12</v>
      </c>
      <c r="B1989" t="n" s="0">
        <f>(-5-((((-5*(-5/((-5/(((-5*(-80.12--5))-(-5+((-5*-80.12)*(((-5--5)+(-80.12--5))+-80.12))))-(-5+-5)))*-5)))/-5)--5)+(-5*(((-80.12*(-80.12-(-5/-5)))*(-80.12-(-80.12/(-5*-80.12))))-(-5/-5)))))</f>
        <v>-2584633.07744</v>
      </c>
      <c r="C1989" t="n" s="0">
        <v>-2584633.07744</v>
      </c>
    </row>
    <row r="1990">
      <c r="A1990" t="n" s="0">
        <v>-80.11</v>
      </c>
      <c r="B1990" t="n" s="0">
        <f>(-5-((((-5*(-5/((-5/(((-5*(-80.11--5))-(-5+((-5*-80.11)*(((-5--5)+(-80.11--5))+-80.11))))-(-5+-5)))*-5)))/-5)--5)+(-5*(((-80.11*(-80.11-(-5/-5)))*(-80.11-(-80.11/(-5*-80.11))))-(-5/-5)))))</f>
        <v>-2583667.080855</v>
      </c>
      <c r="C1990" t="n" s="0">
        <v>-2583667.080855</v>
      </c>
    </row>
    <row r="1991">
      <c r="A1991" t="n" s="0">
        <v>-80.1</v>
      </c>
      <c r="B1991" t="n" s="0">
        <f>(-5-((((-5*(-5/((-5/(((-5*(-80.1--5))-(-5+((-5*-80.1)*(((-5--5)+(-80.1--5))+-80.1))))-(-5+-5)))*-5)))/-5)--5)+(-5*(((-80.1*(-80.1-(-5/-5)))*(-80.1-(-80.1/(-5*-80.1))))-(-5/-5)))))</f>
        <v>-2582701.3249999997</v>
      </c>
      <c r="C1991" t="n" s="0">
        <v>-2582701.3249999993</v>
      </c>
    </row>
    <row r="1992">
      <c r="A1992" t="n" s="0">
        <v>-80.09</v>
      </c>
      <c r="B1992" t="n" s="0">
        <f>(-5-((((-5*(-5/((-5/(((-5*(-80.09--5))-(-5+((-5*-80.09)*(((-5--5)+(-80.09--5))+-80.09))))-(-5+-5)))*-5)))/-5)--5)+(-5*(((-80.09*(-80.09-(-5/-5)))*(-80.09-(-80.09/(-5*-80.09))))-(-5/-5)))))</f>
        <v>-2581735.809845</v>
      </c>
      <c r="C1992" t="n" s="0">
        <v>-2581735.809845</v>
      </c>
    </row>
    <row r="1993">
      <c r="A1993" t="n" s="0">
        <v>-80.08</v>
      </c>
      <c r="B1993" t="n" s="0">
        <f>(-5-((((-5*(-5/((-5/(((-5*(-80.08--5))-(-5+((-5*-80.08)*(((-5--5)+(-80.08--5))+-80.08))))-(-5+-5)))*-5)))/-5)--5)+(-5*(((-80.08*(-80.08-(-5/-5)))*(-80.08-(-80.08/(-5*-80.08))))-(-5/-5)))))</f>
        <v>-2580770.53536</v>
      </c>
      <c r="C1993" t="n" s="0">
        <v>-2580770.5353599996</v>
      </c>
    </row>
    <row r="1994">
      <c r="A1994" t="n" s="0">
        <v>-80.07</v>
      </c>
      <c r="B1994" t="n" s="0">
        <f>(-5-((((-5*(-5/((-5/(((-5*(-80.07--5))-(-5+((-5*-80.07)*(((-5--5)+(-80.07--5))+-80.07))))-(-5+-5)))*-5)))/-5)--5)+(-5*(((-80.07*(-80.07-(-5/-5)))*(-80.07-(-80.07/(-5*-80.07))))-(-5/-5)))))</f>
        <v>-2579805.5015149997</v>
      </c>
      <c r="C1994" t="n" s="0">
        <v>-2579805.501514999</v>
      </c>
    </row>
    <row r="1995">
      <c r="A1995" t="n" s="0">
        <v>-80.06</v>
      </c>
      <c r="B1995" t="n" s="0">
        <f>(-5-((((-5*(-5/((-5/(((-5*(-80.06--5))-(-5+((-5*-80.06)*(((-5--5)+(-80.06--5))+-80.06))))-(-5+-5)))*-5)))/-5)--5)+(-5*(((-80.06*(-80.06-(-5/-5)))*(-80.06-(-80.06/(-5*-80.06))))-(-5/-5)))))</f>
        <v>-2578840.7082800004</v>
      </c>
      <c r="C1995" t="n" s="0">
        <v>-2578840.7082800004</v>
      </c>
    </row>
    <row r="1996">
      <c r="A1996" t="n" s="0">
        <v>-80.05</v>
      </c>
      <c r="B1996" t="n" s="0">
        <f>(-5-((((-5*(-5/((-5/(((-5*(-80.05--5))-(-5+((-5*-80.05)*(((-5--5)+(-80.05--5))+-80.05))))-(-5+-5)))*-5)))/-5)--5)+(-5*(((-80.05*(-80.05-(-5/-5)))*(-80.05-(-80.05/(-5*-80.05))))-(-5/-5)))))</f>
        <v>-2577876.1556249997</v>
      </c>
      <c r="C1996" t="n" s="0">
        <v>-2577876.1556249997</v>
      </c>
    </row>
    <row r="1997">
      <c r="A1997" t="n" s="0">
        <v>-80.04</v>
      </c>
      <c r="B1997" t="n" s="0">
        <f>(-5-((((-5*(-5/((-5/(((-5*(-80.04--5))-(-5+((-5*-80.04)*(((-5--5)+(-80.04--5))+-80.04))))-(-5+-5)))*-5)))/-5)--5)+(-5*(((-80.04*(-80.04-(-5/-5)))*(-80.04-(-80.04/(-5*-80.04))))-(-5/-5)))))</f>
        <v>-2576911.84352</v>
      </c>
      <c r="C1997" t="n" s="0">
        <v>-2576911.8435200006</v>
      </c>
    </row>
    <row r="1998">
      <c r="A1998" t="n" s="0">
        <v>-80.03</v>
      </c>
      <c r="B1998" t="n" s="0">
        <f>(-5-((((-5*(-5/((-5/(((-5*(-80.03--5))-(-5+((-5*-80.03)*(((-5--5)+(-80.03--5))+-80.03))))-(-5+-5)))*-5)))/-5)--5)+(-5*(((-80.03*(-80.03-(-5/-5)))*(-80.03-(-80.03/(-5*-80.03))))-(-5/-5)))))</f>
        <v>-2575947.7719349996</v>
      </c>
      <c r="C1998" t="n" s="0">
        <v>-2575947.771935</v>
      </c>
    </row>
    <row r="1999">
      <c r="A1999" t="n" s="0">
        <v>-80.02</v>
      </c>
      <c r="B1999" t="n" s="0">
        <f>(-5-((((-5*(-5/((-5/(((-5*(-80.02--5))-(-5+((-5*-80.02)*(((-5--5)+(-80.02--5))+-80.02))))-(-5+-5)))*-5)))/-5)--5)+(-5*(((-80.02*(-80.02-(-5/-5)))*(-80.02-(-80.02/(-5*-80.02))))-(-5/-5)))))</f>
        <v>-2574983.9408400003</v>
      </c>
      <c r="C1999" t="n" s="0">
        <v>-2574983.9408399994</v>
      </c>
    </row>
    <row r="2000">
      <c r="A2000" t="n" s="0">
        <v>-80.01</v>
      </c>
      <c r="B2000" t="n" s="0">
        <f>(-5-((((-5*(-5/((-5/(((-5*(-80.01--5))-(-5+((-5*-80.01)*(((-5--5)+(-80.01--5))+-80.01))))-(-5+-5)))*-5)))/-5)--5)+(-5*(((-80.01*(-80.01-(-5/-5)))*(-80.01-(-80.01/(-5*-80.01))))-(-5/-5)))))</f>
        <v>-2574020.350205</v>
      </c>
      <c r="C2000" t="n" s="0">
        <v>-2574020.350205</v>
      </c>
    </row>
    <row r="2001">
      <c r="A2001" t="n" s="0">
        <v>-80.0</v>
      </c>
      <c r="B2001" t="n" s="0">
        <f>(-5-((((-5*(-5/((-5/(((-5*(-80--5))-(-5+((-5*-80)*(((-5--5)+(-80--5))+-80))))-(-5+-5)))*-5)))/-5)--5)+(-5*(((-80*(-80-(-5/-5)))*(-80-(-80/(-5*-80))))-(-5/-5)))))</f>
        <v>-2573057.0</v>
      </c>
      <c r="C2001" t="n" s="0">
        <v>-2573057.0</v>
      </c>
    </row>
    <row r="2002">
      <c r="A2002" t="n" s="0">
        <v>-79.99</v>
      </c>
      <c r="B2002" t="n" s="0">
        <f>(-5-((((-5*(-5/((-5/(((-5*(-79.99--5))-(-5+((-5*-79.99)*(((-5--5)+(-79.99--5))+-79.99))))-(-5+-5)))*-5)))/-5)--5)+(-5*(((-79.99*(-79.99-(-5/-5)))*(-79.99-(-79.99/(-5*-79.99))))-(-5/-5)))))</f>
        <v>-2572093.890195</v>
      </c>
      <c r="C2002" t="n" s="0">
        <v>-2572093.8901949995</v>
      </c>
    </row>
    <row r="2003">
      <c r="A2003" t="n" s="0">
        <v>-79.98</v>
      </c>
      <c r="B2003" t="n" s="0">
        <f>(-5-((((-5*(-5/((-5/(((-5*(-79.98--5))-(-5+((-5*-79.98)*(((-5--5)+(-79.98--5))+-79.98))))-(-5+-5)))*-5)))/-5)--5)+(-5*(((-79.98*(-79.98-(-5/-5)))*(-79.98-(-79.98/(-5*-79.98))))-(-5/-5)))))</f>
        <v>-2571131.0207599998</v>
      </c>
      <c r="C2003" t="n" s="0">
        <v>-2571131.02076</v>
      </c>
    </row>
    <row r="2004">
      <c r="A2004" t="n" s="0">
        <v>-79.97</v>
      </c>
      <c r="B2004" t="n" s="0">
        <f>(-5-((((-5*(-5/((-5/(((-5*(-79.97--5))-(-5+((-5*-79.97)*(((-5--5)+(-79.97--5))+-79.97))))-(-5+-5)))*-5)))/-5)--5)+(-5*(((-79.97*(-79.97-(-5/-5)))*(-79.97-(-79.97/(-5*-79.97))))-(-5/-5)))))</f>
        <v>-2570168.391665</v>
      </c>
      <c r="C2004" t="n" s="0">
        <v>-2570168.391665</v>
      </c>
    </row>
    <row r="2005">
      <c r="A2005" t="n" s="0">
        <v>-79.96</v>
      </c>
      <c r="B2005" t="n" s="0">
        <f>(-5-((((-5*(-5/((-5/(((-5*(-79.96--5))-(-5+((-5*-79.96)*(((-5--5)+(-79.96--5))+-79.96))))-(-5+-5)))*-5)))/-5)--5)+(-5*(((-79.96*(-79.96-(-5/-5)))*(-79.96-(-79.96/(-5*-79.96))))-(-5/-5)))))</f>
        <v>-2569206.00288</v>
      </c>
      <c r="C2005" t="n" s="0">
        <v>-2569206.002879999</v>
      </c>
    </row>
    <row r="2006">
      <c r="A2006" t="n" s="0">
        <v>-79.95</v>
      </c>
      <c r="B2006" t="n" s="0">
        <f>(-5-((((-5*(-5/((-5/(((-5*(-79.95--5))-(-5+((-5*-79.95)*(((-5--5)+(-79.95--5))+-79.95))))-(-5+-5)))*-5)))/-5)--5)+(-5*(((-79.95*(-79.95-(-5/-5)))*(-79.95-(-79.95/(-5*-79.95))))-(-5/-5)))))</f>
        <v>-2568243.854375</v>
      </c>
      <c r="C2006" t="n" s="0">
        <v>-2568243.8543750006</v>
      </c>
    </row>
    <row r="2007">
      <c r="A2007" t="n" s="0">
        <v>-79.94</v>
      </c>
      <c r="B2007" t="n" s="0">
        <f>(-5-((((-5*(-5/((-5/(((-5*(-79.94--5))-(-5+((-5*-79.94)*(((-5--5)+(-79.94--5))+-79.94))))-(-5+-5)))*-5)))/-5)--5)+(-5*(((-79.94*(-79.94-(-5/-5)))*(-79.94-(-79.94/(-5*-79.94))))-(-5/-5)))))</f>
        <v>-2567281.94612</v>
      </c>
      <c r="C2007" t="n" s="0">
        <v>-2567281.9461199995</v>
      </c>
    </row>
    <row r="2008">
      <c r="A2008" t="n" s="0">
        <v>-79.93</v>
      </c>
      <c r="B2008" t="n" s="0">
        <f>(-5-((((-5*(-5/((-5/(((-5*(-79.93--5))-(-5+((-5*-79.93)*(((-5--5)+(-79.93--5))+-79.93))))-(-5+-5)))*-5)))/-5)--5)+(-5*(((-79.93*(-79.93-(-5/-5)))*(-79.93-(-79.93/(-5*-79.93))))-(-5/-5)))))</f>
        <v>-2566320.278085</v>
      </c>
      <c r="C2008" t="n" s="0">
        <v>-2566320.2780850013</v>
      </c>
    </row>
    <row r="2009">
      <c r="A2009" t="n" s="0">
        <v>-79.92</v>
      </c>
      <c r="B2009" t="n" s="0">
        <f>(-5-((((-5*(-5/((-5/(((-5*(-79.92--5))-(-5+((-5*-79.92)*(((-5--5)+(-79.92--5))+-79.92))))-(-5+-5)))*-5)))/-5)--5)+(-5*(((-79.92*(-79.92-(-5/-5)))*(-79.92-(-79.92/(-5*-79.92))))-(-5/-5)))))</f>
        <v>-2565358.85024</v>
      </c>
      <c r="C2009" t="n" s="0">
        <v>-2565358.85024</v>
      </c>
    </row>
    <row r="2010">
      <c r="A2010" t="n" s="0">
        <v>-79.91</v>
      </c>
      <c r="B2010" t="n" s="0">
        <f>(-5-((((-5*(-5/((-5/(((-5*(-79.91--5))-(-5+((-5*-79.91)*(((-5--5)+(-79.91--5))+-79.91))))-(-5+-5)))*-5)))/-5)--5)+(-5*(((-79.91*(-79.91-(-5/-5)))*(-79.91-(-79.91/(-5*-79.91))))-(-5/-5)))))</f>
        <v>-2564397.662555</v>
      </c>
      <c r="C2010" t="n" s="0">
        <v>-2564397.662555</v>
      </c>
    </row>
    <row r="2011">
      <c r="A2011" t="n" s="0">
        <v>-79.9</v>
      </c>
      <c r="B2011" t="n" s="0">
        <f>(-5-((((-5*(-5/((-5/(((-5*(-79.9--5))-(-5+((-5*-79.9)*(((-5--5)+(-79.9--5))+-79.9))))-(-5+-5)))*-5)))/-5)--5)+(-5*(((-79.9*(-79.9-(-5/-5)))*(-79.9-(-79.9/(-5*-79.9))))-(-5/-5)))))</f>
        <v>-2563436.715</v>
      </c>
      <c r="C2011" t="n" s="0">
        <v>-2563436.715000001</v>
      </c>
    </row>
    <row r="2012">
      <c r="A2012" t="n" s="0">
        <v>-79.89</v>
      </c>
      <c r="B2012" t="n" s="0">
        <f>(-5-((((-5*(-5/((-5/(((-5*(-79.89--5))-(-5+((-5*-79.89)*(((-5--5)+(-79.89--5))+-79.89))))-(-5+-5)))*-5)))/-5)--5)+(-5*(((-79.89*(-79.89-(-5/-5)))*(-79.89-(-79.89/(-5*-79.89))))-(-5/-5)))))</f>
        <v>-2562476.007545</v>
      </c>
      <c r="C2012" t="n" s="0">
        <v>-2562476.0075450004</v>
      </c>
    </row>
    <row r="2013">
      <c r="A2013" t="n" s="0">
        <v>-79.88</v>
      </c>
      <c r="B2013" t="n" s="0">
        <f>(-5-((((-5*(-5/((-5/(((-5*(-79.88--5))-(-5+((-5*-79.88)*(((-5--5)+(-79.88--5))+-79.88))))-(-5+-5)))*-5)))/-5)--5)+(-5*(((-79.88*(-79.88-(-5/-5)))*(-79.88-(-79.88/(-5*-79.88))))-(-5/-5)))))</f>
        <v>-2561515.54016</v>
      </c>
      <c r="C2013" t="n" s="0">
        <v>-2561515.54016</v>
      </c>
    </row>
    <row r="2014">
      <c r="A2014" t="n" s="0">
        <v>-79.87</v>
      </c>
      <c r="B2014" t="n" s="0">
        <f>(-5-((((-5*(-5/((-5/(((-5*(-79.87--5))-(-5+((-5*-79.87)*(((-5--5)+(-79.87--5))+-79.87))))-(-5+-5)))*-5)))/-5)--5)+(-5*(((-79.87*(-79.87-(-5/-5)))*(-79.87-(-79.87/(-5*-79.87))))-(-5/-5)))))</f>
        <v>-2560555.3128150003</v>
      </c>
      <c r="C2014" t="n" s="0">
        <v>-2560555.3128150003</v>
      </c>
    </row>
    <row r="2015">
      <c r="A2015" t="n" s="0">
        <v>-79.86</v>
      </c>
      <c r="B2015" t="n" s="0">
        <f>(-5-((((-5*(-5/((-5/(((-5*(-79.86--5))-(-5+((-5*-79.86)*(((-5--5)+(-79.86--5))+-79.86))))-(-5+-5)))*-5)))/-5)--5)+(-5*(((-79.86*(-79.86-(-5/-5)))*(-79.86-(-79.86/(-5*-79.86))))-(-5/-5)))))</f>
        <v>-2559595.32548</v>
      </c>
      <c r="C2015" t="n" s="0">
        <v>-2559595.32548</v>
      </c>
    </row>
    <row r="2016">
      <c r="A2016" t="n" s="0">
        <v>-79.85</v>
      </c>
      <c r="B2016" t="n" s="0">
        <f>(-5-((((-5*(-5/((-5/(((-5*(-79.85--5))-(-5+((-5*-79.85)*(((-5--5)+(-79.85--5))+-79.85))))-(-5+-5)))*-5)))/-5)--5)+(-5*(((-79.85*(-79.85-(-5/-5)))*(-79.85-(-79.85/(-5*-79.85))))-(-5/-5)))))</f>
        <v>-2558635.578125</v>
      </c>
      <c r="C2016" t="n" s="0">
        <v>-2558635.578124999</v>
      </c>
    </row>
    <row r="2017">
      <c r="A2017" t="n" s="0">
        <v>-79.84</v>
      </c>
      <c r="B2017" t="n" s="0">
        <f>(-5-((((-5*(-5/((-5/(((-5*(-79.84--5))-(-5+((-5*-79.84)*(((-5--5)+(-79.84--5))+-79.84))))-(-5+-5)))*-5)))/-5)--5)+(-5*(((-79.84*(-79.84-(-5/-5)))*(-79.84-(-79.84/(-5*-79.84))))-(-5/-5)))))</f>
        <v>-2557676.0707199997</v>
      </c>
      <c r="C2017" t="n" s="0">
        <v>-2557676.07072</v>
      </c>
    </row>
    <row r="2018">
      <c r="A2018" t="n" s="0">
        <v>-79.83</v>
      </c>
      <c r="B2018" t="n" s="0">
        <f>(-5-((((-5*(-5/((-5/(((-5*(-79.83--5))-(-5+((-5*-79.83)*(((-5--5)+(-79.83--5))+-79.83))))-(-5+-5)))*-5)))/-5)--5)+(-5*(((-79.83*(-79.83-(-5/-5)))*(-79.83-(-79.83/(-5*-79.83))))-(-5/-5)))))</f>
        <v>-2556716.803235</v>
      </c>
      <c r="C2018" t="n" s="0">
        <v>-2556716.803235</v>
      </c>
    </row>
    <row r="2019">
      <c r="A2019" t="n" s="0">
        <v>-79.82</v>
      </c>
      <c r="B2019" t="n" s="0">
        <f>(-5-((((-5*(-5/((-5/(((-5*(-79.82--5))-(-5+((-5*-79.82)*(((-5--5)+(-79.82--5))+-79.82))))-(-5+-5)))*-5)))/-5)--5)+(-5*(((-79.82*(-79.82-(-5/-5)))*(-79.82-(-79.82/(-5*-79.82))))-(-5/-5)))))</f>
        <v>-2555757.77564</v>
      </c>
      <c r="C2019" t="n" s="0">
        <v>-2555757.775639999</v>
      </c>
    </row>
    <row r="2020">
      <c r="A2020" t="n" s="0">
        <v>-79.81</v>
      </c>
      <c r="B2020" t="n" s="0">
        <f>(-5-((((-5*(-5/((-5/(((-5*(-79.81--5))-(-5+((-5*-79.81)*(((-5--5)+(-79.81--5))+-79.81))))-(-5+-5)))*-5)))/-5)--5)+(-5*(((-79.81*(-79.81-(-5/-5)))*(-79.81-(-79.81/(-5*-79.81))))-(-5/-5)))))</f>
        <v>-2554798.9879050003</v>
      </c>
      <c r="C2020" t="n" s="0">
        <v>-2554798.9879050003</v>
      </c>
    </row>
    <row r="2021">
      <c r="A2021" t="n" s="0">
        <v>-79.8</v>
      </c>
      <c r="B2021" t="n" s="0">
        <f>(-5-((((-5*(-5/((-5/(((-5*(-79.8--5))-(-5+((-5*-79.8)*(((-5--5)+(-79.8--5))+-79.8))))-(-5+-5)))*-5)))/-5)--5)+(-5*(((-79.8*(-79.8-(-5/-5)))*(-79.8-(-79.8/(-5*-79.8))))-(-5/-5)))))</f>
        <v>-2553840.44</v>
      </c>
      <c r="C2021" t="n" s="0">
        <v>-2553840.44</v>
      </c>
    </row>
    <row r="2022">
      <c r="A2022" t="n" s="0">
        <v>-79.79</v>
      </c>
      <c r="B2022" t="n" s="0">
        <f>(-5-((((-5*(-5/((-5/(((-5*(-79.79--5))-(-5+((-5*-79.79)*(((-5--5)+(-79.79--5))+-79.79))))-(-5+-5)))*-5)))/-5)--5)+(-5*(((-79.79*(-79.79-(-5/-5)))*(-79.79-(-79.79/(-5*-79.79))))-(-5/-5)))))</f>
        <v>-2552882.131895</v>
      </c>
      <c r="C2022" t="n" s="0">
        <v>-2552882.1318950006</v>
      </c>
    </row>
    <row r="2023">
      <c r="A2023" t="n" s="0">
        <v>-79.78</v>
      </c>
      <c r="B2023" t="n" s="0">
        <f>(-5-((((-5*(-5/((-5/(((-5*(-79.78--5))-(-5+((-5*-79.78)*(((-5--5)+(-79.78--5))+-79.78))))-(-5+-5)))*-5)))/-5)--5)+(-5*(((-79.78*(-79.78-(-5/-5)))*(-79.78-(-79.78/(-5*-79.78))))-(-5/-5)))))</f>
        <v>-2551924.06356</v>
      </c>
      <c r="C2023" t="n" s="0">
        <v>-2551924.06356</v>
      </c>
    </row>
    <row r="2024">
      <c r="A2024" t="n" s="0">
        <v>-79.77</v>
      </c>
      <c r="B2024" t="n" s="0">
        <f>(-5-((((-5*(-5/((-5/(((-5*(-79.77--5))-(-5+((-5*-79.77)*(((-5--5)+(-79.77--5))+-79.77))))-(-5+-5)))*-5)))/-5)--5)+(-5*(((-79.77*(-79.77-(-5/-5)))*(-79.77-(-79.77/(-5*-79.77))))-(-5/-5)))))</f>
        <v>-2550966.2349650003</v>
      </c>
      <c r="C2024" t="n" s="0">
        <v>-2550966.2349649994</v>
      </c>
    </row>
    <row r="2025">
      <c r="A2025" t="n" s="0">
        <v>-79.76</v>
      </c>
      <c r="B2025" t="n" s="0">
        <f>(-5-((((-5*(-5/((-5/(((-5*(-79.76--5))-(-5+((-5*-79.76)*(((-5--5)+(-79.76--5))+-79.76))))-(-5+-5)))*-5)))/-5)--5)+(-5*(((-79.76*(-79.76-(-5/-5)))*(-79.76-(-79.76/(-5*-79.76))))-(-5/-5)))))</f>
        <v>-2550008.64608</v>
      </c>
      <c r="C2025" t="n" s="0">
        <v>-2550008.6460800003</v>
      </c>
    </row>
    <row r="2026">
      <c r="A2026" t="n" s="0">
        <v>-79.75</v>
      </c>
      <c r="B2026" t="n" s="0">
        <f>(-5-((((-5*(-5/((-5/(((-5*(-79.75--5))-(-5+((-5*-79.75)*(((-5--5)+(-79.75--5))+-79.75))))-(-5+-5)))*-5)))/-5)--5)+(-5*(((-79.75*(-79.75-(-5/-5)))*(-79.75-(-79.75/(-5*-79.75))))-(-5/-5)))))</f>
        <v>-2549051.296875</v>
      </c>
      <c r="C2026" t="n" s="0">
        <v>-2549051.296875</v>
      </c>
    </row>
    <row r="2027">
      <c r="A2027" t="n" s="0">
        <v>-79.74</v>
      </c>
      <c r="B2027" t="n" s="0">
        <f>(-5-((((-5*(-5/((-5/(((-5*(-79.74--5))-(-5+((-5*-79.74)*(((-5--5)+(-79.74--5))+-79.74))))-(-5+-5)))*-5)))/-5)--5)+(-5*(((-79.74*(-79.74-(-5/-5)))*(-79.74-(-79.74/(-5*-79.74))))-(-5/-5)))))</f>
        <v>-2548094.1873199996</v>
      </c>
      <c r="C2027" t="n" s="0">
        <v>-2548094.18732</v>
      </c>
    </row>
    <row r="2028">
      <c r="A2028" t="n" s="0">
        <v>-79.73</v>
      </c>
      <c r="B2028" t="n" s="0">
        <f>(-5-((((-5*(-5/((-5/(((-5*(-79.73--5))-(-5+((-5*-79.73)*(((-5--5)+(-79.73--5))+-79.73))))-(-5+-5)))*-5)))/-5)--5)+(-5*(((-79.73*(-79.73-(-5/-5)))*(-79.73-(-79.73/(-5*-79.73))))-(-5/-5)))))</f>
        <v>-2547137.3173849997</v>
      </c>
      <c r="C2028" t="n" s="0">
        <v>-2547137.317385</v>
      </c>
    </row>
    <row r="2029">
      <c r="A2029" t="n" s="0">
        <v>-79.72</v>
      </c>
      <c r="B2029" t="n" s="0">
        <f>(-5-((((-5*(-5/((-5/(((-5*(-79.72--5))-(-5+((-5*-79.72)*(((-5--5)+(-79.72--5))+-79.72))))-(-5+-5)))*-5)))/-5)--5)+(-5*(((-79.72*(-79.72-(-5/-5)))*(-79.72-(-79.72/(-5*-79.72))))-(-5/-5)))))</f>
        <v>-2546180.6870399998</v>
      </c>
      <c r="C2029" t="n" s="0">
        <v>-2546180.6870399998</v>
      </c>
    </row>
    <row r="2030">
      <c r="A2030" t="n" s="0">
        <v>-79.71</v>
      </c>
      <c r="B2030" t="n" s="0">
        <f>(-5-((((-5*(-5/((-5/(((-5*(-79.71--5))-(-5+((-5*-79.71)*(((-5--5)+(-79.71--5))+-79.71))))-(-5+-5)))*-5)))/-5)--5)+(-5*(((-79.71*(-79.71-(-5/-5)))*(-79.71-(-79.71/(-5*-79.71))))-(-5/-5)))))</f>
        <v>-2545224.296255</v>
      </c>
      <c r="C2030" t="n" s="0">
        <v>-2545224.296254999</v>
      </c>
    </row>
    <row r="2031">
      <c r="A2031" t="n" s="0">
        <v>-79.7</v>
      </c>
      <c r="B2031" t="n" s="0">
        <f>(-5-((((-5*(-5/((-5/(((-5*(-79.7--5))-(-5+((-5*-79.7)*(((-5--5)+(-79.7--5))+-79.7))))-(-5+-5)))*-5)))/-5)--5)+(-5*(((-79.7*(-79.7-(-5/-5)))*(-79.7-(-79.7/(-5*-79.7))))-(-5/-5)))))</f>
        <v>-2544268.145</v>
      </c>
      <c r="C2031" t="n" s="0">
        <v>-2544268.1450000005</v>
      </c>
    </row>
    <row r="2032">
      <c r="A2032" t="n" s="0">
        <v>-79.69</v>
      </c>
      <c r="B2032" t="n" s="0">
        <f>(-5-((((-5*(-5/((-5/(((-5*(-79.69--5))-(-5+((-5*-79.69)*(((-5--5)+(-79.69--5))+-79.69))))-(-5+-5)))*-5)))/-5)--5)+(-5*(((-79.69*(-79.69-(-5/-5)))*(-79.69-(-79.69/(-5*-79.69))))-(-5/-5)))))</f>
        <v>-2543312.2332450002</v>
      </c>
      <c r="C2032" t="n" s="0">
        <v>-2543312.233245</v>
      </c>
    </row>
    <row r="2033">
      <c r="A2033" t="n" s="0">
        <v>-79.68</v>
      </c>
      <c r="B2033" t="n" s="0">
        <f>(-5-((((-5*(-5/((-5/(((-5*(-79.68--5))-(-5+((-5*-79.68)*(((-5--5)+(-79.68--5))+-79.68))))-(-5+-5)))*-5)))/-5)--5)+(-5*(((-79.68*(-79.68-(-5/-5)))*(-79.68-(-79.68/(-5*-79.68))))-(-5/-5)))))</f>
        <v>-2542356.5609600004</v>
      </c>
      <c r="C2033" t="n" s="0">
        <v>-2542356.560960001</v>
      </c>
    </row>
    <row r="2034">
      <c r="A2034" t="n" s="0">
        <v>-79.67</v>
      </c>
      <c r="B2034" t="n" s="0">
        <f>(-5-((((-5*(-5/((-5/(((-5*(-79.67--5))-(-5+((-5*-79.67)*(((-5--5)+(-79.67--5))+-79.67))))-(-5+-5)))*-5)))/-5)--5)+(-5*(((-79.67*(-79.67-(-5/-5)))*(-79.67-(-79.67/(-5*-79.67))))-(-5/-5)))))</f>
        <v>-2541401.128115</v>
      </c>
      <c r="C2034" t="n" s="0">
        <v>-2541401.128115</v>
      </c>
    </row>
    <row r="2035">
      <c r="A2035" t="n" s="0">
        <v>-79.66</v>
      </c>
      <c r="B2035" t="n" s="0">
        <f>(-5-((((-5*(-5/((-5/(((-5*(-79.66--5))-(-5+((-5*-79.66)*(((-5--5)+(-79.66--5))+-79.66))))-(-5+-5)))*-5)))/-5)--5)+(-5*(((-79.66*(-79.66-(-5/-5)))*(-79.66-(-79.66/(-5*-79.66))))-(-5/-5)))))</f>
        <v>-2540445.93468</v>
      </c>
      <c r="C2035" t="n" s="0">
        <v>-2540445.9346799995</v>
      </c>
    </row>
    <row r="2036">
      <c r="A2036" t="n" s="0">
        <v>-79.65</v>
      </c>
      <c r="B2036" t="n" s="0">
        <f>(-5-((((-5*(-5/((-5/(((-5*(-79.65--5))-(-5+((-5*-79.65)*(((-5--5)+(-79.65--5))+-79.65))))-(-5+-5)))*-5)))/-5)--5)+(-5*(((-79.65*(-79.65-(-5/-5)))*(-79.65-(-79.65/(-5*-79.65))))-(-5/-5)))))</f>
        <v>-2539490.980625</v>
      </c>
      <c r="C2036" t="n" s="0">
        <v>-2539490.980625001</v>
      </c>
    </row>
    <row r="2037">
      <c r="A2037" t="n" s="0">
        <v>-79.64</v>
      </c>
      <c r="B2037" t="n" s="0">
        <f>(-5-((((-5*(-5/((-5/(((-5*(-79.64--5))-(-5+((-5*-79.64)*(((-5--5)+(-79.64--5))+-79.64))))-(-5+-5)))*-5)))/-5)--5)+(-5*(((-79.64*(-79.64-(-5/-5)))*(-79.64-(-79.64/(-5*-79.64))))-(-5/-5)))))</f>
        <v>-2538536.26592</v>
      </c>
      <c r="C2037" t="n" s="0">
        <v>-2538536.26592</v>
      </c>
    </row>
    <row r="2038">
      <c r="A2038" t="n" s="0">
        <v>-79.63</v>
      </c>
      <c r="B2038" t="n" s="0">
        <f>(-5-((((-5*(-5/((-5/(((-5*(-79.63--5))-(-5+((-5*-79.63)*(((-5--5)+(-79.63--5))+-79.63))))-(-5+-5)))*-5)))/-5)--5)+(-5*(((-79.63*(-79.63-(-5/-5)))*(-79.63-(-79.63/(-5*-79.63))))-(-5/-5)))))</f>
        <v>-2537581.7905349997</v>
      </c>
      <c r="C2038" t="n" s="0">
        <v>-2537581.7905349997</v>
      </c>
    </row>
    <row r="2039">
      <c r="A2039" t="n" s="0">
        <v>-79.62</v>
      </c>
      <c r="B2039" t="n" s="0">
        <f>(-5-((((-5*(-5/((-5/(((-5*(-79.62--5))-(-5+((-5*-79.62)*(((-5--5)+(-79.62--5))+-79.62))))-(-5+-5)))*-5)))/-5)--5)+(-5*(((-79.62*(-79.62-(-5/-5)))*(-79.62-(-79.62/(-5*-79.62))))-(-5/-5)))))</f>
        <v>-2536627.5544399996</v>
      </c>
      <c r="C2039" t="n" s="0">
        <v>-2536627.55444</v>
      </c>
    </row>
    <row r="2040">
      <c r="A2040" t="n" s="0">
        <v>-79.61</v>
      </c>
      <c r="B2040" t="n" s="0">
        <f>(-5-((((-5*(-5/((-5/(((-5*(-79.61--5))-(-5+((-5*-79.61)*(((-5--5)+(-79.61--5))+-79.61))))-(-5+-5)))*-5)))/-5)--5)+(-5*(((-79.61*(-79.61-(-5/-5)))*(-79.61-(-79.61/(-5*-79.61))))-(-5/-5)))))</f>
        <v>-2535673.557605</v>
      </c>
      <c r="C2040" t="n" s="0">
        <v>-2535673.5576049997</v>
      </c>
    </row>
    <row r="2041">
      <c r="A2041" t="n" s="0">
        <v>-79.6</v>
      </c>
      <c r="B2041" t="n" s="0">
        <f>(-5-((((-5*(-5/((-5/(((-5*(-79.6--5))-(-5+((-5*-79.6)*(((-5--5)+(-79.6--5))+-79.6))))-(-5+-5)))*-5)))/-5)--5)+(-5*(((-79.6*(-79.6-(-5/-5)))*(-79.6-(-79.6/(-5*-79.6))))-(-5/-5)))))</f>
        <v>-2534719.8000000003</v>
      </c>
      <c r="C2041" t="n" s="0">
        <v>-2534719.7999999993</v>
      </c>
    </row>
    <row r="2042">
      <c r="A2042" t="n" s="0">
        <v>-79.59</v>
      </c>
      <c r="B2042" t="n" s="0">
        <f>(-5-((((-5*(-5/((-5/(((-5*(-79.59--5))-(-5+((-5*-79.59)*(((-5--5)+(-79.59--5))+-79.59))))-(-5+-5)))*-5)))/-5)--5)+(-5*(((-79.59*(-79.59-(-5/-5)))*(-79.59-(-79.59/(-5*-79.59))))-(-5/-5)))))</f>
        <v>-2533766.2815949996</v>
      </c>
      <c r="C2042" t="n" s="0">
        <v>-2533766.281595</v>
      </c>
    </row>
    <row r="2043">
      <c r="A2043" t="n" s="0">
        <v>-79.58</v>
      </c>
      <c r="B2043" t="n" s="0">
        <f>(-5-((((-5*(-5/((-5/(((-5*(-79.58--5))-(-5+((-5*-79.58)*(((-5--5)+(-79.58--5))+-79.58))))-(-5+-5)))*-5)))/-5)--5)+(-5*(((-79.58*(-79.58-(-5/-5)))*(-79.58-(-79.58/(-5*-79.58))))-(-5/-5)))))</f>
        <v>-2532813.0023600003</v>
      </c>
      <c r="C2043" t="n" s="0">
        <v>-2532813.0023600003</v>
      </c>
    </row>
    <row r="2044">
      <c r="A2044" t="n" s="0">
        <v>-79.57</v>
      </c>
      <c r="B2044" t="n" s="0">
        <f>(-5-((((-5*(-5/((-5/(((-5*(-79.57--5))-(-5+((-5*-79.57)*(((-5--5)+(-79.57--5))+-79.57))))-(-5+-5)))*-5)))/-5)--5)+(-5*(((-79.57*(-79.57-(-5/-5)))*(-79.57-(-79.57/(-5*-79.57))))-(-5/-5)))))</f>
        <v>-2531859.9622649997</v>
      </c>
      <c r="C2044" t="n" s="0">
        <v>-2531859.9622649993</v>
      </c>
    </row>
    <row r="2045">
      <c r="A2045" t="n" s="0">
        <v>-79.56</v>
      </c>
      <c r="B2045" t="n" s="0">
        <f>(-5-((((-5*(-5/((-5/(((-5*(-79.56--5))-(-5+((-5*-79.56)*(((-5--5)+(-79.56--5))+-79.56))))-(-5+-5)))*-5)))/-5)--5)+(-5*(((-79.56*(-79.56-(-5/-5)))*(-79.56-(-79.56/(-5*-79.56))))-(-5/-5)))))</f>
        <v>-2530907.1612799997</v>
      </c>
      <c r="C2045" t="n" s="0">
        <v>-2530907.1612800006</v>
      </c>
    </row>
    <row r="2046">
      <c r="A2046" t="n" s="0">
        <v>-79.55</v>
      </c>
      <c r="B2046" t="n" s="0">
        <f>(-5-((((-5*(-5/((-5/(((-5*(-79.55--5))-(-5+((-5*-79.55)*(((-5--5)+(-79.55--5))+-79.55))))-(-5+-5)))*-5)))/-5)--5)+(-5*(((-79.55*(-79.55-(-5/-5)))*(-79.55-(-79.55/(-5*-79.55))))-(-5/-5)))))</f>
        <v>-2529954.5993749998</v>
      </c>
      <c r="C2046" t="n" s="0">
        <v>-2529954.5993749993</v>
      </c>
    </row>
    <row r="2047">
      <c r="A2047" t="n" s="0">
        <v>-79.54</v>
      </c>
      <c r="B2047" t="n" s="0">
        <f>(-5-((((-5*(-5/((-5/(((-5*(-79.54--5))-(-5+((-5*-79.54)*(((-5--5)+(-79.54--5))+-79.54))))-(-5+-5)))*-5)))/-5)--5)+(-5*(((-79.54*(-79.54-(-5/-5)))*(-79.54-(-79.54/(-5*-79.54))))-(-5/-5)))))</f>
        <v>-2529002.27652</v>
      </c>
      <c r="C2047" t="n" s="0">
        <v>-2529002.2765200003</v>
      </c>
    </row>
    <row r="2048">
      <c r="A2048" t="n" s="0">
        <v>-79.53</v>
      </c>
      <c r="B2048" t="n" s="0">
        <f>(-5-((((-5*(-5/((-5/(((-5*(-79.53--5))-(-5+((-5*-79.53)*(((-5--5)+(-79.53--5))+-79.53))))-(-5+-5)))*-5)))/-5)--5)+(-5*(((-79.53*(-79.53-(-5/-5)))*(-79.53-(-79.53/(-5*-79.53))))-(-5/-5)))))</f>
        <v>-2528050.1926849997</v>
      </c>
      <c r="C2048" t="n" s="0">
        <v>-2528050.1926849997</v>
      </c>
    </row>
    <row r="2049">
      <c r="A2049" t="n" s="0">
        <v>-79.52</v>
      </c>
      <c r="B2049" t="n" s="0">
        <f>(-5-((((-5*(-5/((-5/(((-5*(-79.52--5))-(-5+((-5*-79.52)*(((-5--5)+(-79.52--5))+-79.52))))-(-5+-5)))*-5)))/-5)--5)+(-5*(((-79.52*(-79.52-(-5/-5)))*(-79.52-(-79.52/(-5*-79.52))))-(-5/-5)))))</f>
        <v>-2527098.34784</v>
      </c>
      <c r="C2049" t="n" s="0">
        <v>-2527098.3478399995</v>
      </c>
    </row>
    <row r="2050">
      <c r="A2050" t="n" s="0">
        <v>-79.51</v>
      </c>
      <c r="B2050" t="n" s="0">
        <f>(-5-((((-5*(-5/((-5/(((-5*(-79.51--5))-(-5+((-5*-79.51)*(((-5--5)+(-79.51--5))+-79.51))))-(-5+-5)))*-5)))/-5)--5)+(-5*(((-79.51*(-79.51-(-5/-5)))*(-79.51-(-79.51/(-5*-79.51))))-(-5/-5)))))</f>
        <v>-2526146.7419550004</v>
      </c>
      <c r="C2050" t="n" s="0">
        <v>-2526146.741955</v>
      </c>
    </row>
    <row r="2051">
      <c r="A2051" t="n" s="0">
        <v>-79.5</v>
      </c>
      <c r="B2051" t="n" s="0">
        <f>(-5-((((-5*(-5/((-5/(((-5*(-79.5--5))-(-5+((-5*-79.5)*(((-5--5)+(-79.5--5))+-79.5))))-(-5+-5)))*-5)))/-5)--5)+(-5*(((-79.5*(-79.5-(-5/-5)))*(-79.5-(-79.5/(-5*-79.5))))-(-5/-5)))))</f>
        <v>-2525195.375</v>
      </c>
      <c r="C2051" t="n" s="0">
        <v>-2525195.375</v>
      </c>
    </row>
    <row r="2052">
      <c r="A2052" t="n" s="0">
        <v>-79.49</v>
      </c>
      <c r="B2052" t="n" s="0">
        <f>(-5-((((-5*(-5/((-5/(((-5*(-79.49--5))-(-5+((-5*-79.49)*(((-5--5)+(-79.49--5))+-79.49))))-(-5+-5)))*-5)))/-5)--5)+(-5*(((-79.49*(-79.49-(-5/-5)))*(-79.49-(-79.49/(-5*-79.49))))-(-5/-5)))))</f>
        <v>-2524244.246945</v>
      </c>
      <c r="C2052" t="n" s="0">
        <v>-2524244.246945</v>
      </c>
    </row>
    <row r="2053">
      <c r="A2053" t="n" s="0">
        <v>-79.48</v>
      </c>
      <c r="B2053" t="n" s="0">
        <f>(-5-((((-5*(-5/((-5/(((-5*(-79.48--5))-(-5+((-5*-79.48)*(((-5--5)+(-79.48--5))+-79.48))))-(-5+-5)))*-5)))/-5)--5)+(-5*(((-79.48*(-79.48-(-5/-5)))*(-79.48-(-79.48/(-5*-79.48))))-(-5/-5)))))</f>
        <v>-2523293.35776</v>
      </c>
      <c r="C2053" t="n" s="0">
        <v>-2523293.3577600005</v>
      </c>
    </row>
    <row r="2054">
      <c r="A2054" t="n" s="0">
        <v>-79.47</v>
      </c>
      <c r="B2054" t="n" s="0">
        <f>(-5-((((-5*(-5/((-5/(((-5*(-79.47--5))-(-5+((-5*-79.47)*(((-5--5)+(-79.47--5))+-79.47))))-(-5+-5)))*-5)))/-5)--5)+(-5*(((-79.47*(-79.47-(-5/-5)))*(-79.47-(-79.47/(-5*-79.47))))-(-5/-5)))))</f>
        <v>-2522342.707415</v>
      </c>
      <c r="C2054" t="n" s="0">
        <v>-2522342.707415</v>
      </c>
    </row>
    <row r="2055">
      <c r="A2055" t="n" s="0">
        <v>-79.46</v>
      </c>
      <c r="B2055" t="n" s="0">
        <f>(-5-((((-5*(-5/((-5/(((-5*(-79.46--5))-(-5+((-5*-79.46)*(((-5--5)+(-79.46--5))+-79.46))))-(-5+-5)))*-5)))/-5)--5)+(-5*(((-79.46*(-79.46-(-5/-5)))*(-79.46-(-79.46/(-5*-79.46))))-(-5/-5)))))</f>
        <v>-2521392.29588</v>
      </c>
      <c r="C2055" t="n" s="0">
        <v>-2521392.295879999</v>
      </c>
    </row>
    <row r="2056">
      <c r="A2056" t="n" s="0">
        <v>-79.45</v>
      </c>
      <c r="B2056" t="n" s="0">
        <f>(-5-((((-5*(-5/((-5/(((-5*(-79.45--5))-(-5+((-5*-79.45)*(((-5--5)+(-79.45--5))+-79.45))))-(-5+-5)))*-5)))/-5)--5)+(-5*(((-79.45*(-79.45-(-5/-5)))*(-79.45-(-79.45/(-5*-79.45))))-(-5/-5)))))</f>
        <v>-2520442.123125</v>
      </c>
      <c r="C2056" t="n" s="0">
        <v>-2520442.1231250004</v>
      </c>
    </row>
    <row r="2057">
      <c r="A2057" t="n" s="0">
        <v>-79.44</v>
      </c>
      <c r="B2057" t="n" s="0">
        <f>(-5-((((-5*(-5/((-5/(((-5*(-79.44--5))-(-5+((-5*-79.44)*(((-5--5)+(-79.44--5))+-79.44))))-(-5+-5)))*-5)))/-5)--5)+(-5*(((-79.44*(-79.44-(-5/-5)))*(-79.44-(-79.44/(-5*-79.44))))-(-5/-5)))))</f>
        <v>-2519492.1891199998</v>
      </c>
      <c r="C2057" t="n" s="0">
        <v>-2519492.1891199993</v>
      </c>
    </row>
    <row r="2058">
      <c r="A2058" t="n" s="0">
        <v>-79.43</v>
      </c>
      <c r="B2058" t="n" s="0">
        <f>(-5-((((-5*(-5/((-5/(((-5*(-79.43--5))-(-5+((-5*-79.43)*(((-5--5)+(-79.43--5))+-79.43))))-(-5+-5)))*-5)))/-5)--5)+(-5*(((-79.43*(-79.43-(-5/-5)))*(-79.43-(-79.43/(-5*-79.43))))-(-5/-5)))))</f>
        <v>-2518542.493835</v>
      </c>
      <c r="C2058" t="n" s="0">
        <v>-2518542.493835001</v>
      </c>
    </row>
    <row r="2059">
      <c r="A2059" t="n" s="0">
        <v>-79.42</v>
      </c>
      <c r="B2059" t="n" s="0">
        <f>(-5-((((-5*(-5/((-5/(((-5*(-79.42--5))-(-5+((-5*-79.42)*(((-5--5)+(-79.42--5))+-79.42))))-(-5+-5)))*-5)))/-5)--5)+(-5*(((-79.42*(-79.42-(-5/-5)))*(-79.42-(-79.42/(-5*-79.42))))-(-5/-5)))))</f>
        <v>-2517593.03724</v>
      </c>
      <c r="C2059" t="n" s="0">
        <v>-2517593.0372400004</v>
      </c>
    </row>
    <row r="2060">
      <c r="A2060" t="n" s="0">
        <v>-79.41</v>
      </c>
      <c r="B2060" t="n" s="0">
        <f>(-5-((((-5*(-5/((-5/(((-5*(-79.41--5))-(-5+((-5*-79.41)*(((-5--5)+(-79.41--5))+-79.41))))-(-5+-5)))*-5)))/-5)--5)+(-5*(((-79.41*(-79.41-(-5/-5)))*(-79.41-(-79.41/(-5*-79.41))))-(-5/-5)))))</f>
        <v>-2516643.819305</v>
      </c>
      <c r="C2060" t="n" s="0">
        <v>-2516643.8193049994</v>
      </c>
    </row>
    <row r="2061">
      <c r="A2061" t="n" s="0">
        <v>-79.4</v>
      </c>
      <c r="B2061" t="n" s="0">
        <f>(-5-((((-5*(-5/((-5/(((-5*(-79.4--5))-(-5+((-5*-79.4)*(((-5--5)+(-79.4--5))+-79.4))))-(-5+-5)))*-5)))/-5)--5)+(-5*(((-79.4*(-79.4-(-5/-5)))*(-79.4-(-79.4/(-5*-79.4))))-(-5/-5)))))</f>
        <v>-2515694.84</v>
      </c>
      <c r="C2061" t="n" s="0">
        <v>-2515694.8400000012</v>
      </c>
    </row>
    <row r="2062">
      <c r="A2062" t="n" s="0">
        <v>-79.39</v>
      </c>
      <c r="B2062" t="n" s="0">
        <f>(-5-((((-5*(-5/((-5/(((-5*(-79.39--5))-(-5+((-5*-79.39)*(((-5--5)+(-79.39--5))+-79.39))))-(-5+-5)))*-5)))/-5)--5)+(-5*(((-79.39*(-79.39-(-5/-5)))*(-79.39-(-79.39/(-5*-79.39))))-(-5/-5)))))</f>
        <v>-2514746.099295</v>
      </c>
      <c r="C2062" t="n" s="0">
        <v>-2514746.099295</v>
      </c>
    </row>
    <row r="2063">
      <c r="A2063" t="n" s="0">
        <v>-79.38</v>
      </c>
      <c r="B2063" t="n" s="0">
        <f>(-5-((((-5*(-5/((-5/(((-5*(-79.38--5))-(-5+((-5*-79.38)*(((-5--5)+(-79.38--5))+-79.38))))-(-5+-5)))*-5)))/-5)--5)+(-5*(((-79.38*(-79.38-(-5/-5)))*(-79.38-(-79.38/(-5*-79.38))))-(-5/-5)))))</f>
        <v>-2513797.5971600004</v>
      </c>
      <c r="C2063" t="n" s="0">
        <v>-2513797.5971599994</v>
      </c>
    </row>
    <row r="2064">
      <c r="A2064" t="n" s="0">
        <v>-79.37</v>
      </c>
      <c r="B2064" t="n" s="0">
        <f>(-5-((((-5*(-5/((-5/(((-5*(-79.37--5))-(-5+((-5*-79.37)*(((-5--5)+(-79.37--5))+-79.37))))-(-5+-5)))*-5)))/-5)--5)+(-5*(((-79.37*(-79.37-(-5/-5)))*(-79.37-(-79.37/(-5*-79.37))))-(-5/-5)))))</f>
        <v>-2512849.333565</v>
      </c>
      <c r="C2064" t="n" s="0">
        <v>-2512849.3335650004</v>
      </c>
    </row>
    <row r="2065">
      <c r="A2065" t="n" s="0">
        <v>-79.36</v>
      </c>
      <c r="B2065" t="n" s="0">
        <f>(-5-((((-5*(-5/((-5/(((-5*(-79.36--5))-(-5+((-5*-79.36)*(((-5--5)+(-79.36--5))+-79.36))))-(-5+-5)))*-5)))/-5)--5)+(-5*(((-79.36*(-79.36-(-5/-5)))*(-79.36-(-79.36/(-5*-79.36))))-(-5/-5)))))</f>
        <v>-2511901.30848</v>
      </c>
      <c r="C2065" t="n" s="0">
        <v>-2511901.30848</v>
      </c>
    </row>
    <row r="2066">
      <c r="A2066" t="n" s="0">
        <v>-79.35</v>
      </c>
      <c r="B2066" t="n" s="0">
        <f>(-5-((((-5*(-5/((-5/(((-5*(-79.35--5))-(-5+((-5*-79.35)*(((-5--5)+(-79.35--5))+-79.35))))-(-5+-5)))*-5)))/-5)--5)+(-5*(((-79.35*(-79.35-(-5/-5)))*(-79.35-(-79.35/(-5*-79.35))))-(-5/-5)))))</f>
        <v>-2510953.521875</v>
      </c>
      <c r="C2066" t="n" s="0">
        <v>-2510953.5218749996</v>
      </c>
    </row>
    <row r="2067">
      <c r="A2067" t="n" s="0">
        <v>-79.34</v>
      </c>
      <c r="B2067" t="n" s="0">
        <f>(-5-((((-5*(-5/((-5/(((-5*(-79.34--5))-(-5+((-5*-79.34)*(((-5--5)+(-79.34--5))+-79.34))))-(-5+-5)))*-5)))/-5)--5)+(-5*(((-79.34*(-79.34-(-5/-5)))*(-79.34-(-79.34/(-5*-79.34))))-(-5/-5)))))</f>
        <v>-2510005.97372</v>
      </c>
      <c r="C2067" t="n" s="0">
        <v>-2510005.9737200006</v>
      </c>
    </row>
    <row r="2068">
      <c r="A2068" t="n" s="0">
        <v>-79.33</v>
      </c>
      <c r="B2068" t="n" s="0">
        <f>(-5-((((-5*(-5/((-5/(((-5*(-79.33--5))-(-5+((-5*-79.33)*(((-5--5)+(-79.33--5))+-79.33))))-(-5+-5)))*-5)))/-5)--5)+(-5*(((-79.33*(-79.33-(-5/-5)))*(-79.33-(-79.33/(-5*-79.33))))-(-5/-5)))))</f>
        <v>-2509058.663985</v>
      </c>
      <c r="C2068" t="n" s="0">
        <v>-2509058.663985</v>
      </c>
    </row>
    <row r="2069">
      <c r="A2069" t="n" s="0">
        <v>-79.32</v>
      </c>
      <c r="B2069" t="n" s="0">
        <f>(-5-((((-5*(-5/((-5/(((-5*(-79.32--5))-(-5+((-5*-79.32)*(((-5--5)+(-79.32--5))+-79.32))))-(-5+-5)))*-5)))/-5)--5)+(-5*(((-79.32*(-79.32-(-5/-5)))*(-79.32-(-79.32/(-5*-79.32))))-(-5/-5)))))</f>
        <v>-2508111.5926400004</v>
      </c>
      <c r="C2069" t="n" s="0">
        <v>-2508111.5926399995</v>
      </c>
    </row>
    <row r="2070">
      <c r="A2070" t="n" s="0">
        <v>-79.31</v>
      </c>
      <c r="B2070" t="n" s="0">
        <f>(-5-((((-5*(-5/((-5/(((-5*(-79.31--5))-(-5+((-5*-79.31)*(((-5--5)+(-79.31--5))+-79.31))))-(-5+-5)))*-5)))/-5)--5)+(-5*(((-79.31*(-79.31-(-5/-5)))*(-79.31-(-79.31/(-5*-79.31))))-(-5/-5)))))</f>
        <v>-2507164.7596549997</v>
      </c>
      <c r="C2070" t="n" s="0">
        <v>-2507164.7596550006</v>
      </c>
    </row>
    <row r="2071">
      <c r="A2071" t="n" s="0">
        <v>-79.3</v>
      </c>
      <c r="B2071" t="n" s="0">
        <f>(-5-((((-5*(-5/((-5/(((-5*(-79.3--5))-(-5+((-5*-79.3)*(((-5--5)+(-79.3--5))+-79.3))))-(-5+-5)))*-5)))/-5)--5)+(-5*(((-79.3*(-79.3-(-5/-5)))*(-79.3-(-79.3/(-5*-79.3))))-(-5/-5)))))</f>
        <v>-2506218.165</v>
      </c>
      <c r="C2071" t="n" s="0">
        <v>-2506218.1649999996</v>
      </c>
    </row>
    <row r="2072">
      <c r="A2072" t="n" s="0">
        <v>-79.29</v>
      </c>
      <c r="B2072" t="n" s="0">
        <f>(-5-((((-5*(-5/((-5/(((-5*(-79.29--5))-(-5+((-5*-79.29)*(((-5--5)+(-79.29--5))+-79.29))))-(-5+-5)))*-5)))/-5)--5)+(-5*(((-79.29*(-79.29-(-5/-5)))*(-79.29-(-79.29/(-5*-79.29))))-(-5/-5)))))</f>
        <v>-2505271.8086449997</v>
      </c>
      <c r="C2072" t="n" s="0">
        <v>-2505271.8086450007</v>
      </c>
    </row>
    <row r="2073">
      <c r="A2073" t="n" s="0">
        <v>-79.28</v>
      </c>
      <c r="B2073" t="n" s="0">
        <f>(-5-((((-5*(-5/((-5/(((-5*(-79.28--5))-(-5+((-5*-79.28)*(((-5--5)+(-79.28--5))+-79.28))))-(-5+-5)))*-5)))/-5)--5)+(-5*(((-79.28*(-79.28-(-5/-5)))*(-79.28-(-79.28/(-5*-79.28))))-(-5/-5)))))</f>
        <v>-2504325.69056</v>
      </c>
      <c r="C2073" t="n" s="0">
        <v>-2504325.69056</v>
      </c>
    </row>
    <row r="2074">
      <c r="A2074" t="n" s="0">
        <v>-79.27</v>
      </c>
      <c r="B2074" t="n" s="0">
        <f>(-5-((((-5*(-5/((-5/(((-5*(-79.27--5))-(-5+((-5*-79.27)*(((-5--5)+(-79.27--5))+-79.27))))-(-5+-5)))*-5)))/-5)--5)+(-5*(((-79.27*(-79.27-(-5/-5)))*(-79.27-(-79.27/(-5*-79.27))))-(-5/-5)))))</f>
        <v>-2503379.810715</v>
      </c>
      <c r="C2074" t="n" s="0">
        <v>-2503379.8107149997</v>
      </c>
    </row>
    <row r="2075">
      <c r="A2075" t="n" s="0">
        <v>-79.26</v>
      </c>
      <c r="B2075" t="n" s="0">
        <f>(-5-((((-5*(-5/((-5/(((-5*(-79.26--5))-(-5+((-5*-79.26)*(((-5--5)+(-79.26--5))+-79.26))))-(-5+-5)))*-5)))/-5)--5)+(-5*(((-79.26*(-79.26-(-5/-5)))*(-79.26-(-79.26/(-5*-79.26))))-(-5/-5)))))</f>
        <v>-2502434.16908</v>
      </c>
      <c r="C2075" t="n" s="0">
        <v>-2502434.1690800004</v>
      </c>
    </row>
    <row r="2076">
      <c r="A2076" t="n" s="0">
        <v>-79.25</v>
      </c>
      <c r="B2076" t="n" s="0">
        <f>(-5-((((-5*(-5/((-5/(((-5*(-79.25--5))-(-5+((-5*-79.25)*(((-5--5)+(-79.25--5))+-79.25))))-(-5+-5)))*-5)))/-5)--5)+(-5*(((-79.25*(-79.25-(-5/-5)))*(-79.25-(-79.25/(-5*-79.25))))-(-5/-5)))))</f>
        <v>-2501488.765625</v>
      </c>
      <c r="C2076" t="n" s="0">
        <v>-2501488.765625</v>
      </c>
    </row>
    <row r="2077">
      <c r="A2077" t="n" s="0">
        <v>-79.24</v>
      </c>
      <c r="B2077" t="n" s="0">
        <f>(-5-((((-5*(-5/((-5/(((-5*(-79.24--5))-(-5+((-5*-79.24)*(((-5--5)+(-79.24--5))+-79.24))))-(-5+-5)))*-5)))/-5)--5)+(-5*(((-79.24*(-79.24-(-5/-5)))*(-79.24-(-79.24/(-5*-79.24))))-(-5/-5)))))</f>
        <v>-2500543.60032</v>
      </c>
      <c r="C2077" t="n" s="0">
        <v>-2500543.6003199997</v>
      </c>
    </row>
    <row r="2078">
      <c r="A2078" t="n" s="0">
        <v>-79.23</v>
      </c>
      <c r="B2078" t="n" s="0">
        <f>(-5-((((-5*(-5/((-5/(((-5*(-79.23--5))-(-5+((-5*-79.23)*(((-5--5)+(-79.23--5))+-79.23))))-(-5+-5)))*-5)))/-5)--5)+(-5*(((-79.23*(-79.23-(-5/-5)))*(-79.23-(-79.23/(-5*-79.23))))-(-5/-5)))))</f>
        <v>-2499598.6731350003</v>
      </c>
      <c r="C2078" t="n" s="0">
        <v>-2499598.6731350007</v>
      </c>
    </row>
    <row r="2079">
      <c r="A2079" t="n" s="0">
        <v>-79.22</v>
      </c>
      <c r="B2079" t="n" s="0">
        <f>(-5-((((-5*(-5/((-5/(((-5*(-79.22--5))-(-5+((-5*-79.22)*(((-5--5)+(-79.22--5))+-79.22))))-(-5+-5)))*-5)))/-5)--5)+(-5*(((-79.22*(-79.22-(-5/-5)))*(-79.22-(-79.22/(-5*-79.22))))-(-5/-5)))))</f>
        <v>-2498653.98404</v>
      </c>
      <c r="C2079" t="n" s="0">
        <v>-2498653.98404</v>
      </c>
    </row>
    <row r="2080">
      <c r="A2080" t="n" s="0">
        <v>-79.21</v>
      </c>
      <c r="B2080" t="n" s="0">
        <f>(-5-((((-5*(-5/((-5/(((-5*(-79.21--5))-(-5+((-5*-79.21)*(((-5--5)+(-79.21--5))+-79.21))))-(-5+-5)))*-5)))/-5)--5)+(-5*(((-79.21*(-79.21-(-5/-5)))*(-79.21-(-79.21/(-5*-79.21))))-(-5/-5)))))</f>
        <v>-2497709.533005</v>
      </c>
      <c r="C2080" t="n" s="0">
        <v>-2497709.5330049996</v>
      </c>
    </row>
    <row r="2081">
      <c r="A2081" t="n" s="0">
        <v>-79.2</v>
      </c>
      <c r="B2081" t="n" s="0">
        <f>(-5-((((-5*(-5/((-5/(((-5*(-79.2--5))-(-5+((-5*-79.2)*(((-5--5)+(-79.2--5))+-79.2))))-(-5+-5)))*-5)))/-5)--5)+(-5*(((-79.2*(-79.2-(-5/-5)))*(-79.2-(-79.2/(-5*-79.2))))-(-5/-5)))))</f>
        <v>-2496765.32</v>
      </c>
      <c r="C2081" t="n" s="0">
        <v>-2496765.3200000003</v>
      </c>
    </row>
    <row r="2082">
      <c r="A2082" t="n" s="0">
        <v>-79.19</v>
      </c>
      <c r="B2082" t="n" s="0">
        <f>(-5-((((-5*(-5/((-5/(((-5*(-79.19--5))-(-5+((-5*-79.19)*(((-5--5)+(-79.19--5))+-79.19))))-(-5+-5)))*-5)))/-5)--5)+(-5*(((-79.19*(-79.19-(-5/-5)))*(-79.19-(-79.19/(-5*-79.19))))-(-5/-5)))))</f>
        <v>-2495821.344995</v>
      </c>
      <c r="C2082" t="n" s="0">
        <v>-2495821.3449949995</v>
      </c>
    </row>
    <row r="2083">
      <c r="A2083" t="n" s="0">
        <v>-79.18</v>
      </c>
      <c r="B2083" t="n" s="0">
        <f>(-5-((((-5*(-5/((-5/(((-5*(-79.18--5))-(-5+((-5*-79.18)*(((-5--5)+(-79.18--5))+-79.18))))-(-5+-5)))*-5)))/-5)--5)+(-5*(((-79.18*(-79.18-(-5/-5)))*(-79.18-(-79.18/(-5*-79.18))))-(-5/-5)))))</f>
        <v>-2494877.60796</v>
      </c>
      <c r="C2083" t="n" s="0">
        <v>-2494877.6079600006</v>
      </c>
    </row>
    <row r="2084">
      <c r="A2084" t="n" s="0">
        <v>-79.17</v>
      </c>
      <c r="B2084" t="n" s="0">
        <f>(-5-((((-5*(-5/((-5/(((-5*(-79.17--5))-(-5+((-5*-79.17)*(((-5--5)+(-79.17--5))+-79.17))))-(-5+-5)))*-5)))/-5)--5)+(-5*(((-79.17*(-79.17-(-5/-5)))*(-79.17-(-79.17/(-5*-79.17))))-(-5/-5)))))</f>
        <v>-2493934.108865</v>
      </c>
      <c r="C2084" t="n" s="0">
        <v>-2493934.108865</v>
      </c>
    </row>
    <row r="2085">
      <c r="A2085" t="n" s="0">
        <v>-79.16</v>
      </c>
      <c r="B2085" t="n" s="0">
        <f>(-5-((((-5*(-5/((-5/(((-5*(-79.16--5))-(-5+((-5*-79.16)*(((-5--5)+(-79.16--5))+-79.16))))-(-5+-5)))*-5)))/-5)--5)+(-5*(((-79.16*(-79.16-(-5/-5)))*(-79.16-(-79.16/(-5*-79.16))))-(-5/-5)))))</f>
        <v>-2492990.84768</v>
      </c>
      <c r="C2085" t="n" s="0">
        <v>-2492990.8476799997</v>
      </c>
    </row>
    <row r="2086">
      <c r="A2086" t="n" s="0">
        <v>-79.15</v>
      </c>
      <c r="B2086" t="n" s="0">
        <f>(-5-((((-5*(-5/((-5/(((-5*(-79.15--5))-(-5+((-5*-79.15)*(((-5--5)+(-79.15--5))+-79.15))))-(-5+-5)))*-5)))/-5)--5)+(-5*(((-79.15*(-79.15-(-5/-5)))*(-79.15-(-79.15/(-5*-79.15))))-(-5/-5)))))</f>
        <v>-2492047.824375</v>
      </c>
      <c r="C2086" t="n" s="0">
        <v>-2492047.824375001</v>
      </c>
    </row>
    <row r="2087">
      <c r="A2087" t="n" s="0">
        <v>-79.14</v>
      </c>
      <c r="B2087" t="n" s="0">
        <f>(-5-((((-5*(-5/((-5/(((-5*(-79.14--5))-(-5+((-5*-79.14)*(((-5--5)+(-79.14--5))+-79.14))))-(-5+-5)))*-5)))/-5)--5)+(-5*(((-79.14*(-79.14-(-5/-5)))*(-79.14-(-79.14/(-5*-79.14))))-(-5/-5)))))</f>
        <v>-2491105.0389199997</v>
      </c>
      <c r="C2087" t="n" s="0">
        <v>-2491105.03892</v>
      </c>
    </row>
    <row r="2088">
      <c r="A2088" t="n" s="0">
        <v>-79.13</v>
      </c>
      <c r="B2088" t="n" s="0">
        <f>(-5-((((-5*(-5/((-5/(((-5*(-79.13--5))-(-5+((-5*-79.13)*(((-5--5)+(-79.13--5))+-79.13))))-(-5+-5)))*-5)))/-5)--5)+(-5*(((-79.13*(-79.13-(-5/-5)))*(-79.13-(-79.13/(-5*-79.13))))-(-5/-5)))))</f>
        <v>-2490162.491285</v>
      </c>
      <c r="C2088" t="n" s="0">
        <v>-2490162.4912849995</v>
      </c>
    </row>
    <row r="2089">
      <c r="A2089" t="n" s="0">
        <v>-79.12</v>
      </c>
      <c r="B2089" t="n" s="0">
        <f>(-5-((((-5*(-5/((-5/(((-5*(-79.12--5))-(-5+((-5*-79.12)*(((-5--5)+(-79.12--5))+-79.12))))-(-5+-5)))*-5)))/-5)--5)+(-5*(((-79.12*(-79.12-(-5/-5)))*(-79.12-(-79.12/(-5*-79.12))))-(-5/-5)))))</f>
        <v>-2489220.18144</v>
      </c>
      <c r="C2089" t="n" s="0">
        <v>-2489220.18144</v>
      </c>
    </row>
    <row r="2090">
      <c r="A2090" t="n" s="0">
        <v>-79.11</v>
      </c>
      <c r="B2090" t="n" s="0">
        <f>(-5-((((-5*(-5/((-5/(((-5*(-79.11--5))-(-5+((-5*-79.11)*(((-5--5)+(-79.11--5))+-79.11))))-(-5+-5)))*-5)))/-5)--5)+(-5*(((-79.11*(-79.11-(-5/-5)))*(-79.11-(-79.11/(-5*-79.11))))-(-5/-5)))))</f>
        <v>-2488278.109355</v>
      </c>
      <c r="C2090" t="n" s="0">
        <v>-2488278.1093550003</v>
      </c>
    </row>
    <row r="2091">
      <c r="A2091" t="n" s="0">
        <v>-79.1</v>
      </c>
      <c r="B2091" t="n" s="0">
        <f>(-5-((((-5*(-5/((-5/(((-5*(-79.1--5))-(-5+((-5*-79.1)*(((-5--5)+(-79.1--5))+-79.1))))-(-5+-5)))*-5)))/-5)--5)+(-5*(((-79.1*(-79.1-(-5/-5)))*(-79.1-(-79.1/(-5*-79.1))))-(-5/-5)))))</f>
        <v>-2487336.275</v>
      </c>
      <c r="C2091" t="n" s="0">
        <v>-2487336.2749999994</v>
      </c>
    </row>
    <row r="2092">
      <c r="A2092" t="n" s="0">
        <v>-79.09</v>
      </c>
      <c r="B2092" t="n" s="0">
        <f>(-5-((((-5*(-5/((-5/(((-5*(-79.09--5))-(-5+((-5*-79.09)*(((-5--5)+(-79.09--5))+-79.09))))-(-5+-5)))*-5)))/-5)--5)+(-5*(((-79.09*(-79.09-(-5/-5)))*(-79.09-(-79.09/(-5*-79.09))))-(-5/-5)))))</f>
        <v>-2486394.678345</v>
      </c>
      <c r="C2092" t="n" s="0">
        <v>-2486394.6783450004</v>
      </c>
    </row>
    <row r="2093">
      <c r="A2093" t="n" s="0">
        <v>-79.08</v>
      </c>
      <c r="B2093" t="n" s="0">
        <f>(-5-((((-5*(-5/((-5/(((-5*(-79.08--5))-(-5+((-5*-79.08)*(((-5--5)+(-79.08--5))+-79.08))))-(-5+-5)))*-5)))/-5)--5)+(-5*(((-79.08*(-79.08-(-5/-5)))*(-79.08-(-79.08/(-5*-79.08))))-(-5/-5)))))</f>
        <v>-2485453.31936</v>
      </c>
      <c r="C2093" t="n" s="0">
        <v>-2485453.31936</v>
      </c>
    </row>
    <row r="2094">
      <c r="A2094" t="n" s="0">
        <v>-79.07</v>
      </c>
      <c r="B2094" t="n" s="0">
        <f>(-5-((((-5*(-5/((-5/(((-5*(-79.07--5))-(-5+((-5*-79.07)*(((-5--5)+(-79.07--5))+-79.07))))-(-5+-5)))*-5)))/-5)--5)+(-5*(((-79.07*(-79.07-(-5/-5)))*(-79.07-(-79.07/(-5*-79.07))))-(-5/-5)))))</f>
        <v>-2484512.198015</v>
      </c>
      <c r="C2094" t="n" s="0">
        <v>-2484512.1980149997</v>
      </c>
    </row>
    <row r="2095">
      <c r="A2095" t="n" s="0">
        <v>-79.06</v>
      </c>
      <c r="B2095" t="n" s="0">
        <f>(-5-((((-5*(-5/((-5/(((-5*(-79.06--5))-(-5+((-5*-79.06)*(((-5--5)+(-79.06--5))+-79.06))))-(-5+-5)))*-5)))/-5)--5)+(-5*(((-79.06*(-79.06-(-5/-5)))*(-79.06-(-79.06/(-5*-79.06))))-(-5/-5)))))</f>
        <v>-2483571.31428</v>
      </c>
      <c r="C2095" t="n" s="0">
        <v>-2483571.31428</v>
      </c>
    </row>
    <row r="2096">
      <c r="A2096" t="n" s="0">
        <v>-79.05</v>
      </c>
      <c r="B2096" t="n" s="0">
        <f>(-5-((((-5*(-5/((-5/(((-5*(-79.05--5))-(-5+((-5*-79.05)*(((-5--5)+(-79.05--5))+-79.05))))-(-5+-5)))*-5)))/-5)--5)+(-5*(((-79.05*(-79.05-(-5/-5)))*(-79.05-(-79.05/(-5*-79.05))))-(-5/-5)))))</f>
        <v>-2482630.668125</v>
      </c>
      <c r="C2096" t="n" s="0">
        <v>-2482630.668125</v>
      </c>
    </row>
    <row r="2097">
      <c r="A2097" t="n" s="0">
        <v>-79.04</v>
      </c>
      <c r="B2097" t="n" s="0">
        <f>(-5-((((-5*(-5/((-5/(((-5*(-79.04--5))-(-5+((-5*-79.04)*(((-5--5)+(-79.04--5))+-79.04))))-(-5+-5)))*-5)))/-5)--5)+(-5*(((-79.04*(-79.04-(-5/-5)))*(-79.04-(-79.04/(-5*-79.04))))-(-5/-5)))))</f>
        <v>-2481690.25952</v>
      </c>
      <c r="C2097" t="n" s="0">
        <v>-2481690.2595200003</v>
      </c>
    </row>
    <row r="2098">
      <c r="A2098" t="n" s="0">
        <v>-79.03</v>
      </c>
      <c r="B2098" t="n" s="0">
        <f>(-5-((((-5*(-5/((-5/(((-5*(-79.03--5))-(-5+((-5*-79.03)*(((-5--5)+(-79.03--5))+-79.03))))-(-5+-5)))*-5)))/-5)--5)+(-5*(((-79.03*(-79.03-(-5/-5)))*(-79.03-(-79.03/(-5*-79.03))))-(-5/-5)))))</f>
        <v>-2480750.088435</v>
      </c>
      <c r="C2098" t="n" s="0">
        <v>-2480750.0884350003</v>
      </c>
    </row>
    <row r="2099">
      <c r="A2099" t="n" s="0">
        <v>-79.02</v>
      </c>
      <c r="B2099" t="n" s="0">
        <f>(-5-((((-5*(-5/((-5/(((-5*(-79.02--5))-(-5+((-5*-79.02)*(((-5--5)+(-79.02--5))+-79.02))))-(-5+-5)))*-5)))/-5)--5)+(-5*(((-79.02*(-79.02-(-5/-5)))*(-79.02-(-79.02/(-5*-79.02))))-(-5/-5)))))</f>
        <v>-2479810.15484</v>
      </c>
      <c r="C2099" t="n" s="0">
        <v>-2479810.1548399995</v>
      </c>
    </row>
    <row r="2100">
      <c r="A2100" t="n" s="0">
        <v>-79.01</v>
      </c>
      <c r="B2100" t="n" s="0">
        <f>(-5-((((-5*(-5/((-5/(((-5*(-79.01--5))-(-5+((-5*-79.01)*(((-5--5)+(-79.01--5))+-79.01))))-(-5+-5)))*-5)))/-5)--5)+(-5*(((-79.01*(-79.01-(-5/-5)))*(-79.01-(-79.01/(-5*-79.01))))-(-5/-5)))))</f>
        <v>-2478870.458705</v>
      </c>
      <c r="C2100" t="n" s="0">
        <v>-2478870.458705</v>
      </c>
    </row>
    <row r="2101">
      <c r="A2101" t="n" s="0">
        <v>-79.0</v>
      </c>
      <c r="B2101" t="n" s="0">
        <f>(-5-((((-5*(-5/((-5/(((-5*(-79--5))-(-5+((-5*-79)*(((-5--5)+(-79--5))+-79))))-(-5+-5)))*-5)))/-5)--5)+(-5*(((-79*(-79-(-5/-5)))*(-79-(-79/(-5*-79))))-(-5/-5)))))</f>
        <v>-2477931.0</v>
      </c>
      <c r="C2101" t="n" s="0">
        <v>-2477931.0</v>
      </c>
    </row>
    <row r="2102">
      <c r="A2102" t="n" s="0">
        <v>-78.99</v>
      </c>
      <c r="B2102" t="n" s="0">
        <f>(-5-((((-5*(-5/((-5/(((-5*(-78.99--5))-(-5+((-5*-78.99)*(((-5--5)+(-78.99--5))+-78.99))))-(-5+-5)))*-5)))/-5)--5)+(-5*(((-78.99*(-78.99-(-5/-5)))*(-78.99-(-78.99/(-5*-78.99))))-(-5/-5)))))</f>
        <v>-2476991.778695</v>
      </c>
      <c r="C2102" t="n" s="0">
        <v>-2476991.778695</v>
      </c>
    </row>
    <row r="2103">
      <c r="A2103" t="n" s="0">
        <v>-78.98</v>
      </c>
      <c r="B2103" t="n" s="0">
        <f>(-5-((((-5*(-5/((-5/(((-5*(-78.98--5))-(-5+((-5*-78.98)*(((-5--5)+(-78.98--5))+-78.98))))-(-5+-5)))*-5)))/-5)--5)+(-5*(((-78.98*(-78.98-(-5/-5)))*(-78.98-(-78.98/(-5*-78.98))))-(-5/-5)))))</f>
        <v>-2476052.79476</v>
      </c>
      <c r="C2103" t="n" s="0">
        <v>-2476052.7947600004</v>
      </c>
    </row>
    <row r="2104">
      <c r="A2104" t="n" s="0">
        <v>-78.97</v>
      </c>
      <c r="B2104" t="n" s="0">
        <f>(-5-((((-5*(-5/((-5/(((-5*(-78.97--5))-(-5+((-5*-78.97)*(((-5--5)+(-78.97--5))+-78.97))))-(-5+-5)))*-5)))/-5)--5)+(-5*(((-78.97*(-78.97-(-5/-5)))*(-78.97-(-78.97/(-5*-78.97))))-(-5/-5)))))</f>
        <v>-2475114.048165</v>
      </c>
      <c r="C2104" t="n" s="0">
        <v>-2475114.048165</v>
      </c>
    </row>
    <row r="2105">
      <c r="A2105" t="n" s="0">
        <v>-78.96</v>
      </c>
      <c r="B2105" t="n" s="0">
        <f>(-5-((((-5*(-5/((-5/(((-5*(-78.96--5))-(-5+((-5*-78.96)*(((-5--5)+(-78.96--5))+-78.96))))-(-5+-5)))*-5)))/-5)--5)+(-5*(((-78.96*(-78.96-(-5/-5)))*(-78.96-(-78.96/(-5*-78.96))))-(-5/-5)))))</f>
        <v>-2474175.53888</v>
      </c>
      <c r="C2105" t="n" s="0">
        <v>-2474175.5388799994</v>
      </c>
    </row>
    <row r="2106">
      <c r="A2106" t="n" s="0">
        <v>-78.95</v>
      </c>
      <c r="B2106" t="n" s="0">
        <f>(-5-((((-5*(-5/((-5/(((-5*(-78.95--5))-(-5+((-5*-78.95)*(((-5--5)+(-78.95--5))+-78.95))))-(-5+-5)))*-5)))/-5)--5)+(-5*(((-78.95*(-78.95-(-5/-5)))*(-78.95-(-78.95/(-5*-78.95))))-(-5/-5)))))</f>
        <v>-2473237.266875</v>
      </c>
      <c r="C2106" t="n" s="0">
        <v>-2473237.266875</v>
      </c>
    </row>
    <row r="2107">
      <c r="A2107" t="n" s="0">
        <v>-78.94</v>
      </c>
      <c r="B2107" t="n" s="0">
        <f>(-5-((((-5*(-5/((-5/(((-5*(-78.94--5))-(-5+((-5*-78.94)*(((-5--5)+(-78.94--5))+-78.94))))-(-5+-5)))*-5)))/-5)--5)+(-5*(((-78.94*(-78.94-(-5/-5)))*(-78.94-(-78.94/(-5*-78.94))))-(-5/-5)))))</f>
        <v>-2472299.23212</v>
      </c>
      <c r="C2107" t="n" s="0">
        <v>-2472299.2321199994</v>
      </c>
    </row>
    <row r="2108">
      <c r="A2108" t="n" s="0">
        <v>-78.93</v>
      </c>
      <c r="B2108" t="n" s="0">
        <f>(-5-((((-5*(-5/((-5/(((-5*(-78.93--5))-(-5+((-5*-78.93)*(((-5--5)+(-78.93--5))+-78.93))))-(-5+-5)))*-5)))/-5)--5)+(-5*(((-78.93*(-78.93-(-5/-5)))*(-78.93-(-78.93/(-5*-78.93))))-(-5/-5)))))</f>
        <v>-2471361.4345850004</v>
      </c>
      <c r="C2108" t="n" s="0">
        <v>-2471361.4345850004</v>
      </c>
    </row>
    <row r="2109">
      <c r="A2109" t="n" s="0">
        <v>-78.92</v>
      </c>
      <c r="B2109" t="n" s="0">
        <f>(-5-((((-5*(-5/((-5/(((-5*(-78.92--5))-(-5+((-5*-78.92)*(((-5--5)+(-78.92--5))+-78.92))))-(-5+-5)))*-5)))/-5)--5)+(-5*(((-78.92*(-78.92-(-5/-5)))*(-78.92-(-78.92/(-5*-78.92))))-(-5/-5)))))</f>
        <v>-2470423.87424</v>
      </c>
      <c r="C2109" t="n" s="0">
        <v>-2470423.87424</v>
      </c>
    </row>
    <row r="2110">
      <c r="A2110" t="n" s="0">
        <v>-78.91</v>
      </c>
      <c r="B2110" t="n" s="0">
        <f>(-5-((((-5*(-5/((-5/(((-5*(-78.91--5))-(-5+((-5*-78.91)*(((-5--5)+(-78.91--5))+-78.91))))-(-5+-5)))*-5)))/-5)--5)+(-5*(((-78.91*(-78.91-(-5/-5)))*(-78.91-(-78.91/(-5*-78.91))))-(-5/-5)))))</f>
        <v>-2469486.551055</v>
      </c>
      <c r="C2110" t="n" s="0">
        <v>-2469486.5510549997</v>
      </c>
    </row>
    <row r="2111">
      <c r="A2111" t="n" s="0">
        <v>-78.9</v>
      </c>
      <c r="B2111" t="n" s="0">
        <f>(-5-((((-5*(-5/((-5/(((-5*(-78.9--5))-(-5+((-5*-78.9)*(((-5--5)+(-78.9--5))+-78.9))))-(-5+-5)))*-5)))/-5)--5)+(-5*(((-78.9*(-78.9-(-5/-5)))*(-78.9-(-78.9/(-5*-78.9))))-(-5/-5)))))</f>
        <v>-2468549.4650000003</v>
      </c>
      <c r="C2111" t="n" s="0">
        <v>-2468549.465000001</v>
      </c>
    </row>
    <row r="2112">
      <c r="A2112" t="n" s="0">
        <v>-78.89</v>
      </c>
      <c r="B2112" t="n" s="0">
        <f>(-5-((((-5*(-5/((-5/(((-5*(-78.89--5))-(-5+((-5*-78.89)*(((-5--5)+(-78.89--5))+-78.89))))-(-5+-5)))*-5)))/-5)--5)+(-5*(((-78.89*(-78.89-(-5/-5)))*(-78.89-(-78.89/(-5*-78.89))))-(-5/-5)))))</f>
        <v>-2467612.616045</v>
      </c>
      <c r="C2112" t="n" s="0">
        <v>-2467612.616045</v>
      </c>
    </row>
    <row r="2113">
      <c r="A2113" t="n" s="0">
        <v>-78.88</v>
      </c>
      <c r="B2113" t="n" s="0">
        <f>(-5-((((-5*(-5/((-5/(((-5*(-78.88--5))-(-5+((-5*-78.88)*(((-5--5)+(-78.88--5))+-78.88))))-(-5+-5)))*-5)))/-5)--5)+(-5*(((-78.88*(-78.88-(-5/-5)))*(-78.88-(-78.88/(-5*-78.88))))-(-5/-5)))))</f>
        <v>-2466676.00416</v>
      </c>
      <c r="C2113" t="n" s="0">
        <v>-2466676.00416</v>
      </c>
    </row>
    <row r="2114">
      <c r="A2114" t="n" s="0">
        <v>-78.87</v>
      </c>
      <c r="B2114" t="n" s="0">
        <f>(-5-((((-5*(-5/((-5/(((-5*(-78.87--5))-(-5+((-5*-78.87)*(((-5--5)+(-78.87--5))+-78.87))))-(-5+-5)))*-5)))/-5)--5)+(-5*(((-78.87*(-78.87-(-5/-5)))*(-78.87-(-78.87/(-5*-78.87))))-(-5/-5)))))</f>
        <v>-2465739.629315</v>
      </c>
      <c r="C2114" t="n" s="0">
        <v>-2465739.629315</v>
      </c>
    </row>
    <row r="2115">
      <c r="A2115" t="n" s="0">
        <v>-78.86</v>
      </c>
      <c r="B2115" t="n" s="0">
        <f>(-5-((((-5*(-5/((-5/(((-5*(-78.86--5))-(-5+((-5*-78.86)*(((-5--5)+(-78.86--5))+-78.86))))-(-5+-5)))*-5)))/-5)--5)+(-5*(((-78.86*(-78.86-(-5/-5)))*(-78.86-(-78.86/(-5*-78.86))))-(-5/-5)))))</f>
        <v>-2464803.4914800003</v>
      </c>
      <c r="C2115" t="n" s="0">
        <v>-2464803.49148</v>
      </c>
    </row>
    <row r="2116">
      <c r="A2116" t="n" s="0">
        <v>-78.85</v>
      </c>
      <c r="B2116" t="n" s="0">
        <f>(-5-((((-5*(-5/((-5/(((-5*(-78.85--5))-(-5+((-5*-78.85)*(((-5--5)+(-78.85--5))+-78.85))))-(-5+-5)))*-5)))/-5)--5)+(-5*(((-78.85*(-78.85-(-5/-5)))*(-78.85-(-78.85/(-5*-78.85))))-(-5/-5)))))</f>
        <v>-2463867.5906249997</v>
      </c>
      <c r="C2116" t="n" s="0">
        <v>-2463867.5906249993</v>
      </c>
    </row>
    <row r="2117">
      <c r="A2117" t="n" s="0">
        <v>-78.84</v>
      </c>
      <c r="B2117" t="n" s="0">
        <f>(-5-((((-5*(-5/((-5/(((-5*(-78.84--5))-(-5+((-5*-78.84)*(((-5--5)+(-78.84--5))+-78.84))))-(-5+-5)))*-5)))/-5)--5)+(-5*(((-78.84*(-78.84-(-5/-5)))*(-78.84-(-78.84/(-5*-78.84))))-(-5/-5)))))</f>
        <v>-2462931.92672</v>
      </c>
      <c r="C2117" t="n" s="0">
        <v>-2462931.9267200003</v>
      </c>
    </row>
    <row r="2118">
      <c r="A2118" t="n" s="0">
        <v>-78.83</v>
      </c>
      <c r="B2118" t="n" s="0">
        <f>(-5-((((-5*(-5/((-5/(((-5*(-78.83--5))-(-5+((-5*-78.83)*(((-5--5)+(-78.83--5))+-78.83))))-(-5+-5)))*-5)))/-5)--5)+(-5*(((-78.83*(-78.83-(-5/-5)))*(-78.83-(-78.83/(-5*-78.83))))-(-5/-5)))))</f>
        <v>-2461996.499735</v>
      </c>
      <c r="C2118" t="n" s="0">
        <v>-2461996.499735</v>
      </c>
    </row>
    <row r="2119">
      <c r="A2119" t="n" s="0">
        <v>-78.82</v>
      </c>
      <c r="B2119" t="n" s="0">
        <f>(-5-((((-5*(-5/((-5/(((-5*(-78.82--5))-(-5+((-5*-78.82)*(((-5--5)+(-78.82--5))+-78.82))))-(-5+-5)))*-5)))/-5)--5)+(-5*(((-78.82*(-78.82-(-5/-5)))*(-78.82-(-78.82/(-5*-78.82))))-(-5/-5)))))</f>
        <v>-2461061.3096399996</v>
      </c>
      <c r="C2119" t="n" s="0">
        <v>-2461061.309639999</v>
      </c>
    </row>
    <row r="2120">
      <c r="A2120" t="n" s="0">
        <v>-78.81</v>
      </c>
      <c r="B2120" t="n" s="0">
        <f>(-5-((((-5*(-5/((-5/(((-5*(-78.81--5))-(-5+((-5*-78.81)*(((-5--5)+(-78.81--5))+-78.81))))-(-5+-5)))*-5)))/-5)--5)+(-5*(((-78.81*(-78.81-(-5/-5)))*(-78.81-(-78.81/(-5*-78.81))))-(-5/-5)))))</f>
        <v>-2460126.356405</v>
      </c>
      <c r="C2120" t="n" s="0">
        <v>-2460126.356405</v>
      </c>
    </row>
    <row r="2121">
      <c r="A2121" t="n" s="0">
        <v>-78.8</v>
      </c>
      <c r="B2121" t="n" s="0">
        <f>(-5-((((-5*(-5/((-5/(((-5*(-78.8--5))-(-5+((-5*-78.8)*(((-5--5)+(-78.8--5))+-78.8))))-(-5+-5)))*-5)))/-5)--5)+(-5*(((-78.8*(-78.8-(-5/-5)))*(-78.8-(-78.8/(-5*-78.8))))-(-5/-5)))))</f>
        <v>-2459191.6399999997</v>
      </c>
      <c r="C2121" t="n" s="0">
        <v>-2459191.6399999997</v>
      </c>
    </row>
    <row r="2122">
      <c r="A2122" t="n" s="0">
        <v>-78.79</v>
      </c>
      <c r="B2122" t="n" s="0">
        <f>(-5-((((-5*(-5/((-5/(((-5*(-78.79--5))-(-5+((-5*-78.79)*(((-5--5)+(-78.79--5))+-78.79))))-(-5+-5)))*-5)))/-5)--5)+(-5*(((-78.79*(-78.79-(-5/-5)))*(-78.79-(-78.79/(-5*-78.79))))-(-5/-5)))))</f>
        <v>-2458257.160395</v>
      </c>
      <c r="C2122" t="n" s="0">
        <v>-2458257.1603950006</v>
      </c>
    </row>
    <row r="2123">
      <c r="A2123" t="n" s="0">
        <v>-78.78</v>
      </c>
      <c r="B2123" t="n" s="0">
        <f>(-5-((((-5*(-5/((-5/(((-5*(-78.78--5))-(-5+((-5*-78.78)*(((-5--5)+(-78.78--5))+-78.78))))-(-5+-5)))*-5)))/-5)--5)+(-5*(((-78.78*(-78.78-(-5/-5)))*(-78.78-(-78.78/(-5*-78.78))))-(-5/-5)))))</f>
        <v>-2457322.91756</v>
      </c>
      <c r="C2123" t="n" s="0">
        <v>-2457322.91756</v>
      </c>
    </row>
    <row r="2124">
      <c r="A2124" t="n" s="0">
        <v>-78.77</v>
      </c>
      <c r="B2124" t="n" s="0">
        <f>(-5-((((-5*(-5/((-5/(((-5*(-78.77--5))-(-5+((-5*-78.77)*(((-5--5)+(-78.77--5))+-78.77))))-(-5+-5)))*-5)))/-5)--5)+(-5*(((-78.77*(-78.77-(-5/-5)))*(-78.77-(-78.77/(-5*-78.77))))-(-5/-5)))))</f>
        <v>-2456388.9114650004</v>
      </c>
      <c r="C2124" t="n" s="0">
        <v>-2456388.9114649994</v>
      </c>
    </row>
    <row r="2125">
      <c r="A2125" t="n" s="0">
        <v>-78.76</v>
      </c>
      <c r="B2125" t="n" s="0">
        <f>(-5-((((-5*(-5/((-5/(((-5*(-78.76--5))-(-5+((-5*-78.76)*(((-5--5)+(-78.76--5))+-78.76))))-(-5+-5)))*-5)))/-5)--5)+(-5*(((-78.76*(-78.76-(-5/-5)))*(-78.76-(-78.76/(-5*-78.76))))-(-5/-5)))))</f>
        <v>-2455455.14208</v>
      </c>
      <c r="C2125" t="n" s="0">
        <v>-2455455.14208</v>
      </c>
    </row>
    <row r="2126">
      <c r="A2126" t="n" s="0">
        <v>-78.75</v>
      </c>
      <c r="B2126" t="n" s="0">
        <f>(-5-((((-5*(-5/((-5/(((-5*(-78.75--5))-(-5+((-5*-78.75)*(((-5--5)+(-78.75--5))+-78.75))))-(-5+-5)))*-5)))/-5)--5)+(-5*(((-78.75*(-78.75-(-5/-5)))*(-78.75-(-78.75/(-5*-78.75))))-(-5/-5)))))</f>
        <v>-2454521.609375</v>
      </c>
      <c r="C2126" t="n" s="0">
        <v>-2454521.609375</v>
      </c>
    </row>
    <row r="2127">
      <c r="A2127" t="n" s="0">
        <v>-78.74</v>
      </c>
      <c r="B2127" t="n" s="0">
        <f>(-5-((((-5*(-5/((-5/(((-5*(-78.74--5))-(-5+((-5*-78.74)*(((-5--5)+(-78.74--5))+-78.74))))-(-5+-5)))*-5)))/-5)--5)+(-5*(((-78.74*(-78.74-(-5/-5)))*(-78.74-(-78.74/(-5*-78.74))))-(-5/-5)))))</f>
        <v>-2453588.31332</v>
      </c>
      <c r="C2127" t="n" s="0">
        <v>-2453588.31332</v>
      </c>
    </row>
    <row r="2128">
      <c r="A2128" t="n" s="0">
        <v>-78.73</v>
      </c>
      <c r="B2128" t="n" s="0">
        <f>(-5-((((-5*(-5/((-5/(((-5*(-78.73--5))-(-5+((-5*-78.73)*(((-5--5)+(-78.73--5))+-78.73))))-(-5+-5)))*-5)))/-5)--5)+(-5*(((-78.73*(-78.73-(-5/-5)))*(-78.73-(-78.73/(-5*-78.73))))-(-5/-5)))))</f>
        <v>-2452655.253885</v>
      </c>
      <c r="C2128" t="n" s="0">
        <v>-2452655.2538850005</v>
      </c>
    </row>
    <row r="2129">
      <c r="A2129" t="n" s="0">
        <v>-78.72</v>
      </c>
      <c r="B2129" t="n" s="0">
        <f>(-5-((((-5*(-5/((-5/(((-5*(-78.72--5))-(-5+((-5*-78.72)*(((-5--5)+(-78.72--5))+-78.72))))-(-5+-5)))*-5)))/-5)--5)+(-5*(((-78.72*(-78.72-(-5/-5)))*(-78.72-(-78.72/(-5*-78.72))))-(-5/-5)))))</f>
        <v>-2451722.4310399997</v>
      </c>
      <c r="C2129" t="n" s="0">
        <v>-2451722.4310399997</v>
      </c>
    </row>
    <row r="2130">
      <c r="A2130" t="n" s="0">
        <v>-78.71</v>
      </c>
      <c r="B2130" t="n" s="0">
        <f>(-5-((((-5*(-5/((-5/(((-5*(-78.71--5))-(-5+((-5*-78.71)*(((-5--5)+(-78.71--5))+-78.71))))-(-5+-5)))*-5)))/-5)--5)+(-5*(((-78.71*(-78.71-(-5/-5)))*(-78.71-(-78.71/(-5*-78.71))))-(-5/-5)))))</f>
        <v>-2450789.844755</v>
      </c>
      <c r="C2130" t="n" s="0">
        <v>-2450789.8447549995</v>
      </c>
    </row>
    <row r="2131">
      <c r="A2131" t="n" s="0">
        <v>-78.7</v>
      </c>
      <c r="B2131" t="n" s="0">
        <f>(-5-((((-5*(-5/((-5/(((-5*(-78.7--5))-(-5+((-5*-78.7)*(((-5--5)+(-78.7--5))+-78.7))))-(-5+-5)))*-5)))/-5)--5)+(-5*(((-78.7*(-78.7-(-5/-5)))*(-78.7-(-78.7/(-5*-78.7))))-(-5/-5)))))</f>
        <v>-2449857.495</v>
      </c>
      <c r="C2131" t="n" s="0">
        <v>-2449857.495</v>
      </c>
    </row>
    <row r="2132">
      <c r="A2132" t="n" s="0">
        <v>-78.69</v>
      </c>
      <c r="B2132" t="n" s="0">
        <f>(-5-((((-5*(-5/((-5/(((-5*(-78.69--5))-(-5+((-5*-78.69)*(((-5--5)+(-78.69--5))+-78.69))))-(-5+-5)))*-5)))/-5)--5)+(-5*(((-78.69*(-78.69-(-5/-5)))*(-78.69-(-78.69/(-5*-78.69))))-(-5/-5)))))</f>
        <v>-2448925.381745</v>
      </c>
      <c r="C2132" t="n" s="0">
        <v>-2448925.381745</v>
      </c>
    </row>
    <row r="2133">
      <c r="A2133" t="n" s="0">
        <v>-78.68</v>
      </c>
      <c r="B2133" t="n" s="0">
        <f>(-5-((((-5*(-5/((-5/(((-5*(-78.68--5))-(-5+((-5*-78.68)*(((-5--5)+(-78.68--5))+-78.68))))-(-5+-5)))*-5)))/-5)--5)+(-5*(((-78.68*(-78.68-(-5/-5)))*(-78.68-(-78.68/(-5*-78.68))))-(-5/-5)))))</f>
        <v>-2447993.50496</v>
      </c>
      <c r="C2133" t="n" s="0">
        <v>-2447993.5049600005</v>
      </c>
    </row>
    <row r="2134">
      <c r="A2134" t="n" s="0">
        <v>-78.67</v>
      </c>
      <c r="B2134" t="n" s="0">
        <f>(-5-((((-5*(-5/((-5/(((-5*(-78.67--5))-(-5+((-5*-78.67)*(((-5--5)+(-78.67--5))+-78.67))))-(-5+-5)))*-5)))/-5)--5)+(-5*(((-78.67*(-78.67-(-5/-5)))*(-78.67-(-78.67/(-5*-78.67))))-(-5/-5)))))</f>
        <v>-2447061.8646150003</v>
      </c>
      <c r="C2134" t="n" s="0">
        <v>-2447061.864615</v>
      </c>
    </row>
    <row r="2135">
      <c r="A2135" t="n" s="0">
        <v>-78.66</v>
      </c>
      <c r="B2135" t="n" s="0">
        <f>(-5-((((-5*(-5/((-5/(((-5*(-78.66--5))-(-5+((-5*-78.66)*(((-5--5)+(-78.66--5))+-78.66))))-(-5+-5)))*-5)))/-5)--5)+(-5*(((-78.66*(-78.66-(-5/-5)))*(-78.66-(-78.66/(-5*-78.66))))-(-5/-5)))))</f>
        <v>-2446130.46068</v>
      </c>
      <c r="C2135" t="n" s="0">
        <v>-2446130.4606799996</v>
      </c>
    </row>
    <row r="2136">
      <c r="A2136" t="n" s="0">
        <v>-78.65</v>
      </c>
      <c r="B2136" t="n" s="0">
        <f>(-5-((((-5*(-5/((-5/(((-5*(-78.65--5))-(-5+((-5*-78.65)*(((-5--5)+(-78.65--5))+-78.65))))-(-5+-5)))*-5)))/-5)--5)+(-5*(((-78.65*(-78.65-(-5/-5)))*(-78.65-(-78.65/(-5*-78.65))))-(-5/-5)))))</f>
        <v>-2445199.293125</v>
      </c>
      <c r="C2136" t="n" s="0">
        <v>-2445199.293125001</v>
      </c>
    </row>
    <row r="2137">
      <c r="A2137" t="n" s="0">
        <v>-78.64</v>
      </c>
      <c r="B2137" t="n" s="0">
        <f>(-5-((((-5*(-5/((-5/(((-5*(-78.64--5))-(-5+((-5*-78.64)*(((-5--5)+(-78.64--5))+-78.64))))-(-5+-5)))*-5)))/-5)--5)+(-5*(((-78.64*(-78.64-(-5/-5)))*(-78.64-(-78.64/(-5*-78.64))))-(-5/-5)))))</f>
        <v>-2444268.36192</v>
      </c>
      <c r="C2137" t="n" s="0">
        <v>-2444268.3619199996</v>
      </c>
    </row>
    <row r="2138">
      <c r="A2138" t="n" s="0">
        <v>-78.63</v>
      </c>
      <c r="B2138" t="n" s="0">
        <f>(-5-((((-5*(-5/((-5/(((-5*(-78.63--5))-(-5+((-5*-78.63)*(((-5--5)+(-78.63--5))+-78.63))))-(-5+-5)))*-5)))/-5)--5)+(-5*(((-78.63*(-78.63-(-5/-5)))*(-78.63-(-78.63/(-5*-78.63))))-(-5/-5)))))</f>
        <v>-2443337.667035</v>
      </c>
      <c r="C2138" t="n" s="0">
        <v>-2443337.667035</v>
      </c>
    </row>
    <row r="2139">
      <c r="A2139" t="n" s="0">
        <v>-78.62</v>
      </c>
      <c r="B2139" t="n" s="0">
        <f>(-5-((((-5*(-5/((-5/(((-5*(-78.62--5))-(-5+((-5*-78.62)*(((-5--5)+(-78.62--5))+-78.62))))-(-5+-5)))*-5)))/-5)--5)+(-5*(((-78.62*(-78.62-(-5/-5)))*(-78.62-(-78.62/(-5*-78.62))))-(-5/-5)))))</f>
        <v>-2442407.2084399997</v>
      </c>
      <c r="C2139" t="n" s="0">
        <v>-2442407.2084400007</v>
      </c>
    </row>
    <row r="2140">
      <c r="A2140" t="n" s="0">
        <v>-78.61</v>
      </c>
      <c r="B2140" t="n" s="0">
        <f>(-5-((((-5*(-5/((-5/(((-5*(-78.61--5))-(-5+((-5*-78.61)*(((-5--5)+(-78.61--5))+-78.61))))-(-5+-5)))*-5)))/-5)--5)+(-5*(((-78.61*(-78.61-(-5/-5)))*(-78.61-(-78.61/(-5*-78.61))))-(-5/-5)))))</f>
        <v>-2441476.986105</v>
      </c>
      <c r="C2140" t="n" s="0">
        <v>-2441476.9861049997</v>
      </c>
    </row>
    <row r="2141">
      <c r="A2141" t="n" s="0">
        <v>-78.6</v>
      </c>
      <c r="B2141" t="n" s="0">
        <f>(-5-((((-5*(-5/((-5/(((-5*(-78.6--5))-(-5+((-5*-78.6)*(((-5--5)+(-78.6--5))+-78.6))))-(-5+-5)))*-5)))/-5)--5)+(-5*(((-78.6*(-78.6-(-5/-5)))*(-78.6-(-78.6/(-5*-78.6))))-(-5/-5)))))</f>
        <v>-2440547.0</v>
      </c>
      <c r="C2141" t="n" s="0">
        <v>-2440546.999999999</v>
      </c>
    </row>
    <row r="2142">
      <c r="A2142" t="n" s="0">
        <v>-78.59</v>
      </c>
      <c r="B2142" t="n" s="0">
        <f>(-5-((((-5*(-5/((-5/(((-5*(-78.59--5))-(-5+((-5*-78.59)*(((-5--5)+(-78.59--5))+-78.59))))-(-5+-5)))*-5)))/-5)--5)+(-5*(((-78.59*(-78.59-(-5/-5)))*(-78.59-(-78.59/(-5*-78.59))))-(-5/-5)))))</f>
        <v>-2439617.250095</v>
      </c>
      <c r="C2142" t="n" s="0">
        <v>-2439617.2500950005</v>
      </c>
    </row>
    <row r="2143">
      <c r="A2143" t="n" s="0">
        <v>-78.58</v>
      </c>
      <c r="B2143" t="n" s="0">
        <f>(-5-((((-5*(-5/((-5/(((-5*(-78.58--5))-(-5+((-5*-78.58)*(((-5--5)+(-78.58--5))+-78.58))))-(-5+-5)))*-5)))/-5)--5)+(-5*(((-78.58*(-78.58-(-5/-5)))*(-78.58-(-78.58/(-5*-78.58))))-(-5/-5)))))</f>
        <v>-2438687.73636</v>
      </c>
      <c r="C2143" t="n" s="0">
        <v>-2438687.73636</v>
      </c>
    </row>
    <row r="2144">
      <c r="A2144" t="n" s="0">
        <v>-78.57</v>
      </c>
      <c r="B2144" t="n" s="0">
        <f>(-5-((((-5*(-5/((-5/(((-5*(-78.57--5))-(-5+((-5*-78.57)*(((-5--5)+(-78.57--5))+-78.57))))-(-5+-5)))*-5)))/-5)--5)+(-5*(((-78.57*(-78.57-(-5/-5)))*(-78.57-(-78.57/(-5*-78.57))))-(-5/-5)))))</f>
        <v>-2437758.458765</v>
      </c>
      <c r="C2144" t="n" s="0">
        <v>-2437758.4587649996</v>
      </c>
    </row>
    <row r="2145">
      <c r="A2145" t="n" s="0">
        <v>-78.56</v>
      </c>
      <c r="B2145" t="n" s="0">
        <f>(-5-((((-5*(-5/((-5/(((-5*(-78.56--5))-(-5+((-5*-78.56)*(((-5--5)+(-78.56--5))+-78.56))))-(-5+-5)))*-5)))/-5)--5)+(-5*(((-78.56*(-78.56-(-5/-5)))*(-78.56-(-78.56/(-5*-78.56))))-(-5/-5)))))</f>
        <v>-2436829.41728</v>
      </c>
      <c r="C2145" t="n" s="0">
        <v>-2436829.4172800006</v>
      </c>
    </row>
    <row r="2146">
      <c r="A2146" t="n" s="0">
        <v>-78.55</v>
      </c>
      <c r="B2146" t="n" s="0">
        <f>(-5-((((-5*(-5/((-5/(((-5*(-78.55--5))-(-5+((-5*-78.55)*(((-5--5)+(-78.55--5))+-78.55))))-(-5+-5)))*-5)))/-5)--5)+(-5*(((-78.55*(-78.55-(-5/-5)))*(-78.55-(-78.55/(-5*-78.55))))-(-5/-5)))))</f>
        <v>-2435900.611875</v>
      </c>
      <c r="C2146" t="n" s="0">
        <v>-2435900.6118749995</v>
      </c>
    </row>
    <row r="2147">
      <c r="A2147" t="n" s="0">
        <v>-78.54</v>
      </c>
      <c r="B2147" t="n" s="0">
        <f>(-5-((((-5*(-5/((-5/(((-5*(-78.54--5))-(-5+((-5*-78.54)*(((-5--5)+(-78.54--5))+-78.54))))-(-5+-5)))*-5)))/-5)--5)+(-5*(((-78.54*(-78.54-(-5/-5)))*(-78.54-(-78.54/(-5*-78.54))))-(-5/-5)))))</f>
        <v>-2434972.04252</v>
      </c>
      <c r="C2147" t="n" s="0">
        <v>-2434972.042520001</v>
      </c>
    </row>
    <row r="2148">
      <c r="A2148" t="n" s="0">
        <v>-78.53</v>
      </c>
      <c r="B2148" t="n" s="0">
        <f>(-5-((((-5*(-5/((-5/(((-5*(-78.53--5))-(-5+((-5*-78.53)*(((-5--5)+(-78.53--5))+-78.53))))-(-5+-5)))*-5)))/-5)--5)+(-5*(((-78.53*(-78.53-(-5/-5)))*(-78.53-(-78.53/(-5*-78.53))))-(-5/-5)))))</f>
        <v>-2434043.709185</v>
      </c>
      <c r="C2148" t="n" s="0">
        <v>-2434043.709185</v>
      </c>
    </row>
    <row r="2149">
      <c r="A2149" t="n" s="0">
        <v>-78.52</v>
      </c>
      <c r="B2149" t="n" s="0">
        <f>(-5-((((-5*(-5/((-5/(((-5*(-78.52--5))-(-5+((-5*-78.52)*(((-5--5)+(-78.52--5))+-78.52))))-(-5+-5)))*-5)))/-5)--5)+(-5*(((-78.52*(-78.52-(-5/-5)))*(-78.52-(-78.52/(-5*-78.52))))-(-5/-5)))))</f>
        <v>-2433115.61184</v>
      </c>
      <c r="C2149" t="n" s="0">
        <v>-2433115.6118399994</v>
      </c>
    </row>
    <row r="2150">
      <c r="A2150" t="n" s="0">
        <v>-78.51</v>
      </c>
      <c r="B2150" t="n" s="0">
        <f>(-5-((((-5*(-5/((-5/(((-5*(-78.51--5))-(-5+((-5*-78.51)*(((-5--5)+(-78.51--5))+-78.51))))-(-5+-5)))*-5)))/-5)--5)+(-5*(((-78.51*(-78.51-(-5/-5)))*(-78.51-(-78.51/(-5*-78.51))))-(-5/-5)))))</f>
        <v>-2432187.750455</v>
      </c>
      <c r="C2150" t="n" s="0">
        <v>-2432187.750455</v>
      </c>
    </row>
    <row r="2151">
      <c r="A2151" t="n" s="0">
        <v>-78.5</v>
      </c>
      <c r="B2151" t="n" s="0">
        <f>(-5-((((-5*(-5/((-5/(((-5*(-78.5--5))-(-5+((-5*-78.5)*(((-5--5)+(-78.5--5))+-78.5))))-(-5+-5)))*-5)))/-5)--5)+(-5*(((-78.5*(-78.5-(-5/-5)))*(-78.5-(-78.5/(-5*-78.5))))-(-5/-5)))))</f>
        <v>-2431260.125</v>
      </c>
      <c r="C2151" t="n" s="0">
        <v>-2431260.125</v>
      </c>
    </row>
    <row r="2152">
      <c r="A2152" t="n" s="0">
        <v>-78.49</v>
      </c>
      <c r="B2152" t="n" s="0">
        <f>(-5-((((-5*(-5/((-5/(((-5*(-78.49--5))-(-5+((-5*-78.49)*(((-5--5)+(-78.49--5))+-78.49))))-(-5+-5)))*-5)))/-5)--5)+(-5*(((-78.49*(-78.49-(-5/-5)))*(-78.49-(-78.49/(-5*-78.49))))-(-5/-5)))))</f>
        <v>-2430332.7354449998</v>
      </c>
      <c r="C2152" t="n" s="0">
        <v>-2430332.7354449998</v>
      </c>
    </row>
    <row r="2153">
      <c r="A2153" t="n" s="0">
        <v>-78.48</v>
      </c>
      <c r="B2153" t="n" s="0">
        <f>(-5-((((-5*(-5/((-5/(((-5*(-78.48--5))-(-5+((-5*-78.48)*(((-5--5)+(-78.48--5))+-78.48))))-(-5+-5)))*-5)))/-5)--5)+(-5*(((-78.48*(-78.48-(-5/-5)))*(-78.48-(-78.48/(-5*-78.48))))-(-5/-5)))))</f>
        <v>-2429405.58176</v>
      </c>
      <c r="C2153" t="n" s="0">
        <v>-2429405.58176</v>
      </c>
    </row>
    <row r="2154">
      <c r="A2154" t="n" s="0">
        <v>-78.47</v>
      </c>
      <c r="B2154" t="n" s="0">
        <f>(-5-((((-5*(-5/((-5/(((-5*(-78.47--5))-(-5+((-5*-78.47)*(((-5--5)+(-78.47--5))+-78.47))))-(-5+-5)))*-5)))/-5)--5)+(-5*(((-78.47*(-78.47-(-5/-5)))*(-78.47-(-78.47/(-5*-78.47))))-(-5/-5)))))</f>
        <v>-2428478.663915</v>
      </c>
      <c r="C2154" t="n" s="0">
        <v>-2428478.663915</v>
      </c>
    </row>
    <row r="2155">
      <c r="A2155" t="n" s="0">
        <v>-78.46</v>
      </c>
      <c r="B2155" t="n" s="0">
        <f>(-5-((((-5*(-5/((-5/(((-5*(-78.46--5))-(-5+((-5*-78.46)*(((-5--5)+(-78.46--5))+-78.46))))-(-5+-5)))*-5)))/-5)--5)+(-5*(((-78.46*(-78.46-(-5/-5)))*(-78.46-(-78.46/(-5*-78.46))))-(-5/-5)))))</f>
        <v>-2427551.9818800003</v>
      </c>
      <c r="C2155" t="n" s="0">
        <v>-2427551.9818799994</v>
      </c>
    </row>
    <row r="2156">
      <c r="A2156" t="n" s="0">
        <v>-78.45</v>
      </c>
      <c r="B2156" t="n" s="0">
        <f>(-5-((((-5*(-5/((-5/(((-5*(-78.45--5))-(-5+((-5*-78.45)*(((-5--5)+(-78.45--5))+-78.45))))-(-5+-5)))*-5)))/-5)--5)+(-5*(((-78.45*(-78.45-(-5/-5)))*(-78.45-(-78.45/(-5*-78.45))))-(-5/-5)))))</f>
        <v>-2426625.535625</v>
      </c>
      <c r="C2156" t="n" s="0">
        <v>-2426625.5356250005</v>
      </c>
    </row>
    <row r="2157">
      <c r="A2157" t="n" s="0">
        <v>-78.44</v>
      </c>
      <c r="B2157" t="n" s="0">
        <f>(-5-((((-5*(-5/((-5/(((-5*(-78.44--5))-(-5+((-5*-78.44)*(((-5--5)+(-78.44--5))+-78.44))))-(-5+-5)))*-5)))/-5)--5)+(-5*(((-78.44*(-78.44-(-5/-5)))*(-78.44-(-78.44/(-5*-78.44))))-(-5/-5)))))</f>
        <v>-2425699.32512</v>
      </c>
      <c r="C2157" t="n" s="0">
        <v>-2425699.3251199997</v>
      </c>
    </row>
    <row r="2158">
      <c r="A2158" t="n" s="0">
        <v>-78.43</v>
      </c>
      <c r="B2158" t="n" s="0">
        <f>(-5-((((-5*(-5/((-5/(((-5*(-78.43--5))-(-5+((-5*-78.43)*(((-5--5)+(-78.43--5))+-78.43))))-(-5+-5)))*-5)))/-5)--5)+(-5*(((-78.43*(-78.43-(-5/-5)))*(-78.43-(-78.43/(-5*-78.43))))-(-5/-5)))))</f>
        <v>-2424773.350335</v>
      </c>
      <c r="C2158" t="n" s="0">
        <v>-2424773.3503350005</v>
      </c>
    </row>
    <row r="2159">
      <c r="A2159" t="n" s="0">
        <v>-78.42</v>
      </c>
      <c r="B2159" t="n" s="0">
        <f>(-5-((((-5*(-5/((-5/(((-5*(-78.42--5))-(-5+((-5*-78.42)*(((-5--5)+(-78.42--5))+-78.42))))-(-5+-5)))*-5)))/-5)--5)+(-5*(((-78.42*(-78.42-(-5/-5)))*(-78.42-(-78.42/(-5*-78.42))))-(-5/-5)))))</f>
        <v>-2423847.61124</v>
      </c>
      <c r="C2159" t="n" s="0">
        <v>-2423847.61124</v>
      </c>
    </row>
    <row r="2160">
      <c r="A2160" t="n" s="0">
        <v>-78.41</v>
      </c>
      <c r="B2160" t="n" s="0">
        <f>(-5-((((-5*(-5/((-5/(((-5*(-78.41--5))-(-5+((-5*-78.41)*(((-5--5)+(-78.41--5))+-78.41))))-(-5+-5)))*-5)))/-5)--5)+(-5*(((-78.41*(-78.41-(-5/-5)))*(-78.41-(-78.41/(-5*-78.41))))-(-5/-5)))))</f>
        <v>-2422922.107805</v>
      </c>
      <c r="C2160" t="n" s="0">
        <v>-2422922.1078049997</v>
      </c>
    </row>
    <row r="2161">
      <c r="A2161" t="n" s="0">
        <v>-78.4</v>
      </c>
      <c r="B2161" t="n" s="0">
        <f>(-5-((((-5*(-5/((-5/(((-5*(-78.4--5))-(-5+((-5*-78.4)*(((-5--5)+(-78.4--5))+-78.4))))-(-5+-5)))*-5)))/-5)--5)+(-5*(((-78.4*(-78.4-(-5/-5)))*(-78.4-(-78.4/(-5*-78.4))))-(-5/-5)))))</f>
        <v>-2421996.84</v>
      </c>
      <c r="C2161" t="n" s="0">
        <v>-2421996.840000001</v>
      </c>
    </row>
    <row r="2162">
      <c r="A2162" t="n" s="0">
        <v>-78.39</v>
      </c>
      <c r="B2162" t="n" s="0">
        <f>(-5-((((-5*(-5/((-5/(((-5*(-78.39--5))-(-5+((-5*-78.39)*(((-5--5)+(-78.39--5))+-78.39))))-(-5+-5)))*-5)))/-5)--5)+(-5*(((-78.39*(-78.39-(-5/-5)))*(-78.39-(-78.39/(-5*-78.39))))-(-5/-5)))))</f>
        <v>-2421071.8077950003</v>
      </c>
      <c r="C2162" t="n" s="0">
        <v>-2421071.807795</v>
      </c>
    </row>
    <row r="2163">
      <c r="A2163" t="n" s="0">
        <v>-78.38</v>
      </c>
      <c r="B2163" t="n" s="0">
        <f>(-5-((((-5*(-5/((-5/(((-5*(-78.38--5))-(-5+((-5*-78.38)*(((-5--5)+(-78.38--5))+-78.38))))-(-5+-5)))*-5)))/-5)--5)+(-5*(((-78.38*(-78.38-(-5/-5)))*(-78.38-(-78.38/(-5*-78.38))))-(-5/-5)))))</f>
        <v>-2420147.01116</v>
      </c>
      <c r="C2163" t="n" s="0">
        <v>-2420147.0111599998</v>
      </c>
    </row>
    <row r="2164">
      <c r="A2164" t="n" s="0">
        <v>-78.37</v>
      </c>
      <c r="B2164" t="n" s="0">
        <f>(-5-((((-5*(-5/((-5/(((-5*(-78.37--5))-(-5+((-5*-78.37)*(((-5--5)+(-78.37--5))+-78.37))))-(-5+-5)))*-5)))/-5)--5)+(-5*(((-78.37*(-78.37-(-5/-5)))*(-78.37-(-78.37/(-5*-78.37))))-(-5/-5)))))</f>
        <v>-2419222.450065</v>
      </c>
      <c r="C2164" t="n" s="0">
        <v>-2419222.4500650004</v>
      </c>
    </row>
    <row r="2165">
      <c r="A2165" t="n" s="0">
        <v>-78.36</v>
      </c>
      <c r="B2165" t="n" s="0">
        <f>(-5-((((-5*(-5/((-5/(((-5*(-78.36--5))-(-5+((-5*-78.36)*(((-5--5)+(-78.36--5))+-78.36))))-(-5+-5)))*-5)))/-5)--5)+(-5*(((-78.36*(-78.36-(-5/-5)))*(-78.36-(-78.36/(-5*-78.36))))-(-5/-5)))))</f>
        <v>-2418298.1244799998</v>
      </c>
      <c r="C2165" t="n" s="0">
        <v>-2418298.12448</v>
      </c>
    </row>
    <row r="2166">
      <c r="A2166" t="n" s="0">
        <v>-78.35</v>
      </c>
      <c r="B2166" t="n" s="0">
        <f>(-5-((((-5*(-5/((-5/(((-5*(-78.35--5))-(-5+((-5*-78.35)*(((-5--5)+(-78.35--5))+-78.35))))-(-5+-5)))*-5)))/-5)--5)+(-5*(((-78.35*(-78.35-(-5/-5)))*(-78.35-(-78.35/(-5*-78.35))))-(-5/-5)))))</f>
        <v>-2417374.0343750003</v>
      </c>
      <c r="C2166" t="n" s="0">
        <v>-2417374.0343749993</v>
      </c>
    </row>
    <row r="2167">
      <c r="A2167" t="n" s="0">
        <v>-78.34</v>
      </c>
      <c r="B2167" t="n" s="0">
        <f>(-5-((((-5*(-5/((-5/(((-5*(-78.34--5))-(-5+((-5*-78.34)*(((-5--5)+(-78.34--5))+-78.34))))-(-5+-5)))*-5)))/-5)--5)+(-5*(((-78.34*(-78.34-(-5/-5)))*(-78.34-(-78.34/(-5*-78.34))))-(-5/-5)))))</f>
        <v>-2416450.17972</v>
      </c>
      <c r="C2167" t="n" s="0">
        <v>-2416450.17972</v>
      </c>
    </row>
    <row r="2168">
      <c r="A2168" t="n" s="0">
        <v>-78.33</v>
      </c>
      <c r="B2168" t="n" s="0">
        <f>(-5-((((-5*(-5/((-5/(((-5*(-78.33--5))-(-5+((-5*-78.33)*(((-5--5)+(-78.33--5))+-78.33))))-(-5+-5)))*-5)))/-5)--5)+(-5*(((-78.33*(-78.33-(-5/-5)))*(-78.33-(-78.33/(-5*-78.33))))-(-5/-5)))))</f>
        <v>-2415526.5604850003</v>
      </c>
      <c r="C2168" t="n" s="0">
        <v>-2415526.5604850003</v>
      </c>
    </row>
    <row r="2169">
      <c r="A2169" t="n" s="0">
        <v>-78.32</v>
      </c>
      <c r="B2169" t="n" s="0">
        <f>(-5-((((-5*(-5/((-5/(((-5*(-78.32--5))-(-5+((-5*-78.32)*(((-5--5)+(-78.32--5))+-78.32))))-(-5+-5)))*-5)))/-5)--5)+(-5*(((-78.32*(-78.32-(-5/-5)))*(-78.32-(-78.32/(-5*-78.32))))-(-5/-5)))))</f>
        <v>-2414603.17664</v>
      </c>
      <c r="C2169" t="n" s="0">
        <v>-2414603.176639999</v>
      </c>
    </row>
    <row r="2170">
      <c r="A2170" t="n" s="0">
        <v>-78.31</v>
      </c>
      <c r="B2170" t="n" s="0">
        <f>(-5-((((-5*(-5/((-5/(((-5*(-78.31--5))-(-5+((-5*-78.31)*(((-5--5)+(-78.31--5))+-78.31))))-(-5+-5)))*-5)))/-5)--5)+(-5*(((-78.31*(-78.31-(-5/-5)))*(-78.31-(-78.31/(-5*-78.31))))-(-5/-5)))))</f>
        <v>-2413680.028155</v>
      </c>
      <c r="C2170" t="n" s="0">
        <v>-2413680.0281550004</v>
      </c>
    </row>
    <row r="2171">
      <c r="A2171" t="n" s="0">
        <v>-78.3</v>
      </c>
      <c r="B2171" t="n" s="0">
        <f>(-5-((((-5*(-5/((-5/(((-5*(-78.3--5))-(-5+((-5*-78.3)*(((-5--5)+(-78.3--5))+-78.3))))-(-5+-5)))*-5)))/-5)--5)+(-5*(((-78.3*(-78.3-(-5/-5)))*(-78.3-(-78.3/(-5*-78.3))))-(-5/-5)))))</f>
        <v>-2412757.1149999998</v>
      </c>
      <c r="C2171" t="n" s="0">
        <v>-2412757.1149999998</v>
      </c>
    </row>
    <row r="2172">
      <c r="A2172" t="n" s="0">
        <v>-78.29</v>
      </c>
      <c r="B2172" t="n" s="0">
        <f>(-5-((((-5*(-5/((-5/(((-5*(-78.29--5))-(-5+((-5*-78.29)*(((-5--5)+(-78.29--5))+-78.29))))-(-5+-5)))*-5)))/-5)--5)+(-5*(((-78.29*(-78.29-(-5/-5)))*(-78.29-(-78.29/(-5*-78.29))))-(-5/-5)))))</f>
        <v>-2411834.437145</v>
      </c>
      <c r="C2172" t="n" s="0">
        <v>-2411834.437145001</v>
      </c>
    </row>
    <row r="2173">
      <c r="A2173" t="n" s="0">
        <v>-78.28</v>
      </c>
      <c r="B2173" t="n" s="0">
        <f>(-5-((((-5*(-5/((-5/(((-5*(-78.28--5))-(-5+((-5*-78.28)*(((-5--5)+(-78.28--5))+-78.28))))-(-5+-5)))*-5)))/-5)--5)+(-5*(((-78.28*(-78.28-(-5/-5)))*(-78.28-(-78.28/(-5*-78.28))))-(-5/-5)))))</f>
        <v>-2410911.9945599996</v>
      </c>
      <c r="C2173" t="n" s="0">
        <v>-2410911.99456</v>
      </c>
    </row>
    <row r="2174">
      <c r="A2174" t="n" s="0">
        <v>-78.27</v>
      </c>
      <c r="B2174" t="n" s="0">
        <f>(-5-((((-5*(-5/((-5/(((-5*(-78.27--5))-(-5+((-5*-78.27)*(((-5--5)+(-78.27--5))+-78.27))))-(-5+-5)))*-5)))/-5)--5)+(-5*(((-78.27*(-78.27-(-5/-5)))*(-78.27-(-78.27/(-5*-78.27))))-(-5/-5)))))</f>
        <v>-2409989.787215</v>
      </c>
      <c r="C2174" t="n" s="0">
        <v>-2409989.7872149996</v>
      </c>
    </row>
    <row r="2175">
      <c r="A2175" t="n" s="0">
        <v>-78.26</v>
      </c>
      <c r="B2175" t="n" s="0">
        <f>(-5-((((-5*(-5/((-5/(((-5*(-78.26--5))-(-5+((-5*-78.26)*(((-5--5)+(-78.26--5))+-78.26))))-(-5+-5)))*-5)))/-5)--5)+(-5*(((-78.26*(-78.26-(-5/-5)))*(-78.26-(-78.26/(-5*-78.26))))-(-5/-5)))))</f>
        <v>-2409067.81508</v>
      </c>
      <c r="C2175" t="n" s="0">
        <v>-2409067.81508</v>
      </c>
    </row>
    <row r="2176">
      <c r="A2176" t="n" s="0">
        <v>-78.25</v>
      </c>
      <c r="B2176" t="n" s="0">
        <f>(-5-((((-5*(-5/((-5/(((-5*(-78.25--5))-(-5+((-5*-78.25)*(((-5--5)+(-78.25--5))+-78.25))))-(-5+-5)))*-5)))/-5)--5)+(-5*(((-78.25*(-78.25-(-5/-5)))*(-78.25-(-78.25/(-5*-78.25))))-(-5/-5)))))</f>
        <v>-2408146.078125</v>
      </c>
      <c r="C2176" t="n" s="0">
        <v>-2408146.078125</v>
      </c>
    </row>
    <row r="2177">
      <c r="A2177" t="n" s="0">
        <v>-78.24</v>
      </c>
      <c r="B2177" t="n" s="0">
        <f>(-5-((((-5*(-5/((-5/(((-5*(-78.24--5))-(-5+((-5*-78.24)*(((-5--5)+(-78.24--5))+-78.24))))-(-5+-5)))*-5)))/-5)--5)+(-5*(((-78.24*(-78.24-(-5/-5)))*(-78.24-(-78.24/(-5*-78.24))))-(-5/-5)))))</f>
        <v>-2407224.57632</v>
      </c>
      <c r="C2177" t="n" s="0">
        <v>-2407224.5763199995</v>
      </c>
    </row>
    <row r="2178">
      <c r="A2178" t="n" s="0">
        <v>-78.23</v>
      </c>
      <c r="B2178" t="n" s="0">
        <f>(-5-((((-5*(-5/((-5/(((-5*(-78.23--5))-(-5+((-5*-78.23)*(((-5--5)+(-78.23--5))+-78.23))))-(-5+-5)))*-5)))/-5)--5)+(-5*(((-78.23*(-78.23-(-5/-5)))*(-78.23-(-78.23/(-5*-78.23))))-(-5/-5)))))</f>
        <v>-2406303.3096350003</v>
      </c>
      <c r="C2178" t="n" s="0">
        <v>-2406303.309635</v>
      </c>
    </row>
    <row r="2179">
      <c r="A2179" t="n" s="0">
        <v>-78.22</v>
      </c>
      <c r="B2179" t="n" s="0">
        <f>(-5-((((-5*(-5/((-5/(((-5*(-78.22--5))-(-5+((-5*-78.22)*(((-5--5)+(-78.22--5))+-78.22))))-(-5+-5)))*-5)))/-5)--5)+(-5*(((-78.22*(-78.22-(-5/-5)))*(-78.22-(-78.22/(-5*-78.22))))-(-5/-5)))))</f>
        <v>-2405382.27804</v>
      </c>
      <c r="C2179" t="n" s="0">
        <v>-2405382.2780400002</v>
      </c>
    </row>
    <row r="2180">
      <c r="A2180" t="n" s="0">
        <v>-78.21</v>
      </c>
      <c r="B2180" t="n" s="0">
        <f>(-5-((((-5*(-5/((-5/(((-5*(-78.21--5))-(-5+((-5*-78.21)*(((-5--5)+(-78.21--5))+-78.21))))-(-5+-5)))*-5)))/-5)--5)+(-5*(((-78.21*(-78.21-(-5/-5)))*(-78.21-(-78.21/(-5*-78.21))))-(-5/-5)))))</f>
        <v>-2404461.481505</v>
      </c>
      <c r="C2180" t="n" s="0">
        <v>-2404461.4815049996</v>
      </c>
    </row>
    <row r="2181">
      <c r="A2181" t="n" s="0">
        <v>-78.2</v>
      </c>
      <c r="B2181" t="n" s="0">
        <f>(-5-((((-5*(-5/((-5/(((-5*(-78.2--5))-(-5+((-5*-78.2)*(((-5--5)+(-78.2--5))+-78.2))))-(-5+-5)))*-5)))/-5)--5)+(-5*(((-78.2*(-78.2-(-5/-5)))*(-78.2-(-78.2/(-5*-78.2))))-(-5/-5)))))</f>
        <v>-2403540.92</v>
      </c>
      <c r="C2181" t="n" s="0">
        <v>-2403540.9200000004</v>
      </c>
    </row>
    <row r="2182">
      <c r="A2182" t="n" s="0">
        <v>-78.19</v>
      </c>
      <c r="B2182" t="n" s="0">
        <f>(-5-((((-5*(-5/((-5/(((-5*(-78.19--5))-(-5+((-5*-78.19)*(((-5--5)+(-78.19--5))+-78.19))))-(-5+-5)))*-5)))/-5)--5)+(-5*(((-78.19*(-78.19-(-5/-5)))*(-78.19-(-78.19/(-5*-78.19))))-(-5/-5)))))</f>
        <v>-2402620.593495</v>
      </c>
      <c r="C2182" t="n" s="0">
        <v>-2402620.5934949997</v>
      </c>
    </row>
    <row r="2183">
      <c r="A2183" t="n" s="0">
        <v>-78.18</v>
      </c>
      <c r="B2183" t="n" s="0">
        <f>(-5-((((-5*(-5/((-5/(((-5*(-78.18--5))-(-5+((-5*-78.18)*(((-5--5)+(-78.18--5))+-78.18))))-(-5+-5)))*-5)))/-5)--5)+(-5*(((-78.18*(-78.18-(-5/-5)))*(-78.18-(-78.18/(-5*-78.18))))-(-5/-5)))))</f>
        <v>-2401700.5019599996</v>
      </c>
      <c r="C2183" t="n" s="0">
        <v>-2401700.5019600005</v>
      </c>
    </row>
    <row r="2184">
      <c r="A2184" t="n" s="0">
        <v>-78.17</v>
      </c>
      <c r="B2184" t="n" s="0">
        <f>(-5-((((-5*(-5/((-5/(((-5*(-78.17--5))-(-5+((-5*-78.17)*(((-5--5)+(-78.17--5))+-78.17))))-(-5+-5)))*-5)))/-5)--5)+(-5*(((-78.17*(-78.17-(-5/-5)))*(-78.17-(-78.17/(-5*-78.17))))-(-5/-5)))))</f>
        <v>-2400780.6453650002</v>
      </c>
      <c r="C2184" t="n" s="0">
        <v>-2400780.6453650002</v>
      </c>
    </row>
    <row r="2185">
      <c r="A2185" t="n" s="0">
        <v>-78.16</v>
      </c>
      <c r="B2185" t="n" s="0">
        <f>(-5-((((-5*(-5/((-5/(((-5*(-78.16--5))-(-5+((-5*-78.16)*(((-5--5)+(-78.16--5))+-78.16))))-(-5+-5)))*-5)))/-5)--5)+(-5*(((-78.16*(-78.16-(-5/-5)))*(-78.16-(-78.16/(-5*-78.16))))-(-5/-5)))))</f>
        <v>-2399861.02368</v>
      </c>
      <c r="C2185" t="n" s="0">
        <v>-2399861.0236799996</v>
      </c>
    </row>
    <row r="2186">
      <c r="A2186" t="n" s="0">
        <v>-78.15</v>
      </c>
      <c r="B2186" t="n" s="0">
        <f>(-5-((((-5*(-5/((-5/(((-5*(-78.15--5))-(-5+((-5*-78.15)*(((-5--5)+(-78.15--5))+-78.15))))-(-5+-5)))*-5)))/-5)--5)+(-5*(((-78.15*(-78.15-(-5/-5)))*(-78.15-(-78.15/(-5*-78.15))))-(-5/-5)))))</f>
        <v>-2398941.636875</v>
      </c>
      <c r="C2186" t="n" s="0">
        <v>-2398941.636875001</v>
      </c>
    </row>
    <row r="2187">
      <c r="A2187" t="n" s="0">
        <v>-78.14</v>
      </c>
      <c r="B2187" t="n" s="0">
        <f>(-5-((((-5*(-5/((-5/(((-5*(-78.14--5))-(-5+((-5*-78.14)*(((-5--5)+(-78.14--5))+-78.14))))-(-5+-5)))*-5)))/-5)--5)+(-5*(((-78.14*(-78.14-(-5/-5)))*(-78.14-(-78.14/(-5*-78.14))))-(-5/-5)))))</f>
        <v>-2398022.4849199997</v>
      </c>
      <c r="C2187" t="n" s="0">
        <v>-2398022.48492</v>
      </c>
    </row>
    <row r="2188">
      <c r="A2188" t="n" s="0">
        <v>-78.13</v>
      </c>
      <c r="B2188" t="n" s="0">
        <f>(-5-((((-5*(-5/((-5/(((-5*(-78.13--5))-(-5+((-5*-78.13)*(((-5--5)+(-78.13--5))+-78.13))))-(-5+-5)))*-5)))/-5)--5)+(-5*(((-78.13*(-78.13-(-5/-5)))*(-78.13-(-78.13/(-5*-78.13))))-(-5/-5)))))</f>
        <v>-2397103.567785</v>
      </c>
      <c r="C2188" t="n" s="0">
        <v>-2397103.5677849995</v>
      </c>
    </row>
    <row r="2189">
      <c r="A2189" t="n" s="0">
        <v>-78.12</v>
      </c>
      <c r="B2189" t="n" s="0">
        <f>(-5-((((-5*(-5/((-5/(((-5*(-78.12--5))-(-5+((-5*-78.12)*(((-5--5)+(-78.12--5))+-78.12))))-(-5+-5)))*-5)))/-5)--5)+(-5*(((-78.12*(-78.12-(-5/-5)))*(-78.12-(-78.12/(-5*-78.12))))-(-5/-5)))))</f>
        <v>-2396184.88544</v>
      </c>
      <c r="C2189" t="n" s="0">
        <v>-2396184.8854400003</v>
      </c>
    </row>
    <row r="2190">
      <c r="A2190" t="n" s="0">
        <v>-78.11</v>
      </c>
      <c r="B2190" t="n" s="0">
        <f>(-5-((((-5*(-5/((-5/(((-5*(-78.11--5))-(-5+((-5*-78.11)*(((-5--5)+(-78.11--5))+-78.11))))-(-5+-5)))*-5)))/-5)--5)+(-5*(((-78.11*(-78.11-(-5/-5)))*(-78.11-(-78.11/(-5*-78.11))))-(-5/-5)))))</f>
        <v>-2395266.4378549997</v>
      </c>
      <c r="C2190" t="n" s="0">
        <v>-2395266.437855</v>
      </c>
    </row>
    <row r="2191">
      <c r="A2191" t="n" s="0">
        <v>-78.1</v>
      </c>
      <c r="B2191" t="n" s="0">
        <f>(-5-((((-5*(-5/((-5/(((-5*(-78.1--5))-(-5+((-5*-78.1)*(((-5--5)+(-78.1--5))+-78.1))))-(-5+-5)))*-5)))/-5)--5)+(-5*(((-78.1*(-78.1-(-5/-5)))*(-78.1-(-78.1/(-5*-78.1))))-(-5/-5)))))</f>
        <v>-2394348.225</v>
      </c>
      <c r="C2191" t="n" s="0">
        <v>-2394348.2249999996</v>
      </c>
    </row>
    <row r="2192">
      <c r="A2192" t="n" s="0">
        <v>-78.09</v>
      </c>
      <c r="B2192" t="n" s="0">
        <f>(-5-((((-5*(-5/((-5/(((-5*(-78.09--5))-(-5+((-5*-78.09)*(((-5--5)+(-78.09--5))+-78.09))))-(-5+-5)))*-5)))/-5)--5)+(-5*(((-78.09*(-78.09-(-5/-5)))*(-78.09-(-78.09/(-5*-78.09))))-(-5/-5)))))</f>
        <v>-2393430.246845</v>
      </c>
      <c r="C2192" t="n" s="0">
        <v>-2393430.2468450004</v>
      </c>
    </row>
    <row r="2193">
      <c r="A2193" t="n" s="0">
        <v>-78.08</v>
      </c>
      <c r="B2193" t="n" s="0">
        <f>(-5-((((-5*(-5/((-5/(((-5*(-78.08--5))-(-5+((-5*-78.08)*(((-5--5)+(-78.08--5))+-78.08))))-(-5+-5)))*-5)))/-5)--5)+(-5*(((-78.08*(-78.08-(-5/-5)))*(-78.08-(-78.08/(-5*-78.08))))-(-5/-5)))))</f>
        <v>-2392512.50336</v>
      </c>
      <c r="C2193" t="n" s="0">
        <v>-2392512.50336</v>
      </c>
    </row>
    <row r="2194">
      <c r="A2194" t="n" s="0">
        <v>-78.07</v>
      </c>
      <c r="B2194" t="n" s="0">
        <f>(-5-((((-5*(-5/((-5/(((-5*(-78.07--5))-(-5+((-5*-78.07)*(((-5--5)+(-78.07--5))+-78.07))))-(-5+-5)))*-5)))/-5)--5)+(-5*(((-78.07*(-78.07-(-5/-5)))*(-78.07-(-78.07/(-5*-78.07))))-(-5/-5)))))</f>
        <v>-2391594.994515</v>
      </c>
      <c r="C2194" t="n" s="0">
        <v>-2391594.9945149994</v>
      </c>
    </row>
    <row r="2195">
      <c r="A2195" t="n" s="0">
        <v>-78.06</v>
      </c>
      <c r="B2195" t="n" s="0">
        <f>(-5-((((-5*(-5/((-5/(((-5*(-78.06--5))-(-5+((-5*-78.06)*(((-5--5)+(-78.06--5))+-78.06))))-(-5+-5)))*-5)))/-5)--5)+(-5*(((-78.06*(-78.06-(-5/-5)))*(-78.06-(-78.06/(-5*-78.06))))-(-5/-5)))))</f>
        <v>-2390677.72028</v>
      </c>
      <c r="C2195" t="n" s="0">
        <v>-2390677.7202800005</v>
      </c>
    </row>
    <row r="2196">
      <c r="A2196" t="n" s="0">
        <v>-78.05</v>
      </c>
      <c r="B2196" t="n" s="0">
        <f>(-5-((((-5*(-5/((-5/(((-5*(-78.05--5))-(-5+((-5*-78.05)*(((-5--5)+(-78.05--5))+-78.05))))-(-5+-5)))*-5)))/-5)--5)+(-5*(((-78.05*(-78.05-(-5/-5)))*(-78.05-(-78.05/(-5*-78.05))))-(-5/-5)))))</f>
        <v>-2389760.680625</v>
      </c>
      <c r="C2196" t="n" s="0">
        <v>-2389760.6806249996</v>
      </c>
    </row>
    <row r="2197">
      <c r="A2197" t="n" s="0">
        <v>-78.04</v>
      </c>
      <c r="B2197" t="n" s="0">
        <f>(-5-((((-5*(-5/((-5/(((-5*(-78.04--5))-(-5+((-5*-78.04)*(((-5--5)+(-78.04--5))+-78.04))))-(-5+-5)))*-5)))/-5)--5)+(-5*(((-78.04*(-78.04-(-5/-5)))*(-78.04-(-78.04/(-5*-78.04))))-(-5/-5)))))</f>
        <v>-2388843.8755200002</v>
      </c>
      <c r="C2197" t="n" s="0">
        <v>-2388843.8755200007</v>
      </c>
    </row>
    <row r="2198">
      <c r="A2198" t="n" s="0">
        <v>-78.03</v>
      </c>
      <c r="B2198" t="n" s="0">
        <f>(-5-((((-5*(-5/((-5/(((-5*(-78.03--5))-(-5+((-5*-78.03)*(((-5--5)+(-78.03--5))+-78.03))))-(-5+-5)))*-5)))/-5)--5)+(-5*(((-78.03*(-78.03-(-5/-5)))*(-78.03-(-78.03/(-5*-78.03))))-(-5/-5)))))</f>
        <v>-2387927.304935</v>
      </c>
      <c r="C2198" t="n" s="0">
        <v>-2387927.304935</v>
      </c>
    </row>
    <row r="2199">
      <c r="A2199" t="n" s="0">
        <v>-78.02</v>
      </c>
      <c r="B2199" t="n" s="0">
        <f>(-5-((((-5*(-5/((-5/(((-5*(-78.02--5))-(-5+((-5*-78.02)*(((-5--5)+(-78.02--5))+-78.02))))-(-5+-5)))*-5)))/-5)--5)+(-5*(((-78.02*(-78.02-(-5/-5)))*(-78.02-(-78.02/(-5*-78.02))))-(-5/-5)))))</f>
        <v>-2387010.9688399998</v>
      </c>
      <c r="C2199" t="n" s="0">
        <v>-2387010.9688399998</v>
      </c>
    </row>
    <row r="2200">
      <c r="A2200" t="n" s="0">
        <v>-78.01</v>
      </c>
      <c r="B2200" t="n" s="0">
        <f>(-5-((((-5*(-5/((-5/(((-5*(-78.01--5))-(-5+((-5*-78.01)*(((-5--5)+(-78.01--5))+-78.01))))-(-5+-5)))*-5)))/-5)--5)+(-5*(((-78.01*(-78.01-(-5/-5)))*(-78.01-(-78.01/(-5*-78.01))))-(-5/-5)))))</f>
        <v>-2386094.867205</v>
      </c>
      <c r="C2200" t="n" s="0">
        <v>-2386094.867205</v>
      </c>
    </row>
    <row r="2201">
      <c r="A2201" t="n" s="0">
        <v>-78.0</v>
      </c>
      <c r="B2201" t="n" s="0">
        <f>(-5-((((-5*(-5/((-5/(((-5*(-78--5))-(-5+((-5*-78)*(((-5--5)+(-78--5))+-78))))-(-5+-5)))*-5)))/-5)--5)+(-5*(((-78*(-78-(-5/-5)))*(-78-(-78/(-5*-78))))-(-5/-5)))))</f>
        <v>-2385179.0</v>
      </c>
      <c r="C2201" t="n" s="0">
        <v>-2385179.0</v>
      </c>
    </row>
    <row r="2202">
      <c r="A2202" t="n" s="0">
        <v>-77.99</v>
      </c>
      <c r="B2202" t="n" s="0">
        <f>(-5-((((-5*(-5/((-5/(((-5*(-77.99--5))-(-5+((-5*-77.99)*(((-5--5)+(-77.99--5))+-77.99))))-(-5+-5)))*-5)))/-5)--5)+(-5*(((-77.99*(-77.99-(-5/-5)))*(-77.99-(-77.99/(-5*-77.99))))-(-5/-5)))))</f>
        <v>-2384263.367195</v>
      </c>
      <c r="C2202" t="n" s="0">
        <v>-2384263.367195</v>
      </c>
    </row>
    <row r="2203">
      <c r="A2203" t="n" s="0">
        <v>-77.98</v>
      </c>
      <c r="B2203" t="n" s="0">
        <f>(-5-((((-5*(-5/((-5/(((-5*(-77.98--5))-(-5+((-5*-77.98)*(((-5--5)+(-77.98--5))+-77.98))))-(-5+-5)))*-5)))/-5)--5)+(-5*(((-77.98*(-77.98-(-5/-5)))*(-77.98-(-77.98/(-5*-77.98))))-(-5/-5)))))</f>
        <v>-2383347.96876</v>
      </c>
      <c r="C2203" t="n" s="0">
        <v>-2383347.96876</v>
      </c>
    </row>
    <row r="2204">
      <c r="A2204" t="n" s="0">
        <v>-77.97</v>
      </c>
      <c r="B2204" t="n" s="0">
        <f>(-5-((((-5*(-5/((-5/(((-5*(-77.97--5))-(-5+((-5*-77.97)*(((-5--5)+(-77.97--5))+-77.97))))-(-5+-5)))*-5)))/-5)--5)+(-5*(((-77.97*(-77.97-(-5/-5)))*(-77.97-(-77.97/(-5*-77.97))))-(-5/-5)))))</f>
        <v>-2382432.804665</v>
      </c>
      <c r="C2204" t="n" s="0">
        <v>-2382432.8046649997</v>
      </c>
    </row>
    <row r="2205">
      <c r="A2205" t="n" s="0">
        <v>-77.96</v>
      </c>
      <c r="B2205" t="n" s="0">
        <f>(-5-((((-5*(-5/((-5/(((-5*(-77.96--5))-(-5+((-5*-77.96)*(((-5--5)+(-77.96--5))+-77.96))))-(-5+-5)))*-5)))/-5)--5)+(-5*(((-77.96*(-77.96-(-5/-5)))*(-77.96-(-77.96/(-5*-77.96))))-(-5/-5)))))</f>
        <v>-2381517.87488</v>
      </c>
      <c r="C2205" t="n" s="0">
        <v>-2381517.8748799996</v>
      </c>
    </row>
    <row r="2206">
      <c r="A2206" t="n" s="0">
        <v>-77.95</v>
      </c>
      <c r="B2206" t="n" s="0">
        <f>(-5-((((-5*(-5/((-5/(((-5*(-77.95--5))-(-5+((-5*-77.95)*(((-5--5)+(-77.95--5))+-77.95))))-(-5+-5)))*-5)))/-5)--5)+(-5*(((-77.95*(-77.95-(-5/-5)))*(-77.95-(-77.95/(-5*-77.95))))-(-5/-5)))))</f>
        <v>-2380603.179375</v>
      </c>
      <c r="C2206" t="n" s="0">
        <v>-2380603.179375</v>
      </c>
    </row>
    <row r="2207">
      <c r="A2207" t="n" s="0">
        <v>-77.94</v>
      </c>
      <c r="B2207" t="n" s="0">
        <f>(-5-((((-5*(-5/((-5/(((-5*(-77.94--5))-(-5+((-5*-77.94)*(((-5--5)+(-77.94--5))+-77.94))))-(-5+-5)))*-5)))/-5)--5)+(-5*(((-77.94*(-77.94-(-5/-5)))*(-77.94-(-77.94/(-5*-77.94))))-(-5/-5)))))</f>
        <v>-2379688.7181200003</v>
      </c>
      <c r="C2207" t="n" s="0">
        <v>-2379688.71812</v>
      </c>
    </row>
    <row r="2208">
      <c r="A2208" t="n" s="0">
        <v>-77.93</v>
      </c>
      <c r="B2208" t="n" s="0">
        <f>(-5-((((-5*(-5/((-5/(((-5*(-77.93--5))-(-5+((-5*-77.93)*(((-5--5)+(-77.93--5))+-77.93))))-(-5+-5)))*-5)))/-5)--5)+(-5*(((-77.93*(-77.93-(-5/-5)))*(-77.93-(-77.93/(-5*-77.93))))-(-5/-5)))))</f>
        <v>-2378774.491085</v>
      </c>
      <c r="C2208" t="n" s="0">
        <v>-2378774.491085001</v>
      </c>
    </row>
    <row r="2209">
      <c r="A2209" t="n" s="0">
        <v>-77.92</v>
      </c>
      <c r="B2209" t="n" s="0">
        <f>(-5-((((-5*(-5/((-5/(((-5*(-77.92--5))-(-5+((-5*-77.92)*(((-5--5)+(-77.92--5))+-77.92))))-(-5+-5)))*-5)))/-5)--5)+(-5*(((-77.92*(-77.92-(-5/-5)))*(-77.92-(-77.92/(-5*-77.92))))-(-5/-5)))))</f>
        <v>-2377860.49824</v>
      </c>
      <c r="C2209" t="n" s="0">
        <v>-2377860.49824</v>
      </c>
    </row>
    <row r="2210">
      <c r="A2210" t="n" s="0">
        <v>-77.91</v>
      </c>
      <c r="B2210" t="n" s="0">
        <f>(-5-((((-5*(-5/((-5/(((-5*(-77.91--5))-(-5+((-5*-77.91)*(((-5--5)+(-77.91--5))+-77.91))))-(-5+-5)))*-5)))/-5)--5)+(-5*(((-77.91*(-77.91-(-5/-5)))*(-77.91-(-77.91/(-5*-77.91))))-(-5/-5)))))</f>
        <v>-2376946.739555</v>
      </c>
      <c r="C2210" t="n" s="0">
        <v>-2376946.739555</v>
      </c>
    </row>
    <row r="2211">
      <c r="A2211" t="n" s="0">
        <v>-77.9</v>
      </c>
      <c r="B2211" t="n" s="0">
        <f>(-5-((((-5*(-5/((-5/(((-5*(-77.9--5))-(-5+((-5*-77.9)*(((-5--5)+(-77.9--5))+-77.9))))-(-5+-5)))*-5)))/-5)--5)+(-5*(((-77.9*(-77.9-(-5/-5)))*(-77.9-(-77.9/(-5*-77.9))))-(-5/-5)))))</f>
        <v>-2376033.215</v>
      </c>
      <c r="C2211" t="n" s="0">
        <v>-2376033.2150000003</v>
      </c>
    </row>
    <row r="2212">
      <c r="A2212" t="n" s="0">
        <v>-77.89</v>
      </c>
      <c r="B2212" t="n" s="0">
        <f>(-5-((((-5*(-5/((-5/(((-5*(-77.89--5))-(-5+((-5*-77.89)*(((-5--5)+(-77.89--5))+-77.89))))-(-5+-5)))*-5)))/-5)--5)+(-5*(((-77.89*(-77.89-(-5/-5)))*(-77.89-(-77.89/(-5*-77.89))))-(-5/-5)))))</f>
        <v>-2375119.924545</v>
      </c>
      <c r="C2212" t="n" s="0">
        <v>-2375119.924545</v>
      </c>
    </row>
    <row r="2213">
      <c r="A2213" t="n" s="0">
        <v>-77.88</v>
      </c>
      <c r="B2213" t="n" s="0">
        <f>(-5-((((-5*(-5/((-5/(((-5*(-77.88--5))-(-5+((-5*-77.88)*(((-5--5)+(-77.88--5))+-77.88))))-(-5+-5)))*-5)))/-5)--5)+(-5*(((-77.88*(-77.88-(-5/-5)))*(-77.88-(-77.88/(-5*-77.88))))-(-5/-5)))))</f>
        <v>-2374206.86816</v>
      </c>
      <c r="C2213" t="n" s="0">
        <v>-2374206.8681599996</v>
      </c>
    </row>
    <row r="2214">
      <c r="A2214" t="n" s="0">
        <v>-77.87</v>
      </c>
      <c r="B2214" t="n" s="0">
        <f>(-5-((((-5*(-5/((-5/(((-5*(-77.87--5))-(-5+((-5*-77.87)*(((-5--5)+(-77.87--5))+-77.87))))-(-5+-5)))*-5)))/-5)--5)+(-5*(((-77.87*(-77.87-(-5/-5)))*(-77.87-(-77.87/(-5*-77.87))))-(-5/-5)))))</f>
        <v>-2373294.0458150003</v>
      </c>
      <c r="C2214" t="n" s="0">
        <v>-2373294.045815</v>
      </c>
    </row>
    <row r="2215">
      <c r="A2215" t="n" s="0">
        <v>-77.86</v>
      </c>
      <c r="B2215" t="n" s="0">
        <f>(-5-((((-5*(-5/((-5/(((-5*(-77.86--5))-(-5+((-5*-77.86)*(((-5--5)+(-77.86--5))+-77.86))))-(-5+-5)))*-5)))/-5)--5)+(-5*(((-77.86*(-77.86-(-5/-5)))*(-77.86-(-77.86/(-5*-77.86))))-(-5/-5)))))</f>
        <v>-2372381.4574800003</v>
      </c>
      <c r="C2215" t="n" s="0">
        <v>-2372381.45748</v>
      </c>
    </row>
    <row r="2216">
      <c r="A2216" t="n" s="0">
        <v>-77.85</v>
      </c>
      <c r="B2216" t="n" s="0">
        <f>(-5-((((-5*(-5/((-5/(((-5*(-77.85--5))-(-5+((-5*-77.85)*(((-5--5)+(-77.85--5))+-77.85))))-(-5+-5)))*-5)))/-5)--5)+(-5*(((-77.85*(-77.85-(-5/-5)))*(-77.85-(-77.85/(-5*-77.85))))-(-5/-5)))))</f>
        <v>-2371469.103125</v>
      </c>
      <c r="C2216" t="n" s="0">
        <v>-2371469.1031249994</v>
      </c>
    </row>
    <row r="2217">
      <c r="A2217" t="n" s="0">
        <v>-77.84</v>
      </c>
      <c r="B2217" t="n" s="0">
        <f>(-5-((((-5*(-5/((-5/(((-5*(-77.84--5))-(-5+((-5*-77.84)*(((-5--5)+(-77.84--5))+-77.84))))-(-5+-5)))*-5)))/-5)--5)+(-5*(((-77.84*(-77.84-(-5/-5)))*(-77.84-(-77.84/(-5*-77.84))))-(-5/-5)))))</f>
        <v>-2370556.98272</v>
      </c>
      <c r="C2217" t="n" s="0">
        <v>-2370556.9827200007</v>
      </c>
    </row>
    <row r="2218">
      <c r="A2218" t="n" s="0">
        <v>-77.83</v>
      </c>
      <c r="B2218" t="n" s="0">
        <f>(-5-((((-5*(-5/((-5/(((-5*(-77.83--5))-(-5+((-5*-77.83)*(((-5--5)+(-77.83--5))+-77.83))))-(-5+-5)))*-5)))/-5)--5)+(-5*(((-77.83*(-77.83-(-5/-5)))*(-77.83-(-77.83/(-5*-77.83))))-(-5/-5)))))</f>
        <v>-2369645.0962349996</v>
      </c>
      <c r="C2218" t="n" s="0">
        <v>-2369645.096235</v>
      </c>
    </row>
    <row r="2219">
      <c r="A2219" t="n" s="0">
        <v>-77.82</v>
      </c>
      <c r="B2219" t="n" s="0">
        <f>(-5-((((-5*(-5/((-5/(((-5*(-77.82--5))-(-5+((-5*-77.82)*(((-5--5)+(-77.82--5))+-77.82))))-(-5+-5)))*-5)))/-5)--5)+(-5*(((-77.82*(-77.82-(-5/-5)))*(-77.82-(-77.82/(-5*-77.82))))-(-5/-5)))))</f>
        <v>-2368733.44364</v>
      </c>
      <c r="C2219" t="n" s="0">
        <v>-2368733.4436399997</v>
      </c>
    </row>
    <row r="2220">
      <c r="A2220" t="n" s="0">
        <v>-77.81</v>
      </c>
      <c r="B2220" t="n" s="0">
        <f>(-5-((((-5*(-5/((-5/(((-5*(-77.81--5))-(-5+((-5*-77.81)*(((-5--5)+(-77.81--5))+-77.81))))-(-5+-5)))*-5)))/-5)--5)+(-5*(((-77.81*(-77.81-(-5/-5)))*(-77.81-(-77.81/(-5*-77.81))))-(-5/-5)))))</f>
        <v>-2367822.0249050003</v>
      </c>
      <c r="C2220" t="n" s="0">
        <v>-2367822.0249050003</v>
      </c>
    </row>
    <row r="2221">
      <c r="A2221" t="n" s="0">
        <v>-77.8</v>
      </c>
      <c r="B2221" t="n" s="0">
        <f>(-5-((((-5*(-5/((-5/(((-5*(-77.8--5))-(-5+((-5*-77.8)*(((-5--5)+(-77.8--5))+-77.8))))-(-5+-5)))*-5)))/-5)--5)+(-5*(((-77.8*(-77.8-(-5/-5)))*(-77.8-(-77.8/(-5*-77.8))))-(-5/-5)))))</f>
        <v>-2366910.84</v>
      </c>
      <c r="C2221" t="n" s="0">
        <v>-2366910.84</v>
      </c>
    </row>
    <row r="2222">
      <c r="A2222" t="n" s="0">
        <v>-77.79</v>
      </c>
      <c r="B2222" t="n" s="0">
        <f>(-5-((((-5*(-5/((-5/(((-5*(-77.79--5))-(-5+((-5*-77.79)*(((-5--5)+(-77.79--5))+-77.79))))-(-5+-5)))*-5)))/-5)--5)+(-5*(((-77.79*(-77.79-(-5/-5)))*(-77.79-(-77.79/(-5*-77.79))))-(-5/-5)))))</f>
        <v>-2365999.888895</v>
      </c>
      <c r="C2222" t="n" s="0">
        <v>-2365999.888895001</v>
      </c>
    </row>
    <row r="2223">
      <c r="A2223" t="n" s="0">
        <v>-77.78</v>
      </c>
      <c r="B2223" t="n" s="0">
        <f>(-5-((((-5*(-5/((-5/(((-5*(-77.78--5))-(-5+((-5*-77.78)*(((-5--5)+(-77.78--5))+-77.78))))-(-5+-5)))*-5)))/-5)--5)+(-5*(((-77.78*(-77.78-(-5/-5)))*(-77.78-(-77.78/(-5*-77.78))))-(-5/-5)))))</f>
        <v>-2365089.1715599997</v>
      </c>
      <c r="C2223" t="n" s="0">
        <v>-2365089.1715599997</v>
      </c>
    </row>
    <row r="2224">
      <c r="A2224" t="n" s="0">
        <v>-77.77</v>
      </c>
      <c r="B2224" t="n" s="0">
        <f>(-5-((((-5*(-5/((-5/(((-5*(-77.77--5))-(-5+((-5*-77.77)*(((-5--5)+(-77.77--5))+-77.77))))-(-5+-5)))*-5)))/-5)--5)+(-5*(((-77.77*(-77.77-(-5/-5)))*(-77.77-(-77.77/(-5*-77.77))))-(-5/-5)))))</f>
        <v>-2364178.687965</v>
      </c>
      <c r="C2224" t="n" s="0">
        <v>-2364178.6879649996</v>
      </c>
    </row>
    <row r="2225">
      <c r="A2225" t="n" s="0">
        <v>-77.76</v>
      </c>
      <c r="B2225" t="n" s="0">
        <f>(-5-((((-5*(-5/((-5/(((-5*(-77.76--5))-(-5+((-5*-77.76)*(((-5--5)+(-77.76--5))+-77.76))))-(-5+-5)))*-5)))/-5)--5)+(-5*(((-77.76*(-77.76-(-5/-5)))*(-77.76-(-77.76/(-5*-77.76))))-(-5/-5)))))</f>
        <v>-2363268.43808</v>
      </c>
      <c r="C2225" t="n" s="0">
        <v>-2363268.43808</v>
      </c>
    </row>
    <row r="2226">
      <c r="A2226" t="n" s="0">
        <v>-77.75</v>
      </c>
      <c r="B2226" t="n" s="0">
        <f>(-5-((((-5*(-5/((-5/(((-5*(-77.75--5))-(-5+((-5*-77.75)*(((-5--5)+(-77.75--5))+-77.75))))-(-5+-5)))*-5)))/-5)--5)+(-5*(((-77.75*(-77.75-(-5/-5)))*(-77.75-(-77.75/(-5*-77.75))))-(-5/-5)))))</f>
        <v>-2362358.421875</v>
      </c>
      <c r="C2226" t="n" s="0">
        <v>-2362358.421875</v>
      </c>
    </row>
    <row r="2227">
      <c r="A2227" t="n" s="0">
        <v>-77.74</v>
      </c>
      <c r="B2227" t="n" s="0">
        <f>(-5-((((-5*(-5/((-5/(((-5*(-77.74--5))-(-5+((-5*-77.74)*(((-5--5)+(-77.74--5))+-77.74))))-(-5+-5)))*-5)))/-5)--5)+(-5*(((-77.74*(-77.74-(-5/-5)))*(-77.74-(-77.74/(-5*-77.74))))-(-5/-5)))))</f>
        <v>-2361448.63932</v>
      </c>
      <c r="C2227" t="n" s="0">
        <v>-2361448.6393199996</v>
      </c>
    </row>
    <row r="2228">
      <c r="A2228" t="n" s="0">
        <v>-77.73</v>
      </c>
      <c r="B2228" t="n" s="0">
        <f>(-5-((((-5*(-5/((-5/(((-5*(-77.73--5))-(-5+((-5*-77.73)*(((-5--5)+(-77.73--5))+-77.73))))-(-5+-5)))*-5)))/-5)--5)+(-5*(((-77.73*(-77.73-(-5/-5)))*(-77.73-(-77.73/(-5*-77.73))))-(-5/-5)))))</f>
        <v>-2360539.090385</v>
      </c>
      <c r="C2228" t="n" s="0">
        <v>-2360539.090385</v>
      </c>
    </row>
    <row r="2229">
      <c r="A2229" t="n" s="0">
        <v>-77.72</v>
      </c>
      <c r="B2229" t="n" s="0">
        <f>(-5-((((-5*(-5/((-5/(((-5*(-77.72--5))-(-5+((-5*-77.72)*(((-5--5)+(-77.72--5))+-77.72))))-(-5+-5)))*-5)))/-5)--5)+(-5*(((-77.72*(-77.72-(-5/-5)))*(-77.72-(-77.72/(-5*-77.72))))-(-5/-5)))))</f>
        <v>-2359629.77504</v>
      </c>
      <c r="C2229" t="n" s="0">
        <v>-2359629.77504</v>
      </c>
    </row>
    <row r="2230">
      <c r="A2230" t="n" s="0">
        <v>-77.71</v>
      </c>
      <c r="B2230" t="n" s="0">
        <f>(-5-((((-5*(-5/((-5/(((-5*(-77.71--5))-(-5+((-5*-77.71)*(((-5--5)+(-77.71--5))+-77.71))))-(-5+-5)))*-5)))/-5)--5)+(-5*(((-77.71*(-77.71-(-5/-5)))*(-77.71-(-77.71/(-5*-77.71))))-(-5/-5)))))</f>
        <v>-2358720.6932550003</v>
      </c>
      <c r="C2230" t="n" s="0">
        <v>-2358720.6932549994</v>
      </c>
    </row>
    <row r="2231">
      <c r="A2231" t="n" s="0">
        <v>-77.7</v>
      </c>
      <c r="B2231" t="n" s="0">
        <f>(-5-((((-5*(-5/((-5/(((-5*(-77.7--5))-(-5+((-5*-77.7)*(((-5--5)+(-77.7--5))+-77.7))))-(-5+-5)))*-5)))/-5)--5)+(-5*(((-77.7*(-77.7-(-5/-5)))*(-77.7-(-77.7/(-5*-77.7))))-(-5/-5)))))</f>
        <v>-2357811.845</v>
      </c>
      <c r="C2231" t="n" s="0">
        <v>-2357811.8450000007</v>
      </c>
    </row>
    <row r="2232">
      <c r="A2232" t="n" s="0">
        <v>-77.69</v>
      </c>
      <c r="B2232" t="n" s="0">
        <f>(-5-((((-5*(-5/((-5/(((-5*(-77.69--5))-(-5+((-5*-77.69)*(((-5--5)+(-77.69--5))+-77.69))))-(-5+-5)))*-5)))/-5)--5)+(-5*(((-77.69*(-77.69-(-5/-5)))*(-77.69-(-77.69/(-5*-77.69))))-(-5/-5)))))</f>
        <v>-2356903.230245</v>
      </c>
      <c r="C2232" t="n" s="0">
        <v>-2356903.2302449998</v>
      </c>
    </row>
    <row r="2233">
      <c r="A2233" t="n" s="0">
        <v>-77.68</v>
      </c>
      <c r="B2233" t="n" s="0">
        <f>(-5-((((-5*(-5/((-5/(((-5*(-77.68--5))-(-5+((-5*-77.68)*(((-5--5)+(-77.68--5))+-77.68))))-(-5+-5)))*-5)))/-5)--5)+(-5*(((-77.68*(-77.68-(-5/-5)))*(-77.68-(-77.68/(-5*-77.68))))-(-5/-5)))))</f>
        <v>-2355994.84896</v>
      </c>
      <c r="C2233" t="n" s="0">
        <v>-2355994.8489600006</v>
      </c>
    </row>
    <row r="2234">
      <c r="A2234" t="n" s="0">
        <v>-77.67</v>
      </c>
      <c r="B2234" t="n" s="0">
        <f>(-5-((((-5*(-5/((-5/(((-5*(-77.67--5))-(-5+((-5*-77.67)*(((-5--5)+(-77.67--5))+-77.67))))-(-5+-5)))*-5)))/-5)--5)+(-5*(((-77.67*(-77.67-(-5/-5)))*(-77.67-(-77.67/(-5*-77.67))))-(-5/-5)))))</f>
        <v>-2355086.701115</v>
      </c>
      <c r="C2234" t="n" s="0">
        <v>-2355086.7011149996</v>
      </c>
    </row>
    <row r="2235">
      <c r="A2235" t="n" s="0">
        <v>-77.66</v>
      </c>
      <c r="B2235" t="n" s="0">
        <f>(-5-((((-5*(-5/((-5/(((-5*(-77.66--5))-(-5+((-5*-77.66)*(((-5--5)+(-77.66--5))+-77.66))))-(-5+-5)))*-5)))/-5)--5)+(-5*(((-77.66*(-77.66-(-5/-5)))*(-77.66-(-77.66/(-5*-77.66))))-(-5/-5)))))</f>
        <v>-2354178.78668</v>
      </c>
      <c r="C2235" t="n" s="0">
        <v>-2354178.78668</v>
      </c>
    </row>
    <row r="2236">
      <c r="A2236" t="n" s="0">
        <v>-77.65</v>
      </c>
      <c r="B2236" t="n" s="0">
        <f>(-5-((((-5*(-5/((-5/(((-5*(-77.65--5))-(-5+((-5*-77.65)*(((-5--5)+(-77.65--5))+-77.65))))-(-5+-5)))*-5)))/-5)--5)+(-5*(((-77.65*(-77.65-(-5/-5)))*(-77.65-(-77.65/(-5*-77.65))))-(-5/-5)))))</f>
        <v>-2353271.1056250003</v>
      </c>
      <c r="C2236" t="n" s="0">
        <v>-2353271.105625001</v>
      </c>
    </row>
    <row r="2237">
      <c r="A2237" t="n" s="0">
        <v>-77.64</v>
      </c>
      <c r="B2237" t="n" s="0">
        <f>(-5-((((-5*(-5/((-5/(((-5*(-77.64--5))-(-5+((-5*-77.64)*(((-5--5)+(-77.64--5))+-77.64))))-(-5+-5)))*-5)))/-5)--5)+(-5*(((-77.64*(-77.64-(-5/-5)))*(-77.64-(-77.64/(-5*-77.64))))-(-5/-5)))))</f>
        <v>-2352363.65792</v>
      </c>
      <c r="C2237" t="n" s="0">
        <v>-2352363.65792</v>
      </c>
    </row>
    <row r="2238">
      <c r="A2238" t="n" s="0">
        <v>-77.63</v>
      </c>
      <c r="B2238" t="n" s="0">
        <f>(-5-((((-5*(-5/((-5/(((-5*(-77.63--5))-(-5+((-5*-77.63)*(((-5--5)+(-77.63--5))+-77.63))))-(-5+-5)))*-5)))/-5)--5)+(-5*(((-77.63*(-77.63-(-5/-5)))*(-77.63-(-77.63/(-5*-77.63))))-(-5/-5)))))</f>
        <v>-2351456.443535</v>
      </c>
      <c r="C2238" t="n" s="0">
        <v>-2351456.4435349996</v>
      </c>
    </row>
    <row r="2239">
      <c r="A2239" t="n" s="0">
        <v>-77.62</v>
      </c>
      <c r="B2239" t="n" s="0">
        <f>(-5-((((-5*(-5/((-5/(((-5*(-77.62--5))-(-5+((-5*-77.62)*(((-5--5)+(-77.62--5))+-77.62))))-(-5+-5)))*-5)))/-5)--5)+(-5*(((-77.62*(-77.62-(-5/-5)))*(-77.62-(-77.62/(-5*-77.62))))-(-5/-5)))))</f>
        <v>-2350549.46244</v>
      </c>
      <c r="C2239" t="n" s="0">
        <v>-2350549.4624400004</v>
      </c>
    </row>
    <row r="2240">
      <c r="A2240" t="n" s="0">
        <v>-77.61</v>
      </c>
      <c r="B2240" t="n" s="0">
        <f>(-5-((((-5*(-5/((-5/(((-5*(-77.61--5))-(-5+((-5*-77.61)*(((-5--5)+(-77.61--5))+-77.61))))-(-5+-5)))*-5)))/-5)--5)+(-5*(((-77.61*(-77.61-(-5/-5)))*(-77.61-(-77.61/(-5*-77.61))))-(-5/-5)))))</f>
        <v>-2349642.714605</v>
      </c>
      <c r="C2240" t="n" s="0">
        <v>-2349642.7146050003</v>
      </c>
    </row>
    <row r="2241">
      <c r="A2241" t="n" s="0">
        <v>-77.6</v>
      </c>
      <c r="B2241" t="n" s="0">
        <f>(-5-((((-5*(-5/((-5/(((-5*(-77.6--5))-(-5+((-5*-77.6)*(((-5--5)+(-77.6--5))+-77.6))))-(-5+-5)))*-5)))/-5)--5)+(-5*(((-77.6*(-77.6-(-5/-5)))*(-77.6-(-77.6/(-5*-77.6))))-(-5/-5)))))</f>
        <v>-2348736.1999999997</v>
      </c>
      <c r="C2241" t="n" s="0">
        <v>-2348736.1999999993</v>
      </c>
    </row>
    <row r="2242">
      <c r="A2242" t="n" s="0">
        <v>-77.59</v>
      </c>
      <c r="B2242" t="n" s="0">
        <f>(-5-((((-5*(-5/((-5/(((-5*(-77.59--5))-(-5+((-5*-77.59)*(((-5--5)+(-77.59--5))+-77.59))))-(-5+-5)))*-5)))/-5)--5)+(-5*(((-77.59*(-77.59-(-5/-5)))*(-77.59-(-77.59/(-5*-77.59))))-(-5/-5)))))</f>
        <v>-2347829.918595</v>
      </c>
      <c r="C2242" t="n" s="0">
        <v>-2347829.918595</v>
      </c>
    </row>
    <row r="2243">
      <c r="A2243" t="n" s="0">
        <v>-77.58</v>
      </c>
      <c r="B2243" t="n" s="0">
        <f>(-5-((((-5*(-5/((-5/(((-5*(-77.58--5))-(-5+((-5*-77.58)*(((-5--5)+(-77.58--5))+-77.58))))-(-5+-5)))*-5)))/-5)--5)+(-5*(((-77.58*(-77.58-(-5/-5)))*(-77.58-(-77.58/(-5*-77.58))))-(-5/-5)))))</f>
        <v>-2346923.87036</v>
      </c>
      <c r="C2243" t="n" s="0">
        <v>-2346923.87036</v>
      </c>
    </row>
    <row r="2244">
      <c r="A2244" t="n" s="0">
        <v>-77.57</v>
      </c>
      <c r="B2244" t="n" s="0">
        <f>(-5-((((-5*(-5/((-5/(((-5*(-77.57--5))-(-5+((-5*-77.57)*(((-5--5)+(-77.57--5))+-77.57))))-(-5+-5)))*-5)))/-5)--5)+(-5*(((-77.57*(-77.57-(-5/-5)))*(-77.57-(-77.57/(-5*-77.57))))-(-5/-5)))))</f>
        <v>-2346018.055265</v>
      </c>
      <c r="C2244" t="n" s="0">
        <v>-2346018.055264999</v>
      </c>
    </row>
    <row r="2245">
      <c r="A2245" t="n" s="0">
        <v>-77.56</v>
      </c>
      <c r="B2245" t="n" s="0">
        <f>(-5-((((-5*(-5/((-5/(((-5*(-77.56--5))-(-5+((-5*-77.56)*(((-5--5)+(-77.56--5))+-77.56))))-(-5+-5)))*-5)))/-5)--5)+(-5*(((-77.56*(-77.56-(-5/-5)))*(-77.56-(-77.56/(-5*-77.56))))-(-5/-5)))))</f>
        <v>-2345112.4732799996</v>
      </c>
      <c r="C2245" t="n" s="0">
        <v>-2345112.47328</v>
      </c>
    </row>
    <row r="2246">
      <c r="A2246" t="n" s="0">
        <v>-77.55</v>
      </c>
      <c r="B2246" t="n" s="0">
        <f>(-5-((((-5*(-5/((-5/(((-5*(-77.55--5))-(-5+((-5*-77.55)*(((-5--5)+(-77.55--5))+-77.55))))-(-5+-5)))*-5)))/-5)--5)+(-5*(((-77.55*(-77.55-(-5/-5)))*(-77.55-(-77.55/(-5*-77.55))))-(-5/-5)))))</f>
        <v>-2344207.1243749997</v>
      </c>
      <c r="C2246" t="n" s="0">
        <v>-2344207.1243749997</v>
      </c>
    </row>
    <row r="2247">
      <c r="A2247" t="n" s="0">
        <v>-77.54</v>
      </c>
      <c r="B2247" t="n" s="0">
        <f>(-5-((((-5*(-5/((-5/(((-5*(-77.54--5))-(-5+((-5*-77.54)*(((-5--5)+(-77.54--5))+-77.54))))-(-5+-5)))*-5)))/-5)--5)+(-5*(((-77.54*(-77.54-(-5/-5)))*(-77.54-(-77.54/(-5*-77.54))))-(-5/-5)))))</f>
        <v>-2343302.00852</v>
      </c>
      <c r="C2247" t="n" s="0">
        <v>-2343302.0085200006</v>
      </c>
    </row>
    <row r="2248">
      <c r="A2248" t="n" s="0">
        <v>-77.53</v>
      </c>
      <c r="B2248" t="n" s="0">
        <f>(-5-((((-5*(-5/((-5/(((-5*(-77.53--5))-(-5+((-5*-77.53)*(((-5--5)+(-77.53--5))+-77.53))))-(-5+-5)))*-5)))/-5)--5)+(-5*(((-77.53*(-77.53-(-5/-5)))*(-77.53-(-77.53/(-5*-77.53))))-(-5/-5)))))</f>
        <v>-2342397.1256850003</v>
      </c>
      <c r="C2248" t="n" s="0">
        <v>-2342397.1256850003</v>
      </c>
    </row>
    <row r="2249">
      <c r="A2249" t="n" s="0">
        <v>-77.52</v>
      </c>
      <c r="B2249" t="n" s="0">
        <f>(-5-((((-5*(-5/((-5/(((-5*(-77.52--5))-(-5+((-5*-77.52)*(((-5--5)+(-77.52--5))+-77.52))))-(-5+-5)))*-5)))/-5)--5)+(-5*(((-77.52*(-77.52-(-5/-5)))*(-77.52-(-77.52/(-5*-77.52))))-(-5/-5)))))</f>
        <v>-2341492.47584</v>
      </c>
      <c r="C2249" t="n" s="0">
        <v>-2341492.47584</v>
      </c>
    </row>
    <row r="2250">
      <c r="A2250" t="n" s="0">
        <v>-77.51</v>
      </c>
      <c r="B2250" t="n" s="0">
        <f>(-5-((((-5*(-5/((-5/(((-5*(-77.51--5))-(-5+((-5*-77.51)*(((-5--5)+(-77.51--5))+-77.51))))-(-5+-5)))*-5)))/-5)--5)+(-5*(((-77.51*(-77.51-(-5/-5)))*(-77.51-(-77.51/(-5*-77.51))))-(-5/-5)))))</f>
        <v>-2340588.058955</v>
      </c>
      <c r="C2250" t="n" s="0">
        <v>-2340588.0589550002</v>
      </c>
    </row>
    <row r="2251">
      <c r="A2251" t="n" s="0">
        <v>-77.5</v>
      </c>
      <c r="B2251" t="n" s="0">
        <f>(-5-((((-5*(-5/((-5/(((-5*(-77.5--5))-(-5+((-5*-77.5)*(((-5--5)+(-77.5--5))+-77.5))))-(-5+-5)))*-5)))/-5)--5)+(-5*(((-77.5*(-77.5-(-5/-5)))*(-77.5-(-77.5/(-5*-77.5))))-(-5/-5)))))</f>
        <v>-2339683.875</v>
      </c>
      <c r="C2251" t="n" s="0">
        <v>-2339683.875</v>
      </c>
    </row>
    <row r="2252">
      <c r="A2252" t="n" s="0">
        <v>-77.49</v>
      </c>
      <c r="B2252" t="n" s="0">
        <f>(-5-((((-5*(-5/((-5/(((-5*(-77.49--5))-(-5+((-5*-77.49)*(((-5--5)+(-77.49--5))+-77.49))))-(-5+-5)))*-5)))/-5)--5)+(-5*(((-77.49*(-77.49-(-5/-5)))*(-77.49-(-77.49/(-5*-77.49))))-(-5/-5)))))</f>
        <v>-2338779.923945</v>
      </c>
      <c r="C2252" t="n" s="0">
        <v>-2338779.923945</v>
      </c>
    </row>
    <row r="2253">
      <c r="A2253" t="n" s="0">
        <v>-77.48</v>
      </c>
      <c r="B2253" t="n" s="0">
        <f>(-5-((((-5*(-5/((-5/(((-5*(-77.48--5))-(-5+((-5*-77.48)*(((-5--5)+(-77.48--5))+-77.48))))-(-5+-5)))*-5)))/-5)--5)+(-5*(((-77.48*(-77.48-(-5/-5)))*(-77.48-(-77.48/(-5*-77.48))))-(-5/-5)))))</f>
        <v>-2337876.2057600003</v>
      </c>
      <c r="C2253" t="n" s="0">
        <v>-2337876.2057600003</v>
      </c>
    </row>
    <row r="2254">
      <c r="A2254" t="n" s="0">
        <v>-77.47</v>
      </c>
      <c r="B2254" t="n" s="0">
        <f>(-5-((((-5*(-5/((-5/(((-5*(-77.47--5))-(-5+((-5*-77.47)*(((-5--5)+(-77.47--5))+-77.47))))-(-5+-5)))*-5)))/-5)--5)+(-5*(((-77.47*(-77.47-(-5/-5)))*(-77.47-(-77.47/(-5*-77.47))))-(-5/-5)))))</f>
        <v>-2336972.720415</v>
      </c>
      <c r="C2254" t="n" s="0">
        <v>-2336972.720415</v>
      </c>
    </row>
    <row r="2255">
      <c r="A2255" t="n" s="0">
        <v>-77.46</v>
      </c>
      <c r="B2255" t="n" s="0">
        <f>(-5-((((-5*(-5/((-5/(((-5*(-77.46--5))-(-5+((-5*-77.46)*(((-5--5)+(-77.46--5))+-77.46))))-(-5+-5)))*-5)))/-5)--5)+(-5*(((-77.46*(-77.46-(-5/-5)))*(-77.46-(-77.46/(-5*-77.46))))-(-5/-5)))))</f>
        <v>-2336069.46788</v>
      </c>
      <c r="C2255" t="n" s="0">
        <v>-2336069.467879999</v>
      </c>
    </row>
    <row r="2256">
      <c r="A2256" t="n" s="0">
        <v>-77.45</v>
      </c>
      <c r="B2256" t="n" s="0">
        <f>(-5-((((-5*(-5/((-5/(((-5*(-77.45--5))-(-5+((-5*-77.45)*(((-5--5)+(-77.45--5))+-77.45))))-(-5+-5)))*-5)))/-5)--5)+(-5*(((-77.45*(-77.45-(-5/-5)))*(-77.45-(-77.45/(-5*-77.45))))-(-5/-5)))))</f>
        <v>-2335166.448125</v>
      </c>
      <c r="C2256" t="n" s="0">
        <v>-2335166.448125</v>
      </c>
    </row>
    <row r="2257">
      <c r="A2257" t="n" s="0">
        <v>-77.44</v>
      </c>
      <c r="B2257" t="n" s="0">
        <f>(-5-((((-5*(-5/((-5/(((-5*(-77.44--5))-(-5+((-5*-77.44)*(((-5--5)+(-77.44--5))+-77.44))))-(-5+-5)))*-5)))/-5)--5)+(-5*(((-77.44*(-77.44-(-5/-5)))*(-77.44-(-77.44/(-5*-77.44))))-(-5/-5)))))</f>
        <v>-2334263.66112</v>
      </c>
      <c r="C2257" t="n" s="0">
        <v>-2334263.6611199994</v>
      </c>
    </row>
    <row r="2258">
      <c r="A2258" t="n" s="0">
        <v>-77.43</v>
      </c>
      <c r="B2258" t="n" s="0">
        <f>(-5-((((-5*(-5/((-5/(((-5*(-77.43--5))-(-5+((-5*-77.43)*(((-5--5)+(-77.43--5))+-77.43))))-(-5+-5)))*-5)))/-5)--5)+(-5*(((-77.43*(-77.43-(-5/-5)))*(-77.43-(-77.43/(-5*-77.43))))-(-5/-5)))))</f>
        <v>-2333361.1068349998</v>
      </c>
      <c r="C2258" t="n" s="0">
        <v>-2333361.1068350007</v>
      </c>
    </row>
    <row r="2259">
      <c r="A2259" t="n" s="0">
        <v>-77.42</v>
      </c>
      <c r="B2259" t="n" s="0">
        <f>(-5-((((-5*(-5/((-5/(((-5*(-77.42--5))-(-5+((-5*-77.42)*(((-5--5)+(-77.42--5))+-77.42))))-(-5+-5)))*-5)))/-5)--5)+(-5*(((-77.42*(-77.42-(-5/-5)))*(-77.42-(-77.42/(-5*-77.42))))-(-5/-5)))))</f>
        <v>-2332458.7852399996</v>
      </c>
      <c r="C2259" t="n" s="0">
        <v>-2332458.7852399996</v>
      </c>
    </row>
    <row r="2260">
      <c r="A2260" t="n" s="0">
        <v>-77.41</v>
      </c>
      <c r="B2260" t="n" s="0">
        <f>(-5-((((-5*(-5/((-5/(((-5*(-77.41--5))-(-5+((-5*-77.41)*(((-5--5)+(-77.41--5))+-77.41))))-(-5+-5)))*-5)))/-5)--5)+(-5*(((-77.41*(-77.41-(-5/-5)))*(-77.41-(-77.41/(-5*-77.41))))-(-5/-5)))))</f>
        <v>-2331556.696305</v>
      </c>
      <c r="C2260" t="n" s="0">
        <v>-2331556.6963049998</v>
      </c>
    </row>
    <row r="2261">
      <c r="A2261" t="n" s="0">
        <v>-77.4</v>
      </c>
      <c r="B2261" t="n" s="0">
        <f>(-5-((((-5*(-5/((-5/(((-5*(-77.4--5))-(-5+((-5*-77.4)*(((-5--5)+(-77.4--5))+-77.4))))-(-5+-5)))*-5)))/-5)--5)+(-5*(((-77.4*(-77.4-(-5/-5)))*(-77.4-(-77.4/(-5*-77.4))))-(-5/-5)))))</f>
        <v>-2330654.84</v>
      </c>
      <c r="C2261" t="n" s="0">
        <v>-2330654.840000001</v>
      </c>
    </row>
    <row r="2262">
      <c r="A2262" t="n" s="0">
        <v>-77.39</v>
      </c>
      <c r="B2262" t="n" s="0">
        <f>(-5-((((-5*(-5/((-5/(((-5*(-77.39--5))-(-5+((-5*-77.39)*(((-5--5)+(-77.39--5))+-77.39))))-(-5+-5)))*-5)))/-5)--5)+(-5*(((-77.39*(-77.39-(-5/-5)))*(-77.39-(-77.39/(-5*-77.39))))-(-5/-5)))))</f>
        <v>-2329753.2162949997</v>
      </c>
      <c r="C2262" t="n" s="0">
        <v>-2329753.2162949997</v>
      </c>
    </row>
    <row r="2263">
      <c r="A2263" t="n" s="0">
        <v>-77.38</v>
      </c>
      <c r="B2263" t="n" s="0">
        <f>(-5-((((-5*(-5/((-5/(((-5*(-77.38--5))-(-5+((-5*-77.38)*(((-5--5)+(-77.38--5))+-77.38))))-(-5+-5)))*-5)))/-5)--5)+(-5*(((-77.38*(-77.38-(-5/-5)))*(-77.38-(-77.38/(-5*-77.38))))-(-5/-5)))))</f>
        <v>-2328851.8251599995</v>
      </c>
      <c r="C2263" t="n" s="0">
        <v>-2328851.8251599995</v>
      </c>
    </row>
    <row r="2264">
      <c r="A2264" t="n" s="0">
        <v>-77.37</v>
      </c>
      <c r="B2264" t="n" s="0">
        <f>(-5-((((-5*(-5/((-5/(((-5*(-77.37--5))-(-5+((-5*-77.37)*(((-5--5)+(-77.37--5))+-77.37))))-(-5+-5)))*-5)))/-5)--5)+(-5*(((-77.37*(-77.37-(-5/-5)))*(-77.37-(-77.37/(-5*-77.37))))-(-5/-5)))))</f>
        <v>-2327950.666565</v>
      </c>
      <c r="C2264" t="n" s="0">
        <v>-2327950.666565</v>
      </c>
    </row>
    <row r="2265">
      <c r="A2265" t="n" s="0">
        <v>-77.36</v>
      </c>
      <c r="B2265" t="n" s="0">
        <f>(-5-((((-5*(-5/((-5/(((-5*(-77.36--5))-(-5+((-5*-77.36)*(((-5--5)+(-77.36--5))+-77.36))))-(-5+-5)))*-5)))/-5)--5)+(-5*(((-77.36*(-77.36-(-5/-5)))*(-77.36-(-77.36/(-5*-77.36))))-(-5/-5)))))</f>
        <v>-2327049.7404799997</v>
      </c>
      <c r="C2265" t="n" s="0">
        <v>-2327049.74048</v>
      </c>
    </row>
    <row r="2266">
      <c r="A2266" t="n" s="0">
        <v>-77.35</v>
      </c>
      <c r="B2266" t="n" s="0">
        <f>(-5-((((-5*(-5/((-5/(((-5*(-77.35--5))-(-5+((-5*-77.35)*(((-5--5)+(-77.35--5))+-77.35))))-(-5+-5)))*-5)))/-5)--5)+(-5*(((-77.35*(-77.35-(-5/-5)))*(-77.35-(-77.35/(-5*-77.35))))-(-5/-5)))))</f>
        <v>-2326149.046875</v>
      </c>
      <c r="C2266" t="n" s="0">
        <v>-2326149.0468749995</v>
      </c>
    </row>
    <row r="2267">
      <c r="A2267" t="n" s="0">
        <v>-77.34</v>
      </c>
      <c r="B2267" t="n" s="0">
        <f>(-5-((((-5*(-5/((-5/(((-5*(-77.34--5))-(-5+((-5*-77.34)*(((-5--5)+(-77.34--5))+-77.34))))-(-5+-5)))*-5)))/-5)--5)+(-5*(((-77.34*(-77.34-(-5/-5)))*(-77.34-(-77.34/(-5*-77.34))))-(-5/-5)))))</f>
        <v>-2325248.58572</v>
      </c>
      <c r="C2267" t="n" s="0">
        <v>-2325248.5857200003</v>
      </c>
    </row>
    <row r="2268">
      <c r="A2268" t="n" s="0">
        <v>-77.33</v>
      </c>
      <c r="B2268" t="n" s="0">
        <f>(-5-((((-5*(-5/((-5/(((-5*(-77.33--5))-(-5+((-5*-77.33)*(((-5--5)+(-77.33--5))+-77.33))))-(-5+-5)))*-5)))/-5)--5)+(-5*(((-77.33*(-77.33-(-5/-5)))*(-77.33-(-77.33/(-5*-77.33))))-(-5/-5)))))</f>
        <v>-2324348.356985</v>
      </c>
      <c r="C2268" t="n" s="0">
        <v>-2324348.356985</v>
      </c>
    </row>
    <row r="2269">
      <c r="A2269" t="n" s="0">
        <v>-77.32</v>
      </c>
      <c r="B2269" t="n" s="0">
        <f>(-5-((((-5*(-5/((-5/(((-5*(-77.32--5))-(-5+((-5*-77.32)*(((-5--5)+(-77.32--5))+-77.32))))-(-5+-5)))*-5)))/-5)--5)+(-5*(((-77.32*(-77.32-(-5/-5)))*(-77.32-(-77.32/(-5*-77.32))))-(-5/-5)))))</f>
        <v>-2323448.3606399996</v>
      </c>
      <c r="C2269" t="n" s="0">
        <v>-2323448.3606399996</v>
      </c>
    </row>
    <row r="2270">
      <c r="A2270" t="n" s="0">
        <v>-77.31</v>
      </c>
      <c r="B2270" t="n" s="0">
        <f>(-5-((((-5*(-5/((-5/(((-5*(-77.31--5))-(-5+((-5*-77.31)*(((-5--5)+(-77.31--5))+-77.31))))-(-5+-5)))*-5)))/-5)--5)+(-5*(((-77.31*(-77.31-(-5/-5)))*(-77.31-(-77.31/(-5*-77.31))))-(-5/-5)))))</f>
        <v>-2322548.596655</v>
      </c>
      <c r="C2270" t="n" s="0">
        <v>-2322548.5966550005</v>
      </c>
    </row>
    <row r="2271">
      <c r="A2271" t="n" s="0">
        <v>-77.3</v>
      </c>
      <c r="B2271" t="n" s="0">
        <f>(-5-((((-5*(-5/((-5/(((-5*(-77.3--5))-(-5+((-5*-77.3)*(((-5--5)+(-77.3--5))+-77.3))))-(-5+-5)))*-5)))/-5)--5)+(-5*(((-77.3*(-77.3-(-5/-5)))*(-77.3-(-77.3/(-5*-77.3))))-(-5/-5)))))</f>
        <v>-2321649.065</v>
      </c>
      <c r="C2271" t="n" s="0">
        <v>-2321649.065</v>
      </c>
    </row>
    <row r="2272">
      <c r="A2272" t="n" s="0">
        <v>-77.29</v>
      </c>
      <c r="B2272" t="n" s="0">
        <f>(-5-((((-5*(-5/((-5/(((-5*(-77.29--5))-(-5+((-5*-77.29)*(((-5--5)+(-77.29--5))+-77.29))))-(-5+-5)))*-5)))/-5)--5)+(-5*(((-77.29*(-77.29-(-5/-5)))*(-77.29-(-77.29/(-5*-77.29))))-(-5/-5)))))</f>
        <v>-2320749.765645</v>
      </c>
      <c r="C2272" t="n" s="0">
        <v>-2320749.7656450006</v>
      </c>
    </row>
    <row r="2273">
      <c r="A2273" t="n" s="0">
        <v>-77.28</v>
      </c>
      <c r="B2273" t="n" s="0">
        <f>(-5-((((-5*(-5/((-5/(((-5*(-77.28--5))-(-5+((-5*-77.28)*(((-5--5)+(-77.28--5))+-77.28))))-(-5+-5)))*-5)))/-5)--5)+(-5*(((-77.28*(-77.28-(-5/-5)))*(-77.28-(-77.28/(-5*-77.28))))-(-5/-5)))))</f>
        <v>-2319850.69856</v>
      </c>
      <c r="C2273" t="n" s="0">
        <v>-2319850.6985600004</v>
      </c>
    </row>
    <row r="2274">
      <c r="A2274" t="n" s="0">
        <v>-77.27</v>
      </c>
      <c r="B2274" t="n" s="0">
        <f>(-5-((((-5*(-5/((-5/(((-5*(-77.27--5))-(-5+((-5*-77.27)*(((-5--5)+(-77.27--5))+-77.27))))-(-5+-5)))*-5)))/-5)--5)+(-5*(((-77.27*(-77.27-(-5/-5)))*(-77.27-(-77.27/(-5*-77.27))))-(-5/-5)))))</f>
        <v>-2318951.863715</v>
      </c>
      <c r="C2274" t="n" s="0">
        <v>-2318951.863715</v>
      </c>
    </row>
    <row r="2275">
      <c r="A2275" t="n" s="0">
        <v>-77.26</v>
      </c>
      <c r="B2275" t="n" s="0">
        <f>(-5-((((-5*(-5/((-5/(((-5*(-77.26--5))-(-5+((-5*-77.26)*(((-5--5)+(-77.26--5))+-77.26))))-(-5+-5)))*-5)))/-5)--5)+(-5*(((-77.26*(-77.26-(-5/-5)))*(-77.26-(-77.26/(-5*-77.26))))-(-5/-5)))))</f>
        <v>-2318053.26108</v>
      </c>
      <c r="C2275" t="n" s="0">
        <v>-2318053.26108</v>
      </c>
    </row>
    <row r="2276">
      <c r="A2276" t="n" s="0">
        <v>-77.25</v>
      </c>
      <c r="B2276" t="n" s="0">
        <f>(-5-((((-5*(-5/((-5/(((-5*(-77.25--5))-(-5+((-5*-77.25)*(((-5--5)+(-77.25--5))+-77.25))))-(-5+-5)))*-5)))/-5)--5)+(-5*(((-77.25*(-77.25-(-5/-5)))*(-77.25-(-77.25/(-5*-77.25))))-(-5/-5)))))</f>
        <v>-2317154.890625</v>
      </c>
      <c r="C2276" t="n" s="0">
        <v>-2317154.890625</v>
      </c>
    </row>
    <row r="2277">
      <c r="A2277" t="n" s="0">
        <v>-77.24</v>
      </c>
      <c r="B2277" t="n" s="0">
        <f>(-5-((((-5*(-5/((-5/(((-5*(-77.24--5))-(-5+((-5*-77.24)*(((-5--5)+(-77.24--5))+-77.24))))-(-5+-5)))*-5)))/-5)--5)+(-5*(((-77.24*(-77.24-(-5/-5)))*(-77.24-(-77.24/(-5*-77.24))))-(-5/-5)))))</f>
        <v>-2316256.75232</v>
      </c>
      <c r="C2277" t="n" s="0">
        <v>-2316256.7523199995</v>
      </c>
    </row>
    <row r="2278">
      <c r="A2278" t="n" s="0">
        <v>-77.23</v>
      </c>
      <c r="B2278" t="n" s="0">
        <f>(-5-((((-5*(-5/((-5/(((-5*(-77.23--5))-(-5+((-5*-77.23)*(((-5--5)+(-77.23--5))+-77.23))))-(-5+-5)))*-5)))/-5)--5)+(-5*(((-77.23*(-77.23-(-5/-5)))*(-77.23-(-77.23/(-5*-77.23))))-(-5/-5)))))</f>
        <v>-2315358.846135</v>
      </c>
      <c r="C2278" t="n" s="0">
        <v>-2315358.846135</v>
      </c>
    </row>
    <row r="2279">
      <c r="A2279" t="n" s="0">
        <v>-77.22</v>
      </c>
      <c r="B2279" t="n" s="0">
        <f>(-5-((((-5*(-5/((-5/(((-5*(-77.22--5))-(-5+((-5*-77.22)*(((-5--5)+(-77.22--5))+-77.22))))-(-5+-5)))*-5)))/-5)--5)+(-5*(((-77.22*(-77.22-(-5/-5)))*(-77.22-(-77.22/(-5*-77.22))))-(-5/-5)))))</f>
        <v>-2314461.17204</v>
      </c>
      <c r="C2279" t="n" s="0">
        <v>-2314461.17204</v>
      </c>
    </row>
    <row r="2280">
      <c r="A2280" t="n" s="0">
        <v>-77.21</v>
      </c>
      <c r="B2280" t="n" s="0">
        <f>(-5-((((-5*(-5/((-5/(((-5*(-77.21--5))-(-5+((-5*-77.21)*(((-5--5)+(-77.21--5))+-77.21))))-(-5+-5)))*-5)))/-5)--5)+(-5*(((-77.21*(-77.21-(-5/-5)))*(-77.21-(-77.21/(-5*-77.21))))-(-5/-5)))))</f>
        <v>-2313563.7300050003</v>
      </c>
      <c r="C2280" t="n" s="0">
        <v>-2313563.7300049993</v>
      </c>
    </row>
    <row r="2281">
      <c r="A2281" t="n" s="0">
        <v>-77.2</v>
      </c>
      <c r="B2281" t="n" s="0">
        <f>(-5-((((-5*(-5/((-5/(((-5*(-77.2--5))-(-5+((-5*-77.2)*(((-5--5)+(-77.2--5))+-77.2))))-(-5+-5)))*-5)))/-5)--5)+(-5*(((-77.2*(-77.2-(-5/-5)))*(-77.2-(-77.2/(-5*-77.2))))-(-5/-5)))))</f>
        <v>-2312666.52</v>
      </c>
      <c r="C2281" t="n" s="0">
        <v>-2312666.5200000005</v>
      </c>
    </row>
    <row r="2282">
      <c r="A2282" t="n" s="0">
        <v>-77.19</v>
      </c>
      <c r="B2282" t="n" s="0">
        <f>(-5-((((-5*(-5/((-5/(((-5*(-77.19--5))-(-5+((-5*-77.19)*(((-5--5)+(-77.19--5))+-77.19))))-(-5+-5)))*-5)))/-5)--5)+(-5*(((-77.19*(-77.19-(-5/-5)))*(-77.19-(-77.19/(-5*-77.19))))-(-5/-5)))))</f>
        <v>-2311769.541995</v>
      </c>
      <c r="C2282" t="n" s="0">
        <v>-2311769.5419949996</v>
      </c>
    </row>
    <row r="2283">
      <c r="A2283" t="n" s="0">
        <v>-77.18</v>
      </c>
      <c r="B2283" t="n" s="0">
        <f>(-5-((((-5*(-5/((-5/(((-5*(-77.18--5))-(-5+((-5*-77.18)*(((-5--5)+(-77.18--5))+-77.18))))-(-5+-5)))*-5)))/-5)--5)+(-5*(((-77.18*(-77.18-(-5/-5)))*(-77.18-(-77.18/(-5*-77.18))))-(-5/-5)))))</f>
        <v>-2310872.79596</v>
      </c>
      <c r="C2283" t="n" s="0">
        <v>-2310872.7959600007</v>
      </c>
    </row>
    <row r="2284">
      <c r="A2284" t="n" s="0">
        <v>-77.17</v>
      </c>
      <c r="B2284" t="n" s="0">
        <f>(-5-((((-5*(-5/((-5/(((-5*(-77.17--5))-(-5+((-5*-77.17)*(((-5--5)+(-77.17--5))+-77.17))))-(-5+-5)))*-5)))/-5)--5)+(-5*(((-77.17*(-77.17-(-5/-5)))*(-77.17-(-77.17/(-5*-77.17))))-(-5/-5)))))</f>
        <v>-2309976.2818650003</v>
      </c>
      <c r="C2284" t="n" s="0">
        <v>-2309976.281865</v>
      </c>
    </row>
    <row r="2285">
      <c r="A2285" t="n" s="0">
        <v>-77.16</v>
      </c>
      <c r="B2285" t="n" s="0">
        <f>(-5-((((-5*(-5/((-5/(((-5*(-77.16--5))-(-5+((-5*-77.16)*(((-5--5)+(-77.16--5))+-77.16))))-(-5+-5)))*-5)))/-5)--5)+(-5*(((-77.16*(-77.16-(-5/-5)))*(-77.16-(-77.16/(-5*-77.16))))-(-5/-5)))))</f>
        <v>-2309079.9996800004</v>
      </c>
      <c r="C2285" t="n" s="0">
        <v>-2309079.9996799994</v>
      </c>
    </row>
    <row r="2286">
      <c r="A2286" t="n" s="0">
        <v>-77.15</v>
      </c>
      <c r="B2286" t="n" s="0">
        <f>(-5-((((-5*(-5/((-5/(((-5*(-77.15--5))-(-5+((-5*-77.15)*(((-5--5)+(-77.15--5))+-77.15))))-(-5+-5)))*-5)))/-5)--5)+(-5*(((-77.15*(-77.15-(-5/-5)))*(-77.15-(-77.15/(-5*-77.15))))-(-5/-5)))))</f>
        <v>-2308183.949375</v>
      </c>
      <c r="C2286" t="n" s="0">
        <v>-2308183.949375001</v>
      </c>
    </row>
    <row r="2287">
      <c r="A2287" t="n" s="0">
        <v>-77.14</v>
      </c>
      <c r="B2287" t="n" s="0">
        <f>(-5-((((-5*(-5/((-5/(((-5*(-77.14--5))-(-5+((-5*-77.14)*(((-5--5)+(-77.14--5))+-77.14))))-(-5+-5)))*-5)))/-5)--5)+(-5*(((-77.14*(-77.14-(-5/-5)))*(-77.14-(-77.14/(-5*-77.14))))-(-5/-5)))))</f>
        <v>-2307288.13092</v>
      </c>
      <c r="C2287" t="n" s="0">
        <v>-2307288.13092</v>
      </c>
    </row>
    <row r="2288">
      <c r="A2288" t="n" s="0">
        <v>-77.13</v>
      </c>
      <c r="B2288" t="n" s="0">
        <f>(-5-((((-5*(-5/((-5/(((-5*(-77.13--5))-(-5+((-5*-77.13)*(((-5--5)+(-77.13--5))+-77.13))))-(-5+-5)))*-5)))/-5)--5)+(-5*(((-77.13*(-77.13-(-5/-5)))*(-77.13-(-77.13/(-5*-77.13))))-(-5/-5)))))</f>
        <v>-2306392.5442850003</v>
      </c>
      <c r="C2288" t="n" s="0">
        <v>-2306392.544285</v>
      </c>
    </row>
    <row r="2289">
      <c r="A2289" t="n" s="0">
        <v>-77.12</v>
      </c>
      <c r="B2289" t="n" s="0">
        <f>(-5-((((-5*(-5/((-5/(((-5*(-77.12--5))-(-5+((-5*-77.12)*(((-5--5)+(-77.12--5))+-77.12))))-(-5+-5)))*-5)))/-5)--5)+(-5*(((-77.12*(-77.12-(-5/-5)))*(-77.12-(-77.12/(-5*-77.12))))-(-5/-5)))))</f>
        <v>-2305497.18944</v>
      </c>
      <c r="C2289" t="n" s="0">
        <v>-2305497.1894400003</v>
      </c>
    </row>
    <row r="2290">
      <c r="A2290" t="n" s="0">
        <v>-77.11</v>
      </c>
      <c r="B2290" t="n" s="0">
        <f>(-5-((((-5*(-5/((-5/(((-5*(-77.11--5))-(-5+((-5*-77.11)*(((-5--5)+(-77.11--5))+-77.11))))-(-5+-5)))*-5)))/-5)--5)+(-5*(((-77.11*(-77.11-(-5/-5)))*(-77.11-(-77.11/(-5*-77.11))))-(-5/-5)))))</f>
        <v>-2304602.0663550003</v>
      </c>
      <c r="C2290" t="n" s="0">
        <v>-2304602.0663550003</v>
      </c>
    </row>
    <row r="2291">
      <c r="A2291" t="n" s="0">
        <v>-77.1</v>
      </c>
      <c r="B2291" t="n" s="0">
        <f>(-5-((((-5*(-5/((-5/(((-5*(-77.1--5))-(-5+((-5*-77.1)*(((-5--5)+(-77.1--5))+-77.1))))-(-5+-5)))*-5)))/-5)--5)+(-5*(((-77.1*(-77.1-(-5/-5)))*(-77.1-(-77.1/(-5*-77.1))))-(-5/-5)))))</f>
        <v>-2303707.1750000003</v>
      </c>
      <c r="C2291" t="n" s="0">
        <v>-2303707.174999999</v>
      </c>
    </row>
    <row r="2292">
      <c r="A2292" t="n" s="0">
        <v>-77.09</v>
      </c>
      <c r="B2292" t="n" s="0">
        <f>(-5-((((-5*(-5/((-5/(((-5*(-77.09--5))-(-5+((-5*-77.09)*(((-5--5)+(-77.09--5))+-77.09))))-(-5+-5)))*-5)))/-5)--5)+(-5*(((-77.09*(-77.09-(-5/-5)))*(-77.09-(-77.09/(-5*-77.09))))-(-5/-5)))))</f>
        <v>-2302812.515345</v>
      </c>
      <c r="C2292" t="n" s="0">
        <v>-2302812.5153450007</v>
      </c>
    </row>
    <row r="2293">
      <c r="A2293" t="n" s="0">
        <v>-77.08</v>
      </c>
      <c r="B2293" t="n" s="0">
        <f>(-5-((((-5*(-5/((-5/(((-5*(-77.08--5))-(-5+((-5*-77.08)*(((-5--5)+(-77.08--5))+-77.08))))-(-5+-5)))*-5)))/-5)--5)+(-5*(((-77.08*(-77.08-(-5/-5)))*(-77.08-(-77.08/(-5*-77.08))))-(-5/-5)))))</f>
        <v>-2301918.0873600002</v>
      </c>
      <c r="C2293" t="n" s="0">
        <v>-2301918.08736</v>
      </c>
    </row>
    <row r="2294">
      <c r="A2294" t="n" s="0">
        <v>-77.07</v>
      </c>
      <c r="B2294" t="n" s="0">
        <f>(-5-((((-5*(-5/((-5/(((-5*(-77.07--5))-(-5+((-5*-77.07)*(((-5--5)+(-77.07--5))+-77.07))))-(-5+-5)))*-5)))/-5)--5)+(-5*(((-77.07*(-77.07-(-5/-5)))*(-77.07-(-77.07/(-5*-77.07))))-(-5/-5)))))</f>
        <v>-2301023.891015</v>
      </c>
      <c r="C2294" t="n" s="0">
        <v>-2301023.8910149997</v>
      </c>
    </row>
    <row r="2295">
      <c r="A2295" t="n" s="0">
        <v>-77.06</v>
      </c>
      <c r="B2295" t="n" s="0">
        <f>(-5-((((-5*(-5/((-5/(((-5*(-77.06--5))-(-5+((-5*-77.06)*(((-5--5)+(-77.06--5))+-77.06))))-(-5+-5)))*-5)))/-5)--5)+(-5*(((-77.06*(-77.06-(-5/-5)))*(-77.06-(-77.06/(-5*-77.06))))-(-5/-5)))))</f>
        <v>-2300129.92628</v>
      </c>
      <c r="C2295" t="n" s="0">
        <v>-2300129.9262800002</v>
      </c>
    </row>
    <row r="2296">
      <c r="A2296" t="n" s="0">
        <v>-77.05</v>
      </c>
      <c r="B2296" t="n" s="0">
        <f>(-5-((((-5*(-5/((-5/(((-5*(-77.05--5))-(-5+((-5*-77.05)*(((-5--5)+(-77.05--5))+-77.05))))-(-5+-5)))*-5)))/-5)--5)+(-5*(((-77.05*(-77.05-(-5/-5)))*(-77.05-(-77.05/(-5*-77.05))))-(-5/-5)))))</f>
        <v>-2299236.1931249998</v>
      </c>
      <c r="C2296" t="n" s="0">
        <v>-2299236.1931249993</v>
      </c>
    </row>
    <row r="2297">
      <c r="A2297" t="n" s="0">
        <v>-77.04</v>
      </c>
      <c r="B2297" t="n" s="0">
        <f>(-5-((((-5*(-5/((-5/(((-5*(-77.04--5))-(-5+((-5*-77.04)*(((-5--5)+(-77.04--5))+-77.04))))-(-5+-5)))*-5)))/-5)--5)+(-5*(((-77.04*(-77.04-(-5/-5)))*(-77.04-(-77.04/(-5*-77.04))))-(-5/-5)))))</f>
        <v>-2298342.6915200003</v>
      </c>
      <c r="C2297" t="n" s="0">
        <v>-2298342.6915200003</v>
      </c>
    </row>
    <row r="2298">
      <c r="A2298" t="n" s="0">
        <v>-77.03</v>
      </c>
      <c r="B2298" t="n" s="0">
        <f>(-5-((((-5*(-5/((-5/(((-5*(-77.03--5))-(-5+((-5*-77.03)*(((-5--5)+(-77.03--5))+-77.03))))-(-5+-5)))*-5)))/-5)--5)+(-5*(((-77.03*(-77.03-(-5/-5)))*(-77.03-(-77.03/(-5*-77.03))))-(-5/-5)))))</f>
        <v>-2297449.4214350004</v>
      </c>
      <c r="C2298" t="n" s="0">
        <v>-2297449.421435</v>
      </c>
    </row>
    <row r="2299">
      <c r="A2299" t="n" s="0">
        <v>-77.02</v>
      </c>
      <c r="B2299" t="n" s="0">
        <f>(-5-((((-5*(-5/((-5/(((-5*(-77.02--5))-(-5+((-5*-77.02)*(((-5--5)+(-77.02--5))+-77.02))))-(-5+-5)))*-5)))/-5)--5)+(-5*(((-77.02*(-77.02-(-5/-5)))*(-77.02-(-77.02/(-5*-77.02))))-(-5/-5)))))</f>
        <v>-2296556.38284</v>
      </c>
      <c r="C2299" t="n" s="0">
        <v>-2296556.3828399996</v>
      </c>
    </row>
    <row r="2300">
      <c r="A2300" t="n" s="0">
        <v>-77.01</v>
      </c>
      <c r="B2300" t="n" s="0">
        <f>(-5-((((-5*(-5/((-5/(((-5*(-77.01--5))-(-5+((-5*-77.01)*(((-5--5)+(-77.01--5))+-77.01))))-(-5+-5)))*-5)))/-5)--5)+(-5*(((-77.01*(-77.01-(-5/-5)))*(-77.01-(-77.01/(-5*-77.01))))-(-5/-5)))))</f>
        <v>-2295663.5757049997</v>
      </c>
      <c r="C2300" t="n" s="0">
        <v>-2295663.5757050007</v>
      </c>
    </row>
    <row r="2301">
      <c r="A2301" t="n" s="0">
        <v>-77.0</v>
      </c>
      <c r="B2301" t="n" s="0">
        <f>(-5-((((-5*(-5/((-5/(((-5*(-77--5))-(-5+((-5*-77)*(((-5--5)+(-77--5))+-77))))-(-5+-5)))*-5)))/-5)--5)+(-5*(((-77*(-77-(-5/-5)))*(-77-(-77/(-5*-77))))-(-5/-5)))))</f>
        <v>-2294771.0</v>
      </c>
      <c r="C2301" t="n" s="0">
        <v>-2294771.0</v>
      </c>
    </row>
    <row r="2302">
      <c r="A2302" t="n" s="0">
        <v>-76.99</v>
      </c>
      <c r="B2302" t="n" s="0">
        <f>(-5-((((-5*(-5/((-5/(((-5*(-76.99--5))-(-5+((-5*-76.99)*(((-5--5)+(-76.99--5))+-76.99))))-(-5+-5)))*-5)))/-5)--5)+(-5*(((-76.99*(-76.99-(-5/-5)))*(-76.99-(-76.99/(-5*-76.99))))-(-5/-5)))))</f>
        <v>-2293878.6556949997</v>
      </c>
      <c r="C2302" t="n" s="0">
        <v>-2293878.6556949997</v>
      </c>
    </row>
    <row r="2303">
      <c r="A2303" t="n" s="0">
        <v>-76.98</v>
      </c>
      <c r="B2303" t="n" s="0">
        <f>(-5-((((-5*(-5/((-5/(((-5*(-76.98--5))-(-5+((-5*-76.98)*(((-5--5)+(-76.98--5))+-76.98))))-(-5+-5)))*-5)))/-5)--5)+(-5*(((-76.98*(-76.98-(-5/-5)))*(-76.98-(-76.98/(-5*-76.98))))-(-5/-5)))))</f>
        <v>-2292986.54276</v>
      </c>
      <c r="C2303" t="n" s="0">
        <v>-2292986.54276</v>
      </c>
    </row>
    <row r="2304">
      <c r="A2304" t="n" s="0">
        <v>-76.97</v>
      </c>
      <c r="B2304" t="n" s="0">
        <f>(-5-((((-5*(-5/((-5/(((-5*(-76.97--5))-(-5+((-5*-76.97)*(((-5--5)+(-76.97--5))+-76.97))))-(-5+-5)))*-5)))/-5)--5)+(-5*(((-76.97*(-76.97-(-5/-5)))*(-76.97-(-76.97/(-5*-76.97))))-(-5/-5)))))</f>
        <v>-2292094.661165</v>
      </c>
      <c r="C2304" t="n" s="0">
        <v>-2292094.661165</v>
      </c>
    </row>
    <row r="2305">
      <c r="A2305" t="n" s="0">
        <v>-76.96</v>
      </c>
      <c r="B2305" t="n" s="0">
        <f>(-5-((((-5*(-5/((-5/(((-5*(-76.96--5))-(-5+((-5*-76.96)*(((-5--5)+(-76.96--5))+-76.96))))-(-5+-5)))*-5)))/-5)--5)+(-5*(((-76.96*(-76.96-(-5/-5)))*(-76.96-(-76.96/(-5*-76.96))))-(-5/-5)))))</f>
        <v>-2291203.01088</v>
      </c>
      <c r="C2305" t="n" s="0">
        <v>-2291203.0108799995</v>
      </c>
    </row>
    <row r="2306">
      <c r="A2306" t="n" s="0">
        <v>-76.95</v>
      </c>
      <c r="B2306" t="n" s="0">
        <f>(-5-((((-5*(-5/((-5/(((-5*(-76.95--5))-(-5+((-5*-76.95)*(((-5--5)+(-76.95--5))+-76.95))))-(-5+-5)))*-5)))/-5)--5)+(-5*(((-76.95*(-76.95-(-5/-5)))*(-76.95-(-76.95/(-5*-76.95))))-(-5/-5)))))</f>
        <v>-2290311.591875</v>
      </c>
      <c r="C2306" t="n" s="0">
        <v>-2290311.5918750004</v>
      </c>
    </row>
    <row r="2307">
      <c r="A2307" t="n" s="0">
        <v>-76.94</v>
      </c>
      <c r="B2307" t="n" s="0">
        <f>(-5-((((-5*(-5/((-5/(((-5*(-76.94--5))-(-5+((-5*-76.94)*(((-5--5)+(-76.94--5))+-76.94))))-(-5+-5)))*-5)))/-5)--5)+(-5*(((-76.94*(-76.94-(-5/-5)))*(-76.94-(-76.94/(-5*-76.94))))-(-5/-5)))))</f>
        <v>-2289420.40412</v>
      </c>
      <c r="C2307" t="n" s="0">
        <v>-2289420.404119999</v>
      </c>
    </row>
    <row r="2308">
      <c r="A2308" t="n" s="0">
        <v>-76.93</v>
      </c>
      <c r="B2308" t="n" s="0">
        <f>(-5-((((-5*(-5/((-5/(((-5*(-76.93--5))-(-5+((-5*-76.93)*(((-5--5)+(-76.93--5))+-76.93))))-(-5+-5)))*-5)))/-5)--5)+(-5*(((-76.93*(-76.93-(-5/-5)))*(-76.93-(-76.93/(-5*-76.93))))-(-5/-5)))))</f>
        <v>-2288529.447585</v>
      </c>
      <c r="C2308" t="n" s="0">
        <v>-2288529.4475850007</v>
      </c>
    </row>
    <row r="2309">
      <c r="A2309" t="n" s="0">
        <v>-76.92</v>
      </c>
      <c r="B2309" t="n" s="0">
        <f>(-5-((((-5*(-5/((-5/(((-5*(-76.92--5))-(-5+((-5*-76.92)*(((-5--5)+(-76.92--5))+-76.92))))-(-5+-5)))*-5)))/-5)--5)+(-5*(((-76.92*(-76.92-(-5/-5)))*(-76.92-(-76.92/(-5*-76.92))))-(-5/-5)))))</f>
        <v>-2287638.72224</v>
      </c>
      <c r="C2309" t="n" s="0">
        <v>-2287638.72224</v>
      </c>
    </row>
    <row r="2310">
      <c r="A2310" t="n" s="0">
        <v>-76.91</v>
      </c>
      <c r="B2310" t="n" s="0">
        <f>(-5-((((-5*(-5/((-5/(((-5*(-76.91--5))-(-5+((-5*-76.91)*(((-5--5)+(-76.91--5))+-76.91))))-(-5+-5)))*-5)))/-5)--5)+(-5*(((-76.91*(-76.91-(-5/-5)))*(-76.91-(-76.91/(-5*-76.91))))-(-5/-5)))))</f>
        <v>-2286748.228055</v>
      </c>
      <c r="C2310" t="n" s="0">
        <v>-2286748.228055</v>
      </c>
    </row>
    <row r="2311">
      <c r="A2311" t="n" s="0">
        <v>-76.9</v>
      </c>
      <c r="B2311" t="n" s="0">
        <f>(-5-((((-5*(-5/((-5/(((-5*(-76.9--5))-(-5+((-5*-76.9)*(((-5--5)+(-76.9--5))+-76.9))))-(-5+-5)))*-5)))/-5)--5)+(-5*(((-76.9*(-76.9-(-5/-5)))*(-76.9-(-76.9/(-5*-76.9))))-(-5/-5)))))</f>
        <v>-2285857.965</v>
      </c>
      <c r="C2311" t="n" s="0">
        <v>-2285857.965000001</v>
      </c>
    </row>
    <row r="2312">
      <c r="A2312" t="n" s="0">
        <v>-76.89</v>
      </c>
      <c r="B2312" t="n" s="0">
        <f>(-5-((((-5*(-5/((-5/(((-5*(-76.89--5))-(-5+((-5*-76.89)*(((-5--5)+(-76.89--5))+-76.89))))-(-5+-5)))*-5)))/-5)--5)+(-5*(((-76.89*(-76.89-(-5/-5)))*(-76.89-(-76.89/(-5*-76.89))))-(-5/-5)))))</f>
        <v>-2284967.9330450003</v>
      </c>
      <c r="C2312" t="n" s="0">
        <v>-2284967.933045</v>
      </c>
    </row>
    <row r="2313">
      <c r="A2313" t="n" s="0">
        <v>-76.88</v>
      </c>
      <c r="B2313" t="n" s="0">
        <f>(-5-((((-5*(-5/((-5/(((-5*(-76.88--5))-(-5+((-5*-76.88)*(((-5--5)+(-76.88--5))+-76.88))))-(-5+-5)))*-5)))/-5)--5)+(-5*(((-76.88*(-76.88-(-5/-5)))*(-76.88-(-76.88/(-5*-76.88))))-(-5/-5)))))</f>
        <v>-2284078.13216</v>
      </c>
      <c r="C2313" t="n" s="0">
        <v>-2284078.1321599996</v>
      </c>
    </row>
    <row r="2314">
      <c r="A2314" t="n" s="0">
        <v>-76.87</v>
      </c>
      <c r="B2314" t="n" s="0">
        <f>(-5-((((-5*(-5/((-5/(((-5*(-76.87--5))-(-5+((-5*-76.87)*(((-5--5)+(-76.87--5))+-76.87))))-(-5+-5)))*-5)))/-5)--5)+(-5*(((-76.87*(-76.87-(-5/-5)))*(-76.87-(-76.87/(-5*-76.87))))-(-5/-5)))))</f>
        <v>-2283188.562315</v>
      </c>
      <c r="C2314" t="n" s="0">
        <v>-2283188.562315</v>
      </c>
    </row>
    <row r="2315">
      <c r="A2315" t="n" s="0">
        <v>-76.86</v>
      </c>
      <c r="B2315" t="n" s="0">
        <f>(-5-((((-5*(-5/((-5/(((-5*(-76.86--5))-(-5+((-5*-76.86)*(((-5--5)+(-76.86--5))+-76.86))))-(-5+-5)))*-5)))/-5)--5)+(-5*(((-76.86*(-76.86-(-5/-5)))*(-76.86-(-76.86/(-5*-76.86))))-(-5/-5)))))</f>
        <v>-2282299.22348</v>
      </c>
      <c r="C2315" t="n" s="0">
        <v>-2282299.2234799997</v>
      </c>
    </row>
    <row r="2316">
      <c r="A2316" t="n" s="0">
        <v>-76.85</v>
      </c>
      <c r="B2316" t="n" s="0">
        <f>(-5-((((-5*(-5/((-5/(((-5*(-76.85--5))-(-5+((-5*-76.85)*(((-5--5)+(-76.85--5))+-76.85))))-(-5+-5)))*-5)))/-5)--5)+(-5*(((-76.85*(-76.85-(-5/-5)))*(-76.85-(-76.85/(-5*-76.85))))-(-5/-5)))))</f>
        <v>-2281410.115625</v>
      </c>
      <c r="C2316" t="n" s="0">
        <v>-2281410.115624999</v>
      </c>
    </row>
    <row r="2317">
      <c r="A2317" t="n" s="0">
        <v>-76.84</v>
      </c>
      <c r="B2317" t="n" s="0">
        <f>(-5-((((-5*(-5/((-5/(((-5*(-76.84--5))-(-5+((-5*-76.84)*(((-5--5)+(-76.84--5))+-76.84))))-(-5+-5)))*-5)))/-5)--5)+(-5*(((-76.84*(-76.84-(-5/-5)))*(-76.84-(-76.84/(-5*-76.84))))-(-5/-5)))))</f>
        <v>-2280521.2387200003</v>
      </c>
      <c r="C2317" t="n" s="0">
        <v>-2280521.2387200003</v>
      </c>
    </row>
    <row r="2318">
      <c r="A2318" t="n" s="0">
        <v>-76.83</v>
      </c>
      <c r="B2318" t="n" s="0">
        <f>(-5-((((-5*(-5/((-5/(((-5*(-76.83--5))-(-5+((-5*-76.83)*(((-5--5)+(-76.83--5))+-76.83))))-(-5+-5)))*-5)))/-5)--5)+(-5*(((-76.83*(-76.83-(-5/-5)))*(-76.83-(-76.83/(-5*-76.83))))-(-5/-5)))))</f>
        <v>-2279632.592735</v>
      </c>
      <c r="C2318" t="n" s="0">
        <v>-2279632.592735</v>
      </c>
    </row>
    <row r="2319">
      <c r="A2319" t="n" s="0">
        <v>-76.82</v>
      </c>
      <c r="B2319" t="n" s="0">
        <f>(-5-((((-5*(-5/((-5/(((-5*(-76.82--5))-(-5+((-5*-76.82)*(((-5--5)+(-76.82--5))+-76.82))))-(-5+-5)))*-5)))/-5)--5)+(-5*(((-76.82*(-76.82-(-5/-5)))*(-76.82-(-76.82/(-5*-76.82))))-(-5/-5)))))</f>
        <v>-2278744.17764</v>
      </c>
      <c r="C2319" t="n" s="0">
        <v>-2278744.177639999</v>
      </c>
    </row>
    <row r="2320">
      <c r="A2320" t="n" s="0">
        <v>-76.81</v>
      </c>
      <c r="B2320" t="n" s="0">
        <f>(-5-((((-5*(-5/((-5/(((-5*(-76.81--5))-(-5+((-5*-76.81)*(((-5--5)+(-76.81--5))+-76.81))))-(-5+-5)))*-5)))/-5)--5)+(-5*(((-76.81*(-76.81-(-5/-5)))*(-76.81-(-76.81/(-5*-76.81))))-(-5/-5)))))</f>
        <v>-2277855.993405</v>
      </c>
      <c r="C2320" t="n" s="0">
        <v>-2277855.9934050003</v>
      </c>
    </row>
    <row r="2321">
      <c r="A2321" t="n" s="0">
        <v>-76.8</v>
      </c>
      <c r="B2321" t="n" s="0">
        <f>(-5-((((-5*(-5/((-5/(((-5*(-76.8--5))-(-5+((-5*-76.8)*(((-5--5)+(-76.8--5))+-76.8))))-(-5+-5)))*-5)))/-5)--5)+(-5*(((-76.8*(-76.8-(-5/-5)))*(-76.8-(-76.8/(-5*-76.8))))-(-5/-5)))))</f>
        <v>-2276968.04</v>
      </c>
      <c r="C2321" t="n" s="0">
        <v>-2276968.0399999996</v>
      </c>
    </row>
    <row r="2322">
      <c r="A2322" t="n" s="0">
        <v>-76.79</v>
      </c>
      <c r="B2322" t="n" s="0">
        <f>(-5-((((-5*(-5/((-5/(((-5*(-76.79--5))-(-5+((-5*-76.79)*(((-5--5)+(-76.79--5))+-76.79))))-(-5+-5)))*-5)))/-5)--5)+(-5*(((-76.79*(-76.79-(-5/-5)))*(-76.79-(-76.79/(-5*-76.79))))-(-5/-5)))))</f>
        <v>-2276080.3173950003</v>
      </c>
      <c r="C2322" t="n" s="0">
        <v>-2276080.3173950007</v>
      </c>
    </row>
    <row r="2323">
      <c r="A2323" t="n" s="0">
        <v>-76.78</v>
      </c>
      <c r="B2323" t="n" s="0">
        <f>(-5-((((-5*(-5/((-5/(((-5*(-76.78--5))-(-5+((-5*-76.78)*(((-5--5)+(-76.78--5))+-76.78))))-(-5+-5)))*-5)))/-5)--5)+(-5*(((-76.78*(-76.78-(-5/-5)))*(-76.78-(-76.78/(-5*-76.78))))-(-5/-5)))))</f>
        <v>-2275192.82556</v>
      </c>
      <c r="C2323" t="n" s="0">
        <v>-2275192.8255600003</v>
      </c>
    </row>
    <row r="2324">
      <c r="A2324" t="n" s="0">
        <v>-76.77</v>
      </c>
      <c r="B2324" t="n" s="0">
        <f>(-5-((((-5*(-5/((-5/(((-5*(-76.77--5))-(-5+((-5*-76.77)*(((-5--5)+(-76.77--5))+-76.77))))-(-5+-5)))*-5)))/-5)--5)+(-5*(((-76.77*(-76.77-(-5/-5)))*(-76.77-(-76.77/(-5*-76.77))))-(-5/-5)))))</f>
        <v>-2274305.564465</v>
      </c>
      <c r="C2324" t="n" s="0">
        <v>-2274305.564465</v>
      </c>
    </row>
    <row r="2325">
      <c r="A2325" t="n" s="0">
        <v>-76.76</v>
      </c>
      <c r="B2325" t="n" s="0">
        <f>(-5-((((-5*(-5/((-5/(((-5*(-76.76--5))-(-5+((-5*-76.76)*(((-5--5)+(-76.76--5))+-76.76))))-(-5+-5)))*-5)))/-5)--5)+(-5*(((-76.76*(-76.76-(-5/-5)))*(-76.76-(-76.76/(-5*-76.76))))-(-5/-5)))))</f>
        <v>-2273418.53408</v>
      </c>
      <c r="C2325" t="n" s="0">
        <v>-2273418.53408</v>
      </c>
    </row>
    <row r="2326">
      <c r="A2326" t="n" s="0">
        <v>-76.75</v>
      </c>
      <c r="B2326" t="n" s="0">
        <f>(-5-((((-5*(-5/((-5/(((-5*(-76.75--5))-(-5+((-5*-76.75)*(((-5--5)+(-76.75--5))+-76.75))))-(-5+-5)))*-5)))/-5)--5)+(-5*(((-76.75*(-76.75-(-5/-5)))*(-76.75-(-76.75/(-5*-76.75))))-(-5/-5)))))</f>
        <v>-2272531.734375</v>
      </c>
      <c r="C2326" t="n" s="0">
        <v>-2272531.734375</v>
      </c>
    </row>
    <row r="2327">
      <c r="A2327" t="n" s="0">
        <v>-76.74</v>
      </c>
      <c r="B2327" t="n" s="0">
        <f>(-5-((((-5*(-5/((-5/(((-5*(-76.74--5))-(-5+((-5*-76.74)*(((-5--5)+(-76.74--5))+-76.74))))-(-5+-5)))*-5)))/-5)--5)+(-5*(((-76.74*(-76.74-(-5/-5)))*(-76.74-(-76.74/(-5*-76.74))))-(-5/-5)))))</f>
        <v>-2271645.16532</v>
      </c>
      <c r="C2327" t="n" s="0">
        <v>-2271645.1653199997</v>
      </c>
    </row>
    <row r="2328">
      <c r="A2328" t="n" s="0">
        <v>-76.73</v>
      </c>
      <c r="B2328" t="n" s="0">
        <f>(-5-((((-5*(-5/((-5/(((-5*(-76.73--5))-(-5+((-5*-76.73)*(((-5--5)+(-76.73--5))+-76.73))))-(-5+-5)))*-5)))/-5)--5)+(-5*(((-76.73*(-76.73-(-5/-5)))*(-76.73-(-76.73/(-5*-76.73))))-(-5/-5)))))</f>
        <v>-2270758.826885</v>
      </c>
      <c r="C2328" t="n" s="0">
        <v>-2270758.8268850003</v>
      </c>
    </row>
    <row r="2329">
      <c r="A2329" t="n" s="0">
        <v>-76.72</v>
      </c>
      <c r="B2329" t="n" s="0">
        <f>(-5-((((-5*(-5/((-5/(((-5*(-76.72--5))-(-5+((-5*-76.72)*(((-5--5)+(-76.72--5))+-76.72))))-(-5+-5)))*-5)))/-5)--5)+(-5*(((-76.72*(-76.72-(-5/-5)))*(-76.72-(-76.72/(-5*-76.72))))-(-5/-5)))))</f>
        <v>-2269872.7190400003</v>
      </c>
      <c r="C2329" t="n" s="0">
        <v>-2269872.71904</v>
      </c>
    </row>
    <row r="2330">
      <c r="A2330" t="n" s="0">
        <v>-76.71</v>
      </c>
      <c r="B2330" t="n" s="0">
        <f>(-5-((((-5*(-5/((-5/(((-5*(-76.71--5))-(-5+((-5*-76.71)*(((-5--5)+(-76.71--5))+-76.71))))-(-5+-5)))*-5)))/-5)--5)+(-5*(((-76.71*(-76.71-(-5/-5)))*(-76.71-(-76.71/(-5*-76.71))))-(-5/-5)))))</f>
        <v>-2268986.841755</v>
      </c>
      <c r="C2330" t="n" s="0">
        <v>-2268986.8417549995</v>
      </c>
    </row>
    <row r="2331">
      <c r="A2331" t="n" s="0">
        <v>-76.7</v>
      </c>
      <c r="B2331" t="n" s="0">
        <f>(-5-((((-5*(-5/((-5/(((-5*(-76.7--5))-(-5+((-5*-76.7)*(((-5--5)+(-76.7--5))+-76.7))))-(-5+-5)))*-5)))/-5)--5)+(-5*(((-76.7*(-76.7-(-5/-5)))*(-76.7-(-76.7/(-5*-76.7))))-(-5/-5)))))</f>
        <v>-2268101.195</v>
      </c>
      <c r="C2331" t="n" s="0">
        <v>-2268101.1950000003</v>
      </c>
    </row>
    <row r="2332">
      <c r="A2332" t="n" s="0">
        <v>-76.69</v>
      </c>
      <c r="B2332" t="n" s="0">
        <f>(-5-((((-5*(-5/((-5/(((-5*(-76.69--5))-(-5+((-5*-76.69)*(((-5--5)+(-76.69--5))+-76.69))))-(-5+-5)))*-5)))/-5)--5)+(-5*(((-76.69*(-76.69-(-5/-5)))*(-76.69-(-76.69/(-5*-76.69))))-(-5/-5)))))</f>
        <v>-2267215.778745</v>
      </c>
      <c r="C2332" t="n" s="0">
        <v>-2267215.778745</v>
      </c>
    </row>
    <row r="2333">
      <c r="A2333" t="n" s="0">
        <v>-76.68</v>
      </c>
      <c r="B2333" t="n" s="0">
        <f>(-5-((((-5*(-5/((-5/(((-5*(-76.68--5))-(-5+((-5*-76.68)*(((-5--5)+(-76.68--5))+-76.68))))-(-5+-5)))*-5)))/-5)--5)+(-5*(((-76.68*(-76.68-(-5/-5)))*(-76.68-(-76.68/(-5*-76.68))))-(-5/-5)))))</f>
        <v>-2266330.59296</v>
      </c>
      <c r="C2333" t="n" s="0">
        <v>-2266330.5929600005</v>
      </c>
    </row>
    <row r="2334">
      <c r="A2334" t="n" s="0">
        <v>-76.67</v>
      </c>
      <c r="B2334" t="n" s="0">
        <f>(-5-((((-5*(-5/((-5/(((-5*(-76.67--5))-(-5+((-5*-76.67)*(((-5--5)+(-76.67--5))+-76.67))))-(-5+-5)))*-5)))/-5)--5)+(-5*(((-76.67*(-76.67-(-5/-5)))*(-76.67-(-76.67/(-5*-76.67))))-(-5/-5)))))</f>
        <v>-2265445.637615</v>
      </c>
      <c r="C2334" t="n" s="0">
        <v>-2265445.637615</v>
      </c>
    </row>
    <row r="2335">
      <c r="A2335" t="n" s="0">
        <v>-76.66</v>
      </c>
      <c r="B2335" t="n" s="0">
        <f>(-5-((((-5*(-5/((-5/(((-5*(-76.66--5))-(-5+((-5*-76.66)*(((-5--5)+(-76.66--5))+-76.66))))-(-5+-5)))*-5)))/-5)--5)+(-5*(((-76.66*(-76.66-(-5/-5)))*(-76.66-(-76.66/(-5*-76.66))))-(-5/-5)))))</f>
        <v>-2264560.91268</v>
      </c>
      <c r="C2335" t="n" s="0">
        <v>-2264560.91268</v>
      </c>
    </row>
    <row r="2336">
      <c r="A2336" t="n" s="0">
        <v>-76.65</v>
      </c>
      <c r="B2336" t="n" s="0">
        <f>(-5-((((-5*(-5/((-5/(((-5*(-76.65--5))-(-5+((-5*-76.65)*(((-5--5)+(-76.65--5))+-76.65))))-(-5+-5)))*-5)))/-5)--5)+(-5*(((-76.65*(-76.65-(-5/-5)))*(-76.65-(-76.65/(-5*-76.65))))-(-5/-5)))))</f>
        <v>-2263676.418125</v>
      </c>
      <c r="C2336" t="n" s="0">
        <v>-2263676.4181250003</v>
      </c>
    </row>
    <row r="2337">
      <c r="A2337" t="n" s="0">
        <v>-76.64</v>
      </c>
      <c r="B2337" t="n" s="0">
        <f>(-5-((((-5*(-5/((-5/(((-5*(-76.64--5))-(-5+((-5*-76.64)*(((-5--5)+(-76.64--5))+-76.64))))-(-5+-5)))*-5)))/-5)--5)+(-5*(((-76.64*(-76.64-(-5/-5)))*(-76.64-(-76.64/(-5*-76.64))))-(-5/-5)))))</f>
        <v>-2262792.1539200004</v>
      </c>
      <c r="C2337" t="n" s="0">
        <v>-2262792.15392</v>
      </c>
    </row>
    <row r="2338">
      <c r="A2338" t="n" s="0">
        <v>-76.63</v>
      </c>
      <c r="B2338" t="n" s="0">
        <f>(-5-((((-5*(-5/((-5/(((-5*(-76.63--5))-(-5+((-5*-76.63)*(((-5--5)+(-76.63--5))+-76.63))))-(-5+-5)))*-5)))/-5)--5)+(-5*(((-76.63*(-76.63-(-5/-5)))*(-76.63-(-76.63/(-5*-76.63))))-(-5/-5)))))</f>
        <v>-2261908.1200349997</v>
      </c>
      <c r="C2338" t="n" s="0">
        <v>-2261908.120035</v>
      </c>
    </row>
    <row r="2339">
      <c r="A2339" t="n" s="0">
        <v>-76.62</v>
      </c>
      <c r="B2339" t="n" s="0">
        <f>(-5-((((-5*(-5/((-5/(((-5*(-76.62--5))-(-5+((-5*-76.62)*(((-5--5)+(-76.62--5))+-76.62))))-(-5+-5)))*-5)))/-5)--5)+(-5*(((-76.62*(-76.62-(-5/-5)))*(-76.62-(-76.62/(-5*-76.62))))-(-5/-5)))))</f>
        <v>-2261024.3164399997</v>
      </c>
      <c r="C2339" t="n" s="0">
        <v>-2261024.3164400007</v>
      </c>
    </row>
    <row r="2340">
      <c r="A2340" t="n" s="0">
        <v>-76.61</v>
      </c>
      <c r="B2340" t="n" s="0">
        <f>(-5-((((-5*(-5/((-5/(((-5*(-76.61--5))-(-5+((-5*-76.61)*(((-5--5)+(-76.61--5))+-76.61))))-(-5+-5)))*-5)))/-5)--5)+(-5*(((-76.61*(-76.61-(-5/-5)))*(-76.61-(-76.61/(-5*-76.61))))-(-5/-5)))))</f>
        <v>-2260140.743105</v>
      </c>
      <c r="C2340" t="n" s="0">
        <v>-2260140.743105</v>
      </c>
    </row>
    <row r="2341">
      <c r="A2341" t="n" s="0">
        <v>-76.6</v>
      </c>
      <c r="B2341" t="n" s="0">
        <f>(-5-((((-5*(-5/((-5/(((-5*(-76.6--5))-(-5+((-5*-76.6)*(((-5--5)+(-76.6--5))+-76.6))))-(-5+-5)))*-5)))/-5)--5)+(-5*(((-76.6*(-76.6-(-5/-5)))*(-76.6-(-76.6/(-5*-76.6))))-(-5/-5)))))</f>
        <v>-2259257.4</v>
      </c>
      <c r="C2341" t="n" s="0">
        <v>-2259257.3999999994</v>
      </c>
    </row>
    <row r="2342">
      <c r="A2342" t="n" s="0">
        <v>-76.59</v>
      </c>
      <c r="B2342" t="n" s="0">
        <f>(-5-((((-5*(-5/((-5/(((-5*(-76.59--5))-(-5+((-5*-76.59)*(((-5--5)+(-76.59--5))+-76.59))))-(-5+-5)))*-5)))/-5)--5)+(-5*(((-76.59*(-76.59-(-5/-5)))*(-76.59-(-76.59/(-5*-76.59))))-(-5/-5)))))</f>
        <v>-2258374.287095</v>
      </c>
      <c r="C2342" t="n" s="0">
        <v>-2258374.2870950005</v>
      </c>
    </row>
    <row r="2343">
      <c r="A2343" t="n" s="0">
        <v>-76.58</v>
      </c>
      <c r="B2343" t="n" s="0">
        <f>(-5-((((-5*(-5/((-5/(((-5*(-76.58--5))-(-5+((-5*-76.58)*(((-5--5)+(-76.58--5))+-76.58))))-(-5+-5)))*-5)))/-5)--5)+(-5*(((-76.58*(-76.58-(-5/-5)))*(-76.58-(-76.58/(-5*-76.58))))-(-5/-5)))))</f>
        <v>-2257491.40436</v>
      </c>
      <c r="C2343" t="n" s="0">
        <v>-2257491.40436</v>
      </c>
    </row>
    <row r="2344">
      <c r="A2344" t="n" s="0">
        <v>-76.57</v>
      </c>
      <c r="B2344" t="n" s="0">
        <f>(-5-((((-5*(-5/((-5/(((-5*(-76.57--5))-(-5+((-5*-76.57)*(((-5--5)+(-76.57--5))+-76.57))))-(-5+-5)))*-5)))/-5)--5)+(-5*(((-76.57*(-76.57-(-5/-5)))*(-76.57-(-76.57/(-5*-76.57))))-(-5/-5)))))</f>
        <v>-2256608.751765</v>
      </c>
      <c r="C2344" t="n" s="0">
        <v>-2256608.7517649992</v>
      </c>
    </row>
    <row r="2345">
      <c r="A2345" t="n" s="0">
        <v>-76.56</v>
      </c>
      <c r="B2345" t="n" s="0">
        <f>(-5-((((-5*(-5/((-5/(((-5*(-76.56--5))-(-5+((-5*-76.56)*(((-5--5)+(-76.56--5))+-76.56))))-(-5+-5)))*-5)))/-5)--5)+(-5*(((-76.56*(-76.56-(-5/-5)))*(-76.56-(-76.56/(-5*-76.56))))-(-5/-5)))))</f>
        <v>-2255726.32928</v>
      </c>
      <c r="C2345" t="n" s="0">
        <v>-2255726.3292800006</v>
      </c>
    </row>
    <row r="2346">
      <c r="A2346" t="n" s="0">
        <v>-76.55</v>
      </c>
      <c r="B2346" t="n" s="0">
        <f>(-5-((((-5*(-5/((-5/(((-5*(-76.55--5))-(-5+((-5*-76.55)*(((-5--5)+(-76.55--5))+-76.55))))-(-5+-5)))*-5)))/-5)--5)+(-5*(((-76.55*(-76.55-(-5/-5)))*(-76.55-(-76.55/(-5*-76.55))))-(-5/-5)))))</f>
        <v>-2254844.136875</v>
      </c>
      <c r="C2346" t="n" s="0">
        <v>-2254844.136875</v>
      </c>
    </row>
    <row r="2347">
      <c r="A2347" t="n" s="0">
        <v>-76.54</v>
      </c>
      <c r="B2347" t="n" s="0">
        <f>(-5-((((-5*(-5/((-5/(((-5*(-76.54--5))-(-5+((-5*-76.54)*(((-5--5)+(-76.54--5))+-76.54))))-(-5+-5)))*-5)))/-5)--5)+(-5*(((-76.54*(-76.54-(-5/-5)))*(-76.54-(-76.54/(-5*-76.54))))-(-5/-5)))))</f>
        <v>-2253962.17452</v>
      </c>
      <c r="C2347" t="n" s="0">
        <v>-2253962.174520001</v>
      </c>
    </row>
    <row r="2348">
      <c r="A2348" t="n" s="0">
        <v>-76.53</v>
      </c>
      <c r="B2348" t="n" s="0">
        <f>(-5-((((-5*(-5/((-5/(((-5*(-76.53--5))-(-5+((-5*-76.53)*(((-5--5)+(-76.53--5))+-76.53))))-(-5+-5)))*-5)))/-5)--5)+(-5*(((-76.53*(-76.53-(-5/-5)))*(-76.53-(-76.53/(-5*-76.53))))-(-5/-5)))))</f>
        <v>-2253080.442185</v>
      </c>
      <c r="C2348" t="n" s="0">
        <v>-2253080.442185</v>
      </c>
    </row>
    <row r="2349">
      <c r="A2349" t="n" s="0">
        <v>-76.52</v>
      </c>
      <c r="B2349" t="n" s="0">
        <f>(-5-((((-5*(-5/((-5/(((-5*(-76.52--5))-(-5+((-5*-76.52)*(((-5--5)+(-76.52--5))+-76.52))))-(-5+-5)))*-5)))/-5)--5)+(-5*(((-76.52*(-76.52-(-5/-5)))*(-76.52-(-76.52/(-5*-76.52))))-(-5/-5)))))</f>
        <v>-2252198.93984</v>
      </c>
      <c r="C2349" t="n" s="0">
        <v>-2252198.93984</v>
      </c>
    </row>
    <row r="2350">
      <c r="A2350" t="n" s="0">
        <v>-76.51</v>
      </c>
      <c r="B2350" t="n" s="0">
        <f>(-5-((((-5*(-5/((-5/(((-5*(-76.51--5))-(-5+((-5*-76.51)*(((-5--5)+(-76.51--5))+-76.51))))-(-5+-5)))*-5)))/-5)--5)+(-5*(((-76.51*(-76.51-(-5/-5)))*(-76.51-(-76.51/(-5*-76.51))))-(-5/-5)))))</f>
        <v>-2251317.667455</v>
      </c>
      <c r="C2350" t="n" s="0">
        <v>-2251317.6674550003</v>
      </c>
    </row>
    <row r="2351">
      <c r="A2351" t="n" s="0">
        <v>-76.5</v>
      </c>
      <c r="B2351" t="n" s="0">
        <f>(-5-((((-5*(-5/((-5/(((-5*(-76.5--5))-(-5+((-5*-76.5)*(((-5--5)+(-76.5--5))+-76.5))))-(-5+-5)))*-5)))/-5)--5)+(-5*(((-76.5*(-76.5-(-5/-5)))*(-76.5-(-76.5/(-5*-76.5))))-(-5/-5)))))</f>
        <v>-2250436.625</v>
      </c>
      <c r="C2351" t="n" s="0">
        <v>-2250436.625</v>
      </c>
    </row>
    <row r="2352">
      <c r="A2352" t="n" s="0">
        <v>-76.49</v>
      </c>
      <c r="B2352" t="n" s="0">
        <f>(-5-((((-5*(-5/((-5/(((-5*(-76.49--5))-(-5+((-5*-76.49)*(((-5--5)+(-76.49--5))+-76.49))))-(-5+-5)))*-5)))/-5)--5)+(-5*(((-76.49*(-76.49-(-5/-5)))*(-76.49-(-76.49/(-5*-76.49))))-(-5/-5)))))</f>
        <v>-2249555.812445</v>
      </c>
      <c r="C2352" t="n" s="0">
        <v>-2249555.812445</v>
      </c>
    </row>
    <row r="2353">
      <c r="A2353" t="n" s="0">
        <v>-76.48</v>
      </c>
      <c r="B2353" t="n" s="0">
        <f>(-5-((((-5*(-5/((-5/(((-5*(-76.48--5))-(-5+((-5*-76.48)*(((-5--5)+(-76.48--5))+-76.48))))-(-5+-5)))*-5)))/-5)--5)+(-5*(((-76.48*(-76.48-(-5/-5)))*(-76.48-(-76.48/(-5*-76.48))))-(-5/-5)))))</f>
        <v>-2248675.22976</v>
      </c>
      <c r="C2353" t="n" s="0">
        <v>-2248675.22976</v>
      </c>
    </row>
    <row r="2354">
      <c r="A2354" t="n" s="0">
        <v>-76.47</v>
      </c>
      <c r="B2354" t="n" s="0">
        <f>(-5-((((-5*(-5/((-5/(((-5*(-76.47--5))-(-5+((-5*-76.47)*(((-5--5)+(-76.47--5))+-76.47))))-(-5+-5)))*-5)))/-5)--5)+(-5*(((-76.47*(-76.47-(-5/-5)))*(-76.47-(-76.47/(-5*-76.47))))-(-5/-5)))))</f>
        <v>-2247794.876915</v>
      </c>
      <c r="C2354" t="n" s="0">
        <v>-2247794.876915</v>
      </c>
    </row>
    <row r="2355">
      <c r="A2355" t="n" s="0">
        <v>-76.46</v>
      </c>
      <c r="B2355" t="n" s="0">
        <f>(-5-((((-5*(-5/((-5/(((-5*(-76.46--5))-(-5+((-5*-76.46)*(((-5--5)+(-76.46--5))+-76.46))))-(-5+-5)))*-5)))/-5)--5)+(-5*(((-76.46*(-76.46-(-5/-5)))*(-76.46-(-76.46/(-5*-76.46))))-(-5/-5)))))</f>
        <v>-2246914.7538799997</v>
      </c>
      <c r="C2355" t="n" s="0">
        <v>-2246914.7538799993</v>
      </c>
    </row>
    <row r="2356">
      <c r="A2356" t="n" s="0">
        <v>-76.45</v>
      </c>
      <c r="B2356" t="n" s="0">
        <f>(-5-((((-5*(-5/((-5/(((-5*(-76.45--5))-(-5+((-5*-76.45)*(((-5--5)+(-76.45--5))+-76.45))))-(-5+-5)))*-5)))/-5)--5)+(-5*(((-76.45*(-76.45-(-5/-5)))*(-76.45-(-76.45/(-5*-76.45))))-(-5/-5)))))</f>
        <v>-2246034.860625</v>
      </c>
      <c r="C2356" t="n" s="0">
        <v>-2246034.860625</v>
      </c>
    </row>
    <row r="2357">
      <c r="A2357" t="n" s="0">
        <v>-76.44</v>
      </c>
      <c r="B2357" t="n" s="0">
        <f>(-5-((((-5*(-5/((-5/(((-5*(-76.44--5))-(-5+((-5*-76.44)*(((-5--5)+(-76.44--5))+-76.44))))-(-5+-5)))*-5)))/-5)--5)+(-5*(((-76.44*(-76.44-(-5/-5)))*(-76.44-(-76.44/(-5*-76.44))))-(-5/-5)))))</f>
        <v>-2245155.1971199997</v>
      </c>
      <c r="C2357" t="n" s="0">
        <v>-2245155.1971199997</v>
      </c>
    </row>
    <row r="2358">
      <c r="A2358" t="n" s="0">
        <v>-76.43</v>
      </c>
      <c r="B2358" t="n" s="0">
        <f>(-5-((((-5*(-5/((-5/(((-5*(-76.43--5))-(-5+((-5*-76.43)*(((-5--5)+(-76.43--5))+-76.43))))-(-5+-5)))*-5)))/-5)--5)+(-5*(((-76.43*(-76.43-(-5/-5)))*(-76.43-(-76.43/(-5*-76.43))))-(-5/-5)))))</f>
        <v>-2244275.763335</v>
      </c>
      <c r="C2358" t="n" s="0">
        <v>-2244275.7633350007</v>
      </c>
    </row>
    <row r="2359">
      <c r="A2359" t="n" s="0">
        <v>-76.42</v>
      </c>
      <c r="B2359" t="n" s="0">
        <f>(-5-((((-5*(-5/((-5/(((-5*(-76.42--5))-(-5+((-5*-76.42)*(((-5--5)+(-76.42--5))+-76.42))))-(-5+-5)))*-5)))/-5)--5)+(-5*(((-76.42*(-76.42-(-5/-5)))*(-76.42-(-76.42/(-5*-76.42))))-(-5/-5)))))</f>
        <v>-2243396.55924</v>
      </c>
      <c r="C2359" t="n" s="0">
        <v>-2243396.5592400003</v>
      </c>
    </row>
    <row r="2360">
      <c r="A2360" t="n" s="0">
        <v>-76.41</v>
      </c>
      <c r="B2360" t="n" s="0">
        <f>(-5-((((-5*(-5/((-5/(((-5*(-76.41--5))-(-5+((-5*-76.41)*(((-5--5)+(-76.41--5))+-76.41))))-(-5+-5)))*-5)))/-5)--5)+(-5*(((-76.41*(-76.41-(-5/-5)))*(-76.41-(-76.41/(-5*-76.41))))-(-5/-5)))))</f>
        <v>-2242517.584805</v>
      </c>
      <c r="C2360" t="n" s="0">
        <v>-2242517.5848049996</v>
      </c>
    </row>
    <row r="2361">
      <c r="A2361" t="n" s="0">
        <v>-76.4</v>
      </c>
      <c r="B2361" t="n" s="0">
        <f>(-5-((((-5*(-5/((-5/(((-5*(-76.4--5))-(-5+((-5*-76.4)*(((-5--5)+(-76.4--5))+-76.4))))-(-5+-5)))*-5)))/-5)--5)+(-5*(((-76.4*(-76.4-(-5/-5)))*(-76.4-(-76.4/(-5*-76.4))))-(-5/-5)))))</f>
        <v>-2241638.8400000003</v>
      </c>
      <c r="C2361" t="n" s="0">
        <v>-2241638.840000001</v>
      </c>
    </row>
    <row r="2362">
      <c r="A2362" t="n" s="0">
        <v>-76.39</v>
      </c>
      <c r="B2362" t="n" s="0">
        <f>(-5-((((-5*(-5/((-5/(((-5*(-76.39--5))-(-5+((-5*-76.39)*(((-5--5)+(-76.39--5))+-76.39))))-(-5+-5)))*-5)))/-5)--5)+(-5*(((-76.39*(-76.39-(-5/-5)))*(-76.39-(-76.39/(-5*-76.39))))-(-5/-5)))))</f>
        <v>-2240760.324795</v>
      </c>
      <c r="C2362" t="n" s="0">
        <v>-2240760.3247950003</v>
      </c>
    </row>
    <row r="2363">
      <c r="A2363" t="n" s="0">
        <v>-76.38</v>
      </c>
      <c r="B2363" t="n" s="0">
        <f>(-5-((((-5*(-5/((-5/(((-5*(-76.38--5))-(-5+((-5*-76.38)*(((-5--5)+(-76.38--5))+-76.38))))-(-5+-5)))*-5)))/-5)--5)+(-5*(((-76.38*(-76.38-(-5/-5)))*(-76.38-(-76.38/(-5*-76.38))))-(-5/-5)))))</f>
        <v>-2239882.0391599997</v>
      </c>
      <c r="C2363" t="n" s="0">
        <v>-2239882.0391599997</v>
      </c>
    </row>
    <row r="2364">
      <c r="A2364" t="n" s="0">
        <v>-76.37</v>
      </c>
      <c r="B2364" t="n" s="0">
        <f>(-5-((((-5*(-5/((-5/(((-5*(-76.37--5))-(-5+((-5*-76.37)*(((-5--5)+(-76.37--5))+-76.37))))-(-5+-5)))*-5)))/-5)--5)+(-5*(((-76.37*(-76.37-(-5/-5)))*(-76.37-(-76.37/(-5*-76.37))))-(-5/-5)))))</f>
        <v>-2239003.983065</v>
      </c>
      <c r="C2364" t="n" s="0">
        <v>-2239003.9830650003</v>
      </c>
    </row>
    <row r="2365">
      <c r="A2365" t="n" s="0">
        <v>-76.36</v>
      </c>
      <c r="B2365" t="n" s="0">
        <f>(-5-((((-5*(-5/((-5/(((-5*(-76.36--5))-(-5+((-5*-76.36)*(((-5--5)+(-76.36--5))+-76.36))))-(-5+-5)))*-5)))/-5)--5)+(-5*(((-76.36*(-76.36-(-5/-5)))*(-76.36-(-76.36/(-5*-76.36))))-(-5/-5)))))</f>
        <v>-2238126.15648</v>
      </c>
      <c r="C2365" t="n" s="0">
        <v>-2238126.15648</v>
      </c>
    </row>
    <row r="2366">
      <c r="A2366" t="n" s="0">
        <v>-76.35</v>
      </c>
      <c r="B2366" t="n" s="0">
        <f>(-5-((((-5*(-5/((-5/(((-5*(-76.35--5))-(-5+((-5*-76.35)*(((-5--5)+(-76.35--5))+-76.35))))-(-5+-5)))*-5)))/-5)--5)+(-5*(((-76.35*(-76.35-(-5/-5)))*(-76.35-(-76.35/(-5*-76.35))))-(-5/-5)))))</f>
        <v>-2237248.5593749997</v>
      </c>
      <c r="C2366" t="n" s="0">
        <v>-2237248.5593749993</v>
      </c>
    </row>
    <row r="2367">
      <c r="A2367" t="n" s="0">
        <v>-76.34</v>
      </c>
      <c r="B2367" t="n" s="0">
        <f>(-5-((((-5*(-5/((-5/(((-5*(-76.34--5))-(-5+((-5*-76.34)*(((-5--5)+(-76.34--5))+-76.34))))-(-5+-5)))*-5)))/-5)--5)+(-5*(((-76.34*(-76.34-(-5/-5)))*(-76.34-(-76.34/(-5*-76.34))))-(-5/-5)))))</f>
        <v>-2236371.19172</v>
      </c>
      <c r="C2367" t="n" s="0">
        <v>-2236371.1917200005</v>
      </c>
    </row>
    <row r="2368">
      <c r="A2368" t="n" s="0">
        <v>-76.33</v>
      </c>
      <c r="B2368" t="n" s="0">
        <f>(-5-((((-5*(-5/((-5/(((-5*(-76.33--5))-(-5+((-5*-76.33)*(((-5--5)+(-76.33--5))+-76.33))))-(-5+-5)))*-5)))/-5)--5)+(-5*(((-76.33*(-76.33-(-5/-5)))*(-76.33-(-76.33/(-5*-76.33))))-(-5/-5)))))</f>
        <v>-2235494.0534849996</v>
      </c>
      <c r="C2368" t="n" s="0">
        <v>-2235494.053485</v>
      </c>
    </row>
    <row r="2369">
      <c r="A2369" t="n" s="0">
        <v>-76.32</v>
      </c>
      <c r="B2369" t="n" s="0">
        <f>(-5-((((-5*(-5/((-5/(((-5*(-76.32--5))-(-5+((-5*-76.32)*(((-5--5)+(-76.32--5))+-76.32))))-(-5+-5)))*-5)))/-5)--5)+(-5*(((-76.32*(-76.32-(-5/-5)))*(-76.32-(-76.32/(-5*-76.32))))-(-5/-5)))))</f>
        <v>-2234617.14464</v>
      </c>
      <c r="C2369" t="n" s="0">
        <v>-2234617.1446399996</v>
      </c>
    </row>
    <row r="2370">
      <c r="A2370" t="n" s="0">
        <v>-76.31</v>
      </c>
      <c r="B2370" t="n" s="0">
        <f>(-5-((((-5*(-5/((-5/(((-5*(-76.31--5))-(-5+((-5*-76.31)*(((-5--5)+(-76.31--5))+-76.31))))-(-5+-5)))*-5)))/-5)--5)+(-5*(((-76.31*(-76.31-(-5/-5)))*(-76.31-(-76.31/(-5*-76.31))))-(-5/-5)))))</f>
        <v>-2233740.465155</v>
      </c>
      <c r="C2370" t="n" s="0">
        <v>-2233740.4651550003</v>
      </c>
    </row>
    <row r="2371">
      <c r="A2371" t="n" s="0">
        <v>-76.3</v>
      </c>
      <c r="B2371" t="n" s="0">
        <f>(-5-((((-5*(-5/((-5/(((-5*(-76.3--5))-(-5+((-5*-76.3)*(((-5--5)+(-76.3--5))+-76.3))))-(-5+-5)))*-5)))/-5)--5)+(-5*(((-76.3*(-76.3-(-5/-5)))*(-76.3-(-76.3/(-5*-76.3))))-(-5/-5)))))</f>
        <v>-2232864.0149999997</v>
      </c>
      <c r="C2371" t="n" s="0">
        <v>-2232864.014999999</v>
      </c>
    </row>
    <row r="2372">
      <c r="A2372" t="n" s="0">
        <v>-76.29</v>
      </c>
      <c r="B2372" t="n" s="0">
        <f>(-5-((((-5*(-5/((-5/(((-5*(-76.29--5))-(-5+((-5*-76.29)*(((-5--5)+(-76.29--5))+-76.29))))-(-5+-5)))*-5)))/-5)--5)+(-5*(((-76.29*(-76.29-(-5/-5)))*(-76.29-(-76.29/(-5*-76.29))))-(-5/-5)))))</f>
        <v>-2231987.7941449997</v>
      </c>
      <c r="C2372" t="n" s="0">
        <v>-2231987.7941450006</v>
      </c>
    </row>
    <row r="2373">
      <c r="A2373" t="n" s="0">
        <v>-76.28</v>
      </c>
      <c r="B2373" t="n" s="0">
        <f>(-5-((((-5*(-5/((-5/(((-5*(-76.28--5))-(-5+((-5*-76.28)*(((-5--5)+(-76.28--5))+-76.28))))-(-5+-5)))*-5)))/-5)--5)+(-5*(((-76.28*(-76.28-(-5/-5)))*(-76.28-(-76.28/(-5*-76.28))))-(-5/-5)))))</f>
        <v>-2231111.80256</v>
      </c>
      <c r="C2373" t="n" s="0">
        <v>-2231111.80256</v>
      </c>
    </row>
    <row r="2374">
      <c r="A2374" t="n" s="0">
        <v>-76.27</v>
      </c>
      <c r="B2374" t="n" s="0">
        <f>(-5-((((-5*(-5/((-5/(((-5*(-76.27--5))-(-5+((-5*-76.27)*(((-5--5)+(-76.27--5))+-76.27))))-(-5+-5)))*-5)))/-5)--5)+(-5*(((-76.27*(-76.27-(-5/-5)))*(-76.27-(-76.27/(-5*-76.27))))-(-5/-5)))))</f>
        <v>-2230236.040215</v>
      </c>
      <c r="C2374" t="n" s="0">
        <v>-2230236.040215</v>
      </c>
    </row>
    <row r="2375">
      <c r="A2375" t="n" s="0">
        <v>-76.26</v>
      </c>
      <c r="B2375" t="n" s="0">
        <f>(-5-((((-5*(-5/((-5/(((-5*(-76.26--5))-(-5+((-5*-76.26)*(((-5--5)+(-76.26--5))+-76.26))))-(-5+-5)))*-5)))/-5)--5)+(-5*(((-76.26*(-76.26-(-5/-5)))*(-76.26-(-76.26/(-5*-76.26))))-(-5/-5)))))</f>
        <v>-2229360.50708</v>
      </c>
      <c r="C2375" t="n" s="0">
        <v>-2229360.5070800004</v>
      </c>
    </row>
    <row r="2376">
      <c r="A2376" t="n" s="0">
        <v>-76.25</v>
      </c>
      <c r="B2376" t="n" s="0">
        <f>(-5-((((-5*(-5/((-5/(((-5*(-76.25--5))-(-5+((-5*-76.25)*(((-5--5)+(-76.25--5))+-76.25))))-(-5+-5)))*-5)))/-5)--5)+(-5*(((-76.25*(-76.25-(-5/-5)))*(-76.25-(-76.25/(-5*-76.25))))-(-5/-5)))))</f>
        <v>-2228485.203125</v>
      </c>
      <c r="C2376" t="n" s="0">
        <v>-2228485.203125</v>
      </c>
    </row>
    <row r="2377">
      <c r="A2377" t="n" s="0">
        <v>-76.24</v>
      </c>
      <c r="B2377" t="n" s="0">
        <f>(-5-((((-5*(-5/((-5/(((-5*(-76.24--5))-(-5+((-5*-76.24)*(((-5--5)+(-76.24--5))+-76.24))))-(-5+-5)))*-5)))/-5)--5)+(-5*(((-76.24*(-76.24-(-5/-5)))*(-76.24-(-76.24/(-5*-76.24))))-(-5/-5)))))</f>
        <v>-2227610.12832</v>
      </c>
      <c r="C2377" t="n" s="0">
        <v>-2227610.1283199997</v>
      </c>
    </row>
    <row r="2378">
      <c r="A2378" t="n" s="0">
        <v>-76.23</v>
      </c>
      <c r="B2378" t="n" s="0">
        <f>(-5-((((-5*(-5/((-5/(((-5*(-76.23--5))-(-5+((-5*-76.23)*(((-5--5)+(-76.23--5))+-76.23))))-(-5+-5)))*-5)))/-5)--5)+(-5*(((-76.23*(-76.23-(-5/-5)))*(-76.23-(-76.23/(-5*-76.23))))-(-5/-5)))))</f>
        <v>-2226735.282635</v>
      </c>
      <c r="C2378" t="n" s="0">
        <v>-2226735.2826350005</v>
      </c>
    </row>
    <row r="2379">
      <c r="A2379" t="n" s="0">
        <v>-76.22</v>
      </c>
      <c r="B2379" t="n" s="0">
        <f>(-5-((((-5*(-5/((-5/(((-5*(-76.22--5))-(-5+((-5*-76.22)*(((-5--5)+(-76.22--5))+-76.22))))-(-5+-5)))*-5)))/-5)--5)+(-5*(((-76.22*(-76.22-(-5/-5)))*(-76.22-(-76.22/(-5*-76.22))))-(-5/-5)))))</f>
        <v>-2225860.66604</v>
      </c>
      <c r="C2379" t="n" s="0">
        <v>-2225860.6660399996</v>
      </c>
    </row>
    <row r="2380">
      <c r="A2380" t="n" s="0">
        <v>-76.21</v>
      </c>
      <c r="B2380" t="n" s="0">
        <f>(-5-((((-5*(-5/((-5/(((-5*(-76.21--5))-(-5+((-5*-76.21)*(((-5--5)+(-76.21--5))+-76.21))))-(-5+-5)))*-5)))/-5)--5)+(-5*(((-76.21*(-76.21-(-5/-5)))*(-76.21-(-76.21/(-5*-76.21))))-(-5/-5)))))</f>
        <v>-2224986.278505</v>
      </c>
      <c r="C2380" t="n" s="0">
        <v>-2224986.2785049994</v>
      </c>
    </row>
    <row r="2381">
      <c r="A2381" t="n" s="0">
        <v>-76.2</v>
      </c>
      <c r="B2381" t="n" s="0">
        <f>(-5-((((-5*(-5/((-5/(((-5*(-76.2--5))-(-5+((-5*-76.2)*(((-5--5)+(-76.2--5))+-76.2))))-(-5+-5)))*-5)))/-5)--5)+(-5*(((-76.2*(-76.2-(-5/-5)))*(-76.2-(-76.2/(-5*-76.2))))-(-5/-5)))))</f>
        <v>-2224112.12</v>
      </c>
      <c r="C2381" t="n" s="0">
        <v>-2224112.12</v>
      </c>
    </row>
    <row r="2382">
      <c r="A2382" t="n" s="0">
        <v>-76.19</v>
      </c>
      <c r="B2382" t="n" s="0">
        <f>(-5-((((-5*(-5/((-5/(((-5*(-76.19--5))-(-5+((-5*-76.19)*(((-5--5)+(-76.19--5))+-76.19))))-(-5+-5)))*-5)))/-5)--5)+(-5*(((-76.19*(-76.19-(-5/-5)))*(-76.19-(-76.19/(-5*-76.19))))-(-5/-5)))))</f>
        <v>-2223238.190495</v>
      </c>
      <c r="C2382" t="n" s="0">
        <v>-2223238.1904949998</v>
      </c>
    </row>
    <row r="2383">
      <c r="A2383" t="n" s="0">
        <v>-76.18</v>
      </c>
      <c r="B2383" t="n" s="0">
        <f>(-5-((((-5*(-5/((-5/(((-5*(-76.18--5))-(-5+((-5*-76.18)*(((-5--5)+(-76.18--5))+-76.18))))-(-5+-5)))*-5)))/-5)--5)+(-5*(((-76.18*(-76.18-(-5/-5)))*(-76.18-(-76.18/(-5*-76.18))))-(-5/-5)))))</f>
        <v>-2222364.4899600004</v>
      </c>
      <c r="C2383" t="n" s="0">
        <v>-2222364.489960001</v>
      </c>
    </row>
    <row r="2384">
      <c r="A2384" t="n" s="0">
        <v>-76.17</v>
      </c>
      <c r="B2384" t="n" s="0">
        <f>(-5-((((-5*(-5/((-5/(((-5*(-76.17--5))-(-5+((-5*-76.17)*(((-5--5)+(-76.17--5))+-76.17))))-(-5+-5)))*-5)))/-5)--5)+(-5*(((-76.17*(-76.17-(-5/-5)))*(-76.17-(-76.17/(-5*-76.17))))-(-5/-5)))))</f>
        <v>-2221491.018365</v>
      </c>
      <c r="C2384" t="n" s="0">
        <v>-2221491.018365</v>
      </c>
    </row>
    <row r="2385">
      <c r="A2385" t="n" s="0">
        <v>-76.16</v>
      </c>
      <c r="B2385" t="n" s="0">
        <f>(-5-((((-5*(-5/((-5/(((-5*(-76.16--5))-(-5+((-5*-76.16)*(((-5--5)+(-76.16--5))+-76.16))))-(-5+-5)))*-5)))/-5)--5)+(-5*(((-76.16*(-76.16-(-5/-5)))*(-76.16-(-76.16/(-5*-76.16))))-(-5/-5)))))</f>
        <v>-2220617.77568</v>
      </c>
      <c r="C2385" t="n" s="0">
        <v>-2220617.7756799995</v>
      </c>
    </row>
    <row r="2386">
      <c r="A2386" t="n" s="0">
        <v>-76.15</v>
      </c>
      <c r="B2386" t="n" s="0">
        <f>(-5-((((-5*(-5/((-5/(((-5*(-76.15--5))-(-5+((-5*-76.15)*(((-5--5)+(-76.15--5))+-76.15))))-(-5+-5)))*-5)))/-5)--5)+(-5*(((-76.15*(-76.15-(-5/-5)))*(-76.15-(-76.15/(-5*-76.15))))-(-5/-5)))))</f>
        <v>-2219744.761875</v>
      </c>
      <c r="C2386" t="n" s="0">
        <v>-2219744.761875001</v>
      </c>
    </row>
    <row r="2387">
      <c r="A2387" t="n" s="0">
        <v>-76.14</v>
      </c>
      <c r="B2387" t="n" s="0">
        <f>(-5-((((-5*(-5/((-5/(((-5*(-76.14--5))-(-5+((-5*-76.14)*(((-5--5)+(-76.14--5))+-76.14))))-(-5+-5)))*-5)))/-5)--5)+(-5*(((-76.14*(-76.14-(-5/-5)))*(-76.14-(-76.14/(-5*-76.14))))-(-5/-5)))))</f>
        <v>-2218871.97692</v>
      </c>
      <c r="C2387" t="n" s="0">
        <v>-2218871.9769200003</v>
      </c>
    </row>
    <row r="2388">
      <c r="A2388" t="n" s="0">
        <v>-76.13</v>
      </c>
      <c r="B2388" t="n" s="0">
        <f>(-5-((((-5*(-5/((-5/(((-5*(-76.13--5))-(-5+((-5*-76.13)*(((-5--5)+(-76.13--5))+-76.13))))-(-5+-5)))*-5)))/-5)--5)+(-5*(((-76.13*(-76.13-(-5/-5)))*(-76.13-(-76.13/(-5*-76.13))))-(-5/-5)))))</f>
        <v>-2217999.420785</v>
      </c>
      <c r="C2388" t="n" s="0">
        <v>-2217999.4207849996</v>
      </c>
    </row>
    <row r="2389">
      <c r="A2389" t="n" s="0">
        <v>-76.12</v>
      </c>
      <c r="B2389" t="n" s="0">
        <f>(-5-((((-5*(-5/((-5/(((-5*(-76.12--5))-(-5+((-5*-76.12)*(((-5--5)+(-76.12--5))+-76.12))))-(-5+-5)))*-5)))/-5)--5)+(-5*(((-76.12*(-76.12-(-5/-5)))*(-76.12-(-76.12/(-5*-76.12))))-(-5/-5)))))</f>
        <v>-2217127.09344</v>
      </c>
      <c r="C2389" t="n" s="0">
        <v>-2217127.09344</v>
      </c>
    </row>
    <row r="2390">
      <c r="A2390" t="n" s="0">
        <v>-76.11</v>
      </c>
      <c r="B2390" t="n" s="0">
        <f>(-5-((((-5*(-5/((-5/(((-5*(-76.11--5))-(-5+((-5*-76.11)*(((-5--5)+(-76.11--5))+-76.11))))-(-5+-5)))*-5)))/-5)--5)+(-5*(((-76.11*(-76.11-(-5/-5)))*(-76.11-(-76.11/(-5*-76.11))))-(-5/-5)))))</f>
        <v>-2216254.994855</v>
      </c>
      <c r="C2390" t="n" s="0">
        <v>-2216254.9948549997</v>
      </c>
    </row>
    <row r="2391">
      <c r="A2391" t="n" s="0">
        <v>-76.1</v>
      </c>
      <c r="B2391" t="n" s="0">
        <f>(-5-((((-5*(-5/((-5/(((-5*(-76.1--5))-(-5+((-5*-76.1)*(((-5--5)+(-76.1--5))+-76.1))))-(-5+-5)))*-5)))/-5)--5)+(-5*(((-76.1*(-76.1-(-5/-5)))*(-76.1-(-76.1/(-5*-76.1))))-(-5/-5)))))</f>
        <v>-2215383.125</v>
      </c>
      <c r="C2391" t="n" s="0">
        <v>-2215383.124999999</v>
      </c>
    </row>
    <row r="2392">
      <c r="A2392" t="n" s="0">
        <v>-76.09</v>
      </c>
      <c r="B2392" t="n" s="0">
        <f>(-5-((((-5*(-5/((-5/(((-5*(-76.09--5))-(-5+((-5*-76.09)*(((-5--5)+(-76.09--5))+-76.09))))-(-5+-5)))*-5)))/-5)--5)+(-5*(((-76.09*(-76.09-(-5/-5)))*(-76.09-(-76.09/(-5*-76.09))))-(-5/-5)))))</f>
        <v>-2214511.483845</v>
      </c>
      <c r="C2392" t="n" s="0">
        <v>-2214511.483845</v>
      </c>
    </row>
    <row r="2393">
      <c r="A2393" t="n" s="0">
        <v>-76.08</v>
      </c>
      <c r="B2393" t="n" s="0">
        <f>(-5-((((-5*(-5/((-5/(((-5*(-76.08--5))-(-5+((-5*-76.08)*(((-5--5)+(-76.08--5))+-76.08))))-(-5+-5)))*-5)))/-5)--5)+(-5*(((-76.08*(-76.08-(-5/-5)))*(-76.08-(-76.08/(-5*-76.08))))-(-5/-5)))))</f>
        <v>-2213640.07136</v>
      </c>
      <c r="C2393" t="n" s="0">
        <v>-2213640.07136</v>
      </c>
    </row>
    <row r="2394">
      <c r="A2394" t="n" s="0">
        <v>-76.07</v>
      </c>
      <c r="B2394" t="n" s="0">
        <f>(-5-((((-5*(-5/((-5/(((-5*(-76.07--5))-(-5+((-5*-76.07)*(((-5--5)+(-76.07--5))+-76.07))))-(-5+-5)))*-5)))/-5)--5)+(-5*(((-76.07*(-76.07-(-5/-5)))*(-76.07-(-76.07/(-5*-76.07))))-(-5/-5)))))</f>
        <v>-2212768.887515</v>
      </c>
      <c r="C2394" t="n" s="0">
        <v>-2212768.887514999</v>
      </c>
    </row>
    <row r="2395">
      <c r="A2395" t="n" s="0">
        <v>-76.06</v>
      </c>
      <c r="B2395" t="n" s="0">
        <f>(-5-((((-5*(-5/((-5/(((-5*(-76.06--5))-(-5+((-5*-76.06)*(((-5--5)+(-76.06--5))+-76.06))))-(-5+-5)))*-5)))/-5)--5)+(-5*(((-76.06*(-76.06-(-5/-5)))*(-76.06-(-76.06/(-5*-76.06))))-(-5/-5)))))</f>
        <v>-2211897.9322800003</v>
      </c>
      <c r="C2395" t="n" s="0">
        <v>-2211897.9322800008</v>
      </c>
    </row>
    <row r="2396">
      <c r="A2396" t="n" s="0">
        <v>-76.05</v>
      </c>
      <c r="B2396" t="n" s="0">
        <f>(-5-((((-5*(-5/((-5/(((-5*(-76.05--5))-(-5+((-5*-76.05)*(((-5--5)+(-76.05--5))+-76.05))))-(-5+-5)))*-5)))/-5)--5)+(-5*(((-76.05*(-76.05-(-5/-5)))*(-76.05-(-76.05/(-5*-76.05))))-(-5/-5)))))</f>
        <v>-2211027.205625</v>
      </c>
      <c r="C2396" t="n" s="0">
        <v>-2211027.2056249995</v>
      </c>
    </row>
    <row r="2397">
      <c r="A2397" t="n" s="0">
        <v>-76.04</v>
      </c>
      <c r="B2397" t="n" s="0">
        <f>(-5-((((-5*(-5/((-5/(((-5*(-76.04--5))-(-5+((-5*-76.04)*(((-5--5)+(-76.04--5))+-76.04))))-(-5+-5)))*-5)))/-5)--5)+(-5*(((-76.04*(-76.04-(-5/-5)))*(-76.04-(-76.04/(-5*-76.04))))-(-5/-5)))))</f>
        <v>-2210156.7075199997</v>
      </c>
      <c r="C2397" t="n" s="0">
        <v>-2210156.7075200006</v>
      </c>
    </row>
    <row r="2398">
      <c r="A2398" t="n" s="0">
        <v>-76.03</v>
      </c>
      <c r="B2398" t="n" s="0">
        <f>(-5-((((-5*(-5/((-5/(((-5*(-76.03--5))-(-5+((-5*-76.03)*(((-5--5)+(-76.03--5))+-76.03))))-(-5+-5)))*-5)))/-5)--5)+(-5*(((-76.03*(-76.03-(-5/-5)))*(-76.03-(-76.03/(-5*-76.03))))-(-5/-5)))))</f>
        <v>-2209286.437935</v>
      </c>
      <c r="C2398" t="n" s="0">
        <v>-2209286.437935</v>
      </c>
    </row>
    <row r="2399">
      <c r="A2399" t="n" s="0">
        <v>-76.02</v>
      </c>
      <c r="B2399" t="n" s="0">
        <f>(-5-((((-5*(-5/((-5/(((-5*(-76.02--5))-(-5+((-5*-76.02)*(((-5--5)+(-76.02--5))+-76.02))))-(-5+-5)))*-5)))/-5)--5)+(-5*(((-76.02*(-76.02-(-5/-5)))*(-76.02-(-76.02/(-5*-76.02))))-(-5/-5)))))</f>
        <v>-2208416.39684</v>
      </c>
      <c r="C2399" t="n" s="0">
        <v>-2208416.3968399996</v>
      </c>
    </row>
    <row r="2400">
      <c r="A2400" t="n" s="0">
        <v>-76.01</v>
      </c>
      <c r="B2400" t="n" s="0">
        <f>(-5-((((-5*(-5/((-5/(((-5*(-76.01--5))-(-5+((-5*-76.01)*(((-5--5)+(-76.01--5))+-76.01))))-(-5+-5)))*-5)))/-5)--5)+(-5*(((-76.01*(-76.01-(-5/-5)))*(-76.01-(-76.01/(-5*-76.01))))-(-5/-5)))))</f>
        <v>-2207546.5842049997</v>
      </c>
      <c r="C2400" t="n" s="0">
        <v>-2207546.584205</v>
      </c>
    </row>
    <row r="2401">
      <c r="A2401" t="n" s="0">
        <v>-76.0</v>
      </c>
      <c r="B2401" t="n" s="0">
        <f>(-5-((((-5*(-5/((-5/(((-5*(-76--5))-(-5+((-5*-76)*(((-5--5)+(-76--5))+-76))))-(-5+-5)))*-5)))/-5)--5)+(-5*(((-76*(-76-(-5/-5)))*(-76-(-76/(-5*-76))))-(-5/-5)))))</f>
        <v>-2206677.0</v>
      </c>
      <c r="C2401" t="n" s="0">
        <v>-2206677.0</v>
      </c>
    </row>
    <row r="2402">
      <c r="A2402" t="n" s="0">
        <v>-75.99</v>
      </c>
      <c r="B2402" t="n" s="0">
        <f>(-5-((((-5*(-5/((-5/(((-5*(-75.99--5))-(-5+((-5*-75.99)*(((-5--5)+(-75.99--5))+-75.99))))-(-5+-5)))*-5)))/-5)--5)+(-5*(((-75.99*(-75.99-(-5/-5)))*(-75.99-(-75.99/(-5*-75.99))))-(-5/-5)))))</f>
        <v>-2205807.6441949997</v>
      </c>
      <c r="C2402" t="n" s="0">
        <v>-2205807.6441949997</v>
      </c>
    </row>
    <row r="2403">
      <c r="A2403" t="n" s="0">
        <v>-75.98</v>
      </c>
      <c r="B2403" t="n" s="0">
        <f>(-5-((((-5*(-5/((-5/(((-5*(-75.98--5))-(-5+((-5*-75.98)*(((-5--5)+(-75.98--5))+-75.98))))-(-5+-5)))*-5)))/-5)--5)+(-5*(((-75.98*(-75.98-(-5/-5)))*(-75.98-(-75.98/(-5*-75.98))))-(-5/-5)))))</f>
        <v>-2204938.51676</v>
      </c>
      <c r="C2403" t="n" s="0">
        <v>-2204938.5167600005</v>
      </c>
    </row>
    <row r="2404">
      <c r="A2404" t="n" s="0">
        <v>-75.97</v>
      </c>
      <c r="B2404" t="n" s="0">
        <f>(-5-((((-5*(-5/((-5/(((-5*(-75.97--5))-(-5+((-5*-75.97)*(((-5--5)+(-75.97--5))+-75.97))))-(-5+-5)))*-5)))/-5)--5)+(-5*(((-75.97*(-75.97-(-5/-5)))*(-75.97-(-75.97/(-5*-75.97))))-(-5/-5)))))</f>
        <v>-2204069.617665</v>
      </c>
      <c r="C2404" t="n" s="0">
        <v>-2204069.6176650003</v>
      </c>
    </row>
    <row r="2405">
      <c r="A2405" t="n" s="0">
        <v>-75.96</v>
      </c>
      <c r="B2405" t="n" s="0">
        <f>(-5-((((-5*(-5/((-5/(((-5*(-75.96--5))-(-5+((-5*-75.96)*(((-5--5)+(-75.96--5))+-75.96))))-(-5+-5)))*-5)))/-5)--5)+(-5*(((-75.96*(-75.96-(-5/-5)))*(-75.96-(-75.96/(-5*-75.96))))-(-5/-5)))))</f>
        <v>-2203200.9468799997</v>
      </c>
      <c r="C2405" t="n" s="0">
        <v>-2203200.9468799992</v>
      </c>
    </row>
    <row r="2406">
      <c r="A2406" t="n" s="0">
        <v>-75.95</v>
      </c>
      <c r="B2406" t="n" s="0">
        <f>(-5-((((-5*(-5/((-5/(((-5*(-75.95--5))-(-5+((-5*-75.95)*(((-5--5)+(-75.95--5))+-75.95))))-(-5+-5)))*-5)))/-5)--5)+(-5*(((-75.95*(-75.95-(-5/-5)))*(-75.95-(-75.95/(-5*-75.95))))-(-5/-5)))))</f>
        <v>-2202332.504375</v>
      </c>
      <c r="C2406" t="n" s="0">
        <v>-2202332.5043750005</v>
      </c>
    </row>
    <row r="2407">
      <c r="A2407" t="n" s="0">
        <v>-75.94</v>
      </c>
      <c r="B2407" t="n" s="0">
        <f>(-5-((((-5*(-5/((-5/(((-5*(-75.94--5))-(-5+((-5*-75.94)*(((-5--5)+(-75.94--5))+-75.94))))-(-5+-5)))*-5)))/-5)--5)+(-5*(((-75.94*(-75.94-(-5/-5)))*(-75.94-(-75.94/(-5*-75.94))))-(-5/-5)))))</f>
        <v>-2201464.29012</v>
      </c>
      <c r="C2407" t="n" s="0">
        <v>-2201464.29012</v>
      </c>
    </row>
    <row r="2408">
      <c r="A2408" t="n" s="0">
        <v>-75.93</v>
      </c>
      <c r="B2408" t="n" s="0">
        <f>(-5-((((-5*(-5/((-5/(((-5*(-75.93--5))-(-5+((-5*-75.93)*(((-5--5)+(-75.93--5))+-75.93))))-(-5+-5)))*-5)))/-5)--5)+(-5*(((-75.93*(-75.93-(-5/-5)))*(-75.93-(-75.93/(-5*-75.93))))-(-5/-5)))))</f>
        <v>-2200596.304085</v>
      </c>
      <c r="C2408" t="n" s="0">
        <v>-2200596.3040850004</v>
      </c>
    </row>
    <row r="2409">
      <c r="A2409" t="n" s="0">
        <v>-75.92</v>
      </c>
      <c r="B2409" t="n" s="0">
        <f>(-5-((((-5*(-5/((-5/(((-5*(-75.92--5))-(-5+((-5*-75.92)*(((-5--5)+(-75.92--5))+-75.92))))-(-5+-5)))*-5)))/-5)--5)+(-5*(((-75.92*(-75.92-(-5/-5)))*(-75.92-(-75.92/(-5*-75.92))))-(-5/-5)))))</f>
        <v>-2199728.54624</v>
      </c>
      <c r="C2409" t="n" s="0">
        <v>-2199728.54624</v>
      </c>
    </row>
    <row r="2410">
      <c r="A2410" t="n" s="0">
        <v>-75.91</v>
      </c>
      <c r="B2410" t="n" s="0">
        <f>(-5-((((-5*(-5/((-5/(((-5*(-75.91--5))-(-5+((-5*-75.91)*(((-5--5)+(-75.91--5))+-75.91))))-(-5+-5)))*-5)))/-5)--5)+(-5*(((-75.91*(-75.91-(-5/-5)))*(-75.91-(-75.91/(-5*-75.91))))-(-5/-5)))))</f>
        <v>-2198861.016555</v>
      </c>
      <c r="C2410" t="n" s="0">
        <v>-2198861.0165549996</v>
      </c>
    </row>
    <row r="2411">
      <c r="A2411" t="n" s="0">
        <v>-75.9</v>
      </c>
      <c r="B2411" t="n" s="0">
        <f>(-5-((((-5*(-5/((-5/(((-5*(-75.9--5))-(-5+((-5*-75.9)*(((-5--5)+(-75.9--5))+-75.9))))-(-5+-5)))*-5)))/-5)--5)+(-5*(((-75.9*(-75.9-(-5/-5)))*(-75.9-(-75.9/(-5*-75.9))))-(-5/-5)))))</f>
        <v>-2197993.715</v>
      </c>
      <c r="C2411" t="n" s="0">
        <v>-2197993.715000001</v>
      </c>
    </row>
    <row r="2412">
      <c r="A2412" t="n" s="0">
        <v>-75.89</v>
      </c>
      <c r="B2412" t="n" s="0">
        <f>(-5-((((-5*(-5/((-5/(((-5*(-75.89--5))-(-5+((-5*-75.89)*(((-5--5)+(-75.89--5))+-75.89))))-(-5+-5)))*-5)))/-5)--5)+(-5*(((-75.89*(-75.89-(-5/-5)))*(-75.89-(-75.89/(-5*-75.89))))-(-5/-5)))))</f>
        <v>-2197126.641545</v>
      </c>
      <c r="C2412" t="n" s="0">
        <v>-2197126.641545</v>
      </c>
    </row>
    <row r="2413">
      <c r="A2413" t="n" s="0">
        <v>-75.88</v>
      </c>
      <c r="B2413" t="n" s="0">
        <f>(-5-((((-5*(-5/((-5/(((-5*(-75.88--5))-(-5+((-5*-75.88)*(((-5--5)+(-75.88--5))+-75.88))))-(-5+-5)))*-5)))/-5)--5)+(-5*(((-75.88*(-75.88-(-5/-5)))*(-75.88-(-75.88/(-5*-75.88))))-(-5/-5)))))</f>
        <v>-2196259.79616</v>
      </c>
      <c r="C2413" t="n" s="0">
        <v>-2196259.7961599994</v>
      </c>
    </row>
    <row r="2414">
      <c r="A2414" t="n" s="0">
        <v>-75.87</v>
      </c>
      <c r="B2414" t="n" s="0">
        <f>(-5-((((-5*(-5/((-5/(((-5*(-75.87--5))-(-5+((-5*-75.87)*(((-5--5)+(-75.87--5))+-75.87))))-(-5+-5)))*-5)))/-5)--5)+(-5*(((-75.87*(-75.87-(-5/-5)))*(-75.87-(-75.87/(-5*-75.87))))-(-5/-5)))))</f>
        <v>-2195393.178815</v>
      </c>
      <c r="C2414" t="n" s="0">
        <v>-2195393.178815</v>
      </c>
    </row>
    <row r="2415">
      <c r="A2415" t="n" s="0">
        <v>-75.86</v>
      </c>
      <c r="B2415" t="n" s="0">
        <f>(-5-((((-5*(-5/((-5/(((-5*(-75.86--5))-(-5+((-5*-75.86)*(((-5--5)+(-75.86--5))+-75.86))))-(-5+-5)))*-5)))/-5)--5)+(-5*(((-75.86*(-75.86-(-5/-5)))*(-75.86-(-75.86/(-5*-75.86))))-(-5/-5)))))</f>
        <v>-2194526.78948</v>
      </c>
      <c r="C2415" t="n" s="0">
        <v>-2194526.78948</v>
      </c>
    </row>
    <row r="2416">
      <c r="A2416" t="n" s="0">
        <v>-75.85</v>
      </c>
      <c r="B2416" t="n" s="0">
        <f>(-5-((((-5*(-5/((-5/(((-5*(-75.85--5))-(-5+((-5*-75.85)*(((-5--5)+(-75.85--5))+-75.85))))-(-5+-5)))*-5)))/-5)--5)+(-5*(((-75.85*(-75.85-(-5/-5)))*(-75.85-(-75.85/(-5*-75.85))))-(-5/-5)))))</f>
        <v>-2193660.6281250003</v>
      </c>
      <c r="C2416" t="n" s="0">
        <v>-2193660.6281249993</v>
      </c>
    </row>
    <row r="2417">
      <c r="A2417" t="n" s="0">
        <v>-75.84</v>
      </c>
      <c r="B2417" t="n" s="0">
        <f>(-5-((((-5*(-5/((-5/(((-5*(-75.84--5))-(-5+((-5*-75.84)*(((-5--5)+(-75.84--5))+-75.84))))-(-5+-5)))*-5)))/-5)--5)+(-5*(((-75.84*(-75.84-(-5/-5)))*(-75.84-(-75.84/(-5*-75.84))))-(-5/-5)))))</f>
        <v>-2192794.69472</v>
      </c>
      <c r="C2417" t="n" s="0">
        <v>-2192794.6947200005</v>
      </c>
    </row>
    <row r="2418">
      <c r="A2418" t="n" s="0">
        <v>-75.83</v>
      </c>
      <c r="B2418" t="n" s="0">
        <f>(-5-((((-5*(-5/((-5/(((-5*(-75.83--5))-(-5+((-5*-75.83)*(((-5--5)+(-75.83--5))+-75.83))))-(-5+-5)))*-5)))/-5)--5)+(-5*(((-75.83*(-75.83-(-5/-5)))*(-75.83-(-75.83/(-5*-75.83))))-(-5/-5)))))</f>
        <v>-2191928.9892349998</v>
      </c>
      <c r="C2418" t="n" s="0">
        <v>-2191928.989235</v>
      </c>
    </row>
    <row r="2419">
      <c r="A2419" t="n" s="0">
        <v>-75.82</v>
      </c>
      <c r="B2419" t="n" s="0">
        <f>(-5-((((-5*(-5/((-5/(((-5*(-75.82--5))-(-5+((-5*-75.82)*(((-5--5)+(-75.82--5))+-75.82))))-(-5+-5)))*-5)))/-5)--5)+(-5*(((-75.82*(-75.82-(-5/-5)))*(-75.82-(-75.82/(-5*-75.82))))-(-5/-5)))))</f>
        <v>-2191063.51164</v>
      </c>
      <c r="C2419" t="n" s="0">
        <v>-2191063.5116399997</v>
      </c>
    </row>
    <row r="2420">
      <c r="A2420" t="n" s="0">
        <v>-75.81</v>
      </c>
      <c r="B2420" t="n" s="0">
        <f>(-5-((((-5*(-5/((-5/(((-5*(-75.81--5))-(-5+((-5*-75.81)*(((-5--5)+(-75.81--5))+-75.81))))-(-5+-5)))*-5)))/-5)--5)+(-5*(((-75.81*(-75.81-(-5/-5)))*(-75.81-(-75.81/(-5*-75.81))))-(-5/-5)))))</f>
        <v>-2190198.261905</v>
      </c>
      <c r="C2420" t="n" s="0">
        <v>-2190198.2619050005</v>
      </c>
    </row>
    <row r="2421">
      <c r="A2421" t="n" s="0">
        <v>-75.8</v>
      </c>
      <c r="B2421" t="n" s="0">
        <f>(-5-((((-5*(-5/((-5/(((-5*(-75.8--5))-(-5+((-5*-75.8)*(((-5--5)+(-75.8--5))+-75.8))))-(-5+-5)))*-5)))/-5)--5)+(-5*(((-75.8*(-75.8-(-5/-5)))*(-75.8-(-75.8/(-5*-75.8))))-(-5/-5)))))</f>
        <v>-2189333.2399999998</v>
      </c>
      <c r="C2421" t="n" s="0">
        <v>-2189333.2399999993</v>
      </c>
    </row>
    <row r="2422">
      <c r="A2422" t="n" s="0">
        <v>-75.79</v>
      </c>
      <c r="B2422" t="n" s="0">
        <f>(-5-((((-5*(-5/((-5/(((-5*(-75.79--5))-(-5+((-5*-75.79)*(((-5--5)+(-75.79--5))+-75.79))))-(-5+-5)))*-5)))/-5)--5)+(-5*(((-75.79*(-75.79-(-5/-5)))*(-75.79-(-75.79/(-5*-75.79))))-(-5/-5)))))</f>
        <v>-2188468.445895</v>
      </c>
      <c r="C2422" t="n" s="0">
        <v>-2188468.4458950004</v>
      </c>
    </row>
    <row r="2423">
      <c r="A2423" t="n" s="0">
        <v>-75.78</v>
      </c>
      <c r="B2423" t="n" s="0">
        <f>(-5-((((-5*(-5/((-5/(((-5*(-75.78--5))-(-5+((-5*-75.78)*(((-5--5)+(-75.78--5))+-75.78))))-(-5+-5)))*-5)))/-5)--5)+(-5*(((-75.78*(-75.78-(-5/-5)))*(-75.78-(-75.78/(-5*-75.78))))-(-5/-5)))))</f>
        <v>-2187603.8795600003</v>
      </c>
      <c r="C2423" t="n" s="0">
        <v>-2187603.87956</v>
      </c>
    </row>
    <row r="2424">
      <c r="A2424" t="n" s="0">
        <v>-75.77</v>
      </c>
      <c r="B2424" t="n" s="0">
        <f>(-5-((((-5*(-5/((-5/(((-5*(-75.77--5))-(-5+((-5*-75.77)*(((-5--5)+(-75.77--5))+-75.77))))-(-5+-5)))*-5)))/-5)--5)+(-5*(((-75.77*(-75.77-(-5/-5)))*(-75.77-(-75.77/(-5*-75.77))))-(-5/-5)))))</f>
        <v>-2186739.540965</v>
      </c>
      <c r="C2424" t="n" s="0">
        <v>-2186739.5409649997</v>
      </c>
    </row>
    <row r="2425">
      <c r="A2425" t="n" s="0">
        <v>-75.76</v>
      </c>
      <c r="B2425" t="n" s="0">
        <f>(-5-((((-5*(-5/((-5/(((-5*(-75.76--5))-(-5+((-5*-75.76)*(((-5--5)+(-75.76--5))+-75.76))))-(-5+-5)))*-5)))/-5)--5)+(-5*(((-75.76*(-75.76-(-5/-5)))*(-75.76-(-75.76/(-5*-75.76))))-(-5/-5)))))</f>
        <v>-2185875.4300800003</v>
      </c>
      <c r="C2425" t="n" s="0">
        <v>-2185875.4300800003</v>
      </c>
    </row>
    <row r="2426">
      <c r="A2426" t="n" s="0">
        <v>-75.75</v>
      </c>
      <c r="B2426" t="n" s="0">
        <f>(-5-((((-5*(-5/((-5/(((-5*(-75.75--5))-(-5+((-5*-75.75)*(((-5--5)+(-75.75--5))+-75.75))))-(-5+-5)))*-5)))/-5)--5)+(-5*(((-75.75*(-75.75-(-5/-5)))*(-75.75-(-75.75/(-5*-75.75))))-(-5/-5)))))</f>
        <v>-2185011.546875</v>
      </c>
      <c r="C2426" t="n" s="0">
        <v>-2185011.546875</v>
      </c>
    </row>
    <row r="2427">
      <c r="A2427" t="n" s="0">
        <v>-75.74</v>
      </c>
      <c r="B2427" t="n" s="0">
        <f>(-5-((((-5*(-5/((-5/(((-5*(-75.74--5))-(-5+((-5*-75.74)*(((-5--5)+(-75.74--5))+-75.74))))-(-5+-5)))*-5)))/-5)--5)+(-5*(((-75.74*(-75.74-(-5/-5)))*(-75.74-(-75.74/(-5*-75.74))))-(-5/-5)))))</f>
        <v>-2184147.89132</v>
      </c>
      <c r="C2427" t="n" s="0">
        <v>-2184147.8913199995</v>
      </c>
    </row>
    <row r="2428">
      <c r="A2428" t="n" s="0">
        <v>-75.73</v>
      </c>
      <c r="B2428" t="n" s="0">
        <f>(-5-((((-5*(-5/((-5/(((-5*(-75.73--5))-(-5+((-5*-75.73)*(((-5--5)+(-75.73--5))+-75.73))))-(-5+-5)))*-5)))/-5)--5)+(-5*(((-75.73*(-75.73-(-5/-5)))*(-75.73-(-75.73/(-5*-75.73))))-(-5/-5)))))</f>
        <v>-2183284.463385</v>
      </c>
      <c r="C2428" t="n" s="0">
        <v>-2183284.4633850004</v>
      </c>
    </row>
    <row r="2429">
      <c r="A2429" t="n" s="0">
        <v>-75.72</v>
      </c>
      <c r="B2429" t="n" s="0">
        <f>(-5-((((-5*(-5/((-5/(((-5*(-75.72--5))-(-5+((-5*-75.72)*(((-5--5)+(-75.72--5))+-75.72))))-(-5+-5)))*-5)))/-5)--5)+(-5*(((-75.72*(-75.72-(-5/-5)))*(-75.72-(-75.72/(-5*-75.72))))-(-5/-5)))))</f>
        <v>-2182421.26304</v>
      </c>
      <c r="C2429" t="n" s="0">
        <v>-2182421.26304</v>
      </c>
    </row>
    <row r="2430">
      <c r="A2430" t="n" s="0">
        <v>-75.71</v>
      </c>
      <c r="B2430" t="n" s="0">
        <f>(-5-((((-5*(-5/((-5/(((-5*(-75.71--5))-(-5+((-5*-75.71)*(((-5--5)+(-75.71--5))+-75.71))))-(-5+-5)))*-5)))/-5)--5)+(-5*(((-75.71*(-75.71-(-5/-5)))*(-75.71-(-75.71/(-5*-75.71))))-(-5/-5)))))</f>
        <v>-2181558.290255</v>
      </c>
      <c r="C2430" t="n" s="0">
        <v>-2181558.2902549994</v>
      </c>
    </row>
    <row r="2431">
      <c r="A2431" t="n" s="0">
        <v>-75.7</v>
      </c>
      <c r="B2431" t="n" s="0">
        <f>(-5-((((-5*(-5/((-5/(((-5*(-75.7--5))-(-5+((-5*-75.7)*(((-5--5)+(-75.7--5))+-75.7))))-(-5+-5)))*-5)))/-5)--5)+(-5*(((-75.7*(-75.7-(-5/-5)))*(-75.7-(-75.7/(-5*-75.7))))-(-5/-5)))))</f>
        <v>-2180695.545</v>
      </c>
      <c r="C2431" t="n" s="0">
        <v>-2180695.5450000004</v>
      </c>
    </row>
    <row r="2432">
      <c r="A2432" t="n" s="0">
        <v>-75.69</v>
      </c>
      <c r="B2432" t="n" s="0">
        <f>(-5-((((-5*(-5/((-5/(((-5*(-75.69--5))-(-5+((-5*-75.69)*(((-5--5)+(-75.69--5))+-75.69))))-(-5+-5)))*-5)))/-5)--5)+(-5*(((-75.69*(-75.69-(-5/-5)))*(-75.69-(-75.69/(-5*-75.69))))-(-5/-5)))))</f>
        <v>-2179833.027245</v>
      </c>
      <c r="C2432" t="n" s="0">
        <v>-2179833.0272449995</v>
      </c>
    </row>
    <row r="2433">
      <c r="A2433" t="n" s="0">
        <v>-75.68</v>
      </c>
      <c r="B2433" t="n" s="0">
        <f>(-5-((((-5*(-5/((-5/(((-5*(-75.68--5))-(-5+((-5*-75.68)*(((-5--5)+(-75.68--5))+-75.68))))-(-5+-5)))*-5)))/-5)--5)+(-5*(((-75.68*(-75.68-(-5/-5)))*(-75.68-(-75.68/(-5*-75.68))))-(-5/-5)))))</f>
        <v>-2178970.73696</v>
      </c>
      <c r="C2433" t="n" s="0">
        <v>-2178970.736960001</v>
      </c>
    </row>
    <row r="2434">
      <c r="A2434" t="n" s="0">
        <v>-75.67</v>
      </c>
      <c r="B2434" t="n" s="0">
        <f>(-5-((((-5*(-5/((-5/(((-5*(-75.67--5))-(-5+((-5*-75.67)*(((-5--5)+(-75.67--5))+-75.67))))-(-5+-5)))*-5)))/-5)--5)+(-5*(((-75.67*(-75.67-(-5/-5)))*(-75.67-(-75.67/(-5*-75.67))))-(-5/-5)))))</f>
        <v>-2178108.674115</v>
      </c>
      <c r="C2434" t="n" s="0">
        <v>-2178108.674115</v>
      </c>
    </row>
    <row r="2435">
      <c r="A2435" t="n" s="0">
        <v>-75.66</v>
      </c>
      <c r="B2435" t="n" s="0">
        <f>(-5-((((-5*(-5/((-5/(((-5*(-75.66--5))-(-5+((-5*-75.66)*(((-5--5)+(-75.66--5))+-75.66))))-(-5+-5)))*-5)))/-5)--5)+(-5*(((-75.66*(-75.66-(-5/-5)))*(-75.66-(-75.66/(-5*-75.66))))-(-5/-5)))))</f>
        <v>-2177246.83868</v>
      </c>
      <c r="C2435" t="n" s="0">
        <v>-2177246.8386799996</v>
      </c>
    </row>
    <row r="2436">
      <c r="A2436" t="n" s="0">
        <v>-75.65</v>
      </c>
      <c r="B2436" t="n" s="0">
        <f>(-5-((((-5*(-5/((-5/(((-5*(-75.65--5))-(-5+((-5*-75.65)*(((-5--5)+(-75.65--5))+-75.65))))-(-5+-5)))*-5)))/-5)--5)+(-5*(((-75.65*(-75.65-(-5/-5)))*(-75.65-(-75.65/(-5*-75.65))))-(-5/-5)))))</f>
        <v>-2176385.230625</v>
      </c>
      <c r="C2436" t="n" s="0">
        <v>-2176385.230625001</v>
      </c>
    </row>
    <row r="2437">
      <c r="A2437" t="n" s="0">
        <v>-75.64</v>
      </c>
      <c r="B2437" t="n" s="0">
        <f>(-5-((((-5*(-5/((-5/(((-5*(-75.64--5))-(-5+((-5*-75.64)*(((-5--5)+(-75.64--5))+-75.64))))-(-5+-5)))*-5)))/-5)--5)+(-5*(((-75.64*(-75.64-(-5/-5)))*(-75.64-(-75.64/(-5*-75.64))))-(-5/-5)))))</f>
        <v>-2175523.84992</v>
      </c>
      <c r="C2437" t="n" s="0">
        <v>-2175523.84992</v>
      </c>
    </row>
    <row r="2438">
      <c r="A2438" t="n" s="0">
        <v>-75.63</v>
      </c>
      <c r="B2438" t="n" s="0">
        <f>(-5-((((-5*(-5/((-5/(((-5*(-75.63--5))-(-5+((-5*-75.63)*(((-5--5)+(-75.63--5))+-75.63))))-(-5+-5)))*-5)))/-5)--5)+(-5*(((-75.63*(-75.63-(-5/-5)))*(-75.63-(-75.63/(-5*-75.63))))-(-5/-5)))))</f>
        <v>-2174662.696535</v>
      </c>
      <c r="C2438" t="n" s="0">
        <v>-2174662.696535</v>
      </c>
    </row>
    <row r="2439">
      <c r="A2439" t="n" s="0">
        <v>-75.62</v>
      </c>
      <c r="B2439" t="n" s="0">
        <f>(-5-((((-5*(-5/((-5/(((-5*(-75.62--5))-(-5+((-5*-75.62)*(((-5--5)+(-75.62--5))+-75.62))))-(-5+-5)))*-5)))/-5)--5)+(-5*(((-75.62*(-75.62-(-5/-5)))*(-75.62-(-75.62/(-5*-75.62))))-(-5/-5)))))</f>
        <v>-2173801.7704399996</v>
      </c>
      <c r="C2439" t="n" s="0">
        <v>-2173801.77044</v>
      </c>
    </row>
    <row r="2440">
      <c r="A2440" t="n" s="0">
        <v>-75.61</v>
      </c>
      <c r="B2440" t="n" s="0">
        <f>(-5-((((-5*(-5/((-5/(((-5*(-75.61--5))-(-5+((-5*-75.61)*(((-5--5)+(-75.61--5))+-75.61))))-(-5+-5)))*-5)))/-5)--5)+(-5*(((-75.61*(-75.61-(-5/-5)))*(-75.61-(-75.61/(-5*-75.61))))-(-5/-5)))))</f>
        <v>-2172941.0716049997</v>
      </c>
      <c r="C2440" t="n" s="0">
        <v>-2172941.071605</v>
      </c>
    </row>
    <row r="2441">
      <c r="A2441" t="n" s="0">
        <v>-75.6</v>
      </c>
      <c r="B2441" t="n" s="0">
        <f>(-5-((((-5*(-5/((-5/(((-5*(-75.6--5))-(-5+((-5*-75.6)*(((-5--5)+(-75.6--5))+-75.6))))-(-5+-5)))*-5)))/-5)--5)+(-5*(((-75.6*(-75.6-(-5/-5)))*(-75.6-(-75.6/(-5*-75.6))))-(-5/-5)))))</f>
        <v>-2172080.6</v>
      </c>
      <c r="C2441" t="n" s="0">
        <v>-2172080.5999999996</v>
      </c>
    </row>
    <row r="2442">
      <c r="A2442" t="n" s="0">
        <v>-75.59</v>
      </c>
      <c r="B2442" t="n" s="0">
        <f>(-5-((((-5*(-5/((-5/(((-5*(-75.59--5))-(-5+((-5*-75.59)*(((-5--5)+(-75.59--5))+-75.59))))-(-5+-5)))*-5)))/-5)--5)+(-5*(((-75.59*(-75.59-(-5/-5)))*(-75.59-(-75.59/(-5*-75.59))))-(-5/-5)))))</f>
        <v>-2171220.355595</v>
      </c>
      <c r="C2442" t="n" s="0">
        <v>-2171220.3555950006</v>
      </c>
    </row>
    <row r="2443">
      <c r="A2443" t="n" s="0">
        <v>-75.58</v>
      </c>
      <c r="B2443" t="n" s="0">
        <f>(-5-((((-5*(-5/((-5/(((-5*(-75.58--5))-(-5+((-5*-75.58)*(((-5--5)+(-75.58--5))+-75.58))))-(-5+-5)))*-5)))/-5)--5)+(-5*(((-75.58*(-75.58-(-5/-5)))*(-75.58-(-75.58/(-5*-75.58))))-(-5/-5)))))</f>
        <v>-2170360.33836</v>
      </c>
      <c r="C2443" t="n" s="0">
        <v>-2170360.33836</v>
      </c>
    </row>
    <row r="2444">
      <c r="A2444" t="n" s="0">
        <v>-75.57</v>
      </c>
      <c r="B2444" t="n" s="0">
        <f>(-5-((((-5*(-5/((-5/(((-5*(-75.57--5))-(-5+((-5*-75.57)*(((-5--5)+(-75.57--5))+-75.57))))-(-5+-5)))*-5)))/-5)--5)+(-5*(((-75.57*(-75.57-(-5/-5)))*(-75.57-(-75.57/(-5*-75.57))))-(-5/-5)))))</f>
        <v>-2169500.548265</v>
      </c>
      <c r="C2444" t="n" s="0">
        <v>-2169500.548264999</v>
      </c>
    </row>
    <row r="2445">
      <c r="A2445" t="n" s="0">
        <v>-75.56</v>
      </c>
      <c r="B2445" t="n" s="0">
        <f>(-5-((((-5*(-5/((-5/(((-5*(-75.56--5))-(-5+((-5*-75.56)*(((-5--5)+(-75.56--5))+-75.56))))-(-5+-5)))*-5)))/-5)--5)+(-5*(((-75.56*(-75.56-(-5/-5)))*(-75.56-(-75.56/(-5*-75.56))))-(-5/-5)))))</f>
        <v>-2168640.9852799997</v>
      </c>
      <c r="C2445" t="n" s="0">
        <v>-2168640.98528</v>
      </c>
    </row>
    <row r="2446">
      <c r="A2446" t="n" s="0">
        <v>-75.55</v>
      </c>
      <c r="B2446" t="n" s="0">
        <f>(-5-((((-5*(-5/((-5/(((-5*(-75.55--5))-(-5+((-5*-75.55)*(((-5--5)+(-75.55--5))+-75.55))))-(-5+-5)))*-5)))/-5)--5)+(-5*(((-75.55*(-75.55-(-5/-5)))*(-75.55-(-75.55/(-5*-75.55))))-(-5/-5)))))</f>
        <v>-2167781.649375</v>
      </c>
      <c r="C2446" t="n" s="0">
        <v>-2167781.6493749996</v>
      </c>
    </row>
    <row r="2447">
      <c r="A2447" t="n" s="0">
        <v>-75.54</v>
      </c>
      <c r="B2447" t="n" s="0">
        <f>(-5-((((-5*(-5/((-5/(((-5*(-75.54--5))-(-5+((-5*-75.54)*(((-5--5)+(-75.54--5))+-75.54))))-(-5+-5)))*-5)))/-5)--5)+(-5*(((-75.54*(-75.54-(-5/-5)))*(-75.54-(-75.54/(-5*-75.54))))-(-5/-5)))))</f>
        <v>-2166922.54052</v>
      </c>
      <c r="C2447" t="n" s="0">
        <v>-2166922.5405200007</v>
      </c>
    </row>
    <row r="2448">
      <c r="A2448" t="n" s="0">
        <v>-75.53</v>
      </c>
      <c r="B2448" t="n" s="0">
        <f>(-5-((((-5*(-5/((-5/(((-5*(-75.53--5))-(-5+((-5*-75.53)*(((-5--5)+(-75.53--5))+-75.53))))-(-5+-5)))*-5)))/-5)--5)+(-5*(((-75.53*(-75.53-(-5/-5)))*(-75.53-(-75.53/(-5*-75.53))))-(-5/-5)))))</f>
        <v>-2166063.6586849997</v>
      </c>
      <c r="C2448" t="n" s="0">
        <v>-2166063.6586849997</v>
      </c>
    </row>
    <row r="2449">
      <c r="A2449" t="n" s="0">
        <v>-75.52</v>
      </c>
      <c r="B2449" t="n" s="0">
        <f>(-5-((((-5*(-5/((-5/(((-5*(-75.52--5))-(-5+((-5*-75.52)*(((-5--5)+(-75.52--5))+-75.52))))-(-5+-5)))*-5)))/-5)--5)+(-5*(((-75.52*(-75.52-(-5/-5)))*(-75.52-(-75.52/(-5*-75.52))))-(-5/-5)))))</f>
        <v>-2165205.00384</v>
      </c>
      <c r="C2449" t="n" s="0">
        <v>-2165205.00384</v>
      </c>
    </row>
    <row r="2450">
      <c r="A2450" t="n" s="0">
        <v>-75.51</v>
      </c>
      <c r="B2450" t="n" s="0">
        <f>(-5-((((-5*(-5/((-5/(((-5*(-75.51--5))-(-5+((-5*-75.51)*(((-5--5)+(-75.51--5))+-75.51))))-(-5+-5)))*-5)))/-5)--5)+(-5*(((-75.51*(-75.51-(-5/-5)))*(-75.51-(-75.51/(-5*-75.51))))-(-5/-5)))))</f>
        <v>-2164346.575955</v>
      </c>
      <c r="C2450" t="n" s="0">
        <v>-2164346.5759550002</v>
      </c>
    </row>
    <row r="2451">
      <c r="A2451" t="n" s="0">
        <v>-75.5</v>
      </c>
      <c r="B2451" t="n" s="0">
        <f>(-5-((((-5*(-5/((-5/(((-5*(-75.5--5))-(-5+((-5*-75.5)*(((-5--5)+(-75.5--5))+-75.5))))-(-5+-5)))*-5)))/-5)--5)+(-5*(((-75.5*(-75.5-(-5/-5)))*(-75.5-(-75.5/(-5*-75.5))))-(-5/-5)))))</f>
        <v>-2163488.375</v>
      </c>
      <c r="C2451" t="n" s="0">
        <v>-2163488.375</v>
      </c>
    </row>
    <row r="2452">
      <c r="A2452" t="n" s="0">
        <v>-75.49</v>
      </c>
      <c r="B2452" t="n" s="0">
        <f>(-5-((((-5*(-5/((-5/(((-5*(-75.49--5))-(-5+((-5*-75.49)*(((-5--5)+(-75.49--5))+-75.49))))-(-5+-5)))*-5)))/-5)--5)+(-5*(((-75.49*(-75.49-(-5/-5)))*(-75.49-(-75.49/(-5*-75.49))))-(-5/-5)))))</f>
        <v>-2162630.400945</v>
      </c>
      <c r="C2452" t="n" s="0">
        <v>-2162630.400945</v>
      </c>
    </row>
    <row r="2453">
      <c r="A2453" t="n" s="0">
        <v>-75.48</v>
      </c>
      <c r="B2453" t="n" s="0">
        <f>(-5-((((-5*(-5/((-5/(((-5*(-75.48--5))-(-5+((-5*-75.48)*(((-5--5)+(-75.48--5))+-75.48))))-(-5+-5)))*-5)))/-5)--5)+(-5*(((-75.48*(-75.48-(-5/-5)))*(-75.48-(-75.48/(-5*-75.48))))-(-5/-5)))))</f>
        <v>-2161772.65376</v>
      </c>
      <c r="C2453" t="n" s="0">
        <v>-2161772.6537600006</v>
      </c>
    </row>
    <row r="2454">
      <c r="A2454" t="n" s="0">
        <v>-75.47</v>
      </c>
      <c r="B2454" t="n" s="0">
        <f>(-5-((((-5*(-5/((-5/(((-5*(-75.47--5))-(-5+((-5*-75.47)*(((-5--5)+(-75.47--5))+-75.47))))-(-5+-5)))*-5)))/-5)--5)+(-5*(((-75.47*(-75.47-(-5/-5)))*(-75.47-(-75.47/(-5*-75.47))))-(-5/-5)))))</f>
        <v>-2160915.133415</v>
      </c>
      <c r="C2454" t="n" s="0">
        <v>-2160915.1334150005</v>
      </c>
    </row>
    <row r="2455">
      <c r="A2455" t="n" s="0">
        <v>-75.46</v>
      </c>
      <c r="B2455" t="n" s="0">
        <f>(-5-((((-5*(-5/((-5/(((-5*(-75.46--5))-(-5+((-5*-75.46)*(((-5--5)+(-75.46--5))+-75.46))))-(-5+-5)))*-5)))/-5)--5)+(-5*(((-75.46*(-75.46-(-5/-5)))*(-75.46-(-75.46/(-5*-75.46))))-(-5/-5)))))</f>
        <v>-2160057.83988</v>
      </c>
      <c r="C2455" t="n" s="0">
        <v>-2160057.8398799994</v>
      </c>
    </row>
    <row r="2456">
      <c r="A2456" t="n" s="0">
        <v>-75.45</v>
      </c>
      <c r="B2456" t="n" s="0">
        <f>(-5-((((-5*(-5/((-5/(((-5*(-75.45--5))-(-5+((-5*-75.45)*(((-5--5)+(-75.45--5))+-75.45))))-(-5+-5)))*-5)))/-5)--5)+(-5*(((-75.45*(-75.45-(-5/-5)))*(-75.45-(-75.45/(-5*-75.45))))-(-5/-5)))))</f>
        <v>-2159200.773125</v>
      </c>
      <c r="C2456" t="n" s="0">
        <v>-2159200.7731250003</v>
      </c>
    </row>
    <row r="2457">
      <c r="A2457" t="n" s="0">
        <v>-75.44</v>
      </c>
      <c r="B2457" t="n" s="0">
        <f>(-5-((((-5*(-5/((-5/(((-5*(-75.44--5))-(-5+((-5*-75.44)*(((-5--5)+(-75.44--5))+-75.44))))-(-5+-5)))*-5)))/-5)--5)+(-5*(((-75.44*(-75.44-(-5/-5)))*(-75.44-(-75.44/(-5*-75.44))))-(-5/-5)))))</f>
        <v>-2158343.93312</v>
      </c>
      <c r="C2457" t="n" s="0">
        <v>-2158343.9331199997</v>
      </c>
    </row>
    <row r="2458">
      <c r="A2458" t="n" s="0">
        <v>-75.43</v>
      </c>
      <c r="B2458" t="n" s="0">
        <f>(-5-((((-5*(-5/((-5/(((-5*(-75.43--5))-(-5+((-5*-75.43)*(((-5--5)+(-75.43--5))+-75.43))))-(-5+-5)))*-5)))/-5)--5)+(-5*(((-75.43*(-75.43-(-5/-5)))*(-75.43-(-75.43/(-5*-75.43))))-(-5/-5)))))</f>
        <v>-2157487.319835</v>
      </c>
      <c r="C2458" t="n" s="0">
        <v>-2157487.3198350007</v>
      </c>
    </row>
    <row r="2459">
      <c r="A2459" t="n" s="0">
        <v>-75.42</v>
      </c>
      <c r="B2459" t="n" s="0">
        <f>(-5-((((-5*(-5/((-5/(((-5*(-75.42--5))-(-5+((-5*-75.42)*(((-5--5)+(-75.42--5))+-75.42))))-(-5+-5)))*-5)))/-5)--5)+(-5*(((-75.42*(-75.42-(-5/-5)))*(-75.42-(-75.42/(-5*-75.42))))-(-5/-5)))))</f>
        <v>-2156630.93324</v>
      </c>
      <c r="C2459" t="n" s="0">
        <v>-2156630.93324</v>
      </c>
    </row>
    <row r="2460">
      <c r="A2460" t="n" s="0">
        <v>-75.41</v>
      </c>
      <c r="B2460" t="n" s="0">
        <f>(-5-((((-5*(-5/((-5/(((-5*(-75.41--5))-(-5+((-5*-75.41)*(((-5--5)+(-75.41--5))+-75.41))))-(-5+-5)))*-5)))/-5)--5)+(-5*(((-75.41*(-75.41-(-5/-5)))*(-75.41-(-75.41/(-5*-75.41))))-(-5/-5)))))</f>
        <v>-2155774.773305</v>
      </c>
      <c r="C2460" t="n" s="0">
        <v>-2155774.7733049993</v>
      </c>
    </row>
    <row r="2461">
      <c r="A2461" t="n" s="0">
        <v>-75.4</v>
      </c>
      <c r="B2461" t="n" s="0">
        <f>(-5-((((-5*(-5/((-5/(((-5*(-75.4--5))-(-5+((-5*-75.4)*(((-5--5)+(-75.4--5))+-75.4))))-(-5+-5)))*-5)))/-5)--5)+(-5*(((-75.4*(-75.4-(-5/-5)))*(-75.4-(-75.4/(-5*-75.4))))-(-5/-5)))))</f>
        <v>-2154918.84</v>
      </c>
      <c r="C2461" t="n" s="0">
        <v>-2154918.8400000003</v>
      </c>
    </row>
    <row r="2462">
      <c r="A2462" t="n" s="0">
        <v>-75.39</v>
      </c>
      <c r="B2462" t="n" s="0">
        <f>(-5-((((-5*(-5/((-5/(((-5*(-75.39--5))-(-5+((-5*-75.39)*(((-5--5)+(-75.39--5))+-75.39))))-(-5+-5)))*-5)))/-5)--5)+(-5*(((-75.39*(-75.39-(-5/-5)))*(-75.39-(-75.39/(-5*-75.39))))-(-5/-5)))))</f>
        <v>-2154063.133295</v>
      </c>
      <c r="C2462" t="n" s="0">
        <v>-2154063.133295</v>
      </c>
    </row>
    <row r="2463">
      <c r="A2463" t="n" s="0">
        <v>-75.38</v>
      </c>
      <c r="B2463" t="n" s="0">
        <f>(-5-((((-5*(-5/((-5/(((-5*(-75.38--5))-(-5+((-5*-75.38)*(((-5--5)+(-75.38--5))+-75.38))))-(-5+-5)))*-5)))/-5)--5)+(-5*(((-75.38*(-75.38-(-5/-5)))*(-75.38-(-75.38/(-5*-75.38))))-(-5/-5)))))</f>
        <v>-2153207.6531599998</v>
      </c>
      <c r="C2463" t="n" s="0">
        <v>-2153207.65316</v>
      </c>
    </row>
    <row r="2464">
      <c r="A2464" t="n" s="0">
        <v>-75.37</v>
      </c>
      <c r="B2464" t="n" s="0">
        <f>(-5-((((-5*(-5/((-5/(((-5*(-75.37--5))-(-5+((-5*-75.37)*(((-5--5)+(-75.37--5))+-75.37))))-(-5+-5)))*-5)))/-5)--5)+(-5*(((-75.37*(-75.37-(-5/-5)))*(-75.37-(-75.37/(-5*-75.37))))-(-5/-5)))))</f>
        <v>-2152352.399565</v>
      </c>
      <c r="C2464" t="n" s="0">
        <v>-2152352.399565</v>
      </c>
    </row>
    <row r="2465">
      <c r="A2465" t="n" s="0">
        <v>-75.36</v>
      </c>
      <c r="B2465" t="n" s="0">
        <f>(-5-((((-5*(-5/((-5/(((-5*(-75.36--5))-(-5+((-5*-75.36)*(((-5--5)+(-75.36--5))+-75.36))))-(-5+-5)))*-5)))/-5)--5)+(-5*(((-75.36*(-75.36-(-5/-5)))*(-75.36-(-75.36/(-5*-75.36))))-(-5/-5)))))</f>
        <v>-2151497.3724800004</v>
      </c>
      <c r="C2465" t="n" s="0">
        <v>-2151497.3724800004</v>
      </c>
    </row>
    <row r="2466">
      <c r="A2466" t="n" s="0">
        <v>-75.35</v>
      </c>
      <c r="B2466" t="n" s="0">
        <f>(-5-((((-5*(-5/((-5/(((-5*(-75.35--5))-(-5+((-5*-75.35)*(((-5--5)+(-75.35--5))+-75.35))))-(-5+-5)))*-5)))/-5)--5)+(-5*(((-75.35*(-75.35-(-5/-5)))*(-75.35-(-75.35/(-5*-75.35))))-(-5/-5)))))</f>
        <v>-2150642.571875</v>
      </c>
      <c r="C2466" t="n" s="0">
        <v>-2150642.5718749994</v>
      </c>
    </row>
    <row r="2467">
      <c r="A2467" t="n" s="0">
        <v>-75.34</v>
      </c>
      <c r="B2467" t="n" s="0">
        <f>(-5-((((-5*(-5/((-5/(((-5*(-75.34--5))-(-5+((-5*-75.34)*(((-5--5)+(-75.34--5))+-75.34))))-(-5+-5)))*-5)))/-5)--5)+(-5*(((-75.34*(-75.34-(-5/-5)))*(-75.34-(-75.34/(-5*-75.34))))-(-5/-5)))))</f>
        <v>-2149787.99772</v>
      </c>
      <c r="C2467" t="n" s="0">
        <v>-2149787.99772</v>
      </c>
    </row>
    <row r="2468">
      <c r="A2468" t="n" s="0">
        <v>-75.33</v>
      </c>
      <c r="B2468" t="n" s="0">
        <f>(-5-((((-5*(-5/((-5/(((-5*(-75.33--5))-(-5+((-5*-75.33)*(((-5--5)+(-75.33--5))+-75.33))))-(-5+-5)))*-5)))/-5)--5)+(-5*(((-75.33*(-75.33-(-5/-5)))*(-75.33-(-75.33/(-5*-75.33))))-(-5/-5)))))</f>
        <v>-2148933.649985</v>
      </c>
      <c r="C2468" t="n" s="0">
        <v>-2148933.649985</v>
      </c>
    </row>
    <row r="2469">
      <c r="A2469" t="n" s="0">
        <v>-75.32</v>
      </c>
      <c r="B2469" t="n" s="0">
        <f>(-5-((((-5*(-5/((-5/(((-5*(-75.32--5))-(-5+((-5*-75.32)*(((-5--5)+(-75.32--5))+-75.32))))-(-5+-5)))*-5)))/-5)--5)+(-5*(((-75.32*(-75.32-(-5/-5)))*(-75.32-(-75.32/(-5*-75.32))))-(-5/-5)))))</f>
        <v>-2148079.5286399997</v>
      </c>
      <c r="C2469" t="n" s="0">
        <v>-2148079.528639999</v>
      </c>
    </row>
    <row r="2470">
      <c r="A2470" t="n" s="0">
        <v>-75.31</v>
      </c>
      <c r="B2470" t="n" s="0">
        <f>(-5-((((-5*(-5/((-5/(((-5*(-75.31--5))-(-5+((-5*-75.31)*(((-5--5)+(-75.31--5))+-75.31))))-(-5+-5)))*-5)))/-5)--5)+(-5*(((-75.31*(-75.31-(-5/-5)))*(-75.31-(-75.31/(-5*-75.31))))-(-5/-5)))))</f>
        <v>-2147225.633655</v>
      </c>
      <c r="C2470" t="n" s="0">
        <v>-2147225.6336550005</v>
      </c>
    </row>
    <row r="2471">
      <c r="A2471" t="n" s="0">
        <v>-75.3</v>
      </c>
      <c r="B2471" t="n" s="0">
        <f>(-5-((((-5*(-5/((-5/(((-5*(-75.3--5))-(-5+((-5*-75.3)*(((-5--5)+(-75.3--5))+-75.3))))-(-5+-5)))*-5)))/-5)--5)+(-5*(((-75.3*(-75.3-(-5/-5)))*(-75.3-(-75.3/(-5*-75.3))))-(-5/-5)))))</f>
        <v>-2146371.965</v>
      </c>
      <c r="C2471" t="n" s="0">
        <v>-2146371.965</v>
      </c>
    </row>
    <row r="2472">
      <c r="A2472" t="n" s="0">
        <v>-75.29</v>
      </c>
      <c r="B2472" t="n" s="0">
        <f>(-5-((((-5*(-5/((-5/(((-5*(-75.29--5))-(-5+((-5*-75.29)*(((-5--5)+(-75.29--5))+-75.29))))-(-5+-5)))*-5)))/-5)--5)+(-5*(((-75.29*(-75.29-(-5/-5)))*(-75.29-(-75.29/(-5*-75.29))))-(-5/-5)))))</f>
        <v>-2145518.522645</v>
      </c>
      <c r="C2472" t="n" s="0">
        <v>-2145518.522645001</v>
      </c>
    </row>
    <row r="2473">
      <c r="A2473" t="n" s="0">
        <v>-75.28</v>
      </c>
      <c r="B2473" t="n" s="0">
        <f>(-5-((((-5*(-5/((-5/(((-5*(-75.28--5))-(-5+((-5*-75.28)*(((-5--5)+(-75.28--5))+-75.28))))-(-5+-5)))*-5)))/-5)--5)+(-5*(((-75.28*(-75.28-(-5/-5)))*(-75.28-(-75.28/(-5*-75.28))))-(-5/-5)))))</f>
        <v>-2144665.30656</v>
      </c>
      <c r="C2473" t="n" s="0">
        <v>-2144665.30656</v>
      </c>
    </row>
    <row r="2474">
      <c r="A2474" t="n" s="0">
        <v>-75.27</v>
      </c>
      <c r="B2474" t="n" s="0">
        <f>(-5-((((-5*(-5/((-5/(((-5*(-75.27--5))-(-5+((-5*-75.27)*(((-5--5)+(-75.27--5))+-75.27))))-(-5+-5)))*-5)))/-5)--5)+(-5*(((-75.27*(-75.27-(-5/-5)))*(-75.27-(-75.27/(-5*-75.27))))-(-5/-5)))))</f>
        <v>-2143812.316715</v>
      </c>
      <c r="C2474" t="n" s="0">
        <v>-2143812.3167149997</v>
      </c>
    </row>
    <row r="2475">
      <c r="A2475" t="n" s="0">
        <v>-75.26</v>
      </c>
      <c r="B2475" t="n" s="0">
        <f>(-5-((((-5*(-5/((-5/(((-5*(-75.26--5))-(-5+((-5*-75.26)*(((-5--5)+(-75.26--5))+-75.26))))-(-5+-5)))*-5)))/-5)--5)+(-5*(((-75.26*(-75.26-(-5/-5)))*(-75.26-(-75.26/(-5*-75.26))))-(-5/-5)))))</f>
        <v>-2142959.55308</v>
      </c>
      <c r="C2475" t="n" s="0">
        <v>-2142959.55308</v>
      </c>
    </row>
    <row r="2476">
      <c r="A2476" t="n" s="0">
        <v>-75.25</v>
      </c>
      <c r="B2476" t="n" s="0">
        <f>(-5-((((-5*(-5/((-5/(((-5*(-75.25--5))-(-5+((-5*-75.25)*(((-5--5)+(-75.25--5))+-75.25))))-(-5+-5)))*-5)))/-5)--5)+(-5*(((-75.25*(-75.25-(-5/-5)))*(-75.25-(-75.25/(-5*-75.25))))-(-5/-5)))))</f>
        <v>-2142107.015625</v>
      </c>
      <c r="C2476" t="n" s="0">
        <v>-2142107.015625</v>
      </c>
    </row>
    <row r="2477">
      <c r="A2477" t="n" s="0">
        <v>-75.24</v>
      </c>
      <c r="B2477" t="n" s="0">
        <f>(-5-((((-5*(-5/((-5/(((-5*(-75.24--5))-(-5+((-5*-75.24)*(((-5--5)+(-75.24--5))+-75.24))))-(-5+-5)))*-5)))/-5)--5)+(-5*(((-75.24*(-75.24-(-5/-5)))*(-75.24-(-75.24/(-5*-75.24))))-(-5/-5)))))</f>
        <v>-2141254.70432</v>
      </c>
      <c r="C2477" t="n" s="0">
        <v>-2141254.7043199996</v>
      </c>
    </row>
    <row r="2478">
      <c r="A2478" t="n" s="0">
        <v>-75.23</v>
      </c>
      <c r="B2478" t="n" s="0">
        <f>(-5-((((-5*(-5/((-5/(((-5*(-75.23--5))-(-5+((-5*-75.23)*(((-5--5)+(-75.23--5))+-75.23))))-(-5+-5)))*-5)))/-5)--5)+(-5*(((-75.23*(-75.23-(-5/-5)))*(-75.23-(-75.23/(-5*-75.23))))-(-5/-5)))))</f>
        <v>-2140402.619135</v>
      </c>
      <c r="C2478" t="n" s="0">
        <v>-2140402.6191350003</v>
      </c>
    </row>
    <row r="2479">
      <c r="A2479" t="n" s="0">
        <v>-75.22</v>
      </c>
      <c r="B2479" t="n" s="0">
        <f>(-5-((((-5*(-5/((-5/(((-5*(-75.22--5))-(-5+((-5*-75.22)*(((-5--5)+(-75.22--5))+-75.22))))-(-5+-5)))*-5)))/-5)--5)+(-5*(((-75.22*(-75.22-(-5/-5)))*(-75.22-(-75.22/(-5*-75.22))))-(-5/-5)))))</f>
        <v>-2139550.76004</v>
      </c>
      <c r="C2479" t="n" s="0">
        <v>-2139550.7600399996</v>
      </c>
    </row>
    <row r="2480">
      <c r="A2480" t="n" s="0">
        <v>-75.21</v>
      </c>
      <c r="B2480" t="n" s="0">
        <f>(-5-((((-5*(-5/((-5/(((-5*(-75.21--5))-(-5+((-5*-75.21)*(((-5--5)+(-75.21--5))+-75.21))))-(-5+-5)))*-5)))/-5)--5)+(-5*(((-75.21*(-75.21-(-5/-5)))*(-75.21-(-75.21/(-5*-75.21))))-(-5/-5)))))</f>
        <v>-2138699.127005</v>
      </c>
      <c r="C2480" t="n" s="0">
        <v>-2138699.1270049997</v>
      </c>
    </row>
    <row r="2481">
      <c r="A2481" t="n" s="0">
        <v>-75.2</v>
      </c>
      <c r="B2481" t="n" s="0">
        <f>(-5-((((-5*(-5/((-5/(((-5*(-75.2--5))-(-5+((-5*-75.2)*(((-5--5)+(-75.2--5))+-75.2))))-(-5+-5)))*-5)))/-5)--5)+(-5*(((-75.2*(-75.2-(-5/-5)))*(-75.2-(-75.2/(-5*-75.2))))-(-5/-5)))))</f>
        <v>-2137847.72</v>
      </c>
      <c r="C2481" t="n" s="0">
        <v>-2137847.72</v>
      </c>
    </row>
    <row r="2482">
      <c r="A2482" t="n" s="0">
        <v>-75.19</v>
      </c>
      <c r="B2482" t="n" s="0">
        <f>(-5-((((-5*(-5/((-5/(((-5*(-75.19--5))-(-5+((-5*-75.19)*(((-5--5)+(-75.19--5))+-75.19))))-(-5+-5)))*-5)))/-5)--5)+(-5*(((-75.19*(-75.19-(-5/-5)))*(-75.19-(-75.19/(-5*-75.19))))-(-5/-5)))))</f>
        <v>-2136996.538995</v>
      </c>
      <c r="C2482" t="n" s="0">
        <v>-2136996.5389949996</v>
      </c>
    </row>
    <row r="2483">
      <c r="A2483" t="n" s="0">
        <v>-75.18</v>
      </c>
      <c r="B2483" t="n" s="0">
        <f>(-5-((((-5*(-5/((-5/(((-5*(-75.18--5))-(-5+((-5*-75.18)*(((-5--5)+(-75.18--5))+-75.18))))-(-5+-5)))*-5)))/-5)--5)+(-5*(((-75.18*(-75.18-(-5/-5)))*(-75.18-(-75.18/(-5*-75.18))))-(-5/-5)))))</f>
        <v>-2136145.58396</v>
      </c>
      <c r="C2483" t="n" s="0">
        <v>-2136145.5839600004</v>
      </c>
    </row>
    <row r="2484">
      <c r="A2484" t="n" s="0">
        <v>-75.17</v>
      </c>
      <c r="B2484" t="n" s="0">
        <f>(-5-((((-5*(-5/((-5/(((-5*(-75.17--5))-(-5+((-5*-75.17)*(((-5--5)+(-75.17--5))+-75.17))))-(-5+-5)))*-5)))/-5)--5)+(-5*(((-75.17*(-75.17-(-5/-5)))*(-75.17-(-75.17/(-5*-75.17))))-(-5/-5)))))</f>
        <v>-2135294.854865</v>
      </c>
      <c r="C2484" t="n" s="0">
        <v>-2135294.854865</v>
      </c>
    </row>
    <row r="2485">
      <c r="A2485" t="n" s="0">
        <v>-75.16</v>
      </c>
      <c r="B2485" t="n" s="0">
        <f>(-5-((((-5*(-5/((-5/(((-5*(-75.16--5))-(-5+((-5*-75.16)*(((-5--5)+(-75.16--5))+-75.16))))-(-5+-5)))*-5)))/-5)--5)+(-5*(((-75.16*(-75.16-(-5/-5)))*(-75.16-(-75.16/(-5*-75.16))))-(-5/-5)))))</f>
        <v>-2134444.35168</v>
      </c>
      <c r="C2485" t="n" s="0">
        <v>-2134444.35168</v>
      </c>
    </row>
    <row r="2486">
      <c r="A2486" t="n" s="0">
        <v>-75.15</v>
      </c>
      <c r="B2486" t="n" s="0">
        <f>(-5-((((-5*(-5/((-5/(((-5*(-75.15--5))-(-5+((-5*-75.15)*(((-5--5)+(-75.15--5))+-75.15))))-(-5+-5)))*-5)))/-5)--5)+(-5*(((-75.15*(-75.15-(-5/-5)))*(-75.15-(-75.15/(-5*-75.15))))-(-5/-5)))))</f>
        <v>-2133594.0743750003</v>
      </c>
      <c r="C2486" t="n" s="0">
        <v>-2133594.074375001</v>
      </c>
    </row>
    <row r="2487">
      <c r="A2487" t="n" s="0">
        <v>-75.14</v>
      </c>
      <c r="B2487" t="n" s="0">
        <f>(-5-((((-5*(-5/((-5/(((-5*(-75.14--5))-(-5+((-5*-75.14)*(((-5--5)+(-75.14--5))+-75.14))))-(-5+-5)))*-5)))/-5)--5)+(-5*(((-75.14*(-75.14-(-5/-5)))*(-75.14-(-75.14/(-5*-75.14))))-(-5/-5)))))</f>
        <v>-2132744.02292</v>
      </c>
      <c r="C2487" t="n" s="0">
        <v>-2132744.02292</v>
      </c>
    </row>
    <row r="2488">
      <c r="A2488" t="n" s="0">
        <v>-75.13</v>
      </c>
      <c r="B2488" t="n" s="0">
        <f>(-5-((((-5*(-5/((-5/(((-5*(-75.13--5))-(-5+((-5*-75.13)*(((-5--5)+(-75.13--5))+-75.13))))-(-5+-5)))*-5)))/-5)--5)+(-5*(((-75.13*(-75.13-(-5/-5)))*(-75.13-(-75.13/(-5*-75.13))))-(-5/-5)))))</f>
        <v>-2131894.1972850002</v>
      </c>
      <c r="C2488" t="n" s="0">
        <v>-2131894.1972849993</v>
      </c>
    </row>
    <row r="2489">
      <c r="A2489" t="n" s="0">
        <v>-75.12</v>
      </c>
      <c r="B2489" t="n" s="0">
        <f>(-5-((((-5*(-5/((-5/(((-5*(-75.12--5))-(-5+((-5*-75.12)*(((-5--5)+(-75.12--5))+-75.12))))-(-5+-5)))*-5)))/-5)--5)+(-5*(((-75.12*(-75.12-(-5/-5)))*(-75.12-(-75.12/(-5*-75.12))))-(-5/-5)))))</f>
        <v>-2131044.59744</v>
      </c>
      <c r="C2489" t="n" s="0">
        <v>-2131044.59744</v>
      </c>
    </row>
    <row r="2490">
      <c r="A2490" t="n" s="0">
        <v>-75.11</v>
      </c>
      <c r="B2490" t="n" s="0">
        <f>(-5-((((-5*(-5/((-5/(((-5*(-75.11--5))-(-5+((-5*-75.11)*(((-5--5)+(-75.11--5))+-75.11))))-(-5+-5)))*-5)))/-5)--5)+(-5*(((-75.11*(-75.11-(-5/-5)))*(-75.11-(-75.11/(-5*-75.11))))-(-5/-5)))))</f>
        <v>-2130195.223355</v>
      </c>
      <c r="C2490" t="n" s="0">
        <v>-2130195.223355</v>
      </c>
    </row>
    <row r="2491">
      <c r="A2491" t="n" s="0">
        <v>-75.1</v>
      </c>
      <c r="B2491" t="n" s="0">
        <f>(-5-((((-5*(-5/((-5/(((-5*(-75.1--5))-(-5+((-5*-75.1)*(((-5--5)+(-75.1--5))+-75.1))))-(-5+-5)))*-5)))/-5)--5)+(-5*(((-75.1*(-75.1-(-5/-5)))*(-75.1-(-75.1/(-5*-75.1))))-(-5/-5)))))</f>
        <v>-2129346.0749999997</v>
      </c>
      <c r="C2491" t="n" s="0">
        <v>-2129346.0749999997</v>
      </c>
    </row>
    <row r="2492">
      <c r="A2492" t="n" s="0">
        <v>-75.09</v>
      </c>
      <c r="B2492" t="n" s="0">
        <f>(-5-((((-5*(-5/((-5/(((-5*(-75.09--5))-(-5+((-5*-75.09)*(((-5--5)+(-75.09--5))+-75.09))))-(-5+-5)))*-5)))/-5)--5)+(-5*(((-75.09*(-75.09-(-5/-5)))*(-75.09-(-75.09/(-5*-75.09))))-(-5/-5)))))</f>
        <v>-2128497.152345</v>
      </c>
      <c r="C2492" t="n" s="0">
        <v>-2128497.1523450003</v>
      </c>
    </row>
    <row r="2493">
      <c r="A2493" t="n" s="0">
        <v>-75.08</v>
      </c>
      <c r="B2493" t="n" s="0">
        <f>(-5-((((-5*(-5/((-5/(((-5*(-75.08--5))-(-5+((-5*-75.08)*(((-5--5)+(-75.08--5))+-75.08))))-(-5+-5)))*-5)))/-5)--5)+(-5*(((-75.08*(-75.08-(-5/-5)))*(-75.08-(-75.08/(-5*-75.08))))-(-5/-5)))))</f>
        <v>-2127648.45536</v>
      </c>
      <c r="C2493" t="n" s="0">
        <v>-2127648.45536</v>
      </c>
    </row>
    <row r="2494">
      <c r="A2494" t="n" s="0">
        <v>-75.07</v>
      </c>
      <c r="B2494" t="n" s="0">
        <f>(-5-((((-5*(-5/((-5/(((-5*(-75.07--5))-(-5+((-5*-75.07)*(((-5--5)+(-75.07--5))+-75.07))))-(-5+-5)))*-5)))/-5)--5)+(-5*(((-75.07*(-75.07-(-5/-5)))*(-75.07-(-75.07/(-5*-75.07))))-(-5/-5)))))</f>
        <v>-2126799.984015</v>
      </c>
      <c r="C2494" t="n" s="0">
        <v>-2126799.9840149996</v>
      </c>
    </row>
    <row r="2495">
      <c r="A2495" t="n" s="0">
        <v>-75.06</v>
      </c>
      <c r="B2495" t="n" s="0">
        <f>(-5-((((-5*(-5/((-5/(((-5*(-75.06--5))-(-5+((-5*-75.06)*(((-5--5)+(-75.06--5))+-75.06))))-(-5+-5)))*-5)))/-5)--5)+(-5*(((-75.06*(-75.06-(-5/-5)))*(-75.06-(-75.06/(-5*-75.06))))-(-5/-5)))))</f>
        <v>-2125951.7382799997</v>
      </c>
      <c r="C2495" t="n" s="0">
        <v>-2125951.73828</v>
      </c>
    </row>
    <row r="2496">
      <c r="A2496" t="n" s="0">
        <v>-75.05</v>
      </c>
      <c r="B2496" t="n" s="0">
        <f>(-5-((((-5*(-5/((-5/(((-5*(-75.05--5))-(-5+((-5*-75.05)*(((-5--5)+(-75.05--5))+-75.05))))-(-5+-5)))*-5)))/-5)--5)+(-5*(((-75.05*(-75.05-(-5/-5)))*(-75.05-(-75.05/(-5*-75.05))))-(-5/-5)))))</f>
        <v>-2125103.7181249997</v>
      </c>
      <c r="C2496" t="n" s="0">
        <v>-2125103.7181249997</v>
      </c>
    </row>
    <row r="2497">
      <c r="A2497" t="n" s="0">
        <v>-75.04</v>
      </c>
      <c r="B2497" t="n" s="0">
        <f>(-5-((((-5*(-5/((-5/(((-5*(-75.04--5))-(-5+((-5*-75.04)*(((-5--5)+(-75.04--5))+-75.04))))-(-5+-5)))*-5)))/-5)--5)+(-5*(((-75.04*(-75.04-(-5/-5)))*(-75.04-(-75.04/(-5*-75.04))))-(-5/-5)))))</f>
        <v>-2124255.92352</v>
      </c>
      <c r="C2497" t="n" s="0">
        <v>-2124255.9235200007</v>
      </c>
    </row>
    <row r="2498">
      <c r="A2498" t="n" s="0">
        <v>-75.03</v>
      </c>
      <c r="B2498" t="n" s="0">
        <f>(-5-((((-5*(-5/((-5/(((-5*(-75.03--5))-(-5+((-5*-75.03)*(((-5--5)+(-75.03--5))+-75.03))))-(-5+-5)))*-5)))/-5)--5)+(-5*(((-75.03*(-75.03-(-5/-5)))*(-75.03-(-75.03/(-5*-75.03))))-(-5/-5)))))</f>
        <v>-2123408.354435</v>
      </c>
      <c r="C2498" t="n" s="0">
        <v>-2123408.354435</v>
      </c>
    </row>
    <row r="2499">
      <c r="A2499" t="n" s="0">
        <v>-75.02</v>
      </c>
      <c r="B2499" t="n" s="0">
        <f>(-5-((((-5*(-5/((-5/(((-5*(-75.02--5))-(-5+((-5*-75.02)*(((-5--5)+(-75.02--5))+-75.02))))-(-5+-5)))*-5)))/-5)--5)+(-5*(((-75.02*(-75.02-(-5/-5)))*(-75.02-(-75.02/(-5*-75.02))))-(-5/-5)))))</f>
        <v>-2122561.01084</v>
      </c>
      <c r="C2499" t="n" s="0">
        <v>-2122561.0108399997</v>
      </c>
    </row>
    <row r="2500">
      <c r="A2500" t="n" s="0">
        <v>-75.01</v>
      </c>
      <c r="B2500" t="n" s="0">
        <f>(-5-((((-5*(-5/((-5/(((-5*(-75.01--5))-(-5+((-5*-75.01)*(((-5--5)+(-75.01--5))+-75.01))))-(-5+-5)))*-5)))/-5)--5)+(-5*(((-75.01*(-75.01-(-5/-5)))*(-75.01-(-75.01/(-5*-75.01))))-(-5/-5)))))</f>
        <v>-2121713.892705</v>
      </c>
      <c r="C2500" t="n" s="0">
        <v>-2121713.8927050005</v>
      </c>
    </row>
    <row r="2501">
      <c r="A2501" t="n" s="0">
        <v>-75.0</v>
      </c>
      <c r="B2501" t="n" s="0">
        <f>(-5-((((-5*(-5/((-5/(((-5*(-75--5))-(-5+((-5*-75)*(((-5--5)+(-75--5))+-75))))-(-5+-5)))*-5)))/-5)--5)+(-5*(((-75*(-75-(-5/-5)))*(-75-(-75/(-5*-75))))-(-5/-5)))))</f>
        <v>-2120867.0</v>
      </c>
      <c r="C2501" t="n" s="0">
        <v>-2120867.0</v>
      </c>
    </row>
    <row r="2502">
      <c r="A2502" t="n" s="0">
        <v>-74.99</v>
      </c>
      <c r="B2502" t="n" s="0">
        <f>(-5-((((-5*(-5/((-5/(((-5*(-74.99--5))-(-5+((-5*-74.99)*(((-5--5)+(-74.99--5))+-74.99))))-(-5+-5)))*-5)))/-5)--5)+(-5*(((-74.99*(-74.99-(-5/-5)))*(-74.99-(-74.99/(-5*-74.99))))-(-5/-5)))))</f>
        <v>-2120020.332695</v>
      </c>
      <c r="C2502" t="n" s="0">
        <v>-2120020.332695</v>
      </c>
    </row>
    <row r="2503">
      <c r="A2503" t="n" s="0">
        <v>-74.98</v>
      </c>
      <c r="B2503" t="n" s="0">
        <f>(-5-((((-5*(-5/((-5/(((-5*(-74.98--5))-(-5+((-5*-74.98)*(((-5--5)+(-74.98--5))+-74.98))))-(-5+-5)))*-5)))/-5)--5)+(-5*(((-74.98*(-74.98-(-5/-5)))*(-74.98-(-74.98/(-5*-74.98))))-(-5/-5)))))</f>
        <v>-2119173.89076</v>
      </c>
      <c r="C2503" t="n" s="0">
        <v>-2119173.8907600003</v>
      </c>
    </row>
    <row r="2504">
      <c r="A2504" t="n" s="0">
        <v>-74.97</v>
      </c>
      <c r="B2504" t="n" s="0">
        <f>(-5-((((-5*(-5/((-5/(((-5*(-74.97--5))-(-5+((-5*-74.97)*(((-5--5)+(-74.97--5))+-74.97))))-(-5+-5)))*-5)))/-5)--5)+(-5*(((-74.97*(-74.97-(-5/-5)))*(-74.97-(-74.97/(-5*-74.97))))-(-5/-5)))))</f>
        <v>-2118327.674165</v>
      </c>
      <c r="C2504" t="n" s="0">
        <v>-2118327.674165</v>
      </c>
    </row>
    <row r="2505">
      <c r="A2505" t="n" s="0">
        <v>-74.96</v>
      </c>
      <c r="B2505" t="n" s="0">
        <f>(-5-((((-5*(-5/((-5/(((-5*(-74.96--5))-(-5+((-5*-74.96)*(((-5--5)+(-74.96--5))+-74.96))))-(-5+-5)))*-5)))/-5)--5)+(-5*(((-74.96*(-74.96-(-5/-5)))*(-74.96-(-74.96/(-5*-74.96))))-(-5/-5)))))</f>
        <v>-2117481.68288</v>
      </c>
      <c r="C2505" t="n" s="0">
        <v>-2117481.6828799997</v>
      </c>
    </row>
    <row r="2506">
      <c r="A2506" t="n" s="0">
        <v>-74.95</v>
      </c>
      <c r="B2506" t="n" s="0">
        <f>(-5-((((-5*(-5/((-5/(((-5*(-74.95--5))-(-5+((-5*-74.95)*(((-5--5)+(-74.95--5))+-74.95))))-(-5+-5)))*-5)))/-5)--5)+(-5*(((-74.95*(-74.95-(-5/-5)))*(-74.95-(-74.95/(-5*-74.95))))-(-5/-5)))))</f>
        <v>-2116635.916875</v>
      </c>
      <c r="C2506" t="n" s="0">
        <v>-2116635.916875</v>
      </c>
    </row>
    <row r="2507">
      <c r="A2507" t="n" s="0">
        <v>-74.94</v>
      </c>
      <c r="B2507" t="n" s="0">
        <f>(-5-((((-5*(-5/((-5/(((-5*(-74.94--5))-(-5+((-5*-74.94)*(((-5--5)+(-74.94--5))+-74.94))))-(-5+-5)))*-5)))/-5)--5)+(-5*(((-74.94*(-74.94-(-5/-5)))*(-74.94-(-74.94/(-5*-74.94))))-(-5/-5)))))</f>
        <v>-2115790.3761199997</v>
      </c>
      <c r="C2507" t="n" s="0">
        <v>-2115790.3761199997</v>
      </c>
    </row>
    <row r="2508">
      <c r="A2508" t="n" s="0">
        <v>-74.93</v>
      </c>
      <c r="B2508" t="n" s="0">
        <f>(-5-((((-5*(-5/((-5/(((-5*(-74.93--5))-(-5+((-5*-74.93)*(((-5--5)+(-74.93--5))+-74.93))))-(-5+-5)))*-5)))/-5)--5)+(-5*(((-74.93*(-74.93-(-5/-5)))*(-74.93-(-74.93/(-5*-74.93))))-(-5/-5)))))</f>
        <v>-2114945.060585</v>
      </c>
      <c r="C2508" t="n" s="0">
        <v>-2114945.0605850006</v>
      </c>
    </row>
    <row r="2509">
      <c r="A2509" t="n" s="0">
        <v>-74.92</v>
      </c>
      <c r="B2509" t="n" s="0">
        <f>(-5-((((-5*(-5/((-5/(((-5*(-74.92--5))-(-5+((-5*-74.92)*(((-5--5)+(-74.92--5))+-74.92))))-(-5+-5)))*-5)))/-5)--5)+(-5*(((-74.92*(-74.92-(-5/-5)))*(-74.92-(-74.92/(-5*-74.92))))-(-5/-5)))))</f>
        <v>-2114099.97024</v>
      </c>
      <c r="C2509" t="n" s="0">
        <v>-2114099.97024</v>
      </c>
    </row>
    <row r="2510">
      <c r="A2510" t="n" s="0">
        <v>-74.91</v>
      </c>
      <c r="B2510" t="n" s="0">
        <f>(-5-((((-5*(-5/((-5/(((-5*(-74.91--5))-(-5+((-5*-74.91)*(((-5--5)+(-74.91--5))+-74.91))))-(-5+-5)))*-5)))/-5)--5)+(-5*(((-74.91*(-74.91-(-5/-5)))*(-74.91-(-74.91/(-5*-74.91))))-(-5/-5)))))</f>
        <v>-2113255.105055</v>
      </c>
      <c r="C2510" t="n" s="0">
        <v>-2113255.1050549997</v>
      </c>
    </row>
    <row r="2511">
      <c r="A2511" t="n" s="0">
        <v>-74.9</v>
      </c>
      <c r="B2511" t="n" s="0">
        <f>(-5-((((-5*(-5/((-5/(((-5*(-74.9--5))-(-5+((-5*-74.9)*(((-5--5)+(-74.9--5))+-74.9))))-(-5+-5)))*-5)))/-5)--5)+(-5*(((-74.9*(-74.9-(-5/-5)))*(-74.9-(-74.9/(-5*-74.9))))-(-5/-5)))))</f>
        <v>-2112410.465</v>
      </c>
      <c r="C2511" t="n" s="0">
        <v>-2112410.4650000003</v>
      </c>
    </row>
    <row r="2512">
      <c r="A2512" t="n" s="0">
        <v>-74.89</v>
      </c>
      <c r="B2512" t="n" s="0">
        <f>(-5-((((-5*(-5/((-5/(((-5*(-74.89--5))-(-5+((-5*-74.89)*(((-5--5)+(-74.89--5))+-74.89))))-(-5+-5)))*-5)))/-5)--5)+(-5*(((-74.89*(-74.89-(-5/-5)))*(-74.89-(-74.89/(-5*-74.89))))-(-5/-5)))))</f>
        <v>-2111566.0500450004</v>
      </c>
      <c r="C2512" t="n" s="0">
        <v>-2111566.050045</v>
      </c>
    </row>
    <row r="2513">
      <c r="A2513" t="n" s="0">
        <v>-74.88</v>
      </c>
      <c r="B2513" t="n" s="0">
        <f>(-5-((((-5*(-5/((-5/(((-5*(-74.88--5))-(-5+((-5*-74.88)*(((-5--5)+(-74.88--5))+-74.88))))-(-5+-5)))*-5)))/-5)--5)+(-5*(((-74.88*(-74.88-(-5/-5)))*(-74.88-(-74.88/(-5*-74.88))))-(-5/-5)))))</f>
        <v>-2110721.86016</v>
      </c>
      <c r="C2513" t="n" s="0">
        <v>-2110721.8601599997</v>
      </c>
    </row>
    <row r="2514">
      <c r="A2514" t="n" s="0">
        <v>-74.87</v>
      </c>
      <c r="B2514" t="n" s="0">
        <f>(-5-((((-5*(-5/((-5/(((-5*(-74.87--5))-(-5+((-5*-74.87)*(((-5--5)+(-74.87--5))+-74.87))))-(-5+-5)))*-5)))/-5)--5)+(-5*(((-74.87*(-74.87-(-5/-5)))*(-74.87-(-74.87/(-5*-74.87))))-(-5/-5)))))</f>
        <v>-2109877.8953150003</v>
      </c>
      <c r="C2514" t="n" s="0">
        <v>-2109877.8953150003</v>
      </c>
    </row>
    <row r="2515">
      <c r="A2515" t="n" s="0">
        <v>-74.86</v>
      </c>
      <c r="B2515" t="n" s="0">
        <f>(-5-((((-5*(-5/((-5/(((-5*(-74.86--5))-(-5+((-5*-74.86)*(((-5--5)+(-74.86--5))+-74.86))))-(-5+-5)))*-5)))/-5)--5)+(-5*(((-74.86*(-74.86-(-5/-5)))*(-74.86-(-74.86/(-5*-74.86))))-(-5/-5)))))</f>
        <v>-2109034.1554799997</v>
      </c>
      <c r="C2515" t="n" s="0">
        <v>-2109034.1554799997</v>
      </c>
    </row>
    <row r="2516">
      <c r="A2516" t="n" s="0">
        <v>-74.85</v>
      </c>
      <c r="B2516" t="n" s="0">
        <f>(-5-((((-5*(-5/((-5/(((-5*(-74.85--5))-(-5+((-5*-74.85)*(((-5--5)+(-74.85--5))+-74.85))))-(-5+-5)))*-5)))/-5)--5)+(-5*(((-74.85*(-74.85-(-5/-5)))*(-74.85-(-74.85/(-5*-74.85))))-(-5/-5)))))</f>
        <v>-2108190.640625</v>
      </c>
      <c r="C2516" t="n" s="0">
        <v>-2108190.6406249995</v>
      </c>
    </row>
    <row r="2517">
      <c r="A2517" t="n" s="0">
        <v>-74.84</v>
      </c>
      <c r="B2517" t="n" s="0">
        <f>(-5-((((-5*(-5/((-5/(((-5*(-74.84--5))-(-5+((-5*-74.84)*(((-5--5)+(-74.84--5))+-74.84))))-(-5+-5)))*-5)))/-5)--5)+(-5*(((-74.84*(-74.84-(-5/-5)))*(-74.84-(-74.84/(-5*-74.84))))-(-5/-5)))))</f>
        <v>-2107347.3507200005</v>
      </c>
      <c r="C2517" t="n" s="0">
        <v>-2107347.3507200005</v>
      </c>
    </row>
    <row r="2518">
      <c r="A2518" t="n" s="0">
        <v>-74.83</v>
      </c>
      <c r="B2518" t="n" s="0">
        <f>(-5-((((-5*(-5/((-5/(((-5*(-74.83--5))-(-5+((-5*-74.83)*(((-5--5)+(-74.83--5))+-74.83))))-(-5+-5)))*-5)))/-5)--5)+(-5*(((-74.83*(-74.83-(-5/-5)))*(-74.83-(-74.83/(-5*-74.83))))-(-5/-5)))))</f>
        <v>-2106504.2857350004</v>
      </c>
      <c r="C2518" t="n" s="0">
        <v>-2106504.285735</v>
      </c>
    </row>
    <row r="2519">
      <c r="A2519" t="n" s="0">
        <v>-74.82</v>
      </c>
      <c r="B2519" t="n" s="0">
        <f>(-5-((((-5*(-5/((-5/(((-5*(-74.82--5))-(-5+((-5*-74.82)*(((-5--5)+(-74.82--5))+-74.82))))-(-5+-5)))*-5)))/-5)--5)+(-5*(((-74.82*(-74.82-(-5/-5)))*(-74.82-(-74.82/(-5*-74.82))))-(-5/-5)))))</f>
        <v>-2105661.44564</v>
      </c>
      <c r="C2519" t="n" s="0">
        <v>-2105661.445639999</v>
      </c>
    </row>
    <row r="2520">
      <c r="A2520" t="n" s="0">
        <v>-74.81</v>
      </c>
      <c r="B2520" t="n" s="0">
        <f>(-5-((((-5*(-5/((-5/(((-5*(-74.81--5))-(-5+((-5*-74.81)*(((-5--5)+(-74.81--5))+-74.81))))-(-5+-5)))*-5)))/-5)--5)+(-5*(((-74.81*(-74.81-(-5/-5)))*(-74.81-(-74.81/(-5*-74.81))))-(-5/-5)))))</f>
        <v>-2104818.830405</v>
      </c>
      <c r="C2520" t="n" s="0">
        <v>-2104818.830405</v>
      </c>
    </row>
    <row r="2521">
      <c r="A2521" t="n" s="0">
        <v>-74.8</v>
      </c>
      <c r="B2521" t="n" s="0">
        <f>(-5-((((-5*(-5/((-5/(((-5*(-74.8--5))-(-5+((-5*-74.8)*(((-5--5)+(-74.8--5))+-74.8))))-(-5+-5)))*-5)))/-5)--5)+(-5*(((-74.8*(-74.8-(-5/-5)))*(-74.8-(-74.8/(-5*-74.8))))-(-5/-5)))))</f>
        <v>-2103976.44</v>
      </c>
      <c r="C2521" t="n" s="0">
        <v>-2103976.44</v>
      </c>
    </row>
    <row r="2522">
      <c r="A2522" t="n" s="0">
        <v>-74.79</v>
      </c>
      <c r="B2522" t="n" s="0">
        <f>(-5-((((-5*(-5/((-5/(((-5*(-74.79--5))-(-5+((-5*-74.79)*(((-5--5)+(-74.79--5))+-74.79))))-(-5+-5)))*-5)))/-5)--5)+(-5*(((-74.79*(-74.79-(-5/-5)))*(-74.79-(-74.79/(-5*-74.79))))-(-5/-5)))))</f>
        <v>-2103134.274395</v>
      </c>
      <c r="C2522" t="n" s="0">
        <v>-2103134.2743950007</v>
      </c>
    </row>
    <row r="2523">
      <c r="A2523" t="n" s="0">
        <v>-74.78</v>
      </c>
      <c r="B2523" t="n" s="0">
        <f>(-5-((((-5*(-5/((-5/(((-5*(-74.78--5))-(-5+((-5*-74.78)*(((-5--5)+(-74.78--5))+-74.78))))-(-5+-5)))*-5)))/-5)--5)+(-5*(((-74.78*(-74.78-(-5/-5)))*(-74.78-(-74.78/(-5*-74.78))))-(-5/-5)))))</f>
        <v>-2102292.33356</v>
      </c>
      <c r="C2523" t="n" s="0">
        <v>-2102292.33356</v>
      </c>
    </row>
    <row r="2524">
      <c r="A2524" t="n" s="0">
        <v>-74.77</v>
      </c>
      <c r="B2524" t="n" s="0">
        <f>(-5-((((-5*(-5/((-5/(((-5*(-74.77--5))-(-5+((-5*-74.77)*(((-5--5)+(-74.77--5))+-74.77))))-(-5+-5)))*-5)))/-5)--5)+(-5*(((-74.77*(-74.77-(-5/-5)))*(-74.77-(-74.77/(-5*-74.77))))-(-5/-5)))))</f>
        <v>-2101450.617465</v>
      </c>
      <c r="C2524" t="n" s="0">
        <v>-2101450.6174649997</v>
      </c>
    </row>
    <row r="2525">
      <c r="A2525" t="n" s="0">
        <v>-74.76</v>
      </c>
      <c r="B2525" t="n" s="0">
        <f>(-5-((((-5*(-5/((-5/(((-5*(-74.76--5))-(-5+((-5*-74.76)*(((-5--5)+(-74.76--5))+-74.76))))-(-5+-5)))*-5)))/-5)--5)+(-5*(((-74.76*(-74.76-(-5/-5)))*(-74.76-(-74.76/(-5*-74.76))))-(-5/-5)))))</f>
        <v>-2100609.1260800003</v>
      </c>
      <c r="C2525" t="n" s="0">
        <v>-2100609.1260800003</v>
      </c>
    </row>
    <row r="2526">
      <c r="A2526" t="n" s="0">
        <v>-74.75</v>
      </c>
      <c r="B2526" t="n" s="0">
        <f>(-5-((((-5*(-5/((-5/(((-5*(-74.75--5))-(-5+((-5*-74.75)*(((-5--5)+(-74.75--5))+-74.75))))-(-5+-5)))*-5)))/-5)--5)+(-5*(((-74.75*(-74.75-(-5/-5)))*(-74.75-(-74.75/(-5*-74.75))))-(-5/-5)))))</f>
        <v>-2099767.859375</v>
      </c>
      <c r="C2526" t="n" s="0">
        <v>-2099767.859375</v>
      </c>
    </row>
    <row r="2527">
      <c r="A2527" t="n" s="0">
        <v>-74.74</v>
      </c>
      <c r="B2527" t="n" s="0">
        <f>(-5-((((-5*(-5/((-5/(((-5*(-74.74--5))-(-5+((-5*-74.74)*(((-5--5)+(-74.74--5))+-74.74))))-(-5+-5)))*-5)))/-5)--5)+(-5*(((-74.74*(-74.74-(-5/-5)))*(-74.74-(-74.74/(-5*-74.74))))-(-5/-5)))))</f>
        <v>-2098926.81732</v>
      </c>
      <c r="C2527" t="n" s="0">
        <v>-2098926.8173199994</v>
      </c>
    </row>
    <row r="2528">
      <c r="A2528" t="n" s="0">
        <v>-74.73</v>
      </c>
      <c r="B2528" t="n" s="0">
        <f>(-5-((((-5*(-5/((-5/(((-5*(-74.73--5))-(-5+((-5*-74.73)*(((-5--5)+(-74.73--5))+-74.73))))-(-5+-5)))*-5)))/-5)--5)+(-5*(((-74.73*(-74.73-(-5/-5)))*(-74.73-(-74.73/(-5*-74.73))))-(-5/-5)))))</f>
        <v>-2098085.999885</v>
      </c>
      <c r="C2528" t="n" s="0">
        <v>-2098085.9998850003</v>
      </c>
    </row>
    <row r="2529">
      <c r="A2529" t="n" s="0">
        <v>-74.72</v>
      </c>
      <c r="B2529" t="n" s="0">
        <f>(-5-((((-5*(-5/((-5/(((-5*(-74.72--5))-(-5+((-5*-74.72)*(((-5--5)+(-74.72--5))+-74.72))))-(-5+-5)))*-5)))/-5)--5)+(-5*(((-74.72*(-74.72-(-5/-5)))*(-74.72-(-74.72/(-5*-74.72))))-(-5/-5)))))</f>
        <v>-2097245.40704</v>
      </c>
      <c r="C2529" t="n" s="0">
        <v>-2097245.40704</v>
      </c>
    </row>
    <row r="2530">
      <c r="A2530" t="n" s="0">
        <v>-74.71</v>
      </c>
      <c r="B2530" t="n" s="0">
        <f>(-5-((((-5*(-5/((-5/(((-5*(-74.71--5))-(-5+((-5*-74.71)*(((-5--5)+(-74.71--5))+-74.71))))-(-5+-5)))*-5)))/-5)--5)+(-5*(((-74.71*(-74.71-(-5/-5)))*(-74.71-(-74.71/(-5*-74.71))))-(-5/-5)))))</f>
        <v>-2096405.0387549999</v>
      </c>
      <c r="C2530" t="n" s="0">
        <v>-2096405.0387549994</v>
      </c>
    </row>
    <row r="2531">
      <c r="A2531" t="n" s="0">
        <v>-74.7</v>
      </c>
      <c r="B2531" t="n" s="0">
        <f>(-5-((((-5*(-5/((-5/(((-5*(-74.7--5))-(-5+((-5*-74.7)*(((-5--5)+(-74.7--5))+-74.7))))-(-5+-5)))*-5)))/-5)--5)+(-5*(((-74.7*(-74.7-(-5/-5)))*(-74.7-(-74.7/(-5*-74.7))))-(-5/-5)))))</f>
        <v>-2095564.895</v>
      </c>
      <c r="C2531" t="n" s="0">
        <v>-2095564.8950000003</v>
      </c>
    </row>
    <row r="2532">
      <c r="A2532" t="n" s="0">
        <v>-74.69</v>
      </c>
      <c r="B2532" t="n" s="0">
        <f>(-5-((((-5*(-5/((-5/(((-5*(-74.69--5))-(-5+((-5*-74.69)*(((-5--5)+(-74.69--5))+-74.69))))-(-5+-5)))*-5)))/-5)--5)+(-5*(((-74.69*(-74.69-(-5/-5)))*(-74.69-(-74.69/(-5*-74.69))))-(-5/-5)))))</f>
        <v>-2094724.9757450002</v>
      </c>
      <c r="C2532" t="n" s="0">
        <v>-2094724.975745</v>
      </c>
    </row>
    <row r="2533">
      <c r="A2533" t="n" s="0">
        <v>-74.68</v>
      </c>
      <c r="B2533" t="n" s="0">
        <f>(-5-((((-5*(-5/((-5/(((-5*(-74.68--5))-(-5+((-5*-74.68)*(((-5--5)+(-74.68--5))+-74.68))))-(-5+-5)))*-5)))/-5)--5)+(-5*(((-74.68*(-74.68-(-5/-5)))*(-74.68-(-74.68/(-5*-74.68))))-(-5/-5)))))</f>
        <v>-2093885.28096</v>
      </c>
      <c r="C2533" t="n" s="0">
        <v>-2093885.2809600006</v>
      </c>
    </row>
    <row r="2534">
      <c r="A2534" t="n" s="0">
        <v>-74.67</v>
      </c>
      <c r="B2534" t="n" s="0">
        <f>(-5-((((-5*(-5/((-5/(((-5*(-74.67--5))-(-5+((-5*-74.67)*(((-5--5)+(-74.67--5))+-74.67))))-(-5+-5)))*-5)))/-5)--5)+(-5*(((-74.67*(-74.67-(-5/-5)))*(-74.67-(-74.67/(-5*-74.67))))-(-5/-5)))))</f>
        <v>-2093045.8106149998</v>
      </c>
      <c r="C2534" t="n" s="0">
        <v>-2093045.8106150003</v>
      </c>
    </row>
    <row r="2535">
      <c r="A2535" t="n" s="0">
        <v>-74.66</v>
      </c>
      <c r="B2535" t="n" s="0">
        <f>(-5-((((-5*(-5/((-5/(((-5*(-74.66--5))-(-5+((-5*-74.66)*(((-5--5)+(-74.66--5))+-74.66))))-(-5+-5)))*-5)))/-5)--5)+(-5*(((-74.66*(-74.66-(-5/-5)))*(-74.66-(-74.66/(-5*-74.66))))-(-5/-5)))))</f>
        <v>-2092206.56468</v>
      </c>
      <c r="C2535" t="n" s="0">
        <v>-2092206.5646799996</v>
      </c>
    </row>
    <row r="2536">
      <c r="A2536" t="n" s="0">
        <v>-74.65</v>
      </c>
      <c r="B2536" t="n" s="0">
        <f>(-5-((((-5*(-5/((-5/(((-5*(-74.65--5))-(-5+((-5*-74.65)*(((-5--5)+(-74.65--5))+-74.65))))-(-5+-5)))*-5)))/-5)--5)+(-5*(((-74.65*(-74.65-(-5/-5)))*(-74.65-(-74.65/(-5*-74.65))))-(-5/-5)))))</f>
        <v>-2091367.5431249999</v>
      </c>
      <c r="C2536" t="n" s="0">
        <v>-2091367.5431250005</v>
      </c>
    </row>
    <row r="2537">
      <c r="A2537" t="n" s="0">
        <v>-74.64</v>
      </c>
      <c r="B2537" t="n" s="0">
        <f>(-5-((((-5*(-5/((-5/(((-5*(-74.64--5))-(-5+((-5*-74.64)*(((-5--5)+(-74.64--5))+-74.64))))-(-5+-5)))*-5)))/-5)--5)+(-5*(((-74.64*(-74.64-(-5/-5)))*(-74.64-(-74.64/(-5*-74.64))))-(-5/-5)))))</f>
        <v>-2090528.74592</v>
      </c>
      <c r="C2537" t="n" s="0">
        <v>-2090528.74592</v>
      </c>
    </row>
    <row r="2538">
      <c r="A2538" t="n" s="0">
        <v>-74.63</v>
      </c>
      <c r="B2538" t="n" s="0">
        <f>(-5-((((-5*(-5/((-5/(((-5*(-74.63--5))-(-5+((-5*-74.63)*(((-5--5)+(-74.63--5))+-74.63))))-(-5+-5)))*-5)))/-5)--5)+(-5*(((-74.63*(-74.63-(-5/-5)))*(-74.63-(-74.63/(-5*-74.63))))-(-5/-5)))))</f>
        <v>-2089690.173035</v>
      </c>
      <c r="C2538" t="n" s="0">
        <v>-2089690.1730349995</v>
      </c>
    </row>
    <row r="2539">
      <c r="A2539" t="n" s="0">
        <v>-74.62</v>
      </c>
      <c r="B2539" t="n" s="0">
        <f>(-5-((((-5*(-5/((-5/(((-5*(-74.62--5))-(-5+((-5*-74.62)*(((-5--5)+(-74.62--5))+-74.62))))-(-5+-5)))*-5)))/-5)--5)+(-5*(((-74.62*(-74.62-(-5/-5)))*(-74.62-(-74.62/(-5*-74.62))))-(-5/-5)))))</f>
        <v>-2088851.8244399999</v>
      </c>
      <c r="C2539" t="n" s="0">
        <v>-2088851.8244400006</v>
      </c>
    </row>
    <row r="2540">
      <c r="A2540" t="n" s="0">
        <v>-74.61</v>
      </c>
      <c r="B2540" t="n" s="0">
        <f>(-5-((((-5*(-5/((-5/(((-5*(-74.61--5))-(-5+((-5*-74.61)*(((-5--5)+(-74.61--5))+-74.61))))-(-5+-5)))*-5)))/-5)--5)+(-5*(((-74.61*(-74.61-(-5/-5)))*(-74.61-(-74.61/(-5*-74.61))))-(-5/-5)))))</f>
        <v>-2088013.700105</v>
      </c>
      <c r="C2540" t="n" s="0">
        <v>-2088013.7001049998</v>
      </c>
    </row>
    <row r="2541">
      <c r="A2541" t="n" s="0">
        <v>-74.6</v>
      </c>
      <c r="B2541" t="n" s="0">
        <f>(-5-((((-5*(-5/((-5/(((-5*(-74.6--5))-(-5+((-5*-74.6)*(((-5--5)+(-74.6--5))+-74.6))))-(-5+-5)))*-5)))/-5)--5)+(-5*(((-74.6*(-74.6-(-5/-5)))*(-74.6-(-74.6/(-5*-74.6))))-(-5/-5)))))</f>
        <v>-2087175.8000000003</v>
      </c>
      <c r="C2541" t="n" s="0">
        <v>-2087175.7999999998</v>
      </c>
    </row>
    <row r="2542">
      <c r="A2542" t="n" s="0">
        <v>-74.59</v>
      </c>
      <c r="B2542" t="n" s="0">
        <f>(-5-((((-5*(-5/((-5/(((-5*(-74.59--5))-(-5+((-5*-74.59)*(((-5--5)+(-74.59--5))+-74.59))))-(-5+-5)))*-5)))/-5)--5)+(-5*(((-74.59*(-74.59-(-5/-5)))*(-74.59-(-74.59/(-5*-74.59))))-(-5/-5)))))</f>
        <v>-2086338.1240949999</v>
      </c>
      <c r="C2542" t="n" s="0">
        <v>-2086338.1240950003</v>
      </c>
    </row>
    <row r="2543">
      <c r="A2543" t="n" s="0">
        <v>-74.58</v>
      </c>
      <c r="B2543" t="n" s="0">
        <f>(-5-((((-5*(-5/((-5/(((-5*(-74.58--5))-(-5+((-5*-74.58)*(((-5--5)+(-74.58--5))+-74.58))))-(-5+-5)))*-5)))/-5)--5)+(-5*(((-74.58*(-74.58-(-5/-5)))*(-74.58-(-74.58/(-5*-74.58))))-(-5/-5)))))</f>
        <v>-2085500.67236</v>
      </c>
      <c r="C2543" t="n" s="0">
        <v>-2085500.6723599997</v>
      </c>
    </row>
    <row r="2544">
      <c r="A2544" t="n" s="0">
        <v>-74.57</v>
      </c>
      <c r="B2544" t="n" s="0">
        <f>(-5-((((-5*(-5/((-5/(((-5*(-74.57--5))-(-5+((-5*-74.57)*(((-5--5)+(-74.57--5))+-74.57))))-(-5+-5)))*-5)))/-5)--5)+(-5*(((-74.57*(-74.57-(-5/-5)))*(-74.57-(-74.57/(-5*-74.57))))-(-5/-5)))))</f>
        <v>-2084663.4447650001</v>
      </c>
      <c r="C2544" t="n" s="0">
        <v>-2084663.4447649992</v>
      </c>
    </row>
    <row r="2545">
      <c r="A2545" t="n" s="0">
        <v>-74.56</v>
      </c>
      <c r="B2545" t="n" s="0">
        <f>(-5-((((-5*(-5/((-5/(((-5*(-74.56--5))-(-5+((-5*-74.56)*(((-5--5)+(-74.56--5))+-74.56))))-(-5+-5)))*-5)))/-5)--5)+(-5*(((-74.56*(-74.56-(-5/-5)))*(-74.56-(-74.56/(-5*-74.56))))-(-5/-5)))))</f>
        <v>-2083826.44128</v>
      </c>
      <c r="C2545" t="n" s="0">
        <v>-2083826.4412800001</v>
      </c>
    </row>
    <row r="2546">
      <c r="A2546" t="n" s="0">
        <v>-74.55</v>
      </c>
      <c r="B2546" t="n" s="0">
        <f>(-5-((((-5*(-5/((-5/(((-5*(-74.55--5))-(-5+((-5*-74.55)*(((-5--5)+(-74.55--5))+-74.55))))-(-5+-5)))*-5)))/-5)--5)+(-5*(((-74.55*(-74.55-(-5/-5)))*(-74.55-(-74.55/(-5*-74.55))))-(-5/-5)))))</f>
        <v>-2082989.661875</v>
      </c>
      <c r="C2546" t="n" s="0">
        <v>-2082989.6618749998</v>
      </c>
    </row>
    <row r="2547">
      <c r="A2547" t="n" s="0">
        <v>-74.54</v>
      </c>
      <c r="B2547" t="n" s="0">
        <f>(-5-((((-5*(-5/((-5/(((-5*(-74.54--5))-(-5+((-5*-74.54)*(((-5--5)+(-74.54--5))+-74.54))))-(-5+-5)))*-5)))/-5)--5)+(-5*(((-74.54*(-74.54-(-5/-5)))*(-74.54-(-74.54/(-5*-74.54))))-(-5/-5)))))</f>
        <v>-2082153.1065200001</v>
      </c>
      <c r="C2547" t="n" s="0">
        <v>-2082153.1065200006</v>
      </c>
    </row>
    <row r="2548">
      <c r="A2548" t="n" s="0">
        <v>-74.53</v>
      </c>
      <c r="B2548" t="n" s="0">
        <f>(-5-((((-5*(-5/((-5/(((-5*(-74.53--5))-(-5+((-5*-74.53)*(((-5--5)+(-74.53--5))+-74.53))))-(-5+-5)))*-5)))/-5)--5)+(-5*(((-74.53*(-74.53-(-5/-5)))*(-74.53-(-74.53/(-5*-74.53))))-(-5/-5)))))</f>
        <v>-2081316.775185</v>
      </c>
      <c r="C2548" t="n" s="0">
        <v>-2081316.7751850002</v>
      </c>
    </row>
    <row r="2549">
      <c r="A2549" t="n" s="0">
        <v>-74.52</v>
      </c>
      <c r="B2549" t="n" s="0">
        <f>(-5-((((-5*(-5/((-5/(((-5*(-74.52--5))-(-5+((-5*-74.52)*(((-5--5)+(-74.52--5))+-74.52))))-(-5+-5)))*-5)))/-5)--5)+(-5*(((-74.52*(-74.52-(-5/-5)))*(-74.52-(-74.52/(-5*-74.52))))-(-5/-5)))))</f>
        <v>-2080480.66784</v>
      </c>
      <c r="C2549" t="n" s="0">
        <v>-2080480.6678399998</v>
      </c>
    </row>
    <row r="2550">
      <c r="A2550" t="n" s="0">
        <v>-74.51</v>
      </c>
      <c r="B2550" t="n" s="0">
        <f>(-5-((((-5*(-5/((-5/(((-5*(-74.51--5))-(-5+((-5*-74.51)*(((-5--5)+(-74.51--5))+-74.51))))-(-5+-5)))*-5)))/-5)--5)+(-5*(((-74.51*(-74.51-(-5/-5)))*(-74.51-(-74.51/(-5*-74.51))))-(-5/-5)))))</f>
        <v>-2079644.784455</v>
      </c>
      <c r="C2550" t="n" s="0">
        <v>-2079644.7844550004</v>
      </c>
    </row>
    <row r="2551">
      <c r="A2551" t="n" s="0">
        <v>-74.5</v>
      </c>
      <c r="B2551" t="n" s="0">
        <f>(-5-((((-5*(-5/((-5/(((-5*(-74.5--5))-(-5+((-5*-74.5)*(((-5--5)+(-74.5--5))+-74.5))))-(-5+-5)))*-5)))/-5)--5)+(-5*(((-74.5*(-74.5-(-5/-5)))*(-74.5-(-74.5/(-5*-74.5))))-(-5/-5)))))</f>
        <v>-2078809.125</v>
      </c>
      <c r="C2551" t="n" s="0">
        <v>-2078809.125</v>
      </c>
    </row>
    <row r="2552">
      <c r="A2552" t="n" s="0">
        <v>-74.49</v>
      </c>
      <c r="B2552" t="n" s="0">
        <f>(-5-((((-5*(-5/((-5/(((-5*(-74.49--5))-(-5+((-5*-74.49)*(((-5--5)+(-74.49--5))+-74.49))))-(-5+-5)))*-5)))/-5)--5)+(-5*(((-74.49*(-74.49-(-5/-5)))*(-74.49-(-74.49/(-5*-74.49))))-(-5/-5)))))</f>
        <v>-2077973.6894450001</v>
      </c>
      <c r="C2552" t="n" s="0">
        <v>-2077973.6894449994</v>
      </c>
    </row>
    <row r="2553">
      <c r="A2553" t="n" s="0">
        <v>-74.48</v>
      </c>
      <c r="B2553" t="n" s="0">
        <f>(-5-((((-5*(-5/((-5/(((-5*(-74.48--5))-(-5+((-5*-74.48)*(((-5--5)+(-74.48--5))+-74.48))))-(-5+-5)))*-5)))/-5)--5)+(-5*(((-74.48*(-74.48-(-5/-5)))*(-74.48-(-74.48/(-5*-74.48))))-(-5/-5)))))</f>
        <v>-2077138.4777600002</v>
      </c>
      <c r="C2553" t="n" s="0">
        <v>-2077138.4777600002</v>
      </c>
    </row>
    <row r="2554">
      <c r="A2554" t="n" s="0">
        <v>-74.47</v>
      </c>
      <c r="B2554" t="n" s="0">
        <f>(-5-((((-5*(-5/((-5/(((-5*(-74.47--5))-(-5+((-5*-74.47)*(((-5--5)+(-74.47--5))+-74.47))))-(-5+-5)))*-5)))/-5)--5)+(-5*(((-74.47*(-74.47-(-5/-5)))*(-74.47-(-74.47/(-5*-74.47))))-(-5/-5)))))</f>
        <v>-2076303.489915</v>
      </c>
      <c r="C2554" t="n" s="0">
        <v>-2076303.4899149998</v>
      </c>
    </row>
    <row r="2555">
      <c r="A2555" t="n" s="0">
        <v>-74.46</v>
      </c>
      <c r="B2555" t="n" s="0">
        <f>(-5-((((-5*(-5/((-5/(((-5*(-74.46--5))-(-5+((-5*-74.46)*(((-5--5)+(-74.46--5))+-74.46))))-(-5+-5)))*-5)))/-5)--5)+(-5*(((-74.46*(-74.46-(-5/-5)))*(-74.46-(-74.46/(-5*-74.46))))-(-5/-5)))))</f>
        <v>-2075468.72588</v>
      </c>
      <c r="C2555" t="n" s="0">
        <v>-2075468.7258799993</v>
      </c>
    </row>
    <row r="2556">
      <c r="A2556" t="n" s="0">
        <v>-74.45</v>
      </c>
      <c r="B2556" t="n" s="0">
        <f>(-5-((((-5*(-5/((-5/(((-5*(-74.45--5))-(-5+((-5*-74.45)*(((-5--5)+(-74.45--5))+-74.45))))-(-5+-5)))*-5)))/-5)--5)+(-5*(((-74.45*(-74.45-(-5/-5)))*(-74.45-(-74.45/(-5*-74.45))))-(-5/-5)))))</f>
        <v>-2074634.1856250002</v>
      </c>
      <c r="C2556" t="n" s="0">
        <v>-2074634.1856250002</v>
      </c>
    </row>
    <row r="2557">
      <c r="A2557" t="n" s="0">
        <v>-74.44</v>
      </c>
      <c r="B2557" t="n" s="0">
        <f>(-5-((((-5*(-5/((-5/(((-5*(-74.44--5))-(-5+((-5*-74.44)*(((-5--5)+(-74.44--5))+-74.44))))-(-5+-5)))*-5)))/-5)--5)+(-5*(((-74.44*(-74.44-(-5/-5)))*(-74.44-(-74.44/(-5*-74.44))))-(-5/-5)))))</f>
        <v>-2073799.86912</v>
      </c>
      <c r="C2557" t="n" s="0">
        <v>-2073799.86912</v>
      </c>
    </row>
    <row r="2558">
      <c r="A2558" t="n" s="0">
        <v>-74.43</v>
      </c>
      <c r="B2558" t="n" s="0">
        <f>(-5-((((-5*(-5/((-5/(((-5*(-74.43--5))-(-5+((-5*-74.43)*(((-5--5)+(-74.43--5))+-74.43))))-(-5+-5)))*-5)))/-5)--5)+(-5*(((-74.43*(-74.43-(-5/-5)))*(-74.43-(-74.43/(-5*-74.43))))-(-5/-5)))))</f>
        <v>-2072965.776335</v>
      </c>
      <c r="C2558" t="n" s="0">
        <v>-2072965.7763350008</v>
      </c>
    </row>
    <row r="2559">
      <c r="A2559" t="n" s="0">
        <v>-74.42</v>
      </c>
      <c r="B2559" t="n" s="0">
        <f>(-5-((((-5*(-5/((-5/(((-5*(-74.42--5))-(-5+((-5*-74.42)*(((-5--5)+(-74.42--5))+-74.42))))-(-5+-5)))*-5)))/-5)--5)+(-5*(((-74.42*(-74.42-(-5/-5)))*(-74.42-(-74.42/(-5*-74.42))))-(-5/-5)))))</f>
        <v>-2072131.90724</v>
      </c>
      <c r="C2559" t="n" s="0">
        <v>-2072131.90724</v>
      </c>
    </row>
    <row r="2560">
      <c r="A2560" t="n" s="0">
        <v>-74.41</v>
      </c>
      <c r="B2560" t="n" s="0">
        <f>(-5-((((-5*(-5/((-5/(((-5*(-74.41--5))-(-5+((-5*-74.41)*(((-5--5)+(-74.41--5))+-74.41))))-(-5+-5)))*-5)))/-5)--5)+(-5*(((-74.41*(-74.41-(-5/-5)))*(-74.41-(-74.41/(-5*-74.41))))-(-5/-5)))))</f>
        <v>-2071298.261805</v>
      </c>
      <c r="C2560" t="n" s="0">
        <v>-2071298.2618049996</v>
      </c>
    </row>
    <row r="2561">
      <c r="A2561" t="n" s="0">
        <v>-74.4</v>
      </c>
      <c r="B2561" t="n" s="0">
        <f>(-5-((((-5*(-5/((-5/(((-5*(-74.4--5))-(-5+((-5*-74.4)*(((-5--5)+(-74.4--5))+-74.4))))-(-5+-5)))*-5)))/-5)--5)+(-5*(((-74.4*(-74.4-(-5/-5)))*(-74.4-(-74.4/(-5*-74.4))))-(-5/-5)))))</f>
        <v>-2070464.8399999999</v>
      </c>
      <c r="C2561" t="n" s="0">
        <v>-2070464.8400000003</v>
      </c>
    </row>
    <row r="2562">
      <c r="A2562" t="n" s="0">
        <v>-74.39</v>
      </c>
      <c r="B2562" t="n" s="0">
        <f>(-5-((((-5*(-5/((-5/(((-5*(-74.39--5))-(-5+((-5*-74.39)*(((-5--5)+(-74.39--5))+-74.39))))-(-5+-5)))*-5)))/-5)--5)+(-5*(((-74.39*(-74.39-(-5/-5)))*(-74.39-(-74.39/(-5*-74.39))))-(-5/-5)))))</f>
        <v>-2069631.641795</v>
      </c>
      <c r="C2562" t="n" s="0">
        <v>-2069631.641795</v>
      </c>
    </row>
    <row r="2563">
      <c r="A2563" t="n" s="0">
        <v>-74.38</v>
      </c>
      <c r="B2563" t="n" s="0">
        <f>(-5-((((-5*(-5/((-5/(((-5*(-74.38--5))-(-5+((-5*-74.38)*(((-5--5)+(-74.38--5))+-74.38))))-(-5+-5)))*-5)))/-5)--5)+(-5*(((-74.38*(-74.38-(-5/-5)))*(-74.38-(-74.38/(-5*-74.38))))-(-5/-5)))))</f>
        <v>-2068798.66716</v>
      </c>
      <c r="C2563" t="n" s="0">
        <v>-2068798.6671599995</v>
      </c>
    </row>
    <row r="2564">
      <c r="A2564" t="n" s="0">
        <v>-74.37</v>
      </c>
      <c r="B2564" t="n" s="0">
        <f>(-5-((((-5*(-5/((-5/(((-5*(-74.37--5))-(-5+((-5*-74.37)*(((-5--5)+(-74.37--5))+-74.37))))-(-5+-5)))*-5)))/-5)--5)+(-5*(((-74.37*(-74.37-(-5/-5)))*(-74.37-(-74.37/(-5*-74.37))))-(-5/-5)))))</f>
        <v>-2067965.916065</v>
      </c>
      <c r="C2564" t="n" s="0">
        <v>-2067965.9160650007</v>
      </c>
    </row>
    <row r="2565">
      <c r="A2565" t="n" s="0">
        <v>-74.36</v>
      </c>
      <c r="B2565" t="n" s="0">
        <f>(-5-((((-5*(-5/((-5/(((-5*(-74.36--5))-(-5+((-5*-74.36)*(((-5--5)+(-74.36--5))+-74.36))))-(-5+-5)))*-5)))/-5)--5)+(-5*(((-74.36*(-74.36-(-5/-5)))*(-74.36-(-74.36/(-5*-74.36))))-(-5/-5)))))</f>
        <v>-2067133.38848</v>
      </c>
      <c r="C2565" t="n" s="0">
        <v>-2067133.38848</v>
      </c>
    </row>
    <row r="2566">
      <c r="A2566" t="n" s="0">
        <v>-74.35</v>
      </c>
      <c r="B2566" t="n" s="0">
        <f>(-5-((((-5*(-5/((-5/(((-5*(-74.35--5))-(-5+((-5*-74.35)*(((-5--5)+(-74.35--5))+-74.35))))-(-5+-5)))*-5)))/-5)--5)+(-5*(((-74.35*(-74.35-(-5/-5)))*(-74.35-(-74.35/(-5*-74.35))))-(-5/-5)))))</f>
        <v>-2066301.0843749999</v>
      </c>
      <c r="C2566" t="n" s="0">
        <v>-2066301.0843749996</v>
      </c>
    </row>
    <row r="2567">
      <c r="A2567" t="n" s="0">
        <v>-74.34</v>
      </c>
      <c r="B2567" t="n" s="0">
        <f>(-5-((((-5*(-5/((-5/(((-5*(-74.34--5))-(-5+((-5*-74.34)*(((-5--5)+(-74.34--5))+-74.34))))-(-5+-5)))*-5)))/-5)--5)+(-5*(((-74.34*(-74.34-(-5/-5)))*(-74.34-(-74.34/(-5*-74.34))))-(-5/-5)))))</f>
        <v>-2065469.00372</v>
      </c>
      <c r="C2567" t="n" s="0">
        <v>-2065469.0037200004</v>
      </c>
    </row>
    <row r="2568">
      <c r="A2568" t="n" s="0">
        <v>-74.33</v>
      </c>
      <c r="B2568" t="n" s="0">
        <f>(-5-((((-5*(-5/((-5/(((-5*(-74.33--5))-(-5+((-5*-74.33)*(((-5--5)+(-74.33--5))+-74.33))))-(-5+-5)))*-5)))/-5)--5)+(-5*(((-74.33*(-74.33-(-5/-5)))*(-74.33-(-74.33/(-5*-74.33))))-(-5/-5)))))</f>
        <v>-2064637.146485</v>
      </c>
      <c r="C2568" t="n" s="0">
        <v>-2064637.1464849997</v>
      </c>
    </row>
    <row r="2569">
      <c r="A2569" t="n" s="0">
        <v>-74.32</v>
      </c>
      <c r="B2569" t="n" s="0">
        <f>(-5-((((-5*(-5/((-5/(((-5*(-74.32--5))-(-5+((-5*-74.32)*(((-5--5)+(-74.32--5))+-74.32))))-(-5+-5)))*-5)))/-5)--5)+(-5*(((-74.32*(-74.32-(-5/-5)))*(-74.32-(-74.32/(-5*-74.32))))-(-5/-5)))))</f>
        <v>-2063805.51264</v>
      </c>
      <c r="C2569" t="n" s="0">
        <v>-2063805.5126399992</v>
      </c>
    </row>
    <row r="2570">
      <c r="A2570" t="n" s="0">
        <v>-74.31</v>
      </c>
      <c r="B2570" t="n" s="0">
        <f>(-5-((((-5*(-5/((-5/(((-5*(-74.31--5))-(-5+((-5*-74.31)*(((-5--5)+(-74.31--5))+-74.31))))-(-5+-5)))*-5)))/-5)--5)+(-5*(((-74.31*(-74.31-(-5/-5)))*(-74.31-(-74.31/(-5*-74.31))))-(-5/-5)))))</f>
        <v>-2062974.102155</v>
      </c>
      <c r="C2570" t="n" s="0">
        <v>-2062974.102155</v>
      </c>
    </row>
    <row r="2571">
      <c r="A2571" t="n" s="0">
        <v>-74.3</v>
      </c>
      <c r="B2571" t="n" s="0">
        <f>(-5-((((-5*(-5/((-5/(((-5*(-74.3--5))-(-5+((-5*-74.3)*(((-5--5)+(-74.3--5))+-74.3))))-(-5+-5)))*-5)))/-5)--5)+(-5*(((-74.3*(-74.3-(-5/-5)))*(-74.3-(-74.3/(-5*-74.3))))-(-5/-5)))))</f>
        <v>-2062142.915</v>
      </c>
      <c r="C2571" t="n" s="0">
        <v>-2062142.9149999996</v>
      </c>
    </row>
    <row r="2572">
      <c r="A2572" t="n" s="0">
        <v>-74.29</v>
      </c>
      <c r="B2572" t="n" s="0">
        <f>(-5-((((-5*(-5/((-5/(((-5*(-74.29--5))-(-5+((-5*-74.29)*(((-5--5)+(-74.29--5))+-74.29))))-(-5+-5)))*-5)))/-5)--5)+(-5*(((-74.29*(-74.29-(-5/-5)))*(-74.29-(-74.29/(-5*-74.29))))-(-5/-5)))))</f>
        <v>-2061311.951145</v>
      </c>
      <c r="C2572" t="n" s="0">
        <v>-2061311.9511450008</v>
      </c>
    </row>
    <row r="2573">
      <c r="A2573" t="n" s="0">
        <v>-74.28</v>
      </c>
      <c r="B2573" t="n" s="0">
        <f>(-5-((((-5*(-5/((-5/(((-5*(-74.28--5))-(-5+((-5*-74.28)*(((-5--5)+(-74.28--5))+-74.28))))-(-5+-5)))*-5)))/-5)--5)+(-5*(((-74.28*(-74.28-(-5/-5)))*(-74.28-(-74.28/(-5*-74.28))))-(-5/-5)))))</f>
        <v>-2060481.21056</v>
      </c>
      <c r="C2573" t="n" s="0">
        <v>-2060481.21056</v>
      </c>
    </row>
    <row r="2574">
      <c r="A2574" t="n" s="0">
        <v>-74.27</v>
      </c>
      <c r="B2574" t="n" s="0">
        <f>(-5-((((-5*(-5/((-5/(((-5*(-74.27--5))-(-5+((-5*-74.27)*(((-5--5)+(-74.27--5))+-74.27))))-(-5+-5)))*-5)))/-5)--5)+(-5*(((-74.27*(-74.27-(-5/-5)))*(-74.27-(-74.27/(-5*-74.27))))-(-5/-5)))))</f>
        <v>-2059650.693215</v>
      </c>
      <c r="C2574" t="n" s="0">
        <v>-2059650.6932149997</v>
      </c>
    </row>
    <row r="2575">
      <c r="A2575" t="n" s="0">
        <v>-74.26</v>
      </c>
      <c r="B2575" t="n" s="0">
        <f>(-5-((((-5*(-5/((-5/(((-5*(-74.26--5))-(-5+((-5*-74.26)*(((-5--5)+(-74.26--5))+-74.26))))-(-5+-5)))*-5)))/-5)--5)+(-5*(((-74.26*(-74.26-(-5/-5)))*(-74.26-(-74.26/(-5*-74.26))))-(-5/-5)))))</f>
        <v>-2058820.39908</v>
      </c>
      <c r="C2575" t="n" s="0">
        <v>-2058820.3990800006</v>
      </c>
    </row>
    <row r="2576">
      <c r="A2576" t="n" s="0">
        <v>-74.25</v>
      </c>
      <c r="B2576" t="n" s="0">
        <f>(-5-((((-5*(-5/((-5/(((-5*(-74.25--5))-(-5+((-5*-74.25)*(((-5--5)+(-74.25--5))+-74.25))))-(-5+-5)))*-5)))/-5)--5)+(-5*(((-74.25*(-74.25-(-5/-5)))*(-74.25-(-74.25/(-5*-74.25))))-(-5/-5)))))</f>
        <v>-2057990.328125</v>
      </c>
      <c r="C2576" t="n" s="0">
        <v>-2057990.328125</v>
      </c>
    </row>
    <row r="2577">
      <c r="A2577" t="n" s="0">
        <v>-74.24</v>
      </c>
      <c r="B2577" t="n" s="0">
        <f>(-5-((((-5*(-5/((-5/(((-5*(-74.24--5))-(-5+((-5*-74.24)*(((-5--5)+(-74.24--5))+-74.24))))-(-5+-5)))*-5)))/-5)--5)+(-5*(((-74.24*(-74.24-(-5/-5)))*(-74.24-(-74.24/(-5*-74.24))))-(-5/-5)))))</f>
        <v>-2057160.48032</v>
      </c>
      <c r="C2577" t="n" s="0">
        <v>-2057160.4803199994</v>
      </c>
    </row>
    <row r="2578">
      <c r="A2578" t="n" s="0">
        <v>-74.23</v>
      </c>
      <c r="B2578" t="n" s="0">
        <f>(-5-((((-5*(-5/((-5/(((-5*(-74.23--5))-(-5+((-5*-74.23)*(((-5--5)+(-74.23--5))+-74.23))))-(-5+-5)))*-5)))/-5)--5)+(-5*(((-74.23*(-74.23-(-5/-5)))*(-74.23-(-74.23/(-5*-74.23))))-(-5/-5)))))</f>
        <v>-2056330.8556350002</v>
      </c>
      <c r="C2578" t="n" s="0">
        <v>-2056330.8556350004</v>
      </c>
    </row>
    <row r="2579">
      <c r="A2579" t="n" s="0">
        <v>-74.22</v>
      </c>
      <c r="B2579" t="n" s="0">
        <f>(-5-((((-5*(-5/((-5/(((-5*(-74.22--5))-(-5+((-5*-74.22)*(((-5--5)+(-74.22--5))+-74.22))))-(-5+-5)))*-5)))/-5)--5)+(-5*(((-74.22*(-74.22-(-5/-5)))*(-74.22-(-74.22/(-5*-74.22))))-(-5/-5)))))</f>
        <v>-2055501.45404</v>
      </c>
      <c r="C2579" t="n" s="0">
        <v>-2055501.4540399997</v>
      </c>
    </row>
    <row r="2580">
      <c r="A2580" t="n" s="0">
        <v>-74.21</v>
      </c>
      <c r="B2580" t="n" s="0">
        <f>(-5-((((-5*(-5/((-5/(((-5*(-74.21--5))-(-5+((-5*-74.21)*(((-5--5)+(-74.21--5))+-74.21))))-(-5+-5)))*-5)))/-5)--5)+(-5*(((-74.21*(-74.21-(-5/-5)))*(-74.21-(-74.21/(-5*-74.21))))-(-5/-5)))))</f>
        <v>-2054672.275505</v>
      </c>
      <c r="C2580" t="n" s="0">
        <v>-2054672.2755049996</v>
      </c>
    </row>
    <row r="2581">
      <c r="A2581" t="n" s="0">
        <v>-74.2</v>
      </c>
      <c r="B2581" t="n" s="0">
        <f>(-5-((((-5*(-5/((-5/(((-5*(-74.2--5))-(-5+((-5*-74.2)*(((-5--5)+(-74.2--5))+-74.2))))-(-5+-5)))*-5)))/-5)--5)+(-5*(((-74.2*(-74.2-(-5/-5)))*(-74.2-(-74.2/(-5*-74.2))))-(-5/-5)))))</f>
        <v>-2053843.32</v>
      </c>
      <c r="C2581" t="n" s="0">
        <v>-2053843.3200000005</v>
      </c>
    </row>
    <row r="2582">
      <c r="A2582" t="n" s="0">
        <v>-74.19</v>
      </c>
      <c r="B2582" t="n" s="0">
        <f>(-5-((((-5*(-5/((-5/(((-5*(-74.19--5))-(-5+((-5*-74.19)*(((-5--5)+(-74.19--5))+-74.19))))-(-5+-5)))*-5)))/-5)--5)+(-5*(((-74.19*(-74.19-(-5/-5)))*(-74.19-(-74.19/(-5*-74.19))))-(-5/-5)))))</f>
        <v>-2053014.5874949999</v>
      </c>
      <c r="C2582" t="n" s="0">
        <v>-2053014.5874949999</v>
      </c>
    </row>
    <row r="2583">
      <c r="A2583" t="n" s="0">
        <v>-74.18</v>
      </c>
      <c r="B2583" t="n" s="0">
        <f>(-5-((((-5*(-5/((-5/(((-5*(-74.18--5))-(-5+((-5*-74.18)*(((-5--5)+(-74.18--5))+-74.18))))-(-5+-5)))*-5)))/-5)--5)+(-5*(((-74.18*(-74.18-(-5/-5)))*(-74.18-(-74.18/(-5*-74.18))))-(-5/-5)))))</f>
        <v>-2052186.07796</v>
      </c>
      <c r="C2583" t="n" s="0">
        <v>-2052186.0779600006</v>
      </c>
    </row>
    <row r="2584">
      <c r="A2584" t="n" s="0">
        <v>-74.17</v>
      </c>
      <c r="B2584" t="n" s="0">
        <f>(-5-((((-5*(-5/((-5/(((-5*(-74.17--5))-(-5+((-5*-74.17)*(((-5--5)+(-74.17--5))+-74.17))))-(-5+-5)))*-5)))/-5)--5)+(-5*(((-74.17*(-74.17-(-5/-5)))*(-74.17-(-74.17/(-5*-74.17))))-(-5/-5)))))</f>
        <v>-2051357.791365</v>
      </c>
      <c r="C2584" t="n" s="0">
        <v>-2051357.791365</v>
      </c>
    </row>
    <row r="2585">
      <c r="A2585" t="n" s="0">
        <v>-74.16</v>
      </c>
      <c r="B2585" t="n" s="0">
        <f>(-5-((((-5*(-5/((-5/(((-5*(-74.16--5))-(-5+((-5*-74.16)*(((-5--5)+(-74.16--5))+-74.16))))-(-5+-5)))*-5)))/-5)--5)+(-5*(((-74.16*(-74.16-(-5/-5)))*(-74.16-(-74.16/(-5*-74.16))))-(-5/-5)))))</f>
        <v>-2050529.72768</v>
      </c>
      <c r="C2585" t="n" s="0">
        <v>-2050529.7276799995</v>
      </c>
    </row>
    <row r="2586">
      <c r="A2586" t="n" s="0">
        <v>-74.15</v>
      </c>
      <c r="B2586" t="n" s="0">
        <f>(-5-((((-5*(-5/((-5/(((-5*(-74.15--5))-(-5+((-5*-74.15)*(((-5--5)+(-74.15--5))+-74.15))))-(-5+-5)))*-5)))/-5)--5)+(-5*(((-74.15*(-74.15-(-5/-5)))*(-74.15-(-74.15/(-5*-74.15))))-(-5/-5)))))</f>
        <v>-2049701.886875</v>
      </c>
      <c r="C2586" t="n" s="0">
        <v>-2049701.8868750005</v>
      </c>
    </row>
    <row r="2587">
      <c r="A2587" t="n" s="0">
        <v>-74.14</v>
      </c>
      <c r="B2587" t="n" s="0">
        <f>(-5-((((-5*(-5/((-5/(((-5*(-74.14--5))-(-5+((-5*-74.14)*(((-5--5)+(-74.14--5))+-74.14))))-(-5+-5)))*-5)))/-5)--5)+(-5*(((-74.14*(-74.14-(-5/-5)))*(-74.14-(-74.14/(-5*-74.14))))-(-5/-5)))))</f>
        <v>-2048874.2689200002</v>
      </c>
      <c r="C2587" t="n" s="0">
        <v>-2048874.26892</v>
      </c>
    </row>
    <row r="2588">
      <c r="A2588" t="n" s="0">
        <v>-74.13</v>
      </c>
      <c r="B2588" t="n" s="0">
        <f>(-5-((((-5*(-5/((-5/(((-5*(-74.13--5))-(-5+((-5*-74.13)*(((-5--5)+(-74.13--5))+-74.13))))-(-5+-5)))*-5)))/-5)--5)+(-5*(((-74.13*(-74.13-(-5/-5)))*(-74.13-(-74.13/(-5*-74.13))))-(-5/-5)))))</f>
        <v>-2048046.873785</v>
      </c>
      <c r="C2588" t="n" s="0">
        <v>-2048046.8737849998</v>
      </c>
    </row>
    <row r="2589">
      <c r="A2589" t="n" s="0">
        <v>-74.12</v>
      </c>
      <c r="B2589" t="n" s="0">
        <f>(-5-((((-5*(-5/((-5/(((-5*(-74.12--5))-(-5+((-5*-74.12)*(((-5--5)+(-74.12--5))+-74.12))))-(-5+-5)))*-5)))/-5)--5)+(-5*(((-74.12*(-74.12-(-5/-5)))*(-74.12-(-74.12/(-5*-74.12))))-(-5/-5)))))</f>
        <v>-2047219.70144</v>
      </c>
      <c r="C2589" t="n" s="0">
        <v>-2047219.7014400004</v>
      </c>
    </row>
    <row r="2590">
      <c r="A2590" t="n" s="0">
        <v>-74.11</v>
      </c>
      <c r="B2590" t="n" s="0">
        <f>(-5-((((-5*(-5/((-5/(((-5*(-74.11--5))-(-5+((-5*-74.11)*(((-5--5)+(-74.11--5))+-74.11))))-(-5+-5)))*-5)))/-5)--5)+(-5*(((-74.11*(-74.11-(-5/-5)))*(-74.11-(-74.11/(-5*-74.11))))-(-5/-5)))))</f>
        <v>-2046392.751855</v>
      </c>
      <c r="C2590" t="n" s="0">
        <v>-2046392.7518550002</v>
      </c>
    </row>
    <row r="2591">
      <c r="A2591" t="n" s="0">
        <v>-74.1</v>
      </c>
      <c r="B2591" t="n" s="0">
        <f>(-5-((((-5*(-5/((-5/(((-5*(-74.1--5))-(-5+((-5*-74.1)*(((-5--5)+(-74.1--5))+-74.1))))-(-5+-5)))*-5)))/-5)--5)+(-5*(((-74.1*(-74.1-(-5/-5)))*(-74.1-(-74.1/(-5*-74.1))))-(-5/-5)))))</f>
        <v>-2045566.0250000001</v>
      </c>
      <c r="C2591" t="n" s="0">
        <v>-2045566.0249999997</v>
      </c>
    </row>
    <row r="2592">
      <c r="A2592" t="n" s="0">
        <v>-74.09</v>
      </c>
      <c r="B2592" t="n" s="0">
        <f>(-5-((((-5*(-5/((-5/(((-5*(-74.09--5))-(-5+((-5*-74.09)*(((-5--5)+(-74.09--5))+-74.09))))-(-5+-5)))*-5)))/-5)--5)+(-5*(((-74.09*(-74.09-(-5/-5)))*(-74.09-(-74.09/(-5*-74.09))))-(-5/-5)))))</f>
        <v>-2044739.520845</v>
      </c>
      <c r="C2592" t="n" s="0">
        <v>-2044739.5208450004</v>
      </c>
    </row>
    <row r="2593">
      <c r="A2593" t="n" s="0">
        <v>-74.08</v>
      </c>
      <c r="B2593" t="n" s="0">
        <f>(-5-((((-5*(-5/((-5/(((-5*(-74.08--5))-(-5+((-5*-74.08)*(((-5--5)+(-74.08--5))+-74.08))))-(-5+-5)))*-5)))/-5)--5)+(-5*(((-74.08*(-74.08-(-5/-5)))*(-74.08-(-74.08/(-5*-74.08))))-(-5/-5)))))</f>
        <v>-2043913.23936</v>
      </c>
      <c r="C2593" t="n" s="0">
        <v>-2043913.2393599998</v>
      </c>
    </row>
    <row r="2594">
      <c r="A2594" t="n" s="0">
        <v>-74.07</v>
      </c>
      <c r="B2594" t="n" s="0">
        <f>(-5-((((-5*(-5/((-5/(((-5*(-74.07--5))-(-5+((-5*-74.07)*(((-5--5)+(-74.07--5))+-74.07))))-(-5+-5)))*-5)))/-5)--5)+(-5*(((-74.07*(-74.07-(-5/-5)))*(-74.07-(-74.07/(-5*-74.07))))-(-5/-5)))))</f>
        <v>-2043087.180515</v>
      </c>
      <c r="C2594" t="n" s="0">
        <v>-2043087.1805149994</v>
      </c>
    </row>
    <row r="2595">
      <c r="A2595" t="n" s="0">
        <v>-74.06</v>
      </c>
      <c r="B2595" t="n" s="0">
        <f>(-5-((((-5*(-5/((-5/(((-5*(-74.06--5))-(-5+((-5*-74.06)*(((-5--5)+(-74.06--5))+-74.06))))-(-5+-5)))*-5)))/-5)--5)+(-5*(((-74.06*(-74.06-(-5/-5)))*(-74.06-(-74.06/(-5*-74.06))))-(-5/-5)))))</f>
        <v>-2042261.34428</v>
      </c>
      <c r="C2595" t="n" s="0">
        <v>-2042261.3442799998</v>
      </c>
    </row>
    <row r="2596">
      <c r="A2596" t="n" s="0">
        <v>-74.05</v>
      </c>
      <c r="B2596" t="n" s="0">
        <f>(-5-((((-5*(-5/((-5/(((-5*(-74.05--5))-(-5+((-5*-74.05)*(((-5--5)+(-74.05--5))+-74.05))))-(-5+-5)))*-5)))/-5)--5)+(-5*(((-74.05*(-74.05-(-5/-5)))*(-74.05-(-74.05/(-5*-74.05))))-(-5/-5)))))</f>
        <v>-2041435.730625</v>
      </c>
      <c r="C2596" t="n" s="0">
        <v>-2041435.7306249996</v>
      </c>
    </row>
    <row r="2597">
      <c r="A2597" t="n" s="0">
        <v>-74.04</v>
      </c>
      <c r="B2597" t="n" s="0">
        <f>(-5-((((-5*(-5/((-5/(((-5*(-74.04--5))-(-5+((-5*-74.04)*(((-5--5)+(-74.04--5))+-74.04))))-(-5+-5)))*-5)))/-5)--5)+(-5*(((-74.04*(-74.04-(-5/-5)))*(-74.04-(-74.04/(-5*-74.04))))-(-5/-5)))))</f>
        <v>-2040610.33952</v>
      </c>
      <c r="C2597" t="n" s="0">
        <v>-2040610.3395200009</v>
      </c>
    </row>
    <row r="2598">
      <c r="A2598" t="n" s="0">
        <v>-74.03</v>
      </c>
      <c r="B2598" t="n" s="0">
        <f>(-5-((((-5*(-5/((-5/(((-5*(-74.03--5))-(-5+((-5*-74.03)*(((-5--5)+(-74.03--5))+-74.03))))-(-5+-5)))*-5)))/-5)--5)+(-5*(((-74.03*(-74.03-(-5/-5)))*(-74.03-(-74.03/(-5*-74.03))))-(-5/-5)))))</f>
        <v>-2039785.170935</v>
      </c>
      <c r="C2598" t="n" s="0">
        <v>-2039785.170935</v>
      </c>
    </row>
    <row r="2599">
      <c r="A2599" t="n" s="0">
        <v>-74.02</v>
      </c>
      <c r="B2599" t="n" s="0">
        <f>(-5-((((-5*(-5/((-5/(((-5*(-74.02--5))-(-5+((-5*-74.02)*(((-5--5)+(-74.02--5))+-74.02))))-(-5+-5)))*-5)))/-5)--5)+(-5*(((-74.02*(-74.02-(-5/-5)))*(-74.02-(-74.02/(-5*-74.02))))-(-5/-5)))))</f>
        <v>-2038960.22484</v>
      </c>
      <c r="C2599" t="n" s="0">
        <v>-2038960.2248399996</v>
      </c>
    </row>
    <row r="2600">
      <c r="A2600" t="n" s="0">
        <v>-74.01</v>
      </c>
      <c r="B2600" t="n" s="0">
        <f>(-5-((((-5*(-5/((-5/(((-5*(-74.01--5))-(-5+((-5*-74.01)*(((-5--5)+(-74.01--5))+-74.01))))-(-5+-5)))*-5)))/-5)--5)+(-5*(((-74.01*(-74.01-(-5/-5)))*(-74.01-(-74.01/(-5*-74.01))))-(-5/-5)))))</f>
        <v>-2038135.5012049999</v>
      </c>
      <c r="C2600" t="n" s="0">
        <v>-2038135.5012050006</v>
      </c>
    </row>
    <row r="2601">
      <c r="A2601" t="n" s="0">
        <v>-74.0</v>
      </c>
      <c r="B2601" t="n" s="0">
        <f>(-5-((((-5*(-5/((-5/(((-5*(-74--5))-(-5+((-5*-74)*(((-5--5)+(-74--5))+-74))))-(-5+-5)))*-5)))/-5)--5)+(-5*(((-74*(-74-(-5/-5)))*(-74-(-74/(-5*-74))))-(-5/-5)))))</f>
        <v>-2037311.0</v>
      </c>
      <c r="C2601" t="n" s="0">
        <v>-2037311.0</v>
      </c>
    </row>
    <row r="2602">
      <c r="A2602" t="n" s="0">
        <v>-73.99</v>
      </c>
      <c r="B2602" t="n" s="0">
        <f>(-5-((((-5*(-5/((-5/(((-5*(-73.99--5))-(-5+((-5*-73.99)*(((-5--5)+(-73.99--5))+-73.99))))-(-5+-5)))*-5)))/-5)--5)+(-5*(((-73.99*(-73.99-(-5/-5)))*(-73.99-(-73.99/(-5*-73.99))))-(-5/-5)))))</f>
        <v>-2036486.721195</v>
      </c>
      <c r="C2602" t="n" s="0">
        <v>-2036486.7211949995</v>
      </c>
    </row>
    <row r="2603">
      <c r="A2603" t="n" s="0">
        <v>-73.98</v>
      </c>
      <c r="B2603" t="n" s="0">
        <f>(-5-((((-5*(-5/((-5/(((-5*(-73.98--5))-(-5+((-5*-73.98)*(((-5--5)+(-73.98--5))+-73.98))))-(-5+-5)))*-5)))/-5)--5)+(-5*(((-73.98*(-73.98-(-5/-5)))*(-73.98-(-73.98/(-5*-73.98))))-(-5/-5)))))</f>
        <v>-2035662.66476</v>
      </c>
      <c r="C2603" t="n" s="0">
        <v>-2035662.6647600005</v>
      </c>
    </row>
    <row r="2604">
      <c r="A2604" t="n" s="0">
        <v>-73.97</v>
      </c>
      <c r="B2604" t="n" s="0">
        <f>(-5-((((-5*(-5/((-5/(((-5*(-73.97--5))-(-5+((-5*-73.97)*(((-5--5)+(-73.97--5))+-73.97))))-(-5+-5)))*-5)))/-5)--5)+(-5*(((-73.97*(-73.97-(-5/-5)))*(-73.97-(-73.97/(-5*-73.97))))-(-5/-5)))))</f>
        <v>-2034838.830665</v>
      </c>
      <c r="C2604" t="n" s="0">
        <v>-2034838.830665</v>
      </c>
    </row>
    <row r="2605">
      <c r="A2605" t="n" s="0">
        <v>-73.96</v>
      </c>
      <c r="B2605" t="n" s="0">
        <f>(-5-((((-5*(-5/((-5/(((-5*(-73.96--5))-(-5+((-5*-73.96)*(((-5--5)+(-73.96--5))+-73.96))))-(-5+-5)))*-5)))/-5)--5)+(-5*(((-73.96*(-73.96-(-5/-5)))*(-73.96-(-73.96/(-5*-73.96))))-(-5/-5)))))</f>
        <v>-2034015.21888</v>
      </c>
      <c r="C2605" t="n" s="0">
        <v>-2034015.2188799996</v>
      </c>
    </row>
    <row r="2606">
      <c r="A2606" t="n" s="0">
        <v>-73.95</v>
      </c>
      <c r="B2606" t="n" s="0">
        <f>(-5-((((-5*(-5/((-5/(((-5*(-73.95--5))-(-5+((-5*-73.95)*(((-5--5)+(-73.95--5))+-73.95))))-(-5+-5)))*-5)))/-5)--5)+(-5*(((-73.95*(-73.95-(-5/-5)))*(-73.95-(-73.95/(-5*-73.95))))-(-5/-5)))))</f>
        <v>-2033191.829375</v>
      </c>
      <c r="C2606" t="n" s="0">
        <v>-2033191.8293750004</v>
      </c>
    </row>
    <row r="2607">
      <c r="A2607" t="n" s="0">
        <v>-73.94</v>
      </c>
      <c r="B2607" t="n" s="0">
        <f>(-5-((((-5*(-5/((-5/(((-5*(-73.94--5))-(-5+((-5*-73.94)*(((-5--5)+(-73.94--5))+-73.94))))-(-5+-5)))*-5)))/-5)--5)+(-5*(((-73.94*(-73.94-(-5/-5)))*(-73.94-(-73.94/(-5*-73.94))))-(-5/-5)))))</f>
        <v>-2032368.66212</v>
      </c>
      <c r="C2607" t="n" s="0">
        <v>-2032368.6621199998</v>
      </c>
    </row>
    <row r="2608">
      <c r="A2608" t="n" s="0">
        <v>-73.93</v>
      </c>
      <c r="B2608" t="n" s="0">
        <f>(-5-((((-5*(-5/((-5/(((-5*(-73.93--5))-(-5+((-5*-73.93)*(((-5--5)+(-73.93--5))+-73.93))))-(-5+-5)))*-5)))/-5)--5)+(-5*(((-73.93*(-73.93-(-5/-5)))*(-73.93-(-73.93/(-5*-73.93))))-(-5/-5)))))</f>
        <v>-2031545.7170850001</v>
      </c>
      <c r="C2608" t="n" s="0">
        <v>-2031545.7170850006</v>
      </c>
    </row>
    <row r="2609">
      <c r="A2609" t="n" s="0">
        <v>-73.92</v>
      </c>
      <c r="B2609" t="n" s="0">
        <f>(-5-((((-5*(-5/((-5/(((-5*(-73.92--5))-(-5+((-5*-73.92)*(((-5--5)+(-73.92--5))+-73.92))))-(-5+-5)))*-5)))/-5)--5)+(-5*(((-73.92*(-73.92-(-5/-5)))*(-73.92-(-73.92/(-5*-73.92))))-(-5/-5)))))</f>
        <v>-2030722.99424</v>
      </c>
      <c r="C2609" t="n" s="0">
        <v>-2030722.9942400001</v>
      </c>
    </row>
    <row r="2610">
      <c r="A2610" t="n" s="0">
        <v>-73.91</v>
      </c>
      <c r="B2610" t="n" s="0">
        <f>(-5-((((-5*(-5/((-5/(((-5*(-73.91--5))-(-5+((-5*-73.91)*(((-5--5)+(-73.91--5))+-73.91))))-(-5+-5)))*-5)))/-5)--5)+(-5*(((-73.91*(-73.91-(-5/-5)))*(-73.91-(-73.91/(-5*-73.91))))-(-5/-5)))))</f>
        <v>-2029900.493555</v>
      </c>
      <c r="C2610" t="n" s="0">
        <v>-2029900.4935549996</v>
      </c>
    </row>
    <row r="2611">
      <c r="A2611" t="n" s="0">
        <v>-73.9</v>
      </c>
      <c r="B2611" t="n" s="0">
        <f>(-5-((((-5*(-5/((-5/(((-5*(-73.9--5))-(-5+((-5*-73.9)*(((-5--5)+(-73.9--5))+-73.9))))-(-5+-5)))*-5)))/-5)--5)+(-5*(((-73.9*(-73.9-(-5/-5)))*(-73.9-(-73.9/(-5*-73.9))))-(-5/-5)))))</f>
        <v>-2029078.2149999999</v>
      </c>
      <c r="C2611" t="n" s="0">
        <v>-2029078.2150000005</v>
      </c>
    </row>
    <row r="2612">
      <c r="A2612" t="n" s="0">
        <v>-73.89</v>
      </c>
      <c r="B2612" t="n" s="0">
        <f>(-5-((((-5*(-5/((-5/(((-5*(-73.89--5))-(-5+((-5*-73.89)*(((-5--5)+(-73.89--5))+-73.89))))-(-5+-5)))*-5)))/-5)--5)+(-5*(((-73.89*(-73.89-(-5/-5)))*(-73.89-(-73.89/(-5*-73.89))))-(-5/-5)))))</f>
        <v>-2028256.158545</v>
      </c>
      <c r="C2612" t="n" s="0">
        <v>-2028256.1585450002</v>
      </c>
    </row>
    <row r="2613">
      <c r="A2613" t="n" s="0">
        <v>-73.88</v>
      </c>
      <c r="B2613" t="n" s="0">
        <f>(-5-((((-5*(-5/((-5/(((-5*(-73.88--5))-(-5+((-5*-73.88)*(((-5--5)+(-73.88--5))+-73.88))))-(-5+-5)))*-5)))/-5)--5)+(-5*(((-73.88*(-73.88-(-5/-5)))*(-73.88-(-73.88/(-5*-73.88))))-(-5/-5)))))</f>
        <v>-2027434.32416</v>
      </c>
      <c r="C2613" t="n" s="0">
        <v>-2027434.3241599996</v>
      </c>
    </row>
    <row r="2614">
      <c r="A2614" t="n" s="0">
        <v>-73.87</v>
      </c>
      <c r="B2614" t="n" s="0">
        <f>(-5-((((-5*(-5/((-5/(((-5*(-73.87--5))-(-5+((-5*-73.87)*(((-5--5)+(-73.87--5))+-73.87))))-(-5+-5)))*-5)))/-5)--5)+(-5*(((-73.87*(-73.87-(-5/-5)))*(-73.87-(-73.87/(-5*-73.87))))-(-5/-5)))))</f>
        <v>-2026612.711815</v>
      </c>
      <c r="C2614" t="n" s="0">
        <v>-2026612.7118150005</v>
      </c>
    </row>
    <row r="2615">
      <c r="A2615" t="n" s="0">
        <v>-73.86</v>
      </c>
      <c r="B2615" t="n" s="0">
        <f>(-5-((((-5*(-5/((-5/(((-5*(-73.86--5))-(-5+((-5*-73.86)*(((-5--5)+(-73.86--5))+-73.86))))-(-5+-5)))*-5)))/-5)--5)+(-5*(((-73.86*(-73.86-(-5/-5)))*(-73.86-(-73.86/(-5*-73.86))))-(-5/-5)))))</f>
        <v>-2025791.32148</v>
      </c>
      <c r="C2615" t="n" s="0">
        <v>-2025791.3214800002</v>
      </c>
    </row>
    <row r="2616">
      <c r="A2616" t="n" s="0">
        <v>-73.85</v>
      </c>
      <c r="B2616" t="n" s="0">
        <f>(-5-((((-5*(-5/((-5/(((-5*(-73.85--5))-(-5+((-5*-73.85)*(((-5--5)+(-73.85--5))+-73.85))))-(-5+-5)))*-5)))/-5)--5)+(-5*(((-73.85*(-73.85-(-5/-5)))*(-73.85-(-73.85/(-5*-73.85))))-(-5/-5)))))</f>
        <v>-2024970.153125</v>
      </c>
      <c r="C2616" t="n" s="0">
        <v>-2024970.1531249995</v>
      </c>
    </row>
    <row r="2617">
      <c r="A2617" t="n" s="0">
        <v>-73.84</v>
      </c>
      <c r="B2617" t="n" s="0">
        <f>(-5-((((-5*(-5/((-5/(((-5*(-73.84--5))-(-5+((-5*-73.84)*(((-5--5)+(-73.84--5))+-73.84))))-(-5+-5)))*-5)))/-5)--5)+(-5*(((-73.84*(-73.84-(-5/-5)))*(-73.84-(-73.84/(-5*-73.84))))-(-5/-5)))))</f>
        <v>-2024149.2067200001</v>
      </c>
      <c r="C2617" t="n" s="0">
        <v>-2024149.2067200004</v>
      </c>
    </row>
    <row r="2618">
      <c r="A2618" t="n" s="0">
        <v>-73.83</v>
      </c>
      <c r="B2618" t="n" s="0">
        <f>(-5-((((-5*(-5/((-5/(((-5*(-73.83--5))-(-5+((-5*-73.83)*(((-5--5)+(-73.83--5))+-73.83))))-(-5+-5)))*-5)))/-5)--5)+(-5*(((-73.83*(-73.83-(-5/-5)))*(-73.83-(-73.83/(-5*-73.83))))-(-5/-5)))))</f>
        <v>-2023328.482235</v>
      </c>
      <c r="C2618" t="n" s="0">
        <v>-2023328.4822349998</v>
      </c>
    </row>
    <row r="2619">
      <c r="A2619" t="n" s="0">
        <v>-73.82</v>
      </c>
      <c r="B2619" t="n" s="0">
        <f>(-5-((((-5*(-5/((-5/(((-5*(-73.82--5))-(-5+((-5*-73.82)*(((-5--5)+(-73.82--5))+-73.82))))-(-5+-5)))*-5)))/-5)--5)+(-5*(((-73.82*(-73.82-(-5/-5)))*(-73.82-(-73.82/(-5*-73.82))))-(-5/-5)))))</f>
        <v>-2022507.97964</v>
      </c>
      <c r="C2619" t="n" s="0">
        <v>-2022507.9796399993</v>
      </c>
    </row>
    <row r="2620">
      <c r="A2620" t="n" s="0">
        <v>-73.81</v>
      </c>
      <c r="B2620" t="n" s="0">
        <f>(-5-((((-5*(-5/((-5/(((-5*(-73.81--5))-(-5+((-5*-73.81)*(((-5--5)+(-73.81--5))+-73.81))))-(-5+-5)))*-5)))/-5)--5)+(-5*(((-73.81*(-73.81-(-5/-5)))*(-73.81-(-73.81/(-5*-73.81))))-(-5/-5)))))</f>
        <v>-2021687.698905</v>
      </c>
      <c r="C2620" t="n" s="0">
        <v>-2021687.698905</v>
      </c>
    </row>
    <row r="2621">
      <c r="A2621" t="n" s="0">
        <v>-73.8</v>
      </c>
      <c r="B2621" t="n" s="0">
        <f>(-5-((((-5*(-5/((-5/(((-5*(-73.8--5))-(-5+((-5*-73.8)*(((-5--5)+(-73.8--5))+-73.8))))-(-5+-5)))*-5)))/-5)--5)+(-5*(((-73.8*(-73.8-(-5/-5)))*(-73.8-(-73.8/(-5*-73.8))))-(-5/-5)))))</f>
        <v>-2020867.6400000001</v>
      </c>
      <c r="C2621" t="n" s="0">
        <v>-2020867.6399999994</v>
      </c>
    </row>
    <row r="2622">
      <c r="A2622" t="n" s="0">
        <v>-73.79</v>
      </c>
      <c r="B2622" t="n" s="0">
        <f>(-5-((((-5*(-5/((-5/(((-5*(-73.79--5))-(-5+((-5*-73.79)*(((-5--5)+(-73.79--5))+-73.79))))-(-5+-5)))*-5)))/-5)--5)+(-5*(((-73.79*(-73.79-(-5/-5)))*(-73.79-(-73.79/(-5*-73.79))))-(-5/-5)))))</f>
        <v>-2020047.802895</v>
      </c>
      <c r="C2622" t="n" s="0">
        <v>-2020047.8028950007</v>
      </c>
    </row>
    <row r="2623">
      <c r="A2623" t="n" s="0">
        <v>-73.78</v>
      </c>
      <c r="B2623" t="n" s="0">
        <f>(-5-((((-5*(-5/((-5/(((-5*(-73.78--5))-(-5+((-5*-73.78)*(((-5--5)+(-73.78--5))+-73.78))))-(-5+-5)))*-5)))/-5)--5)+(-5*(((-73.78*(-73.78-(-5/-5)))*(-73.78-(-73.78/(-5*-73.78))))-(-5/-5)))))</f>
        <v>-2019228.18756</v>
      </c>
      <c r="C2623" t="n" s="0">
        <v>-2019228.1875600002</v>
      </c>
    </row>
    <row r="2624">
      <c r="A2624" t="n" s="0">
        <v>-73.77</v>
      </c>
      <c r="B2624" t="n" s="0">
        <f>(-5-((((-5*(-5/((-5/(((-5*(-73.77--5))-(-5+((-5*-73.77)*(((-5--5)+(-73.77--5))+-73.77))))-(-5+-5)))*-5)))/-5)--5)+(-5*(((-73.77*(-73.77-(-5/-5)))*(-73.77-(-73.77/(-5*-73.77))))-(-5/-5)))))</f>
        <v>-2018408.793965</v>
      </c>
      <c r="C2624" t="n" s="0">
        <v>-2018408.7939649997</v>
      </c>
    </row>
    <row r="2625">
      <c r="A2625" t="n" s="0">
        <v>-73.76</v>
      </c>
      <c r="B2625" t="n" s="0">
        <f>(-5-((((-5*(-5/((-5/(((-5*(-73.76--5))-(-5+((-5*-73.76)*(((-5--5)+(-73.76--5))+-73.76))))-(-5+-5)))*-5)))/-5)--5)+(-5*(((-73.76*(-73.76-(-5/-5)))*(-73.76-(-73.76/(-5*-73.76))))-(-5/-5)))))</f>
        <v>-2017589.62208</v>
      </c>
      <c r="C2625" t="n" s="0">
        <v>-2017589.6220800006</v>
      </c>
    </row>
    <row r="2626">
      <c r="A2626" t="n" s="0">
        <v>-73.75</v>
      </c>
      <c r="B2626" t="n" s="0">
        <f>(-5-((((-5*(-5/((-5/(((-5*(-73.75--5))-(-5+((-5*-73.75)*(((-5--5)+(-73.75--5))+-73.75))))-(-5+-5)))*-5)))/-5)--5)+(-5*(((-73.75*(-73.75-(-5/-5)))*(-73.75-(-73.75/(-5*-73.75))))-(-5/-5)))))</f>
        <v>-2016770.671875</v>
      </c>
      <c r="C2626" t="n" s="0">
        <v>-2016770.671875</v>
      </c>
    </row>
    <row r="2627">
      <c r="A2627" t="n" s="0">
        <v>-73.74</v>
      </c>
      <c r="B2627" t="n" s="0">
        <f>(-5-((((-5*(-5/((-5/(((-5*(-73.74--5))-(-5+((-5*-73.74)*(((-5--5)+(-73.74--5))+-73.74))))-(-5+-5)))*-5)))/-5)--5)+(-5*(((-73.74*(-73.74-(-5/-5)))*(-73.74-(-73.74/(-5*-73.74))))-(-5/-5)))))</f>
        <v>-2015951.94332</v>
      </c>
      <c r="C2627" t="n" s="0">
        <v>-2015951.9433199994</v>
      </c>
    </row>
    <row r="2628">
      <c r="A2628" t="n" s="0">
        <v>-73.73</v>
      </c>
      <c r="B2628" t="n" s="0">
        <f>(-5-((((-5*(-5/((-5/(((-5*(-73.73--5))-(-5+((-5*-73.73)*(((-5--5)+(-73.73--5))+-73.73))))-(-5+-5)))*-5)))/-5)--5)+(-5*(((-73.73*(-73.73-(-5/-5)))*(-73.73-(-73.73/(-5*-73.73))))-(-5/-5)))))</f>
        <v>-2015133.4363850001</v>
      </c>
      <c r="C2628" t="n" s="0">
        <v>-2015133.4363850001</v>
      </c>
    </row>
    <row r="2629">
      <c r="A2629" t="n" s="0">
        <v>-73.72</v>
      </c>
      <c r="B2629" t="n" s="0">
        <f>(-5-((((-5*(-5/((-5/(((-5*(-73.72--5))-(-5+((-5*-73.72)*(((-5--5)+(-73.72--5))+-73.72))))-(-5+-5)))*-5)))/-5)--5)+(-5*(((-73.72*(-73.72-(-5/-5)))*(-73.72-(-73.72/(-5*-73.72))))-(-5/-5)))))</f>
        <v>-2014315.15104</v>
      </c>
      <c r="C2629" t="n" s="0">
        <v>-2014315.1510399997</v>
      </c>
    </row>
    <row r="2630">
      <c r="A2630" t="n" s="0">
        <v>-73.71</v>
      </c>
      <c r="B2630" t="n" s="0">
        <f>(-5-((((-5*(-5/((-5/(((-5*(-73.71--5))-(-5+((-5*-73.71)*(((-5--5)+(-73.71--5))+-73.71))))-(-5+-5)))*-5)))/-5)--5)+(-5*(((-73.71*(-73.71-(-5/-5)))*(-73.71-(-73.71/(-5*-73.71))))-(-5/-5)))))</f>
        <v>-2013497.087255</v>
      </c>
      <c r="C2630" t="n" s="0">
        <v>-2013497.0872549994</v>
      </c>
    </row>
    <row r="2631">
      <c r="A2631" t="n" s="0">
        <v>-73.7</v>
      </c>
      <c r="B2631" t="n" s="0">
        <f>(-5-((((-5*(-5/((-5/(((-5*(-73.7--5))-(-5+((-5*-73.7)*(((-5--5)+(-73.7--5))+-73.7))))-(-5+-5)))*-5)))/-5)--5)+(-5*(((-73.7*(-73.7-(-5/-5)))*(-73.7-(-73.7/(-5*-73.7))))-(-5/-5)))))</f>
        <v>-2012679.2449999999</v>
      </c>
      <c r="C2631" t="n" s="0">
        <v>-2012679.2450000003</v>
      </c>
    </row>
    <row r="2632">
      <c r="A2632" t="n" s="0">
        <v>-73.69</v>
      </c>
      <c r="B2632" t="n" s="0">
        <f>(-5-((((-5*(-5/((-5/(((-5*(-73.69--5))-(-5+((-5*-73.69)*(((-5--5)+(-73.69--5))+-73.69))))-(-5+-5)))*-5)))/-5)--5)+(-5*(((-73.69*(-73.69-(-5/-5)))*(-73.69-(-73.69/(-5*-73.69))))-(-5/-5)))))</f>
        <v>-2011861.624245</v>
      </c>
      <c r="C2632" t="n" s="0">
        <v>-2011861.6242449998</v>
      </c>
    </row>
    <row r="2633">
      <c r="A2633" t="n" s="0">
        <v>-73.68</v>
      </c>
      <c r="B2633" t="n" s="0">
        <f>(-5-((((-5*(-5/((-5/(((-5*(-73.68--5))-(-5+((-5*-73.68)*(((-5--5)+(-73.68--5))+-73.68))))-(-5+-5)))*-5)))/-5)--5)+(-5*(((-73.68*(-73.68-(-5/-5)))*(-73.68-(-73.68/(-5*-73.68))))-(-5/-5)))))</f>
        <v>-2011044.22496</v>
      </c>
      <c r="C2633" t="n" s="0">
        <v>-2011044.2249600005</v>
      </c>
    </row>
    <row r="2634">
      <c r="A2634" t="n" s="0">
        <v>-73.67</v>
      </c>
      <c r="B2634" t="n" s="0">
        <f>(-5-((((-5*(-5/((-5/(((-5*(-73.67--5))-(-5+((-5*-73.67)*(((-5--5)+(-73.67--5))+-73.67))))-(-5+-5)))*-5)))/-5)--5)+(-5*(((-73.67*(-73.67-(-5/-5)))*(-73.67-(-73.67/(-5*-73.67))))-(-5/-5)))))</f>
        <v>-2010227.047115</v>
      </c>
      <c r="C2634" t="n" s="0">
        <v>-2010227.0471150002</v>
      </c>
    </row>
    <row r="2635">
      <c r="A2635" t="n" s="0">
        <v>-73.66</v>
      </c>
      <c r="B2635" t="n" s="0">
        <f>(-5-((((-5*(-5/((-5/(((-5*(-73.66--5))-(-5+((-5*-73.66)*(((-5--5)+(-73.66--5))+-73.66))))-(-5+-5)))*-5)))/-5)--5)+(-5*(((-73.66*(-73.66-(-5/-5)))*(-73.66-(-73.66/(-5*-73.66))))-(-5/-5)))))</f>
        <v>-2009410.09068</v>
      </c>
      <c r="C2635" t="n" s="0">
        <v>-2009410.0906799997</v>
      </c>
    </row>
    <row r="2636">
      <c r="A2636" t="n" s="0">
        <v>-73.65</v>
      </c>
      <c r="B2636" t="n" s="0">
        <f>(-5-((((-5*(-5/((-5/(((-5*(-73.65--5))-(-5+((-5*-73.65)*(((-5--5)+(-73.65--5))+-73.65))))-(-5+-5)))*-5)))/-5)--5)+(-5*(((-73.65*(-73.65-(-5/-5)))*(-73.65-(-73.65/(-5*-73.65))))-(-5/-5)))))</f>
        <v>-2008593.355625</v>
      </c>
      <c r="C2636" t="n" s="0">
        <v>-2008593.3556250005</v>
      </c>
    </row>
    <row r="2637">
      <c r="A2637" t="n" s="0">
        <v>-73.64</v>
      </c>
      <c r="B2637" t="n" s="0">
        <f>(-5-((((-5*(-5/((-5/(((-5*(-73.64--5))-(-5+((-5*-73.64)*(((-5--5)+(-73.64--5))+-73.64))))-(-5+-5)))*-5)))/-5)--5)+(-5*(((-73.64*(-73.64-(-5/-5)))*(-73.64-(-73.64/(-5*-73.64))))-(-5/-5)))))</f>
        <v>-2007776.8419199998</v>
      </c>
      <c r="C2637" t="n" s="0">
        <v>-2007776.8419199998</v>
      </c>
    </row>
    <row r="2638">
      <c r="A2638" t="n" s="0">
        <v>-73.63</v>
      </c>
      <c r="B2638" t="n" s="0">
        <f>(-5-((((-5*(-5/((-5/(((-5*(-73.63--5))-(-5+((-5*-73.63)*(((-5--5)+(-73.63--5))+-73.63))))-(-5+-5)))*-5)))/-5)--5)+(-5*(((-73.63*(-73.63-(-5/-5)))*(-73.63-(-73.63/(-5*-73.63))))-(-5/-5)))))</f>
        <v>-2006960.549535</v>
      </c>
      <c r="C2638" t="n" s="0">
        <v>-2006960.5495349995</v>
      </c>
    </row>
    <row r="2639">
      <c r="A2639" t="n" s="0">
        <v>-73.62</v>
      </c>
      <c r="B2639" t="n" s="0">
        <f>(-5-((((-5*(-5/((-5/(((-5*(-73.62--5))-(-5+((-5*-73.62)*(((-5--5)+(-73.62--5))+-73.62))))-(-5+-5)))*-5)))/-5)--5)+(-5*(((-73.62*(-73.62-(-5/-5)))*(-73.62-(-73.62/(-5*-73.62))))-(-5/-5)))))</f>
        <v>-2006144.47844</v>
      </c>
      <c r="C2639" t="n" s="0">
        <v>-2006144.4784400004</v>
      </c>
    </row>
    <row r="2640">
      <c r="A2640" t="n" s="0">
        <v>-73.61</v>
      </c>
      <c r="B2640" t="n" s="0">
        <f>(-5-((((-5*(-5/((-5/(((-5*(-73.61--5))-(-5+((-5*-73.61)*(((-5--5)+(-73.61--5))+-73.61))))-(-5+-5)))*-5)))/-5)--5)+(-5*(((-73.61*(-73.61-(-5/-5)))*(-73.61-(-73.61/(-5*-73.61))))-(-5/-5)))))</f>
        <v>-2005328.628605</v>
      </c>
      <c r="C2640" t="n" s="0">
        <v>-2005328.628605</v>
      </c>
    </row>
    <row r="2641">
      <c r="A2641" t="n" s="0">
        <v>-73.6</v>
      </c>
      <c r="B2641" t="n" s="0">
        <f>(-5-((((-5*(-5/((-5/(((-5*(-73.6--5))-(-5+((-5*-73.6)*(((-5--5)+(-73.6--5))+-73.6))))-(-5+-5)))*-5)))/-5)--5)+(-5*(((-73.6*(-73.6-(-5/-5)))*(-73.6-(-73.6/(-5*-73.6))))-(-5/-5)))))</f>
        <v>-2004513.0</v>
      </c>
      <c r="C2641" t="n" s="0">
        <v>-2004512.9999999998</v>
      </c>
    </row>
    <row r="2642">
      <c r="A2642" t="n" s="0">
        <v>-73.59</v>
      </c>
      <c r="B2642" t="n" s="0">
        <f>(-5-((((-5*(-5/((-5/(((-5*(-73.59--5))-(-5+((-5*-73.59)*(((-5--5)+(-73.59--5))+-73.59))))-(-5+-5)))*-5)))/-5)--5)+(-5*(((-73.59*(-73.59-(-5/-5)))*(-73.59-(-73.59/(-5*-73.59))))-(-5/-5)))))</f>
        <v>-2003697.592595</v>
      </c>
      <c r="C2642" t="n" s="0">
        <v>-2003697.5925950003</v>
      </c>
    </row>
    <row r="2643">
      <c r="A2643" t="n" s="0">
        <v>-73.58</v>
      </c>
      <c r="B2643" t="n" s="0">
        <f>(-5-((((-5*(-5/((-5/(((-5*(-73.58--5))-(-5+((-5*-73.58)*(((-5--5)+(-73.58--5))+-73.58))))-(-5+-5)))*-5)))/-5)--5)+(-5*(((-73.58*(-73.58-(-5/-5)))*(-73.58-(-73.58/(-5*-73.58))))-(-5/-5)))))</f>
        <v>-2002882.40636</v>
      </c>
      <c r="C2643" t="n" s="0">
        <v>-2002882.4063599997</v>
      </c>
    </row>
    <row r="2644">
      <c r="A2644" t="n" s="0">
        <v>-73.57</v>
      </c>
      <c r="B2644" t="n" s="0">
        <f>(-5-((((-5*(-5/((-5/(((-5*(-73.57--5))-(-5+((-5*-73.57)*(((-5--5)+(-73.57--5))+-73.57))))-(-5+-5)))*-5)))/-5)--5)+(-5*(((-73.57*(-73.57-(-5/-5)))*(-73.57-(-73.57/(-5*-73.57))))-(-5/-5)))))</f>
        <v>-2002067.441265</v>
      </c>
      <c r="C2644" t="n" s="0">
        <v>-2002067.4412649996</v>
      </c>
    </row>
    <row r="2645">
      <c r="A2645" t="n" s="0">
        <v>-73.56</v>
      </c>
      <c r="B2645" t="n" s="0">
        <f>(-5-((((-5*(-5/((-5/(((-5*(-73.56--5))-(-5+((-5*-73.56)*(((-5--5)+(-73.56--5))+-73.56))))-(-5+-5)))*-5)))/-5)--5)+(-5*(((-73.56*(-73.56-(-5/-5)))*(-73.56-(-73.56/(-5*-73.56))))-(-5/-5)))))</f>
        <v>-2001252.69728</v>
      </c>
      <c r="C2645" t="n" s="0">
        <v>-2001252.6972800002</v>
      </c>
    </row>
    <row r="2646">
      <c r="A2646" t="n" s="0">
        <v>-73.55</v>
      </c>
      <c r="B2646" t="n" s="0">
        <f>(-5-((((-5*(-5/((-5/(((-5*(-73.55--5))-(-5+((-5*-73.55)*(((-5--5)+(-73.55--5))+-73.55))))-(-5+-5)))*-5)))/-5)--5)+(-5*(((-73.55*(-73.55-(-5/-5)))*(-73.55-(-73.55/(-5*-73.55))))-(-5/-5)))))</f>
        <v>-2000438.1743750002</v>
      </c>
      <c r="C2646" t="n" s="0">
        <v>-2000438.1743749997</v>
      </c>
    </row>
    <row r="2647">
      <c r="A2647" t="n" s="0">
        <v>-73.54</v>
      </c>
      <c r="B2647" t="n" s="0">
        <f>(-5-((((-5*(-5/((-5/(((-5*(-73.54--5))-(-5+((-5*-73.54)*(((-5--5)+(-73.54--5))+-73.54))))-(-5+-5)))*-5)))/-5)--5)+(-5*(((-73.54*(-73.54-(-5/-5)))*(-73.54-(-73.54/(-5*-73.54))))-(-5/-5)))))</f>
        <v>-1999623.87252</v>
      </c>
      <c r="C2647" t="n" s="0">
        <v>-1999623.8725200004</v>
      </c>
    </row>
    <row r="2648">
      <c r="A2648" t="n" s="0">
        <v>-73.53</v>
      </c>
      <c r="B2648" t="n" s="0">
        <f>(-5-((((-5*(-5/((-5/(((-5*(-73.53--5))-(-5+((-5*-73.53)*(((-5--5)+(-73.53--5))+-73.53))))-(-5+-5)))*-5)))/-5)--5)+(-5*(((-73.53*(-73.53-(-5/-5)))*(-73.53-(-73.53/(-5*-73.53))))-(-5/-5)))))</f>
        <v>-1998809.791685</v>
      </c>
      <c r="C2648" t="n" s="0">
        <v>-1998809.7916850003</v>
      </c>
    </row>
    <row r="2649">
      <c r="A2649" t="n" s="0">
        <v>-73.52</v>
      </c>
      <c r="B2649" t="n" s="0">
        <f>(-5-((((-5*(-5/((-5/(((-5*(-73.52--5))-(-5+((-5*-73.52)*(((-5--5)+(-73.52--5))+-73.52))))-(-5+-5)))*-5)))/-5)--5)+(-5*(((-73.52*(-73.52-(-5/-5)))*(-73.52-(-73.52/(-5*-73.52))))-(-5/-5)))))</f>
        <v>-1997995.93184</v>
      </c>
      <c r="C2649" t="n" s="0">
        <v>-1997995.9318399997</v>
      </c>
    </row>
    <row r="2650">
      <c r="A2650" t="n" s="0">
        <v>-73.51</v>
      </c>
      <c r="B2650" t="n" s="0">
        <f>(-5-((((-5*(-5/((-5/(((-5*(-73.51--5))-(-5+((-5*-73.51)*(((-5--5)+(-73.51--5))+-73.51))))-(-5+-5)))*-5)))/-5)--5)+(-5*(((-73.51*(-73.51-(-5/-5)))*(-73.51-(-73.51/(-5*-73.51))))-(-5/-5)))))</f>
        <v>-1997182.292955</v>
      </c>
      <c r="C2650" t="n" s="0">
        <v>-1997182.2929550007</v>
      </c>
    </row>
    <row r="2651">
      <c r="A2651" t="n" s="0">
        <v>-73.5</v>
      </c>
      <c r="B2651" t="n" s="0">
        <f>(-5-((((-5*(-5/((-5/(((-5*(-73.5--5))-(-5+((-5*-73.5)*(((-5--5)+(-73.5--5))+-73.5))))-(-5+-5)))*-5)))/-5)--5)+(-5*(((-73.5*(-73.5-(-5/-5)))*(-73.5-(-73.5/(-5*-73.5))))-(-5/-5)))))</f>
        <v>-1996368.875</v>
      </c>
      <c r="C2651" t="n" s="0">
        <v>-1996368.875</v>
      </c>
    </row>
    <row r="2652">
      <c r="A2652" t="n" s="0">
        <v>-73.49</v>
      </c>
      <c r="B2652" t="n" s="0">
        <f>(-5-((((-5*(-5/((-5/(((-5*(-73.49--5))-(-5+((-5*-73.49)*(((-5--5)+(-73.49--5))+-73.49))))-(-5+-5)))*-5)))/-5)--5)+(-5*(((-73.49*(-73.49-(-5/-5)))*(-73.49-(-73.49/(-5*-73.49))))-(-5/-5)))))</f>
        <v>-1995555.6779450001</v>
      </c>
      <c r="C2652" t="n" s="0">
        <v>-1995555.6779449994</v>
      </c>
    </row>
    <row r="2653">
      <c r="A2653" t="n" s="0">
        <v>-73.48</v>
      </c>
      <c r="B2653" t="n" s="0">
        <f>(-5-((((-5*(-5/((-5/(((-5*(-73.48--5))-(-5+((-5*-73.48)*(((-5--5)+(-73.48--5))+-73.48))))-(-5+-5)))*-5)))/-5)--5)+(-5*(((-73.48*(-73.48-(-5/-5)))*(-73.48-(-73.48/(-5*-73.48))))-(-5/-5)))))</f>
        <v>-1994742.70176</v>
      </c>
      <c r="C2653" t="n" s="0">
        <v>-1994742.70176</v>
      </c>
    </row>
    <row r="2654">
      <c r="A2654" t="n" s="0">
        <v>-73.47</v>
      </c>
      <c r="B2654" t="n" s="0">
        <f>(-5-((((-5*(-5/((-5/(((-5*(-73.47--5))-(-5+((-5*-73.47)*(((-5--5)+(-73.47--5))+-73.47))))-(-5+-5)))*-5)))/-5)--5)+(-5*(((-73.47*(-73.47-(-5/-5)))*(-73.47-(-73.47/(-5*-73.47))))-(-5/-5)))))</f>
        <v>-1993929.946415</v>
      </c>
      <c r="C2654" t="n" s="0">
        <v>-1993929.9464149997</v>
      </c>
    </row>
    <row r="2655">
      <c r="A2655" t="n" s="0">
        <v>-73.46</v>
      </c>
      <c r="B2655" t="n" s="0">
        <f>(-5-((((-5*(-5/((-5/(((-5*(-73.46--5))-(-5+((-5*-73.46)*(((-5--5)+(-73.46--5))+-73.46))))-(-5+-5)))*-5)))/-5)--5)+(-5*(((-73.46*(-73.46-(-5/-5)))*(-73.46-(-73.46/(-5*-73.46))))-(-5/-5)))))</f>
        <v>-1993117.41188</v>
      </c>
      <c r="C2655" t="n" s="0">
        <v>-1993117.4118799993</v>
      </c>
    </row>
    <row r="2656">
      <c r="A2656" t="n" s="0">
        <v>-73.45</v>
      </c>
      <c r="B2656" t="n" s="0">
        <f>(-5-((((-5*(-5/((-5/(((-5*(-73.45--5))-(-5+((-5*-73.45)*(((-5--5)+(-73.45--5))+-73.45))))-(-5+-5)))*-5)))/-5)--5)+(-5*(((-73.45*(-73.45-(-5/-5)))*(-73.45-(-73.45/(-5*-73.45))))-(-5/-5)))))</f>
        <v>-1992305.098125</v>
      </c>
      <c r="C2656" t="n" s="0">
        <v>-1992305.0981250003</v>
      </c>
    </row>
    <row r="2657">
      <c r="A2657" t="n" s="0">
        <v>-73.44</v>
      </c>
      <c r="B2657" t="n" s="0">
        <f>(-5-((((-5*(-5/((-5/(((-5*(-73.44--5))-(-5+((-5*-73.44)*(((-5--5)+(-73.44--5))+-73.44))))-(-5+-5)))*-5)))/-5)--5)+(-5*(((-73.44*(-73.44-(-5/-5)))*(-73.44-(-73.44/(-5*-73.44))))-(-5/-5)))))</f>
        <v>-1991493.00512</v>
      </c>
      <c r="C2657" t="n" s="0">
        <v>-1991493.0051199999</v>
      </c>
    </row>
    <row r="2658">
      <c r="A2658" t="n" s="0">
        <v>-73.43</v>
      </c>
      <c r="B2658" t="n" s="0">
        <f>(-5-((((-5*(-5/((-5/(((-5*(-73.43--5))-(-5+((-5*-73.43)*(((-5--5)+(-73.43--5))+-73.43))))-(-5+-5)))*-5)))/-5)--5)+(-5*(((-73.43*(-73.43-(-5/-5)))*(-73.43-(-73.43/(-5*-73.43))))-(-5/-5)))))</f>
        <v>-1990681.1328349998</v>
      </c>
      <c r="C2658" t="n" s="0">
        <v>-1990681.1328350005</v>
      </c>
    </row>
    <row r="2659">
      <c r="A2659" t="n" s="0">
        <v>-73.42</v>
      </c>
      <c r="B2659" t="n" s="0">
        <f>(-5-((((-5*(-5/((-5/(((-5*(-73.42--5))-(-5+((-5*-73.42)*(((-5--5)+(-73.42--5))+-73.42))))-(-5+-5)))*-5)))/-5)--5)+(-5*(((-73.42*(-73.42-(-5/-5)))*(-73.42-(-73.42/(-5*-73.42))))-(-5/-5)))))</f>
        <v>-1989869.48124</v>
      </c>
      <c r="C2659" t="n" s="0">
        <v>-1989869.48124</v>
      </c>
    </row>
    <row r="2660">
      <c r="A2660" t="n" s="0">
        <v>-73.41</v>
      </c>
      <c r="B2660" t="n" s="0">
        <f>(-5-((((-5*(-5/((-5/(((-5*(-73.41--5))-(-5+((-5*-73.41)*(((-5--5)+(-73.41--5))+-73.41))))-(-5+-5)))*-5)))/-5)--5)+(-5*(((-73.41*(-73.41-(-5/-5)))*(-73.41-(-73.41/(-5*-73.41))))-(-5/-5)))))</f>
        <v>-1989058.0503049998</v>
      </c>
      <c r="C2660" t="n" s="0">
        <v>-1989058.0503049996</v>
      </c>
    </row>
    <row r="2661">
      <c r="A2661" t="n" s="0">
        <v>-73.4</v>
      </c>
      <c r="B2661" t="n" s="0">
        <f>(-5-((((-5*(-5/((-5/(((-5*(-73.4--5))-(-5+((-5*-73.4)*(((-5--5)+(-73.4--5))+-73.4))))-(-5+-5)))*-5)))/-5)--5)+(-5*(((-73.4*(-73.4-(-5/-5)))*(-73.4-(-73.4/(-5*-73.4))))-(-5/-5)))))</f>
        <v>-1988246.84</v>
      </c>
      <c r="C2661" t="n" s="0">
        <v>-1988246.8400000005</v>
      </c>
    </row>
    <row r="2662">
      <c r="A2662" t="n" s="0">
        <v>-73.39</v>
      </c>
      <c r="B2662" t="n" s="0">
        <f>(-5-((((-5*(-5/((-5/(((-5*(-73.39--5))-(-5+((-5*-73.39)*(((-5--5)+(-73.39--5))+-73.39))))-(-5+-5)))*-5)))/-5)--5)+(-5*(((-73.39*(-73.39-(-5/-5)))*(-73.39-(-73.39/(-5*-73.39))))-(-5/-5)))))</f>
        <v>-1987435.850295</v>
      </c>
      <c r="C2662" t="n" s="0">
        <v>-1987435.8502950002</v>
      </c>
    </row>
    <row r="2663">
      <c r="A2663" t="n" s="0">
        <v>-73.38</v>
      </c>
      <c r="B2663" t="n" s="0">
        <f>(-5-((((-5*(-5/((-5/(((-5*(-73.38--5))-(-5+((-5*-73.38)*(((-5--5)+(-73.38--5))+-73.38))))-(-5+-5)))*-5)))/-5)--5)+(-5*(((-73.38*(-73.38-(-5/-5)))*(-73.38-(-73.38/(-5*-73.38))))-(-5/-5)))))</f>
        <v>-1986625.08116</v>
      </c>
      <c r="C2663" t="n" s="0">
        <v>-1986625.0811599996</v>
      </c>
    </row>
    <row r="2664">
      <c r="A2664" t="n" s="0">
        <v>-73.37</v>
      </c>
      <c r="B2664" t="n" s="0">
        <f>(-5-((((-5*(-5/((-5/(((-5*(-73.37--5))-(-5+((-5*-73.37)*(((-5--5)+(-73.37--5))+-73.37))))-(-5+-5)))*-5)))/-5)--5)+(-5*(((-73.37*(-73.37-(-5/-5)))*(-73.37-(-73.37/(-5*-73.37))))-(-5/-5)))))</f>
        <v>-1985814.532565</v>
      </c>
      <c r="C2664" t="n" s="0">
        <v>-1985814.5325650002</v>
      </c>
    </row>
    <row r="2665">
      <c r="A2665" t="n" s="0">
        <v>-73.36</v>
      </c>
      <c r="B2665" t="n" s="0">
        <f>(-5-((((-5*(-5/((-5/(((-5*(-73.36--5))-(-5+((-5*-73.36)*(((-5--5)+(-73.36--5))+-73.36))))-(-5+-5)))*-5)))/-5)--5)+(-5*(((-73.36*(-73.36-(-5/-5)))*(-73.36-(-73.36/(-5*-73.36))))-(-5/-5)))))</f>
        <v>-1985004.20448</v>
      </c>
      <c r="C2665" t="n" s="0">
        <v>-1985004.20448</v>
      </c>
    </row>
    <row r="2666">
      <c r="A2666" t="n" s="0">
        <v>-73.35</v>
      </c>
      <c r="B2666" t="n" s="0">
        <f>(-5-((((-5*(-5/((-5/(((-5*(-73.35--5))-(-5+((-5*-73.35)*(((-5--5)+(-73.35--5))+-73.35))))-(-5+-5)))*-5)))/-5)--5)+(-5*(((-73.35*(-73.35-(-5/-5)))*(-73.35-(-73.35/(-5*-73.35))))-(-5/-5)))))</f>
        <v>-1984194.096875</v>
      </c>
      <c r="C2666" t="n" s="0">
        <v>-1984194.0968749996</v>
      </c>
    </row>
    <row r="2667">
      <c r="A2667" t="n" s="0">
        <v>-73.34</v>
      </c>
      <c r="B2667" t="n" s="0">
        <f>(-5-((((-5*(-5/((-5/(((-5*(-73.34--5))-(-5+((-5*-73.34)*(((-5--5)+(-73.34--5))+-73.34))))-(-5+-5)))*-5)))/-5)--5)+(-5*(((-73.34*(-73.34-(-5/-5)))*(-73.34-(-73.34/(-5*-73.34))))-(-5/-5)))))</f>
        <v>-1983384.20972</v>
      </c>
      <c r="C2667" t="n" s="0">
        <v>-1983384.2097200004</v>
      </c>
    </row>
    <row r="2668">
      <c r="A2668" t="n" s="0">
        <v>-73.33</v>
      </c>
      <c r="B2668" t="n" s="0">
        <f>(-5-((((-5*(-5/((-5/(((-5*(-73.33--5))-(-5+((-5*-73.33)*(((-5--5)+(-73.33--5))+-73.33))))-(-5+-5)))*-5)))/-5)--5)+(-5*(((-73.33*(-73.33-(-5/-5)))*(-73.33-(-73.33/(-5*-73.33))))-(-5/-5)))))</f>
        <v>-1982574.542985</v>
      </c>
      <c r="C2668" t="n" s="0">
        <v>-1982574.542985</v>
      </c>
    </row>
    <row r="2669">
      <c r="A2669" t="n" s="0">
        <v>-73.32</v>
      </c>
      <c r="B2669" t="n" s="0">
        <f>(-5-((((-5*(-5/((-5/(((-5*(-73.32--5))-(-5+((-5*-73.32)*(((-5--5)+(-73.32--5))+-73.32))))-(-5+-5)))*-5)))/-5)--5)+(-5*(((-73.32*(-73.32-(-5/-5)))*(-73.32-(-73.32/(-5*-73.32))))-(-5/-5)))))</f>
        <v>-1981765.09664</v>
      </c>
      <c r="C2669" t="n" s="0">
        <v>-1981765.0966399994</v>
      </c>
    </row>
    <row r="2670">
      <c r="A2670" t="n" s="0">
        <v>-73.31</v>
      </c>
      <c r="B2670" t="n" s="0">
        <f>(-5-((((-5*(-5/((-5/(((-5*(-73.31--5))-(-5+((-5*-73.31)*(((-5--5)+(-73.31--5))+-73.31))))-(-5+-5)))*-5)))/-5)--5)+(-5*(((-73.31*(-73.31-(-5/-5)))*(-73.31-(-73.31/(-5*-73.31))))-(-5/-5)))))</f>
        <v>-1980955.870655</v>
      </c>
      <c r="C2670" t="n" s="0">
        <v>-1980955.8706550002</v>
      </c>
    </row>
    <row r="2671">
      <c r="A2671" t="n" s="0">
        <v>-73.3</v>
      </c>
      <c r="B2671" t="n" s="0">
        <f>(-5-((((-5*(-5/((-5/(((-5*(-73.3--5))-(-5+((-5*-73.3)*(((-5--5)+(-73.3--5))+-73.3))))-(-5+-5)))*-5)))/-5)--5)+(-5*(((-73.3*(-73.3-(-5/-5)))*(-73.3-(-73.3/(-5*-73.3))))-(-5/-5)))))</f>
        <v>-1980146.865</v>
      </c>
      <c r="C2671" t="n" s="0">
        <v>-1980146.8649999995</v>
      </c>
    </row>
    <row r="2672">
      <c r="A2672" t="n" s="0">
        <v>-73.29</v>
      </c>
      <c r="B2672" t="n" s="0">
        <f>(-5-((((-5*(-5/((-5/(((-5*(-73.29--5))-(-5+((-5*-73.29)*(((-5--5)+(-73.29--5))+-73.29))))-(-5+-5)))*-5)))/-5)--5)+(-5*(((-73.29*(-73.29-(-5/-5)))*(-73.29-(-73.29/(-5*-73.29))))-(-5/-5)))))</f>
        <v>-1979338.079645</v>
      </c>
      <c r="C2672" t="n" s="0">
        <v>-1979338.0796450006</v>
      </c>
    </row>
    <row r="2673">
      <c r="A2673" t="n" s="0">
        <v>-73.28</v>
      </c>
      <c r="B2673" t="n" s="0">
        <f>(-5-((((-5*(-5/((-5/(((-5*(-73.28--5))-(-5+((-5*-73.28)*(((-5--5)+(-73.28--5))+-73.28))))-(-5+-5)))*-5)))/-5)--5)+(-5*(((-73.28*(-73.28-(-5/-5)))*(-73.28-(-73.28/(-5*-73.28))))-(-5/-5)))))</f>
        <v>-1978529.51456</v>
      </c>
      <c r="C2673" t="n" s="0">
        <v>-1978529.51456</v>
      </c>
    </row>
    <row r="2674">
      <c r="A2674" t="n" s="0">
        <v>-73.27</v>
      </c>
      <c r="B2674" t="n" s="0">
        <f>(-5-((((-5*(-5/((-5/(((-5*(-73.27--5))-(-5+((-5*-73.27)*(((-5--5)+(-73.27--5))+-73.27))))-(-5+-5)))*-5)))/-5)--5)+(-5*(((-73.27*(-73.27-(-5/-5)))*(-73.27-(-73.27/(-5*-73.27))))-(-5/-5)))))</f>
        <v>-1977721.1697149999</v>
      </c>
      <c r="C2674" t="n" s="0">
        <v>-1977721.1697149999</v>
      </c>
    </row>
    <row r="2675">
      <c r="A2675" t="n" s="0">
        <v>-73.26</v>
      </c>
      <c r="B2675" t="n" s="0">
        <f>(-5-((((-5*(-5/((-5/(((-5*(-73.26--5))-(-5+((-5*-73.26)*(((-5--5)+(-73.26--5))+-73.26))))-(-5+-5)))*-5)))/-5)--5)+(-5*(((-73.26*(-73.26-(-5/-5)))*(-73.26-(-73.26/(-5*-73.26))))-(-5/-5)))))</f>
        <v>-1976913.04508</v>
      </c>
      <c r="C2675" t="n" s="0">
        <v>-1976913.0450800005</v>
      </c>
    </row>
    <row r="2676">
      <c r="A2676" t="n" s="0">
        <v>-73.25</v>
      </c>
      <c r="B2676" t="n" s="0">
        <f>(-5-((((-5*(-5/((-5/(((-5*(-73.25--5))-(-5+((-5*-73.25)*(((-5--5)+(-73.25--5))+-73.25))))-(-5+-5)))*-5)))/-5)--5)+(-5*(((-73.25*(-73.25-(-5/-5)))*(-73.25-(-73.25/(-5*-73.25))))-(-5/-5)))))</f>
        <v>-1976105.140625</v>
      </c>
      <c r="C2676" t="n" s="0">
        <v>-1976105.140625</v>
      </c>
    </row>
    <row r="2677">
      <c r="A2677" t="n" s="0">
        <v>-73.24</v>
      </c>
      <c r="B2677" t="n" s="0">
        <f>(-5-((((-5*(-5/((-5/(((-5*(-73.24--5))-(-5+((-5*-73.24)*(((-5--5)+(-73.24--5))+-73.24))))-(-5+-5)))*-5)))/-5)--5)+(-5*(((-73.24*(-73.24-(-5/-5)))*(-73.24-(-73.24/(-5*-73.24))))-(-5/-5)))))</f>
        <v>-1975297.45632</v>
      </c>
      <c r="C2677" t="n" s="0">
        <v>-1975297.4563199996</v>
      </c>
    </row>
    <row r="2678">
      <c r="A2678" t="n" s="0">
        <v>-73.23</v>
      </c>
      <c r="B2678" t="n" s="0">
        <f>(-5-((((-5*(-5/((-5/(((-5*(-73.23--5))-(-5+((-5*-73.23)*(((-5--5)+(-73.23--5))+-73.23))))-(-5+-5)))*-5)))/-5)--5)+(-5*(((-73.23*(-73.23-(-5/-5)))*(-73.23-(-73.23/(-5*-73.23))))-(-5/-5)))))</f>
        <v>-1974489.992135</v>
      </c>
      <c r="C2678" t="n" s="0">
        <v>-1974489.9921350002</v>
      </c>
    </row>
    <row r="2679">
      <c r="A2679" t="n" s="0">
        <v>-73.22</v>
      </c>
      <c r="B2679" t="n" s="0">
        <f>(-5-((((-5*(-5/((-5/(((-5*(-73.22--5))-(-5+((-5*-73.22)*(((-5--5)+(-73.22--5))+-73.22))))-(-5+-5)))*-5)))/-5)--5)+(-5*(((-73.22*(-73.22-(-5/-5)))*(-73.22-(-73.22/(-5*-73.22))))-(-5/-5)))))</f>
        <v>-1973682.74804</v>
      </c>
      <c r="C2679" t="n" s="0">
        <v>-1973682.7480399997</v>
      </c>
    </row>
    <row r="2680">
      <c r="A2680" t="n" s="0">
        <v>-73.21</v>
      </c>
      <c r="B2680" t="n" s="0">
        <f>(-5-((((-5*(-5/((-5/(((-5*(-73.21--5))-(-5+((-5*-73.21)*(((-5--5)+(-73.21--5))+-73.21))))-(-5+-5)))*-5)))/-5)--5)+(-5*(((-73.21*(-73.21-(-5/-5)))*(-73.21-(-73.21/(-5*-73.21))))-(-5/-5)))))</f>
        <v>-1972875.724005</v>
      </c>
      <c r="C2680" t="n" s="0">
        <v>-1972875.7240049995</v>
      </c>
    </row>
    <row r="2681">
      <c r="A2681" t="n" s="0">
        <v>-73.2</v>
      </c>
      <c r="B2681" t="n" s="0">
        <f>(-5-((((-5*(-5/((-5/(((-5*(-73.2--5))-(-5+((-5*-73.2)*(((-5--5)+(-73.2--5))+-73.2))))-(-5+-5)))*-5)))/-5)--5)+(-5*(((-73.2*(-73.2-(-5/-5)))*(-73.2-(-73.2/(-5*-73.2))))-(-5/-5)))))</f>
        <v>-1972068.9200000002</v>
      </c>
      <c r="C2681" t="n" s="0">
        <v>-1972068.9200000004</v>
      </c>
    </row>
    <row r="2682">
      <c r="A2682" t="n" s="0">
        <v>-73.19</v>
      </c>
      <c r="B2682" t="n" s="0">
        <f>(-5-((((-5*(-5/((-5/(((-5*(-73.19--5))-(-5+((-5*-73.19)*(((-5--5)+(-73.19--5))+-73.19))))-(-5+-5)))*-5)))/-5)--5)+(-5*(((-73.19*(-73.19-(-5/-5)))*(-73.19-(-73.19/(-5*-73.19))))-(-5/-5)))))</f>
        <v>-1971262.335995</v>
      </c>
      <c r="C2682" t="n" s="0">
        <v>-1971262.3359949999</v>
      </c>
    </row>
    <row r="2683">
      <c r="A2683" t="n" s="0">
        <v>-73.18</v>
      </c>
      <c r="B2683" t="n" s="0">
        <f>(-5-((((-5*(-5/((-5/(((-5*(-73.18--5))-(-5+((-5*-73.18)*(((-5--5)+(-73.18--5))+-73.18))))-(-5+-5)))*-5)))/-5)--5)+(-5*(((-73.18*(-73.18-(-5/-5)))*(-73.18-(-73.18/(-5*-73.18))))-(-5/-5)))))</f>
        <v>-1970455.97196</v>
      </c>
      <c r="C2683" t="n" s="0">
        <v>-1970455.9719600005</v>
      </c>
    </row>
    <row r="2684">
      <c r="A2684" t="n" s="0">
        <v>-73.17</v>
      </c>
      <c r="B2684" t="n" s="0">
        <f>(-5-((((-5*(-5/((-5/(((-5*(-73.17--5))-(-5+((-5*-73.17)*(((-5--5)+(-73.17--5))+-73.17))))-(-5+-5)))*-5)))/-5)--5)+(-5*(((-73.17*(-73.17-(-5/-5)))*(-73.17-(-73.17/(-5*-73.17))))-(-5/-5)))))</f>
        <v>-1969649.8278649999</v>
      </c>
      <c r="C2684" t="n" s="0">
        <v>-1969649.8278650003</v>
      </c>
    </row>
    <row r="2685">
      <c r="A2685" t="n" s="0">
        <v>-73.16</v>
      </c>
      <c r="B2685" t="n" s="0">
        <f>(-5-((((-5*(-5/((-5/(((-5*(-73.16--5))-(-5+((-5*-73.16)*(((-5--5)+(-73.16--5))+-73.16))))-(-5+-5)))*-5)))/-5)--5)+(-5*(((-73.16*(-73.16-(-5/-5)))*(-73.16-(-73.16/(-5*-73.16))))-(-5/-5)))))</f>
        <v>-1968843.90368</v>
      </c>
      <c r="C2685" t="n" s="0">
        <v>-1968843.9036799998</v>
      </c>
    </row>
    <row r="2686">
      <c r="A2686" t="n" s="0">
        <v>-73.15</v>
      </c>
      <c r="B2686" t="n" s="0">
        <f>(-5-((((-5*(-5/((-5/(((-5*(-73.15--5))-(-5+((-5*-73.15)*(((-5--5)+(-73.15--5))+-73.15))))-(-5+-5)))*-5)))/-5)--5)+(-5*(((-73.15*(-73.15-(-5/-5)))*(-73.15-(-73.15/(-5*-73.15))))-(-5/-5)))))</f>
        <v>-1968038.1993749999</v>
      </c>
      <c r="C2686" t="n" s="0">
        <v>-1968038.1993750003</v>
      </c>
    </row>
    <row r="2687">
      <c r="A2687" t="n" s="0">
        <v>-73.14</v>
      </c>
      <c r="B2687" t="n" s="0">
        <f>(-5-((((-5*(-5/((-5/(((-5*(-73.14--5))-(-5+((-5*-73.14)*(((-5--5)+(-73.14--5))+-73.14))))-(-5+-5)))*-5)))/-5)--5)+(-5*(((-73.14*(-73.14-(-5/-5)))*(-73.14-(-73.14/(-5*-73.14))))-(-5/-5)))))</f>
        <v>-1967232.71492</v>
      </c>
      <c r="C2687" t="n" s="0">
        <v>-1967232.71492</v>
      </c>
    </row>
    <row r="2688">
      <c r="A2688" t="n" s="0">
        <v>-73.13</v>
      </c>
      <c r="B2688" t="n" s="0">
        <f>(-5-((((-5*(-5/((-5/(((-5*(-73.13--5))-(-5+((-5*-73.13)*(((-5--5)+(-73.13--5))+-73.13))))-(-5+-5)))*-5)))/-5)--5)+(-5*(((-73.13*(-73.13-(-5/-5)))*(-73.13-(-73.13/(-5*-73.13))))-(-5/-5)))))</f>
        <v>-1966427.450285</v>
      </c>
      <c r="C2688" t="n" s="0">
        <v>-1966427.4502849996</v>
      </c>
    </row>
    <row r="2689">
      <c r="A2689" t="n" s="0">
        <v>-73.12</v>
      </c>
      <c r="B2689" t="n" s="0">
        <f>(-5-((((-5*(-5/((-5/(((-5*(-73.12--5))-(-5+((-5*-73.12)*(((-5--5)+(-73.12--5))+-73.12))))-(-5+-5)))*-5)))/-5)--5)+(-5*(((-73.12*(-73.12-(-5/-5)))*(-73.12-(-73.12/(-5*-73.12))))-(-5/-5)))))</f>
        <v>-1965622.40544</v>
      </c>
      <c r="C2689" t="n" s="0">
        <v>-1965622.4054400006</v>
      </c>
    </row>
    <row r="2690">
      <c r="A2690" t="n" s="0">
        <v>-73.11</v>
      </c>
      <c r="B2690" t="n" s="0">
        <f>(-5-((((-5*(-5/((-5/(((-5*(-73.11--5))-(-5+((-5*-73.11)*(((-5--5)+(-73.11--5))+-73.11))))-(-5+-5)))*-5)))/-5)--5)+(-5*(((-73.11*(-73.11-(-5/-5)))*(-73.11-(-73.11/(-5*-73.11))))-(-5/-5)))))</f>
        <v>-1964817.580355</v>
      </c>
      <c r="C2690" t="n" s="0">
        <v>-1964817.580355</v>
      </c>
    </row>
    <row r="2691">
      <c r="A2691" t="n" s="0">
        <v>-73.1</v>
      </c>
      <c r="B2691" t="n" s="0">
        <f>(-5-((((-5*(-5/((-5/(((-5*(-73.1--5))-(-5+((-5*-73.1)*(((-5--5)+(-73.1--5))+-73.1))))-(-5+-5)))*-5)))/-5)--5)+(-5*(((-73.1*(-73.1-(-5/-5)))*(-73.1-(-73.1/(-5*-73.1))))-(-5/-5)))))</f>
        <v>-1964012.9749999999</v>
      </c>
      <c r="C2691" t="n" s="0">
        <v>-1964012.9749999994</v>
      </c>
    </row>
    <row r="2692">
      <c r="A2692" t="n" s="0">
        <v>-73.09</v>
      </c>
      <c r="B2692" t="n" s="0">
        <f>(-5-((((-5*(-5/((-5/(((-5*(-73.09--5))-(-5+((-5*-73.09)*(((-5--5)+(-73.09--5))+-73.09))))-(-5+-5)))*-5)))/-5)--5)+(-5*(((-73.09*(-73.09-(-5/-5)))*(-73.09-(-73.09/(-5*-73.09))))-(-5/-5)))))</f>
        <v>-1963208.589345</v>
      </c>
      <c r="C2692" t="n" s="0">
        <v>-1963208.5893450005</v>
      </c>
    </row>
    <row r="2693">
      <c r="A2693" t="n" s="0">
        <v>-73.08</v>
      </c>
      <c r="B2693" t="n" s="0">
        <f>(-5-((((-5*(-5/((-5/(((-5*(-73.08--5))-(-5+((-5*-73.08)*(((-5--5)+(-73.08--5))+-73.08))))-(-5+-5)))*-5)))/-5)--5)+(-5*(((-73.08*(-73.08-(-5/-5)))*(-73.08-(-73.08/(-5*-73.08))))-(-5/-5)))))</f>
        <v>-1962404.4233600001</v>
      </c>
      <c r="C2693" t="n" s="0">
        <v>-1962404.4233599997</v>
      </c>
    </row>
    <row r="2694">
      <c r="A2694" t="n" s="0">
        <v>-73.07</v>
      </c>
      <c r="B2694" t="n" s="0">
        <f>(-5-((((-5*(-5/((-5/(((-5*(-73.07--5))-(-5+((-5*-73.07)*(((-5--5)+(-73.07--5))+-73.07))))-(-5+-5)))*-5)))/-5)--5)+(-5*(((-73.07*(-73.07-(-5/-5)))*(-73.07-(-73.07/(-5*-73.07))))-(-5/-5)))))</f>
        <v>-1961600.477015</v>
      </c>
      <c r="C2694" t="n" s="0">
        <v>-1961600.4770149994</v>
      </c>
    </row>
    <row r="2695">
      <c r="A2695" t="n" s="0">
        <v>-73.06</v>
      </c>
      <c r="B2695" t="n" s="0">
        <f>(-5-((((-5*(-5/((-5/(((-5*(-73.06--5))-(-5+((-5*-73.06)*(((-5--5)+(-73.06--5))+-73.06))))-(-5+-5)))*-5)))/-5)--5)+(-5*(((-73.06*(-73.06-(-5/-5)))*(-73.06-(-73.06/(-5*-73.06))))-(-5/-5)))))</f>
        <v>-1960796.75028</v>
      </c>
      <c r="C2695" t="n" s="0">
        <v>-1960796.75028</v>
      </c>
    </row>
    <row r="2696">
      <c r="A2696" t="n" s="0">
        <v>-73.05</v>
      </c>
      <c r="B2696" t="n" s="0">
        <f>(-5-((((-5*(-5/((-5/(((-5*(-73.05--5))-(-5+((-5*-73.05)*(((-5--5)+(-73.05--5))+-73.05))))-(-5+-5)))*-5)))/-5)--5)+(-5*(((-73.05*(-73.05-(-5/-5)))*(-73.05-(-73.05/(-5*-73.05))))-(-5/-5)))))</f>
        <v>-1959993.243125</v>
      </c>
      <c r="C2696" t="n" s="0">
        <v>-1959993.2431249998</v>
      </c>
    </row>
    <row r="2697">
      <c r="A2697" t="n" s="0">
        <v>-73.04</v>
      </c>
      <c r="B2697" t="n" s="0">
        <f>(-5-((((-5*(-5/((-5/(((-5*(-73.04--5))-(-5+((-5*-73.04)*(((-5--5)+(-73.04--5))+-73.04))))-(-5+-5)))*-5)))/-5)--5)+(-5*(((-73.04*(-73.04-(-5/-5)))*(-73.04-(-73.04/(-5*-73.04))))-(-5/-5)))))</f>
        <v>-1959189.95552</v>
      </c>
      <c r="C2697" t="n" s="0">
        <v>-1959189.9555200008</v>
      </c>
    </row>
    <row r="2698">
      <c r="A2698" t="n" s="0">
        <v>-73.03</v>
      </c>
      <c r="B2698" t="n" s="0">
        <f>(-5-((((-5*(-5/((-5/(((-5*(-73.03--5))-(-5+((-5*-73.03)*(((-5--5)+(-73.03--5))+-73.03))))-(-5+-5)))*-5)))/-5)--5)+(-5*(((-73.03*(-73.03-(-5/-5)))*(-73.03-(-73.03/(-5*-73.03))))-(-5/-5)))))</f>
        <v>-1958386.887435</v>
      </c>
      <c r="C2698" t="n" s="0">
        <v>-1958386.8874350002</v>
      </c>
    </row>
    <row r="2699">
      <c r="A2699" t="n" s="0">
        <v>-73.02</v>
      </c>
      <c r="B2699" t="n" s="0">
        <f>(-5-((((-5*(-5/((-5/(((-5*(-73.02--5))-(-5+((-5*-73.02)*(((-5--5)+(-73.02--5))+-73.02))))-(-5+-5)))*-5)))/-5)--5)+(-5*(((-73.02*(-73.02-(-5/-5)))*(-73.02-(-73.02/(-5*-73.02))))-(-5/-5)))))</f>
        <v>-1957584.03884</v>
      </c>
      <c r="C2699" t="n" s="0">
        <v>-1957584.0388399998</v>
      </c>
    </row>
    <row r="2700">
      <c r="A2700" t="n" s="0">
        <v>-73.01</v>
      </c>
      <c r="B2700" t="n" s="0">
        <f>(-5-((((-5*(-5/((-5/(((-5*(-73.01--5))-(-5+((-5*-73.01)*(((-5--5)+(-73.01--5))+-73.01))))-(-5+-5)))*-5)))/-5)--5)+(-5*(((-73.01*(-73.01-(-5/-5)))*(-73.01-(-73.01/(-5*-73.01))))-(-5/-5)))))</f>
        <v>-1956781.409705</v>
      </c>
      <c r="C2700" t="n" s="0">
        <v>-1956781.4097050002</v>
      </c>
    </row>
    <row r="2701">
      <c r="A2701" t="n" s="0">
        <v>-73.0</v>
      </c>
      <c r="B2701" t="n" s="0">
        <f>(-5-((((-5*(-5/((-5/(((-5*(-73--5))-(-5+((-5*-73)*(((-5--5)+(-73--5))+-73))))-(-5+-5)))*-5)))/-5)--5)+(-5*(((-73*(-73-(-5/-5)))*(-73-(-73/(-5*-73))))-(-5/-5)))))</f>
        <v>-1955979.0</v>
      </c>
      <c r="C2701" t="n" s="0">
        <v>-1955979.0</v>
      </c>
    </row>
    <row r="2702">
      <c r="A2702" t="n" s="0">
        <v>-72.99</v>
      </c>
      <c r="B2702" t="n" s="0">
        <f>(-5-((((-5*(-5/((-5/(((-5*(-72.99--5))-(-5+((-5*-72.99)*(((-5--5)+(-72.99--5))+-72.99))))-(-5+-5)))*-5)))/-5)--5)+(-5*(((-72.99*(-72.99-(-5/-5)))*(-72.99-(-72.99/(-5*-72.99))))-(-5/-5)))))</f>
        <v>-1955176.809695</v>
      </c>
      <c r="C2702" t="n" s="0">
        <v>-1955176.8096949996</v>
      </c>
    </row>
    <row r="2703">
      <c r="A2703" t="n" s="0">
        <v>-72.98</v>
      </c>
      <c r="B2703" t="n" s="0">
        <f>(-5-((((-5*(-5/((-5/(((-5*(-72.98--5))-(-5+((-5*-72.98)*(((-5--5)+(-72.98--5))+-72.98))))-(-5+-5)))*-5)))/-5)--5)+(-5*(((-72.98*(-72.98-(-5/-5)))*(-72.98-(-72.98/(-5*-72.98))))-(-5/-5)))))</f>
        <v>-1954374.83876</v>
      </c>
      <c r="C2703" t="n" s="0">
        <v>-1954374.83876</v>
      </c>
    </row>
    <row r="2704">
      <c r="A2704" t="n" s="0">
        <v>-72.97</v>
      </c>
      <c r="B2704" t="n" s="0">
        <f>(-5-((((-5*(-5/((-5/(((-5*(-72.97--5))-(-5+((-5*-72.97)*(((-5--5)+(-72.97--5))+-72.97))))-(-5+-5)))*-5)))/-5)--5)+(-5*(((-72.97*(-72.97-(-5/-5)))*(-72.97-(-72.97/(-5*-72.97))))-(-5/-5)))))</f>
        <v>-1953573.087165</v>
      </c>
      <c r="C2704" t="n" s="0">
        <v>-1953573.0871649997</v>
      </c>
    </row>
    <row r="2705">
      <c r="A2705" t="n" s="0">
        <v>-72.96</v>
      </c>
      <c r="B2705" t="n" s="0">
        <f>(-5-((((-5*(-5/((-5/(((-5*(-72.96--5))-(-5+((-5*-72.96)*(((-5--5)+(-72.96--5))+-72.96))))-(-5+-5)))*-5)))/-5)--5)+(-5*(((-72.96*(-72.96-(-5/-5)))*(-72.96-(-72.96/(-5*-72.96))))-(-5/-5)))))</f>
        <v>-1952771.5548800002</v>
      </c>
      <c r="C2705" t="n" s="0">
        <v>-1952771.5548799993</v>
      </c>
    </row>
    <row r="2706">
      <c r="A2706" t="n" s="0">
        <v>-72.95</v>
      </c>
      <c r="B2706" t="n" s="0">
        <f>(-5-((((-5*(-5/((-5/(((-5*(-72.95--5))-(-5+((-5*-72.95)*(((-5--5)+(-72.95--5))+-72.95))))-(-5+-5)))*-5)))/-5)--5)+(-5*(((-72.95*(-72.95-(-5/-5)))*(-72.95-(-72.95/(-5*-72.95))))-(-5/-5)))))</f>
        <v>-1951970.241875</v>
      </c>
      <c r="C2706" t="n" s="0">
        <v>-1951970.2418750003</v>
      </c>
    </row>
    <row r="2707">
      <c r="A2707" t="n" s="0">
        <v>-72.94</v>
      </c>
      <c r="B2707" t="n" s="0">
        <f>(-5-((((-5*(-5/((-5/(((-5*(-72.94--5))-(-5+((-5*-72.94)*(((-5--5)+(-72.94--5))+-72.94))))-(-5+-5)))*-5)))/-5)--5)+(-5*(((-72.94*(-72.94-(-5/-5)))*(-72.94-(-72.94/(-5*-72.94))))-(-5/-5)))))</f>
        <v>-1951169.14812</v>
      </c>
      <c r="C2707" t="n" s="0">
        <v>-1951169.14812</v>
      </c>
    </row>
    <row r="2708">
      <c r="A2708" t="n" s="0">
        <v>-72.93</v>
      </c>
      <c r="B2708" t="n" s="0">
        <f>(-5-((((-5*(-5/((-5/(((-5*(-72.93--5))-(-5+((-5*-72.93)*(((-5--5)+(-72.93--5))+-72.93))))-(-5+-5)))*-5)))/-5)--5)+(-5*(((-72.93*(-72.93-(-5/-5)))*(-72.93-(-72.93/(-5*-72.93))))-(-5/-5)))))</f>
        <v>-1950368.273585</v>
      </c>
      <c r="C2708" t="n" s="0">
        <v>-1950368.2735850008</v>
      </c>
    </row>
    <row r="2709">
      <c r="A2709" t="n" s="0">
        <v>-72.92</v>
      </c>
      <c r="B2709" t="n" s="0">
        <f>(-5-((((-5*(-5/((-5/(((-5*(-72.92--5))-(-5+((-5*-72.92)*(((-5--5)+(-72.92--5))+-72.92))))-(-5+-5)))*-5)))/-5)--5)+(-5*(((-72.92*(-72.92-(-5/-5)))*(-72.92-(-72.92/(-5*-72.92))))-(-5/-5)))))</f>
        <v>-1949567.61824</v>
      </c>
      <c r="C2709" t="n" s="0">
        <v>-1949567.6182400002</v>
      </c>
    </row>
    <row r="2710">
      <c r="A2710" t="n" s="0">
        <v>-72.91</v>
      </c>
      <c r="B2710" t="n" s="0">
        <f>(-5-((((-5*(-5/((-5/(((-5*(-72.91--5))-(-5+((-5*-72.91)*(((-5--5)+(-72.91--5))+-72.91))))-(-5+-5)))*-5)))/-5)--5)+(-5*(((-72.91*(-72.91-(-5/-5)))*(-72.91-(-72.91/(-5*-72.91))))-(-5/-5)))))</f>
        <v>-1948767.182055</v>
      </c>
      <c r="C2710" t="n" s="0">
        <v>-1948767.1820549995</v>
      </c>
    </row>
    <row r="2711">
      <c r="A2711" t="n" s="0">
        <v>-72.9</v>
      </c>
      <c r="B2711" t="n" s="0">
        <f>(-5-((((-5*(-5/((-5/(((-5*(-72.9--5))-(-5+((-5*-72.9)*(((-5--5)+(-72.9--5))+-72.9))))-(-5+-5)))*-5)))/-5)--5)+(-5*(((-72.9*(-72.9-(-5/-5)))*(-72.9-(-72.9/(-5*-72.9))))-(-5/-5)))))</f>
        <v>-1947966.965</v>
      </c>
      <c r="C2711" t="n" s="0">
        <v>-1947966.9650000005</v>
      </c>
    </row>
    <row r="2712">
      <c r="A2712" t="n" s="0">
        <v>-72.89</v>
      </c>
      <c r="B2712" t="n" s="0">
        <f>(-5-((((-5*(-5/((-5/(((-5*(-72.89--5))-(-5+((-5*-72.89)*(((-5--5)+(-72.89--5))+-72.89))))-(-5+-5)))*-5)))/-5)--5)+(-5*(((-72.89*(-72.89-(-5/-5)))*(-72.89-(-72.89/(-5*-72.89))))-(-5/-5)))))</f>
        <v>-1947166.967045</v>
      </c>
      <c r="C2712" t="n" s="0">
        <v>-1947166.967045</v>
      </c>
    </row>
    <row r="2713">
      <c r="A2713" t="n" s="0">
        <v>-72.88</v>
      </c>
      <c r="B2713" t="n" s="0">
        <f>(-5-((((-5*(-5/((-5/(((-5*(-72.88--5))-(-5+((-5*-72.88)*(((-5--5)+(-72.88--5))+-72.88))))-(-5+-5)))*-5)))/-5)--5)+(-5*(((-72.88*(-72.88-(-5/-5)))*(-72.88-(-72.88/(-5*-72.88))))-(-5/-5)))))</f>
        <v>-1946367.1881600001</v>
      </c>
      <c r="C2713" t="n" s="0">
        <v>-1946367.1881599997</v>
      </c>
    </row>
    <row r="2714">
      <c r="A2714" t="n" s="0">
        <v>-72.87</v>
      </c>
      <c r="B2714" t="n" s="0">
        <f>(-5-((((-5*(-5/((-5/(((-5*(-72.87--5))-(-5+((-5*-72.87)*(((-5--5)+(-72.87--5))+-72.87))))-(-5+-5)))*-5)))/-5)--5)+(-5*(((-72.87*(-72.87-(-5/-5)))*(-72.87-(-72.87/(-5*-72.87))))-(-5/-5)))))</f>
        <v>-1945567.628315</v>
      </c>
      <c r="C2714" t="n" s="0">
        <v>-1945567.6283150006</v>
      </c>
    </row>
    <row r="2715">
      <c r="A2715" t="n" s="0">
        <v>-72.86</v>
      </c>
      <c r="B2715" t="n" s="0">
        <f>(-5-((((-5*(-5/((-5/(((-5*(-72.86--5))-(-5+((-5*-72.86)*(((-5--5)+(-72.86--5))+-72.86))))-(-5+-5)))*-5)))/-5)--5)+(-5*(((-72.86*(-72.86-(-5/-5)))*(-72.86-(-72.86/(-5*-72.86))))-(-5/-5)))))</f>
        <v>-1944768.2874800002</v>
      </c>
      <c r="C2715" t="n" s="0">
        <v>-1944768.2874800002</v>
      </c>
    </row>
    <row r="2716">
      <c r="A2716" t="n" s="0">
        <v>-72.85</v>
      </c>
      <c r="B2716" t="n" s="0">
        <f>(-5-((((-5*(-5/((-5/(((-5*(-72.85--5))-(-5+((-5*-72.85)*(((-5--5)+(-72.85--5))+-72.85))))-(-5+-5)))*-5)))/-5)--5)+(-5*(((-72.85*(-72.85-(-5/-5)))*(-72.85-(-72.85/(-5*-72.85))))-(-5/-5)))))</f>
        <v>-1943969.1656250001</v>
      </c>
      <c r="C2716" t="n" s="0">
        <v>-1943969.1656249997</v>
      </c>
    </row>
    <row r="2717">
      <c r="A2717" t="n" s="0">
        <v>-72.84</v>
      </c>
      <c r="B2717" t="n" s="0">
        <f>(-5-((((-5*(-5/((-5/(((-5*(-72.84--5))-(-5+((-5*-72.84)*(((-5--5)+(-72.84--5))+-72.84))))-(-5+-5)))*-5)))/-5)--5)+(-5*(((-72.84*(-72.84-(-5/-5)))*(-72.84-(-72.84/(-5*-72.84))))-(-5/-5)))))</f>
        <v>-1943170.26272</v>
      </c>
      <c r="C2717" t="n" s="0">
        <v>-1943170.2627200002</v>
      </c>
    </row>
    <row r="2718">
      <c r="A2718" t="n" s="0">
        <v>-72.83</v>
      </c>
      <c r="B2718" t="n" s="0">
        <f>(-5-((((-5*(-5/((-5/(((-5*(-72.83--5))-(-5+((-5*-72.83)*(((-5--5)+(-72.83--5))+-72.83))))-(-5+-5)))*-5)))/-5)--5)+(-5*(((-72.83*(-72.83-(-5/-5)))*(-72.83-(-72.83/(-5*-72.83))))-(-5/-5)))))</f>
        <v>-1942371.578735</v>
      </c>
      <c r="C2718" t="n" s="0">
        <v>-1942371.5787349998</v>
      </c>
    </row>
    <row r="2719">
      <c r="A2719" t="n" s="0">
        <v>-72.82</v>
      </c>
      <c r="B2719" t="n" s="0">
        <f>(-5-((((-5*(-5/((-5/(((-5*(-72.82--5))-(-5+((-5*-72.82)*(((-5--5)+(-72.82--5))+-72.82))))-(-5+-5)))*-5)))/-5)--5)+(-5*(((-72.82*(-72.82-(-5/-5)))*(-72.82-(-72.82/(-5*-72.82))))-(-5/-5)))))</f>
        <v>-1941573.11364</v>
      </c>
      <c r="C2719" t="n" s="0">
        <v>-1941573.1136399994</v>
      </c>
    </row>
    <row r="2720">
      <c r="A2720" t="n" s="0">
        <v>-72.81</v>
      </c>
      <c r="B2720" t="n" s="0">
        <f>(-5-((((-5*(-5/((-5/(((-5*(-72.81--5))-(-5+((-5*-72.81)*(((-5--5)+(-72.81--5))+-72.81))))-(-5+-5)))*-5)))/-5)--5)+(-5*(((-72.81*(-72.81-(-5/-5)))*(-72.81-(-72.81/(-5*-72.81))))-(-5/-5)))))</f>
        <v>-1940774.867405</v>
      </c>
      <c r="C2720" t="n" s="0">
        <v>-1940774.8674050001</v>
      </c>
    </row>
    <row r="2721">
      <c r="A2721" t="n" s="0">
        <v>-72.8</v>
      </c>
      <c r="B2721" t="n" s="0">
        <f>(-5-((((-5*(-5/((-5/(((-5*(-72.8--5))-(-5+((-5*-72.8)*(((-5--5)+(-72.8--5))+-72.8))))-(-5+-5)))*-5)))/-5)--5)+(-5*(((-72.8*(-72.8-(-5/-5)))*(-72.8-(-72.8/(-5*-72.8))))-(-5/-5)))))</f>
        <v>-1939976.84</v>
      </c>
      <c r="C2721" t="n" s="0">
        <v>-1939976.8399999996</v>
      </c>
    </row>
    <row r="2722">
      <c r="A2722" t="n" s="0">
        <v>-72.79</v>
      </c>
      <c r="B2722" t="n" s="0">
        <f>(-5-((((-5*(-5/((-5/(((-5*(-72.79--5))-(-5+((-5*-72.79)*(((-5--5)+(-72.79--5))+-72.79))))-(-5+-5)))*-5)))/-5)--5)+(-5*(((-72.79*(-72.79-(-5/-5)))*(-72.79-(-72.79/(-5*-72.79))))-(-5/-5)))))</f>
        <v>-1939179.0313950002</v>
      </c>
      <c r="C2722" t="n" s="0">
        <v>-1939179.0313950006</v>
      </c>
    </row>
    <row r="2723">
      <c r="A2723" t="n" s="0">
        <v>-72.78</v>
      </c>
      <c r="B2723" t="n" s="0">
        <f>(-5-((((-5*(-5/((-5/(((-5*(-72.78--5))-(-5+((-5*-72.78)*(((-5--5)+(-72.78--5))+-72.78))))-(-5+-5)))*-5)))/-5)--5)+(-5*(((-72.78*(-72.78-(-5/-5)))*(-72.78-(-72.78/(-5*-72.78))))-(-5/-5)))))</f>
        <v>-1938381.44156</v>
      </c>
      <c r="C2723" t="n" s="0">
        <v>-1938381.4415600002</v>
      </c>
    </row>
    <row r="2724">
      <c r="A2724" t="n" s="0">
        <v>-72.77</v>
      </c>
      <c r="B2724" t="n" s="0">
        <f>(-5-((((-5*(-5/((-5/(((-5*(-72.77--5))-(-5+((-5*-72.77)*(((-5--5)+(-72.77--5))+-72.77))))-(-5+-5)))*-5)))/-5)--5)+(-5*(((-72.77*(-72.77-(-5/-5)))*(-72.77-(-72.77/(-5*-72.77))))-(-5/-5)))))</f>
        <v>-1937584.0704649999</v>
      </c>
      <c r="C2724" t="n" s="0">
        <v>-1937584.0704649996</v>
      </c>
    </row>
    <row r="2725">
      <c r="A2725" t="n" s="0">
        <v>-72.76</v>
      </c>
      <c r="B2725" t="n" s="0">
        <f>(-5-((((-5*(-5/((-5/(((-5*(-72.76--5))-(-5+((-5*-72.76)*(((-5--5)+(-72.76--5))+-72.76))))-(-5+-5)))*-5)))/-5)--5)+(-5*(((-72.76*(-72.76-(-5/-5)))*(-72.76-(-72.76/(-5*-72.76))))-(-5/-5)))))</f>
        <v>-1936786.91808</v>
      </c>
      <c r="C2725" t="n" s="0">
        <v>-1936786.9180800007</v>
      </c>
    </row>
    <row r="2726">
      <c r="A2726" t="n" s="0">
        <v>-72.75</v>
      </c>
      <c r="B2726" t="n" s="0">
        <f>(-5-((((-5*(-5/((-5/(((-5*(-72.75--5))-(-5+((-5*-72.75)*(((-5--5)+(-72.75--5))+-72.75))))-(-5+-5)))*-5)))/-5)--5)+(-5*(((-72.75*(-72.75-(-5/-5)))*(-72.75-(-72.75/(-5*-72.75))))-(-5/-5)))))</f>
        <v>-1935989.984375</v>
      </c>
      <c r="C2726" t="n" s="0">
        <v>-1935989.984375</v>
      </c>
    </row>
    <row r="2727">
      <c r="A2727" t="n" s="0">
        <v>-72.74</v>
      </c>
      <c r="B2727" t="n" s="0">
        <f>(-5-((((-5*(-5/((-5/(((-5*(-72.74--5))-(-5+((-5*-72.74)*(((-5--5)+(-72.74--5))+-72.74))))-(-5+-5)))*-5)))/-5)--5)+(-5*(((-72.74*(-72.74-(-5/-5)))*(-72.74-(-72.74/(-5*-72.74))))-(-5/-5)))))</f>
        <v>-1935193.26932</v>
      </c>
      <c r="C2727" t="n" s="0">
        <v>-1935193.2693199995</v>
      </c>
    </row>
    <row r="2728">
      <c r="A2728" t="n" s="0">
        <v>-72.73</v>
      </c>
      <c r="B2728" t="n" s="0">
        <f>(-5-((((-5*(-5/((-5/(((-5*(-72.73--5))-(-5+((-5*-72.73)*(((-5--5)+(-72.73--5))+-72.73))))-(-5+-5)))*-5)))/-5)--5)+(-5*(((-72.73*(-72.73-(-5/-5)))*(-72.73-(-72.73/(-5*-72.73))))-(-5/-5)))))</f>
        <v>-1934396.7728849999</v>
      </c>
      <c r="C2728" t="n" s="0">
        <v>-1934396.772885</v>
      </c>
    </row>
    <row r="2729">
      <c r="A2729" t="n" s="0">
        <v>-72.72</v>
      </c>
      <c r="B2729" t="n" s="0">
        <f>(-5-((((-5*(-5/((-5/(((-5*(-72.72--5))-(-5+((-5*-72.72)*(((-5--5)+(-72.72--5))+-72.72))))-(-5+-5)))*-5)))/-5)--5)+(-5*(((-72.72*(-72.72-(-5/-5)))*(-72.72-(-72.72/(-5*-72.72))))-(-5/-5)))))</f>
        <v>-1933600.49504</v>
      </c>
      <c r="C2729" t="n" s="0">
        <v>-1933600.49504</v>
      </c>
    </row>
    <row r="2730">
      <c r="A2730" t="n" s="0">
        <v>-72.71</v>
      </c>
      <c r="B2730" t="n" s="0">
        <f>(-5-((((-5*(-5/((-5/(((-5*(-72.71--5))-(-5+((-5*-72.71)*(((-5--5)+(-72.71--5))+-72.71))))-(-5+-5)))*-5)))/-5)--5)+(-5*(((-72.71*(-72.71-(-5/-5)))*(-72.71-(-72.71/(-5*-72.71))))-(-5/-5)))))</f>
        <v>-1932804.435755</v>
      </c>
      <c r="C2730" t="n" s="0">
        <v>-1932804.4357549993</v>
      </c>
    </row>
    <row r="2731">
      <c r="A2731" t="n" s="0">
        <v>-72.7</v>
      </c>
      <c r="B2731" t="n" s="0">
        <f>(-5-((((-5*(-5/((-5/(((-5*(-72.7--5))-(-5+((-5*-72.7)*(((-5--5)+(-72.7--5))+-72.7))))-(-5+-5)))*-5)))/-5)--5)+(-5*(((-72.7*(-72.7-(-5/-5)))*(-72.7-(-72.7/(-5*-72.7))))-(-5/-5)))))</f>
        <v>-1932008.595</v>
      </c>
      <c r="C2731" t="n" s="0">
        <v>-1932008.5950000004</v>
      </c>
    </row>
    <row r="2732">
      <c r="A2732" t="n" s="0">
        <v>-72.69</v>
      </c>
      <c r="B2732" t="n" s="0">
        <f>(-5-((((-5*(-5/((-5/(((-5*(-72.69--5))-(-5+((-5*-72.69)*(((-5--5)+(-72.69--5))+-72.69))))-(-5+-5)))*-5)))/-5)--5)+(-5*(((-72.69*(-72.69-(-5/-5)))*(-72.69-(-72.69/(-5*-72.69))))-(-5/-5)))))</f>
        <v>-1931212.9727450002</v>
      </c>
      <c r="C2732" t="n" s="0">
        <v>-1931212.972745</v>
      </c>
    </row>
    <row r="2733">
      <c r="A2733" t="n" s="0">
        <v>-72.68</v>
      </c>
      <c r="B2733" t="n" s="0">
        <f>(-5-((((-5*(-5/((-5/(((-5*(-72.68--5))-(-5+((-5*-72.68)*(((-5--5)+(-72.68--5))+-72.68))))-(-5+-5)))*-5)))/-5)--5)+(-5*(((-72.68*(-72.68-(-5/-5)))*(-72.68-(-72.68/(-5*-72.68))))-(-5/-5)))))</f>
        <v>-1930417.56896</v>
      </c>
      <c r="C2733" t="n" s="0">
        <v>-1930417.5689600008</v>
      </c>
    </row>
    <row r="2734">
      <c r="A2734" t="n" s="0">
        <v>-72.67</v>
      </c>
      <c r="B2734" t="n" s="0">
        <f>(-5-((((-5*(-5/((-5/(((-5*(-72.67--5))-(-5+((-5*-72.67)*(((-5--5)+(-72.67--5))+-72.67))))-(-5+-5)))*-5)))/-5)--5)+(-5*(((-72.67*(-72.67-(-5/-5)))*(-72.67-(-72.67/(-5*-72.67))))-(-5/-5)))))</f>
        <v>-1929622.383615</v>
      </c>
      <c r="C2734" t="n" s="0">
        <v>-1929622.3836150002</v>
      </c>
    </row>
    <row r="2735">
      <c r="A2735" t="n" s="0">
        <v>-72.66</v>
      </c>
      <c r="B2735" t="n" s="0">
        <f>(-5-((((-5*(-5/((-5/(((-5*(-72.66--5))-(-5+((-5*-72.66)*(((-5--5)+(-72.66--5))+-72.66))))-(-5+-5)))*-5)))/-5)--5)+(-5*(((-72.66*(-72.66-(-5/-5)))*(-72.66-(-72.66/(-5*-72.66))))-(-5/-5)))))</f>
        <v>-1928827.4166799998</v>
      </c>
      <c r="C2735" t="n" s="0">
        <v>-1928827.4166799998</v>
      </c>
    </row>
    <row r="2736">
      <c r="A2736" t="n" s="0">
        <v>-72.65</v>
      </c>
      <c r="B2736" t="n" s="0">
        <f>(-5-((((-5*(-5/((-5/(((-5*(-72.65--5))-(-5+((-5*-72.65)*(((-5--5)+(-72.65--5))+-72.65))))-(-5+-5)))*-5)))/-5)--5)+(-5*(((-72.65*(-72.65-(-5/-5)))*(-72.65-(-72.65/(-5*-72.65))))-(-5/-5)))))</f>
        <v>-1928032.6681249999</v>
      </c>
      <c r="C2736" t="n" s="0">
        <v>-1928032.6681250003</v>
      </c>
    </row>
    <row r="2737">
      <c r="A2737" t="n" s="0">
        <v>-72.64</v>
      </c>
      <c r="B2737" t="n" s="0">
        <f>(-5-((((-5*(-5/((-5/(((-5*(-72.64--5))-(-5+((-5*-72.64)*(((-5--5)+(-72.64--5))+-72.64))))-(-5+-5)))*-5)))/-5)--5)+(-5*(((-72.64*(-72.64-(-5/-5)))*(-72.64-(-72.64/(-5*-72.64))))-(-5/-5)))))</f>
        <v>-1927238.13792</v>
      </c>
      <c r="C2737" t="n" s="0">
        <v>-1927238.1379200001</v>
      </c>
    </row>
    <row r="2738">
      <c r="A2738" t="n" s="0">
        <v>-72.63</v>
      </c>
      <c r="B2738" t="n" s="0">
        <f>(-5-((((-5*(-5/((-5/(((-5*(-72.63--5))-(-5+((-5*-72.63)*(((-5--5)+(-72.63--5))+-72.63))))-(-5+-5)))*-5)))/-5)--5)+(-5*(((-72.63*(-72.63-(-5/-5)))*(-72.63-(-72.63/(-5*-72.63))))-(-5/-5)))))</f>
        <v>-1926443.826035</v>
      </c>
      <c r="C2738" t="n" s="0">
        <v>-1926443.8260349995</v>
      </c>
    </row>
    <row r="2739">
      <c r="A2739" t="n" s="0">
        <v>-72.62</v>
      </c>
      <c r="B2739" t="n" s="0">
        <f>(-5-((((-5*(-5/((-5/(((-5*(-72.62--5))-(-5+((-5*-72.62)*(((-5--5)+(-72.62--5))+-72.62))))-(-5+-5)))*-5)))/-5)--5)+(-5*(((-72.62*(-72.62-(-5/-5)))*(-72.62-(-72.62/(-5*-72.62))))-(-5/-5)))))</f>
        <v>-1925649.73244</v>
      </c>
      <c r="C2739" t="n" s="0">
        <v>-1925649.7324400004</v>
      </c>
    </row>
    <row r="2740">
      <c r="A2740" t="n" s="0">
        <v>-72.61</v>
      </c>
      <c r="B2740" t="n" s="0">
        <f>(-5-((((-5*(-5/((-5/(((-5*(-72.61--5))-(-5+((-5*-72.61)*(((-5--5)+(-72.61--5))+-72.61))))-(-5+-5)))*-5)))/-5)--5)+(-5*(((-72.61*(-72.61-(-5/-5)))*(-72.61-(-72.61/(-5*-72.61))))-(-5/-5)))))</f>
        <v>-1924855.857105</v>
      </c>
      <c r="C2740" t="n" s="0">
        <v>-1924855.8571050002</v>
      </c>
    </row>
    <row r="2741">
      <c r="A2741" t="n" s="0">
        <v>-72.6</v>
      </c>
      <c r="B2741" t="n" s="0">
        <f>(-5-((((-5*(-5/((-5/(((-5*(-72.6--5))-(-5+((-5*-72.6)*(((-5--5)+(-72.6--5))+-72.6))))-(-5+-5)))*-5)))/-5)--5)+(-5*(((-72.6*(-72.6-(-5/-5)))*(-72.6-(-72.6/(-5*-72.6))))-(-5/-5)))))</f>
        <v>-1924062.2</v>
      </c>
      <c r="C2741" t="n" s="0">
        <v>-1924062.1999999997</v>
      </c>
    </row>
    <row r="2742">
      <c r="A2742" t="n" s="0">
        <v>-72.59</v>
      </c>
      <c r="B2742" t="n" s="0">
        <f>(-5-((((-5*(-5/((-5/(((-5*(-72.59--5))-(-5+((-5*-72.59)*(((-5--5)+(-72.59--5))+-72.59))))-(-5+-5)))*-5)))/-5)--5)+(-5*(((-72.59*(-72.59-(-5/-5)))*(-72.59-(-72.59/(-5*-72.59))))-(-5/-5)))))</f>
        <v>-1923268.761095</v>
      </c>
      <c r="C2742" t="n" s="0">
        <v>-1923268.7610950002</v>
      </c>
    </row>
    <row r="2743">
      <c r="A2743" t="n" s="0">
        <v>-72.58</v>
      </c>
      <c r="B2743" t="n" s="0">
        <f>(-5-((((-5*(-5/((-5/(((-5*(-72.58--5))-(-5+((-5*-72.58)*(((-5--5)+(-72.58--5))+-72.58))))-(-5+-5)))*-5)))/-5)--5)+(-5*(((-72.58*(-72.58-(-5/-5)))*(-72.58-(-72.58/(-5*-72.58))))-(-5/-5)))))</f>
        <v>-1922475.54036</v>
      </c>
      <c r="C2743" t="n" s="0">
        <v>-1922475.54036</v>
      </c>
    </row>
    <row r="2744">
      <c r="A2744" t="n" s="0">
        <v>-72.57</v>
      </c>
      <c r="B2744" t="n" s="0">
        <f>(-5-((((-5*(-5/((-5/(((-5*(-72.57--5))-(-5+((-5*-72.57)*(((-5--5)+(-72.57--5))+-72.57))))-(-5+-5)))*-5)))/-5)--5)+(-5*(((-72.57*(-72.57-(-5/-5)))*(-72.57-(-72.57/(-5*-72.57))))-(-5/-5)))))</f>
        <v>-1921682.537765</v>
      </c>
      <c r="C2744" t="n" s="0">
        <v>-1921682.5377649993</v>
      </c>
    </row>
    <row r="2745">
      <c r="A2745" t="n" s="0">
        <v>-72.56</v>
      </c>
      <c r="B2745" t="n" s="0">
        <f>(-5-((((-5*(-5/((-5/(((-5*(-72.56--5))-(-5+((-5*-72.56)*(((-5--5)+(-72.56--5))+-72.56))))-(-5+-5)))*-5)))/-5)--5)+(-5*(((-72.56*(-72.56-(-5/-5)))*(-72.56-(-72.56/(-5*-72.56))))-(-5/-5)))))</f>
        <v>-1920889.75328</v>
      </c>
      <c r="C2745" t="n" s="0">
        <v>-1920889.75328</v>
      </c>
    </row>
    <row r="2746">
      <c r="A2746" t="n" s="0">
        <v>-72.55</v>
      </c>
      <c r="B2746" t="n" s="0">
        <f>(-5-((((-5*(-5/((-5/(((-5*(-72.55--5))-(-5+((-5*-72.55)*(((-5--5)+(-72.55--5))+-72.55))))-(-5+-5)))*-5)))/-5)--5)+(-5*(((-72.55*(-72.55-(-5/-5)))*(-72.55-(-72.55/(-5*-72.55))))-(-5/-5)))))</f>
        <v>-1920097.1868750001</v>
      </c>
      <c r="C2746" t="n" s="0">
        <v>-1920097.1868749997</v>
      </c>
    </row>
    <row r="2747">
      <c r="A2747" t="n" s="0">
        <v>-72.54</v>
      </c>
      <c r="B2747" t="n" s="0">
        <f>(-5-((((-5*(-5/((-5/(((-5*(-72.54--5))-(-5+((-5*-72.54)*(((-5--5)+(-72.54--5))+-72.54))))-(-5+-5)))*-5)))/-5)--5)+(-5*(((-72.54*(-72.54-(-5/-5)))*(-72.54-(-72.54/(-5*-72.54))))-(-5/-5)))))</f>
        <v>-1919304.83852</v>
      </c>
      <c r="C2747" t="n" s="0">
        <v>-1919304.8385200005</v>
      </c>
    </row>
    <row r="2748">
      <c r="A2748" t="n" s="0">
        <v>-72.53</v>
      </c>
      <c r="B2748" t="n" s="0">
        <f>(-5-((((-5*(-5/((-5/(((-5*(-72.53--5))-(-5+((-5*-72.53)*(((-5--5)+(-72.53--5))+-72.53))))-(-5+-5)))*-5)))/-5)--5)+(-5*(((-72.53*(-72.53-(-5/-5)))*(-72.53-(-72.53/(-5*-72.53))))-(-5/-5)))))</f>
        <v>-1918512.7081849999</v>
      </c>
      <c r="C2748" t="n" s="0">
        <v>-1918512.708185</v>
      </c>
    </row>
    <row r="2749">
      <c r="A2749" t="n" s="0">
        <v>-72.52</v>
      </c>
      <c r="B2749" t="n" s="0">
        <f>(-5-((((-5*(-5/((-5/(((-5*(-72.52--5))-(-5+((-5*-72.52)*(((-5--5)+(-72.52--5))+-72.52))))-(-5+-5)))*-5)))/-5)--5)+(-5*(((-72.52*(-72.52-(-5/-5)))*(-72.52-(-72.52/(-5*-72.52))))-(-5/-5)))))</f>
        <v>-1917720.79584</v>
      </c>
      <c r="C2749" t="n" s="0">
        <v>-1917720.7958399998</v>
      </c>
    </row>
    <row r="2750">
      <c r="A2750" t="n" s="0">
        <v>-72.51</v>
      </c>
      <c r="B2750" t="n" s="0">
        <f>(-5-((((-5*(-5/((-5/(((-5*(-72.51--5))-(-5+((-5*-72.51)*(((-5--5)+(-72.51--5))+-72.51))))-(-5+-5)))*-5)))/-5)--5)+(-5*(((-72.51*(-72.51-(-5/-5)))*(-72.51-(-72.51/(-5*-72.51))))-(-5/-5)))))</f>
        <v>-1916929.101455</v>
      </c>
      <c r="C2750" t="n" s="0">
        <v>-1916929.1014550005</v>
      </c>
    </row>
    <row r="2751">
      <c r="A2751" t="n" s="0">
        <v>-72.5</v>
      </c>
      <c r="B2751" t="n" s="0">
        <f>(-5-((((-5*(-5/((-5/(((-5*(-72.5--5))-(-5+((-5*-72.5)*(((-5--5)+(-72.5--5))+-72.5))))-(-5+-5)))*-5)))/-5)--5)+(-5*(((-72.5*(-72.5-(-5/-5)))*(-72.5-(-72.5/(-5*-72.5))))-(-5/-5)))))</f>
        <v>-1916137.625</v>
      </c>
      <c r="C2751" t="n" s="0">
        <v>-1916137.625</v>
      </c>
    </row>
    <row r="2752">
      <c r="A2752" t="n" s="0">
        <v>-72.49</v>
      </c>
      <c r="B2752" t="n" s="0">
        <f>(-5-((((-5*(-5/((-5/(((-5*(-72.49--5))-(-5+((-5*-72.49)*(((-5--5)+(-72.49--5))+-72.49))))-(-5+-5)))*-5)))/-5)--5)+(-5*(((-72.49*(-72.49-(-5/-5)))*(-72.49-(-72.49/(-5*-72.49))))-(-5/-5)))))</f>
        <v>-1915346.366445</v>
      </c>
      <c r="C2752" t="n" s="0">
        <v>-1915346.3664449994</v>
      </c>
    </row>
    <row r="2753">
      <c r="A2753" t="n" s="0">
        <v>-72.48</v>
      </c>
      <c r="B2753" t="n" s="0">
        <f>(-5-((((-5*(-5/((-5/(((-5*(-72.48--5))-(-5+((-5*-72.48)*(((-5--5)+(-72.48--5))+-72.48))))-(-5+-5)))*-5)))/-5)--5)+(-5*(((-72.48*(-72.48-(-5/-5)))*(-72.48-(-72.48/(-5*-72.48))))-(-5/-5)))))</f>
        <v>-1914555.32576</v>
      </c>
      <c r="C2753" t="n" s="0">
        <v>-1914555.3257600002</v>
      </c>
    </row>
    <row r="2754">
      <c r="A2754" t="n" s="0">
        <v>-72.47</v>
      </c>
      <c r="B2754" t="n" s="0">
        <f>(-5-((((-5*(-5/((-5/(((-5*(-72.47--5))-(-5+((-5*-72.47)*(((-5--5)+(-72.47--5))+-72.47))))-(-5+-5)))*-5)))/-5)--5)+(-5*(((-72.47*(-72.47-(-5/-5)))*(-72.47-(-72.47/(-5*-72.47))))-(-5/-5)))))</f>
        <v>-1913764.502915</v>
      </c>
      <c r="C2754" t="n" s="0">
        <v>-1913764.5029149998</v>
      </c>
    </row>
    <row r="2755">
      <c r="A2755" t="n" s="0">
        <v>-72.46</v>
      </c>
      <c r="B2755" t="n" s="0">
        <f>(-5-((((-5*(-5/((-5/(((-5*(-72.46--5))-(-5+((-5*-72.46)*(((-5--5)+(-72.46--5))+-72.46))))-(-5+-5)))*-5)))/-5)--5)+(-5*(((-72.46*(-72.46-(-5/-5)))*(-72.46-(-72.46/(-5*-72.46))))-(-5/-5)))))</f>
        <v>-1912973.89788</v>
      </c>
      <c r="C2755" t="n" s="0">
        <v>-1912973.8978799996</v>
      </c>
    </row>
    <row r="2756">
      <c r="A2756" t="n" s="0">
        <v>-72.45</v>
      </c>
      <c r="B2756" t="n" s="0">
        <f>(-5-((((-5*(-5/((-5/(((-5*(-72.45--5))-(-5+((-5*-72.45)*(((-5--5)+(-72.45--5))+-72.45))))-(-5+-5)))*-5)))/-5)--5)+(-5*(((-72.45*(-72.45-(-5/-5)))*(-72.45-(-72.45/(-5*-72.45))))-(-5/-5)))))</f>
        <v>-1912183.5106249999</v>
      </c>
      <c r="C2756" t="n" s="0">
        <v>-1912183.510625</v>
      </c>
    </row>
    <row r="2757">
      <c r="A2757" t="n" s="0">
        <v>-72.44</v>
      </c>
      <c r="B2757" t="n" s="0">
        <f>(-5-((((-5*(-5/((-5/(((-5*(-72.44--5))-(-5+((-5*-72.44)*(((-5--5)+(-72.44--5))+-72.44))))-(-5+-5)))*-5)))/-5)--5)+(-5*(((-72.44*(-72.44-(-5/-5)))*(-72.44-(-72.44/(-5*-72.44))))-(-5/-5)))))</f>
        <v>-1911393.34112</v>
      </c>
      <c r="C2757" t="n" s="0">
        <v>-1911393.34112</v>
      </c>
    </row>
    <row r="2758">
      <c r="A2758" t="n" s="0">
        <v>-72.43</v>
      </c>
      <c r="B2758" t="n" s="0">
        <f>(-5-((((-5*(-5/((-5/(((-5*(-72.43--5))-(-5+((-5*-72.43)*(((-5--5)+(-72.43--5))+-72.43))))-(-5+-5)))*-5)))/-5)--5)+(-5*(((-72.43*(-72.43-(-5/-5)))*(-72.43-(-72.43/(-5*-72.43))))-(-5/-5)))))</f>
        <v>-1910603.389335</v>
      </c>
      <c r="C2758" t="n" s="0">
        <v>-1910603.3893350007</v>
      </c>
    </row>
    <row r="2759">
      <c r="A2759" t="n" s="0">
        <v>-72.42</v>
      </c>
      <c r="B2759" t="n" s="0">
        <f>(-5-((((-5*(-5/((-5/(((-5*(-72.42--5))-(-5+((-5*-72.42)*(((-5--5)+(-72.42--5))+-72.42))))-(-5+-5)))*-5)))/-5)--5)+(-5*(((-72.42*(-72.42-(-5/-5)))*(-72.42-(-72.42/(-5*-72.42))))-(-5/-5)))))</f>
        <v>-1909813.65524</v>
      </c>
      <c r="C2759" t="n" s="0">
        <v>-1909813.6552400002</v>
      </c>
    </row>
    <row r="2760">
      <c r="A2760" t="n" s="0">
        <v>-72.41</v>
      </c>
      <c r="B2760" t="n" s="0">
        <f>(-5-((((-5*(-5/((-5/(((-5*(-72.41--5))-(-5+((-5*-72.41)*(((-5--5)+(-72.41--5))+-72.41))))-(-5+-5)))*-5)))/-5)--5)+(-5*(((-72.41*(-72.41-(-5/-5)))*(-72.41-(-72.41/(-5*-72.41))))-(-5/-5)))))</f>
        <v>-1909024.138805</v>
      </c>
      <c r="C2760" t="n" s="0">
        <v>-1909024.1388049996</v>
      </c>
    </row>
    <row r="2761">
      <c r="A2761" t="n" s="0">
        <v>-72.4</v>
      </c>
      <c r="B2761" t="n" s="0">
        <f>(-5-((((-5*(-5/((-5/(((-5*(-72.4--5))-(-5+((-5*-72.4)*(((-5--5)+(-72.4--5))+-72.4))))-(-5+-5)))*-5)))/-5)--5)+(-5*(((-72.4*(-72.4-(-5/-5)))*(-72.4-(-72.4/(-5*-72.4))))-(-5/-5)))))</f>
        <v>-1908234.84</v>
      </c>
      <c r="C2761" t="n" s="0">
        <v>-1908234.8400000005</v>
      </c>
    </row>
    <row r="2762">
      <c r="A2762" t="n" s="0">
        <v>-72.39</v>
      </c>
      <c r="B2762" t="n" s="0">
        <f>(-5-((((-5*(-5/((-5/(((-5*(-72.39--5))-(-5+((-5*-72.39)*(((-5--5)+(-72.39--5))+-72.39))))-(-5+-5)))*-5)))/-5)--5)+(-5*(((-72.39*(-72.39-(-5/-5)))*(-72.39-(-72.39/(-5*-72.39))))-(-5/-5)))))</f>
        <v>-1907445.7587950001</v>
      </c>
      <c r="C2762" t="n" s="0">
        <v>-1907445.758795</v>
      </c>
    </row>
    <row r="2763">
      <c r="A2763" t="n" s="0">
        <v>-72.38</v>
      </c>
      <c r="B2763" t="n" s="0">
        <f>(-5-((((-5*(-5/((-5/(((-5*(-72.38--5))-(-5+((-5*-72.38)*(((-5--5)+(-72.38--5))+-72.38))))-(-5+-5)))*-5)))/-5)--5)+(-5*(((-72.38*(-72.38-(-5/-5)))*(-72.38-(-72.38/(-5*-72.38))))-(-5/-5)))))</f>
        <v>-1906656.89516</v>
      </c>
      <c r="C2763" t="n" s="0">
        <v>-1906656.8951599994</v>
      </c>
    </row>
    <row r="2764">
      <c r="A2764" t="n" s="0">
        <v>-72.37</v>
      </c>
      <c r="B2764" t="n" s="0">
        <f>(-5-((((-5*(-5/((-5/(((-5*(-72.37--5))-(-5+((-5*-72.37)*(((-5--5)+(-72.37--5))+-72.37))))-(-5+-5)))*-5)))/-5)--5)+(-5*(((-72.37*(-72.37-(-5/-5)))*(-72.37-(-72.37/(-5*-72.37))))-(-5/-5)))))</f>
        <v>-1905868.249065</v>
      </c>
      <c r="C2764" t="n" s="0">
        <v>-1905868.2490650006</v>
      </c>
    </row>
    <row r="2765">
      <c r="A2765" t="n" s="0">
        <v>-72.36</v>
      </c>
      <c r="B2765" t="n" s="0">
        <f>(-5-((((-5*(-5/((-5/(((-5*(-72.36--5))-(-5+((-5*-72.36)*(((-5--5)+(-72.36--5))+-72.36))))-(-5+-5)))*-5)))/-5)--5)+(-5*(((-72.36*(-72.36-(-5/-5)))*(-72.36-(-72.36/(-5*-72.36))))-(-5/-5)))))</f>
        <v>-1905079.82048</v>
      </c>
      <c r="C2765" t="n" s="0">
        <v>-1905079.8204799998</v>
      </c>
    </row>
    <row r="2766">
      <c r="A2766" t="n" s="0">
        <v>-72.35</v>
      </c>
      <c r="B2766" t="n" s="0">
        <f>(-5-((((-5*(-5/((-5/(((-5*(-72.35--5))-(-5+((-5*-72.35)*(((-5--5)+(-72.35--5))+-72.35))))-(-5+-5)))*-5)))/-5)--5)+(-5*(((-72.35*(-72.35-(-5/-5)))*(-72.35-(-72.35/(-5*-72.35))))-(-5/-5)))))</f>
        <v>-1904291.609375</v>
      </c>
      <c r="C2766" t="n" s="0">
        <v>-1904291.6093749995</v>
      </c>
    </row>
    <row r="2767">
      <c r="A2767" t="n" s="0">
        <v>-72.34</v>
      </c>
      <c r="B2767" t="n" s="0">
        <f>(-5-((((-5*(-5/((-5/(((-5*(-72.34--5))-(-5+((-5*-72.34)*(((-5--5)+(-72.34--5))+-72.34))))-(-5+-5)))*-5)))/-5)--5)+(-5*(((-72.34*(-72.34-(-5/-5)))*(-72.34-(-72.34/(-5*-72.34))))-(-5/-5)))))</f>
        <v>-1903503.61572</v>
      </c>
      <c r="C2767" t="n" s="0">
        <v>-1903503.6157200001</v>
      </c>
    </row>
    <row r="2768">
      <c r="A2768" t="n" s="0">
        <v>-72.33</v>
      </c>
      <c r="B2768" t="n" s="0">
        <f>(-5-((((-5*(-5/((-5/(((-5*(-72.33--5))-(-5+((-5*-72.33)*(((-5--5)+(-72.33--5))+-72.33))))-(-5+-5)))*-5)))/-5)--5)+(-5*(((-72.33*(-72.33-(-5/-5)))*(-72.33-(-72.33/(-5*-72.33))))-(-5/-5)))))</f>
        <v>-1902715.8394850001</v>
      </c>
      <c r="C2768" t="n" s="0">
        <v>-1902715.839485</v>
      </c>
    </row>
    <row r="2769">
      <c r="A2769" t="n" s="0">
        <v>-72.32</v>
      </c>
      <c r="B2769" t="n" s="0">
        <f>(-5-((((-5*(-5/((-5/(((-5*(-72.32--5))-(-5+((-5*-72.32)*(((-5--5)+(-72.32--5))+-72.32))))-(-5+-5)))*-5)))/-5)--5)+(-5*(((-72.32*(-72.32-(-5/-5)))*(-72.32-(-72.32/(-5*-72.32))))-(-5/-5)))))</f>
        <v>-1901928.28064</v>
      </c>
      <c r="C2769" t="n" s="0">
        <v>-1901928.2806399995</v>
      </c>
    </row>
    <row r="2770">
      <c r="A2770" t="n" s="0">
        <v>-72.31</v>
      </c>
      <c r="B2770" t="n" s="0">
        <f>(-5-((((-5*(-5/((-5/(((-5*(-72.31--5))-(-5+((-5*-72.31)*(((-5--5)+(-72.31--5))+-72.31))))-(-5+-5)))*-5)))/-5)--5)+(-5*(((-72.31*(-72.31-(-5/-5)))*(-72.31-(-72.31/(-5*-72.31))))-(-5/-5)))))</f>
        <v>-1901140.939155</v>
      </c>
      <c r="C2770" t="n" s="0">
        <v>-1901140.939155</v>
      </c>
    </row>
    <row r="2771">
      <c r="A2771" t="n" s="0">
        <v>-72.3</v>
      </c>
      <c r="B2771" t="n" s="0">
        <f>(-5-((((-5*(-5/((-5/(((-5*(-72.3--5))-(-5+((-5*-72.3)*(((-5--5)+(-72.3--5))+-72.3))))-(-5+-5)))*-5)))/-5)--5)+(-5*(((-72.3*(-72.3-(-5/-5)))*(-72.3-(-72.3/(-5*-72.3))))-(-5/-5)))))</f>
        <v>-1900353.8150000002</v>
      </c>
      <c r="C2771" t="n" s="0">
        <v>-1900353.815</v>
      </c>
    </row>
    <row r="2772">
      <c r="A2772" t="n" s="0">
        <v>-72.29</v>
      </c>
      <c r="B2772" t="n" s="0">
        <f>(-5-((((-5*(-5/((-5/(((-5*(-72.29--5))-(-5+((-5*-72.29)*(((-5--5)+(-72.29--5))+-72.29))))-(-5+-5)))*-5)))/-5)--5)+(-5*(((-72.29*(-72.29-(-5/-5)))*(-72.29-(-72.29/(-5*-72.29))))-(-5/-5)))))</f>
        <v>-1899566.908145</v>
      </c>
      <c r="C2772" t="n" s="0">
        <v>-1899566.9081450007</v>
      </c>
    </row>
    <row r="2773">
      <c r="A2773" t="n" s="0">
        <v>-72.28</v>
      </c>
      <c r="B2773" t="n" s="0">
        <f>(-5-((((-5*(-5/((-5/(((-5*(-72.28--5))-(-5+((-5*-72.28)*(((-5--5)+(-72.28--5))+-72.28))))-(-5+-5)))*-5)))/-5)--5)+(-5*(((-72.28*(-72.28-(-5/-5)))*(-72.28-(-72.28/(-5*-72.28))))-(-5/-5)))))</f>
        <v>-1898780.21856</v>
      </c>
      <c r="C2773" t="n" s="0">
        <v>-1898780.21856</v>
      </c>
    </row>
    <row r="2774">
      <c r="A2774" t="n" s="0">
        <v>-72.27</v>
      </c>
      <c r="B2774" t="n" s="0">
        <f>(-5-((((-5*(-5/((-5/(((-5*(-72.27--5))-(-5+((-5*-72.27)*(((-5--5)+(-72.27--5))+-72.27))))-(-5+-5)))*-5)))/-5)--5)+(-5*(((-72.27*(-72.27-(-5/-5)))*(-72.27-(-72.27/(-5*-72.27))))-(-5/-5)))))</f>
        <v>-1897993.746215</v>
      </c>
      <c r="C2774" t="n" s="0">
        <v>-1897993.7462149996</v>
      </c>
    </row>
    <row r="2775">
      <c r="A2775" t="n" s="0">
        <v>-72.26</v>
      </c>
      <c r="B2775" t="n" s="0">
        <f>(-5-((((-5*(-5/((-5/(((-5*(-72.26--5))-(-5+((-5*-72.26)*(((-5--5)+(-72.26--5))+-72.26))))-(-5+-5)))*-5)))/-5)--5)+(-5*(((-72.26*(-72.26-(-5/-5)))*(-72.26-(-72.26/(-5*-72.26))))-(-5/-5)))))</f>
        <v>-1897207.49108</v>
      </c>
      <c r="C2775" t="n" s="0">
        <v>-1897207.4910800005</v>
      </c>
    </row>
    <row r="2776">
      <c r="A2776" t="n" s="0">
        <v>-72.25</v>
      </c>
      <c r="B2776" t="n" s="0">
        <f>(-5-((((-5*(-5/((-5/(((-5*(-72.25--5))-(-5+((-5*-72.25)*(((-5--5)+(-72.25--5))+-72.25))))-(-5+-5)))*-5)))/-5)--5)+(-5*(((-72.25*(-72.25-(-5/-5)))*(-72.25-(-72.25/(-5*-72.25))))-(-5/-5)))))</f>
        <v>-1896421.453125</v>
      </c>
      <c r="C2776" t="n" s="0">
        <v>-1896421.453125</v>
      </c>
    </row>
    <row r="2777">
      <c r="A2777" t="n" s="0">
        <v>-72.24</v>
      </c>
      <c r="B2777" t="n" s="0">
        <f>(-5-((((-5*(-5/((-5/(((-5*(-72.24--5))-(-5+((-5*-72.24)*(((-5--5)+(-72.24--5))+-72.24))))-(-5+-5)))*-5)))/-5)--5)+(-5*(((-72.24*(-72.24-(-5/-5)))*(-72.24-(-72.24/(-5*-72.24))))-(-5/-5)))))</f>
        <v>-1895635.6323199999</v>
      </c>
      <c r="C2777" t="n" s="0">
        <v>-1895635.6323199996</v>
      </c>
    </row>
    <row r="2778">
      <c r="A2778" t="n" s="0">
        <v>-72.23</v>
      </c>
      <c r="B2778" t="n" s="0">
        <f>(-5-((((-5*(-5/((-5/(((-5*(-72.23--5))-(-5+((-5*-72.23)*(((-5--5)+(-72.23--5))+-72.23))))-(-5+-5)))*-5)))/-5)--5)+(-5*(((-72.23*(-72.23-(-5/-5)))*(-72.23-(-72.23/(-5*-72.23))))-(-5/-5)))))</f>
        <v>-1894850.0286349999</v>
      </c>
      <c r="C2778" t="n" s="0">
        <v>-1894850.028635</v>
      </c>
    </row>
    <row r="2779">
      <c r="A2779" t="n" s="0">
        <v>-72.22</v>
      </c>
      <c r="B2779" t="n" s="0">
        <f>(-5-((((-5*(-5/((-5/(((-5*(-72.22--5))-(-5+((-5*-72.22)*(((-5--5)+(-72.22--5))+-72.22))))-(-5+-5)))*-5)))/-5)--5)+(-5*(((-72.22*(-72.22-(-5/-5)))*(-72.22-(-72.22/(-5*-72.22))))-(-5/-5)))))</f>
        <v>-1894064.64204</v>
      </c>
      <c r="C2779" t="n" s="0">
        <v>-1894064.6420399998</v>
      </c>
    </row>
    <row r="2780">
      <c r="A2780" t="n" s="0">
        <v>-72.21</v>
      </c>
      <c r="B2780" t="n" s="0">
        <f>(-5-((((-5*(-5/((-5/(((-5*(-72.21--5))-(-5+((-5*-72.21)*(((-5--5)+(-72.21--5))+-72.21))))-(-5+-5)))*-5)))/-5)--5)+(-5*(((-72.21*(-72.21-(-5/-5)))*(-72.21-(-72.21/(-5*-72.21))))-(-5/-5)))))</f>
        <v>-1893279.472505</v>
      </c>
      <c r="C2780" t="n" s="0">
        <v>-1893279.4725049995</v>
      </c>
    </row>
    <row r="2781">
      <c r="A2781" t="n" s="0">
        <v>-72.2</v>
      </c>
      <c r="B2781" t="n" s="0">
        <f>(-5-((((-5*(-5/((-5/(((-5*(-72.2--5))-(-5+((-5*-72.2)*(((-5--5)+(-72.2--5))+-72.2))))-(-5+-5)))*-5)))/-5)--5)+(-5*(((-72.2*(-72.2-(-5/-5)))*(-72.2-(-72.2/(-5*-72.2))))-(-5/-5)))))</f>
        <v>-1892494.52</v>
      </c>
      <c r="C2781" t="n" s="0">
        <v>-1892494.5200000003</v>
      </c>
    </row>
    <row r="2782">
      <c r="A2782" t="n" s="0">
        <v>-72.19</v>
      </c>
      <c r="B2782" t="n" s="0">
        <f>(-5-((((-5*(-5/((-5/(((-5*(-72.19--5))-(-5+((-5*-72.19)*(((-5--5)+(-72.19--5))+-72.19))))-(-5+-5)))*-5)))/-5)--5)+(-5*(((-72.19*(-72.19-(-5/-5)))*(-72.19-(-72.19/(-5*-72.19))))-(-5/-5)))))</f>
        <v>-1891709.784495</v>
      </c>
      <c r="C2782" t="n" s="0">
        <v>-1891709.7844949998</v>
      </c>
    </row>
    <row r="2783">
      <c r="A2783" t="n" s="0">
        <v>-72.18</v>
      </c>
      <c r="B2783" t="n" s="0">
        <f>(-5-((((-5*(-5/((-5/(((-5*(-72.18--5))-(-5+((-5*-72.18)*(((-5--5)+(-72.18--5))+-72.18))))-(-5+-5)))*-5)))/-5)--5)+(-5*(((-72.18*(-72.18-(-5/-5)))*(-72.18-(-72.18/(-5*-72.18))))-(-5/-5)))))</f>
        <v>-1890925.26596</v>
      </c>
      <c r="C2783" t="n" s="0">
        <v>-1890925.2659600002</v>
      </c>
    </row>
    <row r="2784">
      <c r="A2784" t="n" s="0">
        <v>-72.17</v>
      </c>
      <c r="B2784" t="n" s="0">
        <f>(-5-((((-5*(-5/((-5/(((-5*(-72.17--5))-(-5+((-5*-72.17)*(((-5--5)+(-72.17--5))+-72.17))))-(-5+-5)))*-5)))/-5)--5)+(-5*(((-72.17*(-72.17-(-5/-5)))*(-72.17-(-72.17/(-5*-72.17))))-(-5/-5)))))</f>
        <v>-1890140.964365</v>
      </c>
      <c r="C2784" t="n" s="0">
        <v>-1890140.9643650004</v>
      </c>
    </row>
    <row r="2785">
      <c r="A2785" t="n" s="0">
        <v>-72.16</v>
      </c>
      <c r="B2785" t="n" s="0">
        <f>(-5-((((-5*(-5/((-5/(((-5*(-72.16--5))-(-5+((-5*-72.16)*(((-5--5)+(-72.16--5))+-72.16))))-(-5+-5)))*-5)))/-5)--5)+(-5*(((-72.16*(-72.16-(-5/-5)))*(-72.16-(-72.16/(-5*-72.16))))-(-5/-5)))))</f>
        <v>-1889356.87968</v>
      </c>
      <c r="C2785" t="n" s="0">
        <v>-1889356.8796799995</v>
      </c>
    </row>
    <row r="2786">
      <c r="A2786" t="n" s="0">
        <v>-72.15</v>
      </c>
      <c r="B2786" t="n" s="0">
        <f>(-5-((((-5*(-5/((-5/(((-5*(-72.15--5))-(-5+((-5*-72.15)*(((-5--5)+(-72.15--5))+-72.15))))-(-5+-5)))*-5)))/-5)--5)+(-5*(((-72.15*(-72.15-(-5/-5)))*(-72.15-(-72.15/(-5*-72.15))))-(-5/-5)))))</f>
        <v>-1888573.011875</v>
      </c>
      <c r="C2786" t="n" s="0">
        <v>-1888573.0118750003</v>
      </c>
    </row>
    <row r="2787">
      <c r="A2787" t="n" s="0">
        <v>-72.14</v>
      </c>
      <c r="B2787" t="n" s="0">
        <f>(-5-((((-5*(-5/((-5/(((-5*(-72.14--5))-(-5+((-5*-72.14)*(((-5--5)+(-72.14--5))+-72.14))))-(-5+-5)))*-5)))/-5)--5)+(-5*(((-72.14*(-72.14-(-5/-5)))*(-72.14-(-72.14/(-5*-72.14))))-(-5/-5)))))</f>
        <v>-1887789.36092</v>
      </c>
      <c r="C2787" t="n" s="0">
        <v>-1887789.3609200001</v>
      </c>
    </row>
    <row r="2788">
      <c r="A2788" t="n" s="0">
        <v>-72.13</v>
      </c>
      <c r="B2788" t="n" s="0">
        <f>(-5-((((-5*(-5/((-5/(((-5*(-72.13--5))-(-5+((-5*-72.13)*(((-5--5)+(-72.13--5))+-72.13))))-(-5+-5)))*-5)))/-5)--5)+(-5*(((-72.13*(-72.13-(-5/-5)))*(-72.13-(-72.13/(-5*-72.13))))-(-5/-5)))))</f>
        <v>-1887005.926785</v>
      </c>
      <c r="C2788" t="n" s="0">
        <v>-1887005.9267849994</v>
      </c>
    </row>
    <row r="2789">
      <c r="A2789" t="n" s="0">
        <v>-72.12</v>
      </c>
      <c r="B2789" t="n" s="0">
        <f>(-5-((((-5*(-5/((-5/(((-5*(-72.12--5))-(-5+((-5*-72.12)*(((-5--5)+(-72.12--5))+-72.12))))-(-5+-5)))*-5)))/-5)--5)+(-5*(((-72.12*(-72.12-(-5/-5)))*(-72.12-(-72.12/(-5*-72.12))))-(-5/-5)))))</f>
        <v>-1886222.70944</v>
      </c>
      <c r="C2789" t="n" s="0">
        <v>-1886222.7094400004</v>
      </c>
    </row>
    <row r="2790">
      <c r="A2790" t="n" s="0">
        <v>-72.11</v>
      </c>
      <c r="B2790" t="n" s="0">
        <f>(-5-((((-5*(-5/((-5/(((-5*(-72.11--5))-(-5+((-5*-72.11)*(((-5--5)+(-72.11--5))+-72.11))))-(-5+-5)))*-5)))/-5)--5)+(-5*(((-72.11*(-72.11-(-5/-5)))*(-72.11-(-72.11/(-5*-72.11))))-(-5/-5)))))</f>
        <v>-1885439.7088549999</v>
      </c>
      <c r="C2790" t="n" s="0">
        <v>-1885439.7088550003</v>
      </c>
    </row>
    <row r="2791">
      <c r="A2791" t="n" s="0">
        <v>-72.1</v>
      </c>
      <c r="B2791" t="n" s="0">
        <f>(-5-((((-5*(-5/((-5/(((-5*(-72.1--5))-(-5+((-5*-72.1)*(((-5--5)+(-72.1--5))+-72.1))))-(-5+-5)))*-5)))/-5)--5)+(-5*(((-72.1*(-72.1-(-5/-5)))*(-72.1-(-72.1/(-5*-72.1))))-(-5/-5)))))</f>
        <v>-1884656.925</v>
      </c>
      <c r="C2791" t="n" s="0">
        <v>-1884656.9249999998</v>
      </c>
    </row>
    <row r="2792">
      <c r="A2792" t="n" s="0">
        <v>-72.09</v>
      </c>
      <c r="B2792" t="n" s="0">
        <f>(-5-((((-5*(-5/((-5/(((-5*(-72.09--5))-(-5+((-5*-72.09)*(((-5--5)+(-72.09--5))+-72.09))))-(-5+-5)))*-5)))/-5)--5)+(-5*(((-72.09*(-72.09-(-5/-5)))*(-72.09-(-72.09/(-5*-72.09))))-(-5/-5)))))</f>
        <v>-1883874.357845</v>
      </c>
      <c r="C2792" t="n" s="0">
        <v>-1883874.3578450005</v>
      </c>
    </row>
    <row r="2793">
      <c r="A2793" t="n" s="0">
        <v>-72.08</v>
      </c>
      <c r="B2793" t="n" s="0">
        <f>(-5-((((-5*(-5/((-5/(((-5*(-72.08--5))-(-5+((-5*-72.08)*(((-5--5)+(-72.08--5))+-72.08))))-(-5+-5)))*-5)))/-5)--5)+(-5*(((-72.08*(-72.08-(-5/-5)))*(-72.08-(-72.08/(-5*-72.08))))-(-5/-5)))))</f>
        <v>-1883092.00736</v>
      </c>
      <c r="C2793" t="n" s="0">
        <v>-1883092.0073599997</v>
      </c>
    </row>
    <row r="2794">
      <c r="A2794" t="n" s="0">
        <v>-72.07</v>
      </c>
      <c r="B2794" t="n" s="0">
        <f>(-5-((((-5*(-5/((-5/(((-5*(-72.07--5))-(-5+((-5*-72.07)*(((-5--5)+(-72.07--5))+-72.07))))-(-5+-5)))*-5)))/-5)--5)+(-5*(((-72.07*(-72.07-(-5/-5)))*(-72.07-(-72.07/(-5*-72.07))))-(-5/-5)))))</f>
        <v>-1882309.873515</v>
      </c>
      <c r="C2794" t="n" s="0">
        <v>-1882309.8735149994</v>
      </c>
    </row>
    <row r="2795">
      <c r="A2795" t="n" s="0">
        <v>-72.06</v>
      </c>
      <c r="B2795" t="n" s="0">
        <f>(-5-((((-5*(-5/((-5/(((-5*(-72.06--5))-(-5+((-5*-72.06)*(((-5--5)+(-72.06--5))+-72.06))))-(-5+-5)))*-5)))/-5)--5)+(-5*(((-72.06*(-72.06-(-5/-5)))*(-72.06-(-72.06/(-5*-72.06))))-(-5/-5)))))</f>
        <v>-1881527.95628</v>
      </c>
      <c r="C2795" t="n" s="0">
        <v>-1881527.95628</v>
      </c>
    </row>
    <row r="2796">
      <c r="A2796" t="n" s="0">
        <v>-72.05</v>
      </c>
      <c r="B2796" t="n" s="0">
        <f>(-5-((((-5*(-5/((-5/(((-5*(-72.05--5))-(-5+((-5*-72.05)*(((-5--5)+(-72.05--5))+-72.05))))-(-5+-5)))*-5)))/-5)--5)+(-5*(((-72.05*(-72.05-(-5/-5)))*(-72.05-(-72.05/(-5*-72.05))))-(-5/-5)))))</f>
        <v>-1880746.255625</v>
      </c>
      <c r="C2796" t="n" s="0">
        <v>-1880746.2556249998</v>
      </c>
    </row>
    <row r="2797">
      <c r="A2797" t="n" s="0">
        <v>-72.04</v>
      </c>
      <c r="B2797" t="n" s="0">
        <f>(-5-((((-5*(-5/((-5/(((-5*(-72.04--5))-(-5+((-5*-72.04)*(((-5--5)+(-72.04--5))+-72.04))))-(-5+-5)))*-5)))/-5)--5)+(-5*(((-72.04*(-72.04-(-5/-5)))*(-72.04-(-72.04/(-5*-72.04))))-(-5/-5)))))</f>
        <v>-1879964.77152</v>
      </c>
      <c r="C2797" t="n" s="0">
        <v>-1879964.7715200006</v>
      </c>
    </row>
    <row r="2798">
      <c r="A2798" t="n" s="0">
        <v>-72.03</v>
      </c>
      <c r="B2798" t="n" s="0">
        <f>(-5-((((-5*(-5/((-5/(((-5*(-72.03--5))-(-5+((-5*-72.03)*(((-5--5)+(-72.03--5))+-72.03))))-(-5+-5)))*-5)))/-5)--5)+(-5*(((-72.03*(-72.03-(-5/-5)))*(-72.03-(-72.03/(-5*-72.03))))-(-5/-5)))))</f>
        <v>-1879183.503935</v>
      </c>
      <c r="C2798" t="n" s="0">
        <v>-1879183.5039350002</v>
      </c>
    </row>
    <row r="2799">
      <c r="A2799" t="n" s="0">
        <v>-72.02</v>
      </c>
      <c r="B2799" t="n" s="0">
        <f>(-5-((((-5*(-5/((-5/(((-5*(-72.02--5))-(-5+((-5*-72.02)*(((-5--5)+(-72.02--5))+-72.02))))-(-5+-5)))*-5)))/-5)--5)+(-5*(((-72.02*(-72.02-(-5/-5)))*(-72.02-(-72.02/(-5*-72.02))))-(-5/-5)))))</f>
        <v>-1878402.45284</v>
      </c>
      <c r="C2799" t="n" s="0">
        <v>-1878402.45284</v>
      </c>
    </row>
    <row r="2800">
      <c r="A2800" t="n" s="0">
        <v>-72.01</v>
      </c>
      <c r="B2800" t="n" s="0">
        <f>(-5-((((-5*(-5/((-5/(((-5*(-72.01--5))-(-5+((-5*-72.01)*(((-5--5)+(-72.01--5))+-72.01))))-(-5+-5)))*-5)))/-5)--5)+(-5*(((-72.01*(-72.01-(-5/-5)))*(-72.01-(-72.01/(-5*-72.01))))-(-5/-5)))))</f>
        <v>-1877621.618205</v>
      </c>
      <c r="C2800" t="n" s="0">
        <v>-1877621.6182050004</v>
      </c>
    </row>
    <row r="2801">
      <c r="A2801" t="n" s="0">
        <v>-72.0</v>
      </c>
      <c r="B2801" t="n" s="0">
        <f>(-5-((((-5*(-5/((-5/(((-5*(-72--5))-(-5+((-5*-72)*(((-5--5)+(-72--5))+-72))))-(-5+-5)))*-5)))/-5)--5)+(-5*(((-72*(-72-(-5/-5)))*(-72-(-72/(-5*-72))))-(-5/-5)))))</f>
        <v>-1876841.0</v>
      </c>
      <c r="C2801" t="n" s="0">
        <v>-1876841.0</v>
      </c>
    </row>
    <row r="2802">
      <c r="A2802" t="n" s="0">
        <v>-71.99</v>
      </c>
      <c r="B2802" t="n" s="0">
        <f>(-5-((((-5*(-5/((-5/(((-5*(-71.99--5))-(-5+((-5*-71.99)*(((-5--5)+(-71.99--5))+-71.99))))-(-5+-5)))*-5)))/-5)--5)+(-5*(((-71.99*(-71.99-(-5/-5)))*(-71.99-(-71.99/(-5*-71.99))))-(-5/-5)))))</f>
        <v>-1876060.5981949999</v>
      </c>
      <c r="C2802" t="n" s="0">
        <v>-1876060.5981949994</v>
      </c>
    </row>
    <row r="2803">
      <c r="A2803" t="n" s="0">
        <v>-71.98</v>
      </c>
      <c r="B2803" t="n" s="0">
        <f>(-5-((((-5*(-5/((-5/(((-5*(-71.98--5))-(-5+((-5*-71.98)*(((-5--5)+(-71.98--5))+-71.98))))-(-5+-5)))*-5)))/-5)--5)+(-5*(((-71.98*(-71.98-(-5/-5)))*(-71.98-(-71.98/(-5*-71.98))))-(-5/-5)))))</f>
        <v>-1875280.41276</v>
      </c>
      <c r="C2803" t="n" s="0">
        <v>-1875280.4127600002</v>
      </c>
    </row>
    <row r="2804">
      <c r="A2804" t="n" s="0">
        <v>-71.97</v>
      </c>
      <c r="B2804" t="n" s="0">
        <f>(-5-((((-5*(-5/((-5/(((-5*(-71.97--5))-(-5+((-5*-71.97)*(((-5--5)+(-71.97--5))+-71.97))))-(-5+-5)))*-5)))/-5)--5)+(-5*(((-71.97*(-71.97-(-5/-5)))*(-71.97-(-71.97/(-5*-71.97))))-(-5/-5)))))</f>
        <v>-1874500.4436650001</v>
      </c>
      <c r="C2804" t="n" s="0">
        <v>-1874500.443665</v>
      </c>
    </row>
    <row r="2805">
      <c r="A2805" t="n" s="0">
        <v>-71.96</v>
      </c>
      <c r="B2805" t="n" s="0">
        <f>(-5-((((-5*(-5/((-5/(((-5*(-71.96--5))-(-5+((-5*-71.96)*(((-5--5)+(-71.96--5))+-71.96))))-(-5+-5)))*-5)))/-5)--5)+(-5*(((-71.96*(-71.96-(-5/-5)))*(-71.96-(-71.96/(-5*-71.96))))-(-5/-5)))))</f>
        <v>-1873720.69088</v>
      </c>
      <c r="C2805" t="n" s="0">
        <v>-1873720.6908799994</v>
      </c>
    </row>
    <row r="2806">
      <c r="A2806" t="n" s="0">
        <v>-71.95</v>
      </c>
      <c r="B2806" t="n" s="0">
        <f>(-5-((((-5*(-5/((-5/(((-5*(-71.95--5))-(-5+((-5*-71.95)*(((-5--5)+(-71.95--5))+-71.95))))-(-5+-5)))*-5)))/-5)--5)+(-5*(((-71.95*(-71.95-(-5/-5)))*(-71.95-(-71.95/(-5*-71.95))))-(-5/-5)))))</f>
        <v>-1872941.1543750002</v>
      </c>
      <c r="C2806" t="n" s="0">
        <v>-1872941.1543750004</v>
      </c>
    </row>
    <row r="2807">
      <c r="A2807" t="n" s="0">
        <v>-71.94</v>
      </c>
      <c r="B2807" t="n" s="0">
        <f>(-5-((((-5*(-5/((-5/(((-5*(-71.94--5))-(-5+((-5*-71.94)*(((-5--5)+(-71.94--5))+-71.94))))-(-5+-5)))*-5)))/-5)--5)+(-5*(((-71.94*(-71.94-(-5/-5)))*(-71.94-(-71.94/(-5*-71.94))))-(-5/-5)))))</f>
        <v>-1872161.83412</v>
      </c>
      <c r="C2807" t="n" s="0">
        <v>-1872161.83412</v>
      </c>
    </row>
    <row r="2808">
      <c r="A2808" t="n" s="0">
        <v>-71.93</v>
      </c>
      <c r="B2808" t="n" s="0">
        <f>(-5-((((-5*(-5/((-5/(((-5*(-71.93--5))-(-5+((-5*-71.93)*(((-5--5)+(-71.93--5))+-71.93))))-(-5+-5)))*-5)))/-5)--5)+(-5*(((-71.93*(-71.93-(-5/-5)))*(-71.93-(-71.93/(-5*-71.93))))-(-5/-5)))))</f>
        <v>-1871382.730085</v>
      </c>
      <c r="C2808" t="n" s="0">
        <v>-1871382.7300850004</v>
      </c>
    </row>
    <row r="2809">
      <c r="A2809" t="n" s="0">
        <v>-71.92</v>
      </c>
      <c r="B2809" t="n" s="0">
        <f>(-5-((((-5*(-5/((-5/(((-5*(-71.92--5))-(-5+((-5*-71.92)*(((-5--5)+(-71.92--5))+-71.92))))-(-5+-5)))*-5)))/-5)--5)+(-5*(((-71.92*(-71.92-(-5/-5)))*(-71.92-(-71.92/(-5*-71.92))))-(-5/-5)))))</f>
        <v>-1870603.8422400001</v>
      </c>
      <c r="C2809" t="n" s="0">
        <v>-1870603.8422400004</v>
      </c>
    </row>
    <row r="2810">
      <c r="A2810" t="n" s="0">
        <v>-71.91</v>
      </c>
      <c r="B2810" t="n" s="0">
        <f>(-5-((((-5*(-5/((-5/(((-5*(-71.91--5))-(-5+((-5*-71.91)*(((-5--5)+(-71.91--5))+-71.91))))-(-5+-5)))*-5)))/-5)--5)+(-5*(((-71.91*(-71.91-(-5/-5)))*(-71.91-(-71.91/(-5*-71.91))))-(-5/-5)))))</f>
        <v>-1869825.1705550002</v>
      </c>
      <c r="C2810" t="n" s="0">
        <v>-1869825.1705549997</v>
      </c>
    </row>
    <row r="2811">
      <c r="A2811" t="n" s="0">
        <v>-71.9</v>
      </c>
      <c r="B2811" t="n" s="0">
        <f>(-5-((((-5*(-5/((-5/(((-5*(-71.9--5))-(-5+((-5*-71.9)*(((-5--5)+(-71.9--5))+-71.9))))-(-5+-5)))*-5)))/-5)--5)+(-5*(((-71.9*(-71.9-(-5/-5)))*(-71.9-(-71.9/(-5*-71.9))))-(-5/-5)))))</f>
        <v>-1869046.7149999999</v>
      </c>
      <c r="C2811" t="n" s="0">
        <v>-1869046.7150000003</v>
      </c>
    </row>
    <row r="2812">
      <c r="A2812" t="n" s="0">
        <v>-71.89</v>
      </c>
      <c r="B2812" t="n" s="0">
        <f>(-5-((((-5*(-5/((-5/(((-5*(-71.89--5))-(-5+((-5*-71.89)*(((-5--5)+(-71.89--5))+-71.89))))-(-5+-5)))*-5)))/-5)--5)+(-5*(((-71.89*(-71.89-(-5/-5)))*(-71.89-(-71.89/(-5*-71.89))))-(-5/-5)))))</f>
        <v>-1868268.4755449998</v>
      </c>
      <c r="C2812" t="n" s="0">
        <v>-1868268.4755449998</v>
      </c>
    </row>
    <row r="2813">
      <c r="A2813" t="n" s="0">
        <v>-71.88</v>
      </c>
      <c r="B2813" t="n" s="0">
        <f>(-5-((((-5*(-5/((-5/(((-5*(-71.88--5))-(-5+((-5*-71.88)*(((-5--5)+(-71.88--5))+-71.88))))-(-5+-5)))*-5)))/-5)--5)+(-5*(((-71.88*(-71.88-(-5/-5)))*(-71.88-(-71.88/(-5*-71.88))))-(-5/-5)))))</f>
        <v>-1867490.45216</v>
      </c>
      <c r="C2813" t="n" s="0">
        <v>-1867490.4521599996</v>
      </c>
    </row>
    <row r="2814">
      <c r="A2814" t="n" s="0">
        <v>-71.87</v>
      </c>
      <c r="B2814" t="n" s="0">
        <f>(-5-((((-5*(-5/((-5/(((-5*(-71.87--5))-(-5+((-5*-71.87)*(((-5--5)+(-71.87--5))+-71.87))))-(-5+-5)))*-5)))/-5)--5)+(-5*(((-71.87*(-71.87-(-5/-5)))*(-71.87-(-71.87/(-5*-71.87))))-(-5/-5)))))</f>
        <v>-1866712.644815</v>
      </c>
      <c r="C2814" t="n" s="0">
        <v>-1866712.6448150005</v>
      </c>
    </row>
    <row r="2815">
      <c r="A2815" t="n" s="0">
        <v>-71.86</v>
      </c>
      <c r="B2815" t="n" s="0">
        <f>(-5-((((-5*(-5/((-5/(((-5*(-71.86--5))-(-5+((-5*-71.86)*(((-5--5)+(-71.86--5))+-71.86))))-(-5+-5)))*-5)))/-5)--5)+(-5*(((-71.86*(-71.86-(-5/-5)))*(-71.86-(-71.86/(-5*-71.86))))-(-5/-5)))))</f>
        <v>-1865935.05348</v>
      </c>
      <c r="C2815" t="n" s="0">
        <v>-1865935.05348</v>
      </c>
    </row>
    <row r="2816">
      <c r="A2816" t="n" s="0">
        <v>-71.85</v>
      </c>
      <c r="B2816" t="n" s="0">
        <f>(-5-((((-5*(-5/((-5/(((-5*(-71.85--5))-(-5+((-5*-71.85)*(((-5--5)+(-71.85--5))+-71.85))))-(-5+-5)))*-5)))/-5)--5)+(-5*(((-71.85*(-71.85-(-5/-5)))*(-71.85-(-71.85/(-5*-71.85))))-(-5/-5)))))</f>
        <v>-1865157.6781249999</v>
      </c>
      <c r="C2816" t="n" s="0">
        <v>-1865157.6781249996</v>
      </c>
    </row>
    <row r="2817">
      <c r="A2817" t="n" s="0">
        <v>-71.84</v>
      </c>
      <c r="B2817" t="n" s="0">
        <f>(-5-((((-5*(-5/((-5/(((-5*(-71.84--5))-(-5+((-5*-71.84)*(((-5--5)+(-71.84--5))+-71.84))))-(-5+-5)))*-5)))/-5)--5)+(-5*(((-71.84*(-71.84-(-5/-5)))*(-71.84-(-71.84/(-5*-71.84))))-(-5/-5)))))</f>
        <v>-1864380.51872</v>
      </c>
      <c r="C2817" t="n" s="0">
        <v>-1864380.5187200005</v>
      </c>
    </row>
    <row r="2818">
      <c r="A2818" t="n" s="0">
        <v>-71.83</v>
      </c>
      <c r="B2818" t="n" s="0">
        <f>(-5-((((-5*(-5/((-5/(((-5*(-71.83--5))-(-5+((-5*-71.83)*(((-5--5)+(-71.83--5))+-71.83))))-(-5+-5)))*-5)))/-5)--5)+(-5*(((-71.83*(-71.83-(-5/-5)))*(-71.83-(-71.83/(-5*-71.83))))-(-5/-5)))))</f>
        <v>-1863603.5752349999</v>
      </c>
      <c r="C2818" t="n" s="0">
        <v>-1863603.575235</v>
      </c>
    </row>
    <row r="2819">
      <c r="A2819" t="n" s="0">
        <v>-71.82</v>
      </c>
      <c r="B2819" t="n" s="0">
        <f>(-5-((((-5*(-5/((-5/(((-5*(-71.82--5))-(-5+((-5*-71.82)*(((-5--5)+(-71.82--5))+-71.82))))-(-5+-5)))*-5)))/-5)--5)+(-5*(((-71.82*(-71.82-(-5/-5)))*(-71.82-(-71.82/(-5*-71.82))))-(-5/-5)))))</f>
        <v>-1862826.84764</v>
      </c>
      <c r="C2819" t="n" s="0">
        <v>-1862826.8476399994</v>
      </c>
    </row>
    <row r="2820">
      <c r="A2820" t="n" s="0">
        <v>-71.81</v>
      </c>
      <c r="B2820" t="n" s="0">
        <f>(-5-((((-5*(-5/((-5/(((-5*(-71.81--5))-(-5+((-5*-71.81)*(((-5--5)+(-71.81--5))+-71.81))))-(-5+-5)))*-5)))/-5)--5)+(-5*(((-71.81*(-71.81-(-5/-5)))*(-71.81-(-71.81/(-5*-71.81))))-(-5/-5)))))</f>
        <v>-1862050.3359049999</v>
      </c>
      <c r="C2820" t="n" s="0">
        <v>-1862050.335905</v>
      </c>
    </row>
    <row r="2821">
      <c r="A2821" t="n" s="0">
        <v>-71.8</v>
      </c>
      <c r="B2821" t="n" s="0">
        <f>(-5-((((-5*(-5/((-5/(((-5*(-71.8--5))-(-5+((-5*-71.8)*(((-5--5)+(-71.8--5))+-71.8))))-(-5+-5)))*-5)))/-5)--5)+(-5*(((-71.8*(-71.8-(-5/-5)))*(-71.8-(-71.8/(-5*-71.8))))-(-5/-5)))))</f>
        <v>-1861274.04</v>
      </c>
      <c r="C2821" t="n" s="0">
        <v>-1861274.0399999996</v>
      </c>
    </row>
    <row r="2822">
      <c r="A2822" t="n" s="0">
        <v>-71.79</v>
      </c>
      <c r="B2822" t="n" s="0">
        <f>(-5-((((-5*(-5/((-5/(((-5*(-71.79--5))-(-5+((-5*-71.79)*(((-5--5)+(-71.79--5))+-71.79))))-(-5+-5)))*-5)))/-5)--5)+(-5*(((-71.79*(-71.79-(-5/-5)))*(-71.79-(-71.79/(-5*-71.79))))-(-5/-5)))))</f>
        <v>-1860497.959895</v>
      </c>
      <c r="C2822" t="n" s="0">
        <v>-1860497.9598950006</v>
      </c>
    </row>
    <row r="2823">
      <c r="A2823" t="n" s="0">
        <v>-71.78</v>
      </c>
      <c r="B2823" t="n" s="0">
        <f>(-5-((((-5*(-5/((-5/(((-5*(-71.78--5))-(-5+((-5*-71.78)*(((-5--5)+(-71.78--5))+-71.78))))-(-5+-5)))*-5)))/-5)--5)+(-5*(((-71.78*(-71.78-(-5/-5)))*(-71.78-(-71.78/(-5*-71.78))))-(-5/-5)))))</f>
        <v>-1859722.09556</v>
      </c>
      <c r="C2823" t="n" s="0">
        <v>-1859722.09556</v>
      </c>
    </row>
    <row r="2824">
      <c r="A2824" t="n" s="0">
        <v>-71.77</v>
      </c>
      <c r="B2824" t="n" s="0">
        <f>(-5-((((-5*(-5/((-5/(((-5*(-71.77--5))-(-5+((-5*-71.77)*(((-5--5)+(-71.77--5))+-71.77))))-(-5+-5)))*-5)))/-5)--5)+(-5*(((-71.77*(-71.77-(-5/-5)))*(-71.77-(-71.77/(-5*-71.77))))-(-5/-5)))))</f>
        <v>-1858946.4469650001</v>
      </c>
      <c r="C2824" t="n" s="0">
        <v>-1858946.446965</v>
      </c>
    </row>
    <row r="2825">
      <c r="A2825" t="n" s="0">
        <v>-71.76</v>
      </c>
      <c r="B2825" t="n" s="0">
        <f>(-5-((((-5*(-5/((-5/(((-5*(-71.76--5))-(-5+((-5*-71.76)*(((-5--5)+(-71.76--5))+-71.76))))-(-5+-5)))*-5)))/-5)--5)+(-5*(((-71.76*(-71.76-(-5/-5)))*(-71.76-(-71.76/(-5*-71.76))))-(-5/-5)))))</f>
        <v>-1858171.01408</v>
      </c>
      <c r="C2825" t="n" s="0">
        <v>-1858171.0140800003</v>
      </c>
    </row>
    <row r="2826">
      <c r="A2826" t="n" s="0">
        <v>-71.75</v>
      </c>
      <c r="B2826" t="n" s="0">
        <f>(-5-((((-5*(-5/((-5/(((-5*(-71.75--5))-(-5+((-5*-71.75)*(((-5--5)+(-71.75--5))+-71.75))))-(-5+-5)))*-5)))/-5)--5)+(-5*(((-71.75*(-71.75-(-5/-5)))*(-71.75-(-71.75/(-5*-71.75))))-(-5/-5)))))</f>
        <v>-1857395.796875</v>
      </c>
      <c r="C2826" t="n" s="0">
        <v>-1857395.796875</v>
      </c>
    </row>
    <row r="2827">
      <c r="A2827" t="n" s="0">
        <v>-71.74</v>
      </c>
      <c r="B2827" t="n" s="0">
        <f>(-5-((((-5*(-5/((-5/(((-5*(-71.74--5))-(-5+((-5*-71.74)*(((-5--5)+(-71.74--5))+-71.74))))-(-5+-5)))*-5)))/-5)--5)+(-5*(((-71.74*(-71.74-(-5/-5)))*(-71.74-(-71.74/(-5*-71.74))))-(-5/-5)))))</f>
        <v>-1856620.79532</v>
      </c>
      <c r="C2827" t="n" s="0">
        <v>-1856620.7953199996</v>
      </c>
    </row>
    <row r="2828">
      <c r="A2828" t="n" s="0">
        <v>-71.73</v>
      </c>
      <c r="B2828" t="n" s="0">
        <f>(-5-((((-5*(-5/((-5/(((-5*(-71.73--5))-(-5+((-5*-71.73)*(((-5--5)+(-71.73--5))+-71.73))))-(-5+-5)))*-5)))/-5)--5)+(-5*(((-71.73*(-71.73-(-5/-5)))*(-71.73-(-71.73/(-5*-71.73))))-(-5/-5)))))</f>
        <v>-1855846.0093850002</v>
      </c>
      <c r="C2828" t="n" s="0">
        <v>-1855846.0093850002</v>
      </c>
    </row>
    <row r="2829">
      <c r="A2829" t="n" s="0">
        <v>-71.72</v>
      </c>
      <c r="B2829" t="n" s="0">
        <f>(-5-((((-5*(-5/((-5/(((-5*(-71.72--5))-(-5+((-5*-71.72)*(((-5--5)+(-71.72--5))+-71.72))))-(-5+-5)))*-5)))/-5)--5)+(-5*(((-71.72*(-71.72-(-5/-5)))*(-71.72-(-71.72/(-5*-71.72))))-(-5/-5)))))</f>
        <v>-1855071.43904</v>
      </c>
      <c r="C2829" t="n" s="0">
        <v>-1855071.43904</v>
      </c>
    </row>
    <row r="2830">
      <c r="A2830" t="n" s="0">
        <v>-71.71</v>
      </c>
      <c r="B2830" t="n" s="0">
        <f>(-5-((((-5*(-5/((-5/(((-5*(-71.71--5))-(-5+((-5*-71.71)*(((-5--5)+(-71.71--5))+-71.71))))-(-5+-5)))*-5)))/-5)--5)+(-5*(((-71.71*(-71.71-(-5/-5)))*(-71.71-(-71.71/(-5*-71.71))))-(-5/-5)))))</f>
        <v>-1854297.0842549999</v>
      </c>
      <c r="C2830" t="n" s="0">
        <v>-1854297.0842549994</v>
      </c>
    </row>
    <row r="2831">
      <c r="A2831" t="n" s="0">
        <v>-71.7</v>
      </c>
      <c r="B2831" t="n" s="0">
        <f>(-5-((((-5*(-5/((-5/(((-5*(-71.7--5))-(-5+((-5*-71.7)*(((-5--5)+(-71.7--5))+-71.7))))-(-5+-5)))*-5)))/-5)--5)+(-5*(((-71.7*(-71.7-(-5/-5)))*(-71.7-(-71.7/(-5*-71.7))))-(-5/-5)))))</f>
        <v>-1853522.945</v>
      </c>
      <c r="C2831" t="n" s="0">
        <v>-1853522.9450000003</v>
      </c>
    </row>
    <row r="2832">
      <c r="A2832" t="n" s="0">
        <v>-71.69</v>
      </c>
      <c r="B2832" t="n" s="0">
        <f>(-5-((((-5*(-5/((-5/(((-5*(-71.69--5))-(-5+((-5*-71.69)*(((-5--5)+(-71.69--5))+-71.69))))-(-5+-5)))*-5)))/-5)--5)+(-5*(((-71.69*(-71.69-(-5/-5)))*(-71.69-(-71.69/(-5*-71.69))))-(-5/-5)))))</f>
        <v>-1852749.0212450002</v>
      </c>
      <c r="C2832" t="n" s="0">
        <v>-1852749.0212449997</v>
      </c>
    </row>
    <row r="2833">
      <c r="A2833" t="n" s="0">
        <v>-71.68</v>
      </c>
      <c r="B2833" t="n" s="0">
        <f>(-5-((((-5*(-5/((-5/(((-5*(-71.68--5))-(-5+((-5*-71.68)*(((-5--5)+(-71.68--5))+-71.68))))-(-5+-5)))*-5)))/-5)--5)+(-5*(((-71.68*(-71.68-(-5/-5)))*(-71.68-(-71.68/(-5*-71.68))))-(-5/-5)))))</f>
        <v>-1851975.31296</v>
      </c>
      <c r="C2833" t="n" s="0">
        <v>-1851975.3129600005</v>
      </c>
    </row>
    <row r="2834">
      <c r="A2834" t="n" s="0">
        <v>-71.67</v>
      </c>
      <c r="B2834" t="n" s="0">
        <f>(-5-((((-5*(-5/((-5/(((-5*(-71.67--5))-(-5+((-5*-71.67)*(((-5--5)+(-71.67--5))+-71.67))))-(-5+-5)))*-5)))/-5)--5)+(-5*(((-71.67*(-71.67-(-5/-5)))*(-71.67-(-71.67/(-5*-71.67))))-(-5/-5)))))</f>
        <v>-1851201.820115</v>
      </c>
      <c r="C2834" t="n" s="0">
        <v>-1851201.820115</v>
      </c>
    </row>
    <row r="2835">
      <c r="A2835" t="n" s="0">
        <v>-71.66</v>
      </c>
      <c r="B2835" t="n" s="0">
        <f>(-5-((((-5*(-5/((-5/(((-5*(-71.66--5))-(-5+((-5*-71.66)*(((-5--5)+(-71.66--5))+-71.66))))-(-5+-5)))*-5)))/-5)--5)+(-5*(((-71.66*(-71.66-(-5/-5)))*(-71.66-(-71.66/(-5*-71.66))))-(-5/-5)))))</f>
        <v>-1850428.54268</v>
      </c>
      <c r="C2835" t="n" s="0">
        <v>-1850428.5426799997</v>
      </c>
    </row>
    <row r="2836">
      <c r="A2836" t="n" s="0">
        <v>-71.65</v>
      </c>
      <c r="B2836" t="n" s="0">
        <f>(-5-((((-5*(-5/((-5/(((-5*(-71.65--5))-(-5+((-5*-71.65)*(((-5--5)+(-71.65--5))+-71.65))))-(-5+-5)))*-5)))/-5)--5)+(-5*(((-71.65*(-71.65-(-5/-5)))*(-71.65-(-71.65/(-5*-71.65))))-(-5/-5)))))</f>
        <v>-1849655.480625</v>
      </c>
      <c r="C2836" t="n" s="0">
        <v>-1849655.4806250003</v>
      </c>
    </row>
    <row r="2837">
      <c r="A2837" t="n" s="0">
        <v>-71.64</v>
      </c>
      <c r="B2837" t="n" s="0">
        <f>(-5-((((-5*(-5/((-5/(((-5*(-71.64--5))-(-5+((-5*-71.64)*(((-5--5)+(-71.64--5))+-71.64))))-(-5+-5)))*-5)))/-5)--5)+(-5*(((-71.64*(-71.64-(-5/-5)))*(-71.64-(-71.64/(-5*-71.64))))-(-5/-5)))))</f>
        <v>-1848882.63392</v>
      </c>
      <c r="C2837" t="n" s="0">
        <v>-1848882.63392</v>
      </c>
    </row>
    <row r="2838">
      <c r="A2838" t="n" s="0">
        <v>-71.63</v>
      </c>
      <c r="B2838" t="n" s="0">
        <f>(-5-((((-5*(-5/((-5/(((-5*(-71.63--5))-(-5+((-5*-71.63)*(((-5--5)+(-71.63--5))+-71.63))))-(-5+-5)))*-5)))/-5)--5)+(-5*(((-71.63*(-71.63-(-5/-5)))*(-71.63-(-71.63/(-5*-71.63))))-(-5/-5)))))</f>
        <v>-1848110.002535</v>
      </c>
      <c r="C2838" t="n" s="0">
        <v>-1848110.0025349995</v>
      </c>
    </row>
    <row r="2839">
      <c r="A2839" t="n" s="0">
        <v>-71.62</v>
      </c>
      <c r="B2839" t="n" s="0">
        <f>(-5-((((-5*(-5/((-5/(((-5*(-71.62--5))-(-5+((-5*-71.62)*(((-5--5)+(-71.62--5))+-71.62))))-(-5+-5)))*-5)))/-5)--5)+(-5*(((-71.62*(-71.62-(-5/-5)))*(-71.62-(-71.62/(-5*-71.62))))-(-5/-5)))))</f>
        <v>-1847337.58644</v>
      </c>
      <c r="C2839" t="n" s="0">
        <v>-1847337.5864400005</v>
      </c>
    </row>
    <row r="2840">
      <c r="A2840" t="n" s="0">
        <v>-71.61</v>
      </c>
      <c r="B2840" t="n" s="0">
        <f>(-5-((((-5*(-5/((-5/(((-5*(-71.61--5))-(-5+((-5*-71.61)*(((-5--5)+(-71.61--5))+-71.61))))-(-5+-5)))*-5)))/-5)--5)+(-5*(((-71.61*(-71.61-(-5/-5)))*(-71.61-(-71.61/(-5*-71.61))))-(-5/-5)))))</f>
        <v>-1846565.3856050002</v>
      </c>
      <c r="C2840" t="n" s="0">
        <v>-1846565.3856050002</v>
      </c>
    </row>
    <row r="2841">
      <c r="A2841" t="n" s="0">
        <v>-71.6</v>
      </c>
      <c r="B2841" t="n" s="0">
        <f>(-5-((((-5*(-5/((-5/(((-5*(-71.6--5))-(-5+((-5*-71.6)*(((-5--5)+(-71.6--5))+-71.6))))-(-5+-5)))*-5)))/-5)--5)+(-5*(((-71.6*(-71.6-(-5/-5)))*(-71.6-(-71.6/(-5*-71.6))))-(-5/-5)))))</f>
        <v>-1845793.4000000001</v>
      </c>
      <c r="C2841" t="n" s="0">
        <v>-1845793.4</v>
      </c>
    </row>
    <row r="2842">
      <c r="A2842" t="n" s="0">
        <v>-71.59</v>
      </c>
      <c r="B2842" t="n" s="0">
        <f>(-5-((((-5*(-5/((-5/(((-5*(-71.59--5))-(-5+((-5*-71.59)*(((-5--5)+(-71.59--5))+-71.59))))-(-5+-5)))*-5)))/-5)--5)+(-5*(((-71.59*(-71.59-(-5/-5)))*(-71.59-(-71.59/(-5*-71.59))))-(-5/-5)))))</f>
        <v>-1845021.6295949998</v>
      </c>
      <c r="C2842" t="n" s="0">
        <v>-1845021.629595</v>
      </c>
    </row>
    <row r="2843">
      <c r="A2843" t="n" s="0">
        <v>-71.58</v>
      </c>
      <c r="B2843" t="n" s="0">
        <f>(-5-((((-5*(-5/((-5/(((-5*(-71.58--5))-(-5+((-5*-71.58)*(((-5--5)+(-71.58--5))+-71.58))))-(-5+-5)))*-5)))/-5)--5)+(-5*(((-71.58*(-71.58-(-5/-5)))*(-71.58-(-71.58/(-5*-71.58))))-(-5/-5)))))</f>
        <v>-1844250.07436</v>
      </c>
      <c r="C2843" t="n" s="0">
        <v>-1844250.0743599997</v>
      </c>
    </row>
    <row r="2844">
      <c r="A2844" t="n" s="0">
        <v>-71.57</v>
      </c>
      <c r="B2844" t="n" s="0">
        <f>(-5-((((-5*(-5/((-5/(((-5*(-71.57--5))-(-5+((-5*-71.57)*(((-5--5)+(-71.57--5))+-71.57))))-(-5+-5)))*-5)))/-5)--5)+(-5*(((-71.57*(-71.57-(-5/-5)))*(-71.57-(-71.57/(-5*-71.57))))-(-5/-5)))))</f>
        <v>-1843478.7342649999</v>
      </c>
      <c r="C2844" t="n" s="0">
        <v>-1843478.7342649994</v>
      </c>
    </row>
    <row r="2845">
      <c r="A2845" t="n" s="0">
        <v>-71.56</v>
      </c>
      <c r="B2845" t="n" s="0">
        <f>(-5-((((-5*(-5/((-5/(((-5*(-71.56--5))-(-5+((-5*-71.56)*(((-5--5)+(-71.56--5))+-71.56))))-(-5+-5)))*-5)))/-5)--5)+(-5*(((-71.56*(-71.56-(-5/-5)))*(-71.56-(-71.56/(-5*-71.56))))-(-5/-5)))))</f>
        <v>-1842707.60928</v>
      </c>
      <c r="C2845" t="n" s="0">
        <v>-1842707.6092800002</v>
      </c>
    </row>
    <row r="2846">
      <c r="A2846" t="n" s="0">
        <v>-71.55</v>
      </c>
      <c r="B2846" t="n" s="0">
        <f>(-5-((((-5*(-5/((-5/(((-5*(-71.55--5))-(-5+((-5*-71.55)*(((-5--5)+(-71.55--5))+-71.55))))-(-5+-5)))*-5)))/-5)--5)+(-5*(((-71.55*(-71.55-(-5/-5)))*(-71.55-(-71.55/(-5*-71.55))))-(-5/-5)))))</f>
        <v>-1841936.699375</v>
      </c>
      <c r="C2846" t="n" s="0">
        <v>-1841936.6993749996</v>
      </c>
    </row>
    <row r="2847">
      <c r="A2847" t="n" s="0">
        <v>-71.54</v>
      </c>
      <c r="B2847" t="n" s="0">
        <f>(-5-((((-5*(-5/((-5/(((-5*(-71.54--5))-(-5+((-5*-71.54)*(((-5--5)+(-71.54--5))+-71.54))))-(-5+-5)))*-5)))/-5)--5)+(-5*(((-71.54*(-71.54-(-5/-5)))*(-71.54-(-71.54/(-5*-71.54))))-(-5/-5)))))</f>
        <v>-1841166.00452</v>
      </c>
      <c r="C2847" t="n" s="0">
        <v>-1841166.004520001</v>
      </c>
    </row>
    <row r="2848">
      <c r="A2848" t="n" s="0">
        <v>-71.53</v>
      </c>
      <c r="B2848" t="n" s="0">
        <f>(-5-((((-5*(-5/((-5/(((-5*(-71.53--5))-(-5+((-5*-71.53)*(((-5--5)+(-71.53--5))+-71.53))))-(-5+-5)))*-5)))/-5)--5)+(-5*(((-71.53*(-71.53-(-5/-5)))*(-71.53-(-71.53/(-5*-71.53))))-(-5/-5)))))</f>
        <v>-1840395.524685</v>
      </c>
      <c r="C2848" t="n" s="0">
        <v>-1840395.524685</v>
      </c>
    </row>
    <row r="2849">
      <c r="A2849" t="n" s="0">
        <v>-71.52</v>
      </c>
      <c r="B2849" t="n" s="0">
        <f>(-5-((((-5*(-5/((-5/(((-5*(-71.52--5))-(-5+((-5*-71.52)*(((-5--5)+(-71.52--5))+-71.52))))-(-5+-5)))*-5)))/-5)--5)+(-5*(((-71.52*(-71.52-(-5/-5)))*(-71.52-(-71.52/(-5*-71.52))))-(-5/-5)))))</f>
        <v>-1839625.25984</v>
      </c>
      <c r="C2849" t="n" s="0">
        <v>-1839625.2598399997</v>
      </c>
    </row>
    <row r="2850">
      <c r="A2850" t="n" s="0">
        <v>-71.51</v>
      </c>
      <c r="B2850" t="n" s="0">
        <f>(-5-((((-5*(-5/((-5/(((-5*(-71.51--5))-(-5+((-5*-71.51)*(((-5--5)+(-71.51--5))+-71.51))))-(-5+-5)))*-5)))/-5)--5)+(-5*(((-71.51*(-71.51-(-5/-5)))*(-71.51-(-71.51/(-5*-71.51))))-(-5/-5)))))</f>
        <v>-1838855.209955</v>
      </c>
      <c r="C2850" t="n" s="0">
        <v>-1838855.2099550003</v>
      </c>
    </row>
    <row r="2851">
      <c r="A2851" t="n" s="0">
        <v>-71.5</v>
      </c>
      <c r="B2851" t="n" s="0">
        <f>(-5-((((-5*(-5/((-5/(((-5*(-71.5--5))-(-5+((-5*-71.5)*(((-5--5)+(-71.5--5))+-71.5))))-(-5+-5)))*-5)))/-5)--5)+(-5*(((-71.5*(-71.5-(-5/-5)))*(-71.5-(-71.5/(-5*-71.5))))-(-5/-5)))))</f>
        <v>-1838085.375</v>
      </c>
      <c r="C2851" t="n" s="0">
        <v>-1838085.375</v>
      </c>
    </row>
    <row r="2852">
      <c r="A2852" t="n" s="0">
        <v>-71.49</v>
      </c>
      <c r="B2852" t="n" s="0">
        <f>(-5-((((-5*(-5/((-5/(((-5*(-71.49--5))-(-5+((-5*-71.49)*(((-5--5)+(-71.49--5))+-71.49))))-(-5+-5)))*-5)))/-5)--5)+(-5*(((-71.49*(-71.49-(-5/-5)))*(-71.49-(-71.49/(-5*-71.49))))-(-5/-5)))))</f>
        <v>-1837315.754945</v>
      </c>
      <c r="C2852" t="n" s="0">
        <v>-1837315.7549449997</v>
      </c>
    </row>
    <row r="2853">
      <c r="A2853" t="n" s="0">
        <v>-71.48</v>
      </c>
      <c r="B2853" t="n" s="0">
        <f>(-5-((((-5*(-5/((-5/(((-5*(-71.48--5))-(-5+((-5*-71.48)*(((-5--5)+(-71.48--5))+-71.48))))-(-5+-5)))*-5)))/-5)--5)+(-5*(((-71.48*(-71.48-(-5/-5)))*(-71.48-(-71.48/(-5*-71.48))))-(-5/-5)))))</f>
        <v>-1836546.3497600001</v>
      </c>
      <c r="C2853" t="n" s="0">
        <v>-1836546.3497600004</v>
      </c>
    </row>
    <row r="2854">
      <c r="A2854" t="n" s="0">
        <v>-71.47</v>
      </c>
      <c r="B2854" t="n" s="0">
        <f>(-5-((((-5*(-5/((-5/(((-5*(-71.47--5))-(-5+((-5*-71.47)*(((-5--5)+(-71.47--5))+-71.47))))-(-5+-5)))*-5)))/-5)--5)+(-5*(((-71.47*(-71.47-(-5/-5)))*(-71.47-(-71.47/(-5*-71.47))))-(-5/-5)))))</f>
        <v>-1835777.159415</v>
      </c>
      <c r="C2854" t="n" s="0">
        <v>-1835777.1594149997</v>
      </c>
    </row>
    <row r="2855">
      <c r="A2855" t="n" s="0">
        <v>-71.46</v>
      </c>
      <c r="B2855" t="n" s="0">
        <f>(-5-((((-5*(-5/((-5/(((-5*(-71.46--5))-(-5+((-5*-71.46)*(((-5--5)+(-71.46--5))+-71.46))))-(-5+-5)))*-5)))/-5)--5)+(-5*(((-71.46*(-71.46-(-5/-5)))*(-71.46-(-71.46/(-5*-71.46))))-(-5/-5)))))</f>
        <v>-1835008.18388</v>
      </c>
      <c r="C2855" t="n" s="0">
        <v>-1835008.1838799992</v>
      </c>
    </row>
    <row r="2856">
      <c r="A2856" t="n" s="0">
        <v>-71.45</v>
      </c>
      <c r="B2856" t="n" s="0">
        <f>(-5-((((-5*(-5/((-5/(((-5*(-71.45--5))-(-5+((-5*-71.45)*(((-5--5)+(-71.45--5))+-71.45))))-(-5+-5)))*-5)))/-5)--5)+(-5*(((-71.45*(-71.45-(-5/-5)))*(-71.45-(-71.45/(-5*-71.45))))-(-5/-5)))))</f>
        <v>-1834239.423125</v>
      </c>
      <c r="C2856" t="n" s="0">
        <v>-1834239.4231250002</v>
      </c>
    </row>
    <row r="2857">
      <c r="A2857" t="n" s="0">
        <v>-71.44</v>
      </c>
      <c r="B2857" t="n" s="0">
        <f>(-5-((((-5*(-5/((-5/(((-5*(-71.44--5))-(-5+((-5*-71.44)*(((-5--5)+(-71.44--5))+-71.44))))-(-5+-5)))*-5)))/-5)--5)+(-5*(((-71.44*(-71.44-(-5/-5)))*(-71.44-(-71.44/(-5*-71.44))))-(-5/-5)))))</f>
        <v>-1833470.87712</v>
      </c>
      <c r="C2857" t="n" s="0">
        <v>-1833470.8771199998</v>
      </c>
    </row>
    <row r="2858">
      <c r="A2858" t="n" s="0">
        <v>-71.43</v>
      </c>
      <c r="B2858" t="n" s="0">
        <f>(-5-((((-5*(-5/((-5/(((-5*(-71.43--5))-(-5+((-5*-71.43)*(((-5--5)+(-71.43--5))+-71.43))))-(-5+-5)))*-5)))/-5)--5)+(-5*(((-71.43*(-71.43-(-5/-5)))*(-71.43-(-71.43/(-5*-71.43))))-(-5/-5)))))</f>
        <v>-1832702.545835</v>
      </c>
      <c r="C2858" t="n" s="0">
        <v>-1832702.5458350007</v>
      </c>
    </row>
    <row r="2859">
      <c r="A2859" t="n" s="0">
        <v>-71.42</v>
      </c>
      <c r="B2859" t="n" s="0">
        <f>(-5-((((-5*(-5/((-5/(((-5*(-71.42--5))-(-5+((-5*-71.42)*(((-5--5)+(-71.42--5))+-71.42))))-(-5+-5)))*-5)))/-5)--5)+(-5*(((-71.42*(-71.42-(-5/-5)))*(-71.42-(-71.42/(-5*-71.42))))-(-5/-5)))))</f>
        <v>-1831934.42924</v>
      </c>
      <c r="C2859" t="n" s="0">
        <v>-1831934.42924</v>
      </c>
    </row>
    <row r="2860">
      <c r="A2860" t="n" s="0">
        <v>-71.41</v>
      </c>
      <c r="B2860" t="n" s="0">
        <f>(-5-((((-5*(-5/((-5/(((-5*(-71.41--5))-(-5+((-5*-71.41)*(((-5--5)+(-71.41--5))+-71.41))))-(-5+-5)))*-5)))/-5)--5)+(-5*(((-71.41*(-71.41-(-5/-5)))*(-71.41-(-71.41/(-5*-71.41))))-(-5/-5)))))</f>
        <v>-1831166.527305</v>
      </c>
      <c r="C2860" t="n" s="0">
        <v>-1831166.5273049998</v>
      </c>
    </row>
    <row r="2861">
      <c r="A2861" t="n" s="0">
        <v>-71.4</v>
      </c>
      <c r="B2861" t="n" s="0">
        <f>(-5-((((-5*(-5/((-5/(((-5*(-71.4--5))-(-5+((-5*-71.4)*(((-5--5)+(-71.4--5))+-71.4))))-(-5+-5)))*-5)))/-5)--5)+(-5*(((-71.4*(-71.4-(-5/-5)))*(-71.4-(-71.4/(-5*-71.4))))-(-5/-5)))))</f>
        <v>-1830398.8399999999</v>
      </c>
      <c r="C2861" t="n" s="0">
        <v>-1830398.8400000003</v>
      </c>
    </row>
    <row r="2862">
      <c r="A2862" t="n" s="0">
        <v>-71.39</v>
      </c>
      <c r="B2862" t="n" s="0">
        <f>(-5-((((-5*(-5/((-5/(((-5*(-71.39--5))-(-5+((-5*-71.39)*(((-5--5)+(-71.39--5))+-71.39))))-(-5+-5)))*-5)))/-5)--5)+(-5*(((-71.39*(-71.39-(-5/-5)))*(-71.39-(-71.39/(-5*-71.39))))-(-5/-5)))))</f>
        <v>-1829631.367295</v>
      </c>
      <c r="C2862" t="n" s="0">
        <v>-1829631.367295</v>
      </c>
    </row>
    <row r="2863">
      <c r="A2863" t="n" s="0">
        <v>-71.38</v>
      </c>
      <c r="B2863" t="n" s="0">
        <f>(-5-((((-5*(-5/((-5/(((-5*(-71.38--5))-(-5+((-5*-71.38)*(((-5--5)+(-71.38--5))+-71.38))))-(-5+-5)))*-5)))/-5)--5)+(-5*(((-71.38*(-71.38-(-5/-5)))*(-71.38-(-71.38/(-5*-71.38))))-(-5/-5)))))</f>
        <v>-1828864.10916</v>
      </c>
      <c r="C2863" t="n" s="0">
        <v>-1828864.1091599995</v>
      </c>
    </row>
    <row r="2864">
      <c r="A2864" t="n" s="0">
        <v>-71.37</v>
      </c>
      <c r="B2864" t="n" s="0">
        <f>(-5-((((-5*(-5/((-5/(((-5*(-71.37--5))-(-5+((-5*-71.37)*(((-5--5)+(-71.37--5))+-71.37))))-(-5+-5)))*-5)))/-5)--5)+(-5*(((-71.37*(-71.37-(-5/-5)))*(-71.37-(-71.37/(-5*-71.37))))-(-5/-5)))))</f>
        <v>-1828097.065565</v>
      </c>
      <c r="C2864" t="n" s="0">
        <v>-1828097.0655650003</v>
      </c>
    </row>
    <row r="2865">
      <c r="A2865" t="n" s="0">
        <v>-71.36</v>
      </c>
      <c r="B2865" t="n" s="0">
        <f>(-5-((((-5*(-5/((-5/(((-5*(-71.36--5))-(-5+((-5*-71.36)*(((-5--5)+(-71.36--5))+-71.36))))-(-5+-5)))*-5)))/-5)--5)+(-5*(((-71.36*(-71.36-(-5/-5)))*(-71.36-(-71.36/(-5*-71.36))))-(-5/-5)))))</f>
        <v>-1827330.23648</v>
      </c>
      <c r="C2865" t="n" s="0">
        <v>-1827330.2364800002</v>
      </c>
    </row>
    <row r="2866">
      <c r="A2866" t="n" s="0">
        <v>-71.35</v>
      </c>
      <c r="B2866" t="n" s="0">
        <f>(-5-((((-5*(-5/((-5/(((-5*(-71.35--5))-(-5+((-5*-71.35)*(((-5--5)+(-71.35--5))+-71.35))))-(-5+-5)))*-5)))/-5)--5)+(-5*(((-71.35*(-71.35-(-5/-5)))*(-71.35-(-71.35/(-5*-71.35))))-(-5/-5)))))</f>
        <v>-1826563.621875</v>
      </c>
      <c r="C2866" t="n" s="0">
        <v>-1826563.6218749995</v>
      </c>
    </row>
    <row r="2867">
      <c r="A2867" t="n" s="0">
        <v>-71.34</v>
      </c>
      <c r="B2867" t="n" s="0">
        <f>(-5-((((-5*(-5/((-5/(((-5*(-71.34--5))-(-5+((-5*-71.34)*(((-5--5)+(-71.34--5))+-71.34))))-(-5+-5)))*-5)))/-5)--5)+(-5*(((-71.34*(-71.34-(-5/-5)))*(-71.34-(-71.34/(-5*-71.34))))-(-5/-5)))))</f>
        <v>-1825797.22172</v>
      </c>
      <c r="C2867" t="n" s="0">
        <v>-1825797.2217200005</v>
      </c>
    </row>
    <row r="2868">
      <c r="A2868" t="n" s="0">
        <v>-71.33</v>
      </c>
      <c r="B2868" t="n" s="0">
        <f>(-5-((((-5*(-5/((-5/(((-5*(-71.33--5))-(-5+((-5*-71.33)*(((-5--5)+(-71.33--5))+-71.33))))-(-5+-5)))*-5)))/-5)--5)+(-5*(((-71.33*(-71.33-(-5/-5)))*(-71.33-(-71.33/(-5*-71.33))))-(-5/-5)))))</f>
        <v>-1825031.035985</v>
      </c>
      <c r="C2868" t="n" s="0">
        <v>-1825031.0359849997</v>
      </c>
    </row>
    <row r="2869">
      <c r="A2869" t="n" s="0">
        <v>-71.32</v>
      </c>
      <c r="B2869" t="n" s="0">
        <f>(-5-((((-5*(-5/((-5/(((-5*(-71.32--5))-(-5+((-5*-71.32)*(((-5--5)+(-71.32--5))+-71.32))))-(-5+-5)))*-5)))/-5)--5)+(-5*(((-71.32*(-71.32-(-5/-5)))*(-71.32-(-71.32/(-5*-71.32))))-(-5/-5)))))</f>
        <v>-1824265.06464</v>
      </c>
      <c r="C2869" t="n" s="0">
        <v>-1824265.0646399995</v>
      </c>
    </row>
    <row r="2870">
      <c r="A2870" t="n" s="0">
        <v>-71.31</v>
      </c>
      <c r="B2870" t="n" s="0">
        <f>(-5-((((-5*(-5/((-5/(((-5*(-71.31--5))-(-5+((-5*-71.31)*(((-5--5)+(-71.31--5))+-71.31))))-(-5+-5)))*-5)))/-5)--5)+(-5*(((-71.31*(-71.31-(-5/-5)))*(-71.31-(-71.31/(-5*-71.31))))-(-5/-5)))))</f>
        <v>-1823499.3076550001</v>
      </c>
      <c r="C2870" t="n" s="0">
        <v>-1823499.307655</v>
      </c>
    </row>
    <row r="2871">
      <c r="A2871" t="n" s="0">
        <v>-71.3</v>
      </c>
      <c r="B2871" t="n" s="0">
        <f>(-5-((((-5*(-5/((-5/(((-5*(-71.3--5))-(-5+((-5*-71.3)*(((-5--5)+(-71.3--5))+-71.3))))-(-5+-5)))*-5)))/-5)--5)+(-5*(((-71.3*(-71.3-(-5/-5)))*(-71.3-(-71.3/(-5*-71.3))))-(-5/-5)))))</f>
        <v>-1822733.7650000001</v>
      </c>
      <c r="C2871" t="n" s="0">
        <v>-1822733.7649999997</v>
      </c>
    </row>
    <row r="2872">
      <c r="A2872" t="n" s="0">
        <v>-71.29</v>
      </c>
      <c r="B2872" t="n" s="0">
        <f>(-5-((((-5*(-5/((-5/(((-5*(-71.29--5))-(-5+((-5*-71.29)*(((-5--5)+(-71.29--5))+-71.29))))-(-5+-5)))*-5)))/-5)--5)+(-5*(((-71.29*(-71.29-(-5/-5)))*(-71.29-(-71.29/(-5*-71.29))))-(-5/-5)))))</f>
        <v>-1821968.4366449998</v>
      </c>
      <c r="C2872" t="n" s="0">
        <v>-1821968.4366450007</v>
      </c>
    </row>
    <row r="2873">
      <c r="A2873" t="n" s="0">
        <v>-71.28</v>
      </c>
      <c r="B2873" t="n" s="0">
        <f>(-5-((((-5*(-5/((-5/(((-5*(-71.28--5))-(-5+((-5*-71.28)*(((-5--5)+(-71.28--5))+-71.28))))-(-5+-5)))*-5)))/-5)--5)+(-5*(((-71.28*(-71.28-(-5/-5)))*(-71.28-(-71.28/(-5*-71.28))))-(-5/-5)))))</f>
        <v>-1821203.32256</v>
      </c>
      <c r="C2873" t="n" s="0">
        <v>-1821203.3225600002</v>
      </c>
    </row>
    <row r="2874">
      <c r="A2874" t="n" s="0">
        <v>-71.27</v>
      </c>
      <c r="B2874" t="n" s="0">
        <f>(-5-((((-5*(-5/((-5/(((-5*(-71.27--5))-(-5+((-5*-71.27)*(((-5--5)+(-71.27--5))+-71.27))))-(-5+-5)))*-5)))/-5)--5)+(-5*(((-71.27*(-71.27-(-5/-5)))*(-71.27-(-71.27/(-5*-71.27))))-(-5/-5)))))</f>
        <v>-1820438.422715</v>
      </c>
      <c r="C2874" t="n" s="0">
        <v>-1820438.4227149996</v>
      </c>
    </row>
    <row r="2875">
      <c r="A2875" t="n" s="0">
        <v>-71.26</v>
      </c>
      <c r="B2875" t="n" s="0">
        <f>(-5-((((-5*(-5/((-5/(((-5*(-71.26--5))-(-5+((-5*-71.26)*(((-5--5)+(-71.26--5))+-71.26))))-(-5+-5)))*-5)))/-5)--5)+(-5*(((-71.26*(-71.26-(-5/-5)))*(-71.26-(-71.26/(-5*-71.26))))-(-5/-5)))))</f>
        <v>-1819673.73708</v>
      </c>
      <c r="C2875" t="n" s="0">
        <v>-1819673.7370800003</v>
      </c>
    </row>
    <row r="2876">
      <c r="A2876" t="n" s="0">
        <v>-71.25</v>
      </c>
      <c r="B2876" t="n" s="0">
        <f>(-5-((((-5*(-5/((-5/(((-5*(-71.25--5))-(-5+((-5*-71.25)*(((-5--5)+(-71.25--5))+-71.25))))-(-5+-5)))*-5)))/-5)--5)+(-5*(((-71.25*(-71.25-(-5/-5)))*(-71.25-(-71.25/(-5*-71.25))))-(-5/-5)))))</f>
        <v>-1818909.265625</v>
      </c>
      <c r="C2876" t="n" s="0">
        <v>-1818909.265625</v>
      </c>
    </row>
    <row r="2877">
      <c r="A2877" t="n" s="0">
        <v>-71.24</v>
      </c>
      <c r="B2877" t="n" s="0">
        <f>(-5-((((-5*(-5/((-5/(((-5*(-71.24--5))-(-5+((-5*-71.24)*(((-5--5)+(-71.24--5))+-71.24))))-(-5+-5)))*-5)))/-5)--5)+(-5*(((-71.24*(-71.24-(-5/-5)))*(-71.24-(-71.24/(-5*-71.24))))-(-5/-5)))))</f>
        <v>-1818145.00832</v>
      </c>
      <c r="C2877" t="n" s="0">
        <v>-1818145.0083199998</v>
      </c>
    </row>
    <row r="2878">
      <c r="A2878" t="n" s="0">
        <v>-71.23</v>
      </c>
      <c r="B2878" t="n" s="0">
        <f>(-5-((((-5*(-5/((-5/(((-5*(-71.23--5))-(-5+((-5*-71.23)*(((-5--5)+(-71.23--5))+-71.23))))-(-5+-5)))*-5)))/-5)--5)+(-5*(((-71.23*(-71.23-(-5/-5)))*(-71.23-(-71.23/(-5*-71.23))))-(-5/-5)))))</f>
        <v>-1817380.9651350002</v>
      </c>
      <c r="C2878" t="n" s="0">
        <v>-1817380.9651350002</v>
      </c>
    </row>
    <row r="2879">
      <c r="A2879" t="n" s="0">
        <v>-71.22</v>
      </c>
      <c r="B2879" t="n" s="0">
        <f>(-5-((((-5*(-5/((-5/(((-5*(-71.22--5))-(-5+((-5*-71.22)*(((-5--5)+(-71.22--5))+-71.22))))-(-5+-5)))*-5)))/-5)--5)+(-5*(((-71.22*(-71.22-(-5/-5)))*(-71.22-(-71.22/(-5*-71.22))))-(-5/-5)))))</f>
        <v>-1816617.13604</v>
      </c>
      <c r="C2879" t="n" s="0">
        <v>-1816617.13604</v>
      </c>
    </row>
    <row r="2880">
      <c r="A2880" t="n" s="0">
        <v>-71.21</v>
      </c>
      <c r="B2880" t="n" s="0">
        <f>(-5-((((-5*(-5/((-5/(((-5*(-71.21--5))-(-5+((-5*-71.21)*(((-5--5)+(-71.21--5))+-71.21))))-(-5+-5)))*-5)))/-5)--5)+(-5*(((-71.21*(-71.21-(-5/-5)))*(-71.21-(-71.21/(-5*-71.21))))-(-5/-5)))))</f>
        <v>-1815853.521005</v>
      </c>
      <c r="C2880" t="n" s="0">
        <v>-1815853.5210049995</v>
      </c>
    </row>
    <row r="2881">
      <c r="A2881" t="n" s="0">
        <v>-71.2</v>
      </c>
      <c r="B2881" t="n" s="0">
        <f>(-5-((((-5*(-5/((-5/(((-5*(-71.2--5))-(-5+((-5*-71.2)*(((-5--5)+(-71.2--5))+-71.2))))-(-5+-5)))*-5)))/-5)--5)+(-5*(((-71.2*(-71.2-(-5/-5)))*(-71.2-(-71.2/(-5*-71.2))))-(-5/-5)))))</f>
        <v>-1815090.1199999999</v>
      </c>
      <c r="C2881" t="n" s="0">
        <v>-1815090.12</v>
      </c>
    </row>
    <row r="2882">
      <c r="A2882" t="n" s="0">
        <v>-71.19</v>
      </c>
      <c r="B2882" t="n" s="0">
        <f>(-5-((((-5*(-5/((-5/(((-5*(-71.19--5))-(-5+((-5*-71.19)*(((-5--5)+(-71.19--5))+-71.19))))-(-5+-5)))*-5)))/-5)--5)+(-5*(((-71.19*(-71.19-(-5/-5)))*(-71.19-(-71.19/(-5*-71.19))))-(-5/-5)))))</f>
        <v>-1814326.932995</v>
      </c>
      <c r="C2882" t="n" s="0">
        <v>-1814326.932995</v>
      </c>
    </row>
    <row r="2883">
      <c r="A2883" t="n" s="0">
        <v>-71.18</v>
      </c>
      <c r="B2883" t="n" s="0">
        <f>(-5-((((-5*(-5/((-5/(((-5*(-71.18--5))-(-5+((-5*-71.18)*(((-5--5)+(-71.18--5))+-71.18))))-(-5+-5)))*-5)))/-5)--5)+(-5*(((-71.18*(-71.18-(-5/-5)))*(-71.18-(-71.18/(-5*-71.18))))-(-5/-5)))))</f>
        <v>-1813563.9599600001</v>
      </c>
      <c r="C2883" t="n" s="0">
        <v>-1813563.9599600004</v>
      </c>
    </row>
    <row r="2884">
      <c r="A2884" t="n" s="0">
        <v>-71.17</v>
      </c>
      <c r="B2884" t="n" s="0">
        <f>(-5-((((-5*(-5/((-5/(((-5*(-71.17--5))-(-5+((-5*-71.17)*(((-5--5)+(-71.17--5))+-71.17))))-(-5+-5)))*-5)))/-5)--5)+(-5*(((-71.17*(-71.17-(-5/-5)))*(-71.17-(-71.17/(-5*-71.17))))-(-5/-5)))))</f>
        <v>-1812801.200865</v>
      </c>
      <c r="C2884" t="n" s="0">
        <v>-1812801.2008650003</v>
      </c>
    </row>
    <row r="2885">
      <c r="A2885" t="n" s="0">
        <v>-71.16</v>
      </c>
      <c r="B2885" t="n" s="0">
        <f>(-5-((((-5*(-5/((-5/(((-5*(-71.16--5))-(-5+((-5*-71.16)*(((-5--5)+(-71.16--5))+-71.16))))-(-5+-5)))*-5)))/-5)--5)+(-5*(((-71.16*(-71.16-(-5/-5)))*(-71.16-(-71.16/(-5*-71.16))))-(-5/-5)))))</f>
        <v>-1812038.65568</v>
      </c>
      <c r="C2885" t="n" s="0">
        <v>-1812038.6556799999</v>
      </c>
    </row>
    <row r="2886">
      <c r="A2886" t="n" s="0">
        <v>-71.15</v>
      </c>
      <c r="B2886" t="n" s="0">
        <f>(-5-((((-5*(-5/((-5/(((-5*(-71.15--5))-(-5+((-5*-71.15)*(((-5--5)+(-71.15--5))+-71.15))))-(-5+-5)))*-5)))/-5)--5)+(-5*(((-71.15*(-71.15-(-5/-5)))*(-71.15-(-71.15/(-5*-71.15))))-(-5/-5)))))</f>
        <v>-1811276.324375</v>
      </c>
      <c r="C2886" t="n" s="0">
        <v>-1811276.3243750003</v>
      </c>
    </row>
    <row r="2887">
      <c r="A2887" t="n" s="0">
        <v>-71.14</v>
      </c>
      <c r="B2887" t="n" s="0">
        <f>(-5-((((-5*(-5/((-5/(((-5*(-71.14--5))-(-5+((-5*-71.14)*(((-5--5)+(-71.14--5))+-71.14))))-(-5+-5)))*-5)))/-5)--5)+(-5*(((-71.14*(-71.14-(-5/-5)))*(-71.14-(-71.14/(-5*-71.14))))-(-5/-5)))))</f>
        <v>-1810514.20692</v>
      </c>
      <c r="C2887" t="n" s="0">
        <v>-1810514.20692</v>
      </c>
    </row>
    <row r="2888">
      <c r="A2888" t="n" s="0">
        <v>-71.13</v>
      </c>
      <c r="B2888" t="n" s="0">
        <f>(-5-((((-5*(-5/((-5/(((-5*(-71.13--5))-(-5+((-5*-71.13)*(((-5--5)+(-71.13--5))+-71.13))))-(-5+-5)))*-5)))/-5)--5)+(-5*(((-71.13*(-71.13-(-5/-5)))*(-71.13-(-71.13/(-5*-71.13))))-(-5/-5)))))</f>
        <v>-1809752.303285</v>
      </c>
      <c r="C2888" t="n" s="0">
        <v>-1809752.3032849994</v>
      </c>
    </row>
    <row r="2889">
      <c r="A2889" t="n" s="0">
        <v>-71.12</v>
      </c>
      <c r="B2889" t="n" s="0">
        <f>(-5-((((-5*(-5/((-5/(((-5*(-71.12--5))-(-5+((-5*-71.12)*(((-5--5)+(-71.12--5))+-71.12))))-(-5+-5)))*-5)))/-5)--5)+(-5*(((-71.12*(-71.12-(-5/-5)))*(-71.12-(-71.12/(-5*-71.12))))-(-5/-5)))))</f>
        <v>-1808990.61344</v>
      </c>
      <c r="C2889" t="n" s="0">
        <v>-1808990.6134400005</v>
      </c>
    </row>
    <row r="2890">
      <c r="A2890" t="n" s="0">
        <v>-71.11</v>
      </c>
      <c r="B2890" t="n" s="0">
        <f>(-5-((((-5*(-5/((-5/(((-5*(-71.11--5))-(-5+((-5*-71.11)*(((-5--5)+(-71.11--5))+-71.11))))-(-5+-5)))*-5)))/-5)--5)+(-5*(((-71.11*(-71.11-(-5/-5)))*(-71.11-(-71.11/(-5*-71.11))))-(-5/-5)))))</f>
        <v>-1808229.137355</v>
      </c>
      <c r="C2890" t="n" s="0">
        <v>-1808229.137355</v>
      </c>
    </row>
    <row r="2891">
      <c r="A2891" t="n" s="0">
        <v>-71.1</v>
      </c>
      <c r="B2891" t="n" s="0">
        <f>(-5-((((-5*(-5/((-5/(((-5*(-71.1--5))-(-5+((-5*-71.1)*(((-5--5)+(-71.1--5))+-71.1))))-(-5+-5)))*-5)))/-5)--5)+(-5*(((-71.1*(-71.1-(-5/-5)))*(-71.1-(-71.1/(-5*-71.1))))-(-5/-5)))))</f>
        <v>-1807467.875</v>
      </c>
      <c r="C2891" t="n" s="0">
        <v>-1807467.8749999995</v>
      </c>
    </row>
    <row r="2892">
      <c r="A2892" t="n" s="0">
        <v>-71.09</v>
      </c>
      <c r="B2892" t="n" s="0">
        <f>(-5-((((-5*(-5/((-5/(((-5*(-71.09--5))-(-5+((-5*-71.09)*(((-5--5)+(-71.09--5))+-71.09))))-(-5+-5)))*-5)))/-5)--5)+(-5*(((-71.09*(-71.09-(-5/-5)))*(-71.09-(-71.09/(-5*-71.09))))-(-5/-5)))))</f>
        <v>-1806706.8263450002</v>
      </c>
      <c r="C2892" t="n" s="0">
        <v>-1806706.8263450004</v>
      </c>
    </row>
    <row r="2893">
      <c r="A2893" t="n" s="0">
        <v>-71.08</v>
      </c>
      <c r="B2893" t="n" s="0">
        <f>(-5-((((-5*(-5/((-5/(((-5*(-71.08--5))-(-5+((-5*-71.08)*(((-5--5)+(-71.08--5))+-71.08))))-(-5+-5)))*-5)))/-5)--5)+(-5*(((-71.08*(-71.08-(-5/-5)))*(-71.08-(-71.08/(-5*-71.08))))-(-5/-5)))))</f>
        <v>-1805945.9913599999</v>
      </c>
      <c r="C2893" t="n" s="0">
        <v>-1805945.99136</v>
      </c>
    </row>
    <row r="2894">
      <c r="A2894" t="n" s="0">
        <v>-71.07</v>
      </c>
      <c r="B2894" t="n" s="0">
        <f>(-5-((((-5*(-5/((-5/(((-5*(-71.07--5))-(-5+((-5*-71.07)*(((-5--5)+(-71.07--5))+-71.07))))-(-5+-5)))*-5)))/-5)--5)+(-5*(((-71.07*(-71.07-(-5/-5)))*(-71.07-(-71.07/(-5*-71.07))))-(-5/-5)))))</f>
        <v>-1805185.370015</v>
      </c>
      <c r="C2894" t="n" s="0">
        <v>-1805185.3700149995</v>
      </c>
    </row>
    <row r="2895">
      <c r="A2895" t="n" s="0">
        <v>-71.06</v>
      </c>
      <c r="B2895" t="n" s="0">
        <f>(-5-((((-5*(-5/((-5/(((-5*(-71.06--5))-(-5+((-5*-71.06)*(((-5--5)+(-71.06--5))+-71.06))))-(-5+-5)))*-5)))/-5)--5)+(-5*(((-71.06*(-71.06-(-5/-5)))*(-71.06-(-71.06/(-5*-71.06))))-(-5/-5)))))</f>
        <v>-1804424.96228</v>
      </c>
      <c r="C2895" t="n" s="0">
        <v>-1804424.96228</v>
      </c>
    </row>
    <row r="2896">
      <c r="A2896" t="n" s="0">
        <v>-71.05</v>
      </c>
      <c r="B2896" t="n" s="0">
        <f>(-5-((((-5*(-5/((-5/(((-5*(-71.05--5))-(-5+((-5*-71.05)*(((-5--5)+(-71.05--5))+-71.05))))-(-5+-5)))*-5)))/-5)--5)+(-5*(((-71.05*(-71.05-(-5/-5)))*(-71.05-(-71.05/(-5*-71.05))))-(-5/-5)))))</f>
        <v>-1803664.7681250002</v>
      </c>
      <c r="C2896" t="n" s="0">
        <v>-1803664.7681249997</v>
      </c>
    </row>
    <row r="2897">
      <c r="A2897" t="n" s="0">
        <v>-71.04</v>
      </c>
      <c r="B2897" t="n" s="0">
        <f>(-5-((((-5*(-5/((-5/(((-5*(-71.04--5))-(-5+((-5*-71.04)*(((-5--5)+(-71.04--5))+-71.04))))-(-5+-5)))*-5)))/-5)--5)+(-5*(((-71.04*(-71.04-(-5/-5)))*(-71.04-(-71.04/(-5*-71.04))))-(-5/-5)))))</f>
        <v>-1802904.78752</v>
      </c>
      <c r="C2897" t="n" s="0">
        <v>-1802904.7875200005</v>
      </c>
    </row>
    <row r="2898">
      <c r="A2898" t="n" s="0">
        <v>-71.03</v>
      </c>
      <c r="B2898" t="n" s="0">
        <f>(-5-((((-5*(-5/((-5/(((-5*(-71.03--5))-(-5+((-5*-71.03)*(((-5--5)+(-71.03--5))+-71.03))))-(-5+-5)))*-5)))/-5)--5)+(-5*(((-71.03*(-71.03-(-5/-5)))*(-71.03-(-71.03/(-5*-71.03))))-(-5/-5)))))</f>
        <v>-1802145.0204349998</v>
      </c>
      <c r="C2898" t="n" s="0">
        <v>-1802145.020435</v>
      </c>
    </row>
    <row r="2899">
      <c r="A2899" t="n" s="0">
        <v>-71.02</v>
      </c>
      <c r="B2899" t="n" s="0">
        <f>(-5-((((-5*(-5/((-5/(((-5*(-71.02--5))-(-5+((-5*-71.02)*(((-5--5)+(-71.02--5))+-71.02))))-(-5+-5)))*-5)))/-5)--5)+(-5*(((-71.02*(-71.02-(-5/-5)))*(-71.02-(-71.02/(-5*-71.02))))-(-5/-5)))))</f>
        <v>-1801385.4668400001</v>
      </c>
      <c r="C2899" t="n" s="0">
        <v>-1801385.4668399997</v>
      </c>
    </row>
    <row r="2900">
      <c r="A2900" t="n" s="0">
        <v>-71.01</v>
      </c>
      <c r="B2900" t="n" s="0">
        <f>(-5-((((-5*(-5/((-5/(((-5*(-71.01--5))-(-5+((-5*-71.01)*(((-5--5)+(-71.01--5))+-71.01))))-(-5+-5)))*-5)))/-5)--5)+(-5*(((-71.01*(-71.01-(-5/-5)))*(-71.01-(-71.01/(-5*-71.01))))-(-5/-5)))))</f>
        <v>-1800626.126705</v>
      </c>
      <c r="C2900" t="n" s="0">
        <v>-1800626.1267050004</v>
      </c>
    </row>
    <row r="2901">
      <c r="A2901" t="n" s="0">
        <v>-71.0</v>
      </c>
      <c r="B2901" t="n" s="0">
        <f>(-5-((((-5*(-5/((-5/(((-5*(-71--5))-(-5+((-5*-71)*(((-5--5)+(-71--5))+-71))))-(-5+-5)))*-5)))/-5)--5)+(-5*(((-71*(-71-(-5/-5)))*(-71-(-71/(-5*-71))))-(-5/-5)))))</f>
        <v>-1799867.0</v>
      </c>
      <c r="C2901" t="n" s="0">
        <v>-1799867.0</v>
      </c>
    </row>
    <row r="2902">
      <c r="A2902" t="n" s="0">
        <v>-70.99</v>
      </c>
      <c r="B2902" t="n" s="0">
        <f>(-5-((((-5*(-5/((-5/(((-5*(-70.99--5))-(-5+((-5*-70.99)*(((-5--5)+(-70.99--5))+-70.99))))-(-5+-5)))*-5)))/-5)--5)+(-5*(((-70.99*(-70.99-(-5/-5)))*(-70.99-(-70.99/(-5*-70.99))))-(-5/-5)))))</f>
        <v>-1799108.086695</v>
      </c>
      <c r="C2902" t="n" s="0">
        <v>-1799108.0866949996</v>
      </c>
    </row>
    <row r="2903">
      <c r="A2903" t="n" s="0">
        <v>-70.98</v>
      </c>
      <c r="B2903" t="n" s="0">
        <f>(-5-((((-5*(-5/((-5/(((-5*(-70.98--5))-(-5+((-5*-70.98)*(((-5--5)+(-70.98--5))+-70.98))))-(-5+-5)))*-5)))/-5)--5)+(-5*(((-70.98*(-70.98-(-5/-5)))*(-70.98-(-70.98/(-5*-70.98))))-(-5/-5)))))</f>
        <v>-1798349.3867600001</v>
      </c>
      <c r="C2903" t="n" s="0">
        <v>-1798349.3867600004</v>
      </c>
    </row>
    <row r="2904">
      <c r="A2904" t="n" s="0">
        <v>-70.97</v>
      </c>
      <c r="B2904" t="n" s="0">
        <f>(-5-((((-5*(-5/((-5/(((-5*(-70.97--5))-(-5+((-5*-70.97)*(((-5--5)+(-70.97--5))+-70.97))))-(-5+-5)))*-5)))/-5)--5)+(-5*(((-70.97*(-70.97-(-5/-5)))*(-70.97-(-70.97/(-5*-70.97))))-(-5/-5)))))</f>
        <v>-1797590.900165</v>
      </c>
      <c r="C2904" t="n" s="0">
        <v>-1797590.9001649998</v>
      </c>
    </row>
    <row r="2905">
      <c r="A2905" t="n" s="0">
        <v>-70.96</v>
      </c>
      <c r="B2905" t="n" s="0">
        <f>(-5-((((-5*(-5/((-5/(((-5*(-70.96--5))-(-5+((-5*-70.96)*(((-5--5)+(-70.96--5))+-70.96))))-(-5+-5)))*-5)))/-5)--5)+(-5*(((-70.96*(-70.96-(-5/-5)))*(-70.96-(-70.96/(-5*-70.96))))-(-5/-5)))))</f>
        <v>-1796832.62688</v>
      </c>
      <c r="C2905" t="n" s="0">
        <v>-1796832.6268799994</v>
      </c>
    </row>
    <row r="2906">
      <c r="A2906" t="n" s="0">
        <v>-70.95</v>
      </c>
      <c r="B2906" t="n" s="0">
        <f>(-5-((((-5*(-5/((-5/(((-5*(-70.95--5))-(-5+((-5*-70.95)*(((-5--5)+(-70.95--5))+-70.95))))-(-5+-5)))*-5)))/-5)--5)+(-5*(((-70.95*(-70.95-(-5/-5)))*(-70.95-(-70.95/(-5*-70.95))))-(-5/-5)))))</f>
        <v>-1796074.566875</v>
      </c>
      <c r="C2906" t="n" s="0">
        <v>-1796074.5668750003</v>
      </c>
    </row>
    <row r="2907">
      <c r="A2907" t="n" s="0">
        <v>-70.94</v>
      </c>
      <c r="B2907" t="n" s="0">
        <f>(-5-((((-5*(-5/((-5/(((-5*(-70.94--5))-(-5+((-5*-70.94)*(((-5--5)+(-70.94--5))+-70.94))))-(-5+-5)))*-5)))/-5)--5)+(-5*(((-70.94*(-70.94-(-5/-5)))*(-70.94-(-70.94/(-5*-70.94))))-(-5/-5)))))</f>
        <v>-1795316.72012</v>
      </c>
      <c r="C2907" t="n" s="0">
        <v>-1795316.72012</v>
      </c>
    </row>
    <row r="2908">
      <c r="A2908" t="n" s="0">
        <v>-70.93</v>
      </c>
      <c r="B2908" t="n" s="0">
        <f>(-5-((((-5*(-5/((-5/(((-5*(-70.93--5))-(-5+((-5*-70.93)*(((-5--5)+(-70.93--5))+-70.93))))-(-5+-5)))*-5)))/-5)--5)+(-5*(((-70.93*(-70.93-(-5/-5)))*(-70.93-(-70.93/(-5*-70.93))))-(-5/-5)))))</f>
        <v>-1794559.086585</v>
      </c>
      <c r="C2908" t="n" s="0">
        <v>-1794559.0865850006</v>
      </c>
    </row>
    <row r="2909">
      <c r="A2909" t="n" s="0">
        <v>-70.92</v>
      </c>
      <c r="B2909" t="n" s="0">
        <f>(-5-((((-5*(-5/((-5/(((-5*(-70.92--5))-(-5+((-5*-70.92)*(((-5--5)+(-70.92--5))+-70.92))))-(-5+-5)))*-5)))/-5)--5)+(-5*(((-70.92*(-70.92-(-5/-5)))*(-70.92-(-70.92/(-5*-70.92))))-(-5/-5)))))</f>
        <v>-1793801.66624</v>
      </c>
      <c r="C2909" t="n" s="0">
        <v>-1793801.66624</v>
      </c>
    </row>
    <row r="2910">
      <c r="A2910" t="n" s="0">
        <v>-70.91</v>
      </c>
      <c r="B2910" t="n" s="0">
        <f>(-5-((((-5*(-5/((-5/(((-5*(-70.91--5))-(-5+((-5*-70.91)*(((-5--5)+(-70.91--5))+-70.91))))-(-5+-5)))*-5)))/-5)--5)+(-5*(((-70.91*(-70.91-(-5/-5)))*(-70.91-(-70.91/(-5*-70.91))))-(-5/-5)))))</f>
        <v>-1793044.459055</v>
      </c>
      <c r="C2910" t="n" s="0">
        <v>-1793044.4590549998</v>
      </c>
    </row>
    <row r="2911">
      <c r="A2911" t="n" s="0">
        <v>-70.9</v>
      </c>
      <c r="B2911" t="n" s="0">
        <f>(-5-((((-5*(-5/((-5/(((-5*(-70.9--5))-(-5+((-5*-70.9)*(((-5--5)+(-70.9--5))+-70.9))))-(-5+-5)))*-5)))/-5)--5)+(-5*(((-70.9*(-70.9-(-5/-5)))*(-70.9-(-70.9/(-5*-70.9))))-(-5/-5)))))</f>
        <v>-1792287.465</v>
      </c>
      <c r="C2911" t="n" s="0">
        <v>-1792287.4650000005</v>
      </c>
    </row>
    <row r="2912">
      <c r="A2912" t="n" s="0">
        <v>-70.89</v>
      </c>
      <c r="B2912" t="n" s="0">
        <f>(-5-((((-5*(-5/((-5/(((-5*(-70.89--5))-(-5+((-5*-70.89)*(((-5--5)+(-70.89--5))+-70.89))))-(-5+-5)))*-5)))/-5)--5)+(-5*(((-70.89*(-70.89-(-5/-5)))*(-70.89-(-70.89/(-5*-70.89))))-(-5/-5)))))</f>
        <v>-1791530.684045</v>
      </c>
      <c r="C2912" t="n" s="0">
        <v>-1791530.6840450002</v>
      </c>
    </row>
    <row r="2913">
      <c r="A2913" t="n" s="0">
        <v>-70.88</v>
      </c>
      <c r="B2913" t="n" s="0">
        <f>(-5-((((-5*(-5/((-5/(((-5*(-70.88--5))-(-5+((-5*-70.88)*(((-5--5)+(-70.88--5))+-70.88))))-(-5+-5)))*-5)))/-5)--5)+(-5*(((-70.88*(-70.88-(-5/-5)))*(-70.88-(-70.88/(-5*-70.88))))-(-5/-5)))))</f>
        <v>-1790774.1161600002</v>
      </c>
      <c r="C2913" t="n" s="0">
        <v>-1790774.1161599995</v>
      </c>
    </row>
    <row r="2914">
      <c r="A2914" t="n" s="0">
        <v>-70.87</v>
      </c>
      <c r="B2914" t="n" s="0">
        <f>(-5-((((-5*(-5/((-5/(((-5*(-70.87--5))-(-5+((-5*-70.87)*(((-5--5)+(-70.87--5))+-70.87))))-(-5+-5)))*-5)))/-5)--5)+(-5*(((-70.87*(-70.87-(-5/-5)))*(-70.87-(-70.87/(-5*-70.87))))-(-5/-5)))))</f>
        <v>-1790017.761315</v>
      </c>
      <c r="C2914" t="n" s="0">
        <v>-1790017.7613150005</v>
      </c>
    </row>
    <row r="2915">
      <c r="A2915" t="n" s="0">
        <v>-70.86</v>
      </c>
      <c r="B2915" t="n" s="0">
        <f>(-5-((((-5*(-5/((-5/(((-5*(-70.86--5))-(-5+((-5*-70.86)*(((-5--5)+(-70.86--5))+-70.86))))-(-5+-5)))*-5)))/-5)--5)+(-5*(((-70.86*(-70.86-(-5/-5)))*(-70.86-(-70.86/(-5*-70.86))))-(-5/-5)))))</f>
        <v>-1789261.6194799999</v>
      </c>
      <c r="C2915" t="n" s="0">
        <v>-1789261.61948</v>
      </c>
    </row>
    <row r="2916">
      <c r="A2916" t="n" s="0">
        <v>-70.85</v>
      </c>
      <c r="B2916" t="n" s="0">
        <f>(-5-((((-5*(-5/((-5/(((-5*(-70.85--5))-(-5+((-5*-70.85)*(((-5--5)+(-70.85--5))+-70.85))))-(-5+-5)))*-5)))/-5)--5)+(-5*(((-70.85*(-70.85-(-5/-5)))*(-70.85-(-70.85/(-5*-70.85))))-(-5/-5)))))</f>
        <v>-1788505.690625</v>
      </c>
      <c r="C2916" t="n" s="0">
        <v>-1788505.6906249998</v>
      </c>
    </row>
    <row r="2917">
      <c r="A2917" t="n" s="0">
        <v>-70.84</v>
      </c>
      <c r="B2917" t="n" s="0">
        <f>(-5-((((-5*(-5/((-5/(((-5*(-70.84--5))-(-5+((-5*-70.84)*(((-5--5)+(-70.84--5))+-70.84))))-(-5+-5)))*-5)))/-5)--5)+(-5*(((-70.84*(-70.84-(-5/-5)))*(-70.84-(-70.84/(-5*-70.84))))-(-5/-5)))))</f>
        <v>-1787749.97472</v>
      </c>
      <c r="C2917" t="n" s="0">
        <v>-1787749.97472</v>
      </c>
    </row>
    <row r="2918">
      <c r="A2918" t="n" s="0">
        <v>-70.83</v>
      </c>
      <c r="B2918" t="n" s="0">
        <f>(-5-((((-5*(-5/((-5/(((-5*(-70.83--5))-(-5+((-5*-70.83)*(((-5--5)+(-70.83--5))+-70.83))))-(-5+-5)))*-5)))/-5)--5)+(-5*(((-70.83*(-70.83-(-5/-5)))*(-70.83-(-70.83/(-5*-70.83))))-(-5/-5)))))</f>
        <v>-1786994.471735</v>
      </c>
      <c r="C2918" t="n" s="0">
        <v>-1786994.471735</v>
      </c>
    </row>
    <row r="2919">
      <c r="A2919" t="n" s="0">
        <v>-70.82</v>
      </c>
      <c r="B2919" t="n" s="0">
        <f>(-5-((((-5*(-5/((-5/(((-5*(-70.82--5))-(-5+((-5*-70.82)*(((-5--5)+(-70.82--5))+-70.82))))-(-5+-5)))*-5)))/-5)--5)+(-5*(((-70.82*(-70.82-(-5/-5)))*(-70.82-(-70.82/(-5*-70.82))))-(-5/-5)))))</f>
        <v>-1786239.18164</v>
      </c>
      <c r="C2919" t="n" s="0">
        <v>-1786239.1816399994</v>
      </c>
    </row>
    <row r="2920">
      <c r="A2920" t="n" s="0">
        <v>-70.81</v>
      </c>
      <c r="B2920" t="n" s="0">
        <f>(-5-((((-5*(-5/((-5/(((-5*(-70.81--5))-(-5+((-5*-70.81)*(((-5--5)+(-70.81--5))+-70.81))))-(-5+-5)))*-5)))/-5)--5)+(-5*(((-70.81*(-70.81-(-5/-5)))*(-70.81-(-70.81/(-5*-70.81))))-(-5/-5)))))</f>
        <v>-1785484.104405</v>
      </c>
      <c r="C2920" t="n" s="0">
        <v>-1785484.104405</v>
      </c>
    </row>
    <row r="2921">
      <c r="A2921" t="n" s="0">
        <v>-70.8</v>
      </c>
      <c r="B2921" t="n" s="0">
        <f>(-5-((((-5*(-5/((-5/(((-5*(-70.8--5))-(-5+((-5*-70.8)*(((-5--5)+(-70.8--5))+-70.8))))-(-5+-5)))*-5)))/-5)--5)+(-5*(((-70.8*(-70.8-(-5/-5)))*(-70.8-(-70.8/(-5*-70.8))))-(-5/-5)))))</f>
        <v>-1784729.24</v>
      </c>
      <c r="C2921" t="n" s="0">
        <v>-1784729.2399999998</v>
      </c>
    </row>
    <row r="2922">
      <c r="A2922" t="n" s="0">
        <v>-70.79</v>
      </c>
      <c r="B2922" t="n" s="0">
        <f>(-5-((((-5*(-5/((-5/(((-5*(-70.79--5))-(-5+((-5*-70.79)*(((-5--5)+(-70.79--5))+-70.79))))-(-5+-5)))*-5)))/-5)--5)+(-5*(((-70.79*(-70.79-(-5/-5)))*(-70.79-(-70.79/(-5*-70.79))))-(-5/-5)))))</f>
        <v>-1783974.588395</v>
      </c>
      <c r="C2922" t="n" s="0">
        <v>-1783974.5883950004</v>
      </c>
    </row>
    <row r="2923">
      <c r="A2923" t="n" s="0">
        <v>-70.78</v>
      </c>
      <c r="B2923" t="n" s="0">
        <f>(-5-((((-5*(-5/((-5/(((-5*(-70.78--5))-(-5+((-5*-70.78)*(((-5--5)+(-70.78--5))+-70.78))))-(-5+-5)))*-5)))/-5)--5)+(-5*(((-70.78*(-70.78-(-5/-5)))*(-70.78-(-70.78/(-5*-70.78))))-(-5/-5)))))</f>
        <v>-1783220.1495599998</v>
      </c>
      <c r="C2923" t="n" s="0">
        <v>-1783220.14956</v>
      </c>
    </row>
    <row r="2924">
      <c r="A2924" t="n" s="0">
        <v>-70.77</v>
      </c>
      <c r="B2924" t="n" s="0">
        <f>(-5-((((-5*(-5/((-5/(((-5*(-70.77--5))-(-5+((-5*-70.77)*(((-5--5)+(-70.77--5))+-70.77))))-(-5+-5)))*-5)))/-5)--5)+(-5*(((-70.77*(-70.77-(-5/-5)))*(-70.77-(-70.77/(-5*-70.77))))-(-5/-5)))))</f>
        <v>-1782465.9234650002</v>
      </c>
      <c r="C2924" t="n" s="0">
        <v>-1782465.9234649998</v>
      </c>
    </row>
    <row r="2925">
      <c r="A2925" t="n" s="0">
        <v>-70.76</v>
      </c>
      <c r="B2925" t="n" s="0">
        <f>(-5-((((-5*(-5/((-5/(((-5*(-70.76--5))-(-5+((-5*-70.76)*(((-5--5)+(-70.76--5))+-70.76))))-(-5+-5)))*-5)))/-5)--5)+(-5*(((-70.76*(-70.76-(-5/-5)))*(-70.76-(-70.76/(-5*-70.76))))-(-5/-5)))))</f>
        <v>-1781711.91008</v>
      </c>
      <c r="C2925" t="n" s="0">
        <v>-1781711.9100800005</v>
      </c>
    </row>
    <row r="2926">
      <c r="A2926" t="n" s="0">
        <v>-70.75</v>
      </c>
      <c r="B2926" t="n" s="0">
        <f>(-5-((((-5*(-5/((-5/(((-5*(-70.75--5))-(-5+((-5*-70.75)*(((-5--5)+(-70.75--5))+-70.75))))-(-5+-5)))*-5)))/-5)--5)+(-5*(((-70.75*(-70.75-(-5/-5)))*(-70.75-(-70.75/(-5*-70.75))))-(-5/-5)))))</f>
        <v>-1780958.109375</v>
      </c>
      <c r="C2926" t="n" s="0">
        <v>-1780958.109375</v>
      </c>
    </row>
    <row r="2927">
      <c r="A2927" t="n" s="0">
        <v>-70.74</v>
      </c>
      <c r="B2927" t="n" s="0">
        <f>(-5-((((-5*(-5/((-5/(((-5*(-70.74--5))-(-5+((-5*-70.74)*(((-5--5)+(-70.74--5))+-70.74))))-(-5+-5)))*-5)))/-5)--5)+(-5*(((-70.74*(-70.74-(-5/-5)))*(-70.74-(-70.74/(-5*-70.74))))-(-5/-5)))))</f>
        <v>-1780204.5213199998</v>
      </c>
      <c r="C2927" t="n" s="0">
        <v>-1780204.5213199996</v>
      </c>
    </row>
    <row r="2928">
      <c r="A2928" t="n" s="0">
        <v>-70.73</v>
      </c>
      <c r="B2928" t="n" s="0">
        <f>(-5-((((-5*(-5/((-5/(((-5*(-70.73--5))-(-5+((-5*-70.73)*(((-5--5)+(-70.73--5))+-70.73))))-(-5+-5)))*-5)))/-5)--5)+(-5*(((-70.73*(-70.73-(-5/-5)))*(-70.73-(-70.73/(-5*-70.73))))-(-5/-5)))))</f>
        <v>-1779451.145885</v>
      </c>
      <c r="C2928" t="n" s="0">
        <v>-1779451.1458850002</v>
      </c>
    </row>
    <row r="2929">
      <c r="A2929" t="n" s="0">
        <v>-70.72</v>
      </c>
      <c r="B2929" t="n" s="0">
        <f>(-5-((((-5*(-5/((-5/(((-5*(-70.72--5))-(-5+((-5*-70.72)*(((-5--5)+(-70.72--5))+-70.72))))-(-5+-5)))*-5)))/-5)--5)+(-5*(((-70.72*(-70.72-(-5/-5)))*(-70.72-(-70.72/(-5*-70.72))))-(-5/-5)))))</f>
        <v>-1778697.9830399998</v>
      </c>
      <c r="C2929" t="n" s="0">
        <v>-1778697.9830399998</v>
      </c>
    </row>
    <row r="2930">
      <c r="A2930" t="n" s="0">
        <v>-70.71</v>
      </c>
      <c r="B2930" t="n" s="0">
        <f>(-5-((((-5*(-5/((-5/(((-5*(-70.71--5))-(-5+((-5*-70.71)*(((-5--5)+(-70.71--5))+-70.71))))-(-5+-5)))*-5)))/-5)--5)+(-5*(((-70.71*(-70.71-(-5/-5)))*(-70.71-(-70.71/(-5*-70.71))))-(-5/-5)))))</f>
        <v>-1777945.032755</v>
      </c>
      <c r="C2930" t="n" s="0">
        <v>-1777945.0327549994</v>
      </c>
    </row>
    <row r="2931">
      <c r="A2931" t="n" s="0">
        <v>-70.7</v>
      </c>
      <c r="B2931" t="n" s="0">
        <f>(-5-((((-5*(-5/((-5/(((-5*(-70.7--5))-(-5+((-5*-70.7)*(((-5--5)+(-70.7--5))+-70.7))))-(-5+-5)))*-5)))/-5)--5)+(-5*(((-70.7*(-70.7-(-5/-5)))*(-70.7-(-70.7/(-5*-70.7))))-(-5/-5)))))</f>
        <v>-1777192.2950000002</v>
      </c>
      <c r="C2931" t="n" s="0">
        <v>-1777192.2950000002</v>
      </c>
    </row>
    <row r="2932">
      <c r="A2932" t="n" s="0">
        <v>-70.69</v>
      </c>
      <c r="B2932" t="n" s="0">
        <f>(-5-((((-5*(-5/((-5/(((-5*(-70.69--5))-(-5+((-5*-70.69)*(((-5--5)+(-70.69--5))+-70.69))))-(-5+-5)))*-5)))/-5)--5)+(-5*(((-70.69*(-70.69-(-5/-5)))*(-70.69-(-70.69/(-5*-70.69))))-(-5/-5)))))</f>
        <v>-1776439.7697450002</v>
      </c>
      <c r="C2932" t="n" s="0">
        <v>-1776439.769745</v>
      </c>
    </row>
    <row r="2933">
      <c r="A2933" t="n" s="0">
        <v>-70.68</v>
      </c>
      <c r="B2933" t="n" s="0">
        <f>(-5-((((-5*(-5/((-5/(((-5*(-70.68--5))-(-5+((-5*-70.68)*(((-5--5)+(-70.68--5))+-70.68))))-(-5+-5)))*-5)))/-5)--5)+(-5*(((-70.68*(-70.68-(-5/-5)))*(-70.68-(-70.68/(-5*-70.68))))-(-5/-5)))))</f>
        <v>-1775687.4569599999</v>
      </c>
      <c r="C2933" t="n" s="0">
        <v>-1775687.4569600006</v>
      </c>
    </row>
    <row r="2934">
      <c r="A2934" t="n" s="0">
        <v>-70.67</v>
      </c>
      <c r="B2934" t="n" s="0">
        <f>(-5-((((-5*(-5/((-5/(((-5*(-70.67--5))-(-5+((-5*-70.67)*(((-5--5)+(-70.67--5))+-70.67))))-(-5+-5)))*-5)))/-5)--5)+(-5*(((-70.67*(-70.67-(-5/-5)))*(-70.67-(-70.67/(-5*-70.67))))-(-5/-5)))))</f>
        <v>-1774935.356615</v>
      </c>
      <c r="C2934" t="n" s="0">
        <v>-1774935.3566150002</v>
      </c>
    </row>
    <row r="2935">
      <c r="A2935" t="n" s="0">
        <v>-70.66</v>
      </c>
      <c r="B2935" t="n" s="0">
        <f>(-5-((((-5*(-5/((-5/(((-5*(-70.66--5))-(-5+((-5*-70.66)*(((-5--5)+(-70.66--5))+-70.66))))-(-5+-5)))*-5)))/-5)--5)+(-5*(((-70.66*(-70.66-(-5/-5)))*(-70.66-(-70.66/(-5*-70.66))))-(-5/-5)))))</f>
        <v>-1774183.46868</v>
      </c>
      <c r="C2935" t="n" s="0">
        <v>-1774183.4686799997</v>
      </c>
    </row>
    <row r="2936">
      <c r="A2936" t="n" s="0">
        <v>-70.65</v>
      </c>
      <c r="B2936" t="n" s="0">
        <f>(-5-((((-5*(-5/((-5/(((-5*(-70.65--5))-(-5+((-5*-70.65)*(((-5--5)+(-70.65--5))+-70.65))))-(-5+-5)))*-5)))/-5)--5)+(-5*(((-70.65*(-70.65-(-5/-5)))*(-70.65-(-70.65/(-5*-70.65))))-(-5/-5)))))</f>
        <v>-1773431.7931249999</v>
      </c>
      <c r="C2936" t="n" s="0">
        <v>-1773431.7931250005</v>
      </c>
    </row>
    <row r="2937">
      <c r="A2937" t="n" s="0">
        <v>-70.64</v>
      </c>
      <c r="B2937" t="n" s="0">
        <f>(-5-((((-5*(-5/((-5/(((-5*(-70.64--5))-(-5+((-5*-70.64)*(((-5--5)+(-70.64--5))+-70.64))))-(-5+-5)))*-5)))/-5)--5)+(-5*(((-70.64*(-70.64-(-5/-5)))*(-70.64-(-70.64/(-5*-70.64))))-(-5/-5)))))</f>
        <v>-1772680.3299200002</v>
      </c>
      <c r="C2937" t="n" s="0">
        <v>-1772680.32992</v>
      </c>
    </row>
    <row r="2938">
      <c r="A2938" t="n" s="0">
        <v>-70.63</v>
      </c>
      <c r="B2938" t="n" s="0">
        <f>(-5-((((-5*(-5/((-5/(((-5*(-70.63--5))-(-5+((-5*-70.63)*(((-5--5)+(-70.63--5))+-70.63))))-(-5+-5)))*-5)))/-5)--5)+(-5*(((-70.63*(-70.63-(-5/-5)))*(-70.63-(-70.63/(-5*-70.63))))-(-5/-5)))))</f>
        <v>-1771929.079035</v>
      </c>
      <c r="C2938" t="n" s="0">
        <v>-1771929.0790349997</v>
      </c>
    </row>
    <row r="2939">
      <c r="A2939" t="n" s="0">
        <v>-70.62</v>
      </c>
      <c r="B2939" t="n" s="0">
        <f>(-5-((((-5*(-5/((-5/(((-5*(-70.62--5))-(-5+((-5*-70.62)*(((-5--5)+(-70.62--5))+-70.62))))-(-5+-5)))*-5)))/-5)--5)+(-5*(((-70.62*(-70.62-(-5/-5)))*(-70.62-(-70.62/(-5*-70.62))))-(-5/-5)))))</f>
        <v>-1771178.04044</v>
      </c>
      <c r="C2939" t="n" s="0">
        <v>-1771178.0404400004</v>
      </c>
    </row>
    <row r="2940">
      <c r="A2940" t="n" s="0">
        <v>-70.61</v>
      </c>
      <c r="B2940" t="n" s="0">
        <f>(-5-((((-5*(-5/((-5/(((-5*(-70.61--5))-(-5+((-5*-70.61)*(((-5--5)+(-70.61--5))+-70.61))))-(-5+-5)))*-5)))/-5)--5)+(-5*(((-70.61*(-70.61-(-5/-5)))*(-70.61-(-70.61/(-5*-70.61))))-(-5/-5)))))</f>
        <v>-1770427.214105</v>
      </c>
      <c r="C2940" t="n" s="0">
        <v>-1770427.2141049998</v>
      </c>
    </row>
    <row r="2941">
      <c r="A2941" t="n" s="0">
        <v>-70.6</v>
      </c>
      <c r="B2941" t="n" s="0">
        <f>(-5-((((-5*(-5/((-5/(((-5*(-70.6--5))-(-5+((-5*-70.6)*(((-5--5)+(-70.6--5))+-70.6))))-(-5+-5)))*-5)))/-5)--5)+(-5*(((-70.6*(-70.6-(-5/-5)))*(-70.6-(-70.6/(-5*-70.6))))-(-5/-5)))))</f>
        <v>-1769676.5999999999</v>
      </c>
      <c r="C2941" t="n" s="0">
        <v>-1769676.5999999996</v>
      </c>
    </row>
    <row r="2942">
      <c r="A2942" t="n" s="0">
        <v>-70.59</v>
      </c>
      <c r="B2942" t="n" s="0">
        <f>(-5-((((-5*(-5/((-5/(((-5*(-70.59--5))-(-5+((-5*-70.59)*(((-5--5)+(-70.59--5))+-70.59))))-(-5+-5)))*-5)))/-5)--5)+(-5*(((-70.59*(-70.59-(-5/-5)))*(-70.59-(-70.59/(-5*-70.59))))-(-5/-5)))))</f>
        <v>-1768926.198095</v>
      </c>
      <c r="C2942" t="n" s="0">
        <v>-1768926.1980950006</v>
      </c>
    </row>
    <row r="2943">
      <c r="A2943" t="n" s="0">
        <v>-70.58</v>
      </c>
      <c r="B2943" t="n" s="0">
        <f>(-5-((((-5*(-5/((-5/(((-5*(-70.58--5))-(-5+((-5*-70.58)*(((-5--5)+(-70.58--5))+-70.58))))-(-5+-5)))*-5)))/-5)--5)+(-5*(((-70.58*(-70.58-(-5/-5)))*(-70.58-(-70.58/(-5*-70.58))))-(-5/-5)))))</f>
        <v>-1768176.0083599999</v>
      </c>
      <c r="C2943" t="n" s="0">
        <v>-1768176.0083599999</v>
      </c>
    </row>
    <row r="2944">
      <c r="A2944" t="n" s="0">
        <v>-70.57</v>
      </c>
      <c r="B2944" t="n" s="0">
        <f>(-5-((((-5*(-5/((-5/(((-5*(-70.57--5))-(-5+((-5*-70.57)*(((-5--5)+(-70.57--5))+-70.57))))-(-5+-5)))*-5)))/-5)--5)+(-5*(((-70.57*(-70.57-(-5/-5)))*(-70.57-(-70.57/(-5*-70.57))))-(-5/-5)))))</f>
        <v>-1767426.030765</v>
      </c>
      <c r="C2944" t="n" s="0">
        <v>-1767426.0307649996</v>
      </c>
    </row>
    <row r="2945">
      <c r="A2945" t="n" s="0">
        <v>-70.56</v>
      </c>
      <c r="B2945" t="n" s="0">
        <f>(-5-((((-5*(-5/((-5/(((-5*(-70.56--5))-(-5+((-5*-70.56)*(((-5--5)+(-70.56--5))+-70.56))))-(-5+-5)))*-5)))/-5)--5)+(-5*(((-70.56*(-70.56-(-5/-5)))*(-70.56-(-70.56/(-5*-70.56))))-(-5/-5)))))</f>
        <v>-1766676.26528</v>
      </c>
      <c r="C2945" t="n" s="0">
        <v>-1766676.2652800002</v>
      </c>
    </row>
    <row r="2946">
      <c r="A2946" t="n" s="0">
        <v>-70.55</v>
      </c>
      <c r="B2946" t="n" s="0">
        <f>(-5-((((-5*(-5/((-5/(((-5*(-70.55--5))-(-5+((-5*-70.55)*(((-5--5)+(-70.55--5))+-70.55))))-(-5+-5)))*-5)))/-5)--5)+(-5*(((-70.55*(-70.55-(-5/-5)))*(-70.55-(-70.55/(-5*-70.55))))-(-5/-5)))))</f>
        <v>-1765926.711875</v>
      </c>
      <c r="C2946" t="n" s="0">
        <v>-1765926.7118749996</v>
      </c>
    </row>
    <row r="2947">
      <c r="A2947" t="n" s="0">
        <v>-70.54</v>
      </c>
      <c r="B2947" t="n" s="0">
        <f>(-5-((((-5*(-5/((-5/(((-5*(-70.54--5))-(-5+((-5*-70.54)*(((-5--5)+(-70.54--5))+-70.54))))-(-5+-5)))*-5)))/-5)--5)+(-5*(((-70.54*(-70.54-(-5/-5)))*(-70.54-(-70.54/(-5*-70.54))))-(-5/-5)))))</f>
        <v>-1765177.3705199999</v>
      </c>
      <c r="C2947" t="n" s="0">
        <v>-1765177.3705200003</v>
      </c>
    </row>
    <row r="2948">
      <c r="A2948" t="n" s="0">
        <v>-70.53</v>
      </c>
      <c r="B2948" t="n" s="0">
        <f>(-5-((((-5*(-5/((-5/(((-5*(-70.53--5))-(-5+((-5*-70.53)*(((-5--5)+(-70.53--5))+-70.53))))-(-5+-5)))*-5)))/-5)--5)+(-5*(((-70.53*(-70.53-(-5/-5)))*(-70.53-(-70.53/(-5*-70.53))))-(-5/-5)))))</f>
        <v>-1764428.241185</v>
      </c>
      <c r="C2948" t="n" s="0">
        <v>-1764428.2411850002</v>
      </c>
    </row>
    <row r="2949">
      <c r="A2949" t="n" s="0">
        <v>-70.52</v>
      </c>
      <c r="B2949" t="n" s="0">
        <f>(-5-((((-5*(-5/((-5/(((-5*(-70.52--5))-(-5+((-5*-70.52)*(((-5--5)+(-70.52--5))+-70.52))))-(-5+-5)))*-5)))/-5)--5)+(-5*(((-70.52*(-70.52-(-5/-5)))*(-70.52-(-70.52/(-5*-70.52))))-(-5/-5)))))</f>
        <v>-1763679.32384</v>
      </c>
      <c r="C2949" t="n" s="0">
        <v>-1763679.3238399995</v>
      </c>
    </row>
    <row r="2950">
      <c r="A2950" t="n" s="0">
        <v>-70.51</v>
      </c>
      <c r="B2950" t="n" s="0">
        <f>(-5-((((-5*(-5/((-5/(((-5*(-70.51--5))-(-5+((-5*-70.51)*(((-5--5)+(-70.51--5))+-70.51))))-(-5+-5)))*-5)))/-5)--5)+(-5*(((-70.51*(-70.51-(-5/-5)))*(-70.51-(-70.51/(-5*-70.51))))-(-5/-5)))))</f>
        <v>-1762930.618455</v>
      </c>
      <c r="C2950" t="n" s="0">
        <v>-1762930.6184550005</v>
      </c>
    </row>
    <row r="2951">
      <c r="A2951" t="n" s="0">
        <v>-70.5</v>
      </c>
      <c r="B2951" t="n" s="0">
        <f>(-5-((((-5*(-5/((-5/(((-5*(-70.5--5))-(-5+((-5*-70.5)*(((-5--5)+(-70.5--5))+-70.5))))-(-5+-5)))*-5)))/-5)--5)+(-5*(((-70.5*(-70.5-(-5/-5)))*(-70.5-(-70.5/(-5*-70.5))))-(-5/-5)))))</f>
        <v>-1762182.125</v>
      </c>
      <c r="C2951" t="n" s="0">
        <v>-1762182.125</v>
      </c>
    </row>
    <row r="2952">
      <c r="A2952" t="n" s="0">
        <v>-70.49</v>
      </c>
      <c r="B2952" t="n" s="0">
        <f>(-5-((((-5*(-5/((-5/(((-5*(-70.49--5))-(-5+((-5*-70.49)*(((-5--5)+(-70.49--5))+-70.49))))-(-5+-5)))*-5)))/-5)--5)+(-5*(((-70.49*(-70.49-(-5/-5)))*(-70.49-(-70.49/(-5*-70.49))))-(-5/-5)))))</f>
        <v>-1761433.8434450002</v>
      </c>
      <c r="C2952" t="n" s="0">
        <v>-1761433.8434449998</v>
      </c>
    </row>
    <row r="2953">
      <c r="A2953" t="n" s="0">
        <v>-70.48</v>
      </c>
      <c r="B2953" t="n" s="0">
        <f>(-5-((((-5*(-5/((-5/(((-5*(-70.48--5))-(-5+((-5*-70.48)*(((-5--5)+(-70.48--5))+-70.48))))-(-5+-5)))*-5)))/-5)--5)+(-5*(((-70.48*(-70.48-(-5/-5)))*(-70.48-(-70.48/(-5*-70.48))))-(-5/-5)))))</f>
        <v>-1760685.77376</v>
      </c>
      <c r="C2953" t="n" s="0">
        <v>-1760685.77376</v>
      </c>
    </row>
    <row r="2954">
      <c r="A2954" t="n" s="0">
        <v>-70.47</v>
      </c>
      <c r="B2954" t="n" s="0">
        <f>(-5-((((-5*(-5/((-5/(((-5*(-70.47--5))-(-5+((-5*-70.47)*(((-5--5)+(-70.47--5))+-70.47))))-(-5+-5)))*-5)))/-5)--5)+(-5*(((-70.47*(-70.47-(-5/-5)))*(-70.47-(-70.47/(-5*-70.47))))-(-5/-5)))))</f>
        <v>-1759937.915915</v>
      </c>
      <c r="C2954" t="n" s="0">
        <v>-1759937.915915</v>
      </c>
    </row>
    <row r="2955">
      <c r="A2955" t="n" s="0">
        <v>-70.46</v>
      </c>
      <c r="B2955" t="n" s="0">
        <f>(-5-((((-5*(-5/((-5/(((-5*(-70.46--5))-(-5+((-5*-70.46)*(((-5--5)+(-70.46--5))+-70.46))))-(-5+-5)))*-5)))/-5)--5)+(-5*(((-70.46*(-70.46-(-5/-5)))*(-70.46-(-70.46/(-5*-70.46))))-(-5/-5)))))</f>
        <v>-1759190.26988</v>
      </c>
      <c r="C2955" t="n" s="0">
        <v>-1759190.2698799996</v>
      </c>
    </row>
    <row r="2956">
      <c r="A2956" t="n" s="0">
        <v>-70.45</v>
      </c>
      <c r="B2956" t="n" s="0">
        <f>(-5-((((-5*(-5/((-5/(((-5*(-70.45--5))-(-5+((-5*-70.45)*(((-5--5)+(-70.45--5))+-70.45))))-(-5+-5)))*-5)))/-5)--5)+(-5*(((-70.45*(-70.45-(-5/-5)))*(-70.45-(-70.45/(-5*-70.45))))-(-5/-5)))))</f>
        <v>-1758442.835625</v>
      </c>
      <c r="C2956" t="n" s="0">
        <v>-1758442.8356250005</v>
      </c>
    </row>
    <row r="2957">
      <c r="A2957" t="n" s="0">
        <v>-70.44</v>
      </c>
      <c r="B2957" t="n" s="0">
        <f>(-5-((((-5*(-5/((-5/(((-5*(-70.44--5))-(-5+((-5*-70.44)*(((-5--5)+(-70.44--5))+-70.44))))-(-5+-5)))*-5)))/-5)--5)+(-5*(((-70.44*(-70.44-(-5/-5)))*(-70.44-(-70.44/(-5*-70.44))))-(-5/-5)))))</f>
        <v>-1757695.61312</v>
      </c>
      <c r="C2957" t="n" s="0">
        <v>-1757695.6131199999</v>
      </c>
    </row>
    <row r="2958">
      <c r="A2958" t="n" s="0">
        <v>-70.43</v>
      </c>
      <c r="B2958" t="n" s="0">
        <f>(-5-((((-5*(-5/((-5/(((-5*(-70.43--5))-(-5+((-5*-70.43)*(((-5--5)+(-70.43--5))+-70.43))))-(-5+-5)))*-5)))/-5)--5)+(-5*(((-70.43*(-70.43-(-5/-5)))*(-70.43-(-70.43/(-5*-70.43))))-(-5/-5)))))</f>
        <v>-1756948.6023350002</v>
      </c>
      <c r="C2958" t="n" s="0">
        <v>-1756948.6023350004</v>
      </c>
    </row>
    <row r="2959">
      <c r="A2959" t="n" s="0">
        <v>-70.42</v>
      </c>
      <c r="B2959" t="n" s="0">
        <f>(-5-((((-5*(-5/((-5/(((-5*(-70.42--5))-(-5+((-5*-70.42)*(((-5--5)+(-70.42--5))+-70.42))))-(-5+-5)))*-5)))/-5)--5)+(-5*(((-70.42*(-70.42-(-5/-5)))*(-70.42-(-70.42/(-5*-70.42))))-(-5/-5)))))</f>
        <v>-1756201.80324</v>
      </c>
      <c r="C2959" t="n" s="0">
        <v>-1756201.8032400003</v>
      </c>
    </row>
    <row r="2960">
      <c r="A2960" t="n" s="0">
        <v>-70.41</v>
      </c>
      <c r="B2960" t="n" s="0">
        <f>(-5-((((-5*(-5/((-5/(((-5*(-70.41--5))-(-5+((-5*-70.41)*(((-5--5)+(-70.41--5))+-70.41))))-(-5+-5)))*-5)))/-5)--5)+(-5*(((-70.41*(-70.41-(-5/-5)))*(-70.41-(-70.41/(-5*-70.41))))-(-5/-5)))))</f>
        <v>-1755455.2158050002</v>
      </c>
      <c r="C2960" t="n" s="0">
        <v>-1755455.215805</v>
      </c>
    </row>
    <row r="2961">
      <c r="A2961" t="n" s="0">
        <v>-70.4</v>
      </c>
      <c r="B2961" t="n" s="0">
        <f>(-5-((((-5*(-5/((-5/(((-5*(-70.4--5))-(-5+((-5*-70.4)*(((-5--5)+(-70.4--5))+-70.4))))-(-5+-5)))*-5)))/-5)--5)+(-5*(((-70.4*(-70.4-(-5/-5)))*(-70.4-(-70.4/(-5*-70.4))))-(-5/-5)))))</f>
        <v>-1754708.84</v>
      </c>
      <c r="C2961" t="n" s="0">
        <v>-1754708.8400000005</v>
      </c>
    </row>
    <row r="2962">
      <c r="A2962" t="n" s="0">
        <v>-70.39</v>
      </c>
      <c r="B2962" t="n" s="0">
        <f>(-5-((((-5*(-5/((-5/(((-5*(-70.39--5))-(-5+((-5*-70.39)*(((-5--5)+(-70.39--5))+-70.39))))-(-5+-5)))*-5)))/-5)--5)+(-5*(((-70.39*(-70.39-(-5/-5)))*(-70.39-(-70.39/(-5*-70.39))))-(-5/-5)))))</f>
        <v>-1753962.675795</v>
      </c>
      <c r="C2962" t="n" s="0">
        <v>-1753962.6757949998</v>
      </c>
    </row>
    <row r="2963">
      <c r="A2963" t="n" s="0">
        <v>-70.38</v>
      </c>
      <c r="B2963" t="n" s="0">
        <f>(-5-((((-5*(-5/((-5/(((-5*(-70.38--5))-(-5+((-5*-70.38)*(((-5--5)+(-70.38--5))+-70.38))))-(-5+-5)))*-5)))/-5)--5)+(-5*(((-70.38*(-70.38-(-5/-5)))*(-70.38-(-70.38/(-5*-70.38))))-(-5/-5)))))</f>
        <v>-1753216.7231599998</v>
      </c>
      <c r="C2963" t="n" s="0">
        <v>-1753216.7231599994</v>
      </c>
    </row>
    <row r="2964">
      <c r="A2964" t="n" s="0">
        <v>-70.37</v>
      </c>
      <c r="B2964" t="n" s="0">
        <f>(-5-((((-5*(-5/((-5/(((-5*(-70.37--5))-(-5+((-5*-70.37)*(((-5--5)+(-70.37--5))+-70.37))))-(-5+-5)))*-5)))/-5)--5)+(-5*(((-70.37*(-70.37-(-5/-5)))*(-70.37-(-70.37/(-5*-70.37))))-(-5/-5)))))</f>
        <v>-1752470.982065</v>
      </c>
      <c r="C2964" t="n" s="0">
        <v>-1752470.9820650006</v>
      </c>
    </row>
    <row r="2965">
      <c r="A2965" t="n" s="0">
        <v>-70.36</v>
      </c>
      <c r="B2965" t="n" s="0">
        <f>(-5-((((-5*(-5/((-5/(((-5*(-70.36--5))-(-5+((-5*-70.36)*(((-5--5)+(-70.36--5))+-70.36))))-(-5+-5)))*-5)))/-5)--5)+(-5*(((-70.36*(-70.36-(-5/-5)))*(-70.36-(-70.36/(-5*-70.36))))-(-5/-5)))))</f>
        <v>-1751725.45248</v>
      </c>
      <c r="C2965" t="n" s="0">
        <v>-1751725.45248</v>
      </c>
    </row>
    <row r="2966">
      <c r="A2966" t="n" s="0">
        <v>-70.35</v>
      </c>
      <c r="B2966" t="n" s="0">
        <f>(-5-((((-5*(-5/((-5/(((-5*(-70.35--5))-(-5+((-5*-70.35)*(((-5--5)+(-70.35--5))+-70.35))))-(-5+-5)))*-5)))/-5)--5)+(-5*(((-70.35*(-70.35-(-5/-5)))*(-70.35-(-70.35/(-5*-70.35))))-(-5/-5)))))</f>
        <v>-1750980.1343750001</v>
      </c>
      <c r="C2966" t="n" s="0">
        <v>-1750980.1343749997</v>
      </c>
    </row>
    <row r="2967">
      <c r="A2967" t="n" s="0">
        <v>-70.34</v>
      </c>
      <c r="B2967" t="n" s="0">
        <f>(-5-((((-5*(-5/((-5/(((-5*(-70.34--5))-(-5+((-5*-70.34)*(((-5--5)+(-70.34--5))+-70.34))))-(-5+-5)))*-5)))/-5)--5)+(-5*(((-70.34*(-70.34-(-5/-5)))*(-70.34-(-70.34/(-5*-70.34))))-(-5/-5)))))</f>
        <v>-1750235.0277200001</v>
      </c>
      <c r="C2967" t="n" s="0">
        <v>-1750235.0277200001</v>
      </c>
    </row>
    <row r="2968">
      <c r="A2968" t="n" s="0">
        <v>-70.33</v>
      </c>
      <c r="B2968" t="n" s="0">
        <f>(-5-((((-5*(-5/((-5/(((-5*(-70.33--5))-(-5+((-5*-70.33)*(((-5--5)+(-70.33--5))+-70.33))))-(-5+-5)))*-5)))/-5)--5)+(-5*(((-70.33*(-70.33-(-5/-5)))*(-70.33-(-70.33/(-5*-70.33))))-(-5/-5)))))</f>
        <v>-1749490.132485</v>
      </c>
      <c r="C2968" t="n" s="0">
        <v>-1749490.1324849997</v>
      </c>
    </row>
    <row r="2969">
      <c r="A2969" t="n" s="0">
        <v>-70.32</v>
      </c>
      <c r="B2969" t="n" s="0">
        <f>(-5-((((-5*(-5/((-5/(((-5*(-70.32--5))-(-5+((-5*-70.32)*(((-5--5)+(-70.32--5))+-70.32))))-(-5+-5)))*-5)))/-5)--5)+(-5*(((-70.32*(-70.32-(-5/-5)))*(-70.32-(-70.32/(-5*-70.32))))-(-5/-5)))))</f>
        <v>-1748745.44864</v>
      </c>
      <c r="C2969" t="n" s="0">
        <v>-1748745.4486399994</v>
      </c>
    </row>
    <row r="2970">
      <c r="A2970" t="n" s="0">
        <v>-70.31</v>
      </c>
      <c r="B2970" t="n" s="0">
        <f>(-5-((((-5*(-5/((-5/(((-5*(-70.31--5))-(-5+((-5*-70.31)*(((-5--5)+(-70.31--5))+-70.31))))-(-5+-5)))*-5)))/-5)--5)+(-5*(((-70.31*(-70.31-(-5/-5)))*(-70.31-(-70.31/(-5*-70.31))))-(-5/-5)))))</f>
        <v>-1748000.976155</v>
      </c>
      <c r="C2970" t="n" s="0">
        <v>-1748000.9761550003</v>
      </c>
    </row>
    <row r="2971">
      <c r="A2971" t="n" s="0">
        <v>-70.3</v>
      </c>
      <c r="B2971" t="n" s="0">
        <f>(-5-((((-5*(-5/((-5/(((-5*(-70.3--5))-(-5+((-5*-70.3)*(((-5--5)+(-70.3--5))+-70.3))))-(-5+-5)))*-5)))/-5)--5)+(-5*(((-70.3*(-70.3-(-5/-5)))*(-70.3-(-70.3/(-5*-70.3))))-(-5/-5)))))</f>
        <v>-1747256.715</v>
      </c>
      <c r="C2971" t="n" s="0">
        <v>-1747256.7149999996</v>
      </c>
    </row>
    <row r="2972">
      <c r="A2972" t="n" s="0">
        <v>-70.29</v>
      </c>
      <c r="B2972" t="n" s="0">
        <f>(-5-((((-5*(-5/((-5/(((-5*(-70.29--5))-(-5+((-5*-70.29)*(((-5--5)+(-70.29--5))+-70.29))))-(-5+-5)))*-5)))/-5)--5)+(-5*(((-70.29*(-70.29-(-5/-5)))*(-70.29-(-70.29/(-5*-70.29))))-(-5/-5)))))</f>
        <v>-1746512.665145</v>
      </c>
      <c r="C2972" t="n" s="0">
        <v>-1746512.6651450004</v>
      </c>
    </row>
    <row r="2973">
      <c r="A2973" t="n" s="0">
        <v>-70.28</v>
      </c>
      <c r="B2973" t="n" s="0">
        <f>(-5-((((-5*(-5/((-5/(((-5*(-70.28--5))-(-5+((-5*-70.28)*(((-5--5)+(-70.28--5))+-70.28))))-(-5+-5)))*-5)))/-5)--5)+(-5*(((-70.28*(-70.28-(-5/-5)))*(-70.28-(-70.28/(-5*-70.28))))-(-5/-5)))))</f>
        <v>-1745768.82656</v>
      </c>
      <c r="C2973" t="n" s="0">
        <v>-1745768.8265600002</v>
      </c>
    </row>
    <row r="2974">
      <c r="A2974" t="n" s="0">
        <v>-70.27</v>
      </c>
      <c r="B2974" t="n" s="0">
        <f>(-5-((((-5*(-5/((-5/(((-5*(-70.27--5))-(-5+((-5*-70.27)*(((-5--5)+(-70.27--5))+-70.27))))-(-5+-5)))*-5)))/-5)--5)+(-5*(((-70.27*(-70.27-(-5/-5)))*(-70.27-(-70.27/(-5*-70.27))))-(-5/-5)))))</f>
        <v>-1745025.199215</v>
      </c>
      <c r="C2974" t="n" s="0">
        <v>-1745025.1992149998</v>
      </c>
    </row>
    <row r="2975">
      <c r="A2975" t="n" s="0">
        <v>-70.26</v>
      </c>
      <c r="B2975" t="n" s="0">
        <f>(-5-((((-5*(-5/((-5/(((-5*(-70.26--5))-(-5+((-5*-70.26)*(((-5--5)+(-70.26--5))+-70.26))))-(-5+-5)))*-5)))/-5)--5)+(-5*(((-70.26*(-70.26-(-5/-5)))*(-70.26-(-70.26/(-5*-70.26))))-(-5/-5)))))</f>
        <v>-1744281.78308</v>
      </c>
      <c r="C2975" t="n" s="0">
        <v>-1744281.7830800004</v>
      </c>
    </row>
    <row r="2976">
      <c r="A2976" t="n" s="0">
        <v>-70.25</v>
      </c>
      <c r="B2976" t="n" s="0">
        <f>(-5-((((-5*(-5/((-5/(((-5*(-70.25--5))-(-5+((-5*-70.25)*(((-5--5)+(-70.25--5))+-70.25))))-(-5+-5)))*-5)))/-5)--5)+(-5*(((-70.25*(-70.25-(-5/-5)))*(-70.25-(-70.25/(-5*-70.25))))-(-5/-5)))))</f>
        <v>-1743538.578125</v>
      </c>
      <c r="C2976" t="n" s="0">
        <v>-1743538.578125</v>
      </c>
    </row>
    <row r="2977">
      <c r="A2977" t="n" s="0">
        <v>-70.24</v>
      </c>
      <c r="B2977" t="n" s="0">
        <f>(-5-((((-5*(-5/((-5/(((-5*(-70.24--5))-(-5+((-5*-70.24)*(((-5--5)+(-70.24--5))+-70.24))))-(-5+-5)))*-5)))/-5)--5)+(-5*(((-70.24*(-70.24-(-5/-5)))*(-70.24-(-70.24/(-5*-70.24))))-(-5/-5)))))</f>
        <v>-1742795.5843200001</v>
      </c>
      <c r="C2977" t="n" s="0">
        <v>-1742795.5843199997</v>
      </c>
    </row>
    <row r="2978">
      <c r="A2978" t="n" s="0">
        <v>-70.23</v>
      </c>
      <c r="B2978" t="n" s="0">
        <f>(-5-((((-5*(-5/((-5/(((-5*(-70.23--5))-(-5+((-5*-70.23)*(((-5--5)+(-70.23--5))+-70.23))))-(-5+-5)))*-5)))/-5)--5)+(-5*(((-70.23*(-70.23-(-5/-5)))*(-70.23-(-70.23/(-5*-70.23))))-(-5/-5)))))</f>
        <v>-1742052.801635</v>
      </c>
      <c r="C2978" t="n" s="0">
        <v>-1742052.801635</v>
      </c>
    </row>
    <row r="2979">
      <c r="A2979" t="n" s="0">
        <v>-70.22</v>
      </c>
      <c r="B2979" t="n" s="0">
        <f>(-5-((((-5*(-5/((-5/(((-5*(-70.22--5))-(-5+((-5*-70.22)*(((-5--5)+(-70.22--5))+-70.22))))-(-5+-5)))*-5)))/-5)--5)+(-5*(((-70.22*(-70.22-(-5/-5)))*(-70.22-(-70.22/(-5*-70.22))))-(-5/-5)))))</f>
        <v>-1741310.23004</v>
      </c>
      <c r="C2979" t="n" s="0">
        <v>-1741310.2300399998</v>
      </c>
    </row>
    <row r="2980">
      <c r="A2980" t="n" s="0">
        <v>-70.21</v>
      </c>
      <c r="B2980" t="n" s="0">
        <f>(-5-((((-5*(-5/((-5/(((-5*(-70.21--5))-(-5+((-5*-70.21)*(((-5--5)+(-70.21--5))+-70.21))))-(-5+-5)))*-5)))/-5)--5)+(-5*(((-70.21*(-70.21-(-5/-5)))*(-70.21-(-70.21/(-5*-70.21))))-(-5/-5)))))</f>
        <v>-1740567.8695049998</v>
      </c>
      <c r="C2980" t="n" s="0">
        <v>-1740567.8695049994</v>
      </c>
    </row>
    <row r="2981">
      <c r="A2981" t="n" s="0">
        <v>-70.2</v>
      </c>
      <c r="B2981" t="n" s="0">
        <f>(-5-((((-5*(-5/((-5/(((-5*(-70.2--5))-(-5+((-5*-70.2)*(((-5--5)+(-70.2--5))+-70.2))))-(-5+-5)))*-5)))/-5)--5)+(-5*(((-70.2*(-70.2-(-5/-5)))*(-70.2-(-70.2/(-5*-70.2))))-(-5/-5)))))</f>
        <v>-1739825.72</v>
      </c>
      <c r="C2981" t="n" s="0">
        <v>-1739825.7200000004</v>
      </c>
    </row>
    <row r="2982">
      <c r="A2982" t="n" s="0">
        <v>-70.19</v>
      </c>
      <c r="B2982" t="n" s="0">
        <f>(-5-((((-5*(-5/((-5/(((-5*(-70.19--5))-(-5+((-5*-70.19)*(((-5--5)+(-70.19--5))+-70.19))))-(-5+-5)))*-5)))/-5)--5)+(-5*(((-70.19*(-70.19-(-5/-5)))*(-70.19-(-70.19/(-5*-70.19))))-(-5/-5)))))</f>
        <v>-1739083.781495</v>
      </c>
      <c r="C2982" t="n" s="0">
        <v>-1739083.781495</v>
      </c>
    </row>
    <row r="2983">
      <c r="A2983" t="n" s="0">
        <v>-70.18</v>
      </c>
      <c r="B2983" t="n" s="0">
        <f>(-5-((((-5*(-5/((-5/(((-5*(-70.18--5))-(-5+((-5*-70.18)*(((-5--5)+(-70.18--5))+-70.18))))-(-5+-5)))*-5)))/-5)--5)+(-5*(((-70.18*(-70.18-(-5/-5)))*(-70.18-(-70.18/(-5*-70.18))))-(-5/-5)))))</f>
        <v>-1738342.05396</v>
      </c>
      <c r="C2983" t="n" s="0">
        <v>-1738342.0539600006</v>
      </c>
    </row>
    <row r="2984">
      <c r="A2984" t="n" s="0">
        <v>-70.17</v>
      </c>
      <c r="B2984" t="n" s="0">
        <f>(-5-((((-5*(-5/((-5/(((-5*(-70.17--5))-(-5+((-5*-70.17)*(((-5--5)+(-70.17--5))+-70.17))))-(-5+-5)))*-5)))/-5)--5)+(-5*(((-70.17*(-70.17-(-5/-5)))*(-70.17-(-70.17/(-5*-70.17))))-(-5/-5)))))</f>
        <v>-1737600.537365</v>
      </c>
      <c r="C2984" t="n" s="0">
        <v>-1737600.537365</v>
      </c>
    </row>
    <row r="2985">
      <c r="A2985" t="n" s="0">
        <v>-70.16</v>
      </c>
      <c r="B2985" t="n" s="0">
        <f>(-5-((((-5*(-5/((-5/(((-5*(-70.16--5))-(-5+((-5*-70.16)*(((-5--5)+(-70.16--5))+-70.16))))-(-5+-5)))*-5)))/-5)--5)+(-5*(((-70.16*(-70.16-(-5/-5)))*(-70.16-(-70.16/(-5*-70.16))))-(-5/-5)))))</f>
        <v>-1736859.23168</v>
      </c>
      <c r="C2985" t="n" s="0">
        <v>-1736859.2316799995</v>
      </c>
    </row>
    <row r="2986">
      <c r="A2986" t="n" s="0">
        <v>-70.15</v>
      </c>
      <c r="B2986" t="n" s="0">
        <f>(-5-((((-5*(-5/((-5/(((-5*(-70.15--5))-(-5+((-5*-70.15)*(((-5--5)+(-70.15--5))+-70.15))))-(-5+-5)))*-5)))/-5)--5)+(-5*(((-70.15*(-70.15-(-5/-5)))*(-70.15-(-70.15/(-5*-70.15))))-(-5/-5)))))</f>
        <v>-1736118.1368749999</v>
      </c>
      <c r="C2986" t="n" s="0">
        <v>-1736118.136875</v>
      </c>
    </row>
    <row r="2987">
      <c r="A2987" t="n" s="0">
        <v>-70.14</v>
      </c>
      <c r="B2987" t="n" s="0">
        <f>(-5-((((-5*(-5/((-5/(((-5*(-70.14--5))-(-5+((-5*-70.14)*(((-5--5)+(-70.14--5))+-70.14))))-(-5+-5)))*-5)))/-5)--5)+(-5*(((-70.14*(-70.14-(-5/-5)))*(-70.14-(-70.14/(-5*-70.14))))-(-5/-5)))))</f>
        <v>-1735377.25292</v>
      </c>
      <c r="C2987" t="n" s="0">
        <v>-1735377.25292</v>
      </c>
    </row>
    <row r="2988">
      <c r="A2988" t="n" s="0">
        <v>-70.13</v>
      </c>
      <c r="B2988" t="n" s="0">
        <f>(-5-((((-5*(-5/((-5/(((-5*(-70.13--5))-(-5+((-5*-70.13)*(((-5--5)+(-70.13--5))+-70.13))))-(-5+-5)))*-5)))/-5)--5)+(-5*(((-70.13*(-70.13-(-5/-5)))*(-70.13-(-70.13/(-5*-70.13))))-(-5/-5)))))</f>
        <v>-1734636.579785</v>
      </c>
      <c r="C2988" t="n" s="0">
        <v>-1734636.5797849994</v>
      </c>
    </row>
    <row r="2989">
      <c r="A2989" t="n" s="0">
        <v>-70.12</v>
      </c>
      <c r="B2989" t="n" s="0">
        <f>(-5-((((-5*(-5/((-5/(((-5*(-70.12--5))-(-5+((-5*-70.12)*(((-5--5)+(-70.12--5))+-70.12))))-(-5+-5)))*-5)))/-5)--5)+(-5*(((-70.12*(-70.12-(-5/-5)))*(-70.12-(-70.12/(-5*-70.12))))-(-5/-5)))))</f>
        <v>-1733896.11744</v>
      </c>
      <c r="C2989" t="n" s="0">
        <v>-1733896.1174400006</v>
      </c>
    </row>
    <row r="2990">
      <c r="A2990" t="n" s="0">
        <v>-70.11</v>
      </c>
      <c r="B2990" t="n" s="0">
        <f>(-5-((((-5*(-5/((-5/(((-5*(-70.11--5))-(-5+((-5*-70.11)*(((-5--5)+(-70.11--5))+-70.11))))-(-5+-5)))*-5)))/-5)--5)+(-5*(((-70.11*(-70.11-(-5/-5)))*(-70.11-(-70.11/(-5*-70.11))))-(-5/-5)))))</f>
        <v>-1733155.865855</v>
      </c>
      <c r="C2990" t="n" s="0">
        <v>-1733155.8658549997</v>
      </c>
    </row>
    <row r="2991">
      <c r="A2991" t="n" s="0">
        <v>-70.1</v>
      </c>
      <c r="B2991" t="n" s="0">
        <f>(-5-((((-5*(-5/((-5/(((-5*(-70.1--5))-(-5+((-5*-70.1)*(((-5--5)+(-70.1--5))+-70.1))))-(-5+-5)))*-5)))/-5)--5)+(-5*(((-70.1*(-70.1-(-5/-5)))*(-70.1-(-70.1/(-5*-70.1))))-(-5/-5)))))</f>
        <v>-1732415.825</v>
      </c>
      <c r="C2991" t="n" s="0">
        <v>-1732415.8249999995</v>
      </c>
    </row>
    <row r="2992">
      <c r="A2992" t="n" s="0">
        <v>-70.09</v>
      </c>
      <c r="B2992" t="n" s="0">
        <f>(-5-((((-5*(-5/((-5/(((-5*(-70.09--5))-(-5+((-5*-70.09)*(((-5--5)+(-70.09--5))+-70.09))))-(-5+-5)))*-5)))/-5)--5)+(-5*(((-70.09*(-70.09-(-5/-5)))*(-70.09-(-70.09/(-5*-70.09))))-(-5/-5)))))</f>
        <v>-1731675.9948449999</v>
      </c>
      <c r="C2992" t="n" s="0">
        <v>-1731675.994845</v>
      </c>
    </row>
    <row r="2993">
      <c r="A2993" t="n" s="0">
        <v>-70.08</v>
      </c>
      <c r="B2993" t="n" s="0">
        <f>(-5-((((-5*(-5/((-5/(((-5*(-70.08--5))-(-5+((-5*-70.08)*(((-5--5)+(-70.08--5))+-70.08))))-(-5+-5)))*-5)))/-5)--5)+(-5*(((-70.08*(-70.08-(-5/-5)))*(-70.08-(-70.08/(-5*-70.08))))-(-5/-5)))))</f>
        <v>-1730936.37536</v>
      </c>
      <c r="C2993" t="n" s="0">
        <v>-1730936.37536</v>
      </c>
    </row>
    <row r="2994">
      <c r="A2994" t="n" s="0">
        <v>-70.07</v>
      </c>
      <c r="B2994" t="n" s="0">
        <f>(-5-((((-5*(-5/((-5/(((-5*(-70.07--5))-(-5+((-5*-70.07)*(((-5--5)+(-70.07--5))+-70.07))))-(-5+-5)))*-5)))/-5)--5)+(-5*(((-70.07*(-70.07-(-5/-5)))*(-70.07-(-70.07/(-5*-70.07))))-(-5/-5)))))</f>
        <v>-1730196.966515</v>
      </c>
      <c r="C2994" t="n" s="0">
        <v>-1730196.9665149995</v>
      </c>
    </row>
    <row r="2995">
      <c r="A2995" t="n" s="0">
        <v>-70.06</v>
      </c>
      <c r="B2995" t="n" s="0">
        <f>(-5-((((-5*(-5/((-5/(((-5*(-70.06--5))-(-5+((-5*-70.06)*(((-5--5)+(-70.06--5))+-70.06))))-(-5+-5)))*-5)))/-5)--5)+(-5*(((-70.06*(-70.06-(-5/-5)))*(-70.06-(-70.06/(-5*-70.06))))-(-5/-5)))))</f>
        <v>-1729457.76828</v>
      </c>
      <c r="C2995" t="n" s="0">
        <v>-1729457.76828</v>
      </c>
    </row>
    <row r="2996">
      <c r="A2996" t="n" s="0">
        <v>-70.05</v>
      </c>
      <c r="B2996" t="n" s="0">
        <f>(-5-((((-5*(-5/((-5/(((-5*(-70.05--5))-(-5+((-5*-70.05)*(((-5--5)+(-70.05--5))+-70.05))))-(-5+-5)))*-5)))/-5)--5)+(-5*(((-70.05*(-70.05-(-5/-5)))*(-70.05-(-70.05/(-5*-70.05))))-(-5/-5)))))</f>
        <v>-1728718.7806250001</v>
      </c>
      <c r="C2996" t="n" s="0">
        <v>-1728718.7806249997</v>
      </c>
    </row>
    <row r="2997">
      <c r="A2997" t="n" s="0">
        <v>-70.04</v>
      </c>
      <c r="B2997" t="n" s="0">
        <f>(-5-((((-5*(-5/((-5/(((-5*(-70.04--5))-(-5+((-5*-70.04)*(((-5--5)+(-70.04--5))+-70.04))))-(-5+-5)))*-5)))/-5)--5)+(-5*(((-70.04*(-70.04-(-5/-5)))*(-70.04-(-70.04/(-5*-70.04))))-(-5/-5)))))</f>
        <v>-1727980.00352</v>
      </c>
      <c r="C2997" t="n" s="0">
        <v>-1727980.0035200007</v>
      </c>
    </row>
    <row r="2998">
      <c r="A2998" t="n" s="0">
        <v>-70.03</v>
      </c>
      <c r="B2998" t="n" s="0">
        <f>(-5-((((-5*(-5/((-5/(((-5*(-70.03--5))-(-5+((-5*-70.03)*(((-5--5)+(-70.03--5))+-70.03))))-(-5+-5)))*-5)))/-5)--5)+(-5*(((-70.03*(-70.03-(-5/-5)))*(-70.03-(-70.03/(-5*-70.03))))-(-5/-5)))))</f>
        <v>-1727241.436935</v>
      </c>
      <c r="C2998" t="n" s="0">
        <v>-1727241.4369350004</v>
      </c>
    </row>
    <row r="2999">
      <c r="A2999" t="n" s="0">
        <v>-70.02</v>
      </c>
      <c r="B2999" t="n" s="0">
        <f>(-5-((((-5*(-5/((-5/(((-5*(-70.02--5))-(-5+((-5*-70.02)*(((-5--5)+(-70.02--5))+-70.02))))-(-5+-5)))*-5)))/-5)--5)+(-5*(((-70.02*(-70.02-(-5/-5)))*(-70.02-(-70.02/(-5*-70.02))))-(-5/-5)))))</f>
        <v>-1726503.08084</v>
      </c>
      <c r="C2999" t="n" s="0">
        <v>-1726503.0808399995</v>
      </c>
    </row>
    <row r="3000">
      <c r="A3000" t="n" s="0">
        <v>-70.01</v>
      </c>
      <c r="B3000" t="n" s="0">
        <f>(-5-((((-5*(-5/((-5/(((-5*(-70.01--5))-(-5+((-5*-70.01)*(((-5--5)+(-70.01--5))+-70.01))))-(-5+-5)))*-5)))/-5)--5)+(-5*(((-70.01*(-70.01-(-5/-5)))*(-70.01-(-70.01/(-5*-70.01))))-(-5/-5)))))</f>
        <v>-1725764.935205</v>
      </c>
      <c r="C3000" t="n" s="0">
        <v>-1725764.9352050002</v>
      </c>
    </row>
    <row r="3001">
      <c r="A3001" t="n" s="0">
        <v>-70.0</v>
      </c>
      <c r="B3001" t="n" s="0">
        <f>(-5-((((-5*(-5/((-5/(((-5*(-70--5))-(-5+((-5*-70)*(((-5--5)+(-70--5))+-70))))-(-5+-5)))*-5)))/-5)--5)+(-5*(((-70*(-70-(-5/-5)))*(-70-(-70/(-5*-70))))-(-5/-5)))))</f>
        <v>-1725027.0</v>
      </c>
      <c r="C3001" t="n" s="0">
        <v>-1725027.0</v>
      </c>
    </row>
    <row r="3002">
      <c r="A3002" t="n" s="0">
        <v>-69.99</v>
      </c>
      <c r="B3002" t="n" s="0">
        <f>(-5-((((-5*(-5/((-5/(((-5*(-69.99--5))-(-5+((-5*-69.99)*(((-5--5)+(-69.99--5))+-69.99))))-(-5+-5)))*-5)))/-5)--5)+(-5*(((-69.99*(-69.99-(-5/-5)))*(-69.99-(-69.99/(-5*-69.99))))-(-5/-5)))))</f>
        <v>-1724289.2751950002</v>
      </c>
      <c r="C3002" t="n" s="0">
        <v>-1724289.2751949998</v>
      </c>
    </row>
    <row r="3003">
      <c r="A3003" t="n" s="0">
        <v>-69.98</v>
      </c>
      <c r="B3003" t="n" s="0">
        <f>(-5-((((-5*(-5/((-5/(((-5*(-69.98--5))-(-5+((-5*-69.98)*(((-5--5)+(-69.98--5))+-69.98))))-(-5+-5)))*-5)))/-5)--5)+(-5*(((-69.98*(-69.98-(-5/-5)))*(-69.98-(-69.98/(-5*-69.98))))-(-5/-5)))))</f>
        <v>-1723551.76076</v>
      </c>
      <c r="C3003" t="n" s="0">
        <v>-1723551.7607600004</v>
      </c>
    </row>
    <row r="3004">
      <c r="A3004" t="n" s="0">
        <v>-69.97</v>
      </c>
      <c r="B3004" t="n" s="0">
        <f>(-5-((((-5*(-5/((-5/(((-5*(-69.97--5))-(-5+((-5*-69.97)*(((-5--5)+(-69.97--5))+-69.97))))-(-5+-5)))*-5)))/-5)--5)+(-5*(((-69.97*(-69.97-(-5/-5)))*(-69.97-(-69.97/(-5*-69.97))))-(-5/-5)))))</f>
        <v>-1722814.456665</v>
      </c>
      <c r="C3004" t="n" s="0">
        <v>-1722814.456665</v>
      </c>
    </row>
    <row r="3005">
      <c r="A3005" t="n" s="0">
        <v>-69.96</v>
      </c>
      <c r="B3005" t="n" s="0">
        <f>(-5-((((-5*(-5/((-5/(((-5*(-69.96--5))-(-5+((-5*-69.96)*(((-5--5)+(-69.96--5))+-69.96))))-(-5+-5)))*-5)))/-5)--5)+(-5*(((-69.96*(-69.96-(-5/-5)))*(-69.96-(-69.96/(-5*-69.96))))-(-5/-5)))))</f>
        <v>-1722077.36288</v>
      </c>
      <c r="C3005" t="n" s="0">
        <v>-1722077.3628799994</v>
      </c>
    </row>
    <row r="3006">
      <c r="A3006" t="n" s="0">
        <v>-69.95</v>
      </c>
      <c r="B3006" t="n" s="0">
        <f>(-5-((((-5*(-5/((-5/(((-5*(-69.95--5))-(-5+((-5*-69.95)*(((-5--5)+(-69.95--5))+-69.95))))-(-5+-5)))*-5)))/-5)--5)+(-5*(((-69.95*(-69.95-(-5/-5)))*(-69.95-(-69.95/(-5*-69.95))))-(-5/-5)))))</f>
        <v>-1721340.4793749999</v>
      </c>
      <c r="C3006" t="n" s="0">
        <v>-1721340.4793750003</v>
      </c>
    </row>
    <row r="3007">
      <c r="A3007" t="n" s="0">
        <v>-69.94</v>
      </c>
      <c r="B3007" t="n" s="0">
        <f>(-5-((((-5*(-5/((-5/(((-5*(-69.94--5))-(-5+((-5*-69.94)*(((-5--5)+(-69.94--5))+-69.94))))-(-5+-5)))*-5)))/-5)--5)+(-5*(((-69.94*(-69.94-(-5/-5)))*(-69.94-(-69.94/(-5*-69.94))))-(-5/-5)))))</f>
        <v>-1720603.8061199998</v>
      </c>
      <c r="C3007" t="n" s="0">
        <v>-1720603.80612</v>
      </c>
    </row>
    <row r="3008">
      <c r="A3008" t="n" s="0">
        <v>-69.93</v>
      </c>
      <c r="B3008" t="n" s="0">
        <f>(-5-((((-5*(-5/((-5/(((-5*(-69.93--5))-(-5+((-5*-69.93)*(((-5--5)+(-69.93--5))+-69.93))))-(-5+-5)))*-5)))/-5)--5)+(-5*(((-69.93*(-69.93-(-5/-5)))*(-69.93-(-69.93/(-5*-69.93))))-(-5/-5)))))</f>
        <v>-1719867.343085</v>
      </c>
      <c r="C3008" t="n" s="0">
        <v>-1719867.3430850005</v>
      </c>
    </row>
    <row r="3009">
      <c r="A3009" t="n" s="0">
        <v>-69.92</v>
      </c>
      <c r="B3009" t="n" s="0">
        <f>(-5-((((-5*(-5/((-5/(((-5*(-69.92--5))-(-5+((-5*-69.92)*(((-5--5)+(-69.92--5))+-69.92))))-(-5+-5)))*-5)))/-5)--5)+(-5*(((-69.92*(-69.92-(-5/-5)))*(-69.92-(-69.92/(-5*-69.92))))-(-5/-5)))))</f>
        <v>-1719131.0902399998</v>
      </c>
      <c r="C3009" t="n" s="0">
        <v>-1719131.0902400003</v>
      </c>
    </row>
    <row r="3010">
      <c r="A3010" t="n" s="0">
        <v>-69.91</v>
      </c>
      <c r="B3010" t="n" s="0">
        <f>(-5-((((-5*(-5/((-5/(((-5*(-69.91--5))-(-5+((-5*-69.91)*(((-5--5)+(-69.91--5))+-69.91))))-(-5+-5)))*-5)))/-5)--5)+(-5*(((-69.91*(-69.91-(-5/-5)))*(-69.91-(-69.91/(-5*-69.91))))-(-5/-5)))))</f>
        <v>-1718395.0475549998</v>
      </c>
      <c r="C3010" t="n" s="0">
        <v>-1718395.0475549996</v>
      </c>
    </row>
    <row r="3011">
      <c r="A3011" t="n" s="0">
        <v>-69.9</v>
      </c>
      <c r="B3011" t="n" s="0">
        <f>(-5-((((-5*(-5/((-5/(((-5*(-69.9--5))-(-5+((-5*-69.9)*(((-5--5)+(-69.9--5))+-69.9))))-(-5+-5)))*-5)))/-5)--5)+(-5*(((-69.9*(-69.9-(-5/-5)))*(-69.9-(-69.9/(-5*-69.9))))-(-5/-5)))))</f>
        <v>-1717659.215</v>
      </c>
      <c r="C3011" t="n" s="0">
        <v>-1717659.2150000005</v>
      </c>
    </row>
    <row r="3012">
      <c r="A3012" t="n" s="0">
        <v>-69.89</v>
      </c>
      <c r="B3012" t="n" s="0">
        <f>(-5-((((-5*(-5/((-5/(((-5*(-69.89--5))-(-5+((-5*-69.89)*(((-5--5)+(-69.89--5))+-69.89))))-(-5+-5)))*-5)))/-5)--5)+(-5*(((-69.89*(-69.89-(-5/-5)))*(-69.89-(-69.89/(-5*-69.89))))-(-5/-5)))))</f>
        <v>-1716923.592545</v>
      </c>
      <c r="C3012" t="n" s="0">
        <v>-1716923.5925450001</v>
      </c>
    </row>
    <row r="3013">
      <c r="A3013" t="n" s="0">
        <v>-69.88</v>
      </c>
      <c r="B3013" t="n" s="0">
        <f>(-5-((((-5*(-5/((-5/(((-5*(-69.88--5))-(-5+((-5*-69.88)*(((-5--5)+(-69.88--5))+-69.88))))-(-5+-5)))*-5)))/-5)--5)+(-5*(((-69.88*(-69.88-(-5/-5)))*(-69.88-(-69.88/(-5*-69.88))))-(-5/-5)))))</f>
        <v>-1716188.18016</v>
      </c>
      <c r="C3013" t="n" s="0">
        <v>-1716188.1801599995</v>
      </c>
    </row>
    <row r="3014">
      <c r="A3014" t="n" s="0">
        <v>-69.87</v>
      </c>
      <c r="B3014" t="n" s="0">
        <f>(-5-((((-5*(-5/((-5/(((-5*(-69.87--5))-(-5+((-5*-69.87)*(((-5--5)+(-69.87--5))+-69.87))))-(-5+-5)))*-5)))/-5)--5)+(-5*(((-69.87*(-69.87-(-5/-5)))*(-69.87-(-69.87/(-5*-69.87))))-(-5/-5)))))</f>
        <v>-1715452.977815</v>
      </c>
      <c r="C3014" t="n" s="0">
        <v>-1715452.9778150006</v>
      </c>
    </row>
    <row r="3015">
      <c r="A3015" t="n" s="0">
        <v>-69.86</v>
      </c>
      <c r="B3015" t="n" s="0">
        <f>(-5-((((-5*(-5/((-5/(((-5*(-69.86--5))-(-5+((-5*-69.86)*(((-5--5)+(-69.86--5))+-69.86))))-(-5+-5)))*-5)))/-5)--5)+(-5*(((-69.86*(-69.86-(-5/-5)))*(-69.86-(-69.86/(-5*-69.86))))-(-5/-5)))))</f>
        <v>-1714717.9854799998</v>
      </c>
      <c r="C3015" t="n" s="0">
        <v>-1714717.98548</v>
      </c>
    </row>
    <row r="3016">
      <c r="A3016" t="n" s="0">
        <v>-69.85</v>
      </c>
      <c r="B3016" t="n" s="0">
        <f>(-5-((((-5*(-5/((-5/(((-5*(-69.85--5))-(-5+((-5*-69.85)*(((-5--5)+(-69.85--5))+-69.85))))-(-5+-5)))*-5)))/-5)--5)+(-5*(((-69.85*(-69.85-(-5/-5)))*(-69.85-(-69.85/(-5*-69.85))))-(-5/-5)))))</f>
        <v>-1713983.203125</v>
      </c>
      <c r="C3016" t="n" s="0">
        <v>-1713983.2031249993</v>
      </c>
    </row>
    <row r="3017">
      <c r="A3017" t="n" s="0">
        <v>-69.84</v>
      </c>
      <c r="B3017" t="n" s="0">
        <f>(-5-((((-5*(-5/((-5/(((-5*(-69.84--5))-(-5+((-5*-69.84)*(((-5--5)+(-69.84--5))+-69.84))))-(-5+-5)))*-5)))/-5)--5)+(-5*(((-69.84*(-69.84-(-5/-5)))*(-69.84-(-69.84/(-5*-69.84))))-(-5/-5)))))</f>
        <v>-1713248.63072</v>
      </c>
      <c r="C3017" t="n" s="0">
        <v>-1713248.6307200005</v>
      </c>
    </row>
    <row r="3018">
      <c r="A3018" t="n" s="0">
        <v>-69.83</v>
      </c>
      <c r="B3018" t="n" s="0">
        <f>(-5-((((-5*(-5/((-5/(((-5*(-69.83--5))-(-5+((-5*-69.83)*(((-5--5)+(-69.83--5))+-69.83))))-(-5+-5)))*-5)))/-5)--5)+(-5*(((-69.83*(-69.83-(-5/-5)))*(-69.83-(-69.83/(-5*-69.83))))-(-5/-5)))))</f>
        <v>-1712514.268235</v>
      </c>
      <c r="C3018" t="n" s="0">
        <v>-1712514.2682349999</v>
      </c>
    </row>
    <row r="3019">
      <c r="A3019" t="n" s="0">
        <v>-69.82</v>
      </c>
      <c r="B3019" t="n" s="0">
        <f>(-5-((((-5*(-5/((-5/(((-5*(-69.82--5))-(-5+((-5*-69.82)*(((-5--5)+(-69.82--5))+-69.82))))-(-5+-5)))*-5)))/-5)--5)+(-5*(((-69.82*(-69.82-(-5/-5)))*(-69.82-(-69.82/(-5*-69.82))))-(-5/-5)))))</f>
        <v>-1711780.1156400002</v>
      </c>
      <c r="C3019" t="n" s="0">
        <v>-1711780.1156399993</v>
      </c>
    </row>
    <row r="3020">
      <c r="A3020" t="n" s="0">
        <v>-69.81</v>
      </c>
      <c r="B3020" t="n" s="0">
        <f>(-5-((((-5*(-5/((-5/(((-5*(-69.81--5))-(-5+((-5*-69.81)*(((-5--5)+(-69.81--5))+-69.81))))-(-5+-5)))*-5)))/-5)--5)+(-5*(((-69.81*(-69.81-(-5/-5)))*(-69.81-(-69.81/(-5*-69.81))))-(-5/-5)))))</f>
        <v>-1711046.1729050002</v>
      </c>
      <c r="C3020" t="n" s="0">
        <v>-1711046.1729050002</v>
      </c>
    </row>
    <row r="3021">
      <c r="A3021" t="n" s="0">
        <v>-69.8</v>
      </c>
      <c r="B3021" t="n" s="0">
        <f>(-5-((((-5*(-5/((-5/(((-5*(-69.8--5))-(-5+((-5*-69.8)*(((-5--5)+(-69.8--5))+-69.8))))-(-5+-5)))*-5)))/-5)--5)+(-5*(((-69.8*(-69.8-(-5/-5)))*(-69.8-(-69.8/(-5*-69.8))))-(-5/-5)))))</f>
        <v>-1710312.4400000002</v>
      </c>
      <c r="C3021" t="n" s="0">
        <v>-1710312.4399999997</v>
      </c>
    </row>
    <row r="3022">
      <c r="A3022" t="n" s="0">
        <v>-69.79</v>
      </c>
      <c r="B3022" t="n" s="0">
        <f>(-5-((((-5*(-5/((-5/(((-5*(-69.79--5))-(-5+((-5*-69.79)*(((-5--5)+(-69.79--5))+-69.79))))-(-5+-5)))*-5)))/-5)--5)+(-5*(((-69.79*(-69.79-(-5/-5)))*(-69.79-(-69.79/(-5*-69.79))))-(-5/-5)))))</f>
        <v>-1709578.916895</v>
      </c>
      <c r="C3022" t="n" s="0">
        <v>-1709578.9168950005</v>
      </c>
    </row>
    <row r="3023">
      <c r="A3023" t="n" s="0">
        <v>-69.78</v>
      </c>
      <c r="B3023" t="n" s="0">
        <f>(-5-((((-5*(-5/((-5/(((-5*(-69.78--5))-(-5+((-5*-69.78)*(((-5--5)+(-69.78--5))+-69.78))))-(-5+-5)))*-5)))/-5)--5)+(-5*(((-69.78*(-69.78-(-5/-5)))*(-69.78-(-69.78/(-5*-69.78))))-(-5/-5)))))</f>
        <v>-1708845.60356</v>
      </c>
      <c r="C3023" t="n" s="0">
        <v>-1708845.6035600002</v>
      </c>
    </row>
    <row r="3024">
      <c r="A3024" t="n" s="0">
        <v>-69.77</v>
      </c>
      <c r="B3024" t="n" s="0">
        <f>(-5-((((-5*(-5/((-5/(((-5*(-69.77--5))-(-5+((-5*-69.77)*(((-5--5)+(-69.77--5))+-69.77))))-(-5+-5)))*-5)))/-5)--5)+(-5*(((-69.77*(-69.77-(-5/-5)))*(-69.77-(-69.77/(-5*-69.77))))-(-5/-5)))))</f>
        <v>-1708112.499965</v>
      </c>
      <c r="C3024" t="n" s="0">
        <v>-1708112.499965</v>
      </c>
    </row>
    <row r="3025">
      <c r="A3025" t="n" s="0">
        <v>-69.76</v>
      </c>
      <c r="B3025" t="n" s="0">
        <f>(-5-((((-5*(-5/((-5/(((-5*(-69.76--5))-(-5+((-5*-69.76)*(((-5--5)+(-69.76--5))+-69.76))))-(-5+-5)))*-5)))/-5)--5)+(-5*(((-69.76*(-69.76-(-5/-5)))*(-69.76-(-69.76/(-5*-69.76))))-(-5/-5)))))</f>
        <v>-1707379.6060799998</v>
      </c>
      <c r="C3025" t="n" s="0">
        <v>-1707379.6060800003</v>
      </c>
    </row>
    <row r="3026">
      <c r="A3026" t="n" s="0">
        <v>-69.75</v>
      </c>
      <c r="B3026" t="n" s="0">
        <f>(-5-((((-5*(-5/((-5/(((-5*(-69.75--5))-(-5+((-5*-69.75)*(((-5--5)+(-69.75--5))+-69.75))))-(-5+-5)))*-5)))/-5)--5)+(-5*(((-69.75*(-69.75-(-5/-5)))*(-69.75-(-69.75/(-5*-69.75))))-(-5/-5)))))</f>
        <v>-1706646.921875</v>
      </c>
      <c r="C3026" t="n" s="0">
        <v>-1706646.921875</v>
      </c>
    </row>
    <row r="3027">
      <c r="A3027" t="n" s="0">
        <v>-69.74</v>
      </c>
      <c r="B3027" t="n" s="0">
        <f>(-5-((((-5*(-5/((-5/(((-5*(-69.74--5))-(-5+((-5*-69.74)*(((-5--5)+(-69.74--5))+-69.74))))-(-5+-5)))*-5)))/-5)--5)+(-5*(((-69.74*(-69.74-(-5/-5)))*(-69.74-(-69.74/(-5*-69.74))))-(-5/-5)))))</f>
        <v>-1705914.4473199998</v>
      </c>
      <c r="C3027" t="n" s="0">
        <v>-1705914.4473199996</v>
      </c>
    </row>
    <row r="3028">
      <c r="A3028" t="n" s="0">
        <v>-69.73</v>
      </c>
      <c r="B3028" t="n" s="0">
        <f>(-5-((((-5*(-5/((-5/(((-5*(-69.73--5))-(-5+((-5*-69.73)*(((-5--5)+(-69.73--5))+-69.73))))-(-5+-5)))*-5)))/-5)--5)+(-5*(((-69.73*(-69.73-(-5/-5)))*(-69.73-(-69.73/(-5*-69.73))))-(-5/-5)))))</f>
        <v>-1705182.182385</v>
      </c>
      <c r="C3028" t="n" s="0">
        <v>-1705182.1823850004</v>
      </c>
    </row>
    <row r="3029">
      <c r="A3029" t="n" s="0">
        <v>-69.72</v>
      </c>
      <c r="B3029" t="n" s="0">
        <f>(-5-((((-5*(-5/((-5/(((-5*(-69.72--5))-(-5+((-5*-69.72)*(((-5--5)+(-69.72--5))+-69.72))))-(-5+-5)))*-5)))/-5)--5)+(-5*(((-69.72*(-69.72-(-5/-5)))*(-69.72-(-69.72/(-5*-69.72))))-(-5/-5)))))</f>
        <v>-1704450.12704</v>
      </c>
      <c r="C3029" t="n" s="0">
        <v>-1704450.12704</v>
      </c>
    </row>
    <row r="3030">
      <c r="A3030" t="n" s="0">
        <v>-69.71</v>
      </c>
      <c r="B3030" t="n" s="0">
        <f>(-5-((((-5*(-5/((-5/(((-5*(-69.71--5))-(-5+((-5*-69.71)*(((-5--5)+(-69.71--5))+-69.71))))-(-5+-5)))*-5)))/-5)--5)+(-5*(((-69.71*(-69.71-(-5/-5)))*(-69.71-(-69.71/(-5*-69.71))))-(-5/-5)))))</f>
        <v>-1703718.281255</v>
      </c>
      <c r="C3030" t="n" s="0">
        <v>-1703718.2812549996</v>
      </c>
    </row>
    <row r="3031">
      <c r="A3031" t="n" s="0">
        <v>-69.7</v>
      </c>
      <c r="B3031" t="n" s="0">
        <f>(-5-((((-5*(-5/((-5/(((-5*(-69.7--5))-(-5+((-5*-69.7)*(((-5--5)+(-69.7--5))+-69.7))))-(-5+-5)))*-5)))/-5)--5)+(-5*(((-69.7*(-69.7-(-5/-5)))*(-69.7-(-69.7/(-5*-69.7))))-(-5/-5)))))</f>
        <v>-1702986.645</v>
      </c>
      <c r="C3031" t="n" s="0">
        <v>-1702986.6450000003</v>
      </c>
    </row>
    <row r="3032">
      <c r="A3032" t="n" s="0">
        <v>-69.69</v>
      </c>
      <c r="B3032" t="n" s="0">
        <f>(-5-((((-5*(-5/((-5/(((-5*(-69.69--5))-(-5+((-5*-69.69)*(((-5--5)+(-69.69--5))+-69.69))))-(-5+-5)))*-5)))/-5)--5)+(-5*(((-69.69*(-69.69-(-5/-5)))*(-69.69-(-69.69/(-5*-69.69))))-(-5/-5)))))</f>
        <v>-1702255.218245</v>
      </c>
      <c r="C3032" t="n" s="0">
        <v>-1702255.2182449999</v>
      </c>
    </row>
    <row r="3033">
      <c r="A3033" t="n" s="0">
        <v>-69.68</v>
      </c>
      <c r="B3033" t="n" s="0">
        <f>(-5-((((-5*(-5/((-5/(((-5*(-69.68--5))-(-5+((-5*-69.68)*(((-5--5)+(-69.68--5))+-69.68))))-(-5+-5)))*-5)))/-5)--5)+(-5*(((-69.68*(-69.68-(-5/-5)))*(-69.68-(-69.68/(-5*-69.68))))-(-5/-5)))))</f>
        <v>-1701524.0009599999</v>
      </c>
      <c r="C3033" t="n" s="0">
        <v>-1701524.0009600006</v>
      </c>
    </row>
    <row r="3034">
      <c r="A3034" t="n" s="0">
        <v>-69.67</v>
      </c>
      <c r="B3034" t="n" s="0">
        <f>(-5-((((-5*(-5/((-5/(((-5*(-69.67--5))-(-5+((-5*-69.67)*(((-5--5)+(-69.67--5))+-69.67))))-(-5+-5)))*-5)))/-5)--5)+(-5*(((-69.67*(-69.67-(-5/-5)))*(-69.67-(-69.67/(-5*-69.67))))-(-5/-5)))))</f>
        <v>-1700792.9931150002</v>
      </c>
      <c r="C3034" t="n" s="0">
        <v>-1700792.993115</v>
      </c>
    </row>
    <row r="3035">
      <c r="A3035" t="n" s="0">
        <v>-69.66</v>
      </c>
      <c r="B3035" t="n" s="0">
        <f>(-5-((((-5*(-5/((-5/(((-5*(-69.66--5))-(-5+((-5*-69.66)*(((-5--5)+(-69.66--5))+-69.66))))-(-5+-5)))*-5)))/-5)--5)+(-5*(((-69.66*(-69.66-(-5/-5)))*(-69.66-(-69.66/(-5*-69.66))))-(-5/-5)))))</f>
        <v>-1700062.19468</v>
      </c>
      <c r="C3035" t="n" s="0">
        <v>-1700062.19468</v>
      </c>
    </row>
    <row r="3036">
      <c r="A3036" t="n" s="0">
        <v>-69.65</v>
      </c>
      <c r="B3036" t="n" s="0">
        <f>(-5-((((-5*(-5/((-5/(((-5*(-69.65--5))-(-5+((-5*-69.65)*(((-5--5)+(-69.65--5))+-69.65))))-(-5+-5)))*-5)))/-5)--5)+(-5*(((-69.65*(-69.65-(-5/-5)))*(-69.65-(-69.65/(-5*-69.65))))-(-5/-5)))))</f>
        <v>-1699331.605625</v>
      </c>
      <c r="C3036" t="n" s="0">
        <v>-1699331.6056250005</v>
      </c>
    </row>
    <row r="3037">
      <c r="A3037" t="n" s="0">
        <v>-69.64</v>
      </c>
      <c r="B3037" t="n" s="0">
        <f>(-5-((((-5*(-5/((-5/(((-5*(-69.64--5))-(-5+((-5*-69.64)*(((-5--5)+(-69.64--5))+-69.64))))-(-5+-5)))*-5)))/-5)--5)+(-5*(((-69.64*(-69.64-(-5/-5)))*(-69.64-(-69.64/(-5*-69.64))))-(-5/-5)))))</f>
        <v>-1698601.2259199999</v>
      </c>
      <c r="C3037" t="n" s="0">
        <v>-1698601.2259199999</v>
      </c>
    </row>
    <row r="3038">
      <c r="A3038" t="n" s="0">
        <v>-69.63</v>
      </c>
      <c r="B3038" t="n" s="0">
        <f>(-5-((((-5*(-5/((-5/(((-5*(-69.63--5))-(-5+((-5*-69.63)*(((-5--5)+(-69.63--5))+-69.63))))-(-5+-5)))*-5)))/-5)--5)+(-5*(((-69.63*(-69.63-(-5/-5)))*(-69.63-(-69.63/(-5*-69.63))))-(-5/-5)))))</f>
        <v>-1697871.055535</v>
      </c>
      <c r="C3038" t="n" s="0">
        <v>-1697871.0555349996</v>
      </c>
    </row>
    <row r="3039">
      <c r="A3039" t="n" s="0">
        <v>-69.62</v>
      </c>
      <c r="B3039" t="n" s="0">
        <f>(-5-((((-5*(-5/((-5/(((-5*(-69.62--5))-(-5+((-5*-69.62)*(((-5--5)+(-69.62--5))+-69.62))))-(-5+-5)))*-5)))/-5)--5)+(-5*(((-69.62*(-69.62-(-5/-5)))*(-69.62-(-69.62/(-5*-69.62))))-(-5/-5)))))</f>
        <v>-1697141.09444</v>
      </c>
      <c r="C3039" t="n" s="0">
        <v>-1697141.0944400006</v>
      </c>
    </row>
    <row r="3040">
      <c r="A3040" t="n" s="0">
        <v>-69.61</v>
      </c>
      <c r="B3040" t="n" s="0">
        <f>(-5-((((-5*(-5/((-5/(((-5*(-69.61--5))-(-5+((-5*-69.61)*(((-5--5)+(-69.61--5))+-69.61))))-(-5+-5)))*-5)))/-5)--5)+(-5*(((-69.61*(-69.61-(-5/-5)))*(-69.61-(-69.61/(-5*-69.61))))-(-5/-5)))))</f>
        <v>-1696411.342605</v>
      </c>
      <c r="C3040" t="n" s="0">
        <v>-1696411.342605</v>
      </c>
    </row>
    <row r="3041">
      <c r="A3041" t="n" s="0">
        <v>-69.6</v>
      </c>
      <c r="B3041" t="n" s="0">
        <f>(-5-((((-5*(-5/((-5/(((-5*(-69.6--5))-(-5+((-5*-69.6)*(((-5--5)+(-69.6--5))+-69.6))))-(-5+-5)))*-5)))/-5)--5)+(-5*(((-69.6*(-69.6-(-5/-5)))*(-69.6-(-69.6/(-5*-69.6))))-(-5/-5)))))</f>
        <v>-1695681.8</v>
      </c>
      <c r="C3041" t="n" s="0">
        <v>-1695681.7999999996</v>
      </c>
    </row>
    <row r="3042">
      <c r="A3042" t="n" s="0">
        <v>-69.59</v>
      </c>
      <c r="B3042" t="n" s="0">
        <f>(-5-((((-5*(-5/((-5/(((-5*(-69.59--5))-(-5+((-5*-69.59)*(((-5--5)+(-69.59--5))+-69.59))))-(-5+-5)))*-5)))/-5)--5)+(-5*(((-69.59*(-69.59-(-5/-5)))*(-69.59-(-69.59/(-5*-69.59))))-(-5/-5)))))</f>
        <v>-1694952.466595</v>
      </c>
      <c r="C3042" t="n" s="0">
        <v>-1694952.4665950001</v>
      </c>
    </row>
    <row r="3043">
      <c r="A3043" t="n" s="0">
        <v>-69.58</v>
      </c>
      <c r="B3043" t="n" s="0">
        <f>(-5-((((-5*(-5/((-5/(((-5*(-69.58--5))-(-5+((-5*-69.58)*(((-5--5)+(-69.58--5))+-69.58))))-(-5+-5)))*-5)))/-5)--5)+(-5*(((-69.58*(-69.58-(-5/-5)))*(-69.58-(-69.58/(-5*-69.58))))-(-5/-5)))))</f>
        <v>-1694223.34236</v>
      </c>
      <c r="C3043" t="n" s="0">
        <v>-1694223.34236</v>
      </c>
    </row>
    <row r="3044">
      <c r="A3044" t="n" s="0">
        <v>-69.57</v>
      </c>
      <c r="B3044" t="n" s="0">
        <f>(-5-((((-5*(-5/((-5/(((-5*(-69.57--5))-(-5+((-5*-69.57)*(((-5--5)+(-69.57--5))+-69.57))))-(-5+-5)))*-5)))/-5)--5)+(-5*(((-69.57*(-69.57-(-5/-5)))*(-69.57-(-69.57/(-5*-69.57))))-(-5/-5)))))</f>
        <v>-1693494.427265</v>
      </c>
      <c r="C3044" t="n" s="0">
        <v>-1693494.4272649996</v>
      </c>
    </row>
    <row r="3045">
      <c r="A3045" t="n" s="0">
        <v>-69.56</v>
      </c>
      <c r="B3045" t="n" s="0">
        <f>(-5-((((-5*(-5/((-5/(((-5*(-69.56--5))-(-5+((-5*-69.56)*(((-5--5)+(-69.56--5))+-69.56))))-(-5+-5)))*-5)))/-5)--5)+(-5*(((-69.56*(-69.56-(-5/-5)))*(-69.56-(-69.56/(-5*-69.56))))-(-5/-5)))))</f>
        <v>-1692765.72128</v>
      </c>
      <c r="C3045" t="n" s="0">
        <v>-1692765.7212800002</v>
      </c>
    </row>
    <row r="3046">
      <c r="A3046" t="n" s="0">
        <v>-69.55</v>
      </c>
      <c r="B3046" t="n" s="0">
        <f>(-5-((((-5*(-5/((-5/(((-5*(-69.55--5))-(-5+((-5*-69.55)*(((-5--5)+(-69.55--5))+-69.55))))-(-5+-5)))*-5)))/-5)--5)+(-5*(((-69.55*(-69.55-(-5/-5)))*(-69.55-(-69.55/(-5*-69.55))))-(-5/-5)))))</f>
        <v>-1692037.224375</v>
      </c>
      <c r="C3046" t="n" s="0">
        <v>-1692037.2243749995</v>
      </c>
    </row>
    <row r="3047">
      <c r="A3047" t="n" s="0">
        <v>-69.54</v>
      </c>
      <c r="B3047" t="n" s="0">
        <f>(-5-((((-5*(-5/((-5/(((-5*(-69.54--5))-(-5+((-5*-69.54)*(((-5--5)+(-69.54--5))+-69.54))))-(-5+-5)))*-5)))/-5)--5)+(-5*(((-69.54*(-69.54-(-5/-5)))*(-69.54-(-69.54/(-5*-69.54))))-(-5/-5)))))</f>
        <v>-1691308.93652</v>
      </c>
      <c r="C3047" t="n" s="0">
        <v>-1691308.9365200007</v>
      </c>
    </row>
    <row r="3048">
      <c r="A3048" t="n" s="0">
        <v>-69.53</v>
      </c>
      <c r="B3048" t="n" s="0">
        <f>(-5-((((-5*(-5/((-5/(((-5*(-69.53--5))-(-5+((-5*-69.53)*(((-5--5)+(-69.53--5))+-69.53))))-(-5+-5)))*-5)))/-5)--5)+(-5*(((-69.53*(-69.53-(-5/-5)))*(-69.53-(-69.53/(-5*-69.53))))-(-5/-5)))))</f>
        <v>-1690580.8576850002</v>
      </c>
      <c r="C3048" t="n" s="0">
        <v>-1690580.8576850004</v>
      </c>
    </row>
    <row r="3049">
      <c r="A3049" t="n" s="0">
        <v>-69.52</v>
      </c>
      <c r="B3049" t="n" s="0">
        <f>(-5-((((-5*(-5/((-5/(((-5*(-69.52--5))-(-5+((-5*-69.52)*(((-5--5)+(-69.52--5))+-69.52))))-(-5+-5)))*-5)))/-5)--5)+(-5*(((-69.52*(-69.52-(-5/-5)))*(-69.52-(-69.52/(-5*-69.52))))-(-5/-5)))))</f>
        <v>-1689852.98784</v>
      </c>
      <c r="C3049" t="n" s="0">
        <v>-1689852.9878399998</v>
      </c>
    </row>
    <row r="3050">
      <c r="A3050" t="n" s="0">
        <v>-69.51</v>
      </c>
      <c r="B3050" t="n" s="0">
        <f>(-5-((((-5*(-5/((-5/(((-5*(-69.51--5))-(-5+((-5*-69.51)*(((-5--5)+(-69.51--5))+-69.51))))-(-5+-5)))*-5)))/-5)--5)+(-5*(((-69.51*(-69.51-(-5/-5)))*(-69.51-(-69.51/(-5*-69.51))))-(-5/-5)))))</f>
        <v>-1689125.3269550002</v>
      </c>
      <c r="C3050" t="n" s="0">
        <v>-1689125.3269550002</v>
      </c>
    </row>
    <row r="3051">
      <c r="A3051" t="n" s="0">
        <v>-69.5</v>
      </c>
      <c r="B3051" t="n" s="0">
        <f>(-5-((((-5*(-5/((-5/(((-5*(-69.5--5))-(-5+((-5*-69.5)*(((-5--5)+(-69.5--5))+-69.5))))-(-5+-5)))*-5)))/-5)--5)+(-5*(((-69.5*(-69.5-(-5/-5)))*(-69.5-(-69.5/(-5*-69.5))))-(-5/-5)))))</f>
        <v>-1688397.875</v>
      </c>
      <c r="C3051" t="n" s="0">
        <v>-1688397.875</v>
      </c>
    </row>
    <row r="3052">
      <c r="A3052" t="n" s="0">
        <v>-69.49</v>
      </c>
      <c r="B3052" t="n" s="0">
        <f>(-5-((((-5*(-5/((-5/(((-5*(-69.49--5))-(-5+((-5*-69.49)*(((-5--5)+(-69.49--5))+-69.49))))-(-5+-5)))*-5)))/-5)--5)+(-5*(((-69.49*(-69.49-(-5/-5)))*(-69.49-(-69.49/(-5*-69.49))))-(-5/-5)))))</f>
        <v>-1687670.631945</v>
      </c>
      <c r="C3052" t="n" s="0">
        <v>-1687670.6319449998</v>
      </c>
    </row>
    <row r="3053">
      <c r="A3053" t="n" s="0">
        <v>-69.48</v>
      </c>
      <c r="B3053" t="n" s="0">
        <f>(-5-((((-5*(-5/((-5/(((-5*(-69.48--5))-(-5+((-5*-69.48)*(((-5--5)+(-69.48--5))+-69.48))))-(-5+-5)))*-5)))/-5)--5)+(-5*(((-69.48*(-69.48-(-5/-5)))*(-69.48-(-69.48/(-5*-69.48))))-(-5/-5)))))</f>
        <v>-1686943.59776</v>
      </c>
      <c r="C3053" t="n" s="0">
        <v>-1686943.5977600003</v>
      </c>
    </row>
    <row r="3054">
      <c r="A3054" t="n" s="0">
        <v>-69.47</v>
      </c>
      <c r="B3054" t="n" s="0">
        <f>(-5-((((-5*(-5/((-5/(((-5*(-69.47--5))-(-5+((-5*-69.47)*(((-5--5)+(-69.47--5))+-69.47))))-(-5+-5)))*-5)))/-5)--5)+(-5*(((-69.47*(-69.47-(-5/-5)))*(-69.47-(-69.47/(-5*-69.47))))-(-5/-5)))))</f>
        <v>-1686216.772415</v>
      </c>
      <c r="C3054" t="n" s="0">
        <v>-1686216.7724149998</v>
      </c>
    </row>
    <row r="3055">
      <c r="A3055" t="n" s="0">
        <v>-69.46</v>
      </c>
      <c r="B3055" t="n" s="0">
        <f>(-5-((((-5*(-5/((-5/(((-5*(-69.46--5))-(-5+((-5*-69.46)*(((-5--5)+(-69.46--5))+-69.46))))-(-5+-5)))*-5)))/-5)--5)+(-5*(((-69.46*(-69.46-(-5/-5)))*(-69.46-(-69.46/(-5*-69.46))))-(-5/-5)))))</f>
        <v>-1685490.15588</v>
      </c>
      <c r="C3055" t="n" s="0">
        <v>-1685490.1558799995</v>
      </c>
    </row>
    <row r="3056">
      <c r="A3056" t="n" s="0">
        <v>-69.45</v>
      </c>
      <c r="B3056" t="n" s="0">
        <f>(-5-((((-5*(-5/((-5/(((-5*(-69.45--5))-(-5+((-5*-69.45)*(((-5--5)+(-69.45--5))+-69.45))))-(-5+-5)))*-5)))/-5)--5)+(-5*(((-69.45*(-69.45-(-5/-5)))*(-69.45-(-69.45/(-5*-69.45))))-(-5/-5)))))</f>
        <v>-1684763.7481250002</v>
      </c>
      <c r="C3056" t="n" s="0">
        <v>-1684763.7481250004</v>
      </c>
    </row>
    <row r="3057">
      <c r="A3057" t="n" s="0">
        <v>-69.44</v>
      </c>
      <c r="B3057" t="n" s="0">
        <f>(-5-((((-5*(-5/((-5/(((-5*(-69.44--5))-(-5+((-5*-69.44)*(((-5--5)+(-69.44--5))+-69.44))))-(-5+-5)))*-5)))/-5)--5)+(-5*(((-69.44*(-69.44-(-5/-5)))*(-69.44-(-69.44/(-5*-69.44))))-(-5/-5)))))</f>
        <v>-1684037.54912</v>
      </c>
      <c r="C3057" t="n" s="0">
        <v>-1684037.5491199996</v>
      </c>
    </row>
    <row r="3058">
      <c r="A3058" t="n" s="0">
        <v>-69.43</v>
      </c>
      <c r="B3058" t="n" s="0">
        <f>(-5-((((-5*(-5/((-5/(((-5*(-69.43--5))-(-5+((-5*-69.43)*(((-5--5)+(-69.43--5))+-69.43))))-(-5+-5)))*-5)))/-5)--5)+(-5*(((-69.43*(-69.43-(-5/-5)))*(-69.43-(-69.43/(-5*-69.43))))-(-5/-5)))))</f>
        <v>-1683311.558835</v>
      </c>
      <c r="C3058" t="n" s="0">
        <v>-1683311.5588350005</v>
      </c>
    </row>
    <row r="3059">
      <c r="A3059" t="n" s="0">
        <v>-69.42</v>
      </c>
      <c r="B3059" t="n" s="0">
        <f>(-5-((((-5*(-5/((-5/(((-5*(-69.42--5))-(-5+((-5*-69.42)*(((-5--5)+(-69.42--5))+-69.42))))-(-5+-5)))*-5)))/-5)--5)+(-5*(((-69.42*(-69.42-(-5/-5)))*(-69.42-(-69.42/(-5*-69.42))))-(-5/-5)))))</f>
        <v>-1682585.77724</v>
      </c>
      <c r="C3059" t="n" s="0">
        <v>-1682585.7772400002</v>
      </c>
    </row>
    <row r="3060">
      <c r="A3060" t="n" s="0">
        <v>-69.41</v>
      </c>
      <c r="B3060" t="n" s="0">
        <f>(-5-((((-5*(-5/((-5/(((-5*(-69.41--5))-(-5+((-5*-69.41)*(((-5--5)+(-69.41--5))+-69.41))))-(-5+-5)))*-5)))/-5)--5)+(-5*(((-69.41*(-69.41-(-5/-5)))*(-69.41-(-69.41/(-5*-69.41))))-(-5/-5)))))</f>
        <v>-1681860.204305</v>
      </c>
      <c r="C3060" t="n" s="0">
        <v>-1681860.2043049997</v>
      </c>
    </row>
    <row r="3061">
      <c r="A3061" t="n" s="0">
        <v>-69.4</v>
      </c>
      <c r="B3061" t="n" s="0">
        <f>(-5-((((-5*(-5/((-5/(((-5*(-69.4--5))-(-5+((-5*-69.4)*(((-5--5)+(-69.4--5))+-69.4))))-(-5+-5)))*-5)))/-5)--5)+(-5*(((-69.4*(-69.4-(-5/-5)))*(-69.4-(-69.4/(-5*-69.4))))-(-5/-5)))))</f>
        <v>-1681134.8399999999</v>
      </c>
      <c r="C3061" t="n" s="0">
        <v>-1681134.8400000003</v>
      </c>
    </row>
    <row r="3062">
      <c r="A3062" t="n" s="0">
        <v>-69.39</v>
      </c>
      <c r="B3062" t="n" s="0">
        <f>(-5-((((-5*(-5/((-5/(((-5*(-69.39--5))-(-5+((-5*-69.39)*(((-5--5)+(-69.39--5))+-69.39))))-(-5+-5)))*-5)))/-5)--5)+(-5*(((-69.39*(-69.39-(-5/-5)))*(-69.39-(-69.39/(-5*-69.39))))-(-5/-5)))))</f>
        <v>-1680409.684295</v>
      </c>
      <c r="C3062" t="n" s="0">
        <v>-1680409.684295</v>
      </c>
    </row>
    <row r="3063">
      <c r="A3063" t="n" s="0">
        <v>-69.38</v>
      </c>
      <c r="B3063" t="n" s="0">
        <f>(-5-((((-5*(-5/((-5/(((-5*(-69.38--5))-(-5+((-5*-69.38)*(((-5--5)+(-69.38--5))+-69.38))))-(-5+-5)))*-5)))/-5)--5)+(-5*(((-69.38*(-69.38-(-5/-5)))*(-69.38-(-69.38/(-5*-69.38))))-(-5/-5)))))</f>
        <v>-1679684.73716</v>
      </c>
      <c r="C3063" t="n" s="0">
        <v>-1679684.7371599996</v>
      </c>
    </row>
    <row r="3064">
      <c r="A3064" t="n" s="0">
        <v>-69.37</v>
      </c>
      <c r="B3064" t="n" s="0">
        <f>(-5-((((-5*(-5/((-5/(((-5*(-69.37--5))-(-5+((-5*-69.37)*(((-5--5)+(-69.37--5))+-69.37))))-(-5+-5)))*-5)))/-5)--5)+(-5*(((-69.37*(-69.37-(-5/-5)))*(-69.37-(-69.37/(-5*-69.37))))-(-5/-5)))))</f>
        <v>-1678959.998565</v>
      </c>
      <c r="C3064" t="n" s="0">
        <v>-1678959.9985650002</v>
      </c>
    </row>
    <row r="3065">
      <c r="A3065" t="n" s="0">
        <v>-69.36</v>
      </c>
      <c r="B3065" t="n" s="0">
        <f>(-5-((((-5*(-5/((-5/(((-5*(-69.36--5))-(-5+((-5*-69.36)*(((-5--5)+(-69.36--5))+-69.36))))-(-5+-5)))*-5)))/-5)--5)+(-5*(((-69.36*(-69.36-(-5/-5)))*(-69.36-(-69.36/(-5*-69.36))))-(-5/-5)))))</f>
        <v>-1678235.46848</v>
      </c>
      <c r="C3065" t="n" s="0">
        <v>-1678235.46848</v>
      </c>
    </row>
    <row r="3066">
      <c r="A3066" t="n" s="0">
        <v>-69.35</v>
      </c>
      <c r="B3066" t="n" s="0">
        <f>(-5-((((-5*(-5/((-5/(((-5*(-69.35--5))-(-5+((-5*-69.35)*(((-5--5)+(-69.35--5))+-69.35))))-(-5+-5)))*-5)))/-5)--5)+(-5*(((-69.35*(-69.35-(-5/-5)))*(-69.35-(-69.35/(-5*-69.35))))-(-5/-5)))))</f>
        <v>-1677511.1468749999</v>
      </c>
      <c r="C3066" t="n" s="0">
        <v>-1677511.1468749996</v>
      </c>
    </row>
    <row r="3067">
      <c r="A3067" t="n" s="0">
        <v>-69.34</v>
      </c>
      <c r="B3067" t="n" s="0">
        <f>(-5-((((-5*(-5/((-5/(((-5*(-69.34--5))-(-5+((-5*-69.34)*(((-5--5)+(-69.34--5))+-69.34))))-(-5+-5)))*-5)))/-5)--5)+(-5*(((-69.34*(-69.34-(-5/-5)))*(-69.34-(-69.34/(-5*-69.34))))-(-5/-5)))))</f>
        <v>-1676787.03372</v>
      </c>
      <c r="C3067" t="n" s="0">
        <v>-1676787.0337200004</v>
      </c>
    </row>
    <row r="3068">
      <c r="A3068" t="n" s="0">
        <v>-69.33</v>
      </c>
      <c r="B3068" t="n" s="0">
        <f>(-5-((((-5*(-5/((-5/(((-5*(-69.33--5))-(-5+((-5*-69.33)*(((-5--5)+(-69.33--5))+-69.33))))-(-5+-5)))*-5)))/-5)--5)+(-5*(((-69.33*(-69.33-(-5/-5)))*(-69.33-(-69.33/(-5*-69.33))))-(-5/-5)))))</f>
        <v>-1676063.128985</v>
      </c>
      <c r="C3068" t="n" s="0">
        <v>-1676063.128985</v>
      </c>
    </row>
    <row r="3069">
      <c r="A3069" t="n" s="0">
        <v>-69.32</v>
      </c>
      <c r="B3069" t="n" s="0">
        <f>(-5-((((-5*(-5/((-5/(((-5*(-69.32--5))-(-5+((-5*-69.32)*(((-5--5)+(-69.32--5))+-69.32))))-(-5+-5)))*-5)))/-5)--5)+(-5*(((-69.32*(-69.32-(-5/-5)))*(-69.32-(-69.32/(-5*-69.32))))-(-5/-5)))))</f>
        <v>-1675339.43264</v>
      </c>
      <c r="C3069" t="n" s="0">
        <v>-1675339.4326399995</v>
      </c>
    </row>
    <row r="3070">
      <c r="A3070" t="n" s="0">
        <v>-69.31</v>
      </c>
      <c r="B3070" t="n" s="0">
        <f>(-5-((((-5*(-5/((-5/(((-5*(-69.31--5))-(-5+((-5*-69.31)*(((-5--5)+(-69.31--5))+-69.31))))-(-5+-5)))*-5)))/-5)--5)+(-5*(((-69.31*(-69.31-(-5/-5)))*(-69.31-(-69.31/(-5*-69.31))))-(-5/-5)))))</f>
        <v>-1674615.944655</v>
      </c>
      <c r="C3070" t="n" s="0">
        <v>-1674615.944655</v>
      </c>
    </row>
    <row r="3071">
      <c r="A3071" t="n" s="0">
        <v>-69.3</v>
      </c>
      <c r="B3071" t="n" s="0">
        <f>(-5-((((-5*(-5/((-5/(((-5*(-69.3--5))-(-5+((-5*-69.3)*(((-5--5)+(-69.3--5))+-69.3))))-(-5+-5)))*-5)))/-5)--5)+(-5*(((-69.3*(-69.3-(-5/-5)))*(-69.3-(-69.3/(-5*-69.3))))-(-5/-5)))))</f>
        <v>-1673892.665</v>
      </c>
      <c r="C3071" t="n" s="0">
        <v>-1673892.6649999998</v>
      </c>
    </row>
    <row r="3072">
      <c r="A3072" t="n" s="0">
        <v>-69.29</v>
      </c>
      <c r="B3072" t="n" s="0">
        <f>(-5-((((-5*(-5/((-5/(((-5*(-69.29--5))-(-5+((-5*-69.29)*(((-5--5)+(-69.29--5))+-69.29))))-(-5+-5)))*-5)))/-5)--5)+(-5*(((-69.29*(-69.29-(-5/-5)))*(-69.29-(-69.29/(-5*-69.29))))-(-5/-5)))))</f>
        <v>-1673169.5936450001</v>
      </c>
      <c r="C3072" t="n" s="0">
        <v>-1673169.5936450004</v>
      </c>
    </row>
    <row r="3073">
      <c r="A3073" t="n" s="0">
        <v>-69.28</v>
      </c>
      <c r="B3073" t="n" s="0">
        <f>(-5-((((-5*(-5/((-5/(((-5*(-69.28--5))-(-5+((-5*-69.28)*(((-5--5)+(-69.28--5))+-69.28))))-(-5+-5)))*-5)))/-5)--5)+(-5*(((-69.28*(-69.28-(-5/-5)))*(-69.28-(-69.28/(-5*-69.28))))-(-5/-5)))))</f>
        <v>-1672446.73056</v>
      </c>
      <c r="C3073" t="n" s="0">
        <v>-1672446.73056</v>
      </c>
    </row>
    <row r="3074">
      <c r="A3074" t="n" s="0">
        <v>-69.27</v>
      </c>
      <c r="B3074" t="n" s="0">
        <f>(-5-((((-5*(-5/((-5/(((-5*(-69.27--5))-(-5+((-5*-69.27)*(((-5--5)+(-69.27--5))+-69.27))))-(-5+-5)))*-5)))/-5)--5)+(-5*(((-69.27*(-69.27-(-5/-5)))*(-69.27-(-69.27/(-5*-69.27))))-(-5/-5)))))</f>
        <v>-1671724.075715</v>
      </c>
      <c r="C3074" t="n" s="0">
        <v>-1671724.0757149998</v>
      </c>
    </row>
    <row r="3075">
      <c r="A3075" t="n" s="0">
        <v>-69.26</v>
      </c>
      <c r="B3075" t="n" s="0">
        <f>(-5-((((-5*(-5/((-5/(((-5*(-69.26--5))-(-5+((-5*-69.26)*(((-5--5)+(-69.26--5))+-69.26))))-(-5+-5)))*-5)))/-5)--5)+(-5*(((-69.26*(-69.26-(-5/-5)))*(-69.26-(-69.26/(-5*-69.26))))-(-5/-5)))))</f>
        <v>-1671001.6290799999</v>
      </c>
      <c r="C3075" t="n" s="0">
        <v>-1671001.6290800003</v>
      </c>
    </row>
    <row r="3076">
      <c r="A3076" t="n" s="0">
        <v>-69.25</v>
      </c>
      <c r="B3076" t="n" s="0">
        <f>(-5-((((-5*(-5/((-5/(((-5*(-69.25--5))-(-5+((-5*-69.25)*(((-5--5)+(-69.25--5))+-69.25))))-(-5+-5)))*-5)))/-5)--5)+(-5*(((-69.25*(-69.25-(-5/-5)))*(-69.25-(-69.25/(-5*-69.25))))-(-5/-5)))))</f>
        <v>-1670279.390625</v>
      </c>
      <c r="C3076" t="n" s="0">
        <v>-1670279.390625</v>
      </c>
    </row>
    <row r="3077">
      <c r="A3077" t="n" s="0">
        <v>-69.24</v>
      </c>
      <c r="B3077" t="n" s="0">
        <f>(-5-((((-5*(-5/((-5/(((-5*(-69.24--5))-(-5+((-5*-69.24)*(((-5--5)+(-69.24--5))+-69.24))))-(-5+-5)))*-5)))/-5)--5)+(-5*(((-69.24*(-69.24-(-5/-5)))*(-69.24-(-69.24/(-5*-69.24))))-(-5/-5)))))</f>
        <v>-1669557.36032</v>
      </c>
      <c r="C3077" t="n" s="0">
        <v>-1669557.3603199997</v>
      </c>
    </row>
    <row r="3078">
      <c r="A3078" t="n" s="0">
        <v>-69.23</v>
      </c>
      <c r="B3078" t="n" s="0">
        <f>(-5-((((-5*(-5/((-5/(((-5*(-69.23--5))-(-5+((-5*-69.23)*(((-5--5)+(-69.23--5))+-69.23))))-(-5+-5)))*-5)))/-5)--5)+(-5*(((-69.23*(-69.23-(-5/-5)))*(-69.23-(-69.23/(-5*-69.23))))-(-5/-5)))))</f>
        <v>-1668835.538135</v>
      </c>
      <c r="C3078" t="n" s="0">
        <v>-1668835.538135</v>
      </c>
    </row>
    <row r="3079">
      <c r="A3079" t="n" s="0">
        <v>-69.22</v>
      </c>
      <c r="B3079" t="n" s="0">
        <f>(-5-((((-5*(-5/((-5/(((-5*(-69.22--5))-(-5+((-5*-69.22)*(((-5--5)+(-69.22--5))+-69.22))))-(-5+-5)))*-5)))/-5)--5)+(-5*(((-69.22*(-69.22-(-5/-5)))*(-69.22-(-69.22/(-5*-69.22))))-(-5/-5)))))</f>
        <v>-1668113.92404</v>
      </c>
      <c r="C3079" t="n" s="0">
        <v>-1668113.9240399997</v>
      </c>
    </row>
    <row r="3080">
      <c r="A3080" t="n" s="0">
        <v>-69.21</v>
      </c>
      <c r="B3080" t="n" s="0">
        <f>(-5-((((-5*(-5/((-5/(((-5*(-69.21--5))-(-5+((-5*-69.21)*(((-5--5)+(-69.21--5))+-69.21))))-(-5+-5)))*-5)))/-5)--5)+(-5*(((-69.21*(-69.21-(-5/-5)))*(-69.21-(-69.21/(-5*-69.21))))-(-5/-5)))))</f>
        <v>-1667392.518005</v>
      </c>
      <c r="C3080" t="n" s="0">
        <v>-1667392.5180049995</v>
      </c>
    </row>
    <row r="3081">
      <c r="A3081" t="n" s="0">
        <v>-69.2</v>
      </c>
      <c r="B3081" t="n" s="0">
        <f>(-5-((((-5*(-5/((-5/(((-5*(-69.2--5))-(-5+((-5*-69.2)*(((-5--5)+(-69.2--5))+-69.2))))-(-5+-5)))*-5)))/-5)--5)+(-5*(((-69.2*(-69.2-(-5/-5)))*(-69.2-(-69.2/(-5*-69.2))))-(-5/-5)))))</f>
        <v>-1666671.32</v>
      </c>
      <c r="C3081" t="n" s="0">
        <v>-1666671.3200000003</v>
      </c>
    </row>
    <row r="3082">
      <c r="A3082" t="n" s="0">
        <v>-69.19</v>
      </c>
      <c r="B3082" t="n" s="0">
        <f>(-5-((((-5*(-5/((-5/(((-5*(-69.19--5))-(-5+((-5*-69.19)*(((-5--5)+(-69.19--5))+-69.19))))-(-5+-5)))*-5)))/-5)--5)+(-5*(((-69.19*(-69.19-(-5/-5)))*(-69.19-(-69.19/(-5*-69.19))))-(-5/-5)))))</f>
        <v>-1665950.329995</v>
      </c>
      <c r="C3082" t="n" s="0">
        <v>-1665950.3299949998</v>
      </c>
    </row>
    <row r="3083">
      <c r="A3083" t="n" s="0">
        <v>-69.18</v>
      </c>
      <c r="B3083" t="n" s="0">
        <f>(-5-((((-5*(-5/((-5/(((-5*(-69.18--5))-(-5+((-5*-69.18)*(((-5--5)+(-69.18--5))+-69.18))))-(-5+-5)))*-5)))/-5)--5)+(-5*(((-69.18*(-69.18-(-5/-5)))*(-69.18-(-69.18/(-5*-69.18))))-(-5/-5)))))</f>
        <v>-1665229.5479599999</v>
      </c>
      <c r="C3083" t="n" s="0">
        <v>-1665229.5479600006</v>
      </c>
    </row>
    <row r="3084">
      <c r="A3084" t="n" s="0">
        <v>-69.17</v>
      </c>
      <c r="B3084" t="n" s="0">
        <f>(-5-((((-5*(-5/((-5/(((-5*(-69.17--5))-(-5+((-5*-69.17)*(((-5--5)+(-69.17--5))+-69.17))))-(-5+-5)))*-5)))/-5)--5)+(-5*(((-69.17*(-69.17-(-5/-5)))*(-69.17-(-69.17/(-5*-69.17))))-(-5/-5)))))</f>
        <v>-1664508.9738649998</v>
      </c>
      <c r="C3084" t="n" s="0">
        <v>-1664508.973865</v>
      </c>
    </row>
    <row r="3085">
      <c r="A3085" t="n" s="0">
        <v>-69.16</v>
      </c>
      <c r="B3085" t="n" s="0">
        <f>(-5-((((-5*(-5/((-5/(((-5*(-69.16--5))-(-5+((-5*-69.16)*(((-5--5)+(-69.16--5))+-69.16))))-(-5+-5)))*-5)))/-5)--5)+(-5*(((-69.16*(-69.16-(-5/-5)))*(-69.16-(-69.16/(-5*-69.16))))-(-5/-5)))))</f>
        <v>-1663788.6076800001</v>
      </c>
      <c r="C3085" t="n" s="0">
        <v>-1663788.60768</v>
      </c>
    </row>
    <row r="3086">
      <c r="A3086" t="n" s="0">
        <v>-69.15</v>
      </c>
      <c r="B3086" t="n" s="0">
        <f>(-5-((((-5*(-5/((-5/(((-5*(-69.15--5))-(-5+((-5*-69.15)*(((-5--5)+(-69.15--5))+-69.15))))-(-5+-5)))*-5)))/-5)--5)+(-5*(((-69.15*(-69.15-(-5/-5)))*(-69.15-(-69.15/(-5*-69.15))))-(-5/-5)))))</f>
        <v>-1663068.449375</v>
      </c>
      <c r="C3086" t="n" s="0">
        <v>-1663068.4493750003</v>
      </c>
    </row>
    <row r="3087">
      <c r="A3087" t="n" s="0">
        <v>-69.14</v>
      </c>
      <c r="B3087" t="n" s="0">
        <f>(-5-((((-5*(-5/((-5/(((-5*(-69.14--5))-(-5+((-5*-69.14)*(((-5--5)+(-69.14--5))+-69.14))))-(-5+-5)))*-5)))/-5)--5)+(-5*(((-69.14*(-69.14-(-5/-5)))*(-69.14-(-69.14/(-5*-69.14))))-(-5/-5)))))</f>
        <v>-1662348.49892</v>
      </c>
      <c r="C3087" t="n" s="0">
        <v>-1662348.49892</v>
      </c>
    </row>
    <row r="3088">
      <c r="A3088" t="n" s="0">
        <v>-69.13</v>
      </c>
      <c r="B3088" t="n" s="0">
        <f>(-5-((((-5*(-5/((-5/(((-5*(-69.13--5))-(-5+((-5*-69.13)*(((-5--5)+(-69.13--5))+-69.13))))-(-5+-5)))*-5)))/-5)--5)+(-5*(((-69.13*(-69.13-(-5/-5)))*(-69.13-(-69.13/(-5*-69.13))))-(-5/-5)))))</f>
        <v>-1661628.7562850001</v>
      </c>
      <c r="C3088" t="n" s="0">
        <v>-1661628.7562849994</v>
      </c>
    </row>
    <row r="3089">
      <c r="A3089" t="n" s="0">
        <v>-69.12</v>
      </c>
      <c r="B3089" t="n" s="0">
        <f>(-5-((((-5*(-5/((-5/(((-5*(-69.12--5))-(-5+((-5*-69.12)*(((-5--5)+(-69.12--5))+-69.12))))-(-5+-5)))*-5)))/-5)--5)+(-5*(((-69.12*(-69.12-(-5/-5)))*(-69.12-(-69.12/(-5*-69.12))))-(-5/-5)))))</f>
        <v>-1660909.22144</v>
      </c>
      <c r="C3089" t="n" s="0">
        <v>-1660909.2214400005</v>
      </c>
    </row>
    <row r="3090">
      <c r="A3090" t="n" s="0">
        <v>-69.11</v>
      </c>
      <c r="B3090" t="n" s="0">
        <f>(-5-((((-5*(-5/((-5/(((-5*(-69.11--5))-(-5+((-5*-69.11)*(((-5--5)+(-69.11--5))+-69.11))))-(-5+-5)))*-5)))/-5)--5)+(-5*(((-69.11*(-69.11-(-5/-5)))*(-69.11-(-69.11/(-5*-69.11))))-(-5/-5)))))</f>
        <v>-1660189.894355</v>
      </c>
      <c r="C3090" t="n" s="0">
        <v>-1660189.894355</v>
      </c>
    </row>
    <row r="3091">
      <c r="A3091" t="n" s="0">
        <v>-69.1</v>
      </c>
      <c r="B3091" t="n" s="0">
        <f>(-5-((((-5*(-5/((-5/(((-5*(-69.1--5))-(-5+((-5*-69.1)*(((-5--5)+(-69.1--5))+-69.1))))-(-5+-5)))*-5)))/-5)--5)+(-5*(((-69.1*(-69.1-(-5/-5)))*(-69.1-(-69.1/(-5*-69.1))))-(-5/-5)))))</f>
        <v>-1659470.7750000001</v>
      </c>
      <c r="C3091" t="n" s="0">
        <v>-1659470.7749999997</v>
      </c>
    </row>
    <row r="3092">
      <c r="A3092" t="n" s="0">
        <v>-69.09</v>
      </c>
      <c r="B3092" t="n" s="0">
        <f>(-5-((((-5*(-5/((-5/(((-5*(-69.09--5))-(-5+((-5*-69.09)*(((-5--5)+(-69.09--5))+-69.09))))-(-5+-5)))*-5)))/-5)--5)+(-5*(((-69.09*(-69.09-(-5/-5)))*(-69.09-(-69.09/(-5*-69.09))))-(-5/-5)))))</f>
        <v>-1658751.863345</v>
      </c>
      <c r="C3092" t="n" s="0">
        <v>-1658751.8633450004</v>
      </c>
    </row>
    <row r="3093">
      <c r="A3093" t="n" s="0">
        <v>-69.08</v>
      </c>
      <c r="B3093" t="n" s="0">
        <f>(-5-((((-5*(-5/((-5/(((-5*(-69.08--5))-(-5+((-5*-69.08)*(((-5--5)+(-69.08--5))+-69.08))))-(-5+-5)))*-5)))/-5)--5)+(-5*(((-69.08*(-69.08-(-5/-5)))*(-69.08-(-69.08/(-5*-69.08))))-(-5/-5)))))</f>
        <v>-1658033.1593600002</v>
      </c>
      <c r="C3093" t="n" s="0">
        <v>-1658033.1593599997</v>
      </c>
    </row>
    <row r="3094">
      <c r="A3094" t="n" s="0">
        <v>-69.07</v>
      </c>
      <c r="B3094" t="n" s="0">
        <f>(-5-((((-5*(-5/((-5/(((-5*(-69.07--5))-(-5+((-5*-69.07)*(((-5--5)+(-69.07--5))+-69.07))))-(-5+-5)))*-5)))/-5)--5)+(-5*(((-69.07*(-69.07-(-5/-5)))*(-69.07-(-69.07/(-5*-69.07))))-(-5/-5)))))</f>
        <v>-1657314.663015</v>
      </c>
      <c r="C3094" t="n" s="0">
        <v>-1657314.6630149996</v>
      </c>
    </row>
    <row r="3095">
      <c r="A3095" t="n" s="0">
        <v>-69.06</v>
      </c>
      <c r="B3095" t="n" s="0">
        <f>(-5-((((-5*(-5/((-5/(((-5*(-69.06--5))-(-5+((-5*-69.06)*(((-5--5)+(-69.06--5))+-69.06))))-(-5+-5)))*-5)))/-5)--5)+(-5*(((-69.06*(-69.06-(-5/-5)))*(-69.06-(-69.06/(-5*-69.06))))-(-5/-5)))))</f>
        <v>-1656596.37428</v>
      </c>
      <c r="C3095" t="n" s="0">
        <v>-1656596.37428</v>
      </c>
    </row>
    <row r="3096">
      <c r="A3096" t="n" s="0">
        <v>-69.05</v>
      </c>
      <c r="B3096" t="n" s="0">
        <f>(-5-((((-5*(-5/((-5/(((-5*(-69.05--5))-(-5+((-5*-69.05)*(((-5--5)+(-69.05--5))+-69.05))))-(-5+-5)))*-5)))/-5)--5)+(-5*(((-69.05*(-69.05-(-5/-5)))*(-69.05-(-69.05/(-5*-69.05))))-(-5/-5)))))</f>
        <v>-1655878.293125</v>
      </c>
      <c r="C3096" t="n" s="0">
        <v>-1655878.2931249996</v>
      </c>
    </row>
    <row r="3097">
      <c r="A3097" t="n" s="0">
        <v>-69.04</v>
      </c>
      <c r="B3097" t="n" s="0">
        <f>(-5-((((-5*(-5/((-5/(((-5*(-69.04--5))-(-5+((-5*-69.04)*(((-5--5)+(-69.04--5))+-69.04))))-(-5+-5)))*-5)))/-5)--5)+(-5*(((-69.04*(-69.04-(-5/-5)))*(-69.04-(-69.04/(-5*-69.04))))-(-5/-5)))))</f>
        <v>-1655160.41952</v>
      </c>
      <c r="C3097" t="n" s="0">
        <v>-1655160.4195200007</v>
      </c>
    </row>
    <row r="3098">
      <c r="A3098" t="n" s="0">
        <v>-69.03</v>
      </c>
      <c r="B3098" t="n" s="0">
        <f>(-5-((((-5*(-5/((-5/(((-5*(-69.03--5))-(-5+((-5*-69.03)*(((-5--5)+(-69.03--5))+-69.03))))-(-5+-5)))*-5)))/-5)--5)+(-5*(((-69.03*(-69.03-(-5/-5)))*(-69.03-(-69.03/(-5*-69.03))))-(-5/-5)))))</f>
        <v>-1654442.753435</v>
      </c>
      <c r="C3098" t="n" s="0">
        <v>-1654442.753435</v>
      </c>
    </row>
    <row r="3099">
      <c r="A3099" t="n" s="0">
        <v>-69.02</v>
      </c>
      <c r="B3099" t="n" s="0">
        <f>(-5-((((-5*(-5/((-5/(((-5*(-69.02--5))-(-5+((-5*-69.02)*(((-5--5)+(-69.02--5))+-69.02))))-(-5+-5)))*-5)))/-5)--5)+(-5*(((-69.02*(-69.02-(-5/-5)))*(-69.02-(-69.02/(-5*-69.02))))-(-5/-5)))))</f>
        <v>-1653725.29484</v>
      </c>
      <c r="C3099" t="n" s="0">
        <v>-1653725.2948399999</v>
      </c>
    </row>
    <row r="3100">
      <c r="A3100" t="n" s="0">
        <v>-69.01</v>
      </c>
      <c r="B3100" t="n" s="0">
        <f>(-5-((((-5*(-5/((-5/(((-5*(-69.01--5))-(-5+((-5*-69.01)*(((-5--5)+(-69.01--5))+-69.01))))-(-5+-5)))*-5)))/-5)--5)+(-5*(((-69.01*(-69.01-(-5/-5)))*(-69.01-(-69.01/(-5*-69.01))))-(-5/-5)))))</f>
        <v>-1653008.0437049998</v>
      </c>
      <c r="C3100" t="n" s="0">
        <v>-1653008.0437050003</v>
      </c>
    </row>
    <row r="3101">
      <c r="A3101" t="n" s="0">
        <v>-69.0</v>
      </c>
      <c r="B3101" t="n" s="0">
        <f>(-5-((((-5*(-5/((-5/(((-5*(-69--5))-(-5+((-5*-69)*(((-5--5)+(-69--5))+-69))))-(-5+-5)))*-5)))/-5)--5)+(-5*(((-69*(-69-(-5/-5)))*(-69-(-69/(-5*-69))))-(-5/-5)))))</f>
        <v>-1652291.0</v>
      </c>
      <c r="C3101" t="n" s="0">
        <v>-1652291.0</v>
      </c>
    </row>
    <row r="3102">
      <c r="A3102" t="n" s="0">
        <v>-68.99</v>
      </c>
      <c r="B3102" t="n" s="0">
        <f>(-5-((((-5*(-5/((-5/(((-5*(-68.99--5))-(-5+((-5*-68.99)*(((-5--5)+(-68.99--5))+-68.99))))-(-5+-5)))*-5)))/-5)--5)+(-5*(((-68.99*(-68.99-(-5/-5)))*(-68.99-(-68.99/(-5*-68.99))))-(-5/-5)))))</f>
        <v>-1651574.163695</v>
      </c>
      <c r="C3102" t="n" s="0">
        <v>-1651574.1636949994</v>
      </c>
    </row>
    <row r="3103">
      <c r="A3103" t="n" s="0">
        <v>-68.98</v>
      </c>
      <c r="B3103" t="n" s="0">
        <f>(-5-((((-5*(-5/((-5/(((-5*(-68.98--5))-(-5+((-5*-68.98)*(((-5--5)+(-68.98--5))+-68.98))))-(-5+-5)))*-5)))/-5)--5)+(-5*(((-68.98*(-68.98-(-5/-5)))*(-68.98-(-68.98/(-5*-68.98))))-(-5/-5)))))</f>
        <v>-1650857.53476</v>
      </c>
      <c r="C3103" t="n" s="0">
        <v>-1650857.5347600002</v>
      </c>
    </row>
    <row r="3104">
      <c r="A3104" t="n" s="0">
        <v>-68.97</v>
      </c>
      <c r="B3104" t="n" s="0">
        <f>(-5-((((-5*(-5/((-5/(((-5*(-68.97--5))-(-5+((-5*-68.97)*(((-5--5)+(-68.97--5))+-68.97))))-(-5+-5)))*-5)))/-5)--5)+(-5*(((-68.97*(-68.97-(-5/-5)))*(-68.97-(-68.97/(-5*-68.97))))-(-5/-5)))))</f>
        <v>-1650141.113165</v>
      </c>
      <c r="C3104" t="n" s="0">
        <v>-1650141.1131649998</v>
      </c>
    </row>
    <row r="3105">
      <c r="A3105" t="n" s="0">
        <v>-68.96</v>
      </c>
      <c r="B3105" t="n" s="0">
        <f>(-5-((((-5*(-5/((-5/(((-5*(-68.96--5))-(-5+((-5*-68.96)*(((-5--5)+(-68.96--5))+-68.96))))-(-5+-5)))*-5)))/-5)--5)+(-5*(((-68.96*(-68.96-(-5/-5)))*(-68.96-(-68.96/(-5*-68.96))))-(-5/-5)))))</f>
        <v>-1649424.89888</v>
      </c>
      <c r="C3105" t="n" s="0">
        <v>-1649424.8988799998</v>
      </c>
    </row>
    <row r="3106">
      <c r="A3106" t="n" s="0">
        <v>-68.95</v>
      </c>
      <c r="B3106" t="n" s="0">
        <f>(-5-((((-5*(-5/((-5/(((-5*(-68.95--5))-(-5+((-5*-68.95)*(((-5--5)+(-68.95--5))+-68.95))))-(-5+-5)))*-5)))/-5)--5)+(-5*(((-68.95*(-68.95-(-5/-5)))*(-68.95-(-68.95/(-5*-68.95))))-(-5/-5)))))</f>
        <v>-1648708.891875</v>
      </c>
      <c r="C3106" t="n" s="0">
        <v>-1648708.8918750002</v>
      </c>
    </row>
    <row r="3107">
      <c r="A3107" t="n" s="0">
        <v>-68.94</v>
      </c>
      <c r="B3107" t="n" s="0">
        <f>(-5-((((-5*(-5/((-5/(((-5*(-68.94--5))-(-5+((-5*-68.94)*(((-5--5)+(-68.94--5))+-68.94))))-(-5+-5)))*-5)))/-5)--5)+(-5*(((-68.94*(-68.94-(-5/-5)))*(-68.94-(-68.94/(-5*-68.94))))-(-5/-5)))))</f>
        <v>-1647993.09212</v>
      </c>
      <c r="C3107" t="n" s="0">
        <v>-1647993.09212</v>
      </c>
    </row>
    <row r="3108">
      <c r="A3108" t="n" s="0">
        <v>-68.93</v>
      </c>
      <c r="B3108" t="n" s="0">
        <f>(-5-((((-5*(-5/((-5/(((-5*(-68.93--5))-(-5+((-5*-68.93)*(((-5--5)+(-68.93--5))+-68.93))))-(-5+-5)))*-5)))/-5)--5)+(-5*(((-68.93*(-68.93-(-5/-5)))*(-68.93-(-68.93/(-5*-68.93))))-(-5/-5)))))</f>
        <v>-1647277.4995849999</v>
      </c>
      <c r="C3108" t="n" s="0">
        <v>-1647277.4995850006</v>
      </c>
    </row>
    <row r="3109">
      <c r="A3109" t="n" s="0">
        <v>-68.92</v>
      </c>
      <c r="B3109" t="n" s="0">
        <f>(-5-((((-5*(-5/((-5/(((-5*(-68.92--5))-(-5+((-5*-68.92)*(((-5--5)+(-68.92--5))+-68.92))))-(-5+-5)))*-5)))/-5)--5)+(-5*(((-68.92*(-68.92-(-5/-5)))*(-68.92-(-68.92/(-5*-68.92))))-(-5/-5)))))</f>
        <v>-1646562.11424</v>
      </c>
      <c r="C3109" t="n" s="0">
        <v>-1646562.1142400003</v>
      </c>
    </row>
    <row r="3110">
      <c r="A3110" t="n" s="0">
        <v>-68.91</v>
      </c>
      <c r="B3110" t="n" s="0">
        <f>(-5-((((-5*(-5/((-5/(((-5*(-68.91--5))-(-5+((-5*-68.91)*(((-5--5)+(-68.91--5))+-68.91))))-(-5+-5)))*-5)))/-5)--5)+(-5*(((-68.91*(-68.91-(-5/-5)))*(-68.91-(-68.91/(-5*-68.91))))-(-5/-5)))))</f>
        <v>-1645846.936055</v>
      </c>
      <c r="C3110" t="n" s="0">
        <v>-1645846.936055</v>
      </c>
    </row>
    <row r="3111">
      <c r="A3111" t="n" s="0">
        <v>-68.9</v>
      </c>
      <c r="B3111" t="n" s="0">
        <f>(-5-((((-5*(-5/((-5/(((-5*(-68.9--5))-(-5+((-5*-68.9)*(((-5--5)+(-68.9--5))+-68.9))))-(-5+-5)))*-5)))/-5)--5)+(-5*(((-68.9*(-68.9-(-5/-5)))*(-68.9-(-68.9/(-5*-68.9))))-(-5/-5)))))</f>
        <v>-1645131.9649999999</v>
      </c>
      <c r="C3111" t="n" s="0">
        <v>-1645131.9650000003</v>
      </c>
    </row>
    <row r="3112">
      <c r="A3112" t="n" s="0">
        <v>-68.89</v>
      </c>
      <c r="B3112" t="n" s="0">
        <f>(-5-((((-5*(-5/((-5/(((-5*(-68.89--5))-(-5+((-5*-68.89)*(((-5--5)+(-68.89--5))+-68.89))))-(-5+-5)))*-5)))/-5)--5)+(-5*(((-68.89*(-68.89-(-5/-5)))*(-68.89-(-68.89/(-5*-68.89))))-(-5/-5)))))</f>
        <v>-1644417.201045</v>
      </c>
      <c r="C3112" t="n" s="0">
        <v>-1644417.2010449998</v>
      </c>
    </row>
    <row r="3113">
      <c r="A3113" t="n" s="0">
        <v>-68.88</v>
      </c>
      <c r="B3113" t="n" s="0">
        <f>(-5-((((-5*(-5/((-5/(((-5*(-68.88--5))-(-5+((-5*-68.88)*(((-5--5)+(-68.88--5))+-68.88))))-(-5+-5)))*-5)))/-5)--5)+(-5*(((-68.88*(-68.88-(-5/-5)))*(-68.88-(-68.88/(-5*-68.88))))-(-5/-5)))))</f>
        <v>-1643702.64416</v>
      </c>
      <c r="C3113" t="n" s="0">
        <v>-1643702.6441599997</v>
      </c>
    </row>
    <row r="3114">
      <c r="A3114" t="n" s="0">
        <v>-68.87</v>
      </c>
      <c r="B3114" t="n" s="0">
        <f>(-5-((((-5*(-5/((-5/(((-5*(-68.87--5))-(-5+((-5*-68.87)*(((-5--5)+(-68.87--5))+-68.87))))-(-5+-5)))*-5)))/-5)--5)+(-5*(((-68.87*(-68.87-(-5/-5)))*(-68.87-(-68.87/(-5*-68.87))))-(-5/-5)))))</f>
        <v>-1642988.294315</v>
      </c>
      <c r="C3114" t="n" s="0">
        <v>-1642988.2943150005</v>
      </c>
    </row>
    <row r="3115">
      <c r="A3115" t="n" s="0">
        <v>-68.86</v>
      </c>
      <c r="B3115" t="n" s="0">
        <f>(-5-((((-5*(-5/((-5/(((-5*(-68.86--5))-(-5+((-5*-68.86)*(((-5--5)+(-68.86--5))+-68.86))))-(-5+-5)))*-5)))/-5)--5)+(-5*(((-68.86*(-68.86-(-5/-5)))*(-68.86-(-68.86/(-5*-68.86))))-(-5/-5)))))</f>
        <v>-1642274.15148</v>
      </c>
      <c r="C3115" t="n" s="0">
        <v>-1642274.1514800002</v>
      </c>
    </row>
    <row r="3116">
      <c r="A3116" t="n" s="0">
        <v>-68.85</v>
      </c>
      <c r="B3116" t="n" s="0">
        <f>(-5-((((-5*(-5/((-5/(((-5*(-68.85--5))-(-5+((-5*-68.85)*(((-5--5)+(-68.85--5))+-68.85))))-(-5+-5)))*-5)))/-5)--5)+(-5*(((-68.85*(-68.85-(-5/-5)))*(-68.85-(-68.85/(-5*-68.85))))-(-5/-5)))))</f>
        <v>-1641560.215625</v>
      </c>
      <c r="C3116" t="n" s="0">
        <v>-1641560.2156249997</v>
      </c>
    </row>
    <row r="3117">
      <c r="A3117" t="n" s="0">
        <v>-68.84</v>
      </c>
      <c r="B3117" t="n" s="0">
        <f>(-5-((((-5*(-5/((-5/(((-5*(-68.84--5))-(-5+((-5*-68.84)*(((-5--5)+(-68.84--5))+-68.84))))-(-5+-5)))*-5)))/-5)--5)+(-5*(((-68.84*(-68.84-(-5/-5)))*(-68.84-(-68.84/(-5*-68.84))))-(-5/-5)))))</f>
        <v>-1640846.48672</v>
      </c>
      <c r="C3117" t="n" s="0">
        <v>-1640846.4867200002</v>
      </c>
    </row>
    <row r="3118">
      <c r="A3118" t="n" s="0">
        <v>-68.83</v>
      </c>
      <c r="B3118" t="n" s="0">
        <f>(-5-((((-5*(-5/((-5/(((-5*(-68.83--5))-(-5+((-5*-68.83)*(((-5--5)+(-68.83--5))+-68.83))))-(-5+-5)))*-5)))/-5)--5)+(-5*(((-68.83*(-68.83-(-5/-5)))*(-68.83-(-68.83/(-5*-68.83))))-(-5/-5)))))</f>
        <v>-1640132.964735</v>
      </c>
      <c r="C3118" t="n" s="0">
        <v>-1640132.9647349997</v>
      </c>
    </row>
    <row r="3119">
      <c r="A3119" t="n" s="0">
        <v>-68.82</v>
      </c>
      <c r="B3119" t="n" s="0">
        <f>(-5-((((-5*(-5/((-5/(((-5*(-68.82--5))-(-5+((-5*-68.82)*(((-5--5)+(-68.82--5))+-68.82))))-(-5+-5)))*-5)))/-5)--5)+(-5*(((-68.82*(-68.82-(-5/-5)))*(-68.82-(-68.82/(-5*-68.82))))-(-5/-5)))))</f>
        <v>-1639419.64964</v>
      </c>
      <c r="C3119" t="n" s="0">
        <v>-1639419.6496399995</v>
      </c>
    </row>
    <row r="3120">
      <c r="A3120" t="n" s="0">
        <v>-68.81</v>
      </c>
      <c r="B3120" t="n" s="0">
        <f>(-5-((((-5*(-5/((-5/(((-5*(-68.81--5))-(-5+((-5*-68.81)*(((-5--5)+(-68.81--5))+-68.81))))-(-5+-5)))*-5)))/-5)--5)+(-5*(((-68.81*(-68.81-(-5/-5)))*(-68.81-(-68.81/(-5*-68.81))))-(-5/-5)))))</f>
        <v>-1638706.541405</v>
      </c>
      <c r="C3120" t="n" s="0">
        <v>-1638706.541405</v>
      </c>
    </row>
    <row r="3121">
      <c r="A3121" t="n" s="0">
        <v>-68.8</v>
      </c>
      <c r="B3121" t="n" s="0">
        <f>(-5-((((-5*(-5/((-5/(((-5*(-68.8--5))-(-5+((-5*-68.8)*(((-5--5)+(-68.8--5))+-68.8))))-(-5+-5)))*-5)))/-5)--5)+(-5*(((-68.8*(-68.8-(-5/-5)))*(-68.8-(-68.8/(-5*-68.8))))-(-5/-5)))))</f>
        <v>-1637993.6400000001</v>
      </c>
      <c r="C3121" t="n" s="0">
        <v>-1637993.6399999997</v>
      </c>
    </row>
    <row r="3122">
      <c r="A3122" t="n" s="0">
        <v>-68.79</v>
      </c>
      <c r="B3122" t="n" s="0">
        <f>(-5-((((-5*(-5/((-5/(((-5*(-68.79--5))-(-5+((-5*-68.79)*(((-5--5)+(-68.79--5))+-68.79))))-(-5+-5)))*-5)))/-5)--5)+(-5*(((-68.79*(-68.79-(-5/-5)))*(-68.79-(-68.79/(-5*-68.79))))-(-5/-5)))))</f>
        <v>-1637280.945395</v>
      </c>
      <c r="C3122" t="n" s="0">
        <v>-1637280.9453950005</v>
      </c>
    </row>
    <row r="3123">
      <c r="A3123" t="n" s="0">
        <v>-68.78</v>
      </c>
      <c r="B3123" t="n" s="0">
        <f>(-5-((((-5*(-5/((-5/(((-5*(-68.78--5))-(-5+((-5*-68.78)*(((-5--5)+(-68.78--5))+-68.78))))-(-5+-5)))*-5)))/-5)--5)+(-5*(((-68.78*(-68.78-(-5/-5)))*(-68.78-(-68.78/(-5*-68.78))))-(-5/-5)))))</f>
        <v>-1636568.45756</v>
      </c>
      <c r="C3123" t="n" s="0">
        <v>-1636568.45756</v>
      </c>
    </row>
    <row r="3124">
      <c r="A3124" t="n" s="0">
        <v>-68.77</v>
      </c>
      <c r="B3124" t="n" s="0">
        <f>(-5-((((-5*(-5/((-5/(((-5*(-68.77--5))-(-5+((-5*-68.77)*(((-5--5)+(-68.77--5))+-68.77))))-(-5+-5)))*-5)))/-5)--5)+(-5*(((-68.77*(-68.77-(-5/-5)))*(-68.77-(-68.77/(-5*-68.77))))-(-5/-5)))))</f>
        <v>-1635856.176465</v>
      </c>
      <c r="C3124" t="n" s="0">
        <v>-1635856.176465</v>
      </c>
    </row>
    <row r="3125">
      <c r="A3125" t="n" s="0">
        <v>-68.76</v>
      </c>
      <c r="B3125" t="n" s="0">
        <f>(-5-((((-5*(-5/((-5/(((-5*(-68.76--5))-(-5+((-5*-68.76)*(((-5--5)+(-68.76--5))+-68.76))))-(-5+-5)))*-5)))/-5)--5)+(-5*(((-68.76*(-68.76-(-5/-5)))*(-68.76-(-68.76/(-5*-68.76))))-(-5/-5)))))</f>
        <v>-1635144.1020799999</v>
      </c>
      <c r="C3125" t="n" s="0">
        <v>-1635144.1020800003</v>
      </c>
    </row>
    <row r="3126">
      <c r="A3126" t="n" s="0">
        <v>-68.75</v>
      </c>
      <c r="B3126" t="n" s="0">
        <f>(-5-((((-5*(-5/((-5/(((-5*(-68.75--5))-(-5+((-5*-68.75)*(((-5--5)+(-68.75--5))+-68.75))))-(-5+-5)))*-5)))/-5)--5)+(-5*(((-68.75*(-68.75-(-5/-5)))*(-68.75-(-68.75/(-5*-68.75))))-(-5/-5)))))</f>
        <v>-1634432.234375</v>
      </c>
      <c r="C3126" t="n" s="0">
        <v>-1634432.234375</v>
      </c>
    </row>
    <row r="3127">
      <c r="A3127" t="n" s="0">
        <v>-68.74</v>
      </c>
      <c r="B3127" t="n" s="0">
        <f>(-5-((((-5*(-5/((-5/(((-5*(-68.74--5))-(-5+((-5*-68.74)*(((-5--5)+(-68.74--5))+-68.74))))-(-5+-5)))*-5)))/-5)--5)+(-5*(((-68.74*(-68.74-(-5/-5)))*(-68.74-(-68.74/(-5*-68.74))))-(-5/-5)))))</f>
        <v>-1633720.57332</v>
      </c>
      <c r="C3127" t="n" s="0">
        <v>-1633720.5733199995</v>
      </c>
    </row>
    <row r="3128">
      <c r="A3128" t="n" s="0">
        <v>-68.73</v>
      </c>
      <c r="B3128" t="n" s="0">
        <f>(-5-((((-5*(-5/((-5/(((-5*(-68.73--5))-(-5+((-5*-68.73)*(((-5--5)+(-68.73--5))+-68.73))))-(-5+-5)))*-5)))/-5)--5)+(-5*(((-68.73*(-68.73-(-5/-5)))*(-68.73-(-68.73/(-5*-68.73))))-(-5/-5)))))</f>
        <v>-1633009.118885</v>
      </c>
      <c r="C3128" t="n" s="0">
        <v>-1633009.1188850002</v>
      </c>
    </row>
    <row r="3129">
      <c r="A3129" t="n" s="0">
        <v>-68.72</v>
      </c>
      <c r="B3129" t="n" s="0">
        <f>(-5-((((-5*(-5/((-5/(((-5*(-68.72--5))-(-5+((-5*-68.72)*(((-5--5)+(-68.72--5))+-68.72))))-(-5+-5)))*-5)))/-5)--5)+(-5*(((-68.72*(-68.72-(-5/-5)))*(-68.72-(-68.72/(-5*-68.72))))-(-5/-5)))))</f>
        <v>-1632297.8710399999</v>
      </c>
      <c r="C3129" t="n" s="0">
        <v>-1632297.8710399999</v>
      </c>
    </row>
    <row r="3130">
      <c r="A3130" t="n" s="0">
        <v>-68.71</v>
      </c>
      <c r="B3130" t="n" s="0">
        <f>(-5-((((-5*(-5/((-5/(((-5*(-68.71--5))-(-5+((-5*-68.71)*(((-5--5)+(-68.71--5))+-68.71))))-(-5+-5)))*-5)))/-5)--5)+(-5*(((-68.71*(-68.71-(-5/-5)))*(-68.71-(-68.71/(-5*-68.71))))-(-5/-5)))))</f>
        <v>-1631586.8297549998</v>
      </c>
      <c r="C3130" t="n" s="0">
        <v>-1631586.8297549996</v>
      </c>
    </row>
    <row r="3131">
      <c r="A3131" t="n" s="0">
        <v>-68.7</v>
      </c>
      <c r="B3131" t="n" s="0">
        <f>(-5-((((-5*(-5/((-5/(((-5*(-68.7--5))-(-5+((-5*-68.7)*(((-5--5)+(-68.7--5))+-68.7))))-(-5+-5)))*-5)))/-5)--5)+(-5*(((-68.7*(-68.7-(-5/-5)))*(-68.7-(-68.7/(-5*-68.7))))-(-5/-5)))))</f>
        <v>-1630875.9949999999</v>
      </c>
      <c r="C3131" t="n" s="0">
        <v>-1630875.995</v>
      </c>
    </row>
    <row r="3132">
      <c r="A3132" t="n" s="0">
        <v>-68.69</v>
      </c>
      <c r="B3132" t="n" s="0">
        <f>(-5-((((-5*(-5/((-5/(((-5*(-68.69--5))-(-5+((-5*-68.69)*(((-5--5)+(-68.69--5))+-68.69))))-(-5+-5)))*-5)))/-5)--5)+(-5*(((-68.69*(-68.69-(-5/-5)))*(-68.69-(-68.69/(-5*-68.69))))-(-5/-5)))))</f>
        <v>-1630165.366745</v>
      </c>
      <c r="C3132" t="n" s="0">
        <v>-1630165.366745</v>
      </c>
    </row>
    <row r="3133">
      <c r="A3133" t="n" s="0">
        <v>-68.68</v>
      </c>
      <c r="B3133" t="n" s="0">
        <f>(-5-((((-5*(-5/((-5/(((-5*(-68.68--5))-(-5+((-5*-68.68)*(((-5--5)+(-68.68--5))+-68.68))))-(-5+-5)))*-5)))/-5)--5)+(-5*(((-68.68*(-68.68-(-5/-5)))*(-68.68-(-68.68/(-5*-68.68))))-(-5/-5)))))</f>
        <v>-1629454.94496</v>
      </c>
      <c r="C3133" t="n" s="0">
        <v>-1629454.9449600007</v>
      </c>
    </row>
    <row r="3134">
      <c r="A3134" t="n" s="0">
        <v>-68.67</v>
      </c>
      <c r="B3134" t="n" s="0">
        <f>(-5-((((-5*(-5/((-5/(((-5*(-68.67--5))-(-5+((-5*-68.67)*(((-5--5)+(-68.67--5))+-68.67))))-(-5+-5)))*-5)))/-5)--5)+(-5*(((-68.67*(-68.67-(-5/-5)))*(-68.67-(-68.67/(-5*-68.67))))-(-5/-5)))))</f>
        <v>-1628744.729615</v>
      </c>
      <c r="C3134" t="n" s="0">
        <v>-1628744.729615</v>
      </c>
    </row>
    <row r="3135">
      <c r="A3135" t="n" s="0">
        <v>-68.66</v>
      </c>
      <c r="B3135" t="n" s="0">
        <f>(-5-((((-5*(-5/((-5/(((-5*(-68.66--5))-(-5+((-5*-68.66)*(((-5--5)+(-68.66--5))+-68.66))))-(-5+-5)))*-5)))/-5)--5)+(-5*(((-68.66*(-68.66-(-5/-5)))*(-68.66-(-68.66/(-5*-68.66))))-(-5/-5)))))</f>
        <v>-1628034.72068</v>
      </c>
      <c r="C3135" t="n" s="0">
        <v>-1628034.7206799998</v>
      </c>
    </row>
    <row r="3136">
      <c r="A3136" t="n" s="0">
        <v>-68.65</v>
      </c>
      <c r="B3136" t="n" s="0">
        <f>(-5-((((-5*(-5/((-5/(((-5*(-68.65--5))-(-5+((-5*-68.65)*(((-5--5)+(-68.65--5))+-68.65))))-(-5+-5)))*-5)))/-5)--5)+(-5*(((-68.65*(-68.65-(-5/-5)))*(-68.65-(-68.65/(-5*-68.65))))-(-5/-5)))))</f>
        <v>-1627324.918125</v>
      </c>
      <c r="C3136" t="n" s="0">
        <v>-1627324.9181250003</v>
      </c>
    </row>
    <row r="3137">
      <c r="A3137" t="n" s="0">
        <v>-68.64</v>
      </c>
      <c r="B3137" t="n" s="0">
        <f>(-5-((((-5*(-5/((-5/(((-5*(-68.64--5))-(-5+((-5*-68.64)*(((-5--5)+(-68.64--5))+-68.64))))-(-5+-5)))*-5)))/-5)--5)+(-5*(((-68.64*(-68.64-(-5/-5)))*(-68.64-(-68.64/(-5*-68.64))))-(-5/-5)))))</f>
        <v>-1626615.32192</v>
      </c>
      <c r="C3137" t="n" s="0">
        <v>-1626615.3219200002</v>
      </c>
    </row>
    <row r="3138">
      <c r="A3138" t="n" s="0">
        <v>-68.63</v>
      </c>
      <c r="B3138" t="n" s="0">
        <f>(-5-((((-5*(-5/((-5/(((-5*(-68.63--5))-(-5+((-5*-68.63)*(((-5--5)+(-68.63--5))+-68.63))))-(-5+-5)))*-5)))/-5)--5)+(-5*(((-68.63*(-68.63-(-5/-5)))*(-68.63-(-68.63/(-5*-68.63))))-(-5/-5)))))</f>
        <v>-1625905.932035</v>
      </c>
      <c r="C3138" t="n" s="0">
        <v>-1625905.9320349994</v>
      </c>
    </row>
    <row r="3139">
      <c r="A3139" t="n" s="0">
        <v>-68.62</v>
      </c>
      <c r="B3139" t="n" s="0">
        <f>(-5-((((-5*(-5/((-5/(((-5*(-68.62--5))-(-5+((-5*-68.62)*(((-5--5)+(-68.62--5))+-68.62))))-(-5+-5)))*-5)))/-5)--5)+(-5*(((-68.62*(-68.62-(-5/-5)))*(-68.62-(-68.62/(-5*-68.62))))-(-5/-5)))))</f>
        <v>-1625196.74844</v>
      </c>
      <c r="C3139" t="n" s="0">
        <v>-1625196.7484400005</v>
      </c>
    </row>
    <row r="3140">
      <c r="A3140" t="n" s="0">
        <v>-68.61</v>
      </c>
      <c r="B3140" t="n" s="0">
        <f>(-5-((((-5*(-5/((-5/(((-5*(-68.61--5))-(-5+((-5*-68.61)*(((-5--5)+(-68.61--5))+-68.61))))-(-5+-5)))*-5)))/-5)--5)+(-5*(((-68.61*(-68.61-(-5/-5)))*(-68.61-(-68.61/(-5*-68.61))))-(-5/-5)))))</f>
        <v>-1624487.771105</v>
      </c>
      <c r="C3140" t="n" s="0">
        <v>-1624487.771105</v>
      </c>
    </row>
    <row r="3141">
      <c r="A3141" t="n" s="0">
        <v>-68.6</v>
      </c>
      <c r="B3141" t="n" s="0">
        <f>(-5-((((-5*(-5/((-5/(((-5*(-68.6--5))-(-5+((-5*-68.6)*(((-5--5)+(-68.6--5))+-68.6))))-(-5+-5)))*-5)))/-5)--5)+(-5*(((-68.6*(-68.6-(-5/-5)))*(-68.6-(-68.6/(-5*-68.6))))-(-5/-5)))))</f>
        <v>-1623779.0</v>
      </c>
      <c r="C3141" t="n" s="0">
        <v>-1623778.9999999995</v>
      </c>
    </row>
    <row r="3142">
      <c r="A3142" t="n" s="0">
        <v>-68.59</v>
      </c>
      <c r="B3142" t="n" s="0">
        <f>(-5-((((-5*(-5/((-5/(((-5*(-68.59--5))-(-5+((-5*-68.59)*(((-5--5)+(-68.59--5))+-68.59))))-(-5+-5)))*-5)))/-5)--5)+(-5*(((-68.59*(-68.59-(-5/-5)))*(-68.59-(-68.59/(-5*-68.59))))-(-5/-5)))))</f>
        <v>-1623070.435095</v>
      </c>
      <c r="C3142" t="n" s="0">
        <v>-1623070.4350950003</v>
      </c>
    </row>
    <row r="3143">
      <c r="A3143" t="n" s="0">
        <v>-68.58</v>
      </c>
      <c r="B3143" t="n" s="0">
        <f>(-5-((((-5*(-5/((-5/(((-5*(-68.58--5))-(-5+((-5*-68.58)*(((-5--5)+(-68.58--5))+-68.58))))-(-5+-5)))*-5)))/-5)--5)+(-5*(((-68.58*(-68.58-(-5/-5)))*(-68.58-(-68.58/(-5*-68.58))))-(-5/-5)))))</f>
        <v>-1622362.07636</v>
      </c>
      <c r="C3143" t="n" s="0">
        <v>-1622362.0763599998</v>
      </c>
    </row>
    <row r="3144">
      <c r="A3144" t="n" s="0">
        <v>-68.57</v>
      </c>
      <c r="B3144" t="n" s="0">
        <f>(-5-((((-5*(-5/((-5/(((-5*(-68.57--5))-(-5+((-5*-68.57)*(((-5--5)+(-68.57--5))+-68.57))))-(-5+-5)))*-5)))/-5)--5)+(-5*(((-68.57*(-68.57-(-5/-5)))*(-68.57-(-68.57/(-5*-68.57))))-(-5/-5)))))</f>
        <v>-1621653.923765</v>
      </c>
      <c r="C3144" t="n" s="0">
        <v>-1621653.9237649995</v>
      </c>
    </row>
    <row r="3145">
      <c r="A3145" t="n" s="0">
        <v>-68.56</v>
      </c>
      <c r="B3145" t="n" s="0">
        <f>(-5-((((-5*(-5/((-5/(((-5*(-68.56--5))-(-5+((-5*-68.56)*(((-5--5)+(-68.56--5))+-68.56))))-(-5+-5)))*-5)))/-5)--5)+(-5*(((-68.56*(-68.56-(-5/-5)))*(-68.56-(-68.56/(-5*-68.56))))-(-5/-5)))))</f>
        <v>-1620945.97728</v>
      </c>
      <c r="C3145" t="n" s="0">
        <v>-1620945.9772800002</v>
      </c>
    </row>
    <row r="3146">
      <c r="A3146" t="n" s="0">
        <v>-68.55</v>
      </c>
      <c r="B3146" t="n" s="0">
        <f>(-5-((((-5*(-5/((-5/(((-5*(-68.55--5))-(-5+((-5*-68.55)*(((-5--5)+(-68.55--5))+-68.55))))-(-5+-5)))*-5)))/-5)--5)+(-5*(((-68.55*(-68.55-(-5/-5)))*(-68.55-(-68.55/(-5*-68.55))))-(-5/-5)))))</f>
        <v>-1620238.236875</v>
      </c>
      <c r="C3146" t="n" s="0">
        <v>-1620238.236875</v>
      </c>
    </row>
    <row r="3147">
      <c r="A3147" t="n" s="0">
        <v>-68.54</v>
      </c>
      <c r="B3147" t="n" s="0">
        <f>(-5-((((-5*(-5/((-5/(((-5*(-68.54--5))-(-5+((-5*-68.54)*(((-5--5)+(-68.54--5))+-68.54))))-(-5+-5)))*-5)))/-5)--5)+(-5*(((-68.54*(-68.54-(-5/-5)))*(-68.54-(-68.54/(-5*-68.54))))-(-5/-5)))))</f>
        <v>-1619530.70252</v>
      </c>
      <c r="C3147" t="n" s="0">
        <v>-1619530.7025200007</v>
      </c>
    </row>
    <row r="3148">
      <c r="A3148" t="n" s="0">
        <v>-68.53</v>
      </c>
      <c r="B3148" t="n" s="0">
        <f>(-5-((((-5*(-5/((-5/(((-5*(-68.53--5))-(-5+((-5*-68.53)*(((-5--5)+(-68.53--5))+-68.53))))-(-5+-5)))*-5)))/-5)--5)+(-5*(((-68.53*(-68.53-(-5/-5)))*(-68.53-(-68.53/(-5*-68.53))))-(-5/-5)))))</f>
        <v>-1618823.3741849998</v>
      </c>
      <c r="C3148" t="n" s="0">
        <v>-1618823.3741849998</v>
      </c>
    </row>
    <row r="3149">
      <c r="A3149" t="n" s="0">
        <v>-68.52</v>
      </c>
      <c r="B3149" t="n" s="0">
        <f>(-5-((((-5*(-5/((-5/(((-5*(-68.52--5))-(-5+((-5*-68.52)*(((-5--5)+(-68.52--5))+-68.52))))-(-5+-5)))*-5)))/-5)--5)+(-5*(((-68.52*(-68.52-(-5/-5)))*(-68.52-(-68.52/(-5*-68.52))))-(-5/-5)))))</f>
        <v>-1618116.25184</v>
      </c>
      <c r="C3149" t="n" s="0">
        <v>-1618116.2518399996</v>
      </c>
    </row>
    <row r="3150">
      <c r="A3150" t="n" s="0">
        <v>-68.51</v>
      </c>
      <c r="B3150" t="n" s="0">
        <f>(-5-((((-5*(-5/((-5/(((-5*(-68.51--5))-(-5+((-5*-68.51)*(((-5--5)+(-68.51--5))+-68.51))))-(-5+-5)))*-5)))/-5)--5)+(-5*(((-68.51*(-68.51-(-5/-5)))*(-68.51-(-68.51/(-5*-68.51))))-(-5/-5)))))</f>
        <v>-1617409.335455</v>
      </c>
      <c r="C3150" t="n" s="0">
        <v>-1617409.3354550006</v>
      </c>
    </row>
    <row r="3151">
      <c r="A3151" t="n" s="0">
        <v>-68.5</v>
      </c>
      <c r="B3151" t="n" s="0">
        <f>(-5-((((-5*(-5/((-5/(((-5*(-68.5--5))-(-5+((-5*-68.5)*(((-5--5)+(-68.5--5))+-68.5))))-(-5+-5)))*-5)))/-5)--5)+(-5*(((-68.5*(-68.5-(-5/-5)))*(-68.5-(-68.5/(-5*-68.5))))-(-5/-5)))))</f>
        <v>-1616702.625</v>
      </c>
      <c r="C3151" t="n" s="0">
        <v>-1616702.625</v>
      </c>
    </row>
    <row r="3152">
      <c r="A3152" t="n" s="0">
        <v>-68.49</v>
      </c>
      <c r="B3152" t="n" s="0">
        <f>(-5-((((-5*(-5/((-5/(((-5*(-68.49--5))-(-5+((-5*-68.49)*(((-5--5)+(-68.49--5))+-68.49))))-(-5+-5)))*-5)))/-5)--5)+(-5*(((-68.49*(-68.49-(-5/-5)))*(-68.49-(-68.49/(-5*-68.49))))-(-5/-5)))))</f>
        <v>-1615996.120445</v>
      </c>
      <c r="C3152" t="n" s="0">
        <v>-1615996.1204449995</v>
      </c>
    </row>
    <row r="3153">
      <c r="A3153" t="n" s="0">
        <v>-68.48</v>
      </c>
      <c r="B3153" t="n" s="0">
        <f>(-5-((((-5*(-5/((-5/(((-5*(-68.48--5))-(-5+((-5*-68.48)*(((-5--5)+(-68.48--5))+-68.48))))-(-5+-5)))*-5)))/-5)--5)+(-5*(((-68.48*(-68.48-(-5/-5)))*(-68.48-(-68.48/(-5*-68.48))))-(-5/-5)))))</f>
        <v>-1615289.82176</v>
      </c>
      <c r="C3153" t="n" s="0">
        <v>-1615289.8217600002</v>
      </c>
    </row>
    <row r="3154">
      <c r="A3154" t="n" s="0">
        <v>-68.47</v>
      </c>
      <c r="B3154" t="n" s="0">
        <f>(-5-((((-5*(-5/((-5/(((-5*(-68.47--5))-(-5+((-5*-68.47)*(((-5--5)+(-68.47--5))+-68.47))))-(-5+-5)))*-5)))/-5)--5)+(-5*(((-68.47*(-68.47-(-5/-5)))*(-68.47-(-68.47/(-5*-68.47))))-(-5/-5)))))</f>
        <v>-1614583.7289149999</v>
      </c>
      <c r="C3154" t="n" s="0">
        <v>-1614583.7289149999</v>
      </c>
    </row>
    <row r="3155">
      <c r="A3155" t="n" s="0">
        <v>-68.46</v>
      </c>
      <c r="B3155" t="n" s="0">
        <f>(-5-((((-5*(-5/((-5/(((-5*(-68.46--5))-(-5+((-5*-68.46)*(((-5--5)+(-68.46--5))+-68.46))))-(-5+-5)))*-5)))/-5)--5)+(-5*(((-68.46*(-68.46-(-5/-5)))*(-68.46-(-68.46/(-5*-68.46))))-(-5/-5)))))</f>
        <v>-1613877.84188</v>
      </c>
      <c r="C3155" t="n" s="0">
        <v>-1613877.8418799995</v>
      </c>
    </row>
    <row r="3156">
      <c r="A3156" t="n" s="0">
        <v>-68.45</v>
      </c>
      <c r="B3156" t="n" s="0">
        <f>(-5-((((-5*(-5/((-5/(((-5*(-68.45--5))-(-5+((-5*-68.45)*(((-5--5)+(-68.45--5))+-68.45))))-(-5+-5)))*-5)))/-5)--5)+(-5*(((-68.45*(-68.45-(-5/-5)))*(-68.45-(-68.45/(-5*-68.45))))-(-5/-5)))))</f>
        <v>-1613172.1606249998</v>
      </c>
      <c r="C3156" t="n" s="0">
        <v>-1613172.1606250003</v>
      </c>
    </row>
    <row r="3157">
      <c r="A3157" t="n" s="0">
        <v>-68.44</v>
      </c>
      <c r="B3157" t="n" s="0">
        <f>(-5-((((-5*(-5/((-5/(((-5*(-68.44--5))-(-5+((-5*-68.44)*(((-5--5)+(-68.44--5))+-68.44))))-(-5+-5)))*-5)))/-5)--5)+(-5*(((-68.44*(-68.44-(-5/-5)))*(-68.44-(-68.44/(-5*-68.44))))-(-5/-5)))))</f>
        <v>-1612466.68512</v>
      </c>
      <c r="C3157" t="n" s="0">
        <v>-1612466.6851199998</v>
      </c>
    </row>
    <row r="3158">
      <c r="A3158" t="n" s="0">
        <v>-68.43</v>
      </c>
      <c r="B3158" t="n" s="0">
        <f>(-5-((((-5*(-5/((-5/(((-5*(-68.43--5))-(-5+((-5*-68.43)*(((-5--5)+(-68.43--5))+-68.43))))-(-5+-5)))*-5)))/-5)--5)+(-5*(((-68.43*(-68.43-(-5/-5)))*(-68.43-(-68.43/(-5*-68.43))))-(-5/-5)))))</f>
        <v>-1611761.415335</v>
      </c>
      <c r="C3158" t="n" s="0">
        <v>-1611761.4153350005</v>
      </c>
    </row>
    <row r="3159">
      <c r="A3159" t="n" s="0">
        <v>-68.42</v>
      </c>
      <c r="B3159" t="n" s="0">
        <f>(-5-((((-5*(-5/((-5/(((-5*(-68.42--5))-(-5+((-5*-68.42)*(((-5--5)+(-68.42--5))+-68.42))))-(-5+-5)))*-5)))/-5)--5)+(-5*(((-68.42*(-68.42-(-5/-5)))*(-68.42-(-68.42/(-5*-68.42))))-(-5/-5)))))</f>
        <v>-1611056.35124</v>
      </c>
      <c r="C3159" t="n" s="0">
        <v>-1611056.35124</v>
      </c>
    </row>
    <row r="3160">
      <c r="A3160" t="n" s="0">
        <v>-68.41</v>
      </c>
      <c r="B3160" t="n" s="0">
        <f>(-5-((((-5*(-5/((-5/(((-5*(-68.41--5))-(-5+((-5*-68.41)*(((-5--5)+(-68.41--5))+-68.41))))-(-5+-5)))*-5)))/-5)--5)+(-5*(((-68.41*(-68.41-(-5/-5)))*(-68.41-(-68.41/(-5*-68.41))))-(-5/-5)))))</f>
        <v>-1610351.4928050002</v>
      </c>
      <c r="C3160" t="n" s="0">
        <v>-1610351.4928049997</v>
      </c>
    </row>
    <row r="3161">
      <c r="A3161" t="n" s="0">
        <v>-68.4</v>
      </c>
      <c r="B3161" t="n" s="0">
        <f>(-5-((((-5*(-5/((-5/(((-5*(-68.4--5))-(-5+((-5*-68.4)*(((-5--5)+(-68.4--5))+-68.4))))-(-5+-5)))*-5)))/-5)--5)+(-5*(((-68.4*(-68.4-(-5/-5)))*(-68.4-(-68.4/(-5*-68.4))))-(-5/-5)))))</f>
        <v>-1609646.84</v>
      </c>
      <c r="C3161" t="n" s="0">
        <v>-1609646.8400000005</v>
      </c>
    </row>
    <row r="3162">
      <c r="A3162" t="n" s="0">
        <v>-68.39</v>
      </c>
      <c r="B3162" t="n" s="0">
        <f>(-5-((((-5*(-5/((-5/(((-5*(-68.39--5))-(-5+((-5*-68.39)*(((-5--5)+(-68.39--5))+-68.39))))-(-5+-5)))*-5)))/-5)--5)+(-5*(((-68.39*(-68.39-(-5/-5)))*(-68.39-(-68.39/(-5*-68.39))))-(-5/-5)))))</f>
        <v>-1608942.392795</v>
      </c>
      <c r="C3162" t="n" s="0">
        <v>-1608942.392795</v>
      </c>
    </row>
    <row r="3163">
      <c r="A3163" t="n" s="0">
        <v>-68.38</v>
      </c>
      <c r="B3163" t="n" s="0">
        <f>(-5-((((-5*(-5/((-5/(((-5*(-68.38--5))-(-5+((-5*-68.38)*(((-5--5)+(-68.38--5))+-68.38))))-(-5+-5)))*-5)))/-5)--5)+(-5*(((-68.38*(-68.38-(-5/-5)))*(-68.38-(-68.38/(-5*-68.38))))-(-5/-5)))))</f>
        <v>-1608238.15116</v>
      </c>
      <c r="C3163" t="n" s="0">
        <v>-1608238.1511599997</v>
      </c>
    </row>
    <row r="3164">
      <c r="A3164" t="n" s="0">
        <v>-68.37</v>
      </c>
      <c r="B3164" t="n" s="0">
        <f>(-5-((((-5*(-5/((-5/(((-5*(-68.37--5))-(-5+((-5*-68.37)*(((-5--5)+(-68.37--5))+-68.37))))-(-5+-5)))*-5)))/-5)--5)+(-5*(((-68.37*(-68.37-(-5/-5)))*(-68.37-(-68.37/(-5*-68.37))))-(-5/-5)))))</f>
        <v>-1607534.115065</v>
      </c>
      <c r="C3164" t="n" s="0">
        <v>-1607534.1150650005</v>
      </c>
    </row>
    <row r="3165">
      <c r="A3165" t="n" s="0">
        <v>-68.36</v>
      </c>
      <c r="B3165" t="n" s="0">
        <f>(-5-((((-5*(-5/((-5/(((-5*(-68.36--5))-(-5+((-5*-68.36)*(((-5--5)+(-68.36--5))+-68.36))))-(-5+-5)))*-5)))/-5)--5)+(-5*(((-68.36*(-68.36-(-5/-5)))*(-68.36-(-68.36/(-5*-68.36))))-(-5/-5)))))</f>
        <v>-1606830.2844800001</v>
      </c>
      <c r="C3165" t="n" s="0">
        <v>-1606830.28448</v>
      </c>
    </row>
    <row r="3166">
      <c r="A3166" t="n" s="0">
        <v>-68.35</v>
      </c>
      <c r="B3166" t="n" s="0">
        <f>(-5-((((-5*(-5/((-5/(((-5*(-68.35--5))-(-5+((-5*-68.35)*(((-5--5)+(-68.35--5))+-68.35))))-(-5+-5)))*-5)))/-5)--5)+(-5*(((-68.35*(-68.35-(-5/-5)))*(-68.35-(-68.35/(-5*-68.35))))-(-5/-5)))))</f>
        <v>-1606126.659375</v>
      </c>
      <c r="C3166" t="n" s="0">
        <v>-1606126.6593749998</v>
      </c>
    </row>
    <row r="3167">
      <c r="A3167" t="n" s="0">
        <v>-68.34</v>
      </c>
      <c r="B3167" t="n" s="0">
        <f>(-5-((((-5*(-5/((-5/(((-5*(-68.34--5))-(-5+((-5*-68.34)*(((-5--5)+(-68.34--5))+-68.34))))-(-5+-5)))*-5)))/-5)--5)+(-5*(((-68.34*(-68.34-(-5/-5)))*(-68.34-(-68.34/(-5*-68.34))))-(-5/-5)))))</f>
        <v>-1605423.2397200002</v>
      </c>
      <c r="C3167" t="n" s="0">
        <v>-1605423.2397200002</v>
      </c>
    </row>
    <row r="3168">
      <c r="A3168" t="n" s="0">
        <v>-68.33</v>
      </c>
      <c r="B3168" t="n" s="0">
        <f>(-5-((((-5*(-5/((-5/(((-5*(-68.33--5))-(-5+((-5*-68.33)*(((-5--5)+(-68.33--5))+-68.33))))-(-5+-5)))*-5)))/-5)--5)+(-5*(((-68.33*(-68.33-(-5/-5)))*(-68.33-(-68.33/(-5*-68.33))))-(-5/-5)))))</f>
        <v>-1604720.025485</v>
      </c>
      <c r="C3168" t="n" s="0">
        <v>-1604720.0254849999</v>
      </c>
    </row>
    <row r="3169">
      <c r="A3169" t="n" s="0">
        <v>-68.32</v>
      </c>
      <c r="B3169" t="n" s="0">
        <f>(-5-((((-5*(-5/((-5/(((-5*(-68.32--5))-(-5+((-5*-68.32)*(((-5--5)+(-68.32--5))+-68.32))))-(-5+-5)))*-5)))/-5)--5)+(-5*(((-68.32*(-68.32-(-5/-5)))*(-68.32-(-68.32/(-5*-68.32))))-(-5/-5)))))</f>
        <v>-1604017.01664</v>
      </c>
      <c r="C3169" t="n" s="0">
        <v>-1604017.0166399993</v>
      </c>
    </row>
    <row r="3170">
      <c r="A3170" t="n" s="0">
        <v>-68.31</v>
      </c>
      <c r="B3170" t="n" s="0">
        <f>(-5-((((-5*(-5/((-5/(((-5*(-68.31--5))-(-5+((-5*-68.31)*(((-5--5)+(-68.31--5))+-68.31))))-(-5+-5)))*-5)))/-5)--5)+(-5*(((-68.31*(-68.31-(-5/-5)))*(-68.31-(-68.31/(-5*-68.31))))-(-5/-5)))))</f>
        <v>-1603314.213155</v>
      </c>
      <c r="C3170" t="n" s="0">
        <v>-1603314.213155</v>
      </c>
    </row>
    <row r="3171">
      <c r="A3171" t="n" s="0">
        <v>-68.3</v>
      </c>
      <c r="B3171" t="n" s="0">
        <f>(-5-((((-5*(-5/((-5/(((-5*(-68.3--5))-(-5+((-5*-68.3)*(((-5--5)+(-68.3--5))+-68.3))))-(-5+-5)))*-5)))/-5)--5)+(-5*(((-68.3*(-68.3-(-5/-5)))*(-68.3-(-68.3/(-5*-68.3))))-(-5/-5)))))</f>
        <v>-1602611.615</v>
      </c>
      <c r="C3171" t="n" s="0">
        <v>-1602611.6149999998</v>
      </c>
    </row>
    <row r="3172">
      <c r="A3172" t="n" s="0">
        <v>-68.29</v>
      </c>
      <c r="B3172" t="n" s="0">
        <f>(-5-((((-5*(-5/((-5/(((-5*(-68.29--5))-(-5+((-5*-68.29)*(((-5--5)+(-68.29--5))+-68.29))))-(-5+-5)))*-5)))/-5)--5)+(-5*(((-68.29*(-68.29-(-5/-5)))*(-68.29-(-68.29/(-5*-68.29))))-(-5/-5)))))</f>
        <v>-1601909.222145</v>
      </c>
      <c r="C3172" t="n" s="0">
        <v>-1601909.2221450005</v>
      </c>
    </row>
    <row r="3173">
      <c r="A3173" t="n" s="0">
        <v>-68.28</v>
      </c>
      <c r="B3173" t="n" s="0">
        <f>(-5-((((-5*(-5/((-5/(((-5*(-68.28--5))-(-5+((-5*-68.28)*(((-5--5)+(-68.28--5))+-68.28))))-(-5+-5)))*-5)))/-5)--5)+(-5*(((-68.28*(-68.28-(-5/-5)))*(-68.28-(-68.28/(-5*-68.28))))-(-5/-5)))))</f>
        <v>-1601207.03456</v>
      </c>
      <c r="C3173" t="n" s="0">
        <v>-1601207.03456</v>
      </c>
    </row>
    <row r="3174">
      <c r="A3174" t="n" s="0">
        <v>-68.27</v>
      </c>
      <c r="B3174" t="n" s="0">
        <f>(-5-((((-5*(-5/((-5/(((-5*(-68.27--5))-(-5+((-5*-68.27)*(((-5--5)+(-68.27--5))+-68.27))))-(-5+-5)))*-5)))/-5)--5)+(-5*(((-68.27*(-68.27-(-5/-5)))*(-68.27-(-68.27/(-5*-68.27))))-(-5/-5)))))</f>
        <v>-1600505.0522150001</v>
      </c>
      <c r="C3174" t="n" s="0">
        <v>-1600505.0522149997</v>
      </c>
    </row>
    <row r="3175">
      <c r="A3175" t="n" s="0">
        <v>-68.26</v>
      </c>
      <c r="B3175" t="n" s="0">
        <f>(-5-((((-5*(-5/((-5/(((-5*(-68.26--5))-(-5+((-5*-68.26)*(((-5--5)+(-68.26--5))+-68.26))))-(-5+-5)))*-5)))/-5)--5)+(-5*(((-68.26*(-68.26-(-5/-5)))*(-68.26-(-68.26/(-5*-68.26))))-(-5/-5)))))</f>
        <v>-1599803.2750799998</v>
      </c>
      <c r="C3175" t="n" s="0">
        <v>-1599803.2750800007</v>
      </c>
    </row>
    <row r="3176">
      <c r="A3176" t="n" s="0">
        <v>-68.25</v>
      </c>
      <c r="B3176" t="n" s="0">
        <f>(-5-((((-5*(-5/((-5/(((-5*(-68.25--5))-(-5+((-5*-68.25)*(((-5--5)+(-68.25--5))+-68.25))))-(-5+-5)))*-5)))/-5)--5)+(-5*(((-68.25*(-68.25-(-5/-5)))*(-68.25-(-68.25/(-5*-68.25))))-(-5/-5)))))</f>
        <v>-1599101.703125</v>
      </c>
      <c r="C3176" t="n" s="0">
        <v>-1599101.703125</v>
      </c>
    </row>
    <row r="3177">
      <c r="A3177" t="n" s="0">
        <v>-68.24</v>
      </c>
      <c r="B3177" t="n" s="0">
        <f>(-5-((((-5*(-5/((-5/(((-5*(-68.24--5))-(-5+((-5*-68.24)*(((-5--5)+(-68.24--5))+-68.24))))-(-5+-5)))*-5)))/-5)--5)+(-5*(((-68.24*(-68.24-(-5/-5)))*(-68.24-(-68.24/(-5*-68.24))))-(-5/-5)))))</f>
        <v>-1598400.33632</v>
      </c>
      <c r="C3177" t="n" s="0">
        <v>-1598400.3363199998</v>
      </c>
    </row>
    <row r="3178">
      <c r="A3178" t="n" s="0">
        <v>-68.23</v>
      </c>
      <c r="B3178" t="n" s="0">
        <f>(-5-((((-5*(-5/((-5/(((-5*(-68.23--5))-(-5+((-5*-68.23)*(((-5--5)+(-68.23--5))+-68.23))))-(-5+-5)))*-5)))/-5)--5)+(-5*(((-68.23*(-68.23-(-5/-5)))*(-68.23-(-68.23/(-5*-68.23))))-(-5/-5)))))</f>
        <v>-1597699.174635</v>
      </c>
      <c r="C3178" t="n" s="0">
        <v>-1597699.174635</v>
      </c>
    </row>
    <row r="3179">
      <c r="A3179" t="n" s="0">
        <v>-68.22</v>
      </c>
      <c r="B3179" t="n" s="0">
        <f>(-5-((((-5*(-5/((-5/(((-5*(-68.22--5))-(-5+((-5*-68.22)*(((-5--5)+(-68.22--5))+-68.22))))-(-5+-5)))*-5)))/-5)--5)+(-5*(((-68.22*(-68.22-(-5/-5)))*(-68.22-(-68.22/(-5*-68.22))))-(-5/-5)))))</f>
        <v>-1596998.2180400002</v>
      </c>
      <c r="C3179" t="n" s="0">
        <v>-1596998.21804</v>
      </c>
    </row>
    <row r="3180">
      <c r="A3180" t="n" s="0">
        <v>-68.21</v>
      </c>
      <c r="B3180" t="n" s="0">
        <f>(-5-((((-5*(-5/((-5/(((-5*(-68.21--5))-(-5+((-5*-68.21)*(((-5--5)+(-68.21--5))+-68.21))))-(-5+-5)))*-5)))/-5)--5)+(-5*(((-68.21*(-68.21-(-5/-5)))*(-68.21-(-68.21/(-5*-68.21))))-(-5/-5)))))</f>
        <v>-1596297.4665050001</v>
      </c>
      <c r="C3180" t="n" s="0">
        <v>-1596297.4665049994</v>
      </c>
    </row>
    <row r="3181">
      <c r="A3181" t="n" s="0">
        <v>-68.2</v>
      </c>
      <c r="B3181" t="n" s="0">
        <f>(-5-((((-5*(-5/((-5/(((-5*(-68.2--5))-(-5+((-5*-68.2)*(((-5--5)+(-68.2--5))+-68.2))))-(-5+-5)))*-5)))/-5)--5)+(-5*(((-68.2*(-68.2-(-5/-5)))*(-68.2-(-68.2/(-5*-68.2))))-(-5/-5)))))</f>
        <v>-1595596.9200000002</v>
      </c>
      <c r="C3181" t="n" s="0">
        <v>-1595596.9200000002</v>
      </c>
    </row>
    <row r="3182">
      <c r="A3182" t="n" s="0">
        <v>-68.19</v>
      </c>
      <c r="B3182" t="n" s="0">
        <f>(-5-((((-5*(-5/((-5/(((-5*(-68.19--5))-(-5+((-5*-68.19)*(((-5--5)+(-68.19--5))+-68.19))))-(-5+-5)))*-5)))/-5)--5)+(-5*(((-68.19*(-68.19-(-5/-5)))*(-68.19-(-68.19/(-5*-68.19))))-(-5/-5)))))</f>
        <v>-1594896.578495</v>
      </c>
      <c r="C3182" t="n" s="0">
        <v>-1594896.5784949998</v>
      </c>
    </row>
    <row r="3183">
      <c r="A3183" t="n" s="0">
        <v>-68.18</v>
      </c>
      <c r="B3183" t="n" s="0">
        <f>(-5-((((-5*(-5/((-5/(((-5*(-68.18--5))-(-5+((-5*-68.18)*(((-5--5)+(-68.18--5))+-68.18))))-(-5+-5)))*-5)))/-5)--5)+(-5*(((-68.18*(-68.18-(-5/-5)))*(-68.18-(-68.18/(-5*-68.18))))-(-5/-5)))))</f>
        <v>-1594196.44196</v>
      </c>
      <c r="C3183" t="n" s="0">
        <v>-1594196.4419600007</v>
      </c>
    </row>
    <row r="3184">
      <c r="A3184" t="n" s="0">
        <v>-68.17</v>
      </c>
      <c r="B3184" t="n" s="0">
        <f>(-5-((((-5*(-5/((-5/(((-5*(-68.17--5))-(-5+((-5*-68.17)*(((-5--5)+(-68.17--5))+-68.17))))-(-5+-5)))*-5)))/-5)--5)+(-5*(((-68.17*(-68.17-(-5/-5)))*(-68.17-(-68.17/(-5*-68.17))))-(-5/-5)))))</f>
        <v>-1593496.5103649998</v>
      </c>
      <c r="C3184" t="n" s="0">
        <v>-1593496.5103650002</v>
      </c>
    </row>
    <row r="3185">
      <c r="A3185" t="n" s="0">
        <v>-68.16</v>
      </c>
      <c r="B3185" t="n" s="0">
        <f>(-5-((((-5*(-5/((-5/(((-5*(-68.16--5))-(-5+((-5*-68.16)*(((-5--5)+(-68.16--5))+-68.16))))-(-5+-5)))*-5)))/-5)--5)+(-5*(((-68.16*(-68.16-(-5/-5)))*(-68.16-(-68.16/(-5*-68.16))))-(-5/-5)))))</f>
        <v>-1592796.78368</v>
      </c>
      <c r="C3185" t="n" s="0">
        <v>-1592796.7836799996</v>
      </c>
    </row>
    <row r="3186">
      <c r="A3186" t="n" s="0">
        <v>-68.15</v>
      </c>
      <c r="B3186" t="n" s="0">
        <f>(-5-((((-5*(-5/((-5/(((-5*(-68.15--5))-(-5+((-5*-68.15)*(((-5--5)+(-68.15--5))+-68.15))))-(-5+-5)))*-5)))/-5)--5)+(-5*(((-68.15*(-68.15-(-5/-5)))*(-68.15-(-68.15/(-5*-68.15))))-(-5/-5)))))</f>
        <v>-1592097.261875</v>
      </c>
      <c r="C3186" t="n" s="0">
        <v>-1592097.2618750003</v>
      </c>
    </row>
    <row r="3187">
      <c r="A3187" t="n" s="0">
        <v>-68.14</v>
      </c>
      <c r="B3187" t="n" s="0">
        <f>(-5-((((-5*(-5/((-5/(((-5*(-68.14--5))-(-5+((-5*-68.14)*(((-5--5)+(-68.14--5))+-68.14))))-(-5+-5)))*-5)))/-5)--5)+(-5*(((-68.14*(-68.14-(-5/-5)))*(-68.14-(-68.14/(-5*-68.14))))-(-5/-5)))))</f>
        <v>-1591397.94492</v>
      </c>
      <c r="C3187" t="n" s="0">
        <v>-1591397.94492</v>
      </c>
    </row>
    <row r="3188">
      <c r="A3188" t="n" s="0">
        <v>-68.13</v>
      </c>
      <c r="B3188" t="n" s="0">
        <f>(-5-((((-5*(-5/((-5/(((-5*(-68.13--5))-(-5+((-5*-68.13)*(((-5--5)+(-68.13--5))+-68.13))))-(-5+-5)))*-5)))/-5)--5)+(-5*(((-68.13*(-68.13-(-5/-5)))*(-68.13-(-68.13/(-5*-68.13))))-(-5/-5)))))</f>
        <v>-1590698.832785</v>
      </c>
      <c r="C3188" t="n" s="0">
        <v>-1590698.8327849996</v>
      </c>
    </row>
    <row r="3189">
      <c r="A3189" t="n" s="0">
        <v>-68.12</v>
      </c>
      <c r="B3189" t="n" s="0">
        <f>(-5-((((-5*(-5/((-5/(((-5*(-68.12--5))-(-5+((-5*-68.12)*(((-5--5)+(-68.12--5))+-68.12))))-(-5+-5)))*-5)))/-5)--5)+(-5*(((-68.12*(-68.12-(-5/-5)))*(-68.12-(-68.12/(-5*-68.12))))-(-5/-5)))))</f>
        <v>-1589999.92544</v>
      </c>
      <c r="C3189" t="n" s="0">
        <v>-1589999.9254400006</v>
      </c>
    </row>
    <row r="3190">
      <c r="A3190" t="n" s="0">
        <v>-68.11</v>
      </c>
      <c r="B3190" t="n" s="0">
        <f>(-5-((((-5*(-5/((-5/(((-5*(-68.11--5))-(-5+((-5*-68.11)*(((-5--5)+(-68.11--5))+-68.11))))-(-5+-5)))*-5)))/-5)--5)+(-5*(((-68.11*(-68.11-(-5/-5)))*(-68.11-(-68.11/(-5*-68.11))))-(-5/-5)))))</f>
        <v>-1589301.222855</v>
      </c>
      <c r="C3190" t="n" s="0">
        <v>-1589301.222855</v>
      </c>
    </row>
    <row r="3191">
      <c r="A3191" t="n" s="0">
        <v>-68.1</v>
      </c>
      <c r="B3191" t="n" s="0">
        <f>(-5-((((-5*(-5/((-5/(((-5*(-68.1--5))-(-5+((-5*-68.1)*(((-5--5)+(-68.1--5))+-68.1))))-(-5+-5)))*-5)))/-5)--5)+(-5*(((-68.1*(-68.1-(-5/-5)))*(-68.1-(-68.1/(-5*-68.1))))-(-5/-5)))))</f>
        <v>-1588602.7249999999</v>
      </c>
      <c r="C3191" t="n" s="0">
        <v>-1588602.7249999996</v>
      </c>
    </row>
    <row r="3192">
      <c r="A3192" t="n" s="0">
        <v>-68.09</v>
      </c>
      <c r="B3192" t="n" s="0">
        <f>(-5-((((-5*(-5/((-5/(((-5*(-68.09--5))-(-5+((-5*-68.09)*(((-5--5)+(-68.09--5))+-68.09))))-(-5+-5)))*-5)))/-5)--5)+(-5*(((-68.09*(-68.09-(-5/-5)))*(-68.09-(-68.09/(-5*-68.09))))-(-5/-5)))))</f>
        <v>-1587904.431845</v>
      </c>
      <c r="C3192" t="n" s="0">
        <v>-1587904.431845</v>
      </c>
    </row>
    <row r="3193">
      <c r="A3193" t="n" s="0">
        <v>-68.08</v>
      </c>
      <c r="B3193" t="n" s="0">
        <f>(-5-((((-5*(-5/((-5/(((-5*(-68.08--5))-(-5+((-5*-68.08)*(((-5--5)+(-68.08--5))+-68.08))))-(-5+-5)))*-5)))/-5)--5)+(-5*(((-68.08*(-68.08-(-5/-5)))*(-68.08-(-68.08/(-5*-68.08))))-(-5/-5)))))</f>
        <v>-1587206.3433599998</v>
      </c>
      <c r="C3193" t="n" s="0">
        <v>-1587206.3433599998</v>
      </c>
    </row>
    <row r="3194">
      <c r="A3194" t="n" s="0">
        <v>-68.07</v>
      </c>
      <c r="B3194" t="n" s="0">
        <f>(-5-((((-5*(-5/((-5/(((-5*(-68.07--5))-(-5+((-5*-68.07)*(((-5--5)+(-68.07--5))+-68.07))))-(-5+-5)))*-5)))/-5)--5)+(-5*(((-68.07*(-68.07-(-5/-5)))*(-68.07-(-68.07/(-5*-68.07))))-(-5/-5)))))</f>
        <v>-1586508.459515</v>
      </c>
      <c r="C3194" t="n" s="0">
        <v>-1586508.4595149993</v>
      </c>
    </row>
    <row r="3195">
      <c r="A3195" t="n" s="0">
        <v>-68.06</v>
      </c>
      <c r="B3195" t="n" s="0">
        <f>(-5-((((-5*(-5/((-5/(((-5*(-68.06--5))-(-5+((-5*-68.06)*(((-5--5)+(-68.06--5))+-68.06))))-(-5+-5)))*-5)))/-5)--5)+(-5*(((-68.06*(-68.06-(-5/-5)))*(-68.06-(-68.06/(-5*-68.06))))-(-5/-5)))))</f>
        <v>-1585810.78028</v>
      </c>
      <c r="C3195" t="n" s="0">
        <v>-1585810.78028</v>
      </c>
    </row>
    <row r="3196">
      <c r="A3196" t="n" s="0">
        <v>-68.05</v>
      </c>
      <c r="B3196" t="n" s="0">
        <f>(-5-((((-5*(-5/((-5/(((-5*(-68.05--5))-(-5+((-5*-68.05)*(((-5--5)+(-68.05--5))+-68.05))))-(-5+-5)))*-5)))/-5)--5)+(-5*(((-68.05*(-68.05-(-5/-5)))*(-68.05-(-68.05/(-5*-68.05))))-(-5/-5)))))</f>
        <v>-1585113.305625</v>
      </c>
      <c r="C3196" t="n" s="0">
        <v>-1585113.3056249996</v>
      </c>
    </row>
    <row r="3197">
      <c r="A3197" t="n" s="0">
        <v>-68.04</v>
      </c>
      <c r="B3197" t="n" s="0">
        <f>(-5-((((-5*(-5/((-5/(((-5*(-68.04--5))-(-5+((-5*-68.04)*(((-5--5)+(-68.04--5))+-68.04))))-(-5+-5)))*-5)))/-5)--5)+(-5*(((-68.04*(-68.04-(-5/-5)))*(-68.04-(-68.04/(-5*-68.04))))-(-5/-5)))))</f>
        <v>-1584416.0355200002</v>
      </c>
      <c r="C3197" t="n" s="0">
        <v>-1584416.0355200006</v>
      </c>
    </row>
    <row r="3198">
      <c r="A3198" t="n" s="0">
        <v>-68.03</v>
      </c>
      <c r="B3198" t="n" s="0">
        <f>(-5-((((-5*(-5/((-5/(((-5*(-68.03--5))-(-5+((-5*-68.03)*(((-5--5)+(-68.03--5))+-68.03))))-(-5+-5)))*-5)))/-5)--5)+(-5*(((-68.03*(-68.03-(-5/-5)))*(-68.03-(-68.03/(-5*-68.03))))-(-5/-5)))))</f>
        <v>-1583718.969935</v>
      </c>
      <c r="C3198" t="n" s="0">
        <v>-1583718.969935</v>
      </c>
    </row>
    <row r="3199">
      <c r="A3199" t="n" s="0">
        <v>-68.02</v>
      </c>
      <c r="B3199" t="n" s="0">
        <f>(-5-((((-5*(-5/((-5/(((-5*(-68.02--5))-(-5+((-5*-68.02)*(((-5--5)+(-68.02--5))+-68.02))))-(-5+-5)))*-5)))/-5)--5)+(-5*(((-68.02*(-68.02-(-5/-5)))*(-68.02-(-68.02/(-5*-68.02))))-(-5/-5)))))</f>
        <v>-1583022.1088400001</v>
      </c>
      <c r="C3199" t="n" s="0">
        <v>-1583022.1088399997</v>
      </c>
    </row>
    <row r="3200">
      <c r="A3200" t="n" s="0">
        <v>-68.01</v>
      </c>
      <c r="B3200" t="n" s="0">
        <f>(-5-((((-5*(-5/((-5/(((-5*(-68.01--5))-(-5+((-5*-68.01)*(((-5--5)+(-68.01--5))+-68.01))))-(-5+-5)))*-5)))/-5)--5)+(-5*(((-68.01*(-68.01-(-5/-5)))*(-68.01-(-68.01/(-5*-68.01))))-(-5/-5)))))</f>
        <v>-1582325.452205</v>
      </c>
      <c r="C3200" t="n" s="0">
        <v>-1582325.4522050004</v>
      </c>
    </row>
    <row r="3201">
      <c r="A3201" t="n" s="0">
        <v>-68.0</v>
      </c>
      <c r="B3201" t="n" s="0">
        <f>(-5-((((-5*(-5/((-5/(((-5*(-68--5))-(-5+((-5*-68)*(((-5--5)+(-68--5))+-68))))-(-5+-5)))*-5)))/-5)--5)+(-5*(((-68*(-68-(-5/-5)))*(-68-(-68/(-5*-68))))-(-5/-5)))))</f>
        <v>-1581629.0</v>
      </c>
      <c r="C3201" t="n" s="0">
        <v>-1581629.0</v>
      </c>
    </row>
    <row r="3202">
      <c r="A3202" t="n" s="0">
        <v>-67.99</v>
      </c>
      <c r="B3202" t="n" s="0">
        <f>(-5-((((-5*(-5/((-5/(((-5*(-67.99--5))-(-5+((-5*-67.99)*(((-5--5)+(-67.99--5))+-67.99))))-(-5+-5)))*-5)))/-5)--5)+(-5*(((-67.99*(-67.99-(-5/-5)))*(-67.99-(-67.99/(-5*-67.99))))-(-5/-5)))))</f>
        <v>-1580932.752195</v>
      </c>
      <c r="C3202" t="n" s="0">
        <v>-1580932.7521949995</v>
      </c>
    </row>
    <row r="3203">
      <c r="A3203" t="n" s="0">
        <v>-67.98</v>
      </c>
      <c r="B3203" t="n" s="0">
        <f>(-5-((((-5*(-5/((-5/(((-5*(-67.98--5))-(-5+((-5*-67.98)*(((-5--5)+(-67.98--5))+-67.98))))-(-5+-5)))*-5)))/-5)--5)+(-5*(((-67.98*(-67.98-(-5/-5)))*(-67.98-(-67.98/(-5*-67.98))))-(-5/-5)))))</f>
        <v>-1580236.70876</v>
      </c>
      <c r="C3203" t="n" s="0">
        <v>-1580236.7087600003</v>
      </c>
    </row>
    <row r="3204">
      <c r="A3204" t="n" s="0">
        <v>-67.97</v>
      </c>
      <c r="B3204" t="n" s="0">
        <f>(-5-((((-5*(-5/((-5/(((-5*(-67.97--5))-(-5+((-5*-67.97)*(((-5--5)+(-67.97--5))+-67.97))))-(-5+-5)))*-5)))/-5)--5)+(-5*(((-67.97*(-67.97-(-5/-5)))*(-67.97-(-67.97/(-5*-67.97))))-(-5/-5)))))</f>
        <v>-1579540.8696650001</v>
      </c>
      <c r="C3204" t="n" s="0">
        <v>-1579540.869665</v>
      </c>
    </row>
    <row r="3205">
      <c r="A3205" t="n" s="0">
        <v>-67.96</v>
      </c>
      <c r="B3205" t="n" s="0">
        <f>(-5-((((-5*(-5/((-5/(((-5*(-67.96--5))-(-5+((-5*-67.96)*(((-5--5)+(-67.96--5))+-67.96))))-(-5+-5)))*-5)))/-5)--5)+(-5*(((-67.96*(-67.96-(-5/-5)))*(-67.96-(-67.96/(-5*-67.96))))-(-5/-5)))))</f>
        <v>-1578845.2348800001</v>
      </c>
      <c r="C3205" t="n" s="0">
        <v>-1578845.2348799997</v>
      </c>
    </row>
    <row r="3206">
      <c r="A3206" t="n" s="0">
        <v>-67.95</v>
      </c>
      <c r="B3206" t="n" s="0">
        <f>(-5-((((-5*(-5/((-5/(((-5*(-67.95--5))-(-5+((-5*-67.95)*(((-5--5)+(-67.95--5))+-67.95))))-(-5+-5)))*-5)))/-5)--5)+(-5*(((-67.95*(-67.95-(-5/-5)))*(-67.95-(-67.95/(-5*-67.95))))-(-5/-5)))))</f>
        <v>-1578149.804375</v>
      </c>
      <c r="C3206" t="n" s="0">
        <v>-1578149.804375</v>
      </c>
    </row>
    <row r="3207">
      <c r="A3207" t="n" s="0">
        <v>-67.94</v>
      </c>
      <c r="B3207" t="n" s="0">
        <f>(-5-((((-5*(-5/((-5/(((-5*(-67.94--5))-(-5+((-5*-67.94)*(((-5--5)+(-67.94--5))+-67.94))))-(-5+-5)))*-5)))/-5)--5)+(-5*(((-67.94*(-67.94-(-5/-5)))*(-67.94-(-67.94/(-5*-67.94))))-(-5/-5)))))</f>
        <v>-1577454.57812</v>
      </c>
      <c r="C3207" t="n" s="0">
        <v>-1577454.57812</v>
      </c>
    </row>
    <row r="3208">
      <c r="A3208" t="n" s="0">
        <v>-67.93</v>
      </c>
      <c r="B3208" t="n" s="0">
        <f>(-5-((((-5*(-5/((-5/(((-5*(-67.93--5))-(-5+((-5*-67.93)*(((-5--5)+(-67.93--5))+-67.93))))-(-5+-5)))*-5)))/-5)--5)+(-5*(((-67.93*(-67.93-(-5/-5)))*(-67.93-(-67.93/(-5*-67.93))))-(-5/-5)))))</f>
        <v>-1576759.556085</v>
      </c>
      <c r="C3208" t="n" s="0">
        <v>-1576759.5560850005</v>
      </c>
    </row>
    <row r="3209">
      <c r="A3209" t="n" s="0">
        <v>-67.92</v>
      </c>
      <c r="B3209" t="n" s="0">
        <f>(-5-((((-5*(-5/((-5/(((-5*(-67.92--5))-(-5+((-5*-67.92)*(((-5--5)+(-67.92--5))+-67.92))))-(-5+-5)))*-5)))/-5)--5)+(-5*(((-67.92*(-67.92-(-5/-5)))*(-67.92-(-67.92/(-5*-67.92))))-(-5/-5)))))</f>
        <v>-1576064.73824</v>
      </c>
      <c r="C3209" t="n" s="0">
        <v>-1576064.73824</v>
      </c>
    </row>
    <row r="3210">
      <c r="A3210" t="n" s="0">
        <v>-67.91</v>
      </c>
      <c r="B3210" t="n" s="0">
        <f>(-5-((((-5*(-5/((-5/(((-5*(-67.91--5))-(-5+((-5*-67.91)*(((-5--5)+(-67.91--5))+-67.91))))-(-5+-5)))*-5)))/-5)--5)+(-5*(((-67.91*(-67.91-(-5/-5)))*(-67.91-(-67.91/(-5*-67.91))))-(-5/-5)))))</f>
        <v>-1575370.1245549999</v>
      </c>
      <c r="C3210" t="n" s="0">
        <v>-1575370.1245549996</v>
      </c>
    </row>
    <row r="3211">
      <c r="A3211" t="n" s="0">
        <v>-67.9</v>
      </c>
      <c r="B3211" t="n" s="0">
        <f>(-5-((((-5*(-5/((-5/(((-5*(-67.9--5))-(-5+((-5*-67.9)*(((-5--5)+(-67.9--5))+-67.9))))-(-5+-5)))*-5)))/-5)--5)+(-5*(((-67.9*(-67.9-(-5/-5)))*(-67.9-(-67.9/(-5*-67.9))))-(-5/-5)))))</f>
        <v>-1574675.715</v>
      </c>
      <c r="C3211" t="n" s="0">
        <v>-1574675.7150000005</v>
      </c>
    </row>
    <row r="3212">
      <c r="A3212" t="n" s="0">
        <v>-67.89</v>
      </c>
      <c r="B3212" t="n" s="0">
        <f>(-5-((((-5*(-5/((-5/(((-5*(-67.89--5))-(-5+((-5*-67.89)*(((-5--5)+(-67.89--5))+-67.89))))-(-5+-5)))*-5)))/-5)--5)+(-5*(((-67.89*(-67.89-(-5/-5)))*(-67.89-(-67.89/(-5*-67.89))))-(-5/-5)))))</f>
        <v>-1573981.509545</v>
      </c>
      <c r="C3212" t="n" s="0">
        <v>-1573981.509545</v>
      </c>
    </row>
    <row r="3213">
      <c r="A3213" t="n" s="0">
        <v>-67.88</v>
      </c>
      <c r="B3213" t="n" s="0">
        <f>(-5-((((-5*(-5/((-5/(((-5*(-67.88--5))-(-5+((-5*-67.88)*(((-5--5)+(-67.88--5))+-67.88))))-(-5+-5)))*-5)))/-5)--5)+(-5*(((-67.88*(-67.88-(-5/-5)))*(-67.88-(-67.88/(-5*-67.88))))-(-5/-5)))))</f>
        <v>-1573287.50816</v>
      </c>
      <c r="C3213" t="n" s="0">
        <v>-1573287.5081599997</v>
      </c>
    </row>
    <row r="3214">
      <c r="A3214" t="n" s="0">
        <v>-67.87</v>
      </c>
      <c r="B3214" t="n" s="0">
        <f>(-5-((((-5*(-5/((-5/(((-5*(-67.87--5))-(-5+((-5*-67.87)*(((-5--5)+(-67.87--5))+-67.87))))-(-5+-5)))*-5)))/-5)--5)+(-5*(((-67.87*(-67.87-(-5/-5)))*(-67.87-(-67.87/(-5*-67.87))))-(-5/-5)))))</f>
        <v>-1572593.7108149999</v>
      </c>
      <c r="C3214" t="n" s="0">
        <v>-1572593.7108150003</v>
      </c>
    </row>
    <row r="3215">
      <c r="A3215" t="n" s="0">
        <v>-67.86</v>
      </c>
      <c r="B3215" t="n" s="0">
        <f>(-5-((((-5*(-5/((-5/(((-5*(-67.86--5))-(-5+((-5*-67.86)*(((-5--5)+(-67.86--5))+-67.86))))-(-5+-5)))*-5)))/-5)--5)+(-5*(((-67.86*(-67.86-(-5/-5)))*(-67.86-(-67.86/(-5*-67.86))))-(-5/-5)))))</f>
        <v>-1571900.11748</v>
      </c>
      <c r="C3215" t="n" s="0">
        <v>-1571900.1174799998</v>
      </c>
    </row>
    <row r="3216">
      <c r="A3216" t="n" s="0">
        <v>-67.85</v>
      </c>
      <c r="B3216" t="n" s="0">
        <f>(-5-((((-5*(-5/((-5/(((-5*(-67.85--5))-(-5+((-5*-67.85)*(((-5--5)+(-67.85--5))+-67.85))))-(-5+-5)))*-5)))/-5)--5)+(-5*(((-67.85*(-67.85-(-5/-5)))*(-67.85-(-67.85/(-5*-67.85))))-(-5/-5)))))</f>
        <v>-1571206.7281250001</v>
      </c>
      <c r="C3216" t="n" s="0">
        <v>-1571206.728125</v>
      </c>
    </row>
    <row r="3217">
      <c r="A3217" t="n" s="0">
        <v>-67.84</v>
      </c>
      <c r="B3217" t="n" s="0">
        <f>(-5-((((-5*(-5/((-5/(((-5*(-67.84--5))-(-5+((-5*-67.84)*(((-5--5)+(-67.84--5))+-67.84))))-(-5+-5)))*-5)))/-5)--5)+(-5*(((-67.84*(-67.84-(-5/-5)))*(-67.84-(-67.84/(-5*-67.84))))-(-5/-5)))))</f>
        <v>-1570513.54272</v>
      </c>
      <c r="C3217" t="n" s="0">
        <v>-1570513.5427200003</v>
      </c>
    </row>
    <row r="3218">
      <c r="A3218" t="n" s="0">
        <v>-67.83</v>
      </c>
      <c r="B3218" t="n" s="0">
        <f>(-5-((((-5*(-5/((-5/(((-5*(-67.83--5))-(-5+((-5*-67.83)*(((-5--5)+(-67.83--5))+-67.83))))-(-5+-5)))*-5)))/-5)--5)+(-5*(((-67.83*(-67.83-(-5/-5)))*(-67.83-(-67.83/(-5*-67.83))))-(-5/-5)))))</f>
        <v>-1569820.561235</v>
      </c>
      <c r="C3218" t="n" s="0">
        <v>-1569820.561235</v>
      </c>
    </row>
    <row r="3219">
      <c r="A3219" t="n" s="0">
        <v>-67.82</v>
      </c>
      <c r="B3219" t="n" s="0">
        <f>(-5-((((-5*(-5/((-5/(((-5*(-67.82--5))-(-5+((-5*-67.82)*(((-5--5)+(-67.82--5))+-67.82))))-(-5+-5)))*-5)))/-5)--5)+(-5*(((-67.82*(-67.82-(-5/-5)))*(-67.82-(-67.82/(-5*-67.82))))-(-5/-5)))))</f>
        <v>-1569127.78364</v>
      </c>
      <c r="C3219" t="n" s="0">
        <v>-1569127.7836399996</v>
      </c>
    </row>
    <row r="3220">
      <c r="A3220" t="n" s="0">
        <v>-67.81</v>
      </c>
      <c r="B3220" t="n" s="0">
        <f>(-5-((((-5*(-5/((-5/(((-5*(-67.81--5))-(-5+((-5*-67.81)*(((-5--5)+(-67.81--5))+-67.81))))-(-5+-5)))*-5)))/-5)--5)+(-5*(((-67.81*(-67.81-(-5/-5)))*(-67.81-(-67.81/(-5*-67.81))))-(-5/-5)))))</f>
        <v>-1568435.209905</v>
      </c>
      <c r="C3220" t="n" s="0">
        <v>-1568435.209905</v>
      </c>
    </row>
    <row r="3221">
      <c r="A3221" t="n" s="0">
        <v>-67.8</v>
      </c>
      <c r="B3221" t="n" s="0">
        <f>(-5-((((-5*(-5/((-5/(((-5*(-67.8--5))-(-5+((-5*-67.8)*(((-5--5)+(-67.8--5))+-67.8))))-(-5+-5)))*-5)))/-5)--5)+(-5*(((-67.8*(-67.8-(-5/-5)))*(-67.8-(-67.8/(-5*-67.8))))-(-5/-5)))))</f>
        <v>-1567742.84</v>
      </c>
      <c r="C3221" t="n" s="0">
        <v>-1567742.8399999996</v>
      </c>
    </row>
    <row r="3222">
      <c r="A3222" t="n" s="0">
        <v>-67.79</v>
      </c>
      <c r="B3222" t="n" s="0">
        <f>(-5-((((-5*(-5/((-5/(((-5*(-67.79--5))-(-5+((-5*-67.79)*(((-5--5)+(-67.79--5))+-67.79))))-(-5+-5)))*-5)))/-5)--5)+(-5*(((-67.79*(-67.79-(-5/-5)))*(-67.79-(-67.79/(-5*-67.79))))-(-5/-5)))))</f>
        <v>-1567050.673895</v>
      </c>
      <c r="C3222" t="n" s="0">
        <v>-1567050.6738950005</v>
      </c>
    </row>
    <row r="3223">
      <c r="A3223" t="n" s="0">
        <v>-67.78</v>
      </c>
      <c r="B3223" t="n" s="0">
        <f>(-5-((((-5*(-5/((-5/(((-5*(-67.78--5))-(-5+((-5*-67.78)*(((-5--5)+(-67.78--5))+-67.78))))-(-5+-5)))*-5)))/-5)--5)+(-5*(((-67.78*(-67.78-(-5/-5)))*(-67.78-(-67.78/(-5*-67.78))))-(-5/-5)))))</f>
        <v>-1566358.71156</v>
      </c>
      <c r="C3223" t="n" s="0">
        <v>-1566358.7115600004</v>
      </c>
    </row>
    <row r="3224">
      <c r="A3224" t="n" s="0">
        <v>-67.77</v>
      </c>
      <c r="B3224" t="n" s="0">
        <f>(-5-((((-5*(-5/((-5/(((-5*(-67.77--5))-(-5+((-5*-67.77)*(((-5--5)+(-67.77--5))+-67.77))))-(-5+-5)))*-5)))/-5)--5)+(-5*(((-67.77*(-67.77-(-5/-5)))*(-67.77-(-67.77/(-5*-67.77))))-(-5/-5)))))</f>
        <v>-1565666.952965</v>
      </c>
      <c r="C3224" t="n" s="0">
        <v>-1565666.9529649997</v>
      </c>
    </row>
    <row r="3225">
      <c r="A3225" t="n" s="0">
        <v>-67.76</v>
      </c>
      <c r="B3225" t="n" s="0">
        <f>(-5-((((-5*(-5/((-5/(((-5*(-67.76--5))-(-5+((-5*-67.76)*(((-5--5)+(-67.76--5))+-67.76))))-(-5+-5)))*-5)))/-5)--5)+(-5*(((-67.76*(-67.76-(-5/-5)))*(-67.76-(-67.76/(-5*-67.76))))-(-5/-5)))))</f>
        <v>-1564975.39808</v>
      </c>
      <c r="C3225" t="n" s="0">
        <v>-1564975.3980800004</v>
      </c>
    </row>
    <row r="3226">
      <c r="A3226" t="n" s="0">
        <v>-67.75</v>
      </c>
      <c r="B3226" t="n" s="0">
        <f>(-5-((((-5*(-5/((-5/(((-5*(-67.75--5))-(-5+((-5*-67.75)*(((-5--5)+(-67.75--5))+-67.75))))-(-5+-5)))*-5)))/-5)--5)+(-5*(((-67.75*(-67.75-(-5/-5)))*(-67.75-(-67.75/(-5*-67.75))))-(-5/-5)))))</f>
        <v>-1564284.046875</v>
      </c>
      <c r="C3226" t="n" s="0">
        <v>-1564284.046875</v>
      </c>
    </row>
    <row r="3227">
      <c r="A3227" t="n" s="0">
        <v>-67.74</v>
      </c>
      <c r="B3227" t="n" s="0">
        <f>(-5-((((-5*(-5/((-5/(((-5*(-67.74--5))-(-5+((-5*-67.74)*(((-5--5)+(-67.74--5))+-67.74))))-(-5+-5)))*-5)))/-5)--5)+(-5*(((-67.74*(-67.74-(-5/-5)))*(-67.74-(-67.74/(-5*-67.74))))-(-5/-5)))))</f>
        <v>-1563592.89932</v>
      </c>
      <c r="C3227" t="n" s="0">
        <v>-1563592.8993199996</v>
      </c>
    </row>
    <row r="3228">
      <c r="A3228" t="n" s="0">
        <v>-67.73</v>
      </c>
      <c r="B3228" t="n" s="0">
        <f>(-5-((((-5*(-5/((-5/(((-5*(-67.73--5))-(-5+((-5*-67.73)*(((-5--5)+(-67.73--5))+-67.73))))-(-5+-5)))*-5)))/-5)--5)+(-5*(((-67.73*(-67.73-(-5/-5)))*(-67.73-(-67.73/(-5*-67.73))))-(-5/-5)))))</f>
        <v>-1562901.955385</v>
      </c>
      <c r="C3228" t="n" s="0">
        <v>-1562901.9553850004</v>
      </c>
    </row>
    <row r="3229">
      <c r="A3229" t="n" s="0">
        <v>-67.72</v>
      </c>
      <c r="B3229" t="n" s="0">
        <f>(-5-((((-5*(-5/((-5/(((-5*(-67.72--5))-(-5+((-5*-67.72)*(((-5--5)+(-67.72--5))+-67.72))))-(-5+-5)))*-5)))/-5)--5)+(-5*(((-67.72*(-67.72-(-5/-5)))*(-67.72-(-67.72/(-5*-67.72))))-(-5/-5)))))</f>
        <v>-1562211.2150400002</v>
      </c>
      <c r="C3229" t="n" s="0">
        <v>-1562211.21504</v>
      </c>
    </row>
    <row r="3230">
      <c r="A3230" t="n" s="0">
        <v>-67.71</v>
      </c>
      <c r="B3230" t="n" s="0">
        <f>(-5-((((-5*(-5/((-5/(((-5*(-67.71--5))-(-5+((-5*-67.71)*(((-5--5)+(-67.71--5))+-67.71))))-(-5+-5)))*-5)))/-5)--5)+(-5*(((-67.71*(-67.71-(-5/-5)))*(-67.71-(-67.71/(-5*-67.71))))-(-5/-5)))))</f>
        <v>-1561520.678255</v>
      </c>
      <c r="C3230" t="n" s="0">
        <v>-1561520.6782549995</v>
      </c>
    </row>
    <row r="3231">
      <c r="A3231" t="n" s="0">
        <v>-67.7</v>
      </c>
      <c r="B3231" t="n" s="0">
        <f>(-5-((((-5*(-5/((-5/(((-5*(-67.7--5))-(-5+((-5*-67.7)*(((-5--5)+(-67.7--5))+-67.7))))-(-5+-5)))*-5)))/-5)--5)+(-5*(((-67.7*(-67.7-(-5/-5)))*(-67.7-(-67.7/(-5*-67.7))))-(-5/-5)))))</f>
        <v>-1560830.345</v>
      </c>
      <c r="C3231" t="n" s="0">
        <v>-1560830.3450000004</v>
      </c>
    </row>
    <row r="3232">
      <c r="A3232" t="n" s="0">
        <v>-67.69</v>
      </c>
      <c r="B3232" t="n" s="0">
        <f>(-5-((((-5*(-5/((-5/(((-5*(-67.69--5))-(-5+((-5*-67.69)*(((-5--5)+(-67.69--5))+-67.69))))-(-5+-5)))*-5)))/-5)--5)+(-5*(((-67.69*(-67.69-(-5/-5)))*(-67.69-(-67.69/(-5*-67.69))))-(-5/-5)))))</f>
        <v>-1560140.2152449999</v>
      </c>
      <c r="C3232" t="n" s="0">
        <v>-1560140.215245</v>
      </c>
    </row>
    <row r="3233">
      <c r="A3233" t="n" s="0">
        <v>-67.68</v>
      </c>
      <c r="B3233" t="n" s="0">
        <f>(-5-((((-5*(-5/((-5/(((-5*(-67.68--5))-(-5+((-5*-67.68)*(((-5--5)+(-67.68--5))+-67.68))))-(-5+-5)))*-5)))/-5)--5)+(-5*(((-67.68*(-67.68-(-5/-5)))*(-67.68-(-67.68/(-5*-67.68))))-(-5/-5)))))</f>
        <v>-1559450.28896</v>
      </c>
      <c r="C3233" t="n" s="0">
        <v>-1559450.2889600005</v>
      </c>
    </row>
    <row r="3234">
      <c r="A3234" t="n" s="0">
        <v>-67.67</v>
      </c>
      <c r="B3234" t="n" s="0">
        <f>(-5-((((-5*(-5/((-5/(((-5*(-67.67--5))-(-5+((-5*-67.67)*(((-5--5)+(-67.67--5))+-67.67))))-(-5+-5)))*-5)))/-5)--5)+(-5*(((-67.67*(-67.67-(-5/-5)))*(-67.67-(-67.67/(-5*-67.67))))-(-5/-5)))))</f>
        <v>-1558760.566115</v>
      </c>
      <c r="C3234" t="n" s="0">
        <v>-1558760.566115</v>
      </c>
    </row>
    <row r="3235">
      <c r="A3235" t="n" s="0">
        <v>-67.66</v>
      </c>
      <c r="B3235" t="n" s="0">
        <f>(-5-((((-5*(-5/((-5/(((-5*(-67.66--5))-(-5+((-5*-67.66)*(((-5--5)+(-67.66--5))+-67.66))))-(-5+-5)))*-5)))/-5)--5)+(-5*(((-67.66*(-67.66-(-5/-5)))*(-67.66-(-67.66/(-5*-67.66))))-(-5/-5)))))</f>
        <v>-1558071.0466800001</v>
      </c>
      <c r="C3235" t="n" s="0">
        <v>-1558071.0466799997</v>
      </c>
    </row>
    <row r="3236">
      <c r="A3236" t="n" s="0">
        <v>-67.65</v>
      </c>
      <c r="B3236" t="n" s="0">
        <f>(-5-((((-5*(-5/((-5/(((-5*(-67.65--5))-(-5+((-5*-67.65)*(((-5--5)+(-67.65--5))+-67.65))))-(-5+-5)))*-5)))/-5)--5)+(-5*(((-67.65*(-67.65-(-5/-5)))*(-67.65-(-67.65/(-5*-67.65))))-(-5/-5)))))</f>
        <v>-1557381.7306249999</v>
      </c>
      <c r="C3236" t="n" s="0">
        <v>-1557381.730625</v>
      </c>
    </row>
    <row r="3237">
      <c r="A3237" t="n" s="0">
        <v>-67.64</v>
      </c>
      <c r="B3237" t="n" s="0">
        <f>(-5-((((-5*(-5/((-5/(((-5*(-67.64--5))-(-5+((-5*-67.64)*(((-5--5)+(-67.64--5))+-67.64))))-(-5+-5)))*-5)))/-5)--5)+(-5*(((-67.64*(-67.64-(-5/-5)))*(-67.64-(-67.64/(-5*-67.64))))-(-5/-5)))))</f>
        <v>-1556692.61792</v>
      </c>
      <c r="C3237" t="n" s="0">
        <v>-1556692.6179199999</v>
      </c>
    </row>
    <row r="3238">
      <c r="A3238" t="n" s="0">
        <v>-67.63</v>
      </c>
      <c r="B3238" t="n" s="0">
        <f>(-5-((((-5*(-5/((-5/(((-5*(-67.63--5))-(-5+((-5*-67.63)*(((-5--5)+(-67.63--5))+-67.63))))-(-5+-5)))*-5)))/-5)--5)+(-5*(((-67.63*(-67.63-(-5/-5)))*(-67.63-(-67.63/(-5*-67.63))))-(-5/-5)))))</f>
        <v>-1556003.708535</v>
      </c>
      <c r="C3238" t="n" s="0">
        <v>-1556003.7085349995</v>
      </c>
    </row>
    <row r="3239">
      <c r="A3239" t="n" s="0">
        <v>-67.62</v>
      </c>
      <c r="B3239" t="n" s="0">
        <f>(-5-((((-5*(-5/((-5/(((-5*(-67.62--5))-(-5+((-5*-67.62)*(((-5--5)+(-67.62--5))+-67.62))))-(-5+-5)))*-5)))/-5)--5)+(-5*(((-67.62*(-67.62-(-5/-5)))*(-67.62-(-67.62/(-5*-67.62))))-(-5/-5)))))</f>
        <v>-1555315.00244</v>
      </c>
      <c r="C3239" t="n" s="0">
        <v>-1555315.0024400007</v>
      </c>
    </row>
    <row r="3240">
      <c r="A3240" t="n" s="0">
        <v>-67.61</v>
      </c>
      <c r="B3240" t="n" s="0">
        <f>(-5-((((-5*(-5/((-5/(((-5*(-67.61--5))-(-5+((-5*-67.61)*(((-5--5)+(-67.61--5))+-67.61))))-(-5+-5)))*-5)))/-5)--5)+(-5*(((-67.61*(-67.61-(-5/-5)))*(-67.61-(-67.61/(-5*-67.61))))-(-5/-5)))))</f>
        <v>-1554626.499605</v>
      </c>
      <c r="C3240" t="n" s="0">
        <v>-1554626.499605</v>
      </c>
    </row>
    <row r="3241">
      <c r="A3241" t="n" s="0">
        <v>-67.6</v>
      </c>
      <c r="B3241" t="n" s="0">
        <f>(-5-((((-5*(-5/((-5/(((-5*(-67.6--5))-(-5+((-5*-67.6)*(((-5--5)+(-67.6--5))+-67.6))))-(-5+-5)))*-5)))/-5)--5)+(-5*(((-67.6*(-67.6-(-5/-5)))*(-67.6-(-67.6/(-5*-67.6))))-(-5/-5)))))</f>
        <v>-1553938.2</v>
      </c>
      <c r="C3241" t="n" s="0">
        <v>-1553938.1999999995</v>
      </c>
    </row>
    <row r="3242">
      <c r="A3242" t="n" s="0">
        <v>-67.59</v>
      </c>
      <c r="B3242" t="n" s="0">
        <f>(-5-((((-5*(-5/((-5/(((-5*(-67.59--5))-(-5+((-5*-67.59)*(((-5--5)+(-67.59--5))+-67.59))))-(-5+-5)))*-5)))/-5)--5)+(-5*(((-67.59*(-67.59-(-5/-5)))*(-67.59-(-67.59/(-5*-67.59))))-(-5/-5)))))</f>
        <v>-1553250.103595</v>
      </c>
      <c r="C3242" t="n" s="0">
        <v>-1553250.103595</v>
      </c>
    </row>
    <row r="3243">
      <c r="A3243" t="n" s="0">
        <v>-67.58</v>
      </c>
      <c r="B3243" t="n" s="0">
        <f>(-5-((((-5*(-5/((-5/(((-5*(-67.58--5))-(-5+((-5*-67.58)*(((-5--5)+(-67.58--5))+-67.58))))-(-5+-5)))*-5)))/-5)--5)+(-5*(((-67.58*(-67.58-(-5/-5)))*(-67.58-(-67.58/(-5*-67.58))))-(-5/-5)))))</f>
        <v>-1552562.2103600001</v>
      </c>
      <c r="C3243" t="n" s="0">
        <v>-1552562.21036</v>
      </c>
    </row>
    <row r="3244">
      <c r="A3244" t="n" s="0">
        <v>-67.57</v>
      </c>
      <c r="B3244" t="n" s="0">
        <f>(-5-((((-5*(-5/((-5/(((-5*(-67.57--5))-(-5+((-5*-67.57)*(((-5--5)+(-67.57--5))+-67.57))))-(-5+-5)))*-5)))/-5)--5)+(-5*(((-67.57*(-67.57-(-5/-5)))*(-67.57-(-67.57/(-5*-67.57))))-(-5/-5)))))</f>
        <v>-1551874.520265</v>
      </c>
      <c r="C3244" t="n" s="0">
        <v>-1551874.5202649995</v>
      </c>
    </row>
    <row r="3245">
      <c r="A3245" t="n" s="0">
        <v>-67.56</v>
      </c>
      <c r="B3245" t="n" s="0">
        <f>(-5-((((-5*(-5/((-5/(((-5*(-67.56--5))-(-5+((-5*-67.56)*(((-5--5)+(-67.56--5))+-67.56))))-(-5+-5)))*-5)))/-5)--5)+(-5*(((-67.56*(-67.56-(-5/-5)))*(-67.56-(-67.56/(-5*-67.56))))-(-5/-5)))))</f>
        <v>-1551187.0332799999</v>
      </c>
      <c r="C3245" t="n" s="0">
        <v>-1551187.03328</v>
      </c>
    </row>
    <row r="3246">
      <c r="A3246" t="n" s="0">
        <v>-67.55</v>
      </c>
      <c r="B3246" t="n" s="0">
        <f>(-5-((((-5*(-5/((-5/(((-5*(-67.55--5))-(-5+((-5*-67.55)*(((-5--5)+(-67.55--5))+-67.55))))-(-5+-5)))*-5)))/-5)--5)+(-5*(((-67.55*(-67.55-(-5/-5)))*(-67.55-(-67.55/(-5*-67.55))))-(-5/-5)))))</f>
        <v>-1550499.7493750001</v>
      </c>
      <c r="C3246" t="n" s="0">
        <v>-1550499.7493749994</v>
      </c>
    </row>
    <row r="3247">
      <c r="A3247" t="n" s="0">
        <v>-67.54</v>
      </c>
      <c r="B3247" t="n" s="0">
        <f>(-5-((((-5*(-5/((-5/(((-5*(-67.54--5))-(-5+((-5*-67.54)*(((-5--5)+(-67.54--5))+-67.54))))-(-5+-5)))*-5)))/-5)--5)+(-5*(((-67.54*(-67.54-(-5/-5)))*(-67.54-(-67.54/(-5*-67.54))))-(-5/-5)))))</f>
        <v>-1549812.66852</v>
      </c>
      <c r="C3247" t="n" s="0">
        <v>-1549812.6685200005</v>
      </c>
    </row>
    <row r="3248">
      <c r="A3248" t="n" s="0">
        <v>-67.53</v>
      </c>
      <c r="B3248" t="n" s="0">
        <f>(-5-((((-5*(-5/((-5/(((-5*(-67.53--5))-(-5+((-5*-67.53)*(((-5--5)+(-67.53--5))+-67.53))))-(-5+-5)))*-5)))/-5)--5)+(-5*(((-67.53*(-67.53-(-5/-5)))*(-67.53-(-67.53/(-5*-67.53))))-(-5/-5)))))</f>
        <v>-1549125.7906850001</v>
      </c>
      <c r="C3248" t="n" s="0">
        <v>-1549125.7906850004</v>
      </c>
    </row>
    <row r="3249">
      <c r="A3249" t="n" s="0">
        <v>-67.52</v>
      </c>
      <c r="B3249" t="n" s="0">
        <f>(-5-((((-5*(-5/((-5/(((-5*(-67.52--5))-(-5+((-5*-67.52)*(((-5--5)+(-67.52--5))+-67.52))))-(-5+-5)))*-5)))/-5)--5)+(-5*(((-67.52*(-67.52-(-5/-5)))*(-67.52-(-67.52/(-5*-67.52))))-(-5/-5)))))</f>
        <v>-1548439.11584</v>
      </c>
      <c r="C3249" t="n" s="0">
        <v>-1548439.1158399996</v>
      </c>
    </row>
    <row r="3250">
      <c r="A3250" t="n" s="0">
        <v>-67.51</v>
      </c>
      <c r="B3250" t="n" s="0">
        <f>(-5-((((-5*(-5/((-5/(((-5*(-67.51--5))-(-5+((-5*-67.51)*(((-5--5)+(-67.51--5))+-67.51))))-(-5+-5)))*-5)))/-5)--5)+(-5*(((-67.51*(-67.51-(-5/-5)))*(-67.51-(-67.51/(-5*-67.51))))-(-5/-5)))))</f>
        <v>-1547752.643955</v>
      </c>
      <c r="C3250" t="n" s="0">
        <v>-1547752.6439550004</v>
      </c>
    </row>
    <row r="3251">
      <c r="A3251" t="n" s="0">
        <v>-67.5</v>
      </c>
      <c r="B3251" t="n" s="0">
        <f>(-5-((((-5*(-5/((-5/(((-5*(-67.5--5))-(-5+((-5*-67.5)*(((-5--5)+(-67.5--5))+-67.5))))-(-5+-5)))*-5)))/-5)--5)+(-5*(((-67.5*(-67.5-(-5/-5)))*(-67.5-(-67.5/(-5*-67.5))))-(-5/-5)))))</f>
        <v>-1547066.375</v>
      </c>
      <c r="C3251" t="n" s="0">
        <v>-1547066.375</v>
      </c>
    </row>
    <row r="3252">
      <c r="A3252" t="n" s="0">
        <v>-67.49</v>
      </c>
      <c r="B3252" t="n" s="0">
        <f>(-5-((((-5*(-5/((-5/(((-5*(-67.49--5))-(-5+((-5*-67.49)*(((-5--5)+(-67.49--5))+-67.49))))-(-5+-5)))*-5)))/-5)--5)+(-5*(((-67.49*(-67.49-(-5/-5)))*(-67.49-(-67.49/(-5*-67.49))))-(-5/-5)))))</f>
        <v>-1546380.308945</v>
      </c>
      <c r="C3252" t="n" s="0">
        <v>-1546380.3089449995</v>
      </c>
    </row>
    <row r="3253">
      <c r="A3253" t="n" s="0">
        <v>-67.48</v>
      </c>
      <c r="B3253" t="n" s="0">
        <f>(-5-((((-5*(-5/((-5/(((-5*(-67.48--5))-(-5+((-5*-67.48)*(((-5--5)+(-67.48--5))+-67.48))))-(-5+-5)))*-5)))/-5)--5)+(-5*(((-67.48*(-67.48-(-5/-5)))*(-67.48-(-67.48/(-5*-67.48))))-(-5/-5)))))</f>
        <v>-1545694.44576</v>
      </c>
      <c r="C3253" t="n" s="0">
        <v>-1545694.4457600003</v>
      </c>
    </row>
    <row r="3254">
      <c r="A3254" t="n" s="0">
        <v>-67.47</v>
      </c>
      <c r="B3254" t="n" s="0">
        <f>(-5-((((-5*(-5/((-5/(((-5*(-67.47--5))-(-5+((-5*-67.47)*(((-5--5)+(-67.47--5))+-67.47))))-(-5+-5)))*-5)))/-5)--5)+(-5*(((-67.47*(-67.47-(-5/-5)))*(-67.47-(-67.47/(-5*-67.47))))-(-5/-5)))))</f>
        <v>-1545008.785415</v>
      </c>
      <c r="C3254" t="n" s="0">
        <v>-1545008.785415</v>
      </c>
    </row>
    <row r="3255">
      <c r="A3255" t="n" s="0">
        <v>-67.46</v>
      </c>
      <c r="B3255" t="n" s="0">
        <f>(-5-((((-5*(-5/((-5/(((-5*(-67.46--5))-(-5+((-5*-67.46)*(((-5--5)+(-67.46--5))+-67.46))))-(-5+-5)))*-5)))/-5)--5)+(-5*(((-67.46*(-67.46-(-5/-5)))*(-67.46-(-67.46/(-5*-67.46))))-(-5/-5)))))</f>
        <v>-1544323.32788</v>
      </c>
      <c r="C3255" t="n" s="0">
        <v>-1544323.3278799998</v>
      </c>
    </row>
    <row r="3256">
      <c r="A3256" t="n" s="0">
        <v>-67.45</v>
      </c>
      <c r="B3256" t="n" s="0">
        <f>(-5-((((-5*(-5/((-5/(((-5*(-67.45--5))-(-5+((-5*-67.45)*(((-5--5)+(-67.45--5))+-67.45))))-(-5+-5)))*-5)))/-5)--5)+(-5*(((-67.45*(-67.45-(-5/-5)))*(-67.45-(-67.45/(-5*-67.45))))-(-5/-5)))))</f>
        <v>-1543638.0731249999</v>
      </c>
      <c r="C3256" t="n" s="0">
        <v>-1543638.073125</v>
      </c>
    </row>
    <row r="3257">
      <c r="A3257" t="n" s="0">
        <v>-67.44</v>
      </c>
      <c r="B3257" t="n" s="0">
        <f>(-5-((((-5*(-5/((-5/(((-5*(-67.44--5))-(-5+((-5*-67.44)*(((-5--5)+(-67.44--5))+-67.44))))-(-5+-5)))*-5)))/-5)--5)+(-5*(((-67.44*(-67.44-(-5/-5)))*(-67.44-(-67.44/(-5*-67.44))))-(-5/-5)))))</f>
        <v>-1542953.0211200002</v>
      </c>
      <c r="C3257" t="n" s="0">
        <v>-1542953.02112</v>
      </c>
    </row>
    <row r="3258">
      <c r="A3258" t="n" s="0">
        <v>-67.43</v>
      </c>
      <c r="B3258" t="n" s="0">
        <f>(-5-((((-5*(-5/((-5/(((-5*(-67.43--5))-(-5+((-5*-67.43)*(((-5--5)+(-67.43--5))+-67.43))))-(-5+-5)))*-5)))/-5)--5)+(-5*(((-67.43*(-67.43-(-5/-5)))*(-67.43-(-67.43/(-5*-67.43))))-(-5/-5)))))</f>
        <v>-1542268.171835</v>
      </c>
      <c r="C3258" t="n" s="0">
        <v>-1542268.1718350004</v>
      </c>
    </row>
    <row r="3259">
      <c r="A3259" t="n" s="0">
        <v>-67.42</v>
      </c>
      <c r="B3259" t="n" s="0">
        <f>(-5-((((-5*(-5/((-5/(((-5*(-67.42--5))-(-5+((-5*-67.42)*(((-5--5)+(-67.42--5))+-67.42))))-(-5+-5)))*-5)))/-5)--5)+(-5*(((-67.42*(-67.42-(-5/-5)))*(-67.42-(-67.42/(-5*-67.42))))-(-5/-5)))))</f>
        <v>-1541583.52524</v>
      </c>
      <c r="C3259" t="n" s="0">
        <v>-1541583.52524</v>
      </c>
    </row>
    <row r="3260">
      <c r="A3260" t="n" s="0">
        <v>-67.41</v>
      </c>
      <c r="B3260" t="n" s="0">
        <f>(-5-((((-5*(-5/((-5/(((-5*(-67.41--5))-(-5+((-5*-67.41)*(((-5--5)+(-67.41--5))+-67.41))))-(-5+-5)))*-5)))/-5)--5)+(-5*(((-67.41*(-67.41-(-5/-5)))*(-67.41-(-67.41/(-5*-67.41))))-(-5/-5)))))</f>
        <v>-1540899.081305</v>
      </c>
      <c r="C3260" t="n" s="0">
        <v>-1540899.0813049998</v>
      </c>
    </row>
    <row r="3261">
      <c r="A3261" t="n" s="0">
        <v>-67.4</v>
      </c>
      <c r="B3261" t="n" s="0">
        <f>(-5-((((-5*(-5/((-5/(((-5*(-67.4--5))-(-5+((-5*-67.4)*(((-5--5)+(-67.4--5))+-67.4))))-(-5+-5)))*-5)))/-5)--5)+(-5*(((-67.4*(-67.4-(-5/-5)))*(-67.4-(-67.4/(-5*-67.4))))-(-5/-5)))))</f>
        <v>-1540214.84</v>
      </c>
      <c r="C3261" t="n" s="0">
        <v>-1540214.8400000005</v>
      </c>
    </row>
    <row r="3262">
      <c r="A3262" t="n" s="0">
        <v>-67.39</v>
      </c>
      <c r="B3262" t="n" s="0">
        <f>(-5-((((-5*(-5/((-5/(((-5*(-67.39--5))-(-5+((-5*-67.39)*(((-5--5)+(-67.39--5))+-67.39))))-(-5+-5)))*-5)))/-5)--5)+(-5*(((-67.39*(-67.39-(-5/-5)))*(-67.39-(-67.39/(-5*-67.39))))-(-5/-5)))))</f>
        <v>-1539530.8012950001</v>
      </c>
      <c r="C3262" t="n" s="0">
        <v>-1539530.801295</v>
      </c>
    </row>
    <row r="3263">
      <c r="A3263" t="n" s="0">
        <v>-67.38</v>
      </c>
      <c r="B3263" t="n" s="0">
        <f>(-5-((((-5*(-5/((-5/(((-5*(-67.38--5))-(-5+((-5*-67.38)*(((-5--5)+(-67.38--5))+-67.38))))-(-5+-5)))*-5)))/-5)--5)+(-5*(((-67.38*(-67.38-(-5/-5)))*(-67.38-(-67.38/(-5*-67.38))))-(-5/-5)))))</f>
        <v>-1538846.96516</v>
      </c>
      <c r="C3263" t="n" s="0">
        <v>-1538846.96516</v>
      </c>
    </row>
    <row r="3264">
      <c r="A3264" t="n" s="0">
        <v>-67.37</v>
      </c>
      <c r="B3264" t="n" s="0">
        <f>(-5-((((-5*(-5/((-5/(((-5*(-67.37--5))-(-5+((-5*-67.37)*(((-5--5)+(-67.37--5))+-67.37))))-(-5+-5)))*-5)))/-5)--5)+(-5*(((-67.37*(-67.37-(-5/-5)))*(-67.37-(-67.37/(-5*-67.37))))-(-5/-5)))))</f>
        <v>-1538163.331565</v>
      </c>
      <c r="C3264" t="n" s="0">
        <v>-1538163.3315650003</v>
      </c>
    </row>
    <row r="3265">
      <c r="A3265" t="n" s="0">
        <v>-67.36</v>
      </c>
      <c r="B3265" t="n" s="0">
        <f>(-5-((((-5*(-5/((-5/(((-5*(-67.36--5))-(-5+((-5*-67.36)*(((-5--5)+(-67.36--5))+-67.36))))-(-5+-5)))*-5)))/-5)--5)+(-5*(((-67.36*(-67.36-(-5/-5)))*(-67.36-(-67.36/(-5*-67.36))))-(-5/-5)))))</f>
        <v>-1537479.90048</v>
      </c>
      <c r="C3265" t="n" s="0">
        <v>-1537479.90048</v>
      </c>
    </row>
    <row r="3266">
      <c r="A3266" t="n" s="0">
        <v>-67.35</v>
      </c>
      <c r="B3266" t="n" s="0">
        <f>(-5-((((-5*(-5/((-5/(((-5*(-67.35--5))-(-5+((-5*-67.35)*(((-5--5)+(-67.35--5))+-67.35))))-(-5+-5)))*-5)))/-5)--5)+(-5*(((-67.35*(-67.35-(-5/-5)))*(-67.35-(-67.35/(-5*-67.35))))-(-5/-5)))))</f>
        <v>-1536796.671875</v>
      </c>
      <c r="C3266" t="n" s="0">
        <v>-1536796.6718749998</v>
      </c>
    </row>
    <row r="3267">
      <c r="A3267" t="n" s="0">
        <v>-67.34</v>
      </c>
      <c r="B3267" t="n" s="0">
        <f>(-5-((((-5*(-5/((-5/(((-5*(-67.34--5))-(-5+((-5*-67.34)*(((-5--5)+(-67.34--5))+-67.34))))-(-5+-5)))*-5)))/-5)--5)+(-5*(((-67.34*(-67.34-(-5/-5)))*(-67.34-(-67.34/(-5*-67.34))))-(-5/-5)))))</f>
        <v>-1536113.64572</v>
      </c>
      <c r="C3267" t="n" s="0">
        <v>-1536113.64572</v>
      </c>
    </row>
    <row r="3268">
      <c r="A3268" t="n" s="0">
        <v>-67.33</v>
      </c>
      <c r="B3268" t="n" s="0">
        <f>(-5-((((-5*(-5/((-5/(((-5*(-67.33--5))-(-5+((-5*-67.33)*(((-5--5)+(-67.33--5))+-67.33))))-(-5+-5)))*-5)))/-5)--5)+(-5*(((-67.33*(-67.33-(-5/-5)))*(-67.33-(-67.33/(-5*-67.33))))-(-5/-5)))))</f>
        <v>-1535430.8219849998</v>
      </c>
      <c r="C3268" t="n" s="0">
        <v>-1535430.8219849998</v>
      </c>
    </row>
    <row r="3269">
      <c r="A3269" t="n" s="0">
        <v>-67.32</v>
      </c>
      <c r="B3269" t="n" s="0">
        <f>(-5-((((-5*(-5/((-5/(((-5*(-67.32--5))-(-5+((-5*-67.32)*(((-5--5)+(-67.32--5))+-67.32))))-(-5+-5)))*-5)))/-5)--5)+(-5*(((-67.32*(-67.32-(-5/-5)))*(-67.32-(-67.32/(-5*-67.32))))-(-5/-5)))))</f>
        <v>-1534748.2006400002</v>
      </c>
      <c r="C3269" t="n" s="0">
        <v>-1534748.2006399997</v>
      </c>
    </row>
    <row r="3270">
      <c r="A3270" t="n" s="0">
        <v>-67.31</v>
      </c>
      <c r="B3270" t="n" s="0">
        <f>(-5-((((-5*(-5/((-5/(((-5*(-67.31--5))-(-5+((-5*-67.31)*(((-5--5)+(-67.31--5))+-67.31))))-(-5+-5)))*-5)))/-5)--5)+(-5*(((-67.31*(-67.31-(-5/-5)))*(-67.31-(-67.31/(-5*-67.31))))-(-5/-5)))))</f>
        <v>-1534065.781655</v>
      </c>
      <c r="C3270" t="n" s="0">
        <v>-1534065.781655</v>
      </c>
    </row>
    <row r="3271">
      <c r="A3271" t="n" s="0">
        <v>-67.3</v>
      </c>
      <c r="B3271" t="n" s="0">
        <f>(-5-((((-5*(-5/((-5/(((-5*(-67.3--5))-(-5+((-5*-67.3)*(((-5--5)+(-67.3--5))+-67.3))))-(-5+-5)))*-5)))/-5)--5)+(-5*(((-67.3*(-67.3-(-5/-5)))*(-67.3-(-67.3/(-5*-67.3))))-(-5/-5)))))</f>
        <v>-1533383.5650000002</v>
      </c>
      <c r="C3271" t="n" s="0">
        <v>-1533383.5649999997</v>
      </c>
    </row>
    <row r="3272">
      <c r="A3272" t="n" s="0">
        <v>-67.29</v>
      </c>
      <c r="B3272" t="n" s="0">
        <f>(-5-((((-5*(-5/((-5/(((-5*(-67.29--5))-(-5+((-5*-67.29)*(((-5--5)+(-67.29--5))+-67.29))))-(-5+-5)))*-5)))/-5)--5)+(-5*(((-67.29*(-67.29-(-5/-5)))*(-67.29-(-67.29/(-5*-67.29))))-(-5/-5)))))</f>
        <v>-1532701.550645</v>
      </c>
      <c r="C3272" t="n" s="0">
        <v>-1532701.5506450003</v>
      </c>
    </row>
    <row r="3273">
      <c r="A3273" t="n" s="0">
        <v>-67.28</v>
      </c>
      <c r="B3273" t="n" s="0">
        <f>(-5-((((-5*(-5/((-5/(((-5*(-67.28--5))-(-5+((-5*-67.28)*(((-5--5)+(-67.28--5))+-67.28))))-(-5+-5)))*-5)))/-5)--5)+(-5*(((-67.28*(-67.28-(-5/-5)))*(-67.28-(-67.28/(-5*-67.28))))-(-5/-5)))))</f>
        <v>-1532019.7385599997</v>
      </c>
      <c r="C3273" t="n" s="0">
        <v>-1532019.7385600002</v>
      </c>
    </row>
    <row r="3274">
      <c r="A3274" t="n" s="0">
        <v>-67.27</v>
      </c>
      <c r="B3274" t="n" s="0">
        <f>(-5-((((-5*(-5/((-5/(((-5*(-67.27--5))-(-5+((-5*-67.27)*(((-5--5)+(-67.27--5))+-67.27))))-(-5+-5)))*-5)))/-5)--5)+(-5*(((-67.27*(-67.27-(-5/-5)))*(-67.27-(-67.27/(-5*-67.27))))-(-5/-5)))))</f>
        <v>-1531338.1287149999</v>
      </c>
      <c r="C3274" t="n" s="0">
        <v>-1531338.1287149996</v>
      </c>
    </row>
    <row r="3275">
      <c r="A3275" t="n" s="0">
        <v>-67.26</v>
      </c>
      <c r="B3275" t="n" s="0">
        <f>(-5-((((-5*(-5/((-5/(((-5*(-67.26--5))-(-5+((-5*-67.26)*(((-5--5)+(-67.26--5))+-67.26))))-(-5+-5)))*-5)))/-5)--5)+(-5*(((-67.26*(-67.26-(-5/-5)))*(-67.26-(-67.26/(-5*-67.26))))-(-5/-5)))))</f>
        <v>-1530656.72108</v>
      </c>
      <c r="C3275" t="n" s="0">
        <v>-1530656.7210800005</v>
      </c>
    </row>
    <row r="3276">
      <c r="A3276" t="n" s="0">
        <v>-67.25</v>
      </c>
      <c r="B3276" t="n" s="0">
        <f>(-5-((((-5*(-5/((-5/(((-5*(-67.25--5))-(-5+((-5*-67.25)*(((-5--5)+(-67.25--5))+-67.25))))-(-5+-5)))*-5)))/-5)--5)+(-5*(((-67.25*(-67.25-(-5/-5)))*(-67.25-(-67.25/(-5*-67.25))))-(-5/-5)))))</f>
        <v>-1529975.515625</v>
      </c>
      <c r="C3276" t="n" s="0">
        <v>-1529975.515625</v>
      </c>
    </row>
    <row r="3277">
      <c r="A3277" t="n" s="0">
        <v>-67.24</v>
      </c>
      <c r="B3277" t="n" s="0">
        <f>(-5-((((-5*(-5/((-5/(((-5*(-67.24--5))-(-5+((-5*-67.24)*(((-5--5)+(-67.24--5))+-67.24))))-(-5+-5)))*-5)))/-5)--5)+(-5*(((-67.24*(-67.24-(-5/-5)))*(-67.24-(-67.24/(-5*-67.24))))-(-5/-5)))))</f>
        <v>-1529294.51232</v>
      </c>
      <c r="C3277" t="n" s="0">
        <v>-1529294.5123199997</v>
      </c>
    </row>
    <row r="3278">
      <c r="A3278" t="n" s="0">
        <v>-67.23</v>
      </c>
      <c r="B3278" t="n" s="0">
        <f>(-5-((((-5*(-5/((-5/(((-5*(-67.23--5))-(-5+((-5*-67.23)*(((-5--5)+(-67.23--5))+-67.23))))-(-5+-5)))*-5)))/-5)--5)+(-5*(((-67.23*(-67.23-(-5/-5)))*(-67.23-(-67.23/(-5*-67.23))))-(-5/-5)))))</f>
        <v>-1528613.711135</v>
      </c>
      <c r="C3278" t="n" s="0">
        <v>-1528613.711135</v>
      </c>
    </row>
    <row r="3279">
      <c r="A3279" t="n" s="0">
        <v>-67.22</v>
      </c>
      <c r="B3279" t="n" s="0">
        <f>(-5-((((-5*(-5/((-5/(((-5*(-67.22--5))-(-5+((-5*-67.22)*(((-5--5)+(-67.22--5))+-67.22))))-(-5+-5)))*-5)))/-5)--5)+(-5*(((-67.22*(-67.22-(-5/-5)))*(-67.22-(-67.22/(-5*-67.22))))-(-5/-5)))))</f>
        <v>-1527933.11204</v>
      </c>
      <c r="C3279" t="n" s="0">
        <v>-1527933.1120399998</v>
      </c>
    </row>
    <row r="3280">
      <c r="A3280" t="n" s="0">
        <v>-67.21</v>
      </c>
      <c r="B3280" t="n" s="0">
        <f>(-5-((((-5*(-5/((-5/(((-5*(-67.21--5))-(-5+((-5*-67.21)*(((-5--5)+(-67.21--5))+-67.21))))-(-5+-5)))*-5)))/-5)--5)+(-5*(((-67.21*(-67.21-(-5/-5)))*(-67.21-(-67.21/(-5*-67.21))))-(-5/-5)))))</f>
        <v>-1527252.715005</v>
      </c>
      <c r="C3280" t="n" s="0">
        <v>-1527252.7150049994</v>
      </c>
    </row>
    <row r="3281">
      <c r="A3281" t="n" s="0">
        <v>-67.2</v>
      </c>
      <c r="B3281" t="n" s="0">
        <f>(-5-((((-5*(-5/((-5/(((-5*(-67.2--5))-(-5+((-5*-67.2)*(((-5--5)+(-67.2--5))+-67.2))))-(-5+-5)))*-5)))/-5)--5)+(-5*(((-67.2*(-67.2-(-5/-5)))*(-67.2-(-67.2/(-5*-67.2))))-(-5/-5)))))</f>
        <v>-1526572.52</v>
      </c>
      <c r="C3281" t="n" s="0">
        <v>-1526572.5200000003</v>
      </c>
    </row>
    <row r="3282">
      <c r="A3282" t="n" s="0">
        <v>-67.19</v>
      </c>
      <c r="B3282" t="n" s="0">
        <f>(-5-((((-5*(-5/((-5/(((-5*(-67.19--5))-(-5+((-5*-67.19)*(((-5--5)+(-67.19--5))+-67.19))))-(-5+-5)))*-5)))/-5)--5)+(-5*(((-67.19*(-67.19-(-5/-5)))*(-67.19-(-67.19/(-5*-67.19))))-(-5/-5)))))</f>
        <v>-1525892.526995</v>
      </c>
      <c r="C3282" t="n" s="0">
        <v>-1525892.526995</v>
      </c>
    </row>
    <row r="3283">
      <c r="A3283" t="n" s="0">
        <v>-67.18</v>
      </c>
      <c r="B3283" t="n" s="0">
        <f>(-5-((((-5*(-5/((-5/(((-5*(-67.18--5))-(-5+((-5*-67.18)*(((-5--5)+(-67.18--5))+-67.18))))-(-5+-5)))*-5)))/-5)--5)+(-5*(((-67.18*(-67.18-(-5/-5)))*(-67.18-(-67.18/(-5*-67.18))))-(-5/-5)))))</f>
        <v>-1525212.73596</v>
      </c>
      <c r="C3283" t="n" s="0">
        <v>-1525212.7359600007</v>
      </c>
    </row>
    <row r="3284">
      <c r="A3284" t="n" s="0">
        <v>-67.17</v>
      </c>
      <c r="B3284" t="n" s="0">
        <f>(-5-((((-5*(-5/((-5/(((-5*(-67.17--5))-(-5+((-5*-67.17)*(((-5--5)+(-67.17--5))+-67.17))))-(-5+-5)))*-5)))/-5)--5)+(-5*(((-67.17*(-67.17-(-5/-5)))*(-67.17-(-67.17/(-5*-67.17))))-(-5/-5)))))</f>
        <v>-1524533.146865</v>
      </c>
      <c r="C3284" t="n" s="0">
        <v>-1524533.146865</v>
      </c>
    </row>
    <row r="3285">
      <c r="A3285" t="n" s="0">
        <v>-67.16</v>
      </c>
      <c r="B3285" t="n" s="0">
        <f>(-5-((((-5*(-5/((-5/(((-5*(-67.16--5))-(-5+((-5*-67.16)*(((-5--5)+(-67.16--5))+-67.16))))-(-5+-5)))*-5)))/-5)--5)+(-5*(((-67.16*(-67.16-(-5/-5)))*(-67.16-(-67.16/(-5*-67.16))))-(-5/-5)))))</f>
        <v>-1523853.75968</v>
      </c>
      <c r="C3285" t="n" s="0">
        <v>-1523853.7596799997</v>
      </c>
    </row>
    <row r="3286">
      <c r="A3286" t="n" s="0">
        <v>-67.15</v>
      </c>
      <c r="B3286" t="n" s="0">
        <f>(-5-((((-5*(-5/((-5/(((-5*(-67.15--5))-(-5+((-5*-67.15)*(((-5--5)+(-67.15--5))+-67.15))))-(-5+-5)))*-5)))/-5)--5)+(-5*(((-67.15*(-67.15-(-5/-5)))*(-67.15-(-67.15/(-5*-67.15))))-(-5/-5)))))</f>
        <v>-1523174.574375</v>
      </c>
      <c r="C3286" t="n" s="0">
        <v>-1523174.5743750005</v>
      </c>
    </row>
    <row r="3287">
      <c r="A3287" t="n" s="0">
        <v>-67.14</v>
      </c>
      <c r="B3287" t="n" s="0">
        <f>(-5-((((-5*(-5/((-5/(((-5*(-67.14--5))-(-5+((-5*-67.14)*(((-5--5)+(-67.14--5))+-67.14))))-(-5+-5)))*-5)))/-5)--5)+(-5*(((-67.14*(-67.14-(-5/-5)))*(-67.14-(-67.14/(-5*-67.14))))-(-5/-5)))))</f>
        <v>-1522495.59092</v>
      </c>
      <c r="C3287" t="n" s="0">
        <v>-1522495.5909199999</v>
      </c>
    </row>
    <row r="3288">
      <c r="A3288" t="n" s="0">
        <v>-67.13</v>
      </c>
      <c r="B3288" t="n" s="0">
        <f>(-5-((((-5*(-5/((-5/(((-5*(-67.13--5))-(-5+((-5*-67.13)*(((-5--5)+(-67.13--5))+-67.13))))-(-5+-5)))*-5)))/-5)--5)+(-5*(((-67.13*(-67.13-(-5/-5)))*(-67.13-(-67.13/(-5*-67.13))))-(-5/-5)))))</f>
        <v>-1521816.809285</v>
      </c>
      <c r="C3288" t="n" s="0">
        <v>-1521816.8092849995</v>
      </c>
    </row>
    <row r="3289">
      <c r="A3289" t="n" s="0">
        <v>-67.12</v>
      </c>
      <c r="B3289" t="n" s="0">
        <f>(-5-((((-5*(-5/((-5/(((-5*(-67.12--5))-(-5+((-5*-67.12)*(((-5--5)+(-67.12--5))+-67.12))))-(-5+-5)))*-5)))/-5)--5)+(-5*(((-67.12*(-67.12-(-5/-5)))*(-67.12-(-67.12/(-5*-67.12))))-(-5/-5)))))</f>
        <v>-1521138.2294400001</v>
      </c>
      <c r="C3289" t="n" s="0">
        <v>-1521138.2294400004</v>
      </c>
    </row>
    <row r="3290">
      <c r="A3290" t="n" s="0">
        <v>-67.11</v>
      </c>
      <c r="B3290" t="n" s="0">
        <f>(-5-((((-5*(-5/((-5/(((-5*(-67.11--5))-(-5+((-5*-67.11)*(((-5--5)+(-67.11--5))+-67.11))))-(-5+-5)))*-5)))/-5)--5)+(-5*(((-67.11*(-67.11-(-5/-5)))*(-67.11-(-67.11/(-5*-67.11))))-(-5/-5)))))</f>
        <v>-1520459.8513550002</v>
      </c>
      <c r="C3290" t="n" s="0">
        <v>-1520459.8513550002</v>
      </c>
    </row>
    <row r="3291">
      <c r="A3291" t="n" s="0">
        <v>-67.1</v>
      </c>
      <c r="B3291" t="n" s="0">
        <f>(-5-((((-5*(-5/((-5/(((-5*(-67.1--5))-(-5+((-5*-67.1)*(((-5--5)+(-67.1--5))+-67.1))))-(-5+-5)))*-5)))/-5)--5)+(-5*(((-67.1*(-67.1-(-5/-5)))*(-67.1-(-67.1/(-5*-67.1))))-(-5/-5)))))</f>
        <v>-1519781.675</v>
      </c>
      <c r="C3291" t="n" s="0">
        <v>-1519781.6749999998</v>
      </c>
    </row>
    <row r="3292">
      <c r="A3292" t="n" s="0">
        <v>-67.09</v>
      </c>
      <c r="B3292" t="n" s="0">
        <f>(-5-((((-5*(-5/((-5/(((-5*(-67.09--5))-(-5+((-5*-67.09)*(((-5--5)+(-67.09--5))+-67.09))))-(-5+-5)))*-5)))/-5)--5)+(-5*(((-67.09*(-67.09-(-5/-5)))*(-67.09-(-67.09/(-5*-67.09))))-(-5/-5)))))</f>
        <v>-1519103.700345</v>
      </c>
      <c r="C3292" t="n" s="0">
        <v>-1519103.7003450003</v>
      </c>
    </row>
    <row r="3293">
      <c r="A3293" t="n" s="0">
        <v>-67.08</v>
      </c>
      <c r="B3293" t="n" s="0">
        <f>(-5-((((-5*(-5/((-5/(((-5*(-67.08--5))-(-5+((-5*-67.08)*(((-5--5)+(-67.08--5))+-67.08))))-(-5+-5)))*-5)))/-5)--5)+(-5*(((-67.08*(-67.08-(-5/-5)))*(-67.08-(-67.08/(-5*-67.08))))-(-5/-5)))))</f>
        <v>-1518425.92736</v>
      </c>
      <c r="C3293" t="n" s="0">
        <v>-1518425.9273599999</v>
      </c>
    </row>
    <row r="3294">
      <c r="A3294" t="n" s="0">
        <v>-67.07</v>
      </c>
      <c r="B3294" t="n" s="0">
        <f>(-5-((((-5*(-5/((-5/(((-5*(-67.07--5))-(-5+((-5*-67.07)*(((-5--5)+(-67.07--5))+-67.07))))-(-5+-5)))*-5)))/-5)--5)+(-5*(((-67.07*(-67.07-(-5/-5)))*(-67.07-(-67.07/(-5*-67.07))))-(-5/-5)))))</f>
        <v>-1517748.3560149998</v>
      </c>
      <c r="C3294" t="n" s="0">
        <v>-1517748.3560149996</v>
      </c>
    </row>
    <row r="3295">
      <c r="A3295" t="n" s="0">
        <v>-67.06</v>
      </c>
      <c r="B3295" t="n" s="0">
        <f>(-5-((((-5*(-5/((-5/(((-5*(-67.06--5))-(-5+((-5*-67.06)*(((-5--5)+(-67.06--5))+-67.06))))-(-5+-5)))*-5)))/-5)--5)+(-5*(((-67.06*(-67.06-(-5/-5)))*(-67.06-(-67.06/(-5*-67.06))))-(-5/-5)))))</f>
        <v>-1517070.98628</v>
      </c>
      <c r="C3295" t="n" s="0">
        <v>-1517070.9862799998</v>
      </c>
    </row>
    <row r="3296">
      <c r="A3296" t="n" s="0">
        <v>-67.05</v>
      </c>
      <c r="B3296" t="n" s="0">
        <f>(-5-((((-5*(-5/((-5/(((-5*(-67.05--5))-(-5+((-5*-67.05)*(((-5--5)+(-67.05--5))+-67.05))))-(-5+-5)))*-5)))/-5)--5)+(-5*(((-67.05*(-67.05-(-5/-5)))*(-67.05-(-67.05/(-5*-67.05))))-(-5/-5)))))</f>
        <v>-1516393.818125</v>
      </c>
      <c r="C3296" t="n" s="0">
        <v>-1516393.8181249995</v>
      </c>
    </row>
    <row r="3297">
      <c r="A3297" t="n" s="0">
        <v>-67.04</v>
      </c>
      <c r="B3297" t="n" s="0">
        <f>(-5-((((-5*(-5/((-5/(((-5*(-67.04--5))-(-5+((-5*-67.04)*(((-5--5)+(-67.04--5))+-67.04))))-(-5+-5)))*-5)))/-5)--5)+(-5*(((-67.04*(-67.04-(-5/-5)))*(-67.04-(-67.04/(-5*-67.04))))-(-5/-5)))))</f>
        <v>-1515716.85152</v>
      </c>
      <c r="C3297" t="n" s="0">
        <v>-1515716.8515200005</v>
      </c>
    </row>
    <row r="3298">
      <c r="A3298" t="n" s="0">
        <v>-67.03</v>
      </c>
      <c r="B3298" t="n" s="0">
        <f>(-5-((((-5*(-5/((-5/(((-5*(-67.03--5))-(-5+((-5*-67.03)*(((-5--5)+(-67.03--5))+-67.03))))-(-5+-5)))*-5)))/-5)--5)+(-5*(((-67.03*(-67.03-(-5/-5)))*(-67.03-(-67.03/(-5*-67.03))))-(-5/-5)))))</f>
        <v>-1515040.0864350002</v>
      </c>
      <c r="C3298" t="n" s="0">
        <v>-1515040.0864350002</v>
      </c>
    </row>
    <row r="3299">
      <c r="A3299" t="n" s="0">
        <v>-67.02</v>
      </c>
      <c r="B3299" t="n" s="0">
        <f>(-5-((((-5*(-5/((-5/(((-5*(-67.02--5))-(-5+((-5*-67.02)*(((-5--5)+(-67.02--5))+-67.02))))-(-5+-5)))*-5)))/-5)--5)+(-5*(((-67.02*(-67.02-(-5/-5)))*(-67.02-(-67.02/(-5*-67.02))))-(-5/-5)))))</f>
        <v>-1514363.52284</v>
      </c>
      <c r="C3299" t="n" s="0">
        <v>-1514363.5228399998</v>
      </c>
    </row>
    <row r="3300">
      <c r="A3300" t="n" s="0">
        <v>-67.01</v>
      </c>
      <c r="B3300" t="n" s="0">
        <f>(-5-((((-5*(-5/((-5/(((-5*(-67.01--5))-(-5+((-5*-67.01)*(((-5--5)+(-67.01--5))+-67.01))))-(-5+-5)))*-5)))/-5)--5)+(-5*(((-67.01*(-67.01-(-5/-5)))*(-67.01-(-67.01/(-5*-67.01))))-(-5/-5)))))</f>
        <v>-1513687.160705</v>
      </c>
      <c r="C3300" t="n" s="0">
        <v>-1513687.1607050004</v>
      </c>
    </row>
    <row r="3301">
      <c r="A3301" t="n" s="0">
        <v>-67.0</v>
      </c>
      <c r="B3301" t="n" s="0">
        <f>(-5-((((-5*(-5/((-5/(((-5*(-67--5))-(-5+((-5*-67)*(((-5--5)+(-67--5))+-67))))-(-5+-5)))*-5)))/-5)--5)+(-5*(((-67*(-67-(-5/-5)))*(-67-(-67/(-5*-67))))-(-5/-5)))))</f>
        <v>-1513011.0</v>
      </c>
      <c r="C3301" t="n" s="0">
        <v>-1513011.0</v>
      </c>
    </row>
    <row r="3302">
      <c r="A3302" t="n" s="0">
        <v>-66.99</v>
      </c>
      <c r="B3302" t="n" s="0">
        <f>(-5-((((-5*(-5/((-5/(((-5*(-66.99--5))-(-5+((-5*-66.99)*(((-5--5)+(-66.99--5))+-66.99))))-(-5+-5)))*-5)))/-5)--5)+(-5*(((-66.99*(-66.99-(-5/-5)))*(-66.99-(-66.99/(-5*-66.99))))-(-5/-5)))))</f>
        <v>-1512335.040695</v>
      </c>
      <c r="C3302" t="n" s="0">
        <v>-1512335.0406949995</v>
      </c>
    </row>
    <row r="3303">
      <c r="A3303" t="n" s="0">
        <v>-66.98</v>
      </c>
      <c r="B3303" t="n" s="0">
        <f>(-5-((((-5*(-5/((-5/(((-5*(-66.98--5))-(-5+((-5*-66.98)*(((-5--5)+(-66.98--5))+-66.98))))-(-5+-5)))*-5)))/-5)--5)+(-5*(((-66.98*(-66.98-(-5/-5)))*(-66.98-(-66.98/(-5*-66.98))))-(-5/-5)))))</f>
        <v>-1511659.28276</v>
      </c>
      <c r="C3303" t="n" s="0">
        <v>-1511659.28276</v>
      </c>
    </row>
    <row r="3304">
      <c r="A3304" t="n" s="0">
        <v>-66.97</v>
      </c>
      <c r="B3304" t="n" s="0">
        <f>(-5-((((-5*(-5/((-5/(((-5*(-66.97--5))-(-5+((-5*-66.97)*(((-5--5)+(-66.97--5))+-66.97))))-(-5+-5)))*-5)))/-5)--5)+(-5*(((-66.97*(-66.97-(-5/-5)))*(-66.97-(-66.97/(-5*-66.97))))-(-5/-5)))))</f>
        <v>-1510983.726165</v>
      </c>
      <c r="C3304" t="n" s="0">
        <v>-1510983.726165</v>
      </c>
    </row>
    <row r="3305">
      <c r="A3305" t="n" s="0">
        <v>-66.96</v>
      </c>
      <c r="B3305" t="n" s="0">
        <f>(-5-((((-5*(-5/((-5/(((-5*(-66.96--5))-(-5+((-5*-66.96)*(((-5--5)+(-66.96--5))+-66.96))))-(-5+-5)))*-5)))/-5)--5)+(-5*(((-66.96*(-66.96-(-5/-5)))*(-66.96-(-66.96/(-5*-66.96))))-(-5/-5)))))</f>
        <v>-1510308.3708799998</v>
      </c>
      <c r="C3305" t="n" s="0">
        <v>-1510308.3708799994</v>
      </c>
    </row>
    <row r="3306">
      <c r="A3306" t="n" s="0">
        <v>-66.95</v>
      </c>
      <c r="B3306" t="n" s="0">
        <f>(-5-((((-5*(-5/((-5/(((-5*(-66.95--5))-(-5+((-5*-66.95)*(((-5--5)+(-66.95--5))+-66.95))))-(-5+-5)))*-5)))/-5)--5)+(-5*(((-66.95*(-66.95-(-5/-5)))*(-66.95-(-66.95/(-5*-66.95))))-(-5/-5)))))</f>
        <v>-1509633.2168750002</v>
      </c>
      <c r="C3306" t="n" s="0">
        <v>-1509633.2168750004</v>
      </c>
    </row>
    <row r="3307">
      <c r="A3307" t="n" s="0">
        <v>-66.94</v>
      </c>
      <c r="B3307" t="n" s="0">
        <f>(-5-((((-5*(-5/((-5/(((-5*(-66.94--5))-(-5+((-5*-66.94)*(((-5--5)+(-66.94--5))+-66.94))))-(-5+-5)))*-5)))/-5)--5)+(-5*(((-66.94*(-66.94-(-5/-5)))*(-66.94-(-66.94/(-5*-66.94))))-(-5/-5)))))</f>
        <v>-1508958.26412</v>
      </c>
      <c r="C3307" t="n" s="0">
        <v>-1508958.26412</v>
      </c>
    </row>
    <row r="3308">
      <c r="A3308" t="n" s="0">
        <v>-66.93</v>
      </c>
      <c r="B3308" t="n" s="0">
        <f>(-5-((((-5*(-5/((-5/(((-5*(-66.93--5))-(-5+((-5*-66.93)*(((-5--5)+(-66.93--5))+-66.93))))-(-5+-5)))*-5)))/-5)--5)+(-5*(((-66.93*(-66.93-(-5/-5)))*(-66.93-(-66.93/(-5*-66.93))))-(-5/-5)))))</f>
        <v>-1508283.5125850001</v>
      </c>
      <c r="C3308" t="n" s="0">
        <v>-1508283.5125850006</v>
      </c>
    </row>
    <row r="3309">
      <c r="A3309" t="n" s="0">
        <v>-66.92</v>
      </c>
      <c r="B3309" t="n" s="0">
        <f>(-5-((((-5*(-5/((-5/(((-5*(-66.92--5))-(-5+((-5*-66.92)*(((-5--5)+(-66.92--5))+-66.92))))-(-5+-5)))*-5)))/-5)--5)+(-5*(((-66.92*(-66.92-(-5/-5)))*(-66.92-(-66.92/(-5*-66.92))))-(-5/-5)))))</f>
        <v>-1507608.96224</v>
      </c>
      <c r="C3309" t="n" s="0">
        <v>-1507608.96224</v>
      </c>
    </row>
    <row r="3310">
      <c r="A3310" t="n" s="0">
        <v>-66.91</v>
      </c>
      <c r="B3310" t="n" s="0">
        <f>(-5-((((-5*(-5/((-5/(((-5*(-66.91--5))-(-5+((-5*-66.91)*(((-5--5)+(-66.91--5))+-66.91))))-(-5+-5)))*-5)))/-5)--5)+(-5*(((-66.91*(-66.91-(-5/-5)))*(-66.91-(-66.91/(-5*-66.91))))-(-5/-5)))))</f>
        <v>-1506934.613055</v>
      </c>
      <c r="C3310" t="n" s="0">
        <v>-1506934.6130549998</v>
      </c>
    </row>
    <row r="3311">
      <c r="A3311" t="n" s="0">
        <v>-66.9</v>
      </c>
      <c r="B3311" t="n" s="0">
        <f>(-5-((((-5*(-5/((-5/(((-5*(-66.9--5))-(-5+((-5*-66.9)*(((-5--5)+(-66.9--5))+-66.9))))-(-5+-5)))*-5)))/-5)--5)+(-5*(((-66.9*(-66.9-(-5/-5)))*(-66.9-(-66.9/(-5*-66.9))))-(-5/-5)))))</f>
        <v>-1506260.4649999999</v>
      </c>
      <c r="C3311" t="n" s="0">
        <v>-1506260.4650000003</v>
      </c>
    </row>
    <row r="3312">
      <c r="A3312" t="n" s="0">
        <v>-66.89</v>
      </c>
      <c r="B3312" t="n" s="0">
        <f>(-5-((((-5*(-5/((-5/(((-5*(-66.89--5))-(-5+((-5*-66.89)*(((-5--5)+(-66.89--5))+-66.89))))-(-5+-5)))*-5)))/-5)--5)+(-5*(((-66.89*(-66.89-(-5/-5)))*(-66.89-(-66.89/(-5*-66.89))))-(-5/-5)))))</f>
        <v>-1505586.518045</v>
      </c>
      <c r="C3312" t="n" s="0">
        <v>-1505586.518045</v>
      </c>
    </row>
    <row r="3313">
      <c r="A3313" t="n" s="0">
        <v>-66.88</v>
      </c>
      <c r="B3313" t="n" s="0">
        <f>(-5-((((-5*(-5/((-5/(((-5*(-66.88--5))-(-5+((-5*-66.88)*(((-5--5)+(-66.88--5))+-66.88))))-(-5+-5)))*-5)))/-5)--5)+(-5*(((-66.88*(-66.88-(-5/-5)))*(-66.88-(-66.88/(-5*-66.88))))-(-5/-5)))))</f>
        <v>-1504912.77216</v>
      </c>
      <c r="C3313" t="n" s="0">
        <v>-1504912.7721599997</v>
      </c>
    </row>
    <row r="3314">
      <c r="A3314" t="n" s="0">
        <v>-66.87</v>
      </c>
      <c r="B3314" t="n" s="0">
        <f>(-5-((((-5*(-5/((-5/(((-5*(-66.87--5))-(-5+((-5*-66.87)*(((-5--5)+(-66.87--5))+-66.87))))-(-5+-5)))*-5)))/-5)--5)+(-5*(((-66.87*(-66.87-(-5/-5)))*(-66.87-(-66.87/(-5*-66.87))))-(-5/-5)))))</f>
        <v>-1504239.227315</v>
      </c>
      <c r="C3314" t="n" s="0">
        <v>-1504239.2273150005</v>
      </c>
    </row>
    <row r="3315">
      <c r="A3315" t="n" s="0">
        <v>-66.86</v>
      </c>
      <c r="B3315" t="n" s="0">
        <f>(-5-((((-5*(-5/((-5/(((-5*(-66.86--5))-(-5+((-5*-66.86)*(((-5--5)+(-66.86--5))+-66.86))))-(-5+-5)))*-5)))/-5)--5)+(-5*(((-66.86*(-66.86-(-5/-5)))*(-66.86-(-66.86/(-5*-66.86))))-(-5/-5)))))</f>
        <v>-1503565.88348</v>
      </c>
      <c r="C3315" t="n" s="0">
        <v>-1503565.8834799998</v>
      </c>
    </row>
    <row r="3316">
      <c r="A3316" t="n" s="0">
        <v>-66.85</v>
      </c>
      <c r="B3316" t="n" s="0">
        <f>(-5-((((-5*(-5/((-5/(((-5*(-66.85--5))-(-5+((-5*-66.85)*(((-5--5)+(-66.85--5))+-66.85))))-(-5+-5)))*-5)))/-5)--5)+(-5*(((-66.85*(-66.85-(-5/-5)))*(-66.85-(-66.85/(-5*-66.85))))-(-5/-5)))))</f>
        <v>-1502892.7406249999</v>
      </c>
      <c r="C3316" t="n" s="0">
        <v>-1502892.7406249996</v>
      </c>
    </row>
    <row r="3317">
      <c r="A3317" t="n" s="0">
        <v>-66.84</v>
      </c>
      <c r="B3317" t="n" s="0">
        <f>(-5-((((-5*(-5/((-5/(((-5*(-66.84--5))-(-5+((-5*-66.84)*(((-5--5)+(-66.84--5))+-66.84))))-(-5+-5)))*-5)))/-5)--5)+(-5*(((-66.84*(-66.84-(-5/-5)))*(-66.84-(-66.84/(-5*-66.84))))-(-5/-5)))))</f>
        <v>-1502219.7987199998</v>
      </c>
      <c r="C3317" t="n" s="0">
        <v>-1502219.79872</v>
      </c>
    </row>
    <row r="3318">
      <c r="A3318" t="n" s="0">
        <v>-66.83</v>
      </c>
      <c r="B3318" t="n" s="0">
        <f>(-5-((((-5*(-5/((-5/(((-5*(-66.83--5))-(-5+((-5*-66.83)*(((-5--5)+(-66.83--5))+-66.83))))-(-5+-5)))*-5)))/-5)--5)+(-5*(((-66.83*(-66.83-(-5/-5)))*(-66.83-(-66.83/(-5*-66.83))))-(-5/-5)))))</f>
        <v>-1501547.057735</v>
      </c>
      <c r="C3318" t="n" s="0">
        <v>-1501547.0577349998</v>
      </c>
    </row>
    <row r="3319">
      <c r="A3319" t="n" s="0">
        <v>-66.82</v>
      </c>
      <c r="B3319" t="n" s="0">
        <f>(-5-((((-5*(-5/((-5/(((-5*(-66.82--5))-(-5+((-5*-66.82)*(((-5--5)+(-66.82--5))+-66.82))))-(-5+-5)))*-5)))/-5)--5)+(-5*(((-66.82*(-66.82-(-5/-5)))*(-66.82-(-66.82/(-5*-66.82))))-(-5/-5)))))</f>
        <v>-1500874.51764</v>
      </c>
      <c r="C3319" t="n" s="0">
        <v>-1500874.5176399995</v>
      </c>
    </row>
    <row r="3320">
      <c r="A3320" t="n" s="0">
        <v>-66.81</v>
      </c>
      <c r="B3320" t="n" s="0">
        <f>(-5-((((-5*(-5/((-5/(((-5*(-66.81--5))-(-5+((-5*-66.81)*(((-5--5)+(-66.81--5))+-66.81))))-(-5+-5)))*-5)))/-5)--5)+(-5*(((-66.81*(-66.81-(-5/-5)))*(-66.81-(-66.81/(-5*-66.81))))-(-5/-5)))))</f>
        <v>-1500202.1784050001</v>
      </c>
      <c r="C3320" t="n" s="0">
        <v>-1500202.178405</v>
      </c>
    </row>
    <row r="3321">
      <c r="A3321" t="n" s="0">
        <v>-66.8</v>
      </c>
      <c r="B3321" t="n" s="0">
        <f>(-5-((((-5*(-5/((-5/(((-5*(-66.8--5))-(-5+((-5*-66.8)*(((-5--5)+(-66.8--5))+-66.8))))-(-5+-5)))*-5)))/-5)--5)+(-5*(((-66.8*(-66.8-(-5/-5)))*(-66.8-(-66.8/(-5*-66.8))))-(-5/-5)))))</f>
        <v>-1499530.04</v>
      </c>
      <c r="C3321" t="n" s="0">
        <v>-1499530.0399999998</v>
      </c>
    </row>
    <row r="3322">
      <c r="A3322" t="n" s="0">
        <v>-66.79</v>
      </c>
      <c r="B3322" t="n" s="0">
        <f>(-5-((((-5*(-5/((-5/(((-5*(-66.79--5))-(-5+((-5*-66.79)*(((-5--5)+(-66.79--5))+-66.79))))-(-5+-5)))*-5)))/-5)--5)+(-5*(((-66.79*(-66.79-(-5/-5)))*(-66.79-(-66.79/(-5*-66.79))))-(-5/-5)))))</f>
        <v>-1498858.1023950002</v>
      </c>
      <c r="C3322" t="n" s="0">
        <v>-1498858.1023950006</v>
      </c>
    </row>
    <row r="3323">
      <c r="A3323" t="n" s="0">
        <v>-66.78</v>
      </c>
      <c r="B3323" t="n" s="0">
        <f>(-5-((((-5*(-5/((-5/(((-5*(-66.78--5))-(-5+((-5*-66.78)*(((-5--5)+(-66.78--5))+-66.78))))-(-5+-5)))*-5)))/-5)--5)+(-5*(((-66.78*(-66.78-(-5/-5)))*(-66.78-(-66.78/(-5*-66.78))))-(-5/-5)))))</f>
        <v>-1498186.3655599998</v>
      </c>
      <c r="C3323" t="n" s="0">
        <v>-1498186.3655600003</v>
      </c>
    </row>
    <row r="3324">
      <c r="A3324" t="n" s="0">
        <v>-66.77</v>
      </c>
      <c r="B3324" t="n" s="0">
        <f>(-5-((((-5*(-5/((-5/(((-5*(-66.77--5))-(-5+((-5*-66.77)*(((-5--5)+(-66.77--5))+-66.77))))-(-5+-5)))*-5)))/-5)--5)+(-5*(((-66.77*(-66.77-(-5/-5)))*(-66.77-(-66.77/(-5*-66.77))))-(-5/-5)))))</f>
        <v>-1497514.829465</v>
      </c>
      <c r="C3324" t="n" s="0">
        <v>-1497514.8294649997</v>
      </c>
    </row>
    <row r="3325">
      <c r="A3325" t="n" s="0">
        <v>-66.76</v>
      </c>
      <c r="B3325" t="n" s="0">
        <f>(-5-((((-5*(-5/((-5/(((-5*(-66.76--5))-(-5+((-5*-66.76)*(((-5--5)+(-66.76--5))+-66.76))))-(-5+-5)))*-5)))/-5)--5)+(-5*(((-66.76*(-66.76-(-5/-5)))*(-66.76-(-66.76/(-5*-66.76))))-(-5/-5)))))</f>
        <v>-1496843.49408</v>
      </c>
      <c r="C3325" t="n" s="0">
        <v>-1496843.4940800006</v>
      </c>
    </row>
    <row r="3326">
      <c r="A3326" t="n" s="0">
        <v>-66.75</v>
      </c>
      <c r="B3326" t="n" s="0">
        <f>(-5-((((-5*(-5/((-5/(((-5*(-66.75--5))-(-5+((-5*-66.75)*(((-5--5)+(-66.75--5))+-66.75))))-(-5+-5)))*-5)))/-5)--5)+(-5*(((-66.75*(-66.75-(-5/-5)))*(-66.75-(-66.75/(-5*-66.75))))-(-5/-5)))))</f>
        <v>-1496172.359375</v>
      </c>
      <c r="C3326" t="n" s="0">
        <v>-1496172.359375</v>
      </c>
    </row>
    <row r="3327">
      <c r="A3327" t="n" s="0">
        <v>-66.74</v>
      </c>
      <c r="B3327" t="n" s="0">
        <f>(-5-((((-5*(-5/((-5/(((-5*(-66.74--5))-(-5+((-5*-66.74)*(((-5--5)+(-66.74--5))+-66.74))))-(-5+-5)))*-5)))/-5)--5)+(-5*(((-66.74*(-66.74-(-5/-5)))*(-66.74-(-66.74/(-5*-66.74))))-(-5/-5)))))</f>
        <v>-1495501.42532</v>
      </c>
      <c r="C3327" t="n" s="0">
        <v>-1495501.4253199995</v>
      </c>
    </row>
    <row r="3328">
      <c r="A3328" t="n" s="0">
        <v>-66.73</v>
      </c>
      <c r="B3328" t="n" s="0">
        <f>(-5-((((-5*(-5/((-5/(((-5*(-66.73--5))-(-5+((-5*-66.73)*(((-5--5)+(-66.73--5))+-66.73))))-(-5+-5)))*-5)))/-5)--5)+(-5*(((-66.73*(-66.73-(-5/-5)))*(-66.73-(-66.73/(-5*-66.73))))-(-5/-5)))))</f>
        <v>-1494830.6918849999</v>
      </c>
      <c r="C3328" t="n" s="0">
        <v>-1494830.691885</v>
      </c>
    </row>
    <row r="3329">
      <c r="A3329" t="n" s="0">
        <v>-66.72</v>
      </c>
      <c r="B3329" t="n" s="0">
        <f>(-5-((((-5*(-5/((-5/(((-5*(-66.72--5))-(-5+((-5*-66.72)*(((-5--5)+(-66.72--5))+-66.72))))-(-5+-5)))*-5)))/-5)--5)+(-5*(((-66.72*(-66.72-(-5/-5)))*(-66.72-(-66.72/(-5*-66.72))))-(-5/-5)))))</f>
        <v>-1494160.1590399998</v>
      </c>
      <c r="C3329" t="n" s="0">
        <v>-1494160.1590399998</v>
      </c>
    </row>
    <row r="3330">
      <c r="A3330" t="n" s="0">
        <v>-66.71</v>
      </c>
      <c r="B3330" t="n" s="0">
        <f>(-5-((((-5*(-5/((-5/(((-5*(-66.71--5))-(-5+((-5*-66.71)*(((-5--5)+(-66.71--5))+-66.71))))-(-5+-5)))*-5)))/-5)--5)+(-5*(((-66.71*(-66.71-(-5/-5)))*(-66.71-(-66.71/(-5*-66.71))))-(-5/-5)))))</f>
        <v>-1493489.826755</v>
      </c>
      <c r="C3330" t="n" s="0">
        <v>-1493489.8267549993</v>
      </c>
    </row>
    <row r="3331">
      <c r="A3331" t="n" s="0">
        <v>-66.7</v>
      </c>
      <c r="B3331" t="n" s="0">
        <f>(-5-((((-5*(-5/((-5/(((-5*(-66.7--5))-(-5+((-5*-66.7)*(((-5--5)+(-66.7--5))+-66.7))))-(-5+-5)))*-5)))/-5)--5)+(-5*(((-66.7*(-66.7-(-5/-5)))*(-66.7-(-66.7/(-5*-66.7))))-(-5/-5)))))</f>
        <v>-1492819.695</v>
      </c>
      <c r="C3331" t="n" s="0">
        <v>-1492819.6950000003</v>
      </c>
    </row>
    <row r="3332">
      <c r="A3332" t="n" s="0">
        <v>-66.69</v>
      </c>
      <c r="B3332" t="n" s="0">
        <f>(-5-((((-5*(-5/((-5/(((-5*(-66.69--5))-(-5+((-5*-66.69)*(((-5--5)+(-66.69--5))+-66.69))))-(-5+-5)))*-5)))/-5)--5)+(-5*(((-66.69*(-66.69-(-5/-5)))*(-66.69-(-66.69/(-5*-66.69))))-(-5/-5)))))</f>
        <v>-1492149.763745</v>
      </c>
      <c r="C3332" t="n" s="0">
        <v>-1492149.7637450001</v>
      </c>
    </row>
    <row r="3333">
      <c r="A3333" t="n" s="0">
        <v>-66.68</v>
      </c>
      <c r="B3333" t="n" s="0">
        <f>(-5-((((-5*(-5/((-5/(((-5*(-66.68--5))-(-5+((-5*-66.68)*(((-5--5)+(-66.68--5))+-66.68))))-(-5+-5)))*-5)))/-5)--5)+(-5*(((-66.68*(-66.68-(-5/-5)))*(-66.68-(-66.68/(-5*-66.68))))-(-5/-5)))))</f>
        <v>-1491480.03296</v>
      </c>
      <c r="C3333" t="n" s="0">
        <v>-1491480.0329600004</v>
      </c>
    </row>
    <row r="3334">
      <c r="A3334" t="n" s="0">
        <v>-66.67</v>
      </c>
      <c r="B3334" t="n" s="0">
        <f>(-5-((((-5*(-5/((-5/(((-5*(-66.67--5))-(-5+((-5*-66.67)*(((-5--5)+(-66.67--5))+-66.67))))-(-5+-5)))*-5)))/-5)--5)+(-5*(((-66.67*(-66.67-(-5/-5)))*(-66.67-(-66.67/(-5*-66.67))))-(-5/-5)))))</f>
        <v>-1490810.502615</v>
      </c>
      <c r="C3334" t="n" s="0">
        <v>-1490810.5026150001</v>
      </c>
    </row>
    <row r="3335">
      <c r="A3335" t="n" s="0">
        <v>-66.66</v>
      </c>
      <c r="B3335" t="n" s="0">
        <f>(-5-((((-5*(-5/((-5/(((-5*(-66.66--5))-(-5+((-5*-66.66)*(((-5--5)+(-66.66--5))+-66.66))))-(-5+-5)))*-5)))/-5)--5)+(-5*(((-66.66*(-66.66-(-5/-5)))*(-66.66-(-66.66/(-5*-66.66))))-(-5/-5)))))</f>
        <v>-1490141.17268</v>
      </c>
      <c r="C3335" t="n" s="0">
        <v>-1490141.1726799996</v>
      </c>
    </row>
    <row r="3336">
      <c r="A3336" t="n" s="0">
        <v>-66.65</v>
      </c>
      <c r="B3336" t="n" s="0">
        <f>(-5-((((-5*(-5/((-5/(((-5*(-66.65--5))-(-5+((-5*-66.65)*(((-5--5)+(-66.65--5))+-66.65))))-(-5+-5)))*-5)))/-5)--5)+(-5*(((-66.65*(-66.65-(-5/-5)))*(-66.65-(-66.65/(-5*-66.65))))-(-5/-5)))))</f>
        <v>-1489472.043125</v>
      </c>
      <c r="C3336" t="n" s="0">
        <v>-1489472.0431250003</v>
      </c>
    </row>
    <row r="3337">
      <c r="A3337" t="n" s="0">
        <v>-66.64</v>
      </c>
      <c r="B3337" t="n" s="0">
        <f>(-5-((((-5*(-5/((-5/(((-5*(-66.64--5))-(-5+((-5*-66.64)*(((-5--5)+(-66.64--5))+-66.64))))-(-5+-5)))*-5)))/-5)--5)+(-5*(((-66.64*(-66.64-(-5/-5)))*(-66.64-(-66.64/(-5*-66.64))))-(-5/-5)))))</f>
        <v>-1488803.1139200001</v>
      </c>
      <c r="C3337" t="n" s="0">
        <v>-1488803.11392</v>
      </c>
    </row>
    <row r="3338">
      <c r="A3338" t="n" s="0">
        <v>-66.63</v>
      </c>
      <c r="B3338" t="n" s="0">
        <f>(-5-((((-5*(-5/((-5/(((-5*(-66.63--5))-(-5+((-5*-66.63)*(((-5--5)+(-66.63--5))+-66.63))))-(-5+-5)))*-5)))/-5)--5)+(-5*(((-66.63*(-66.63-(-5/-5)))*(-66.63-(-66.63/(-5*-66.63))))-(-5/-5)))))</f>
        <v>-1488134.385035</v>
      </c>
      <c r="C3338" t="n" s="0">
        <v>-1488134.3850349996</v>
      </c>
    </row>
    <row r="3339">
      <c r="A3339" t="n" s="0">
        <v>-66.62</v>
      </c>
      <c r="B3339" t="n" s="0">
        <f>(-5-((((-5*(-5/((-5/(((-5*(-66.62--5))-(-5+((-5*-66.62)*(((-5--5)+(-66.62--5))+-66.62))))-(-5+-5)))*-5)))/-5)--5)+(-5*(((-66.62*(-66.62-(-5/-5)))*(-66.62-(-66.62/(-5*-66.62))))-(-5/-5)))))</f>
        <v>-1487465.85644</v>
      </c>
      <c r="C3339" t="n" s="0">
        <v>-1487465.8564400005</v>
      </c>
    </row>
    <row r="3340">
      <c r="A3340" t="n" s="0">
        <v>-66.61</v>
      </c>
      <c r="B3340" t="n" s="0">
        <f>(-5-((((-5*(-5/((-5/(((-5*(-66.61--5))-(-5+((-5*-66.61)*(((-5--5)+(-66.61--5))+-66.61))))-(-5+-5)))*-5)))/-5)--5)+(-5*(((-66.61*(-66.61-(-5/-5)))*(-66.61-(-66.61/(-5*-66.61))))-(-5/-5)))))</f>
        <v>-1486797.528105</v>
      </c>
      <c r="C3340" t="n" s="0">
        <v>-1486797.528105</v>
      </c>
    </row>
    <row r="3341">
      <c r="A3341" t="n" s="0">
        <v>-66.6</v>
      </c>
      <c r="B3341" t="n" s="0">
        <f>(-5-((((-5*(-5/((-5/(((-5*(-66.6--5))-(-5+((-5*-66.6)*(((-5--5)+(-66.6--5))+-66.6))))-(-5+-5)))*-5)))/-5)--5)+(-5*(((-66.6*(-66.6-(-5/-5)))*(-66.6-(-66.6/(-5*-66.6))))-(-5/-5)))))</f>
        <v>-1486129.4000000001</v>
      </c>
      <c r="C3341" t="n" s="0">
        <v>-1486129.3999999997</v>
      </c>
    </row>
    <row r="3342">
      <c r="A3342" t="n" s="0">
        <v>-66.59</v>
      </c>
      <c r="B3342" t="n" s="0">
        <f>(-5-((((-5*(-5/((-5/(((-5*(-66.59--5))-(-5+((-5*-66.59)*(((-5--5)+(-66.59--5))+-66.59))))-(-5+-5)))*-5)))/-5)--5)+(-5*(((-66.59*(-66.59-(-5/-5)))*(-66.59-(-66.59/(-5*-66.59))))-(-5/-5)))))</f>
        <v>-1485461.4720949999</v>
      </c>
      <c r="C3342" t="n" s="0">
        <v>-1485461.472095</v>
      </c>
    </row>
    <row r="3343">
      <c r="A3343" t="n" s="0">
        <v>-66.58</v>
      </c>
      <c r="B3343" t="n" s="0">
        <f>(-5-((((-5*(-5/((-5/(((-5*(-66.58--5))-(-5+((-5*-66.58)*(((-5--5)+(-66.58--5))+-66.58))))-(-5+-5)))*-5)))/-5)--5)+(-5*(((-66.58*(-66.58-(-5/-5)))*(-66.58-(-66.58/(-5*-66.58))))-(-5/-5)))))</f>
        <v>-1484793.74436</v>
      </c>
      <c r="C3343" t="n" s="0">
        <v>-1484793.7443599997</v>
      </c>
    </row>
    <row r="3344">
      <c r="A3344" t="n" s="0">
        <v>-66.57</v>
      </c>
      <c r="B3344" t="n" s="0">
        <f>(-5-((((-5*(-5/((-5/(((-5*(-66.57--5))-(-5+((-5*-66.57)*(((-5--5)+(-66.57--5))+-66.57))))-(-5+-5)))*-5)))/-5)--5)+(-5*(((-66.57*(-66.57-(-5/-5)))*(-66.57-(-66.57/(-5*-66.57))))-(-5/-5)))))</f>
        <v>-1484126.216765</v>
      </c>
      <c r="C3344" t="n" s="0">
        <v>-1484126.2167649996</v>
      </c>
    </row>
    <row r="3345">
      <c r="A3345" t="n" s="0">
        <v>-66.56</v>
      </c>
      <c r="B3345" t="n" s="0">
        <f>(-5-((((-5*(-5/((-5/(((-5*(-66.56--5))-(-5+((-5*-66.56)*(((-5--5)+(-66.56--5))+-66.56))))-(-5+-5)))*-5)))/-5)--5)+(-5*(((-66.56*(-66.56-(-5/-5)))*(-66.56-(-66.56/(-5*-66.56))))-(-5/-5)))))</f>
        <v>-1483458.88928</v>
      </c>
      <c r="C3345" t="n" s="0">
        <v>-1483458.8892800002</v>
      </c>
    </row>
    <row r="3346">
      <c r="A3346" t="n" s="0">
        <v>-66.55</v>
      </c>
      <c r="B3346" t="n" s="0">
        <f>(-5-((((-5*(-5/((-5/(((-5*(-66.55--5))-(-5+((-5*-66.55)*(((-5--5)+(-66.55--5))+-66.55))))-(-5+-5)))*-5)))/-5)--5)+(-5*(((-66.55*(-66.55-(-5/-5)))*(-66.55-(-66.55/(-5*-66.55))))-(-5/-5)))))</f>
        <v>-1482791.761875</v>
      </c>
      <c r="C3346" t="n" s="0">
        <v>-1482791.7618749996</v>
      </c>
    </row>
    <row r="3347">
      <c r="A3347" t="n" s="0">
        <v>-66.54</v>
      </c>
      <c r="B3347" t="n" s="0">
        <f>(-5-((((-5*(-5/((-5/(((-5*(-66.54--5))-(-5+((-5*-66.54)*(((-5--5)+(-66.54--5))+-66.54))))-(-5+-5)))*-5)))/-5)--5)+(-5*(((-66.54*(-66.54-(-5/-5)))*(-66.54-(-66.54/(-5*-66.54))))-(-5/-5)))))</f>
        <v>-1482124.8345199998</v>
      </c>
      <c r="C3347" t="n" s="0">
        <v>-1482124.8345200007</v>
      </c>
    </row>
    <row r="3348">
      <c r="A3348" t="n" s="0">
        <v>-66.53</v>
      </c>
      <c r="B3348" t="n" s="0">
        <f>(-5-((((-5*(-5/((-5/(((-5*(-66.53--5))-(-5+((-5*-66.53)*(((-5--5)+(-66.53--5))+-66.53))))-(-5+-5)))*-5)))/-5)--5)+(-5*(((-66.53*(-66.53-(-5/-5)))*(-66.53-(-66.53/(-5*-66.53))))-(-5/-5)))))</f>
        <v>-1481458.1071849999</v>
      </c>
      <c r="C3348" t="n" s="0">
        <v>-1481458.107185</v>
      </c>
    </row>
    <row r="3349">
      <c r="A3349" t="n" s="0">
        <v>-66.52</v>
      </c>
      <c r="B3349" t="n" s="0">
        <f>(-5-((((-5*(-5/((-5/(((-5*(-66.52--5))-(-5+((-5*-66.52)*(((-5--5)+(-66.52--5))+-66.52))))-(-5+-5)))*-5)))/-5)--5)+(-5*(((-66.52*(-66.52-(-5/-5)))*(-66.52-(-66.52/(-5*-66.52))))-(-5/-5)))))</f>
        <v>-1480791.57984</v>
      </c>
      <c r="C3349" t="n" s="0">
        <v>-1480791.57984</v>
      </c>
    </row>
    <row r="3350">
      <c r="A3350" t="n" s="0">
        <v>-66.51</v>
      </c>
      <c r="B3350" t="n" s="0">
        <f>(-5-((((-5*(-5/((-5/(((-5*(-66.51--5))-(-5+((-5*-66.51)*(((-5--5)+(-66.51--5))+-66.51))))-(-5+-5)))*-5)))/-5)--5)+(-5*(((-66.51*(-66.51-(-5/-5)))*(-66.51-(-66.51/(-5*-66.51))))-(-5/-5)))))</f>
        <v>-1480125.252455</v>
      </c>
      <c r="C3350" t="n" s="0">
        <v>-1480125.2524550005</v>
      </c>
    </row>
    <row r="3351">
      <c r="A3351" t="n" s="0">
        <v>-66.5</v>
      </c>
      <c r="B3351" t="n" s="0">
        <f>(-5-((((-5*(-5/((-5/(((-5*(-66.5--5))-(-5+((-5*-66.5)*(((-5--5)+(-66.5--5))+-66.5))))-(-5+-5)))*-5)))/-5)--5)+(-5*(((-66.5*(-66.5-(-5/-5)))*(-66.5-(-66.5/(-5*-66.5))))-(-5/-5)))))</f>
        <v>-1479459.125</v>
      </c>
      <c r="C3351" t="n" s="0">
        <v>-1479459.125</v>
      </c>
    </row>
    <row r="3352">
      <c r="A3352" t="n" s="0">
        <v>-66.49</v>
      </c>
      <c r="B3352" t="n" s="0">
        <f>(-5-((((-5*(-5/((-5/(((-5*(-66.49--5))-(-5+((-5*-66.49)*(((-5--5)+(-66.49--5))+-66.49))))-(-5+-5)))*-5)))/-5)--5)+(-5*(((-66.49*(-66.49-(-5/-5)))*(-66.49-(-66.49/(-5*-66.49))))-(-5/-5)))))</f>
        <v>-1478793.197445</v>
      </c>
      <c r="C3352" t="n" s="0">
        <v>-1478793.1974449996</v>
      </c>
    </row>
    <row r="3353">
      <c r="A3353" t="n" s="0">
        <v>-66.48</v>
      </c>
      <c r="B3353" t="n" s="0">
        <f>(-5-((((-5*(-5/((-5/(((-5*(-66.48--5))-(-5+((-5*-66.48)*(((-5--5)+(-66.48--5))+-66.48))))-(-5+-5)))*-5)))/-5)--5)+(-5*(((-66.48*(-66.48-(-5/-5)))*(-66.48-(-66.48/(-5*-66.48))))-(-5/-5)))))</f>
        <v>-1478127.46976</v>
      </c>
      <c r="C3353" t="n" s="0">
        <v>-1478127.46976</v>
      </c>
    </row>
    <row r="3354">
      <c r="A3354" t="n" s="0">
        <v>-66.47</v>
      </c>
      <c r="B3354" t="n" s="0">
        <f>(-5-((((-5*(-5/((-5/(((-5*(-66.47--5))-(-5+((-5*-66.47)*(((-5--5)+(-66.47--5))+-66.47))))-(-5+-5)))*-5)))/-5)--5)+(-5*(((-66.47*(-66.47-(-5/-5)))*(-66.47-(-66.47/(-5*-66.47))))-(-5/-5)))))</f>
        <v>-1477461.9419149999</v>
      </c>
      <c r="C3354" t="n" s="0">
        <v>-1477461.9419149999</v>
      </c>
    </row>
    <row r="3355">
      <c r="A3355" t="n" s="0">
        <v>-66.46</v>
      </c>
      <c r="B3355" t="n" s="0">
        <f>(-5-((((-5*(-5/((-5/(((-5*(-66.46--5))-(-5+((-5*-66.46)*(((-5--5)+(-66.46--5))+-66.46))))-(-5+-5)))*-5)))/-5)--5)+(-5*(((-66.46*(-66.46-(-5/-5)))*(-66.46-(-66.46/(-5*-66.46))))-(-5/-5)))))</f>
        <v>-1476796.61388</v>
      </c>
      <c r="C3355" t="n" s="0">
        <v>-1476796.6138799994</v>
      </c>
    </row>
    <row r="3356">
      <c r="A3356" t="n" s="0">
        <v>-66.45</v>
      </c>
      <c r="B3356" t="n" s="0">
        <f>(-5-((((-5*(-5/((-5/(((-5*(-66.45--5))-(-5+((-5*-66.45)*(((-5--5)+(-66.45--5))+-66.45))))-(-5+-5)))*-5)))/-5)--5)+(-5*(((-66.45*(-66.45-(-5/-5)))*(-66.45-(-66.45/(-5*-66.45))))-(-5/-5)))))</f>
        <v>-1476131.485625</v>
      </c>
      <c r="C3356" t="n" s="0">
        <v>-1476131.4856250004</v>
      </c>
    </row>
    <row r="3357">
      <c r="A3357" t="n" s="0">
        <v>-66.44</v>
      </c>
      <c r="B3357" t="n" s="0">
        <f>(-5-((((-5*(-5/((-5/(((-5*(-66.44--5))-(-5+((-5*-66.44)*(((-5--5)+(-66.44--5))+-66.44))))-(-5+-5)))*-5)))/-5)--5)+(-5*(((-66.44*(-66.44-(-5/-5)))*(-66.44-(-66.44/(-5*-66.44))))-(-5/-5)))))</f>
        <v>-1475466.55712</v>
      </c>
      <c r="C3357" t="n" s="0">
        <v>-1475466.5571199998</v>
      </c>
    </row>
    <row r="3358">
      <c r="A3358" t="n" s="0">
        <v>-66.43</v>
      </c>
      <c r="B3358" t="n" s="0">
        <f>(-5-((((-5*(-5/((-5/(((-5*(-66.43--5))-(-5+((-5*-66.43)*(((-5--5)+(-66.43--5))+-66.43))))-(-5+-5)))*-5)))/-5)--5)+(-5*(((-66.43*(-66.43-(-5/-5)))*(-66.43-(-66.43/(-5*-66.43))))-(-5/-5)))))</f>
        <v>-1474801.828335</v>
      </c>
      <c r="C3358" t="n" s="0">
        <v>-1474801.8283350004</v>
      </c>
    </row>
    <row r="3359">
      <c r="A3359" t="n" s="0">
        <v>-66.42</v>
      </c>
      <c r="B3359" t="n" s="0">
        <f>(-5-((((-5*(-5/((-5/(((-5*(-66.42--5))-(-5+((-5*-66.42)*(((-5--5)+(-66.42--5))+-66.42))))-(-5+-5)))*-5)))/-5)--5)+(-5*(((-66.42*(-66.42-(-5/-5)))*(-66.42-(-66.42/(-5*-66.42))))-(-5/-5)))))</f>
        <v>-1474137.29924</v>
      </c>
      <c r="C3359" t="n" s="0">
        <v>-1474137.2992400003</v>
      </c>
    </row>
    <row r="3360">
      <c r="A3360" t="n" s="0">
        <v>-66.41</v>
      </c>
      <c r="B3360" t="n" s="0">
        <f>(-5-((((-5*(-5/((-5/(((-5*(-66.41--5))-(-5+((-5*-66.41)*(((-5--5)+(-66.41--5))+-66.41))))-(-5+-5)))*-5)))/-5)--5)+(-5*(((-66.41*(-66.41-(-5/-5)))*(-66.41-(-66.41/(-5*-66.41))))-(-5/-5)))))</f>
        <v>-1473472.9698050001</v>
      </c>
      <c r="C3360" t="n" s="0">
        <v>-1473472.969805</v>
      </c>
    </row>
    <row r="3361">
      <c r="A3361" t="n" s="0">
        <v>-66.4</v>
      </c>
      <c r="B3361" t="n" s="0">
        <f>(-5-((((-5*(-5/((-5/(((-5*(-66.4--5))-(-5+((-5*-66.4)*(((-5--5)+(-66.4--5))+-66.4))))-(-5+-5)))*-5)))/-5)--5)+(-5*(((-66.4*(-66.4-(-5/-5)))*(-66.4-(-66.4/(-5*-66.4))))-(-5/-5)))))</f>
        <v>-1472808.8399999999</v>
      </c>
      <c r="C3361" t="n" s="0">
        <v>-1472808.8400000003</v>
      </c>
    </row>
    <row r="3362">
      <c r="A3362" t="n" s="0">
        <v>-66.39</v>
      </c>
      <c r="B3362" t="n" s="0">
        <f>(-5-((((-5*(-5/((-5/(((-5*(-66.39--5))-(-5+((-5*-66.39)*(((-5--5)+(-66.39--5))+-66.39))))-(-5+-5)))*-5)))/-5)--5)+(-5*(((-66.39*(-66.39-(-5/-5)))*(-66.39-(-66.39/(-5*-66.39))))-(-5/-5)))))</f>
        <v>-1472144.909795</v>
      </c>
      <c r="C3362" t="n" s="0">
        <v>-1472144.909795</v>
      </c>
    </row>
    <row r="3363">
      <c r="A3363" t="n" s="0">
        <v>-66.38</v>
      </c>
      <c r="B3363" t="n" s="0">
        <f>(-5-((((-5*(-5/((-5/(((-5*(-66.38--5))-(-5+((-5*-66.38)*(((-5--5)+(-66.38--5))+-66.38))))-(-5+-5)))*-5)))/-5)--5)+(-5*(((-66.38*(-66.38-(-5/-5)))*(-66.38-(-66.38/(-5*-66.38))))-(-5/-5)))))</f>
        <v>-1471481.17916</v>
      </c>
      <c r="C3363" t="n" s="0">
        <v>-1471481.1791599996</v>
      </c>
    </row>
    <row r="3364">
      <c r="A3364" t="n" s="0">
        <v>-66.37</v>
      </c>
      <c r="B3364" t="n" s="0">
        <f>(-5-((((-5*(-5/((-5/(((-5*(-66.37--5))-(-5+((-5*-66.37)*(((-5--5)+(-66.37--5))+-66.37))))-(-5+-5)))*-5)))/-5)--5)+(-5*(((-66.37*(-66.37-(-5/-5)))*(-66.37-(-66.37/(-5*-66.37))))-(-5/-5)))))</f>
        <v>-1470817.648065</v>
      </c>
      <c r="C3364" t="n" s="0">
        <v>-1470817.6480650005</v>
      </c>
    </row>
    <row r="3365">
      <c r="A3365" t="n" s="0">
        <v>-66.36</v>
      </c>
      <c r="B3365" t="n" s="0">
        <f>(-5-((((-5*(-5/((-5/(((-5*(-66.36--5))-(-5+((-5*-66.36)*(((-5--5)+(-66.36--5))+-66.36))))-(-5+-5)))*-5)))/-5)--5)+(-5*(((-66.36*(-66.36-(-5/-5)))*(-66.36-(-66.36/(-5*-66.36))))-(-5/-5)))))</f>
        <v>-1470154.31648</v>
      </c>
      <c r="C3365" t="n" s="0">
        <v>-1470154.3164800003</v>
      </c>
    </row>
    <row r="3366">
      <c r="A3366" t="n" s="0">
        <v>-66.35</v>
      </c>
      <c r="B3366" t="n" s="0">
        <f>(-5-((((-5*(-5/((-5/(((-5*(-66.35--5))-(-5+((-5*-66.35)*(((-5--5)+(-66.35--5))+-66.35))))-(-5+-5)))*-5)))/-5)--5)+(-5*(((-66.35*(-66.35-(-5/-5)))*(-66.35-(-66.35/(-5*-66.35))))-(-5/-5)))))</f>
        <v>-1469491.184375</v>
      </c>
      <c r="C3366" t="n" s="0">
        <v>-1469491.1843749997</v>
      </c>
    </row>
    <row r="3367">
      <c r="A3367" t="n" s="0">
        <v>-66.34</v>
      </c>
      <c r="B3367" t="n" s="0">
        <f>(-5-((((-5*(-5/((-5/(((-5*(-66.34--5))-(-5+((-5*-66.34)*(((-5--5)+(-66.34--5))+-66.34))))-(-5+-5)))*-5)))/-5)--5)+(-5*(((-66.34*(-66.34-(-5/-5)))*(-66.34-(-66.34/(-5*-66.34))))-(-5/-5)))))</f>
        <v>-1468828.25172</v>
      </c>
      <c r="C3367" t="n" s="0">
        <v>-1468828.2517200003</v>
      </c>
    </row>
    <row r="3368">
      <c r="A3368" t="n" s="0">
        <v>-66.33</v>
      </c>
      <c r="B3368" t="n" s="0">
        <f>(-5-((((-5*(-5/((-5/(((-5*(-66.33--5))-(-5+((-5*-66.33)*(((-5--5)+(-66.33--5))+-66.33))))-(-5+-5)))*-5)))/-5)--5)+(-5*(((-66.33*(-66.33-(-5/-5)))*(-66.33-(-66.33/(-5*-66.33))))-(-5/-5)))))</f>
        <v>-1468165.518485</v>
      </c>
      <c r="C3368" t="n" s="0">
        <v>-1468165.5184850001</v>
      </c>
    </row>
    <row r="3369">
      <c r="A3369" t="n" s="0">
        <v>-66.32</v>
      </c>
      <c r="B3369" t="n" s="0">
        <f>(-5-((((-5*(-5/((-5/(((-5*(-66.32--5))-(-5+((-5*-66.32)*(((-5--5)+(-66.32--5))+-66.32))))-(-5+-5)))*-5)))/-5)--5)+(-5*(((-66.32*(-66.32-(-5/-5)))*(-66.32-(-66.32/(-5*-66.32))))-(-5/-5)))))</f>
        <v>-1467502.98464</v>
      </c>
      <c r="C3369" t="n" s="0">
        <v>-1467502.9846399995</v>
      </c>
    </row>
    <row r="3370">
      <c r="A3370" t="n" s="0">
        <v>-66.31</v>
      </c>
      <c r="B3370" t="n" s="0">
        <f>(-5-((((-5*(-5/((-5/(((-5*(-66.31--5))-(-5+((-5*-66.31)*(((-5--5)+(-66.31--5))+-66.31))))-(-5+-5)))*-5)))/-5)--5)+(-5*(((-66.31*(-66.31-(-5/-5)))*(-66.31-(-66.31/(-5*-66.31))))-(-5/-5)))))</f>
        <v>-1466840.650155</v>
      </c>
      <c r="C3370" t="n" s="0">
        <v>-1466840.650155</v>
      </c>
    </row>
    <row r="3371">
      <c r="A3371" t="n" s="0">
        <v>-66.3</v>
      </c>
      <c r="B3371" t="n" s="0">
        <f>(-5-((((-5*(-5/((-5/(((-5*(-66.3--5))-(-5+((-5*-66.3)*(((-5--5)+(-66.3--5))+-66.3))))-(-5+-5)))*-5)))/-5)--5)+(-5*(((-66.3*(-66.3-(-5/-5)))*(-66.3-(-66.3/(-5*-66.3))))-(-5/-5)))))</f>
        <v>-1466178.5150000001</v>
      </c>
      <c r="C3371" t="n" s="0">
        <v>-1466178.5149999997</v>
      </c>
    </row>
    <row r="3372">
      <c r="A3372" t="n" s="0">
        <v>-66.29</v>
      </c>
      <c r="B3372" t="n" s="0">
        <f>(-5-((((-5*(-5/((-5/(((-5*(-66.29--5))-(-5+((-5*-66.29)*(((-5--5)+(-66.29--5))+-66.29))))-(-5+-5)))*-5)))/-5)--5)+(-5*(((-66.29*(-66.29-(-5/-5)))*(-66.29-(-66.29/(-5*-66.29))))-(-5/-5)))))</f>
        <v>-1465516.5791449999</v>
      </c>
      <c r="C3372" t="n" s="0">
        <v>-1465516.5791450005</v>
      </c>
    </row>
    <row r="3373">
      <c r="A3373" t="n" s="0">
        <v>-66.28</v>
      </c>
      <c r="B3373" t="n" s="0">
        <f>(-5-((((-5*(-5/((-5/(((-5*(-66.28--5))-(-5+((-5*-66.28)*(((-5--5)+(-66.28--5))+-66.28))))-(-5+-5)))*-5)))/-5)--5)+(-5*(((-66.28*(-66.28-(-5/-5)))*(-66.28-(-66.28/(-5*-66.28))))-(-5/-5)))))</f>
        <v>-1464854.84256</v>
      </c>
      <c r="C3373" t="n" s="0">
        <v>-1464854.84256</v>
      </c>
    </row>
    <row r="3374">
      <c r="A3374" t="n" s="0">
        <v>-66.27</v>
      </c>
      <c r="B3374" t="n" s="0">
        <f>(-5-((((-5*(-5/((-5/(((-5*(-66.27--5))-(-5+((-5*-66.27)*(((-5--5)+(-66.27--5))+-66.27))))-(-5+-5)))*-5)))/-5)--5)+(-5*(((-66.27*(-66.27-(-5/-5)))*(-66.27-(-66.27/(-5*-66.27))))-(-5/-5)))))</f>
        <v>-1464193.305215</v>
      </c>
      <c r="C3374" t="n" s="0">
        <v>-1464193.305215</v>
      </c>
    </row>
    <row r="3375">
      <c r="A3375" t="n" s="0">
        <v>-66.26</v>
      </c>
      <c r="B3375" t="n" s="0">
        <f>(-5-((((-5*(-5/((-5/(((-5*(-66.26--5))-(-5+((-5*-66.26)*(((-5--5)+(-66.26--5))+-66.26))))-(-5+-5)))*-5)))/-5)--5)+(-5*(((-66.26*(-66.26-(-5/-5)))*(-66.26-(-66.26/(-5*-66.26))))-(-5/-5)))))</f>
        <v>-1463531.96708</v>
      </c>
      <c r="C3375" t="n" s="0">
        <v>-1463531.9670800003</v>
      </c>
    </row>
    <row r="3376">
      <c r="A3376" t="n" s="0">
        <v>-66.25</v>
      </c>
      <c r="B3376" t="n" s="0">
        <f>(-5-((((-5*(-5/((-5/(((-5*(-66.25--5))-(-5+((-5*-66.25)*(((-5--5)+(-66.25--5))+-66.25))))-(-5+-5)))*-5)))/-5)--5)+(-5*(((-66.25*(-66.25-(-5/-5)))*(-66.25-(-66.25/(-5*-66.25))))-(-5/-5)))))</f>
        <v>-1462870.828125</v>
      </c>
      <c r="C3376" t="n" s="0">
        <v>-1462870.828125</v>
      </c>
    </row>
    <row r="3377">
      <c r="A3377" t="n" s="0">
        <v>-66.24</v>
      </c>
      <c r="B3377" t="n" s="0">
        <f>(-5-((((-5*(-5/((-5/(((-5*(-66.24--5))-(-5+((-5*-66.24)*(((-5--5)+(-66.24--5))+-66.24))))-(-5+-5)))*-5)))/-5)--5)+(-5*(((-66.24*(-66.24-(-5/-5)))*(-66.24-(-66.24/(-5*-66.24))))-(-5/-5)))))</f>
        <v>-1462209.88832</v>
      </c>
      <c r="C3377" t="n" s="0">
        <v>-1462209.8883199997</v>
      </c>
    </row>
    <row r="3378">
      <c r="A3378" t="n" s="0">
        <v>-66.23</v>
      </c>
      <c r="B3378" t="n" s="0">
        <f>(-5-((((-5*(-5/((-5/(((-5*(-66.23--5))-(-5+((-5*-66.23)*(((-5--5)+(-66.23--5))+-66.23))))-(-5+-5)))*-5)))/-5)--5)+(-5*(((-66.23*(-66.23-(-5/-5)))*(-66.23-(-66.23/(-5*-66.23))))-(-5/-5)))))</f>
        <v>-1461549.1476349998</v>
      </c>
      <c r="C3378" t="n" s="0">
        <v>-1461549.147635</v>
      </c>
    </row>
    <row r="3379">
      <c r="A3379" t="n" s="0">
        <v>-66.22</v>
      </c>
      <c r="B3379" t="n" s="0">
        <f>(-5-((((-5*(-5/((-5/(((-5*(-66.22--5))-(-5+((-5*-66.22)*(((-5--5)+(-66.22--5))+-66.22))))-(-5+-5)))*-5)))/-5)--5)+(-5*(((-66.22*(-66.22-(-5/-5)))*(-66.22-(-66.22/(-5*-66.22))))-(-5/-5)))))</f>
        <v>-1460888.60604</v>
      </c>
      <c r="C3379" t="n" s="0">
        <v>-1460888.60604</v>
      </c>
    </row>
    <row r="3380">
      <c r="A3380" t="n" s="0">
        <v>-66.21</v>
      </c>
      <c r="B3380" t="n" s="0">
        <f>(-5-((((-5*(-5/((-5/(((-5*(-66.21--5))-(-5+((-5*-66.21)*(((-5--5)+(-66.21--5))+-66.21))))-(-5+-5)))*-5)))/-5)--5)+(-5*(((-66.21*(-66.21-(-5/-5)))*(-66.21-(-66.21/(-5*-66.21))))-(-5/-5)))))</f>
        <v>-1460228.263505</v>
      </c>
      <c r="C3380" t="n" s="0">
        <v>-1460228.2635049995</v>
      </c>
    </row>
    <row r="3381">
      <c r="A3381" t="n" s="0">
        <v>-66.2</v>
      </c>
      <c r="B3381" t="n" s="0">
        <f>(-5-((((-5*(-5/((-5/(((-5*(-66.2--5))-(-5+((-5*-66.2)*(((-5--5)+(-66.2--5))+-66.2))))-(-5+-5)))*-5)))/-5)--5)+(-5*(((-66.2*(-66.2-(-5/-5)))*(-66.2-(-66.2/(-5*-66.2))))-(-5/-5)))))</f>
        <v>-1459568.1199999999</v>
      </c>
      <c r="C3381" t="n" s="0">
        <v>-1459568.12</v>
      </c>
    </row>
    <row r="3382">
      <c r="A3382" t="n" s="0">
        <v>-66.19</v>
      </c>
      <c r="B3382" t="n" s="0">
        <f>(-5-((((-5*(-5/((-5/(((-5*(-66.19--5))-(-5+((-5*-66.19)*(((-5--5)+(-66.19--5))+-66.19))))-(-5+-5)))*-5)))/-5)--5)+(-5*(((-66.19*(-66.19-(-5/-5)))*(-66.19-(-66.19/(-5*-66.19))))-(-5/-5)))))</f>
        <v>-1458908.175495</v>
      </c>
      <c r="C3382" t="n" s="0">
        <v>-1458908.1754949999</v>
      </c>
    </row>
    <row r="3383">
      <c r="A3383" t="n" s="0">
        <v>-66.18</v>
      </c>
      <c r="B3383" t="n" s="0">
        <f>(-5-((((-5*(-5/((-5/(((-5*(-66.18--5))-(-5+((-5*-66.18)*(((-5--5)+(-66.18--5))+-66.18))))-(-5+-5)))*-5)))/-5)--5)+(-5*(((-66.18*(-66.18-(-5/-5)))*(-66.18-(-66.18/(-5*-66.18))))-(-5/-5)))))</f>
        <v>-1458248.42996</v>
      </c>
      <c r="C3383" t="n" s="0">
        <v>-1458248.4299600006</v>
      </c>
    </row>
    <row r="3384">
      <c r="A3384" t="n" s="0">
        <v>-66.17</v>
      </c>
      <c r="B3384" t="n" s="0">
        <f>(-5-((((-5*(-5/((-5/(((-5*(-66.17--5))-(-5+((-5*-66.17)*(((-5--5)+(-66.17--5))+-66.17))))-(-5+-5)))*-5)))/-5)--5)+(-5*(((-66.17*(-66.17-(-5/-5)))*(-66.17-(-66.17/(-5*-66.17))))-(-5/-5)))))</f>
        <v>-1457588.883365</v>
      </c>
      <c r="C3384" t="n" s="0">
        <v>-1457588.883365</v>
      </c>
    </row>
    <row r="3385">
      <c r="A3385" t="n" s="0">
        <v>-66.16</v>
      </c>
      <c r="B3385" t="n" s="0">
        <f>(-5-((((-5*(-5/((-5/(((-5*(-66.16--5))-(-5+((-5*-66.16)*(((-5--5)+(-66.16--5))+-66.16))))-(-5+-5)))*-5)))/-5)--5)+(-5*(((-66.16*(-66.16-(-5/-5)))*(-66.16-(-66.16/(-5*-66.16))))-(-5/-5)))))</f>
        <v>-1456929.53568</v>
      </c>
      <c r="C3385" t="n" s="0">
        <v>-1456929.5356799997</v>
      </c>
    </row>
    <row r="3386">
      <c r="A3386" t="n" s="0">
        <v>-66.15</v>
      </c>
      <c r="B3386" t="n" s="0">
        <f>(-5-((((-5*(-5/((-5/(((-5*(-66.15--5))-(-5+((-5*-66.15)*(((-5--5)+(-66.15--5))+-66.15))))-(-5+-5)))*-5)))/-5)--5)+(-5*(((-66.15*(-66.15-(-5/-5)))*(-66.15-(-66.15/(-5*-66.15))))-(-5/-5)))))</f>
        <v>-1456270.386875</v>
      </c>
      <c r="C3386" t="n" s="0">
        <v>-1456270.3868750003</v>
      </c>
    </row>
    <row r="3387">
      <c r="A3387" t="n" s="0">
        <v>-66.14</v>
      </c>
      <c r="B3387" t="n" s="0">
        <f>(-5-((((-5*(-5/((-5/(((-5*(-66.14--5))-(-5+((-5*-66.14)*(((-5--5)+(-66.14--5))+-66.14))))-(-5+-5)))*-5)))/-5)--5)+(-5*(((-66.14*(-66.14-(-5/-5)))*(-66.14-(-66.14/(-5*-66.14))))-(-5/-5)))))</f>
        <v>-1455611.43692</v>
      </c>
      <c r="C3387" t="n" s="0">
        <v>-1455611.4369199998</v>
      </c>
    </row>
    <row r="3388">
      <c r="A3388" t="n" s="0">
        <v>-66.13</v>
      </c>
      <c r="B3388" t="n" s="0">
        <f>(-5-((((-5*(-5/((-5/(((-5*(-66.13--5))-(-5+((-5*-66.13)*(((-5--5)+(-66.13--5))+-66.13))))-(-5+-5)))*-5)))/-5)--5)+(-5*(((-66.13*(-66.13-(-5/-5)))*(-66.13-(-66.13/(-5*-66.13))))-(-5/-5)))))</f>
        <v>-1454952.685785</v>
      </c>
      <c r="C3388" t="n" s="0">
        <v>-1454952.6857849997</v>
      </c>
    </row>
    <row r="3389">
      <c r="A3389" t="n" s="0">
        <v>-66.12</v>
      </c>
      <c r="B3389" t="n" s="0">
        <f>(-5-((((-5*(-5/((-5/(((-5*(-66.12--5))-(-5+((-5*-66.12)*(((-5--5)+(-66.12--5))+-66.12))))-(-5+-5)))*-5)))/-5)--5)+(-5*(((-66.12*(-66.12-(-5/-5)))*(-66.12-(-66.12/(-5*-66.12))))-(-5/-5)))))</f>
        <v>-1454294.13344</v>
      </c>
      <c r="C3389" t="n" s="0">
        <v>-1454294.1334400005</v>
      </c>
    </row>
    <row r="3390">
      <c r="A3390" t="n" s="0">
        <v>-66.11</v>
      </c>
      <c r="B3390" t="n" s="0">
        <f>(-5-((((-5*(-5/((-5/(((-5*(-66.11--5))-(-5+((-5*-66.11)*(((-5--5)+(-66.11--5))+-66.11))))-(-5+-5)))*-5)))/-5)--5)+(-5*(((-66.11*(-66.11-(-5/-5)))*(-66.11-(-66.11/(-5*-66.11))))-(-5/-5)))))</f>
        <v>-1453635.779855</v>
      </c>
      <c r="C3390" t="n" s="0">
        <v>-1453635.7798549999</v>
      </c>
    </row>
    <row r="3391">
      <c r="A3391" t="n" s="0">
        <v>-66.1</v>
      </c>
      <c r="B3391" t="n" s="0">
        <f>(-5-((((-5*(-5/((-5/(((-5*(-66.1--5))-(-5+((-5*-66.1)*(((-5--5)+(-66.1--5))+-66.1))))-(-5+-5)))*-5)))/-5)--5)+(-5*(((-66.1*(-66.1-(-5/-5)))*(-66.1-(-66.1/(-5*-66.1))))-(-5/-5)))))</f>
        <v>-1452977.625</v>
      </c>
      <c r="C3391" t="n" s="0">
        <v>-1452977.6249999995</v>
      </c>
    </row>
    <row r="3392">
      <c r="A3392" t="n" s="0">
        <v>-66.09</v>
      </c>
      <c r="B3392" t="n" s="0">
        <f>(-5-((((-5*(-5/((-5/(((-5*(-66.09--5))-(-5+((-5*-66.09)*(((-5--5)+(-66.09--5))+-66.09))))-(-5+-5)))*-5)))/-5)--5)+(-5*(((-66.09*(-66.09-(-5/-5)))*(-66.09-(-66.09/(-5*-66.09))))-(-5/-5)))))</f>
        <v>-1452319.668845</v>
      </c>
      <c r="C3392" t="n" s="0">
        <v>-1452319.6688450002</v>
      </c>
    </row>
    <row r="3393">
      <c r="A3393" t="n" s="0">
        <v>-66.08</v>
      </c>
      <c r="B3393" t="n" s="0">
        <f>(-5-((((-5*(-5/((-5/(((-5*(-66.08--5))-(-5+((-5*-66.08)*(((-5--5)+(-66.08--5))+-66.08))))-(-5+-5)))*-5)))/-5)--5)+(-5*(((-66.08*(-66.08-(-5/-5)))*(-66.08-(-66.08/(-5*-66.08))))-(-5/-5)))))</f>
        <v>-1451661.91136</v>
      </c>
      <c r="C3393" t="n" s="0">
        <v>-1451661.91136</v>
      </c>
    </row>
    <row r="3394">
      <c r="A3394" t="n" s="0">
        <v>-66.07</v>
      </c>
      <c r="B3394" t="n" s="0">
        <f>(-5-((((-5*(-5/((-5/(((-5*(-66.07--5))-(-5+((-5*-66.07)*(((-5--5)+(-66.07--5))+-66.07))))-(-5+-5)))*-5)))/-5)--5)+(-5*(((-66.07*(-66.07-(-5/-5)))*(-66.07-(-66.07/(-5*-66.07))))-(-5/-5)))))</f>
        <v>-1451004.352515</v>
      </c>
      <c r="C3394" t="n" s="0">
        <v>-1451004.3525149997</v>
      </c>
    </row>
    <row r="3395">
      <c r="A3395" t="n" s="0">
        <v>-66.06</v>
      </c>
      <c r="B3395" t="n" s="0">
        <f>(-5-((((-5*(-5/((-5/(((-5*(-66.06--5))-(-5+((-5*-66.06)*(((-5--5)+(-66.06--5))+-66.06))))-(-5+-5)))*-5)))/-5)--5)+(-5*(((-66.06*(-66.06-(-5/-5)))*(-66.06-(-66.06/(-5*-66.06))))-(-5/-5)))))</f>
        <v>-1450346.9922800001</v>
      </c>
      <c r="C3395" t="n" s="0">
        <v>-1450346.99228</v>
      </c>
    </row>
    <row r="3396">
      <c r="A3396" t="n" s="0">
        <v>-66.05</v>
      </c>
      <c r="B3396" t="n" s="0">
        <f>(-5-((((-5*(-5/((-5/(((-5*(-66.05--5))-(-5+((-5*-66.05)*(((-5--5)+(-66.05--5))+-66.05))))-(-5+-5)))*-5)))/-5)--5)+(-5*(((-66.05*(-66.05-(-5/-5)))*(-66.05-(-66.05/(-5*-66.05))))-(-5/-5)))))</f>
        <v>-1449689.830625</v>
      </c>
      <c r="C3396" t="n" s="0">
        <v>-1449689.830625</v>
      </c>
    </row>
    <row r="3397">
      <c r="A3397" t="n" s="0">
        <v>-66.04</v>
      </c>
      <c r="B3397" t="n" s="0">
        <f>(-5-((((-5*(-5/((-5/(((-5*(-66.04--5))-(-5+((-5*-66.04)*(((-5--5)+(-66.04--5))+-66.04))))-(-5+-5)))*-5)))/-5)--5)+(-5*(((-66.04*(-66.04-(-5/-5)))*(-66.04-(-66.04/(-5*-66.04))))-(-5/-5)))))</f>
        <v>-1449032.8675199999</v>
      </c>
      <c r="C3397" t="n" s="0">
        <v>-1449032.8675200006</v>
      </c>
    </row>
    <row r="3398">
      <c r="A3398" t="n" s="0">
        <v>-66.03</v>
      </c>
      <c r="B3398" t="n" s="0">
        <f>(-5-((((-5*(-5/((-5/(((-5*(-66.03--5))-(-5+((-5*-66.03)*(((-5--5)+(-66.03--5))+-66.03))))-(-5+-5)))*-5)))/-5)--5)+(-5*(((-66.03*(-66.03-(-5/-5)))*(-66.03-(-66.03/(-5*-66.03))))-(-5/-5)))))</f>
        <v>-1448376.102935</v>
      </c>
      <c r="C3398" t="n" s="0">
        <v>-1448376.102935</v>
      </c>
    </row>
    <row r="3399">
      <c r="A3399" t="n" s="0">
        <v>-66.02</v>
      </c>
      <c r="B3399" t="n" s="0">
        <f>(-5-((((-5*(-5/((-5/(((-5*(-66.02--5))-(-5+((-5*-66.02)*(((-5--5)+(-66.02--5))+-66.02))))-(-5+-5)))*-5)))/-5)--5)+(-5*(((-66.02*(-66.02-(-5/-5)))*(-66.02-(-66.02/(-5*-66.02))))-(-5/-5)))))</f>
        <v>-1447719.53684</v>
      </c>
      <c r="C3399" t="n" s="0">
        <v>-1447719.53684</v>
      </c>
    </row>
    <row r="3400">
      <c r="A3400" t="n" s="0">
        <v>-66.01</v>
      </c>
      <c r="B3400" t="n" s="0">
        <f>(-5-((((-5*(-5/((-5/(((-5*(-66.01--5))-(-5+((-5*-66.01)*(((-5--5)+(-66.01--5))+-66.01))))-(-5+-5)))*-5)))/-5)--5)+(-5*(((-66.01*(-66.01-(-5/-5)))*(-66.01-(-66.01/(-5*-66.01))))-(-5/-5)))))</f>
        <v>-1447063.169205</v>
      </c>
      <c r="C3400" t="n" s="0">
        <v>-1447063.1692050004</v>
      </c>
    </row>
    <row r="3401">
      <c r="A3401" t="n" s="0">
        <v>-66.0</v>
      </c>
      <c r="B3401" t="n" s="0">
        <f>(-5-((((-5*(-5/((-5/(((-5*(-66--5))-(-5+((-5*-66)*(((-5--5)+(-66--5))+-66))))-(-5+-5)))*-5)))/-5)--5)+(-5*(((-66*(-66-(-5/-5)))*(-66-(-66/(-5*-66))))-(-5/-5)))))</f>
        <v>-1446407.0</v>
      </c>
      <c r="C3401" t="n" s="0">
        <v>-1446407.0</v>
      </c>
    </row>
    <row r="3402">
      <c r="A3402" t="n" s="0">
        <v>-65.99</v>
      </c>
      <c r="B3402" t="n" s="0">
        <f>(-5-((((-5*(-5/((-5/(((-5*(-65.99--5))-(-5+((-5*-65.99)*(((-5--5)+(-65.99--5))+-65.99))))-(-5+-5)))*-5)))/-5)--5)+(-5*(((-65.99*(-65.99-(-5/-5)))*(-65.99-(-65.99/(-5*-65.99))))-(-5/-5)))))</f>
        <v>-1445751.029195</v>
      </c>
      <c r="C3402" t="n" s="0">
        <v>-1445751.0291949997</v>
      </c>
    </row>
    <row r="3403">
      <c r="A3403" t="n" s="0">
        <v>-65.98</v>
      </c>
      <c r="B3403" t="n" s="0">
        <f>(-5-((((-5*(-5/((-5/(((-5*(-65.98--5))-(-5+((-5*-65.98)*(((-5--5)+(-65.98--5))+-65.98))))-(-5+-5)))*-5)))/-5)--5)+(-5*(((-65.98*(-65.98-(-5/-5)))*(-65.98-(-65.98/(-5*-65.98))))-(-5/-5)))))</f>
        <v>-1445095.25676</v>
      </c>
      <c r="C3403" t="n" s="0">
        <v>-1445095.2567600003</v>
      </c>
    </row>
    <row r="3404">
      <c r="A3404" t="n" s="0">
        <v>-65.97</v>
      </c>
      <c r="B3404" t="n" s="0">
        <f>(-5-((((-5*(-5/((-5/(((-5*(-65.97--5))-(-5+((-5*-65.97)*(((-5--5)+(-65.97--5))+-65.97))))-(-5+-5)))*-5)))/-5)--5)+(-5*(((-65.97*(-65.97-(-5/-5)))*(-65.97-(-65.97/(-5*-65.97))))-(-5/-5)))))</f>
        <v>-1444439.682665</v>
      </c>
      <c r="C3404" t="n" s="0">
        <v>-1444439.682665</v>
      </c>
    </row>
    <row r="3405">
      <c r="A3405" t="n" s="0">
        <v>-65.96</v>
      </c>
      <c r="B3405" t="n" s="0">
        <f>(-5-((((-5*(-5/((-5/(((-5*(-65.96--5))-(-5+((-5*-65.96)*(((-5--5)+(-65.96--5))+-65.96))))-(-5+-5)))*-5)))/-5)--5)+(-5*(((-65.96*(-65.96-(-5/-5)))*(-65.96-(-65.96/(-5*-65.96))))-(-5/-5)))))</f>
        <v>-1443784.30688</v>
      </c>
      <c r="C3405" t="n" s="0">
        <v>-1443784.3068799996</v>
      </c>
    </row>
    <row r="3406">
      <c r="A3406" t="n" s="0">
        <v>-65.95</v>
      </c>
      <c r="B3406" t="n" s="0">
        <f>(-5-((((-5*(-5/((-5/(((-5*(-65.95--5))-(-5+((-5*-65.95)*(((-5--5)+(-65.95--5))+-65.95))))-(-5+-5)))*-5)))/-5)--5)+(-5*(((-65.95*(-65.95-(-5/-5)))*(-65.95-(-65.95/(-5*-65.95))))-(-5/-5)))))</f>
        <v>-1443129.1293749998</v>
      </c>
      <c r="C3406" t="n" s="0">
        <v>-1443129.129375</v>
      </c>
    </row>
    <row r="3407">
      <c r="A3407" t="n" s="0">
        <v>-65.94</v>
      </c>
      <c r="B3407" t="n" s="0">
        <f>(-5-((((-5*(-5/((-5/(((-5*(-65.94--5))-(-5+((-5*-65.94)*(((-5--5)+(-65.94--5))+-65.94))))-(-5+-5)))*-5)))/-5)--5)+(-5*(((-65.94*(-65.94-(-5/-5)))*(-65.94-(-65.94/(-5*-65.94))))-(-5/-5)))))</f>
        <v>-1442474.15012</v>
      </c>
      <c r="C3407" t="n" s="0">
        <v>-1442474.15012</v>
      </c>
    </row>
    <row r="3408">
      <c r="A3408" t="n" s="0">
        <v>-65.93</v>
      </c>
      <c r="B3408" t="n" s="0">
        <f>(-5-((((-5*(-5/((-5/(((-5*(-65.93--5))-(-5+((-5*-65.93)*(((-5--5)+(-65.93--5))+-65.93))))-(-5+-5)))*-5)))/-5)--5)+(-5*(((-65.93*(-65.93-(-5/-5)))*(-65.93-(-65.93/(-5*-65.93))))-(-5/-5)))))</f>
        <v>-1441819.3690850001</v>
      </c>
      <c r="C3408" t="n" s="0">
        <v>-1441819.3690850004</v>
      </c>
    </row>
    <row r="3409">
      <c r="A3409" t="n" s="0">
        <v>-65.92</v>
      </c>
      <c r="B3409" t="n" s="0">
        <f>(-5-((((-5*(-5/((-5/(((-5*(-65.92--5))-(-5+((-5*-65.92)*(((-5--5)+(-65.92--5))+-65.92))))-(-5+-5)))*-5)))/-5)--5)+(-5*(((-65.92*(-65.92-(-5/-5)))*(-65.92-(-65.92/(-5*-65.92))))-(-5/-5)))))</f>
        <v>-1441164.7862399998</v>
      </c>
      <c r="C3409" t="n" s="0">
        <v>-1441164.78624</v>
      </c>
    </row>
    <row r="3410">
      <c r="A3410" t="n" s="0">
        <v>-65.91</v>
      </c>
      <c r="B3410" t="n" s="0">
        <f>(-5-((((-5*(-5/((-5/(((-5*(-65.91--5))-(-5+((-5*-65.91)*(((-5--5)+(-65.91--5))+-65.91))))-(-5+-5)))*-5)))/-5)--5)+(-5*(((-65.91*(-65.91-(-5/-5)))*(-65.91-(-65.91/(-5*-65.91))))-(-5/-5)))))</f>
        <v>-1440510.4015549999</v>
      </c>
      <c r="C3410" t="n" s="0">
        <v>-1440510.4015549996</v>
      </c>
    </row>
    <row r="3411">
      <c r="A3411" t="n" s="0">
        <v>-65.9</v>
      </c>
      <c r="B3411" t="n" s="0">
        <f>(-5-((((-5*(-5/((-5/(((-5*(-65.9--5))-(-5+((-5*-65.9)*(((-5--5)+(-65.9--5))+-65.9))))-(-5+-5)))*-5)))/-5)--5)+(-5*(((-65.9*(-65.9-(-5/-5)))*(-65.9-(-65.9/(-5*-65.9))))-(-5/-5)))))</f>
        <v>-1439856.215</v>
      </c>
      <c r="C3411" t="n" s="0">
        <v>-1439856.2150000003</v>
      </c>
    </row>
    <row r="3412">
      <c r="A3412" t="n" s="0">
        <v>-65.89</v>
      </c>
      <c r="B3412" t="n" s="0">
        <f>(-5-((((-5*(-5/((-5/(((-5*(-65.89--5))-(-5+((-5*-65.89)*(((-5--5)+(-65.89--5))+-65.89))))-(-5+-5)))*-5)))/-5)--5)+(-5*(((-65.89*(-65.89-(-5/-5)))*(-65.89-(-65.89/(-5*-65.89))))-(-5/-5)))))</f>
        <v>-1439202.226545</v>
      </c>
      <c r="C3412" t="n" s="0">
        <v>-1439202.226545</v>
      </c>
    </row>
    <row r="3413">
      <c r="A3413" t="n" s="0">
        <v>-65.88</v>
      </c>
      <c r="B3413" t="n" s="0">
        <f>(-5-((((-5*(-5/((-5/(((-5*(-65.88--5))-(-5+((-5*-65.88)*(((-5--5)+(-65.88--5))+-65.88))))-(-5+-5)))*-5)))/-5)--5)+(-5*(((-65.88*(-65.88-(-5/-5)))*(-65.88-(-65.88/(-5*-65.88))))-(-5/-5)))))</f>
        <v>-1438548.43616</v>
      </c>
      <c r="C3413" t="n" s="0">
        <v>-1438548.4361599996</v>
      </c>
    </row>
    <row r="3414">
      <c r="A3414" t="n" s="0">
        <v>-65.87</v>
      </c>
      <c r="B3414" t="n" s="0">
        <f>(-5-((((-5*(-5/((-5/(((-5*(-65.87--5))-(-5+((-5*-65.87)*(((-5--5)+(-65.87--5))+-65.87))))-(-5+-5)))*-5)))/-5)--5)+(-5*(((-65.87*(-65.87-(-5/-5)))*(-65.87-(-65.87/(-5*-65.87))))-(-5/-5)))))</f>
        <v>-1437894.843815</v>
      </c>
      <c r="C3414" t="n" s="0">
        <v>-1437894.8438150003</v>
      </c>
    </row>
    <row r="3415">
      <c r="A3415" t="n" s="0">
        <v>-65.86</v>
      </c>
      <c r="B3415" t="n" s="0">
        <f>(-5-((((-5*(-5/((-5/(((-5*(-65.86--5))-(-5+((-5*-65.86)*(((-5--5)+(-65.86--5))+-65.86))))-(-5+-5)))*-5)))/-5)--5)+(-5*(((-65.86*(-65.86-(-5/-5)))*(-65.86-(-65.86/(-5*-65.86))))-(-5/-5)))))</f>
        <v>-1437241.44948</v>
      </c>
      <c r="C3415" t="n" s="0">
        <v>-1437241.44948</v>
      </c>
    </row>
    <row r="3416">
      <c r="A3416" t="n" s="0">
        <v>-65.85</v>
      </c>
      <c r="B3416" t="n" s="0">
        <f>(-5-((((-5*(-5/((-5/(((-5*(-65.85--5))-(-5+((-5*-65.85)*(((-5--5)+(-65.85--5))+-65.85))))-(-5+-5)))*-5)))/-5)--5)+(-5*(((-65.85*(-65.85-(-5/-5)))*(-65.85-(-65.85/(-5*-65.85))))-(-5/-5)))))</f>
        <v>-1436588.253125</v>
      </c>
      <c r="C3416" t="n" s="0">
        <v>-1436588.2531249998</v>
      </c>
    </row>
    <row r="3417">
      <c r="A3417" t="n" s="0">
        <v>-65.84</v>
      </c>
      <c r="B3417" t="n" s="0">
        <f>(-5-((((-5*(-5/((-5/(((-5*(-65.84--5))-(-5+((-5*-65.84)*(((-5--5)+(-65.84--5))+-65.84))))-(-5+-5)))*-5)))/-5)--5)+(-5*(((-65.84*(-65.84-(-5/-5)))*(-65.84-(-65.84/(-5*-65.84))))-(-5/-5)))))</f>
        <v>-1435935.25472</v>
      </c>
      <c r="C3417" t="n" s="0">
        <v>-1435935.2547200006</v>
      </c>
    </row>
    <row r="3418">
      <c r="A3418" t="n" s="0">
        <v>-65.83</v>
      </c>
      <c r="B3418" t="n" s="0">
        <f>(-5-((((-5*(-5/((-5/(((-5*(-65.83--5))-(-5+((-5*-65.83)*(((-5--5)+(-65.83--5))+-65.83))))-(-5+-5)))*-5)))/-5)--5)+(-5*(((-65.83*(-65.83-(-5/-5)))*(-65.83-(-65.83/(-5*-65.83))))-(-5/-5)))))</f>
        <v>-1435282.4542349998</v>
      </c>
      <c r="C3418" t="n" s="0">
        <v>-1435282.4542349998</v>
      </c>
    </row>
    <row r="3419">
      <c r="A3419" t="n" s="0">
        <v>-65.82</v>
      </c>
      <c r="B3419" t="n" s="0">
        <f>(-5-((((-5*(-5/((-5/(((-5*(-65.82--5))-(-5+((-5*-65.82)*(((-5--5)+(-65.82--5))+-65.82))))-(-5+-5)))*-5)))/-5)--5)+(-5*(((-65.82*(-65.82-(-5/-5)))*(-65.82-(-65.82/(-5*-65.82))))-(-5/-5)))))</f>
        <v>-1434629.85164</v>
      </c>
      <c r="C3419" t="n" s="0">
        <v>-1434629.8516399993</v>
      </c>
    </row>
    <row r="3420">
      <c r="A3420" t="n" s="0">
        <v>-65.81</v>
      </c>
      <c r="B3420" t="n" s="0">
        <f>(-5-((((-5*(-5/((-5/(((-5*(-65.81--5))-(-5+((-5*-65.81)*(((-5--5)+(-65.81--5))+-65.81))))-(-5+-5)))*-5)))/-5)--5)+(-5*(((-65.81*(-65.81-(-5/-5)))*(-65.81-(-65.81/(-5*-65.81))))-(-5/-5)))))</f>
        <v>-1433977.4469050001</v>
      </c>
      <c r="C3420" t="n" s="0">
        <v>-1433977.4469050001</v>
      </c>
    </row>
    <row r="3421">
      <c r="A3421" t="n" s="0">
        <v>-65.8</v>
      </c>
      <c r="B3421" t="n" s="0">
        <f>(-5-((((-5*(-5/((-5/(((-5*(-65.8--5))-(-5+((-5*-65.8)*(((-5--5)+(-65.8--5))+-65.8))))-(-5+-5)))*-5)))/-5)--5)+(-5*(((-65.8*(-65.8-(-5/-5)))*(-65.8-(-65.8/(-5*-65.8))))-(-5/-5)))))</f>
        <v>-1433325.24</v>
      </c>
      <c r="C3421" t="n" s="0">
        <v>-1433325.2399999998</v>
      </c>
    </row>
    <row r="3422">
      <c r="A3422" t="n" s="0">
        <v>-65.79</v>
      </c>
      <c r="B3422" t="n" s="0">
        <f>(-5-((((-5*(-5/((-5/(((-5*(-65.79--5))-(-5+((-5*-65.79)*(((-5--5)+(-65.79--5))+-65.79))))-(-5+-5)))*-5)))/-5)--5)+(-5*(((-65.79*(-65.79-(-5/-5)))*(-65.79-(-65.79/(-5*-65.79))))-(-5/-5)))))</f>
        <v>-1432673.230895</v>
      </c>
      <c r="C3422" t="n" s="0">
        <v>-1432673.2308950003</v>
      </c>
    </row>
    <row r="3423">
      <c r="A3423" t="n" s="0">
        <v>-65.78</v>
      </c>
      <c r="B3423" t="n" s="0">
        <f>(-5-((((-5*(-5/((-5/(((-5*(-65.78--5))-(-5+((-5*-65.78)*(((-5--5)+(-65.78--5))+-65.78))))-(-5+-5)))*-5)))/-5)--5)+(-5*(((-65.78*(-65.78-(-5/-5)))*(-65.78-(-65.78/(-5*-65.78))))-(-5/-5)))))</f>
        <v>-1432021.41956</v>
      </c>
      <c r="C3423" t="n" s="0">
        <v>-1432021.4195600003</v>
      </c>
    </row>
    <row r="3424">
      <c r="A3424" t="n" s="0">
        <v>-65.77</v>
      </c>
      <c r="B3424" t="n" s="0">
        <f>(-5-((((-5*(-5/((-5/(((-5*(-65.77--5))-(-5+((-5*-65.77)*(((-5--5)+(-65.77--5))+-65.77))))-(-5+-5)))*-5)))/-5)--5)+(-5*(((-65.77*(-65.77-(-5/-5)))*(-65.77-(-65.77/(-5*-65.77))))-(-5/-5)))))</f>
        <v>-1431369.805965</v>
      </c>
      <c r="C3424" t="n" s="0">
        <v>-1431369.8059649998</v>
      </c>
    </row>
    <row r="3425">
      <c r="A3425" t="n" s="0">
        <v>-65.76</v>
      </c>
      <c r="B3425" t="n" s="0">
        <f>(-5-((((-5*(-5/((-5/(((-5*(-65.76--5))-(-5+((-5*-65.76)*(((-5--5)+(-65.76--5))+-65.76))))-(-5+-5)))*-5)))/-5)--5)+(-5*(((-65.76*(-65.76-(-5/-5)))*(-65.76-(-65.76/(-5*-65.76))))-(-5/-5)))))</f>
        <v>-1430718.39008</v>
      </c>
      <c r="C3425" t="n" s="0">
        <v>-1430718.3900800003</v>
      </c>
    </row>
    <row r="3426">
      <c r="A3426" t="n" s="0">
        <v>-65.75</v>
      </c>
      <c r="B3426" t="n" s="0">
        <f>(-5-((((-5*(-5/((-5/(((-5*(-65.75--5))-(-5+((-5*-65.75)*(((-5--5)+(-65.75--5))+-65.75))))-(-5+-5)))*-5)))/-5)--5)+(-5*(((-65.75*(-65.75-(-5/-5)))*(-65.75-(-65.75/(-5*-65.75))))-(-5/-5)))))</f>
        <v>-1430067.171875</v>
      </c>
      <c r="C3426" t="n" s="0">
        <v>-1430067.171875</v>
      </c>
    </row>
    <row r="3427">
      <c r="A3427" t="n" s="0">
        <v>-65.74</v>
      </c>
      <c r="B3427" t="n" s="0">
        <f>(-5-((((-5*(-5/((-5/(((-5*(-65.74--5))-(-5+((-5*-65.74)*(((-5--5)+(-65.74--5))+-65.74))))-(-5+-5)))*-5)))/-5)--5)+(-5*(((-65.74*(-65.74-(-5/-5)))*(-65.74-(-65.74/(-5*-65.74))))-(-5/-5)))))</f>
        <v>-1429416.15132</v>
      </c>
      <c r="C3427" t="n" s="0">
        <v>-1429416.1513199997</v>
      </c>
    </row>
    <row r="3428">
      <c r="A3428" t="n" s="0">
        <v>-65.73</v>
      </c>
      <c r="B3428" t="n" s="0">
        <f>(-5-((((-5*(-5/((-5/(((-5*(-65.73--5))-(-5+((-5*-65.73)*(((-5--5)+(-65.73--5))+-65.73))))-(-5+-5)))*-5)))/-5)--5)+(-5*(((-65.73*(-65.73-(-5/-5)))*(-65.73-(-65.73/(-5*-65.73))))-(-5/-5)))))</f>
        <v>-1428765.328385</v>
      </c>
      <c r="C3428" t="n" s="0">
        <v>-1428765.3283850001</v>
      </c>
    </row>
    <row r="3429">
      <c r="A3429" t="n" s="0">
        <v>-65.72</v>
      </c>
      <c r="B3429" t="n" s="0">
        <f>(-5-((((-5*(-5/((-5/(((-5*(-65.72--5))-(-5+((-5*-65.72)*(((-5--5)+(-65.72--5))+-65.72))))-(-5+-5)))*-5)))/-5)--5)+(-5*(((-65.72*(-65.72-(-5/-5)))*(-65.72-(-65.72/(-5*-65.72))))-(-5/-5)))))</f>
        <v>-1428114.70304</v>
      </c>
      <c r="C3429" t="n" s="0">
        <v>-1428114.7030399998</v>
      </c>
    </row>
    <row r="3430">
      <c r="A3430" t="n" s="0">
        <v>-65.71</v>
      </c>
      <c r="B3430" t="n" s="0">
        <f>(-5-((((-5*(-5/((-5/(((-5*(-65.71--5))-(-5+((-5*-65.71)*(((-5--5)+(-65.71--5))+-65.71))))-(-5+-5)))*-5)))/-5)--5)+(-5*(((-65.71*(-65.71-(-5/-5)))*(-65.71-(-65.71/(-5*-65.71))))-(-5/-5)))))</f>
        <v>-1427464.275255</v>
      </c>
      <c r="C3430" t="n" s="0">
        <v>-1427464.2752549995</v>
      </c>
    </row>
    <row r="3431">
      <c r="A3431" t="n" s="0">
        <v>-65.7</v>
      </c>
      <c r="B3431" t="n" s="0">
        <f>(-5-((((-5*(-5/((-5/(((-5*(-65.7--5))-(-5+((-5*-65.7)*(((-5--5)+(-65.7--5))+-65.7))))-(-5+-5)))*-5)))/-5)--5)+(-5*(((-65.7*(-65.7-(-5/-5)))*(-65.7-(-65.7/(-5*-65.7))))-(-5/-5)))))</f>
        <v>-1426814.0450000002</v>
      </c>
      <c r="C3431" t="n" s="0">
        <v>-1426814.0450000004</v>
      </c>
    </row>
    <row r="3432">
      <c r="A3432" t="n" s="0">
        <v>-65.69</v>
      </c>
      <c r="B3432" t="n" s="0">
        <f>(-5-((((-5*(-5/((-5/(((-5*(-65.69--5))-(-5+((-5*-65.69)*(((-5--5)+(-65.69--5))+-65.69))))-(-5+-5)))*-5)))/-5)--5)+(-5*(((-65.69*(-65.69-(-5/-5)))*(-65.69-(-65.69/(-5*-65.69))))-(-5/-5)))))</f>
        <v>-1426164.0122449999</v>
      </c>
      <c r="C3432" t="n" s="0">
        <v>-1426164.0122449999</v>
      </c>
    </row>
    <row r="3433">
      <c r="A3433" t="n" s="0">
        <v>-65.68</v>
      </c>
      <c r="B3433" t="n" s="0">
        <f>(-5-((((-5*(-5/((-5/(((-5*(-65.68--5))-(-5+((-5*-65.68)*(((-5--5)+(-65.68--5))+-65.68))))-(-5+-5)))*-5)))/-5)--5)+(-5*(((-65.68*(-65.68-(-5/-5)))*(-65.68-(-65.68/(-5*-65.68))))-(-5/-5)))))</f>
        <v>-1425514.17696</v>
      </c>
      <c r="C3433" t="n" s="0">
        <v>-1425514.1769600005</v>
      </c>
    </row>
    <row r="3434">
      <c r="A3434" t="n" s="0">
        <v>-65.67</v>
      </c>
      <c r="B3434" t="n" s="0">
        <f>(-5-((((-5*(-5/((-5/(((-5*(-65.67--5))-(-5+((-5*-65.67)*(((-5--5)+(-65.67--5))+-65.67))))-(-5+-5)))*-5)))/-5)--5)+(-5*(((-65.67*(-65.67-(-5/-5)))*(-65.67-(-65.67/(-5*-65.67))))-(-5/-5)))))</f>
        <v>-1424864.539115</v>
      </c>
      <c r="C3434" t="n" s="0">
        <v>-1424864.5391150003</v>
      </c>
    </row>
    <row r="3435">
      <c r="A3435" t="n" s="0">
        <v>-65.66</v>
      </c>
      <c r="B3435" t="n" s="0">
        <f>(-5-((((-5*(-5/((-5/(((-5*(-65.66--5))-(-5+((-5*-65.66)*(((-5--5)+(-65.66--5))+-65.66))))-(-5+-5)))*-5)))/-5)--5)+(-5*(((-65.66*(-65.66-(-5/-5)))*(-65.66-(-65.66/(-5*-65.66))))-(-5/-5)))))</f>
        <v>-1424215.09868</v>
      </c>
      <c r="C3435" t="n" s="0">
        <v>-1424215.0986799996</v>
      </c>
    </row>
    <row r="3436">
      <c r="A3436" t="n" s="0">
        <v>-65.65</v>
      </c>
      <c r="B3436" t="n" s="0">
        <f>(-5-((((-5*(-5/((-5/(((-5*(-65.65--5))-(-5+((-5*-65.65)*(((-5--5)+(-65.65--5))+-65.65))))-(-5+-5)))*-5)))/-5)--5)+(-5*(((-65.65*(-65.65-(-5/-5)))*(-65.65-(-65.65/(-5*-65.65))))-(-5/-5)))))</f>
        <v>-1423565.8556249999</v>
      </c>
      <c r="C3436" t="n" s="0">
        <v>-1423565.8556250003</v>
      </c>
    </row>
    <row r="3437">
      <c r="A3437" t="n" s="0">
        <v>-65.64</v>
      </c>
      <c r="B3437" t="n" s="0">
        <f>(-5-((((-5*(-5/((-5/(((-5*(-65.64--5))-(-5+((-5*-65.64)*(((-5--5)+(-65.64--5))+-65.64))))-(-5+-5)))*-5)))/-5)--5)+(-5*(((-65.64*(-65.64-(-5/-5)))*(-65.64-(-65.64/(-5*-65.64))))-(-5/-5)))))</f>
        <v>-1422916.80992</v>
      </c>
      <c r="C3437" t="n" s="0">
        <v>-1422916.80992</v>
      </c>
    </row>
    <row r="3438">
      <c r="A3438" t="n" s="0">
        <v>-65.63</v>
      </c>
      <c r="B3438" t="n" s="0">
        <f>(-5-((((-5*(-5/((-5/(((-5*(-65.63--5))-(-5+((-5*-65.63)*(((-5--5)+(-65.63--5))+-65.63))))-(-5+-5)))*-5)))/-5)--5)+(-5*(((-65.63*(-65.63-(-5/-5)))*(-65.63-(-65.63/(-5*-65.63))))-(-5/-5)))))</f>
        <v>-1422267.961535</v>
      </c>
      <c r="C3438" t="n" s="0">
        <v>-1422267.9615349995</v>
      </c>
    </row>
    <row r="3439">
      <c r="A3439" t="n" s="0">
        <v>-65.62</v>
      </c>
      <c r="B3439" t="n" s="0">
        <f>(-5-((((-5*(-5/((-5/(((-5*(-65.62--5))-(-5+((-5*-65.62)*(((-5--5)+(-65.62--5))+-65.62))))-(-5+-5)))*-5)))/-5)--5)+(-5*(((-65.62*(-65.62-(-5/-5)))*(-65.62-(-65.62/(-5*-65.62))))-(-5/-5)))))</f>
        <v>-1421619.3104400001</v>
      </c>
      <c r="C3439" t="n" s="0">
        <v>-1421619.3104400004</v>
      </c>
    </row>
    <row r="3440">
      <c r="A3440" t="n" s="0">
        <v>-65.61</v>
      </c>
      <c r="B3440" t="n" s="0">
        <f>(-5-((((-5*(-5/((-5/(((-5*(-65.61--5))-(-5+((-5*-65.61)*(((-5--5)+(-65.61--5))+-65.61))))-(-5+-5)))*-5)))/-5)--5)+(-5*(((-65.61*(-65.61-(-5/-5)))*(-65.61-(-65.61/(-5*-65.61))))-(-5/-5)))))</f>
        <v>-1420970.856605</v>
      </c>
      <c r="C3440" t="n" s="0">
        <v>-1420970.856605</v>
      </c>
    </row>
    <row r="3441">
      <c r="A3441" t="n" s="0">
        <v>-65.6</v>
      </c>
      <c r="B3441" t="n" s="0">
        <f>(-5-((((-5*(-5/((-5/(((-5*(-65.6--5))-(-5+((-5*-65.6)*(((-5--5)+(-65.6--5))+-65.6))))-(-5+-5)))*-5)))/-5)--5)+(-5*(((-65.6*(-65.6-(-5/-5)))*(-65.6-(-65.6/(-5*-65.6))))-(-5/-5)))))</f>
        <v>-1420322.5999999999</v>
      </c>
      <c r="C3441" t="n" s="0">
        <v>-1420322.5999999996</v>
      </c>
    </row>
    <row r="3442">
      <c r="A3442" t="n" s="0">
        <v>-65.59</v>
      </c>
      <c r="B3442" t="n" s="0">
        <f>(-5-((((-5*(-5/((-5/(((-5*(-65.59--5))-(-5+((-5*-65.59)*(((-5--5)+(-65.59--5))+-65.59))))-(-5+-5)))*-5)))/-5)--5)+(-5*(((-65.59*(-65.59-(-5/-5)))*(-65.59-(-65.59/(-5*-65.59))))-(-5/-5)))))</f>
        <v>-1419674.5405950001</v>
      </c>
      <c r="C3442" t="n" s="0">
        <v>-1419674.5405950001</v>
      </c>
    </row>
    <row r="3443">
      <c r="A3443" t="n" s="0">
        <v>-65.58</v>
      </c>
      <c r="B3443" t="n" s="0">
        <f>(-5-((((-5*(-5/((-5/(((-5*(-65.58--5))-(-5+((-5*-65.58)*(((-5--5)+(-65.58--5))+-65.58))))-(-5+-5)))*-5)))/-5)--5)+(-5*(((-65.58*(-65.58-(-5/-5)))*(-65.58-(-65.58/(-5*-65.58))))-(-5/-5)))))</f>
        <v>-1419026.67836</v>
      </c>
      <c r="C3443" t="n" s="0">
        <v>-1419026.67836</v>
      </c>
    </row>
    <row r="3444">
      <c r="A3444" t="n" s="0">
        <v>-65.57</v>
      </c>
      <c r="B3444" t="n" s="0">
        <f>(-5-((((-5*(-5/((-5/(((-5*(-65.57--5))-(-5+((-5*-65.57)*(((-5--5)+(-65.57--5))+-65.57))))-(-5+-5)))*-5)))/-5)--5)+(-5*(((-65.57*(-65.57-(-5/-5)))*(-65.57-(-65.57/(-5*-65.57))))-(-5/-5)))))</f>
        <v>-1418379.013265</v>
      </c>
      <c r="C3444" t="n" s="0">
        <v>-1418379.0132649995</v>
      </c>
    </row>
    <row r="3445">
      <c r="A3445" t="n" s="0">
        <v>-65.56</v>
      </c>
      <c r="B3445" t="n" s="0">
        <f>(-5-((((-5*(-5/((-5/(((-5*(-65.56--5))-(-5+((-5*-65.56)*(((-5--5)+(-65.56--5))+-65.56))))-(-5+-5)))*-5)))/-5)--5)+(-5*(((-65.56*(-65.56-(-5/-5)))*(-65.56-(-65.56/(-5*-65.56))))-(-5/-5)))))</f>
        <v>-1417731.54528</v>
      </c>
      <c r="C3445" t="n" s="0">
        <v>-1417731.5452800002</v>
      </c>
    </row>
    <row r="3446">
      <c r="A3446" t="n" s="0">
        <v>-65.55</v>
      </c>
      <c r="B3446" t="n" s="0">
        <f>(-5-((((-5*(-5/((-5/(((-5*(-65.55--5))-(-5+((-5*-65.55)*(((-5--5)+(-65.55--5))+-65.55))))-(-5+-5)))*-5)))/-5)--5)+(-5*(((-65.55*(-65.55-(-5/-5)))*(-65.55-(-65.55/(-5*-65.55))))-(-5/-5)))))</f>
        <v>-1417084.274375</v>
      </c>
      <c r="C3446" t="n" s="0">
        <v>-1417084.2743749996</v>
      </c>
    </row>
    <row r="3447">
      <c r="A3447" t="n" s="0">
        <v>-65.54</v>
      </c>
      <c r="B3447" t="n" s="0">
        <f>(-5-((((-5*(-5/((-5/(((-5*(-65.54--5))-(-5+((-5*-65.54)*(((-5--5)+(-65.54--5))+-65.54))))-(-5+-5)))*-5)))/-5)--5)+(-5*(((-65.54*(-65.54-(-5/-5)))*(-65.54-(-65.54/(-5*-65.54))))-(-5/-5)))))</f>
        <v>-1416437.20052</v>
      </c>
      <c r="C3447" t="n" s="0">
        <v>-1416437.2005200004</v>
      </c>
    </row>
    <row r="3448">
      <c r="A3448" t="n" s="0">
        <v>-65.53</v>
      </c>
      <c r="B3448" t="n" s="0">
        <f>(-5-((((-5*(-5/((-5/(((-5*(-65.53--5))-(-5+((-5*-65.53)*(((-5--5)+(-65.53--5))+-65.53))))-(-5+-5)))*-5)))/-5)--5)+(-5*(((-65.53*(-65.53-(-5/-5)))*(-65.53-(-65.53/(-5*-65.53))))-(-5/-5)))))</f>
        <v>-1415790.323685</v>
      </c>
      <c r="C3448" t="n" s="0">
        <v>-1415790.3236850002</v>
      </c>
    </row>
    <row r="3449">
      <c r="A3449" t="n" s="0">
        <v>-65.52</v>
      </c>
      <c r="B3449" t="n" s="0">
        <f>(-5-((((-5*(-5/((-5/(((-5*(-65.52--5))-(-5+((-5*-65.52)*(((-5--5)+(-65.52--5))+-65.52))))-(-5+-5)))*-5)))/-5)--5)+(-5*(((-65.52*(-65.52-(-5/-5)))*(-65.52-(-65.52/(-5*-65.52))))-(-5/-5)))))</f>
        <v>-1415143.64384</v>
      </c>
      <c r="C3449" t="n" s="0">
        <v>-1415143.6438399998</v>
      </c>
    </row>
    <row r="3450">
      <c r="A3450" t="n" s="0">
        <v>-65.51</v>
      </c>
      <c r="B3450" t="n" s="0">
        <f>(-5-((((-5*(-5/((-5/(((-5*(-65.51--5))-(-5+((-5*-65.51)*(((-5--5)+(-65.51--5))+-65.51))))-(-5+-5)))*-5)))/-5)--5)+(-5*(((-65.51*(-65.51-(-5/-5)))*(-65.51-(-65.51/(-5*-65.51))))-(-5/-5)))))</f>
        <v>-1414497.160955</v>
      </c>
      <c r="C3450" t="n" s="0">
        <v>-1414497.1609550002</v>
      </c>
    </row>
    <row r="3451">
      <c r="A3451" t="n" s="0">
        <v>-65.5</v>
      </c>
      <c r="B3451" t="n" s="0">
        <f>(-5-((((-5*(-5/((-5/(((-5*(-65.5--5))-(-5+((-5*-65.5)*(((-5--5)+(-65.5--5))+-65.5))))-(-5+-5)))*-5)))/-5)--5)+(-5*(((-65.5*(-65.5-(-5/-5)))*(-65.5-(-65.5/(-5*-65.5))))-(-5/-5)))))</f>
        <v>-1413850.875</v>
      </c>
      <c r="C3451" t="n" s="0">
        <v>-1413850.875</v>
      </c>
    </row>
    <row r="3452">
      <c r="A3452" t="n" s="0">
        <v>-65.49</v>
      </c>
      <c r="B3452" t="n" s="0">
        <f>(-5-((((-5*(-5/((-5/(((-5*(-65.49--5))-(-5+((-5*-65.49)*(((-5--5)+(-65.49--5))+-65.49))))-(-5+-5)))*-5)))/-5)--5)+(-5*(((-65.49*(-65.49-(-5/-5)))*(-65.49-(-65.49/(-5*-65.49))))-(-5/-5)))))</f>
        <v>-1413204.785945</v>
      </c>
      <c r="C3452" t="n" s="0">
        <v>-1413204.7859449997</v>
      </c>
    </row>
    <row r="3453">
      <c r="A3453" t="n" s="0">
        <v>-65.48</v>
      </c>
      <c r="B3453" t="n" s="0">
        <f>(-5-((((-5*(-5/((-5/(((-5*(-65.48--5))-(-5+((-5*-65.48)*(((-5--5)+(-65.48--5))+-65.48))))-(-5+-5)))*-5)))/-5)--5)+(-5*(((-65.48*(-65.48-(-5/-5)))*(-65.48-(-65.48/(-5*-65.48))))-(-5/-5)))))</f>
        <v>-1412558.8937600001</v>
      </c>
      <c r="C3453" t="n" s="0">
        <v>-1412558.8937600001</v>
      </c>
    </row>
    <row r="3454">
      <c r="A3454" t="n" s="0">
        <v>-65.47</v>
      </c>
      <c r="B3454" t="n" s="0">
        <f>(-5-((((-5*(-5/((-5/(((-5*(-65.47--5))-(-5+((-5*-65.47)*(((-5--5)+(-65.47--5))+-65.47))))-(-5+-5)))*-5)))/-5)--5)+(-5*(((-65.47*(-65.47-(-5/-5)))*(-65.47-(-65.47/(-5*-65.47))))-(-5/-5)))))</f>
        <v>-1411913.198415</v>
      </c>
      <c r="C3454" t="n" s="0">
        <v>-1411913.1984149998</v>
      </c>
    </row>
    <row r="3455">
      <c r="A3455" t="n" s="0">
        <v>-65.46</v>
      </c>
      <c r="B3455" t="n" s="0">
        <f>(-5-((((-5*(-5/((-5/(((-5*(-65.46--5))-(-5+((-5*-65.46)*(((-5--5)+(-65.46--5))+-65.46))))-(-5+-5)))*-5)))/-5)--5)+(-5*(((-65.46*(-65.46-(-5/-5)))*(-65.46-(-65.46/(-5*-65.46))))-(-5/-5)))))</f>
        <v>-1411267.69988</v>
      </c>
      <c r="C3455" t="n" s="0">
        <v>-1411267.6998799995</v>
      </c>
    </row>
    <row r="3456">
      <c r="A3456" t="n" s="0">
        <v>-65.45</v>
      </c>
      <c r="B3456" t="n" s="0">
        <f>(-5-((((-5*(-5/((-5/(((-5*(-65.45--5))-(-5+((-5*-65.45)*(((-5--5)+(-65.45--5))+-65.45))))-(-5+-5)))*-5)))/-5)--5)+(-5*(((-65.45*(-65.45-(-5/-5)))*(-65.45-(-65.45/(-5*-65.45))))-(-5/-5)))))</f>
        <v>-1410622.398125</v>
      </c>
      <c r="C3456" t="n" s="0">
        <v>-1410622.3981250003</v>
      </c>
    </row>
    <row r="3457">
      <c r="A3457" t="n" s="0">
        <v>-65.44</v>
      </c>
      <c r="B3457" t="n" s="0">
        <f>(-5-((((-5*(-5/((-5/(((-5*(-65.44--5))-(-5+((-5*-65.44)*(((-5--5)+(-65.44--5))+-65.44))))-(-5+-5)))*-5)))/-5)--5)+(-5*(((-65.44*(-65.44-(-5/-5)))*(-65.44-(-65.44/(-5*-65.44))))-(-5/-5)))))</f>
        <v>-1409977.29312</v>
      </c>
      <c r="C3457" t="n" s="0">
        <v>-1409977.2931199996</v>
      </c>
    </row>
    <row r="3458">
      <c r="A3458" t="n" s="0">
        <v>-65.43</v>
      </c>
      <c r="B3458" t="n" s="0">
        <f>(-5-((((-5*(-5/((-5/(((-5*(-65.43--5))-(-5+((-5*-65.43)*(((-5--5)+(-65.43--5))+-65.43))))-(-5+-5)))*-5)))/-5)--5)+(-5*(((-65.43*(-65.43-(-5/-5)))*(-65.43-(-65.43/(-5*-65.43))))-(-5/-5)))))</f>
        <v>-1409332.384835</v>
      </c>
      <c r="C3458" t="n" s="0">
        <v>-1409332.3848350004</v>
      </c>
    </row>
    <row r="3459">
      <c r="A3459" t="n" s="0">
        <v>-65.42</v>
      </c>
      <c r="B3459" t="n" s="0">
        <f>(-5-((((-5*(-5/((-5/(((-5*(-65.42--5))-(-5+((-5*-65.42)*(((-5--5)+(-65.42--5))+-65.42))))-(-5+-5)))*-5)))/-5)--5)+(-5*(((-65.42*(-65.42-(-5/-5)))*(-65.42-(-65.42/(-5*-65.42))))-(-5/-5)))))</f>
        <v>-1408687.67324</v>
      </c>
      <c r="C3459" t="n" s="0">
        <v>-1408687.6732400001</v>
      </c>
    </row>
    <row r="3460">
      <c r="A3460" t="n" s="0">
        <v>-65.41</v>
      </c>
      <c r="B3460" t="n" s="0">
        <f>(-5-((((-5*(-5/((-5/(((-5*(-65.41--5))-(-5+((-5*-65.41)*(((-5--5)+(-65.41--5))+-65.41))))-(-5+-5)))*-5)))/-5)--5)+(-5*(((-65.41*(-65.41-(-5/-5)))*(-65.41-(-65.41/(-5*-65.41))))-(-5/-5)))))</f>
        <v>-1408043.158305</v>
      </c>
      <c r="C3460" t="n" s="0">
        <v>-1408043.1583049998</v>
      </c>
    </row>
    <row r="3461">
      <c r="A3461" t="n" s="0">
        <v>-65.4</v>
      </c>
      <c r="B3461" t="n" s="0">
        <f>(-5-((((-5*(-5/((-5/(((-5*(-65.4--5))-(-5+((-5*-65.4)*(((-5--5)+(-65.4--5))+-65.4))))-(-5+-5)))*-5)))/-5)--5)+(-5*(((-65.4*(-65.4-(-5/-5)))*(-65.4-(-65.4/(-5*-65.4))))-(-5/-5)))))</f>
        <v>-1407398.84</v>
      </c>
      <c r="C3461" t="n" s="0">
        <v>-1407398.8400000003</v>
      </c>
    </row>
    <row r="3462">
      <c r="A3462" t="n" s="0">
        <v>-65.39</v>
      </c>
      <c r="B3462" t="n" s="0">
        <f>(-5-((((-5*(-5/((-5/(((-5*(-65.39--5))-(-5+((-5*-65.39)*(((-5--5)+(-65.39--5))+-65.39))))-(-5+-5)))*-5)))/-5)--5)+(-5*(((-65.39*(-65.39-(-5/-5)))*(-65.39-(-65.39/(-5*-65.39))))-(-5/-5)))))</f>
        <v>-1406754.718295</v>
      </c>
      <c r="C3462" t="n" s="0">
        <v>-1406754.718295</v>
      </c>
    </row>
    <row r="3463">
      <c r="A3463" t="n" s="0">
        <v>-65.38</v>
      </c>
      <c r="B3463" t="n" s="0">
        <f>(-5-((((-5*(-5/((-5/(((-5*(-65.38--5))-(-5+((-5*-65.38)*(((-5--5)+(-65.38--5))+-65.38))))-(-5+-5)))*-5)))/-5)--5)+(-5*(((-65.38*(-65.38-(-5/-5)))*(-65.38-(-65.38/(-5*-65.38))))-(-5/-5)))))</f>
        <v>-1406110.79316</v>
      </c>
      <c r="C3463" t="n" s="0">
        <v>-1406110.7931599997</v>
      </c>
    </row>
    <row r="3464">
      <c r="A3464" t="n" s="0">
        <v>-65.37</v>
      </c>
      <c r="B3464" t="n" s="0">
        <f>(-5-((((-5*(-5/((-5/(((-5*(-65.37--5))-(-5+((-5*-65.37)*(((-5--5)+(-65.37--5))+-65.37))))-(-5+-5)))*-5)))/-5)--5)+(-5*(((-65.37*(-65.37-(-5/-5)))*(-65.37-(-65.37/(-5*-65.37))))-(-5/-5)))))</f>
        <v>-1405467.064565</v>
      </c>
      <c r="C3464" t="n" s="0">
        <v>-1405467.0645650004</v>
      </c>
    </row>
    <row r="3465">
      <c r="A3465" t="n" s="0">
        <v>-65.36</v>
      </c>
      <c r="B3465" t="n" s="0">
        <f>(-5-((((-5*(-5/((-5/(((-5*(-65.36--5))-(-5+((-5*-65.36)*(((-5--5)+(-65.36--5))+-65.36))))-(-5+-5)))*-5)))/-5)--5)+(-5*(((-65.36*(-65.36-(-5/-5)))*(-65.36-(-65.36/(-5*-65.36))))-(-5/-5)))))</f>
        <v>-1404823.53248</v>
      </c>
      <c r="C3465" t="n" s="0">
        <v>-1404823.5324800003</v>
      </c>
    </row>
    <row r="3466">
      <c r="A3466" t="n" s="0">
        <v>-65.35</v>
      </c>
      <c r="B3466" t="n" s="0">
        <f>(-5-((((-5*(-5/((-5/(((-5*(-65.35--5))-(-5+((-5*-65.35)*(((-5--5)+(-65.35--5))+-65.35))))-(-5+-5)))*-5)))/-5)--5)+(-5*(((-65.35*(-65.35-(-5/-5)))*(-65.35-(-65.35/(-5*-65.35))))-(-5/-5)))))</f>
        <v>-1404180.1968750001</v>
      </c>
      <c r="C3466" t="n" s="0">
        <v>-1404180.196875</v>
      </c>
    </row>
    <row r="3467">
      <c r="A3467" t="n" s="0">
        <v>-65.34</v>
      </c>
      <c r="B3467" t="n" s="0">
        <f>(-5-((((-5*(-5/((-5/(((-5*(-65.34--5))-(-5+((-5*-65.34)*(((-5--5)+(-65.34--5))+-65.34))))-(-5+-5)))*-5)))/-5)--5)+(-5*(((-65.34*(-65.34-(-5/-5)))*(-65.34-(-65.34/(-5*-65.34))))-(-5/-5)))))</f>
        <v>-1403537.05772</v>
      </c>
      <c r="C3467" t="n" s="0">
        <v>-1403537.0577200002</v>
      </c>
    </row>
    <row r="3468">
      <c r="A3468" t="n" s="0">
        <v>-65.33</v>
      </c>
      <c r="B3468" t="n" s="0">
        <f>(-5-((((-5*(-5/((-5/(((-5*(-65.33--5))-(-5+((-5*-65.33)*(((-5--5)+(-65.33--5))+-65.33))))-(-5+-5)))*-5)))/-5)--5)+(-5*(((-65.33*(-65.33-(-5/-5)))*(-65.33-(-65.33/(-5*-65.33))))-(-5/-5)))))</f>
        <v>-1402894.114985</v>
      </c>
      <c r="C3468" t="n" s="0">
        <v>-1402894.1149849999</v>
      </c>
    </row>
    <row r="3469">
      <c r="A3469" t="n" s="0">
        <v>-65.32</v>
      </c>
      <c r="B3469" t="n" s="0">
        <f>(-5-((((-5*(-5/((-5/(((-5*(-65.32--5))-(-5+((-5*-65.32)*(((-5--5)+(-65.32--5))+-65.32))))-(-5+-5)))*-5)))/-5)--5)+(-5*(((-65.32*(-65.32-(-5/-5)))*(-65.32-(-65.32/(-5*-65.32))))-(-5/-5)))))</f>
        <v>-1402251.3686400002</v>
      </c>
      <c r="C3469" t="n" s="0">
        <v>-1402251.3686399993</v>
      </c>
    </row>
    <row r="3470">
      <c r="A3470" t="n" s="0">
        <v>-65.31</v>
      </c>
      <c r="B3470" t="n" s="0">
        <f>(-5-((((-5*(-5/((-5/(((-5*(-65.31--5))-(-5+((-5*-65.31)*(((-5--5)+(-65.31--5))+-65.31))))-(-5+-5)))*-5)))/-5)--5)+(-5*(((-65.31*(-65.31-(-5/-5)))*(-65.31-(-65.31/(-5*-65.31))))-(-5/-5)))))</f>
        <v>-1401608.818655</v>
      </c>
      <c r="C3470" t="n" s="0">
        <v>-1401608.818655</v>
      </c>
    </row>
    <row r="3471">
      <c r="A3471" t="n" s="0">
        <v>-65.3</v>
      </c>
      <c r="B3471" t="n" s="0">
        <f>(-5-((((-5*(-5/((-5/(((-5*(-65.3--5))-(-5+((-5*-65.3)*(((-5--5)+(-65.3--5))+-65.3))))-(-5+-5)))*-5)))/-5)--5)+(-5*(((-65.3*(-65.3-(-5/-5)))*(-65.3-(-65.3/(-5*-65.3))))-(-5/-5)))))</f>
        <v>-1400966.465</v>
      </c>
      <c r="C3471" t="n" s="0">
        <v>-1400966.4649999999</v>
      </c>
    </row>
    <row r="3472">
      <c r="A3472" t="n" s="0">
        <v>-65.29</v>
      </c>
      <c r="B3472" t="n" s="0">
        <f>(-5-((((-5*(-5/((-5/(((-5*(-65.29--5))-(-5+((-5*-65.29)*(((-5--5)+(-65.29--5))+-65.29))))-(-5+-5)))*-5)))/-5)--5)+(-5*(((-65.29*(-65.29-(-5/-5)))*(-65.29-(-65.29/(-5*-65.29))))-(-5/-5)))))</f>
        <v>-1400324.307645</v>
      </c>
      <c r="C3472" t="n" s="0">
        <v>-1400324.3076450005</v>
      </c>
    </row>
    <row r="3473">
      <c r="A3473" t="n" s="0">
        <v>-65.28</v>
      </c>
      <c r="B3473" t="n" s="0">
        <f>(-5-((((-5*(-5/((-5/(((-5*(-65.28--5))-(-5+((-5*-65.28)*(((-5--5)+(-65.28--5))+-65.28))))-(-5+-5)))*-5)))/-5)--5)+(-5*(((-65.28*(-65.28-(-5/-5)))*(-65.28-(-65.28/(-5*-65.28))))-(-5/-5)))))</f>
        <v>-1399682.34656</v>
      </c>
      <c r="C3473" t="n" s="0">
        <v>-1399682.3465600004</v>
      </c>
    </row>
    <row r="3474">
      <c r="A3474" t="n" s="0">
        <v>-65.27</v>
      </c>
      <c r="B3474" t="n" s="0">
        <f>(-5-((((-5*(-5/((-5/(((-5*(-65.27--5))-(-5+((-5*-65.27)*(((-5--5)+(-65.27--5))+-65.27))))-(-5+-5)))*-5)))/-5)--5)+(-5*(((-65.27*(-65.27-(-5/-5)))*(-65.27-(-65.27/(-5*-65.27))))-(-5/-5)))))</f>
        <v>-1399040.581715</v>
      </c>
      <c r="C3474" t="n" s="0">
        <v>-1399040.5817149996</v>
      </c>
    </row>
    <row r="3475">
      <c r="A3475" t="n" s="0">
        <v>-65.26</v>
      </c>
      <c r="B3475" t="n" s="0">
        <f>(-5-((((-5*(-5/((-5/(((-5*(-65.26--5))-(-5+((-5*-65.26)*(((-5--5)+(-65.26--5))+-65.26))))-(-5+-5)))*-5)))/-5)--5)+(-5*(((-65.26*(-65.26-(-5/-5)))*(-65.26-(-65.26/(-5*-65.26))))-(-5/-5)))))</f>
        <v>-1398399.01308</v>
      </c>
      <c r="C3475" t="n" s="0">
        <v>-1398399.0130800002</v>
      </c>
    </row>
    <row r="3476">
      <c r="A3476" t="n" s="0">
        <v>-65.25</v>
      </c>
      <c r="B3476" t="n" s="0">
        <f>(-5-((((-5*(-5/((-5/(((-5*(-65.25--5))-(-5+((-5*-65.25)*(((-5--5)+(-65.25--5))+-65.25))))-(-5+-5)))*-5)))/-5)--5)+(-5*(((-65.25*(-65.25-(-5/-5)))*(-65.25-(-65.25/(-5*-65.25))))-(-5/-5)))))</f>
        <v>-1397757.640625</v>
      </c>
      <c r="C3476" t="n" s="0">
        <v>-1397757.640625</v>
      </c>
    </row>
    <row r="3477">
      <c r="A3477" t="n" s="0">
        <v>-65.24</v>
      </c>
      <c r="B3477" t="n" s="0">
        <f>(-5-((((-5*(-5/((-5/(((-5*(-65.24--5))-(-5+((-5*-65.24)*(((-5--5)+(-65.24--5))+-65.24))))-(-5+-5)))*-5)))/-5)--5)+(-5*(((-65.24*(-65.24-(-5/-5)))*(-65.24-(-65.24/(-5*-65.24))))-(-5/-5)))))</f>
        <v>-1397116.46432</v>
      </c>
      <c r="C3477" t="n" s="0">
        <v>-1397116.4643199996</v>
      </c>
    </row>
    <row r="3478">
      <c r="A3478" t="n" s="0">
        <v>-65.23</v>
      </c>
      <c r="B3478" t="n" s="0">
        <f>(-5-((((-5*(-5/((-5/(((-5*(-65.23--5))-(-5+((-5*-65.23)*(((-5--5)+(-65.23--5))+-65.23))))-(-5+-5)))*-5)))/-5)--5)+(-5*(((-65.23*(-65.23-(-5/-5)))*(-65.23-(-65.23/(-5*-65.23))))-(-5/-5)))))</f>
        <v>-1396475.484135</v>
      </c>
      <c r="C3478" t="n" s="0">
        <v>-1396475.4841350003</v>
      </c>
    </row>
    <row r="3479">
      <c r="A3479" t="n" s="0">
        <v>-65.22</v>
      </c>
      <c r="B3479" t="n" s="0">
        <f>(-5-((((-5*(-5/((-5/(((-5*(-65.22--5))-(-5+((-5*-65.22)*(((-5--5)+(-65.22--5))+-65.22))))-(-5+-5)))*-5)))/-5)--5)+(-5*(((-65.22*(-65.22-(-5/-5)))*(-65.22-(-65.22/(-5*-65.22))))-(-5/-5)))))</f>
        <v>-1395834.70004</v>
      </c>
      <c r="C3479" t="n" s="0">
        <v>-1395834.7000399996</v>
      </c>
    </row>
    <row r="3480">
      <c r="A3480" t="n" s="0">
        <v>-65.21</v>
      </c>
      <c r="B3480" t="n" s="0">
        <f>(-5-((((-5*(-5/((-5/(((-5*(-65.21--5))-(-5+((-5*-65.21)*(((-5--5)+(-65.21--5))+-65.21))))-(-5+-5)))*-5)))/-5)--5)+(-5*(((-65.21*(-65.21-(-5/-5)))*(-65.21-(-65.21/(-5*-65.21))))-(-5/-5)))))</f>
        <v>-1395194.112005</v>
      </c>
      <c r="C3480" t="n" s="0">
        <v>-1395194.1120049995</v>
      </c>
    </row>
    <row r="3481">
      <c r="A3481" t="n" s="0">
        <v>-65.2</v>
      </c>
      <c r="B3481" t="n" s="0">
        <f>(-5-((((-5*(-5/((-5/(((-5*(-65.2--5))-(-5+((-5*-65.2)*(((-5--5)+(-65.2--5))+-65.2))))-(-5+-5)))*-5)))/-5)--5)+(-5*(((-65.2*(-65.2-(-5/-5)))*(-65.2-(-65.2/(-5*-65.2))))-(-5/-5)))))</f>
        <v>-1394553.72</v>
      </c>
      <c r="C3481" t="n" s="0">
        <v>-1394553.7200000002</v>
      </c>
    </row>
    <row r="3482">
      <c r="A3482" t="n" s="0">
        <v>-65.19</v>
      </c>
      <c r="B3482" t="n" s="0">
        <f>(-5-((((-5*(-5/((-5/(((-5*(-65.19--5))-(-5+((-5*-65.19)*(((-5--5)+(-65.19--5))+-65.19))))-(-5+-5)))*-5)))/-5)--5)+(-5*(((-65.19*(-65.19-(-5/-5)))*(-65.19-(-65.19/(-5*-65.19))))-(-5/-5)))))</f>
        <v>-1393913.523995</v>
      </c>
      <c r="C3482" t="n" s="0">
        <v>-1393913.523995</v>
      </c>
    </row>
    <row r="3483">
      <c r="A3483" t="n" s="0">
        <v>-65.18</v>
      </c>
      <c r="B3483" t="n" s="0">
        <f>(-5-((((-5*(-5/((-5/(((-5*(-65.18--5))-(-5+((-5*-65.18)*(((-5--5)+(-65.18--5))+-65.18))))-(-5+-5)))*-5)))/-5)--5)+(-5*(((-65.18*(-65.18-(-5/-5)))*(-65.18-(-65.18/(-5*-65.18))))-(-5/-5)))))</f>
        <v>-1393273.5239600001</v>
      </c>
      <c r="C3483" t="n" s="0">
        <v>-1393273.5239600006</v>
      </c>
    </row>
    <row r="3484">
      <c r="A3484" t="n" s="0">
        <v>-65.17</v>
      </c>
      <c r="B3484" t="n" s="0">
        <f>(-5-((((-5*(-5/((-5/(((-5*(-65.17--5))-(-5+((-5*-65.17)*(((-5--5)+(-65.17--5))+-65.17))))-(-5+-5)))*-5)))/-5)--5)+(-5*(((-65.17*(-65.17-(-5/-5)))*(-65.17-(-65.17/(-5*-65.17))))-(-5/-5)))))</f>
        <v>-1392633.7198649999</v>
      </c>
      <c r="C3484" t="n" s="0">
        <v>-1392633.719865</v>
      </c>
    </row>
    <row r="3485">
      <c r="A3485" t="n" s="0">
        <v>-65.16</v>
      </c>
      <c r="B3485" t="n" s="0">
        <f>(-5-((((-5*(-5/((-5/(((-5*(-65.16--5))-(-5+((-5*-65.16)*(((-5--5)+(-65.16--5))+-65.16))))-(-5+-5)))*-5)))/-5)--5)+(-5*(((-65.16*(-65.16-(-5/-5)))*(-65.16-(-65.16/(-5*-65.16))))-(-5/-5)))))</f>
        <v>-1391994.1116799999</v>
      </c>
      <c r="C3485" t="n" s="0">
        <v>-1391994.1116799999</v>
      </c>
    </row>
    <row r="3486">
      <c r="A3486" t="n" s="0">
        <v>-65.15</v>
      </c>
      <c r="B3486" t="n" s="0">
        <f>(-5-((((-5*(-5/((-5/(((-5*(-65.15--5))-(-5+((-5*-65.15)*(((-5--5)+(-65.15--5))+-65.15))))-(-5+-5)))*-5)))/-5)--5)+(-5*(((-65.15*(-65.15-(-5/-5)))*(-65.15-(-65.15/(-5*-65.15))))-(-5/-5)))))</f>
        <v>-1391354.6993749999</v>
      </c>
      <c r="C3486" t="n" s="0">
        <v>-1391354.6993750003</v>
      </c>
    </row>
    <row r="3487">
      <c r="A3487" t="n" s="0">
        <v>-65.14</v>
      </c>
      <c r="B3487" t="n" s="0">
        <f>(-5-((((-5*(-5/((-5/(((-5*(-65.14--5))-(-5+((-5*-65.14)*(((-5--5)+(-65.14--5))+-65.14))))-(-5+-5)))*-5)))/-5)--5)+(-5*(((-65.14*(-65.14-(-5/-5)))*(-65.14-(-65.14/(-5*-65.14))))-(-5/-5)))))</f>
        <v>-1390715.4829199999</v>
      </c>
      <c r="C3487" t="n" s="0">
        <v>-1390715.4829199999</v>
      </c>
    </row>
    <row r="3488">
      <c r="A3488" t="n" s="0">
        <v>-65.13</v>
      </c>
      <c r="B3488" t="n" s="0">
        <f>(-5-((((-5*(-5/((-5/(((-5*(-65.13--5))-(-5+((-5*-65.13)*(((-5--5)+(-65.13--5))+-65.13))))-(-5+-5)))*-5)))/-5)--5)+(-5*(((-65.13*(-65.13-(-5/-5)))*(-65.13-(-65.13/(-5*-65.13))))-(-5/-5)))))</f>
        <v>-1390076.4622850001</v>
      </c>
      <c r="C3488" t="n" s="0">
        <v>-1390076.4622849994</v>
      </c>
    </row>
    <row r="3489">
      <c r="A3489" t="n" s="0">
        <v>-65.12</v>
      </c>
      <c r="B3489" t="n" s="0">
        <f>(-5-((((-5*(-5/((-5/(((-5*(-65.12--5))-(-5+((-5*-65.12)*(((-5--5)+(-65.12--5))+-65.12))))-(-5+-5)))*-5)))/-5)--5)+(-5*(((-65.12*(-65.12-(-5/-5)))*(-65.12-(-65.12/(-5*-65.12))))-(-5/-5)))))</f>
        <v>-1389437.63744</v>
      </c>
      <c r="C3489" t="n" s="0">
        <v>-1389437.6374400004</v>
      </c>
    </row>
    <row r="3490">
      <c r="A3490" t="n" s="0">
        <v>-65.11</v>
      </c>
      <c r="B3490" t="n" s="0">
        <f>(-5-((((-5*(-5/((-5/(((-5*(-65.11--5))-(-5+((-5*-65.11)*(((-5--5)+(-65.11--5))+-65.11))))-(-5+-5)))*-5)))/-5)--5)+(-5*(((-65.11*(-65.11-(-5/-5)))*(-65.11-(-65.11/(-5*-65.11))))-(-5/-5)))))</f>
        <v>-1388799.008355</v>
      </c>
      <c r="C3490" t="n" s="0">
        <v>-1388799.0083549998</v>
      </c>
    </row>
    <row r="3491">
      <c r="A3491" t="n" s="0">
        <v>-65.1</v>
      </c>
      <c r="B3491" t="n" s="0">
        <f>(-5-((((-5*(-5/((-5/(((-5*(-65.1--5))-(-5+((-5*-65.1)*(((-5--5)+(-65.1--5))+-65.1))))-(-5+-5)))*-5)))/-5)--5)+(-5*(((-65.1*(-65.1-(-5/-5)))*(-65.1-(-65.1/(-5*-65.1))))-(-5/-5)))))</f>
        <v>-1388160.575</v>
      </c>
      <c r="C3491" t="n" s="0">
        <v>-1388160.5749999997</v>
      </c>
    </row>
    <row r="3492">
      <c r="A3492" t="n" s="0">
        <v>-65.09</v>
      </c>
      <c r="B3492" t="n" s="0">
        <f>(-5-((((-5*(-5/((-5/(((-5*(-65.09--5))-(-5+((-5*-65.09)*(((-5--5)+(-65.09--5))+-65.09))))-(-5+-5)))*-5)))/-5)--5)+(-5*(((-65.09*(-65.09-(-5/-5)))*(-65.09-(-65.09/(-5*-65.09))))-(-5/-5)))))</f>
        <v>-1387522.3373450001</v>
      </c>
      <c r="C3492" t="n" s="0">
        <v>-1387522.3373450006</v>
      </c>
    </row>
    <row r="3493">
      <c r="A3493" t="n" s="0">
        <v>-65.08</v>
      </c>
      <c r="B3493" t="n" s="0">
        <f>(-5-((((-5*(-5/((-5/(((-5*(-65.08--5))-(-5+((-5*-65.08)*(((-5--5)+(-65.08--5))+-65.08))))-(-5+-5)))*-5)))/-5)--5)+(-5*(((-65.08*(-65.08-(-5/-5)))*(-65.08-(-65.08/(-5*-65.08))))-(-5/-5)))))</f>
        <v>-1386884.2953599999</v>
      </c>
      <c r="C3493" t="n" s="0">
        <v>-1386884.2953599996</v>
      </c>
    </row>
    <row r="3494">
      <c r="A3494" t="n" s="0">
        <v>-65.07</v>
      </c>
      <c r="B3494" t="n" s="0">
        <f>(-5-((((-5*(-5/((-5/(((-5*(-65.07--5))-(-5+((-5*-65.07)*(((-5--5)+(-65.07--5))+-65.07))))-(-5+-5)))*-5)))/-5)--5)+(-5*(((-65.07*(-65.07-(-5/-5)))*(-65.07-(-65.07/(-5*-65.07))))-(-5/-5)))))</f>
        <v>-1386246.449015</v>
      </c>
      <c r="C3494" t="n" s="0">
        <v>-1386246.4490149997</v>
      </c>
    </row>
    <row r="3495">
      <c r="A3495" t="n" s="0">
        <v>-65.06</v>
      </c>
      <c r="B3495" t="n" s="0">
        <f>(-5-((((-5*(-5/((-5/(((-5*(-65.06--5))-(-5+((-5*-65.06)*(((-5--5)+(-65.06--5))+-65.06))))-(-5+-5)))*-5)))/-5)--5)+(-5*(((-65.06*(-65.06-(-5/-5)))*(-65.06-(-65.06/(-5*-65.06))))-(-5/-5)))))</f>
        <v>-1385608.79828</v>
      </c>
      <c r="C3495" t="n" s="0">
        <v>-1385608.79828</v>
      </c>
    </row>
    <row r="3496">
      <c r="A3496" t="n" s="0">
        <v>-65.05</v>
      </c>
      <c r="B3496" t="n" s="0">
        <f>(-5-((((-5*(-5/((-5/(((-5*(-65.05--5))-(-5+((-5*-65.05)*(((-5--5)+(-65.05--5))+-65.05))))-(-5+-5)))*-5)))/-5)--5)+(-5*(((-65.05*(-65.05-(-5/-5)))*(-65.05-(-65.05/(-5*-65.05))))-(-5/-5)))))</f>
        <v>-1384971.3431250001</v>
      </c>
      <c r="C3496" t="n" s="0">
        <v>-1384971.3431249997</v>
      </c>
    </row>
    <row r="3497">
      <c r="A3497" t="n" s="0">
        <v>-65.04</v>
      </c>
      <c r="B3497" t="n" s="0">
        <f>(-5-((((-5*(-5/((-5/(((-5*(-65.04--5))-(-5+((-5*-65.04)*(((-5--5)+(-65.04--5))+-65.04))))-(-5+-5)))*-5)))/-5)--5)+(-5*(((-65.04*(-65.04-(-5/-5)))*(-65.04-(-65.04/(-5*-65.04))))-(-5/-5)))))</f>
        <v>-1384334.08352</v>
      </c>
      <c r="C3497" t="n" s="0">
        <v>-1384334.0835200003</v>
      </c>
    </row>
    <row r="3498">
      <c r="A3498" t="n" s="0">
        <v>-65.03</v>
      </c>
      <c r="B3498" t="n" s="0">
        <f>(-5-((((-5*(-5/((-5/(((-5*(-65.03--5))-(-5+((-5*-65.03)*(((-5--5)+(-65.03--5))+-65.03))))-(-5+-5)))*-5)))/-5)--5)+(-5*(((-65.03*(-65.03-(-5/-5)))*(-65.03-(-65.03/(-5*-65.03))))-(-5/-5)))))</f>
        <v>-1383697.0194350001</v>
      </c>
      <c r="C3498" t="n" s="0">
        <v>-1383697.0194350004</v>
      </c>
    </row>
    <row r="3499">
      <c r="A3499" t="n" s="0">
        <v>-65.02</v>
      </c>
      <c r="B3499" t="n" s="0">
        <f>(-5-((((-5*(-5/((-5/(((-5*(-65.02--5))-(-5+((-5*-65.02)*(((-5--5)+(-65.02--5))+-65.02))))-(-5+-5)))*-5)))/-5)--5)+(-5*(((-65.02*(-65.02-(-5/-5)))*(-65.02-(-65.02/(-5*-65.02))))-(-5/-5)))))</f>
        <v>-1383060.1508399998</v>
      </c>
      <c r="C3499" t="n" s="0">
        <v>-1383060.1508399996</v>
      </c>
    </row>
    <row r="3500">
      <c r="A3500" t="n" s="0">
        <v>-65.01</v>
      </c>
      <c r="B3500" t="n" s="0">
        <f>(-5-((((-5*(-5/((-5/(((-5*(-65.01--5))-(-5+((-5*-65.01)*(((-5--5)+(-65.01--5))+-65.01))))-(-5+-5)))*-5)))/-5)--5)+(-5*(((-65.01*(-65.01-(-5/-5)))*(-65.01-(-65.01/(-5*-65.01))))-(-5/-5)))))</f>
        <v>-1382423.477705</v>
      </c>
      <c r="C3500" t="n" s="0">
        <v>-1382423.4777050004</v>
      </c>
    </row>
    <row r="3501">
      <c r="A3501" t="n" s="0">
        <v>-65.0</v>
      </c>
      <c r="B3501" t="n" s="0">
        <f>(-5-((((-5*(-5/((-5/(((-5*(-65--5))-(-5+((-5*-65)*(((-5--5)+(-65--5))+-65))))-(-5+-5)))*-5)))/-5)--5)+(-5*(((-65*(-65-(-5/-5)))*(-65-(-65/(-5*-65))))-(-5/-5)))))</f>
        <v>-1381787.0</v>
      </c>
      <c r="C3501" t="n" s="0">
        <v>-1381787.0</v>
      </c>
    </row>
    <row r="3502">
      <c r="A3502" t="n" s="0">
        <v>-64.99</v>
      </c>
      <c r="B3502" t="n" s="0">
        <f>(-5-((((-5*(-5/((-5/(((-5*(-64.99--5))-(-5+((-5*-64.99)*(((-5--5)+(-64.99--5))+-64.99))))-(-5+-5)))*-5)))/-5)--5)+(-5*(((-64.99*(-64.99-(-5/-5)))*(-64.99-(-64.99/(-5*-64.99))))-(-5/-5)))))</f>
        <v>-1381150.7176949999</v>
      </c>
      <c r="C3502" t="n" s="0">
        <v>-1381150.7176949997</v>
      </c>
    </row>
    <row r="3503">
      <c r="A3503" t="n" s="0">
        <v>-64.98</v>
      </c>
      <c r="B3503" t="n" s="0">
        <f>(-5-((((-5*(-5/((-5/(((-5*(-64.98--5))-(-5+((-5*-64.98)*(((-5--5)+(-64.98--5))+-64.98))))-(-5+-5)))*-5)))/-5)--5)+(-5*(((-64.98*(-64.98-(-5/-5)))*(-64.98-(-64.98/(-5*-64.98))))-(-5/-5)))))</f>
        <v>-1380514.63076</v>
      </c>
      <c r="C3503" t="n" s="0">
        <v>-1380514.6307600003</v>
      </c>
    </row>
    <row r="3504">
      <c r="A3504" t="n" s="0">
        <v>-64.97</v>
      </c>
      <c r="B3504" t="n" s="0">
        <f>(-5-((((-5*(-5/((-5/(((-5*(-64.97--5))-(-5+((-5*-64.97)*(((-5--5)+(-64.97--5))+-64.97))))-(-5+-5)))*-5)))/-5)--5)+(-5*(((-64.97*(-64.97-(-5/-5)))*(-64.97-(-64.97/(-5*-64.97))))-(-5/-5)))))</f>
        <v>-1379878.739165</v>
      </c>
      <c r="C3504" t="n" s="0">
        <v>-1379878.7391649997</v>
      </c>
    </row>
    <row r="3505">
      <c r="A3505" t="n" s="0">
        <v>-64.96</v>
      </c>
      <c r="B3505" t="n" s="0">
        <f>(-5-((((-5*(-5/((-5/(((-5*(-64.96--5))-(-5+((-5*-64.96)*(((-5--5)+(-64.96--5))+-64.96))))-(-5+-5)))*-5)))/-5)--5)+(-5*(((-64.96*(-64.96-(-5/-5)))*(-64.96-(-64.96/(-5*-64.96))))-(-5/-5)))))</f>
        <v>-1379243.04288</v>
      </c>
      <c r="C3505" t="n" s="0">
        <v>-1379243.0428799994</v>
      </c>
    </row>
    <row r="3506">
      <c r="A3506" t="n" s="0">
        <v>-64.95</v>
      </c>
      <c r="B3506" t="n" s="0">
        <f>(-5-((((-5*(-5/((-5/(((-5*(-64.95--5))-(-5+((-5*-64.95)*(((-5--5)+(-64.95--5))+-64.95))))-(-5+-5)))*-5)))/-5)--5)+(-5*(((-64.95*(-64.95-(-5/-5)))*(-64.95-(-64.95/(-5*-64.95))))-(-5/-5)))))</f>
        <v>-1378607.5418749999</v>
      </c>
      <c r="C3506" t="n" s="0">
        <v>-1378607.541875</v>
      </c>
    </row>
    <row r="3507">
      <c r="A3507" t="n" s="0">
        <v>-64.94</v>
      </c>
      <c r="B3507" t="n" s="0">
        <f>(-5-((((-5*(-5/((-5/(((-5*(-64.94--5))-(-5+((-5*-64.94)*(((-5--5)+(-64.94--5))+-64.94))))-(-5+-5)))*-5)))/-5)--5)+(-5*(((-64.94*(-64.94-(-5/-5)))*(-64.94-(-64.94/(-5*-64.94))))-(-5/-5)))))</f>
        <v>-1377972.23612</v>
      </c>
      <c r="C3507" t="n" s="0">
        <v>-1377972.23612</v>
      </c>
    </row>
    <row r="3508">
      <c r="A3508" t="n" s="0">
        <v>-64.93</v>
      </c>
      <c r="B3508" t="n" s="0">
        <f>(-5-((((-5*(-5/((-5/(((-5*(-64.93--5))-(-5+((-5*-64.93)*(((-5--5)+(-64.93--5))+-64.93))))-(-5+-5)))*-5)))/-5)--5)+(-5*(((-64.93*(-64.93-(-5/-5)))*(-64.93-(-64.93/(-5*-64.93))))-(-5/-5)))))</f>
        <v>-1377337.125585</v>
      </c>
      <c r="C3508" t="n" s="0">
        <v>-1377337.1255850005</v>
      </c>
    </row>
    <row r="3509">
      <c r="A3509" t="n" s="0">
        <v>-64.92</v>
      </c>
      <c r="B3509" t="n" s="0">
        <f>(-5-((((-5*(-5/((-5/(((-5*(-64.92--5))-(-5+((-5*-64.92)*(((-5--5)+(-64.92--5))+-64.92))))-(-5+-5)))*-5)))/-5)--5)+(-5*(((-64.92*(-64.92-(-5/-5)))*(-64.92-(-64.92/(-5*-64.92))))-(-5/-5)))))</f>
        <v>-1376702.2102400002</v>
      </c>
      <c r="C3509" t="n" s="0">
        <v>-1376702.2102400002</v>
      </c>
    </row>
    <row r="3510">
      <c r="A3510" t="n" s="0">
        <v>-64.91</v>
      </c>
      <c r="B3510" t="n" s="0">
        <f>(-5-((((-5*(-5/((-5/(((-5*(-64.91--5))-(-5+((-5*-64.91)*(((-5--5)+(-64.91--5))+-64.91))))-(-5+-5)))*-5)))/-5)--5)+(-5*(((-64.91*(-64.91-(-5/-5)))*(-64.91-(-64.91/(-5*-64.91))))-(-5/-5)))))</f>
        <v>-1376067.4900550002</v>
      </c>
      <c r="C3510" t="n" s="0">
        <v>-1376067.490055</v>
      </c>
    </row>
    <row r="3511">
      <c r="A3511" t="n" s="0">
        <v>-64.9</v>
      </c>
      <c r="B3511" t="n" s="0">
        <f>(-5-((((-5*(-5/((-5/(((-5*(-64.9--5))-(-5+((-5*-64.9)*(((-5--5)+(-64.9--5))+-64.9))))-(-5+-5)))*-5)))/-5)--5)+(-5*(((-64.9*(-64.9-(-5/-5)))*(-64.9-(-64.9/(-5*-64.9))))-(-5/-5)))))</f>
        <v>-1375432.965</v>
      </c>
      <c r="C3511" t="n" s="0">
        <v>-1375432.9650000003</v>
      </c>
    </row>
    <row r="3512">
      <c r="A3512" t="n" s="0">
        <v>-64.89</v>
      </c>
      <c r="B3512" t="n" s="0">
        <f>(-5-((((-5*(-5/((-5/(((-5*(-64.89--5))-(-5+((-5*-64.89)*(((-5--5)+(-64.89--5))+-64.89))))-(-5+-5)))*-5)))/-5)--5)+(-5*(((-64.89*(-64.89-(-5/-5)))*(-64.89-(-64.89/(-5*-64.89))))-(-5/-5)))))</f>
        <v>-1374798.6350450001</v>
      </c>
      <c r="C3512" t="n" s="0">
        <v>-1374798.6350450001</v>
      </c>
    </row>
    <row r="3513">
      <c r="A3513" t="n" s="0">
        <v>-64.88</v>
      </c>
      <c r="B3513" t="n" s="0">
        <f>(-5-((((-5*(-5/((-5/(((-5*(-64.88--5))-(-5+((-5*-64.88)*(((-5--5)+(-64.88--5))+-64.88))))-(-5+-5)))*-5)))/-5)--5)+(-5*(((-64.88*(-64.88-(-5/-5)))*(-64.88-(-64.88/(-5*-64.88))))-(-5/-5)))))</f>
        <v>-1374164.50016</v>
      </c>
      <c r="C3513" t="n" s="0">
        <v>-1374164.5001599998</v>
      </c>
    </row>
    <row r="3514">
      <c r="A3514" t="n" s="0">
        <v>-64.87</v>
      </c>
      <c r="B3514" t="n" s="0">
        <f>(-5-((((-5*(-5/((-5/(((-5*(-64.87--5))-(-5+((-5*-64.87)*(((-5--5)+(-64.87--5))+-64.87))))-(-5+-5)))*-5)))/-5)--5)+(-5*(((-64.87*(-64.87-(-5/-5)))*(-64.87-(-64.87/(-5*-64.87))))-(-5/-5)))))</f>
        <v>-1373530.560315</v>
      </c>
      <c r="C3514" t="n" s="0">
        <v>-1373530.5603150004</v>
      </c>
    </row>
    <row r="3515">
      <c r="A3515" t="n" s="0">
        <v>-64.86</v>
      </c>
      <c r="B3515" t="n" s="0">
        <f>(-5-((((-5*(-5/((-5/(((-5*(-64.86--5))-(-5+((-5*-64.86)*(((-5--5)+(-64.86--5))+-64.86))))-(-5+-5)))*-5)))/-5)--5)+(-5*(((-64.86*(-64.86-(-5/-5)))*(-64.86-(-64.86/(-5*-64.86))))-(-5/-5)))))</f>
        <v>-1372896.8154799999</v>
      </c>
      <c r="C3515" t="n" s="0">
        <v>-1372896.81548</v>
      </c>
    </row>
    <row r="3516">
      <c r="A3516" t="n" s="0">
        <v>-64.85</v>
      </c>
      <c r="B3516" t="n" s="0">
        <f>(-5-((((-5*(-5/((-5/(((-5*(-64.85--5))-(-5+((-5*-64.85)*(((-5--5)+(-64.85--5))+-64.85))))-(-5+-5)))*-5)))/-5)--5)+(-5*(((-64.85*(-64.85-(-5/-5)))*(-64.85-(-64.85/(-5*-64.85))))-(-5/-5)))))</f>
        <v>-1372263.265625</v>
      </c>
      <c r="C3516" t="n" s="0">
        <v>-1372263.2656249995</v>
      </c>
    </row>
    <row r="3517">
      <c r="A3517" t="n" s="0">
        <v>-64.84</v>
      </c>
      <c r="B3517" t="n" s="0">
        <f>(-5-((((-5*(-5/((-5/(((-5*(-64.84--5))-(-5+((-5*-64.84)*(((-5--5)+(-64.84--5))+-64.84))))-(-5+-5)))*-5)))/-5)--5)+(-5*(((-64.84*(-64.84-(-5/-5)))*(-64.84-(-64.84/(-5*-64.84))))-(-5/-5)))))</f>
        <v>-1371629.91072</v>
      </c>
      <c r="C3517" t="n" s="0">
        <v>-1371629.9107200003</v>
      </c>
    </row>
    <row r="3518">
      <c r="A3518" t="n" s="0">
        <v>-64.83</v>
      </c>
      <c r="B3518" t="n" s="0">
        <f>(-5-((((-5*(-5/((-5/(((-5*(-64.83--5))-(-5+((-5*-64.83)*(((-5--5)+(-64.83--5))+-64.83))))-(-5+-5)))*-5)))/-5)--5)+(-5*(((-64.83*(-64.83-(-5/-5)))*(-64.83-(-64.83/(-5*-64.83))))-(-5/-5)))))</f>
        <v>-1370996.750735</v>
      </c>
      <c r="C3518" t="n" s="0">
        <v>-1370996.750735</v>
      </c>
    </row>
    <row r="3519">
      <c r="A3519" t="n" s="0">
        <v>-64.82</v>
      </c>
      <c r="B3519" t="n" s="0">
        <f>(-5-((((-5*(-5/((-5/(((-5*(-64.82--5))-(-5+((-5*-64.82)*(((-5--5)+(-64.82--5))+-64.82))))-(-5+-5)))*-5)))/-5)--5)+(-5*(((-64.82*(-64.82-(-5/-5)))*(-64.82-(-64.82/(-5*-64.82))))-(-5/-5)))))</f>
        <v>-1370363.7856400001</v>
      </c>
      <c r="C3519" t="n" s="0">
        <v>-1370363.7856399994</v>
      </c>
    </row>
    <row r="3520">
      <c r="A3520" t="n" s="0">
        <v>-64.81</v>
      </c>
      <c r="B3520" t="n" s="0">
        <f>(-5-((((-5*(-5/((-5/(((-5*(-64.81--5))-(-5+((-5*-64.81)*(((-5--5)+(-64.81--5))+-64.81))))-(-5+-5)))*-5)))/-5)--5)+(-5*(((-64.81*(-64.81-(-5/-5)))*(-64.81-(-64.81/(-5*-64.81))))-(-5/-5)))))</f>
        <v>-1369731.0154050002</v>
      </c>
      <c r="C3520" t="n" s="0">
        <v>-1369731.0154050002</v>
      </c>
    </row>
    <row r="3521">
      <c r="A3521" t="n" s="0">
        <v>-64.8</v>
      </c>
      <c r="B3521" t="n" s="0">
        <f>(-5-((((-5*(-5/((-5/(((-5*(-64.8--5))-(-5+((-5*-64.8)*(((-5--5)+(-64.8--5))+-64.8))))-(-5+-5)))*-5)))/-5)--5)+(-5*(((-64.8*(-64.8-(-5/-5)))*(-64.8-(-64.8/(-5*-64.8))))-(-5/-5)))))</f>
        <v>-1369098.4400000002</v>
      </c>
      <c r="C3521" t="n" s="0">
        <v>-1369098.4399999997</v>
      </c>
    </row>
    <row r="3522">
      <c r="A3522" t="n" s="0">
        <v>-64.79</v>
      </c>
      <c r="B3522" t="n" s="0">
        <f>(-5-((((-5*(-5/((-5/(((-5*(-64.79--5))-(-5+((-5*-64.79)*(((-5--5)+(-64.79--5))+-64.79))))-(-5+-5)))*-5)))/-5)--5)+(-5*(((-64.79*(-64.79-(-5/-5)))*(-64.79-(-64.79/(-5*-64.79))))-(-5/-5)))))</f>
        <v>-1368466.0593949999</v>
      </c>
      <c r="C3522" t="n" s="0">
        <v>-1368466.0593950006</v>
      </c>
    </row>
    <row r="3523">
      <c r="A3523" t="n" s="0">
        <v>-64.78</v>
      </c>
      <c r="B3523" t="n" s="0">
        <f>(-5-((((-5*(-5/((-5/(((-5*(-64.78--5))-(-5+((-5*-64.78)*(((-5--5)+(-64.78--5))+-64.78))))-(-5+-5)))*-5)))/-5)--5)+(-5*(((-64.78*(-64.78-(-5/-5)))*(-64.78-(-64.78/(-5*-64.78))))-(-5/-5)))))</f>
        <v>-1367833.8735600002</v>
      </c>
      <c r="C3523" t="n" s="0">
        <v>-1367833.8735600002</v>
      </c>
    </row>
    <row r="3524">
      <c r="A3524" t="n" s="0">
        <v>-64.77</v>
      </c>
      <c r="B3524" t="n" s="0">
        <f>(-5-((((-5*(-5/((-5/(((-5*(-64.77--5))-(-5+((-5*-64.77)*(((-5--5)+(-64.77--5))+-64.77))))-(-5+-5)))*-5)))/-5)--5)+(-5*(((-64.77*(-64.77-(-5/-5)))*(-64.77-(-64.77/(-5*-64.77))))-(-5/-5)))))</f>
        <v>-1367201.882465</v>
      </c>
      <c r="C3524" t="n" s="0">
        <v>-1367201.8824649996</v>
      </c>
    </row>
    <row r="3525">
      <c r="A3525" t="n" s="0">
        <v>-64.76</v>
      </c>
      <c r="B3525" t="n" s="0">
        <f>(-5-((((-5*(-5/((-5/(((-5*(-64.76--5))-(-5+((-5*-64.76)*(((-5--5)+(-64.76--5))+-64.76))))-(-5+-5)))*-5)))/-5)--5)+(-5*(((-64.76*(-64.76-(-5/-5)))*(-64.76-(-64.76/(-5*-64.76))))-(-5/-5)))))</f>
        <v>-1366570.08608</v>
      </c>
      <c r="C3525" t="n" s="0">
        <v>-1366570.0860800003</v>
      </c>
    </row>
    <row r="3526">
      <c r="A3526" t="n" s="0">
        <v>-64.75</v>
      </c>
      <c r="B3526" t="n" s="0">
        <f>(-5-((((-5*(-5/((-5/(((-5*(-64.75--5))-(-5+((-5*-64.75)*(((-5--5)+(-64.75--5))+-64.75))))-(-5+-5)))*-5)))/-5)--5)+(-5*(((-64.75*(-64.75-(-5/-5)))*(-64.75-(-64.75/(-5*-64.75))))-(-5/-5)))))</f>
        <v>-1365938.484375</v>
      </c>
      <c r="C3526" t="n" s="0">
        <v>-1365938.484375</v>
      </c>
    </row>
    <row r="3527">
      <c r="A3527" t="n" s="0">
        <v>-64.74</v>
      </c>
      <c r="B3527" t="n" s="0">
        <f>(-5-((((-5*(-5/((-5/(((-5*(-64.74--5))-(-5+((-5*-64.74)*(((-5--5)+(-64.74--5))+-64.74))))-(-5+-5)))*-5)))/-5)--5)+(-5*(((-64.74*(-64.74-(-5/-5)))*(-64.74-(-64.74/(-5*-64.74))))-(-5/-5)))))</f>
        <v>-1365307.07732</v>
      </c>
      <c r="C3527" t="n" s="0">
        <v>-1365307.0773199997</v>
      </c>
    </row>
    <row r="3528">
      <c r="A3528" t="n" s="0">
        <v>-64.73</v>
      </c>
      <c r="B3528" t="n" s="0">
        <f>(-5-((((-5*(-5/((-5/(((-5*(-64.73--5))-(-5+((-5*-64.73)*(((-5--5)+(-64.73--5))+-64.73))))-(-5+-5)))*-5)))/-5)--5)+(-5*(((-64.73*(-64.73-(-5/-5)))*(-64.73-(-64.73/(-5*-64.73))))-(-5/-5)))))</f>
        <v>-1364675.864885</v>
      </c>
      <c r="C3528" t="n" s="0">
        <v>-1364675.8648850003</v>
      </c>
    </row>
    <row r="3529">
      <c r="A3529" t="n" s="0">
        <v>-64.72</v>
      </c>
      <c r="B3529" t="n" s="0">
        <f>(-5-((((-5*(-5/((-5/(((-5*(-64.72--5))-(-5+((-5*-64.72)*(((-5--5)+(-64.72--5))+-64.72))))-(-5+-5)))*-5)))/-5)--5)+(-5*(((-64.72*(-64.72-(-5/-5)))*(-64.72-(-64.72/(-5*-64.72))))-(-5/-5)))))</f>
        <v>-1364044.84704</v>
      </c>
      <c r="C3529" t="n" s="0">
        <v>-1364044.8470399997</v>
      </c>
    </row>
    <row r="3530">
      <c r="A3530" t="n" s="0">
        <v>-64.71</v>
      </c>
      <c r="B3530" t="n" s="0">
        <f>(-5-((((-5*(-5/((-5/(((-5*(-64.71--5))-(-5+((-5*-64.71)*(((-5--5)+(-64.71--5))+-64.71))))-(-5+-5)))*-5)))/-5)--5)+(-5*(((-64.71*(-64.71-(-5/-5)))*(-64.71-(-64.71/(-5*-64.71))))-(-5/-5)))))</f>
        <v>-1363414.023755</v>
      </c>
      <c r="C3530" t="n" s="0">
        <v>-1363414.0237549995</v>
      </c>
    </row>
    <row r="3531">
      <c r="A3531" t="n" s="0">
        <v>-64.7</v>
      </c>
      <c r="B3531" t="n" s="0">
        <f>(-5-((((-5*(-5/((-5/(((-5*(-64.7--5))-(-5+((-5*-64.7)*(((-5--5)+(-64.7--5))+-64.7))))-(-5+-5)))*-5)))/-5)--5)+(-5*(((-64.7*(-64.7-(-5/-5)))*(-64.7-(-64.7/(-5*-64.7))))-(-5/-5)))))</f>
        <v>-1362783.3949999998</v>
      </c>
      <c r="C3531" t="n" s="0">
        <v>-1362783.3950000003</v>
      </c>
    </row>
    <row r="3532">
      <c r="A3532" t="n" s="0">
        <v>-64.69</v>
      </c>
      <c r="B3532" t="n" s="0">
        <f>(-5-((((-5*(-5/((-5/(((-5*(-64.69--5))-(-5+((-5*-64.69)*(((-5--5)+(-64.69--5))+-64.69))))-(-5+-5)))*-5)))/-5)--5)+(-5*(((-64.69*(-64.69-(-5/-5)))*(-64.69-(-64.69/(-5*-64.69))))-(-5/-5)))))</f>
        <v>-1362152.960745</v>
      </c>
      <c r="C3532" t="n" s="0">
        <v>-1362152.9607449998</v>
      </c>
    </row>
    <row r="3533">
      <c r="A3533" t="n" s="0">
        <v>-64.68</v>
      </c>
      <c r="B3533" t="n" s="0">
        <f>(-5-((((-5*(-5/((-5/(((-5*(-64.68--5))-(-5+((-5*-64.68)*(((-5--5)+(-64.68--5))+-64.68))))-(-5+-5)))*-5)))/-5)--5)+(-5*(((-64.68*(-64.68-(-5/-5)))*(-64.68-(-64.68/(-5*-64.68))))-(-5/-5)))))</f>
        <v>-1361522.72096</v>
      </c>
      <c r="C3533" t="n" s="0">
        <v>-1361522.7209600003</v>
      </c>
    </row>
    <row r="3534">
      <c r="A3534" t="n" s="0">
        <v>-64.67</v>
      </c>
      <c r="B3534" t="n" s="0">
        <f>(-5-((((-5*(-5/((-5/(((-5*(-64.67--5))-(-5+((-5*-64.67)*(((-5--5)+(-64.67--5))+-64.67))))-(-5+-5)))*-5)))/-5)--5)+(-5*(((-64.67*(-64.67-(-5/-5)))*(-64.67-(-64.67/(-5*-64.67))))-(-5/-5)))))</f>
        <v>-1360892.675615</v>
      </c>
      <c r="C3534" t="n" s="0">
        <v>-1360892.6756149998</v>
      </c>
    </row>
    <row r="3535">
      <c r="A3535" t="n" s="0">
        <v>-64.66</v>
      </c>
      <c r="B3535" t="n" s="0">
        <f>(-5-((((-5*(-5/((-5/(((-5*(-64.66--5))-(-5+((-5*-64.66)*(((-5--5)+(-64.66--5))+-64.66))))-(-5+-5)))*-5)))/-5)--5)+(-5*(((-64.66*(-64.66-(-5/-5)))*(-64.66-(-64.66/(-5*-64.66))))-(-5/-5)))))</f>
        <v>-1360262.82468</v>
      </c>
      <c r="C3535" t="n" s="0">
        <v>-1360262.8246799998</v>
      </c>
    </row>
    <row r="3536">
      <c r="A3536" t="n" s="0">
        <v>-64.65</v>
      </c>
      <c r="B3536" t="n" s="0">
        <f>(-5-((((-5*(-5/((-5/(((-5*(-64.65--5))-(-5+((-5*-64.65)*(((-5--5)+(-64.65--5))+-64.65))))-(-5+-5)))*-5)))/-5)--5)+(-5*(((-64.65*(-64.65-(-5/-5)))*(-64.65-(-64.65/(-5*-64.65))))-(-5/-5)))))</f>
        <v>-1359633.168125</v>
      </c>
      <c r="C3536" t="n" s="0">
        <v>-1359633.1681250005</v>
      </c>
    </row>
    <row r="3537">
      <c r="A3537" t="n" s="0">
        <v>-64.64</v>
      </c>
      <c r="B3537" t="n" s="0">
        <f>(-5-((((-5*(-5/((-5/(((-5*(-64.64--5))-(-5+((-5*-64.64)*(((-5--5)+(-64.64--5))+-64.64))))-(-5+-5)))*-5)))/-5)--5)+(-5*(((-64.64*(-64.64-(-5/-5)))*(-64.64-(-64.64/(-5*-64.64))))-(-5/-5)))))</f>
        <v>-1359003.7059199999</v>
      </c>
      <c r="C3537" t="n" s="0">
        <v>-1359003.70592</v>
      </c>
    </row>
    <row r="3538">
      <c r="A3538" t="n" s="0">
        <v>-64.63</v>
      </c>
      <c r="B3538" t="n" s="0">
        <f>(-5-((((-5*(-5/((-5/(((-5*(-64.63--5))-(-5+((-5*-64.63)*(((-5--5)+(-64.63--5))+-64.63))))-(-5+-5)))*-5)))/-5)--5)+(-5*(((-64.63*(-64.63-(-5/-5)))*(-64.63-(-64.63/(-5*-64.63))))-(-5/-5)))))</f>
        <v>-1358374.438035</v>
      </c>
      <c r="C3538" t="n" s="0">
        <v>-1358374.4380349996</v>
      </c>
    </row>
    <row r="3539">
      <c r="A3539" t="n" s="0">
        <v>-64.62</v>
      </c>
      <c r="B3539" t="n" s="0">
        <f>(-5-((((-5*(-5/((-5/(((-5*(-64.62--5))-(-5+((-5*-64.62)*(((-5--5)+(-64.62--5))+-64.62))))-(-5+-5)))*-5)))/-5)--5)+(-5*(((-64.62*(-64.62-(-5/-5)))*(-64.62-(-64.62/(-5*-64.62))))-(-5/-5)))))</f>
        <v>-1357745.3644400002</v>
      </c>
      <c r="C3539" t="n" s="0">
        <v>-1357745.3644400004</v>
      </c>
    </row>
    <row r="3540">
      <c r="A3540" t="n" s="0">
        <v>-64.61</v>
      </c>
      <c r="B3540" t="n" s="0">
        <f>(-5-((((-5*(-5/((-5/(((-5*(-64.61--5))-(-5+((-5*-64.61)*(((-5--5)+(-64.61--5))+-64.61))))-(-5+-5)))*-5)))/-5)--5)+(-5*(((-64.61*(-64.61-(-5/-5)))*(-64.61-(-64.61/(-5*-64.61))))-(-5/-5)))))</f>
        <v>-1357116.485105</v>
      </c>
      <c r="C3540" t="n" s="0">
        <v>-1357116.4851050002</v>
      </c>
    </row>
    <row r="3541">
      <c r="A3541" t="n" s="0">
        <v>-64.6</v>
      </c>
      <c r="B3541" t="n" s="0">
        <f>(-5-((((-5*(-5/((-5/(((-5*(-64.6--5))-(-5+((-5*-64.6)*(((-5--5)+(-64.6--5))+-64.6))))-(-5+-5)))*-5)))/-5)--5)+(-5*(((-64.6*(-64.6-(-5/-5)))*(-64.6-(-64.6/(-5*-64.6))))-(-5/-5)))))</f>
        <v>-1356487.8</v>
      </c>
      <c r="C3541" t="n" s="0">
        <v>-1356487.7999999998</v>
      </c>
    </row>
    <row r="3542">
      <c r="A3542" t="n" s="0">
        <v>-64.59</v>
      </c>
      <c r="B3542" t="n" s="0">
        <f>(-5-((((-5*(-5/((-5/(((-5*(-64.59--5))-(-5+((-5*-64.59)*(((-5--5)+(-64.59--5))+-64.59))))-(-5+-5)))*-5)))/-5)--5)+(-5*(((-64.59*(-64.59-(-5/-5)))*(-64.59-(-64.59/(-5*-64.59))))-(-5/-5)))))</f>
        <v>-1355859.309095</v>
      </c>
      <c r="C3542" t="n" s="0">
        <v>-1355859.3090950001</v>
      </c>
    </row>
    <row r="3543">
      <c r="A3543" t="n" s="0">
        <v>-64.58</v>
      </c>
      <c r="B3543" t="n" s="0">
        <f>(-5-((((-5*(-5/((-5/(((-5*(-64.58--5))-(-5+((-5*-64.58)*(((-5--5)+(-64.58--5))+-64.58))))-(-5+-5)))*-5)))/-5)--5)+(-5*(((-64.58*(-64.58-(-5/-5)))*(-64.58-(-64.58/(-5*-64.58))))-(-5/-5)))))</f>
        <v>-1355231.01236</v>
      </c>
      <c r="C3543" t="n" s="0">
        <v>-1355231.01236</v>
      </c>
    </row>
    <row r="3544">
      <c r="A3544" t="n" s="0">
        <v>-64.57</v>
      </c>
      <c r="B3544" t="n" s="0">
        <f>(-5-((((-5*(-5/((-5/(((-5*(-64.57--5))-(-5+((-5*-64.57)*(((-5--5)+(-64.57--5))+-64.57))))-(-5+-5)))*-5)))/-5)--5)+(-5*(((-64.57*(-64.57-(-5/-5)))*(-64.57-(-64.57/(-5*-64.57))))-(-5/-5)))))</f>
        <v>-1354602.909765</v>
      </c>
      <c r="C3544" t="n" s="0">
        <v>-1354602.9097649995</v>
      </c>
    </row>
    <row r="3545">
      <c r="A3545" t="n" s="0">
        <v>-64.56</v>
      </c>
      <c r="B3545" t="n" s="0">
        <f>(-5-((((-5*(-5/((-5/(((-5*(-64.56--5))-(-5+((-5*-64.56)*(((-5--5)+(-64.56--5))+-64.56))))-(-5+-5)))*-5)))/-5)--5)+(-5*(((-64.56*(-64.56-(-5/-5)))*(-64.56-(-64.56/(-5*-64.56))))-(-5/-5)))))</f>
        <v>-1353975.0012800002</v>
      </c>
      <c r="C3545" t="n" s="0">
        <v>-1353975.00128</v>
      </c>
    </row>
    <row r="3546">
      <c r="A3546" t="n" s="0">
        <v>-64.55</v>
      </c>
      <c r="B3546" t="n" s="0">
        <f>(-5-((((-5*(-5/((-5/(((-5*(-64.55--5))-(-5+((-5*-64.55)*(((-5--5)+(-64.55--5))+-64.55))))-(-5+-5)))*-5)))/-5)--5)+(-5*(((-64.55*(-64.55-(-5/-5)))*(-64.55-(-64.55/(-5*-64.55))))-(-5/-5)))))</f>
        <v>-1353347.286875</v>
      </c>
      <c r="C3546" t="n" s="0">
        <v>-1353347.2868749998</v>
      </c>
    </row>
    <row r="3547">
      <c r="A3547" t="n" s="0">
        <v>-64.54</v>
      </c>
      <c r="B3547" t="n" s="0">
        <f>(-5-((((-5*(-5/((-5/(((-5*(-64.54--5))-(-5+((-5*-64.54)*(((-5--5)+(-64.54--5))+-64.54))))-(-5+-5)))*-5)))/-5)--5)+(-5*(((-64.54*(-64.54-(-5/-5)))*(-64.54-(-64.54/(-5*-64.54))))-(-5/-5)))))</f>
        <v>-1352719.7665199998</v>
      </c>
      <c r="C3547" t="n" s="0">
        <v>-1352719.7665200005</v>
      </c>
    </row>
    <row r="3548">
      <c r="A3548" t="n" s="0">
        <v>-64.53</v>
      </c>
      <c r="B3548" t="n" s="0">
        <f>(-5-((((-5*(-5/((-5/(((-5*(-64.53--5))-(-5+((-5*-64.53)*(((-5--5)+(-64.53--5))+-64.53))))-(-5+-5)))*-5)))/-5)--5)+(-5*(((-64.53*(-64.53-(-5/-5)))*(-64.53-(-64.53/(-5*-64.53))))-(-5/-5)))))</f>
        <v>-1352092.440185</v>
      </c>
      <c r="C3548" t="n" s="0">
        <v>-1352092.440185</v>
      </c>
    </row>
    <row r="3549">
      <c r="A3549" t="n" s="0">
        <v>-64.52</v>
      </c>
      <c r="B3549" t="n" s="0">
        <f>(-5-((((-5*(-5/((-5/(((-5*(-64.52--5))-(-5+((-5*-64.52)*(((-5--5)+(-64.52--5))+-64.52))))-(-5+-5)))*-5)))/-5)--5)+(-5*(((-64.52*(-64.52-(-5/-5)))*(-64.52-(-64.52/(-5*-64.52))))-(-5/-5)))))</f>
        <v>-1351465.30784</v>
      </c>
      <c r="C3549" t="n" s="0">
        <v>-1351465.3078399997</v>
      </c>
    </row>
    <row r="3550">
      <c r="A3550" t="n" s="0">
        <v>-64.51</v>
      </c>
      <c r="B3550" t="n" s="0">
        <f>(-5-((((-5*(-5/((-5/(((-5*(-64.51--5))-(-5+((-5*-64.51)*(((-5--5)+(-64.51--5))+-64.51))))-(-5+-5)))*-5)))/-5)--5)+(-5*(((-64.51*(-64.51-(-5/-5)))*(-64.51-(-64.51/(-5*-64.51))))-(-5/-5)))))</f>
        <v>-1350838.3694550002</v>
      </c>
      <c r="C3550" t="n" s="0">
        <v>-1350838.3694550004</v>
      </c>
    </row>
    <row r="3551">
      <c r="A3551" t="n" s="0">
        <v>-64.5</v>
      </c>
      <c r="B3551" t="n" s="0">
        <f>(-5-((((-5*(-5/((-5/(((-5*(-64.5--5))-(-5+((-5*-64.5)*(((-5--5)+(-64.5--5))+-64.5))))-(-5+-5)))*-5)))/-5)--5)+(-5*(((-64.5*(-64.5-(-5/-5)))*(-64.5-(-64.5/(-5*-64.5))))-(-5/-5)))))</f>
        <v>-1350211.625</v>
      </c>
      <c r="C3551" t="n" s="0">
        <v>-1350211.625</v>
      </c>
    </row>
    <row r="3552">
      <c r="A3552" t="n" s="0">
        <v>-64.49</v>
      </c>
      <c r="B3552" t="n" s="0">
        <f>(-5-((((-5*(-5/((-5/(((-5*(-64.49--5))-(-5+((-5*-64.49)*(((-5--5)+(-64.49--5))+-64.49))))-(-5+-5)))*-5)))/-5)--5)+(-5*(((-64.49*(-64.49-(-5/-5)))*(-64.49-(-64.49/(-5*-64.49))))-(-5/-5)))))</f>
        <v>-1349585.074445</v>
      </c>
      <c r="C3552" t="n" s="0">
        <v>-1349585.0744449997</v>
      </c>
    </row>
    <row r="3553">
      <c r="A3553" t="n" s="0">
        <v>-64.48</v>
      </c>
      <c r="B3553" t="n" s="0">
        <f>(-5-((((-5*(-5/((-5/(((-5*(-64.48--5))-(-5+((-5*-64.48)*(((-5--5)+(-64.48--5))+-64.48))))-(-5+-5)))*-5)))/-5)--5)+(-5*(((-64.48*(-64.48-(-5/-5)))*(-64.48-(-64.48/(-5*-64.48))))-(-5/-5)))))</f>
        <v>-1348958.7177600001</v>
      </c>
      <c r="C3553" t="n" s="0">
        <v>-1348958.7177600001</v>
      </c>
    </row>
    <row r="3554">
      <c r="A3554" t="n" s="0">
        <v>-64.47</v>
      </c>
      <c r="B3554" t="n" s="0">
        <f>(-5-((((-5*(-5/((-5/(((-5*(-64.47--5))-(-5+((-5*-64.47)*(((-5--5)+(-64.47--5))+-64.47))))-(-5+-5)))*-5)))/-5)--5)+(-5*(((-64.47*(-64.47-(-5/-5)))*(-64.47-(-64.47/(-5*-64.47))))-(-5/-5)))))</f>
        <v>-1348332.554915</v>
      </c>
      <c r="C3554" t="n" s="0">
        <v>-1348332.5549149998</v>
      </c>
    </row>
    <row r="3555">
      <c r="A3555" t="n" s="0">
        <v>-64.46</v>
      </c>
      <c r="B3555" t="n" s="0">
        <f>(-5-((((-5*(-5/((-5/(((-5*(-64.46--5))-(-5+((-5*-64.46)*(((-5--5)+(-64.46--5))+-64.46))))-(-5+-5)))*-5)))/-5)--5)+(-5*(((-64.46*(-64.46-(-5/-5)))*(-64.46-(-64.46/(-5*-64.46))))-(-5/-5)))))</f>
        <v>-1347706.58588</v>
      </c>
      <c r="C3555" t="n" s="0">
        <v>-1347706.5858799994</v>
      </c>
    </row>
    <row r="3556">
      <c r="A3556" t="n" s="0">
        <v>-64.45</v>
      </c>
      <c r="B3556" t="n" s="0">
        <f>(-5-((((-5*(-5/((-5/(((-5*(-64.45--5))-(-5+((-5*-64.45)*(((-5--5)+(-64.45--5))+-64.45))))-(-5+-5)))*-5)))/-5)--5)+(-5*(((-64.45*(-64.45-(-5/-5)))*(-64.45-(-64.45/(-5*-64.45))))-(-5/-5)))))</f>
        <v>-1347080.8106250002</v>
      </c>
      <c r="C3556" t="n" s="0">
        <v>-1347080.8106250002</v>
      </c>
    </row>
    <row r="3557">
      <c r="A3557" t="n" s="0">
        <v>-64.44</v>
      </c>
      <c r="B3557" t="n" s="0">
        <f>(-5-((((-5*(-5/((-5/(((-5*(-64.44--5))-(-5+((-5*-64.44)*(((-5--5)+(-64.44--5))+-64.44))))-(-5+-5)))*-5)))/-5)--5)+(-5*(((-64.44*(-64.44-(-5/-5)))*(-64.44-(-64.44/(-5*-64.44))))-(-5/-5)))))</f>
        <v>-1346455.22912</v>
      </c>
      <c r="C3557" t="n" s="0">
        <v>-1346455.2291199998</v>
      </c>
    </row>
    <row r="3558">
      <c r="A3558" t="n" s="0">
        <v>-64.43</v>
      </c>
      <c r="B3558" t="n" s="0">
        <f>(-5-((((-5*(-5/((-5/(((-5*(-64.43--5))-(-5+((-5*-64.43)*(((-5--5)+(-64.43--5))+-64.43))))-(-5+-5)))*-5)))/-5)--5)+(-5*(((-64.43*(-64.43-(-5/-5)))*(-64.43-(-64.43/(-5*-64.43))))-(-5/-5)))))</f>
        <v>-1345829.841335</v>
      </c>
      <c r="C3558" t="n" s="0">
        <v>-1345829.8413350007</v>
      </c>
    </row>
    <row r="3559">
      <c r="A3559" t="n" s="0">
        <v>-64.42</v>
      </c>
      <c r="B3559" t="n" s="0">
        <f>(-5-((((-5*(-5/((-5/(((-5*(-64.42--5))-(-5+((-5*-64.42)*(((-5--5)+(-64.42--5))+-64.42))))-(-5+-5)))*-5)))/-5)--5)+(-5*(((-64.42*(-64.42-(-5/-5)))*(-64.42-(-64.42/(-5*-64.42))))-(-5/-5)))))</f>
        <v>-1345204.6472399998</v>
      </c>
      <c r="C3559" t="n" s="0">
        <v>-1345204.64724</v>
      </c>
    </row>
    <row r="3560">
      <c r="A3560" t="n" s="0">
        <v>-64.41</v>
      </c>
      <c r="B3560" t="n" s="0">
        <f>(-5-((((-5*(-5/((-5/(((-5*(-64.41--5))-(-5+((-5*-64.41)*(((-5--5)+(-64.41--5))+-64.41))))-(-5+-5)))*-5)))/-5)--5)+(-5*(((-64.41*(-64.41-(-5/-5)))*(-64.41-(-64.41/(-5*-64.41))))-(-5/-5)))))</f>
        <v>-1344579.646805</v>
      </c>
      <c r="C3560" t="n" s="0">
        <v>-1344579.6468049996</v>
      </c>
    </row>
    <row r="3561">
      <c r="A3561" t="n" s="0">
        <v>-64.4</v>
      </c>
      <c r="B3561" t="n" s="0">
        <f>(-5-((((-5*(-5/((-5/(((-5*(-64.4--5))-(-5+((-5*-64.4)*(((-5--5)+(-64.4--5))+-64.4))))-(-5+-5)))*-5)))/-5)--5)+(-5*(((-64.4*(-64.4-(-5/-5)))*(-64.4-(-64.4/(-5*-64.4))))-(-5/-5)))))</f>
        <v>-1343954.8399999999</v>
      </c>
      <c r="C3561" t="n" s="0">
        <v>-1343954.8400000003</v>
      </c>
    </row>
    <row r="3562">
      <c r="A3562" t="n" s="0">
        <v>-64.39</v>
      </c>
      <c r="B3562" t="n" s="0">
        <f>(-5-((((-5*(-5/((-5/(((-5*(-64.39--5))-(-5+((-5*-64.39)*(((-5--5)+(-64.39--5))+-64.39))))-(-5+-5)))*-5)))/-5)--5)+(-5*(((-64.39*(-64.39-(-5/-5)))*(-64.39-(-64.39/(-5*-64.39))))-(-5/-5)))))</f>
        <v>-1343330.226795</v>
      </c>
      <c r="C3562" t="n" s="0">
        <v>-1343330.2267949998</v>
      </c>
    </row>
    <row r="3563">
      <c r="A3563" t="n" s="0">
        <v>-64.38</v>
      </c>
      <c r="B3563" t="n" s="0">
        <f>(-5-((((-5*(-5/((-5/(((-5*(-64.38--5))-(-5+((-5*-64.38)*(((-5--5)+(-64.38--5))+-64.38))))-(-5+-5)))*-5)))/-5)--5)+(-5*(((-64.38*(-64.38-(-5/-5)))*(-64.38-(-64.38/(-5*-64.38))))-(-5/-5)))))</f>
        <v>-1342705.80716</v>
      </c>
      <c r="C3563" t="n" s="0">
        <v>-1342705.8071599996</v>
      </c>
    </row>
    <row r="3564">
      <c r="A3564" t="n" s="0">
        <v>-64.37</v>
      </c>
      <c r="B3564" t="n" s="0">
        <f>(-5-((((-5*(-5/((-5/(((-5*(-64.37--5))-(-5+((-5*-64.37)*(((-5--5)+(-64.37--5))+-64.37))))-(-5+-5)))*-5)))/-5)--5)+(-5*(((-64.37*(-64.37-(-5/-5)))*(-64.37-(-64.37/(-5*-64.37))))-(-5/-5)))))</f>
        <v>-1342081.581065</v>
      </c>
      <c r="C3564" t="n" s="0">
        <v>-1342081.5810650003</v>
      </c>
    </row>
    <row r="3565">
      <c r="A3565" t="n" s="0">
        <v>-64.36</v>
      </c>
      <c r="B3565" t="n" s="0">
        <f>(-5-((((-5*(-5/((-5/(((-5*(-64.36--5))-(-5+((-5*-64.36)*(((-5--5)+(-64.36--5))+-64.36))))-(-5+-5)))*-5)))/-5)--5)+(-5*(((-64.36*(-64.36-(-5/-5)))*(-64.36-(-64.36/(-5*-64.36))))-(-5/-5)))))</f>
        <v>-1341457.54848</v>
      </c>
      <c r="C3565" t="n" s="0">
        <v>-1341457.5484799999</v>
      </c>
    </row>
    <row r="3566">
      <c r="A3566" t="n" s="0">
        <v>-64.35</v>
      </c>
      <c r="B3566" t="n" s="0">
        <f>(-5-((((-5*(-5/((-5/(((-5*(-64.35--5))-(-5+((-5*-64.35)*(((-5--5)+(-64.35--5))+-64.35))))-(-5+-5)))*-5)))/-5)--5)+(-5*(((-64.35*(-64.35-(-5/-5)))*(-64.35-(-64.35/(-5*-64.35))))-(-5/-5)))))</f>
        <v>-1340833.7093749999</v>
      </c>
      <c r="C3566" t="n" s="0">
        <v>-1340833.7093749996</v>
      </c>
    </row>
    <row r="3567">
      <c r="A3567" t="n" s="0">
        <v>-64.34</v>
      </c>
      <c r="B3567" t="n" s="0">
        <f>(-5-((((-5*(-5/((-5/(((-5*(-64.34--5))-(-5+((-5*-64.34)*(((-5--5)+(-64.34--5))+-64.34))))-(-5+-5)))*-5)))/-5)--5)+(-5*(((-64.34*(-64.34-(-5/-5)))*(-64.34-(-64.34/(-5*-64.34))))-(-5/-5)))))</f>
        <v>-1340210.06372</v>
      </c>
      <c r="C3567" t="n" s="0">
        <v>-1340210.0637200002</v>
      </c>
    </row>
    <row r="3568">
      <c r="A3568" t="n" s="0">
        <v>-64.33</v>
      </c>
      <c r="B3568" t="n" s="0">
        <f>(-5-((((-5*(-5/((-5/(((-5*(-64.33--5))-(-5+((-5*-64.33)*(((-5--5)+(-64.33--5))+-64.33))))-(-5+-5)))*-5)))/-5)--5)+(-5*(((-64.33*(-64.33-(-5/-5)))*(-64.33-(-64.33/(-5*-64.33))))-(-5/-5)))))</f>
        <v>-1339586.6114849998</v>
      </c>
      <c r="C3568" t="n" s="0">
        <v>-1339586.6114849998</v>
      </c>
    </row>
    <row r="3569">
      <c r="A3569" t="n" s="0">
        <v>-64.32</v>
      </c>
      <c r="B3569" t="n" s="0">
        <f>(-5-((((-5*(-5/((-5/(((-5*(-64.32--5))-(-5+((-5*-64.32)*(((-5--5)+(-64.32--5))+-64.32))))-(-5+-5)))*-5)))/-5)--5)+(-5*(((-64.32*(-64.32-(-5/-5)))*(-64.32-(-64.32/(-5*-64.32))))-(-5/-5)))))</f>
        <v>-1338963.35264</v>
      </c>
      <c r="C3569" t="n" s="0">
        <v>-1338963.3526399995</v>
      </c>
    </row>
    <row r="3570">
      <c r="A3570" t="n" s="0">
        <v>-64.31</v>
      </c>
      <c r="B3570" t="n" s="0">
        <f>(-5-((((-5*(-5/((-5/(((-5*(-64.31--5))-(-5+((-5*-64.31)*(((-5--5)+(-64.31--5))+-64.31))))-(-5+-5)))*-5)))/-5)--5)+(-5*(((-64.31*(-64.31-(-5/-5)))*(-64.31-(-64.31/(-5*-64.31))))-(-5/-5)))))</f>
        <v>-1338340.287155</v>
      </c>
      <c r="C3570" t="n" s="0">
        <v>-1338340.2871550003</v>
      </c>
    </row>
    <row r="3571">
      <c r="A3571" t="n" s="0">
        <v>-64.3</v>
      </c>
      <c r="B3571" t="n" s="0">
        <f>(-5-((((-5*(-5/((-5/(((-5*(-64.3--5))-(-5+((-5*-64.3)*(((-5--5)+(-64.3--5))+-64.3))))-(-5+-5)))*-5)))/-5)--5)+(-5*(((-64.3*(-64.3-(-5/-5)))*(-64.3-(-64.3/(-5*-64.3))))-(-5/-5)))))</f>
        <v>-1337717.415</v>
      </c>
      <c r="C3571" t="n" s="0">
        <v>-1337717.4149999996</v>
      </c>
    </row>
    <row r="3572">
      <c r="A3572" t="n" s="0">
        <v>-64.29</v>
      </c>
      <c r="B3572" t="n" s="0">
        <f>(-5-((((-5*(-5/((-5/(((-5*(-64.29--5))-(-5+((-5*-64.29)*(((-5--5)+(-64.29--5))+-64.29))))-(-5+-5)))*-5)))/-5)--5)+(-5*(((-64.29*(-64.29-(-5/-5)))*(-64.29-(-64.29/(-5*-64.29))))-(-5/-5)))))</f>
        <v>-1337094.736145</v>
      </c>
      <c r="C3572" t="n" s="0">
        <v>-1337094.7361450004</v>
      </c>
    </row>
    <row r="3573">
      <c r="A3573" t="n" s="0">
        <v>-64.28</v>
      </c>
      <c r="B3573" t="n" s="0">
        <f>(-5-((((-5*(-5/((-5/(((-5*(-64.28--5))-(-5+((-5*-64.28)*(((-5--5)+(-64.28--5))+-64.28))))-(-5+-5)))*-5)))/-5)--5)+(-5*(((-64.28*(-64.28-(-5/-5)))*(-64.28-(-64.28/(-5*-64.28))))-(-5/-5)))))</f>
        <v>-1336472.2505599998</v>
      </c>
      <c r="C3573" t="n" s="0">
        <v>-1336472.25056</v>
      </c>
    </row>
    <row r="3574">
      <c r="A3574" t="n" s="0">
        <v>-64.27</v>
      </c>
      <c r="B3574" t="n" s="0">
        <f>(-5-((((-5*(-5/((-5/(((-5*(-64.27--5))-(-5+((-5*-64.27)*(((-5--5)+(-64.27--5))+-64.27))))-(-5+-5)))*-5)))/-5)--5)+(-5*(((-64.27*(-64.27-(-5/-5)))*(-64.27-(-64.27/(-5*-64.27))))-(-5/-5)))))</f>
        <v>-1335849.9582149999</v>
      </c>
      <c r="C3574" t="n" s="0">
        <v>-1335849.9582149999</v>
      </c>
    </row>
    <row r="3575">
      <c r="A3575" t="n" s="0">
        <v>-64.26</v>
      </c>
      <c r="B3575" t="n" s="0">
        <f>(-5-((((-5*(-5/((-5/(((-5*(-64.26--5))-(-5+((-5*-64.26)*(((-5--5)+(-64.26--5))+-64.26))))-(-5+-5)))*-5)))/-5)--5)+(-5*(((-64.26*(-64.26-(-5/-5)))*(-64.26-(-64.26/(-5*-64.26))))-(-5/-5)))))</f>
        <v>-1335227.85908</v>
      </c>
      <c r="C3575" t="n" s="0">
        <v>-1335227.8590800003</v>
      </c>
    </row>
    <row r="3576">
      <c r="A3576" t="n" s="0">
        <v>-64.25</v>
      </c>
      <c r="B3576" t="n" s="0">
        <f>(-5-((((-5*(-5/((-5/(((-5*(-64.25--5))-(-5+((-5*-64.25)*(((-5--5)+(-64.25--5))+-64.25))))-(-5+-5)))*-5)))/-5)--5)+(-5*(((-64.25*(-64.25-(-5/-5)))*(-64.25-(-64.25/(-5*-64.25))))-(-5/-5)))))</f>
        <v>-1334605.953125</v>
      </c>
      <c r="C3576" t="n" s="0">
        <v>-1334605.953125</v>
      </c>
    </row>
    <row r="3577">
      <c r="A3577" t="n" s="0">
        <v>-64.24</v>
      </c>
      <c r="B3577" t="n" s="0">
        <f>(-5-((((-5*(-5/((-5/(((-5*(-64.24--5))-(-5+((-5*-64.24)*(((-5--5)+(-64.24--5))+-64.24))))-(-5+-5)))*-5)))/-5)--5)+(-5*(((-64.24*(-64.24-(-5/-5)))*(-64.24-(-64.24/(-5*-64.24))))-(-5/-5)))))</f>
        <v>-1333984.2403199999</v>
      </c>
      <c r="C3577" t="n" s="0">
        <v>-1333984.2403199996</v>
      </c>
    </row>
    <row r="3578">
      <c r="A3578" t="n" s="0">
        <v>-64.23</v>
      </c>
      <c r="B3578" t="n" s="0">
        <f>(-5-((((-5*(-5/((-5/(((-5*(-64.23--5))-(-5+((-5*-64.23)*(((-5--5)+(-64.23--5))+-64.23))))-(-5+-5)))*-5)))/-5)--5)+(-5*(((-64.23*(-64.23-(-5/-5)))*(-64.23-(-64.23/(-5*-64.23))))-(-5/-5)))))</f>
        <v>-1333362.720635</v>
      </c>
      <c r="C3578" t="n" s="0">
        <v>-1333362.720635</v>
      </c>
    </row>
    <row r="3579">
      <c r="A3579" t="n" s="0">
        <v>-64.22</v>
      </c>
      <c r="B3579" t="n" s="0">
        <f>(-5-((((-5*(-5/((-5/(((-5*(-64.22--5))-(-5+((-5*-64.22)*(((-5--5)+(-64.22--5))+-64.22))))-(-5+-5)))*-5)))/-5)--5)+(-5*(((-64.22*(-64.22-(-5/-5)))*(-64.22-(-64.22/(-5*-64.22))))-(-5/-5)))))</f>
        <v>-1332741.3940400002</v>
      </c>
      <c r="C3579" t="n" s="0">
        <v>-1332741.3940399997</v>
      </c>
    </row>
    <row r="3580">
      <c r="A3580" t="n" s="0">
        <v>-64.21</v>
      </c>
      <c r="B3580" t="n" s="0">
        <f>(-5-((((-5*(-5/((-5/(((-5*(-64.21--5))-(-5+((-5*-64.21)*(((-5--5)+(-64.21--5))+-64.21))))-(-5+-5)))*-5)))/-5)--5)+(-5*(((-64.21*(-64.21-(-5/-5)))*(-64.21-(-64.21/(-5*-64.21))))-(-5/-5)))))</f>
        <v>-1332120.260505</v>
      </c>
      <c r="C3580" t="n" s="0">
        <v>-1332120.2605049992</v>
      </c>
    </row>
    <row r="3581">
      <c r="A3581" t="n" s="0">
        <v>-64.2</v>
      </c>
      <c r="B3581" t="n" s="0">
        <f>(-5-((((-5*(-5/((-5/(((-5*(-64.2--5))-(-5+((-5*-64.2)*(((-5--5)+(-64.2--5))+-64.2))))-(-5+-5)))*-5)))/-5)--5)+(-5*(((-64.2*(-64.2-(-5/-5)))*(-64.2-(-64.2/(-5*-64.2))))-(-5/-5)))))</f>
        <v>-1331499.32</v>
      </c>
      <c r="C3581" t="n" s="0">
        <v>-1331499.3200000005</v>
      </c>
    </row>
    <row r="3582">
      <c r="A3582" t="n" s="0">
        <v>-64.19</v>
      </c>
      <c r="B3582" t="n" s="0">
        <f>(-5-((((-5*(-5/((-5/(((-5*(-64.19--5))-(-5+((-5*-64.19)*(((-5--5)+(-64.19--5))+-64.19))))-(-5+-5)))*-5)))/-5)--5)+(-5*(((-64.19*(-64.19-(-5/-5)))*(-64.19-(-64.19/(-5*-64.19))))-(-5/-5)))))</f>
        <v>-1330878.572495</v>
      </c>
      <c r="C3582" t="n" s="0">
        <v>-1330878.572495</v>
      </c>
    </row>
    <row r="3583">
      <c r="A3583" t="n" s="0">
        <v>-64.18</v>
      </c>
      <c r="B3583" t="n" s="0">
        <f>(-5-((((-5*(-5/((-5/(((-5*(-64.18--5))-(-5+((-5*-64.18)*(((-5--5)+(-64.18--5))+-64.18))))-(-5+-5)))*-5)))/-5)--5)+(-5*(((-64.18*(-64.18-(-5/-5)))*(-64.18-(-64.18/(-5*-64.18))))-(-5/-5)))))</f>
        <v>-1330258.01796</v>
      </c>
      <c r="C3583" t="n" s="0">
        <v>-1330258.0179600003</v>
      </c>
    </row>
    <row r="3584">
      <c r="A3584" t="n" s="0">
        <v>-64.17</v>
      </c>
      <c r="B3584" t="n" s="0">
        <f>(-5-((((-5*(-5/((-5/(((-5*(-64.17--5))-(-5+((-5*-64.17)*(((-5--5)+(-64.17--5))+-64.17))))-(-5+-5)))*-5)))/-5)--5)+(-5*(((-64.17*(-64.17-(-5/-5)))*(-64.17-(-64.17/(-5*-64.17))))-(-5/-5)))))</f>
        <v>-1329637.6563650002</v>
      </c>
      <c r="C3584" t="n" s="0">
        <v>-1329637.656365</v>
      </c>
    </row>
    <row r="3585">
      <c r="A3585" t="n" s="0">
        <v>-64.16</v>
      </c>
      <c r="B3585" t="n" s="0">
        <f>(-5-((((-5*(-5/((-5/(((-5*(-64.16--5))-(-5+((-5*-64.16)*(((-5--5)+(-64.16--5))+-64.16))))-(-5+-5)))*-5)))/-5)--5)+(-5*(((-64.16*(-64.16-(-5/-5)))*(-64.16-(-64.16/(-5*-64.16))))-(-5/-5)))))</f>
        <v>-1329017.48768</v>
      </c>
      <c r="C3585" t="n" s="0">
        <v>-1329017.4876799998</v>
      </c>
    </row>
    <row r="3586">
      <c r="A3586" t="n" s="0">
        <v>-64.15</v>
      </c>
      <c r="B3586" t="n" s="0">
        <f>(-5-((((-5*(-5/((-5/(((-5*(-64.15--5))-(-5+((-5*-64.15)*(((-5--5)+(-64.15--5))+-64.15))))-(-5+-5)))*-5)))/-5)--5)+(-5*(((-64.15*(-64.15-(-5/-5)))*(-64.15-(-64.15/(-5*-64.15))))-(-5/-5)))))</f>
        <v>-1328397.511875</v>
      </c>
      <c r="C3586" t="n" s="0">
        <v>-1328397.5118750003</v>
      </c>
    </row>
    <row r="3587">
      <c r="A3587" t="n" s="0">
        <v>-64.14</v>
      </c>
      <c r="B3587" t="n" s="0">
        <f>(-5-((((-5*(-5/((-5/(((-5*(-64.14--5))-(-5+((-5*-64.14)*(((-5--5)+(-64.14--5))+-64.14))))-(-5+-5)))*-5)))/-5)--5)+(-5*(((-64.14*(-64.14-(-5/-5)))*(-64.14-(-64.14/(-5*-64.14))))-(-5/-5)))))</f>
        <v>-1327777.72892</v>
      </c>
      <c r="C3587" t="n" s="0">
        <v>-1327777.72892</v>
      </c>
    </row>
    <row r="3588">
      <c r="A3588" t="n" s="0">
        <v>-64.13</v>
      </c>
      <c r="B3588" t="n" s="0">
        <f>(-5-((((-5*(-5/((-5/(((-5*(-64.13--5))-(-5+((-5*-64.13)*(((-5--5)+(-64.13--5))+-64.13))))-(-5+-5)))*-5)))/-5)--5)+(-5*(((-64.13*(-64.13-(-5/-5)))*(-64.13-(-64.13/(-5*-64.13))))-(-5/-5)))))</f>
        <v>-1327158.1387850002</v>
      </c>
      <c r="C3588" t="n" s="0">
        <v>-1327158.1387849995</v>
      </c>
    </row>
    <row r="3589">
      <c r="A3589" t="n" s="0">
        <v>-64.12</v>
      </c>
      <c r="B3589" t="n" s="0">
        <f>(-5-((((-5*(-5/((-5/(((-5*(-64.12--5))-(-5+((-5*-64.12)*(((-5--5)+(-64.12--5))+-64.12))))-(-5+-5)))*-5)))/-5)--5)+(-5*(((-64.12*(-64.12-(-5/-5)))*(-64.12-(-64.12/(-5*-64.12))))-(-5/-5)))))</f>
        <v>-1326538.74144</v>
      </c>
      <c r="C3589" t="n" s="0">
        <v>-1326538.7414400005</v>
      </c>
    </row>
    <row r="3590">
      <c r="A3590" t="n" s="0">
        <v>-64.11</v>
      </c>
      <c r="B3590" t="n" s="0">
        <f>(-5-((((-5*(-5/((-5/(((-5*(-64.11--5))-(-5+((-5*-64.11)*(((-5--5)+(-64.11--5))+-64.11))))-(-5+-5)))*-5)))/-5)--5)+(-5*(((-64.11*(-64.11-(-5/-5)))*(-64.11-(-64.11/(-5*-64.11))))-(-5/-5)))))</f>
        <v>-1325919.5368549998</v>
      </c>
      <c r="C3590" t="n" s="0">
        <v>-1325919.536855</v>
      </c>
    </row>
    <row r="3591">
      <c r="A3591" t="n" s="0">
        <v>-64.1</v>
      </c>
      <c r="B3591" t="n" s="0">
        <f>(-5-((((-5*(-5/((-5/(((-5*(-64.1--5))-(-5+((-5*-64.1)*(((-5--5)+(-64.1--5))+-64.1))))-(-5+-5)))*-5)))/-5)--5)+(-5*(((-64.1*(-64.1-(-5/-5)))*(-64.1-(-64.1/(-5*-64.1))))-(-5/-5)))))</f>
        <v>-1325300.5250000001</v>
      </c>
      <c r="C3591" t="n" s="0">
        <v>-1325300.5249999997</v>
      </c>
    </row>
    <row r="3592">
      <c r="A3592" t="n" s="0">
        <v>-64.09</v>
      </c>
      <c r="B3592" t="n" s="0">
        <f>(-5-((((-5*(-5/((-5/(((-5*(-64.09--5))-(-5+((-5*-64.09)*(((-5--5)+(-64.09--5))+-64.09))))-(-5+-5)))*-5)))/-5)--5)+(-5*(((-64.09*(-64.09-(-5/-5)))*(-64.09-(-64.09/(-5*-64.09))))-(-5/-5)))))</f>
        <v>-1324681.705845</v>
      </c>
      <c r="C3592" t="n" s="0">
        <v>-1324681.7058450002</v>
      </c>
    </row>
    <row r="3593">
      <c r="A3593" t="n" s="0">
        <v>-64.08</v>
      </c>
      <c r="B3593" t="n" s="0">
        <f>(-5-((((-5*(-5/((-5/(((-5*(-64.08--5))-(-5+((-5*-64.08)*(((-5--5)+(-64.08--5))+-64.08))))-(-5+-5)))*-5)))/-5)--5)+(-5*(((-64.08*(-64.08-(-5/-5)))*(-64.08-(-64.08/(-5*-64.08))))-(-5/-5)))))</f>
        <v>-1324063.0793599999</v>
      </c>
      <c r="C3593" t="n" s="0">
        <v>-1324063.0793599996</v>
      </c>
    </row>
    <row r="3594">
      <c r="A3594" t="n" s="0">
        <v>-64.07</v>
      </c>
      <c r="B3594" t="n" s="0">
        <f>(-5-((((-5*(-5/((-5/(((-5*(-64.07--5))-(-5+((-5*-64.07)*(((-5--5)+(-64.07--5))+-64.07))))-(-5+-5)))*-5)))/-5)--5)+(-5*(((-64.07*(-64.07-(-5/-5)))*(-64.07-(-64.07/(-5*-64.07))))-(-5/-5)))))</f>
        <v>-1323444.645515</v>
      </c>
      <c r="C3594" t="n" s="0">
        <v>-1323444.6455149995</v>
      </c>
    </row>
    <row r="3595">
      <c r="A3595" t="n" s="0">
        <v>-64.06</v>
      </c>
      <c r="B3595" t="n" s="0">
        <f>(-5-((((-5*(-5/((-5/(((-5*(-64.06--5))-(-5+((-5*-64.06)*(((-5--5)+(-64.06--5))+-64.06))))-(-5+-5)))*-5)))/-5)--5)+(-5*(((-64.06*(-64.06-(-5/-5)))*(-64.06-(-64.06/(-5*-64.06))))-(-5/-5)))))</f>
        <v>-1322826.40428</v>
      </c>
      <c r="C3595" t="n" s="0">
        <v>-1322826.4042800001</v>
      </c>
    </row>
    <row r="3596">
      <c r="A3596" t="n" s="0">
        <v>-64.05</v>
      </c>
      <c r="B3596" t="n" s="0">
        <f>(-5-((((-5*(-5/((-5/(((-5*(-64.05--5))-(-5+((-5*-64.05)*(((-5--5)+(-64.05--5))+-64.05))))-(-5+-5)))*-5)))/-5)--5)+(-5*(((-64.05*(-64.05-(-5/-5)))*(-64.05-(-64.05/(-5*-64.05))))-(-5/-5)))))</f>
        <v>-1322208.355625</v>
      </c>
      <c r="C3596" t="n" s="0">
        <v>-1322208.3556249996</v>
      </c>
    </row>
    <row r="3597">
      <c r="A3597" t="n" s="0">
        <v>-64.04</v>
      </c>
      <c r="B3597" t="n" s="0">
        <f>(-5-((((-5*(-5/((-5/(((-5*(-64.04--5))-(-5+((-5*-64.04)*(((-5--5)+(-64.04--5))+-64.04))))-(-5+-5)))*-5)))/-5)--5)+(-5*(((-64.04*(-64.04-(-5/-5)))*(-64.04-(-64.04/(-5*-64.04))))-(-5/-5)))))</f>
        <v>-1321590.49952</v>
      </c>
      <c r="C3597" t="n" s="0">
        <v>-1321590.4995200005</v>
      </c>
    </row>
    <row r="3598">
      <c r="A3598" t="n" s="0">
        <v>-64.03</v>
      </c>
      <c r="B3598" t="n" s="0">
        <f>(-5-((((-5*(-5/((-5/(((-5*(-64.03--5))-(-5+((-5*-64.03)*(((-5--5)+(-64.03--5))+-64.03))))-(-5+-5)))*-5)))/-5)--5)+(-5*(((-64.03*(-64.03-(-5/-5)))*(-64.03-(-64.03/(-5*-64.03))))-(-5/-5)))))</f>
        <v>-1320972.8359349999</v>
      </c>
      <c r="C3598" t="n" s="0">
        <v>-1320972.8359349999</v>
      </c>
    </row>
    <row r="3599">
      <c r="A3599" t="n" s="0">
        <v>-64.02</v>
      </c>
      <c r="B3599" t="n" s="0">
        <f>(-5-((((-5*(-5/((-5/(((-5*(-64.02--5))-(-5+((-5*-64.02)*(((-5--5)+(-64.02--5))+-64.02))))-(-5+-5)))*-5)))/-5)--5)+(-5*(((-64.02*(-64.02-(-5/-5)))*(-64.02-(-64.02/(-5*-64.02))))-(-5/-5)))))</f>
        <v>-1320355.36484</v>
      </c>
      <c r="C3599" t="n" s="0">
        <v>-1320355.3648399997</v>
      </c>
    </row>
    <row r="3600">
      <c r="A3600" t="n" s="0">
        <v>-64.01</v>
      </c>
      <c r="B3600" t="n" s="0">
        <f>(-5-((((-5*(-5/((-5/(((-5*(-64.01--5))-(-5+((-5*-64.01)*(((-5--5)+(-64.01--5))+-64.01))))-(-5+-5)))*-5)))/-5)--5)+(-5*(((-64.01*(-64.01-(-5/-5)))*(-64.01-(-64.01/(-5*-64.01))))-(-5/-5)))))</f>
        <v>-1319738.086205</v>
      </c>
      <c r="C3600" t="n" s="0">
        <v>-1319738.0862050003</v>
      </c>
    </row>
    <row r="3601">
      <c r="A3601" t="n" s="0">
        <v>-64.0</v>
      </c>
      <c r="B3601" t="n" s="0">
        <f>(-5-((((-5*(-5/((-5/(((-5*(-64--5))-(-5+((-5*-64)*(((-5--5)+(-64--5))+-64))))-(-5+-5)))*-5)))/-5)--5)+(-5*(((-64*(-64-(-5/-5)))*(-64-(-64/(-5*-64))))-(-5/-5)))))</f>
        <v>-1319121.0</v>
      </c>
      <c r="C3601" t="n" s="0">
        <v>-1319121.0</v>
      </c>
    </row>
    <row r="3602">
      <c r="A3602" t="n" s="0">
        <v>-63.99</v>
      </c>
      <c r="B3602" t="n" s="0">
        <f>(-5-((((-5*(-5/((-5/(((-5*(-63.99--5))-(-5+((-5*-63.99)*(((-5--5)+(-63.99--5))+-63.99))))-(-5+-5)))*-5)))/-5)--5)+(-5*(((-63.99*(-63.99-(-5/-5)))*(-63.99-(-63.99/(-5*-63.99))))-(-5/-5)))))</f>
        <v>-1318504.1061950002</v>
      </c>
      <c r="C3602" t="n" s="0">
        <v>-1318504.1061950002</v>
      </c>
    </row>
    <row r="3603">
      <c r="A3603" t="n" s="0">
        <v>-63.98</v>
      </c>
      <c r="B3603" t="n" s="0">
        <f>(-5-((((-5*(-5/((-5/(((-5*(-63.98--5))-(-5+((-5*-63.98)*(((-5--5)+(-63.98--5))+-63.98))))-(-5+-5)))*-5)))/-5)--5)+(-5*(((-63.98*(-63.98-(-5/-5)))*(-63.98-(-63.98/(-5*-63.98))))-(-5/-5)))))</f>
        <v>-1317887.40476</v>
      </c>
      <c r="C3603" t="n" s="0">
        <v>-1317887.4047599998</v>
      </c>
    </row>
    <row r="3604">
      <c r="A3604" t="n" s="0">
        <v>-63.97</v>
      </c>
      <c r="B3604" t="n" s="0">
        <f>(-5-((((-5*(-5/((-5/(((-5*(-63.97--5))-(-5+((-5*-63.97)*(((-5--5)+(-63.97--5))+-63.97))))-(-5+-5)))*-5)))/-5)--5)+(-5*(((-63.97*(-63.97-(-5/-5)))*(-63.97-(-63.97/(-5*-63.97))))-(-5/-5)))))</f>
        <v>-1317270.8956650002</v>
      </c>
      <c r="C3604" t="n" s="0">
        <v>-1317270.895665</v>
      </c>
    </row>
    <row r="3605">
      <c r="A3605" t="n" s="0">
        <v>-63.96</v>
      </c>
      <c r="B3605" t="n" s="0">
        <f>(-5-((((-5*(-5/((-5/(((-5*(-63.96--5))-(-5+((-5*-63.96)*(((-5--5)+(-63.96--5))+-63.96))))-(-5+-5)))*-5)))/-5)--5)+(-5*(((-63.96*(-63.96-(-5/-5)))*(-63.96-(-63.96/(-5*-63.96))))-(-5/-5)))))</f>
        <v>-1316654.57888</v>
      </c>
      <c r="C3605" t="n" s="0">
        <v>-1316654.57888</v>
      </c>
    </row>
    <row r="3606">
      <c r="A3606" t="n" s="0">
        <v>-63.95</v>
      </c>
      <c r="B3606" t="n" s="0">
        <f>(-5-((((-5*(-5/((-5/(((-5*(-63.95--5))-(-5+((-5*-63.95)*(((-5--5)+(-63.95--5))+-63.95))))-(-5+-5)))*-5)))/-5)--5)+(-5*(((-63.95*(-63.95-(-5/-5)))*(-63.95-(-63.95/(-5*-63.95))))-(-5/-5)))))</f>
        <v>-1316038.454375</v>
      </c>
      <c r="C3606" t="n" s="0">
        <v>-1316038.4543750002</v>
      </c>
    </row>
    <row r="3607">
      <c r="A3607" t="n" s="0">
        <v>-63.94</v>
      </c>
      <c r="B3607" t="n" s="0">
        <f>(-5-((((-5*(-5/((-5/(((-5*(-63.94--5))-(-5+((-5*-63.94)*(((-5--5)+(-63.94--5))+-63.94))))-(-5+-5)))*-5)))/-5)--5)+(-5*(((-63.94*(-63.94-(-5/-5)))*(-63.94-(-63.94/(-5*-63.94))))-(-5/-5)))))</f>
        <v>-1315422.52212</v>
      </c>
      <c r="C3607" t="n" s="0">
        <v>-1315422.5221199999</v>
      </c>
    </row>
    <row r="3608">
      <c r="A3608" t="n" s="0">
        <v>-63.93</v>
      </c>
      <c r="B3608" t="n" s="0">
        <f>(-5-((((-5*(-5/((-5/(((-5*(-63.93--5))-(-5+((-5*-63.93)*(((-5--5)+(-63.93--5))+-63.93))))-(-5+-5)))*-5)))/-5)--5)+(-5*(((-63.93*(-63.93-(-5/-5)))*(-63.93-(-63.93/(-5*-63.93))))-(-5/-5)))))</f>
        <v>-1314806.782085</v>
      </c>
      <c r="C3608" t="n" s="0">
        <v>-1314806.7820849998</v>
      </c>
    </row>
    <row r="3609">
      <c r="A3609" t="n" s="0">
        <v>-63.92</v>
      </c>
      <c r="B3609" t="n" s="0">
        <f>(-5-((((-5*(-5/((-5/(((-5*(-63.92--5))-(-5+((-5*-63.92)*(((-5--5)+(-63.92--5))+-63.92))))-(-5+-5)))*-5)))/-5)--5)+(-5*(((-63.92*(-63.92-(-5/-5)))*(-63.92-(-63.92/(-5*-63.92))))-(-5/-5)))))</f>
        <v>-1314191.23424</v>
      </c>
      <c r="C3609" t="n" s="0">
        <v>-1314191.2342400001</v>
      </c>
    </row>
    <row r="3610">
      <c r="A3610" t="n" s="0">
        <v>-63.91</v>
      </c>
      <c r="B3610" t="n" s="0">
        <f>(-5-((((-5*(-5/((-5/(((-5*(-63.91--5))-(-5+((-5*-63.91)*(((-5--5)+(-63.91--5))+-63.91))))-(-5+-5)))*-5)))/-5)--5)+(-5*(((-63.91*(-63.91-(-5/-5)))*(-63.91-(-63.91/(-5*-63.91))))-(-5/-5)))))</f>
        <v>-1313575.878555</v>
      </c>
      <c r="C3610" t="n" s="0">
        <v>-1313575.8785549998</v>
      </c>
    </row>
    <row r="3611">
      <c r="A3611" t="n" s="0">
        <v>-63.9</v>
      </c>
      <c r="B3611" t="n" s="0">
        <f>(-5-((((-5*(-5/((-5/(((-5*(-63.9--5))-(-5+((-5*-63.9)*(((-5--5)+(-63.9--5))+-63.9))))-(-5+-5)))*-5)))/-5)--5)+(-5*(((-63.9*(-63.9-(-5/-5)))*(-63.9-(-63.9/(-5*-63.9))))-(-5/-5)))))</f>
        <v>-1312960.7149999999</v>
      </c>
      <c r="C3611" t="n" s="0">
        <v>-1312960.7149999999</v>
      </c>
    </row>
    <row r="3612">
      <c r="A3612" t="n" s="0">
        <v>-63.89</v>
      </c>
      <c r="B3612" t="n" s="0">
        <f>(-5-((((-5*(-5/((-5/(((-5*(-63.89--5))-(-5+((-5*-63.89)*(((-5--5)+(-63.89--5))+-63.89))))-(-5+-5)))*-5)))/-5)--5)+(-5*(((-63.89*(-63.89-(-5/-5)))*(-63.89-(-63.89/(-5*-63.89))))-(-5/-5)))))</f>
        <v>-1312345.743545</v>
      </c>
      <c r="C3612" t="n" s="0">
        <v>-1312345.743545</v>
      </c>
    </row>
    <row r="3613">
      <c r="A3613" t="n" s="0">
        <v>-63.88</v>
      </c>
      <c r="B3613" t="n" s="0">
        <f>(-5-((((-5*(-5/((-5/(((-5*(-63.88--5))-(-5+((-5*-63.88)*(((-5--5)+(-63.88--5))+-63.88))))-(-5+-5)))*-5)))/-5)--5)+(-5*(((-63.88*(-63.88-(-5/-5)))*(-63.88-(-63.88/(-5*-63.88))))-(-5/-5)))))</f>
        <v>-1311730.96416</v>
      </c>
      <c r="C3613" t="n" s="0">
        <v>-1311730.96416</v>
      </c>
    </row>
    <row r="3614">
      <c r="A3614" t="n" s="0">
        <v>-63.87</v>
      </c>
      <c r="B3614" t="n" s="0">
        <f>(-5-((((-5*(-5/((-5/(((-5*(-63.87--5))-(-5+((-5*-63.87)*(((-5--5)+(-63.87--5))+-63.87))))-(-5+-5)))*-5)))/-5)--5)+(-5*(((-63.87*(-63.87-(-5/-5)))*(-63.87-(-63.87/(-5*-63.87))))-(-5/-5)))))</f>
        <v>-1311116.3768149999</v>
      </c>
      <c r="C3614" t="n" s="0">
        <v>-1311116.3768149999</v>
      </c>
    </row>
    <row r="3615">
      <c r="A3615" t="n" s="0">
        <v>-63.86</v>
      </c>
      <c r="B3615" t="n" s="0">
        <f>(-5-((((-5*(-5/((-5/(((-5*(-63.86--5))-(-5+((-5*-63.86)*(((-5--5)+(-63.86--5))+-63.86))))-(-5+-5)))*-5)))/-5)--5)+(-5*(((-63.86*(-63.86-(-5/-5)))*(-63.86-(-63.86/(-5*-63.86))))-(-5/-5)))))</f>
        <v>-1310501.98148</v>
      </c>
      <c r="C3615" t="n" s="0">
        <v>-1310501.9814799998</v>
      </c>
    </row>
    <row r="3616">
      <c r="A3616" t="n" s="0">
        <v>-63.85</v>
      </c>
      <c r="B3616" t="n" s="0">
        <f>(-5-((((-5*(-5/((-5/(((-5*(-63.85--5))-(-5+((-5*-63.85)*(((-5--5)+(-63.85--5))+-63.85))))-(-5+-5)))*-5)))/-5)--5)+(-5*(((-63.85*(-63.85-(-5/-5)))*(-63.85-(-63.85/(-5*-63.85))))-(-5/-5)))))</f>
        <v>-1309887.7781250002</v>
      </c>
      <c r="C3616" t="n" s="0">
        <v>-1309887.7781250002</v>
      </c>
    </row>
    <row r="3617">
      <c r="A3617" t="n" s="0">
        <v>-63.84</v>
      </c>
      <c r="B3617" t="n" s="0">
        <f>(-5-((((-5*(-5/((-5/(((-5*(-63.84--5))-(-5+((-5*-63.84)*(((-5--5)+(-63.84--5))+-63.84))))-(-5+-5)))*-5)))/-5)--5)+(-5*(((-63.84*(-63.84-(-5/-5)))*(-63.84-(-63.84/(-5*-63.84))))-(-5/-5)))))</f>
        <v>-1309273.76672</v>
      </c>
      <c r="C3617" t="n" s="0">
        <v>-1309273.7667200002</v>
      </c>
    </row>
    <row r="3618">
      <c r="A3618" t="n" s="0">
        <v>-63.83</v>
      </c>
      <c r="B3618" t="n" s="0">
        <f>(-5-((((-5*(-5/((-5/(((-5*(-63.83--5))-(-5+((-5*-63.83)*(((-5--5)+(-63.83--5))+-63.83))))-(-5+-5)))*-5)))/-5)--5)+(-5*(((-63.83*(-63.83-(-5/-5)))*(-63.83-(-63.83/(-5*-63.83))))-(-5/-5)))))</f>
        <v>-1308659.947235</v>
      </c>
      <c r="C3618" t="n" s="0">
        <v>-1308659.947235</v>
      </c>
    </row>
    <row r="3619">
      <c r="A3619" t="n" s="0">
        <v>-63.82</v>
      </c>
      <c r="B3619" t="n" s="0">
        <f>(-5-((((-5*(-5/((-5/(((-5*(-63.82--5))-(-5+((-5*-63.82)*(((-5--5)+(-63.82--5))+-63.82))))-(-5+-5)))*-5)))/-5)--5)+(-5*(((-63.82*(-63.82-(-5/-5)))*(-63.82-(-63.82/(-5*-63.82))))-(-5/-5)))))</f>
        <v>-1308046.3196400001</v>
      </c>
      <c r="C3619" t="n" s="0">
        <v>-1308046.31964</v>
      </c>
    </row>
    <row r="3620">
      <c r="A3620" t="n" s="0">
        <v>-63.81</v>
      </c>
      <c r="B3620" t="n" s="0">
        <f>(-5-((((-5*(-5/((-5/(((-5*(-63.81--5))-(-5+((-5*-63.81)*(((-5--5)+(-63.81--5))+-63.81))))-(-5+-5)))*-5)))/-5)--5)+(-5*(((-63.81*(-63.81-(-5/-5)))*(-63.81-(-63.81/(-5*-63.81))))-(-5/-5)))))</f>
        <v>-1307432.883905</v>
      </c>
      <c r="C3620" t="n" s="0">
        <v>-1307432.883905</v>
      </c>
    </row>
    <row r="3621">
      <c r="A3621" t="n" s="0">
        <v>-63.8</v>
      </c>
      <c r="B3621" t="n" s="0">
        <f>(-5-((((-5*(-5/((-5/(((-5*(-63.8--5))-(-5+((-5*-63.8)*(((-5--5)+(-63.8--5))+-63.8))))-(-5+-5)))*-5)))/-5)--5)+(-5*(((-63.8*(-63.8-(-5/-5)))*(-63.8-(-63.8/(-5*-63.8))))-(-5/-5)))))</f>
        <v>-1306819.6400000001</v>
      </c>
      <c r="C3621" t="n" s="0">
        <v>-1306819.6399999997</v>
      </c>
    </row>
    <row r="3622">
      <c r="A3622" t="n" s="0">
        <v>-63.79</v>
      </c>
      <c r="B3622" t="n" s="0">
        <f>(-5-((((-5*(-5/((-5/(((-5*(-63.79--5))-(-5+((-5*-63.79)*(((-5--5)+(-63.79--5))+-63.79))))-(-5+-5)))*-5)))/-5)--5)+(-5*(((-63.79*(-63.79-(-5/-5)))*(-63.79-(-63.79/(-5*-63.79))))-(-5/-5)))))</f>
        <v>-1306206.5878950001</v>
      </c>
      <c r="C3622" t="n" s="0">
        <v>-1306206.5878950001</v>
      </c>
    </row>
    <row r="3623">
      <c r="A3623" t="n" s="0">
        <v>-63.78</v>
      </c>
      <c r="B3623" t="n" s="0">
        <f>(-5-((((-5*(-5/((-5/(((-5*(-63.78--5))-(-5+((-5*-63.78)*(((-5--5)+(-63.78--5))+-63.78))))-(-5+-5)))*-5)))/-5)--5)+(-5*(((-63.78*(-63.78-(-5/-5)))*(-63.78-(-63.78/(-5*-63.78))))-(-5/-5)))))</f>
        <v>-1305593.72756</v>
      </c>
      <c r="C3623" t="n" s="0">
        <v>-1305593.7275600003</v>
      </c>
    </row>
    <row r="3624">
      <c r="A3624" t="n" s="0">
        <v>-63.77</v>
      </c>
      <c r="B3624" t="n" s="0">
        <f>(-5-((((-5*(-5/((-5/(((-5*(-63.77--5))-(-5+((-5*-63.77)*(((-5--5)+(-63.77--5))+-63.77))))-(-5+-5)))*-5)))/-5)--5)+(-5*(((-63.77*(-63.77-(-5/-5)))*(-63.77-(-63.77/(-5*-63.77))))-(-5/-5)))))</f>
        <v>-1304981.0589649999</v>
      </c>
      <c r="C3624" t="n" s="0">
        <v>-1304981.058965</v>
      </c>
    </row>
    <row r="3625">
      <c r="A3625" t="n" s="0">
        <v>-63.76</v>
      </c>
      <c r="B3625" t="n" s="0">
        <f>(-5-((((-5*(-5/((-5/(((-5*(-63.76--5))-(-5+((-5*-63.76)*(((-5--5)+(-63.76--5))+-63.76))))-(-5+-5)))*-5)))/-5)--5)+(-5*(((-63.76*(-63.76-(-5/-5)))*(-63.76-(-63.76/(-5*-63.76))))-(-5/-5)))))</f>
        <v>-1304368.58208</v>
      </c>
      <c r="C3625" t="n" s="0">
        <v>-1304368.5820799998</v>
      </c>
    </row>
    <row r="3626">
      <c r="A3626" t="n" s="0">
        <v>-63.75</v>
      </c>
      <c r="B3626" t="n" s="0">
        <f>(-5-((((-5*(-5/((-5/(((-5*(-63.75--5))-(-5+((-5*-63.75)*(((-5--5)+(-63.75--5))+-63.75))))-(-5+-5)))*-5)))/-5)--5)+(-5*(((-63.75*(-63.75-(-5/-5)))*(-63.75-(-63.75/(-5*-63.75))))-(-5/-5)))))</f>
        <v>-1303756.296875</v>
      </c>
      <c r="C3626" t="n" s="0">
        <v>-1303756.296875</v>
      </c>
    </row>
    <row r="3627">
      <c r="A3627" t="n" s="0">
        <v>-63.74</v>
      </c>
      <c r="B3627" t="n" s="0">
        <f>(-5-((((-5*(-5/((-5/(((-5*(-63.74--5))-(-5+((-5*-63.74)*(((-5--5)+(-63.74--5))+-63.74))))-(-5+-5)))*-5)))/-5)--5)+(-5*(((-63.74*(-63.74-(-5/-5)))*(-63.74-(-63.74/(-5*-63.74))))-(-5/-5)))))</f>
        <v>-1303144.20332</v>
      </c>
      <c r="C3627" t="n" s="0">
        <v>-1303144.20332</v>
      </c>
    </row>
    <row r="3628">
      <c r="A3628" t="n" s="0">
        <v>-63.73</v>
      </c>
      <c r="B3628" t="n" s="0">
        <f>(-5-((((-5*(-5/((-5/(((-5*(-63.73--5))-(-5+((-5*-63.73)*(((-5--5)+(-63.73--5))+-63.73))))-(-5+-5)))*-5)))/-5)--5)+(-5*(((-63.73*(-63.73-(-5/-5)))*(-63.73-(-63.73/(-5*-63.73))))-(-5/-5)))))</f>
        <v>-1302532.3013849999</v>
      </c>
      <c r="C3628" t="n" s="0">
        <v>-1302532.3013849996</v>
      </c>
    </row>
    <row r="3629">
      <c r="A3629" t="n" s="0">
        <v>-63.72</v>
      </c>
      <c r="B3629" t="n" s="0">
        <f>(-5-((((-5*(-5/((-5/(((-5*(-63.72--5))-(-5+((-5*-63.72)*(((-5--5)+(-63.72--5))+-63.72))))-(-5+-5)))*-5)))/-5)--5)+(-5*(((-63.72*(-63.72-(-5/-5)))*(-63.72-(-63.72/(-5*-63.72))))-(-5/-5)))))</f>
        <v>-1301920.59104</v>
      </c>
      <c r="C3629" t="n" s="0">
        <v>-1301920.5910399999</v>
      </c>
    </row>
    <row r="3630">
      <c r="A3630" t="n" s="0">
        <v>-63.71</v>
      </c>
      <c r="B3630" t="n" s="0">
        <f>(-5-((((-5*(-5/((-5/(((-5*(-63.71--5))-(-5+((-5*-63.71)*(((-5--5)+(-63.71--5))+-63.71))))-(-5+-5)))*-5)))/-5)--5)+(-5*(((-63.71*(-63.71-(-5/-5)))*(-63.71-(-63.71/(-5*-63.71))))-(-5/-5)))))</f>
        <v>-1301309.0722549998</v>
      </c>
      <c r="C3630" t="n" s="0">
        <v>-1301309.072255</v>
      </c>
    </row>
    <row r="3631">
      <c r="A3631" t="n" s="0">
        <v>-63.7</v>
      </c>
      <c r="B3631" t="n" s="0">
        <f>(-5-((((-5*(-5/((-5/(((-5*(-63.7--5))-(-5+((-5*-63.7)*(((-5--5)+(-63.7--5))+-63.7))))-(-5+-5)))*-5)))/-5)--5)+(-5*(((-63.7*(-63.7-(-5/-5)))*(-63.7-(-63.7/(-5*-63.7))))-(-5/-5)))))</f>
        <v>-1300697.7449999999</v>
      </c>
      <c r="C3631" t="n" s="0">
        <v>-1300697.745</v>
      </c>
    </row>
    <row r="3632">
      <c r="A3632" t="n" s="0">
        <v>-63.69</v>
      </c>
      <c r="B3632" t="n" s="0">
        <f>(-5-((((-5*(-5/((-5/(((-5*(-63.69--5))-(-5+((-5*-63.69)*(((-5--5)+(-63.69--5))+-63.69))))-(-5+-5)))*-5)))/-5)--5)+(-5*(((-63.69*(-63.69-(-5/-5)))*(-63.69-(-63.69/(-5*-63.69))))-(-5/-5)))))</f>
        <v>-1300086.609245</v>
      </c>
      <c r="C3632" t="n" s="0">
        <v>-1300086.609245</v>
      </c>
    </row>
    <row r="3633">
      <c r="A3633" t="n" s="0">
        <v>-63.68</v>
      </c>
      <c r="B3633" t="n" s="0">
        <f>(-5-((((-5*(-5/((-5/(((-5*(-63.68--5))-(-5+((-5*-63.68)*(((-5--5)+(-63.68--5))+-63.68))))-(-5+-5)))*-5)))/-5)--5)+(-5*(((-63.68*(-63.68-(-5/-5)))*(-63.68-(-63.68/(-5*-63.68))))-(-5/-5)))))</f>
        <v>-1299475.66496</v>
      </c>
      <c r="C3633" t="n" s="0">
        <v>-1299475.6649600002</v>
      </c>
    </row>
    <row r="3634">
      <c r="A3634" t="n" s="0">
        <v>-63.67</v>
      </c>
      <c r="B3634" t="n" s="0">
        <f>(-5-((((-5*(-5/((-5/(((-5*(-63.67--5))-(-5+((-5*-63.67)*(((-5--5)+(-63.67--5))+-63.67))))-(-5+-5)))*-5)))/-5)--5)+(-5*(((-63.67*(-63.67-(-5/-5)))*(-63.67-(-63.67/(-5*-63.67))))-(-5/-5)))))</f>
        <v>-1298864.912115</v>
      </c>
      <c r="C3634" t="n" s="0">
        <v>-1298864.9121150002</v>
      </c>
    </row>
    <row r="3635">
      <c r="A3635" t="n" s="0">
        <v>-63.66</v>
      </c>
      <c r="B3635" t="n" s="0">
        <f>(-5-((((-5*(-5/((-5/(((-5*(-63.66--5))-(-5+((-5*-63.66)*(((-5--5)+(-63.66--5))+-63.66))))-(-5+-5)))*-5)))/-5)--5)+(-5*(((-63.66*(-63.66-(-5/-5)))*(-63.66-(-63.66/(-5*-63.66))))-(-5/-5)))))</f>
        <v>-1298254.35068</v>
      </c>
      <c r="C3635" t="n" s="0">
        <v>-1298254.35068</v>
      </c>
    </row>
    <row r="3636">
      <c r="A3636" t="n" s="0">
        <v>-63.65</v>
      </c>
      <c r="B3636" t="n" s="0">
        <f>(-5-((((-5*(-5/((-5/(((-5*(-63.65--5))-(-5+((-5*-63.65)*(((-5--5)+(-63.65--5))+-63.65))))-(-5+-5)))*-5)))/-5)--5)+(-5*(((-63.65*(-63.65-(-5/-5)))*(-63.65-(-63.65/(-5*-63.65))))-(-5/-5)))))</f>
        <v>-1297643.980625</v>
      </c>
      <c r="C3636" t="n" s="0">
        <v>-1297643.9806249999</v>
      </c>
    </row>
    <row r="3637">
      <c r="A3637" t="n" s="0">
        <v>-63.64</v>
      </c>
      <c r="B3637" t="n" s="0">
        <f>(-5-((((-5*(-5/((-5/(((-5*(-63.64--5))-(-5+((-5*-63.64)*(((-5--5)+(-63.64--5))+-63.64))))-(-5+-5)))*-5)))/-5)--5)+(-5*(((-63.64*(-63.64-(-5/-5)))*(-63.64-(-63.64/(-5*-63.64))))-(-5/-5)))))</f>
        <v>-1297033.80192</v>
      </c>
      <c r="C3637" t="n" s="0">
        <v>-1297033.80192</v>
      </c>
    </row>
    <row r="3638">
      <c r="A3638" t="n" s="0">
        <v>-63.63</v>
      </c>
      <c r="B3638" t="n" s="0">
        <f>(-5-((((-5*(-5/((-5/(((-5*(-63.63--5))-(-5+((-5*-63.63)*(((-5--5)+(-63.63--5))+-63.63))))-(-5+-5)))*-5)))/-5)--5)+(-5*(((-63.63*(-63.63-(-5/-5)))*(-63.63-(-63.63/(-5*-63.63))))-(-5/-5)))))</f>
        <v>-1296423.8145350001</v>
      </c>
      <c r="C3638" t="n" s="0">
        <v>-1296423.8145350001</v>
      </c>
    </row>
    <row r="3639">
      <c r="A3639" t="n" s="0">
        <v>-63.62</v>
      </c>
      <c r="B3639" t="n" s="0">
        <f>(-5-((((-5*(-5/((-5/(((-5*(-63.62--5))-(-5+((-5*-63.62)*(((-5--5)+(-63.62--5))+-63.62))))-(-5+-5)))*-5)))/-5)--5)+(-5*(((-63.62*(-63.62-(-5/-5)))*(-63.62-(-63.62/(-5*-63.62))))-(-5/-5)))))</f>
        <v>-1295814.01844</v>
      </c>
      <c r="C3639" t="n" s="0">
        <v>-1295814.0184399998</v>
      </c>
    </row>
    <row r="3640">
      <c r="A3640" t="n" s="0">
        <v>-63.61</v>
      </c>
      <c r="B3640" t="n" s="0">
        <f>(-5-((((-5*(-5/((-5/(((-5*(-63.61--5))-(-5+((-5*-63.61)*(((-5--5)+(-63.61--5))+-63.61))))-(-5+-5)))*-5)))/-5)--5)+(-5*(((-63.61*(-63.61-(-5/-5)))*(-63.61-(-63.61/(-5*-63.61))))-(-5/-5)))))</f>
        <v>-1295204.413605</v>
      </c>
      <c r="C3640" t="n" s="0">
        <v>-1295204.4136050001</v>
      </c>
    </row>
    <row r="3641">
      <c r="A3641" t="n" s="0">
        <v>-63.6</v>
      </c>
      <c r="B3641" t="n" s="0">
        <f>(-5-((((-5*(-5/((-5/(((-5*(-63.6--5))-(-5+((-5*-63.6)*(((-5--5)+(-63.6--5))+-63.6))))-(-5+-5)))*-5)))/-5)--5)+(-5*(((-63.6*(-63.6-(-5/-5)))*(-63.6-(-63.6/(-5*-63.6))))-(-5/-5)))))</f>
        <v>-1294595.0</v>
      </c>
      <c r="C3641" t="n" s="0">
        <v>-1294595.0</v>
      </c>
    </row>
    <row r="3642">
      <c r="A3642" t="n" s="0">
        <v>-63.59</v>
      </c>
      <c r="B3642" t="n" s="0">
        <f>(-5-((((-5*(-5/((-5/(((-5*(-63.59--5))-(-5+((-5*-63.59)*(((-5--5)+(-63.59--5))+-63.59))))-(-5+-5)))*-5)))/-5)--5)+(-5*(((-63.59*(-63.59-(-5/-5)))*(-63.59-(-63.59/(-5*-63.59))))-(-5/-5)))))</f>
        <v>-1293985.777595</v>
      </c>
      <c r="C3642" t="n" s="0">
        <v>-1293985.7775950003</v>
      </c>
    </row>
    <row r="3643">
      <c r="A3643" t="n" s="0">
        <v>-63.58</v>
      </c>
      <c r="B3643" t="n" s="0">
        <f>(-5-((((-5*(-5/((-5/(((-5*(-63.58--5))-(-5+((-5*-63.58)*(((-5--5)+(-63.58--5))+-63.58))))-(-5+-5)))*-5)))/-5)--5)+(-5*(((-63.58*(-63.58-(-5/-5)))*(-63.58-(-63.58/(-5*-63.58))))-(-5/-5)))))</f>
        <v>-1293376.74636</v>
      </c>
      <c r="C3643" t="n" s="0">
        <v>-1293376.74636</v>
      </c>
    </row>
    <row r="3644">
      <c r="A3644" t="n" s="0">
        <v>-63.57</v>
      </c>
      <c r="B3644" t="n" s="0">
        <f>(-5-((((-5*(-5/((-5/(((-5*(-63.57--5))-(-5+((-5*-63.57)*(((-5--5)+(-63.57--5))+-63.57))))-(-5+-5)))*-5)))/-5)--5)+(-5*(((-63.57*(-63.57-(-5/-5)))*(-63.57-(-63.57/(-5*-63.57))))-(-5/-5)))))</f>
        <v>-1292767.9062649999</v>
      </c>
      <c r="C3644" t="n" s="0">
        <v>-1292767.9062649999</v>
      </c>
    </row>
    <row r="3645">
      <c r="A3645" t="n" s="0">
        <v>-63.56</v>
      </c>
      <c r="B3645" t="n" s="0">
        <f>(-5-((((-5*(-5/((-5/(((-5*(-63.56--5))-(-5+((-5*-63.56)*(((-5--5)+(-63.56--5))+-63.56))))-(-5+-5)))*-5)))/-5)--5)+(-5*(((-63.56*(-63.56-(-5/-5)))*(-63.56-(-63.56/(-5*-63.56))))-(-5/-5)))))</f>
        <v>-1292159.25728</v>
      </c>
      <c r="C3645" t="n" s="0">
        <v>-1292159.25728</v>
      </c>
    </row>
    <row r="3646">
      <c r="A3646" t="n" s="0">
        <v>-63.55</v>
      </c>
      <c r="B3646" t="n" s="0">
        <f>(-5-((((-5*(-5/((-5/(((-5*(-63.55--5))-(-5+((-5*-63.55)*(((-5--5)+(-63.55--5))+-63.55))))-(-5+-5)))*-5)))/-5)--5)+(-5*(((-63.55*(-63.55-(-5/-5)))*(-63.55-(-63.55/(-5*-63.55))))-(-5/-5)))))</f>
        <v>-1291550.7993750002</v>
      </c>
      <c r="C3646" t="n" s="0">
        <v>-1291550.7993749997</v>
      </c>
    </row>
    <row r="3647">
      <c r="A3647" t="n" s="0">
        <v>-63.54</v>
      </c>
      <c r="B3647" t="n" s="0">
        <f>(-5-((((-5*(-5/((-5/(((-5*(-63.54--5))-(-5+((-5*-63.54)*(((-5--5)+(-63.54--5))+-63.54))))-(-5+-5)))*-5)))/-5)--5)+(-5*(((-63.54*(-63.54-(-5/-5)))*(-63.54-(-63.54/(-5*-63.54))))-(-5/-5)))))</f>
        <v>-1290942.5325200001</v>
      </c>
      <c r="C3647" t="n" s="0">
        <v>-1290942.5325200001</v>
      </c>
    </row>
    <row r="3648">
      <c r="A3648" t="n" s="0">
        <v>-63.53</v>
      </c>
      <c r="B3648" t="n" s="0">
        <f>(-5-((((-5*(-5/((-5/(((-5*(-63.53--5))-(-5+((-5*-63.53)*(((-5--5)+(-63.53--5))+-63.53))))-(-5+-5)))*-5)))/-5)--5)+(-5*(((-63.53*(-63.53-(-5/-5)))*(-63.53-(-63.53/(-5*-63.53))))-(-5/-5)))))</f>
        <v>-1290334.456685</v>
      </c>
      <c r="C3648" t="n" s="0">
        <v>-1290334.4566850003</v>
      </c>
    </row>
    <row r="3649">
      <c r="A3649" t="n" s="0">
        <v>-63.52</v>
      </c>
      <c r="B3649" t="n" s="0">
        <f>(-5-((((-5*(-5/((-5/(((-5*(-63.52--5))-(-5+((-5*-63.52)*(((-5--5)+(-63.52--5))+-63.52))))-(-5+-5)))*-5)))/-5)--5)+(-5*(((-63.52*(-63.52-(-5/-5)))*(-63.52-(-63.52/(-5*-63.52))))-(-5/-5)))))</f>
        <v>-1289726.5718399999</v>
      </c>
      <c r="C3649" t="n" s="0">
        <v>-1289726.5718400003</v>
      </c>
    </row>
    <row r="3650">
      <c r="A3650" t="n" s="0">
        <v>-63.51</v>
      </c>
      <c r="B3650" t="n" s="0">
        <f>(-5-((((-5*(-5/((-5/(((-5*(-63.51--5))-(-5+((-5*-63.51)*(((-5--5)+(-63.51--5))+-63.51))))-(-5+-5)))*-5)))/-5)--5)+(-5*(((-63.51*(-63.51-(-5/-5)))*(-63.51-(-63.51/(-5*-63.51))))-(-5/-5)))))</f>
        <v>-1289118.8779550001</v>
      </c>
      <c r="C3650" t="n" s="0">
        <v>-1289118.877955</v>
      </c>
    </row>
    <row r="3651">
      <c r="A3651" t="n" s="0">
        <v>-63.5</v>
      </c>
      <c r="B3651" t="n" s="0">
        <f>(-5-((((-5*(-5/((-5/(((-5*(-63.5--5))-(-5+((-5*-63.5)*(((-5--5)+(-63.5--5))+-63.5))))-(-5+-5)))*-5)))/-5)--5)+(-5*(((-63.5*(-63.5-(-5/-5)))*(-63.5-(-63.5/(-5*-63.5))))-(-5/-5)))))</f>
        <v>-1288511.375</v>
      </c>
      <c r="C3651" t="n" s="0">
        <v>-1288511.375</v>
      </c>
    </row>
    <row r="3652">
      <c r="A3652" t="n" s="0">
        <v>-63.49</v>
      </c>
      <c r="B3652" t="n" s="0">
        <f>(-5-((((-5*(-5/((-5/(((-5*(-63.49--5))-(-5+((-5*-63.49)*(((-5--5)+(-63.49--5))+-63.49))))-(-5+-5)))*-5)))/-5)--5)+(-5*(((-63.49*(-63.49-(-5/-5)))*(-63.49-(-63.49/(-5*-63.49))))-(-5/-5)))))</f>
        <v>-1287904.0629450001</v>
      </c>
      <c r="C3652" t="n" s="0">
        <v>-1287904.0629450001</v>
      </c>
    </row>
    <row r="3653">
      <c r="A3653" t="n" s="0">
        <v>-63.48</v>
      </c>
      <c r="B3653" t="n" s="0">
        <f>(-5-((((-5*(-5/((-5/(((-5*(-63.48--5))-(-5+((-5*-63.48)*(((-5--5)+(-63.48--5))+-63.48))))-(-5+-5)))*-5)))/-5)--5)+(-5*(((-63.48*(-63.48-(-5/-5)))*(-63.48-(-63.48/(-5*-63.48))))-(-5/-5)))))</f>
        <v>-1287296.94176</v>
      </c>
      <c r="C3653" t="n" s="0">
        <v>-1287296.9417599996</v>
      </c>
    </row>
    <row r="3654">
      <c r="A3654" t="n" s="0">
        <v>-63.47</v>
      </c>
      <c r="B3654" t="n" s="0">
        <f>(-5-((((-5*(-5/((-5/(((-5*(-63.47--5))-(-5+((-5*-63.47)*(((-5--5)+(-63.47--5))+-63.47))))-(-5+-5)))*-5)))/-5)--5)+(-5*(((-63.47*(-63.47-(-5/-5)))*(-63.47-(-63.47/(-5*-63.47))))-(-5/-5)))))</f>
        <v>-1286690.011415</v>
      </c>
      <c r="C3654" t="n" s="0">
        <v>-1286690.011415</v>
      </c>
    </row>
    <row r="3655">
      <c r="A3655" t="n" s="0">
        <v>-63.46</v>
      </c>
      <c r="B3655" t="n" s="0">
        <f>(-5-((((-5*(-5/((-5/(((-5*(-63.46--5))-(-5+((-5*-63.46)*(((-5--5)+(-63.46--5))+-63.46))))-(-5+-5)))*-5)))/-5)--5)+(-5*(((-63.46*(-63.46-(-5/-5)))*(-63.46-(-63.46/(-5*-63.46))))-(-5/-5)))))</f>
        <v>-1286083.2718800001</v>
      </c>
      <c r="C3655" t="n" s="0">
        <v>-1286083.27188</v>
      </c>
    </row>
    <row r="3656">
      <c r="A3656" t="n" s="0">
        <v>-63.45</v>
      </c>
      <c r="B3656" t="n" s="0">
        <f>(-5-((((-5*(-5/((-5/(((-5*(-63.45--5))-(-5+((-5*-63.45)*(((-5--5)+(-63.45--5))+-63.45))))-(-5+-5)))*-5)))/-5)--5)+(-5*(((-63.45*(-63.45-(-5/-5)))*(-63.45-(-63.45/(-5*-63.45))))-(-5/-5)))))</f>
        <v>-1285476.7231249998</v>
      </c>
      <c r="C3656" t="n" s="0">
        <v>-1285476.7231250003</v>
      </c>
    </row>
    <row r="3657">
      <c r="A3657" t="n" s="0">
        <v>-63.44</v>
      </c>
      <c r="B3657" t="n" s="0">
        <f>(-5-((((-5*(-5/((-5/(((-5*(-63.44--5))-(-5+((-5*-63.44)*(((-5--5)+(-63.44--5))+-63.44))))-(-5+-5)))*-5)))/-5)--5)+(-5*(((-63.44*(-63.44-(-5/-5)))*(-63.44-(-63.44/(-5*-63.44))))-(-5/-5)))))</f>
        <v>-1284870.36512</v>
      </c>
      <c r="C3657" t="n" s="0">
        <v>-1284870.3651199997</v>
      </c>
    </row>
    <row r="3658">
      <c r="A3658" t="n" s="0">
        <v>-63.43</v>
      </c>
      <c r="B3658" t="n" s="0">
        <f>(-5-((((-5*(-5/((-5/(((-5*(-63.43--5))-(-5+((-5*-63.43)*(((-5--5)+(-63.43--5))+-63.43))))-(-5+-5)))*-5)))/-5)--5)+(-5*(((-63.43*(-63.43-(-5/-5)))*(-63.43-(-63.43/(-5*-63.43))))-(-5/-5)))))</f>
        <v>-1284264.1978350002</v>
      </c>
      <c r="C3658" t="n" s="0">
        <v>-1284264.197835</v>
      </c>
    </row>
    <row r="3659">
      <c r="A3659" t="n" s="0">
        <v>-63.42</v>
      </c>
      <c r="B3659" t="n" s="0">
        <f>(-5-((((-5*(-5/((-5/(((-5*(-63.42--5))-(-5+((-5*-63.42)*(((-5--5)+(-63.42--5))+-63.42))))-(-5+-5)))*-5)))/-5)--5)+(-5*(((-63.42*(-63.42-(-5/-5)))*(-63.42-(-63.42/(-5*-63.42))))-(-5/-5)))))</f>
        <v>-1283658.2212399999</v>
      </c>
      <c r="C3659" t="n" s="0">
        <v>-1283658.2212400003</v>
      </c>
    </row>
    <row r="3660">
      <c r="A3660" t="n" s="0">
        <v>-63.41</v>
      </c>
      <c r="B3660" t="n" s="0">
        <f>(-5-((((-5*(-5/((-5/(((-5*(-63.41--5))-(-5+((-5*-63.41)*(((-5--5)+(-63.41--5))+-63.41))))-(-5+-5)))*-5)))/-5)--5)+(-5*(((-63.41*(-63.41-(-5/-5)))*(-63.41-(-63.41/(-5*-63.41))))-(-5/-5)))))</f>
        <v>-1283052.435305</v>
      </c>
      <c r="C3660" t="n" s="0">
        <v>-1283052.4353049998</v>
      </c>
    </row>
    <row r="3661">
      <c r="A3661" t="n" s="0">
        <v>-63.4</v>
      </c>
      <c r="B3661" t="n" s="0">
        <f>(-5-((((-5*(-5/((-5/(((-5*(-63.4--5))-(-5+((-5*-63.4)*(((-5--5)+(-63.4--5))+-63.4))))-(-5+-5)))*-5)))/-5)--5)+(-5*(((-63.4*(-63.4-(-5/-5)))*(-63.4-(-63.4/(-5*-63.4))))-(-5/-5)))))</f>
        <v>-1282446.84</v>
      </c>
      <c r="C3661" t="n" s="0">
        <v>-1282446.84</v>
      </c>
    </row>
    <row r="3662">
      <c r="A3662" t="n" s="0">
        <v>-63.39</v>
      </c>
      <c r="B3662" t="n" s="0">
        <f>(-5-((((-5*(-5/((-5/(((-5*(-63.39--5))-(-5+((-5*-63.39)*(((-5--5)+(-63.39--5))+-63.39))))-(-5+-5)))*-5)))/-5)--5)+(-5*(((-63.39*(-63.39-(-5/-5)))*(-63.39-(-63.39/(-5*-63.39))))-(-5/-5)))))</f>
        <v>-1281841.4352950002</v>
      </c>
      <c r="C3662" t="n" s="0">
        <v>-1281841.4352949997</v>
      </c>
    </row>
    <row r="3663">
      <c r="A3663" t="n" s="0">
        <v>-63.38</v>
      </c>
      <c r="B3663" t="n" s="0">
        <f>(-5-((((-5*(-5/((-5/(((-5*(-63.38--5))-(-5+((-5*-63.38)*(((-5--5)+(-63.38--5))+-63.38))))-(-5+-5)))*-5)))/-5)--5)+(-5*(((-63.38*(-63.38-(-5/-5)))*(-63.38-(-63.38/(-5*-63.38))))-(-5/-5)))))</f>
        <v>-1281236.22116</v>
      </c>
      <c r="C3663" t="n" s="0">
        <v>-1281236.22116</v>
      </c>
    </row>
    <row r="3664">
      <c r="A3664" t="n" s="0">
        <v>-63.37</v>
      </c>
      <c r="B3664" t="n" s="0">
        <f>(-5-((((-5*(-5/((-5/(((-5*(-63.37--5))-(-5+((-5*-63.37)*(((-5--5)+(-63.37--5))+-63.37))))-(-5+-5)))*-5)))/-5)--5)+(-5*(((-63.37*(-63.37-(-5/-5)))*(-63.37-(-63.37/(-5*-63.37))))-(-5/-5)))))</f>
        <v>-1280631.1975649998</v>
      </c>
      <c r="C3664" t="n" s="0">
        <v>-1280631.197565</v>
      </c>
    </row>
    <row r="3665">
      <c r="A3665" t="n" s="0">
        <v>-63.36</v>
      </c>
      <c r="B3665" t="n" s="0">
        <f>(-5-((((-5*(-5/((-5/(((-5*(-63.36--5))-(-5+((-5*-63.36)*(((-5--5)+(-63.36--5))+-63.36))))-(-5+-5)))*-5)))/-5)--5)+(-5*(((-63.36*(-63.36-(-5/-5)))*(-63.36-(-63.36/(-5*-63.36))))-(-5/-5)))))</f>
        <v>-1280026.36448</v>
      </c>
      <c r="C3665" t="n" s="0">
        <v>-1280026.36448</v>
      </c>
    </row>
    <row r="3666">
      <c r="A3666" t="n" s="0">
        <v>-63.35</v>
      </c>
      <c r="B3666" t="n" s="0">
        <f>(-5-((((-5*(-5/((-5/(((-5*(-63.35--5))-(-5+((-5*-63.35)*(((-5--5)+(-63.35--5))+-63.35))))-(-5+-5)))*-5)))/-5)--5)+(-5*(((-63.35*(-63.35-(-5/-5)))*(-63.35-(-63.35/(-5*-63.35))))-(-5/-5)))))</f>
        <v>-1279421.721875</v>
      </c>
      <c r="C3666" t="n" s="0">
        <v>-1279421.7218750003</v>
      </c>
    </row>
    <row r="3667">
      <c r="A3667" t="n" s="0">
        <v>-63.34</v>
      </c>
      <c r="B3667" t="n" s="0">
        <f>(-5-((((-5*(-5/((-5/(((-5*(-63.34--5))-(-5+((-5*-63.34)*(((-5--5)+(-63.34--5))+-63.34))))-(-5+-5)))*-5)))/-5)--5)+(-5*(((-63.34*(-63.34-(-5/-5)))*(-63.34-(-63.34/(-5*-63.34))))-(-5/-5)))))</f>
        <v>-1278817.26972</v>
      </c>
      <c r="C3667" t="n" s="0">
        <v>-1278817.2697200002</v>
      </c>
    </row>
    <row r="3668">
      <c r="A3668" t="n" s="0">
        <v>-63.33</v>
      </c>
      <c r="B3668" t="n" s="0">
        <f>(-5-((((-5*(-5/((-5/(((-5*(-63.33--5))-(-5+((-5*-63.33)*(((-5--5)+(-63.33--5))+-63.33))))-(-5+-5)))*-5)))/-5)--5)+(-5*(((-63.33*(-63.33-(-5/-5)))*(-63.33-(-63.33/(-5*-63.33))))-(-5/-5)))))</f>
        <v>-1278213.007985</v>
      </c>
      <c r="C3668" t="n" s="0">
        <v>-1278213.0079849998</v>
      </c>
    </row>
    <row r="3669">
      <c r="A3669" t="n" s="0">
        <v>-63.32</v>
      </c>
      <c r="B3669" t="n" s="0">
        <f>(-5-((((-5*(-5/((-5/(((-5*(-63.32--5))-(-5+((-5*-63.32)*(((-5--5)+(-63.32--5))+-63.32))))-(-5+-5)))*-5)))/-5)--5)+(-5*(((-63.32*(-63.32-(-5/-5)))*(-63.32-(-63.32/(-5*-63.32))))-(-5/-5)))))</f>
        <v>-1277608.93664</v>
      </c>
      <c r="C3669" t="n" s="0">
        <v>-1277608.93664</v>
      </c>
    </row>
    <row r="3670">
      <c r="A3670" t="n" s="0">
        <v>-63.31</v>
      </c>
      <c r="B3670" t="n" s="0">
        <f>(-5-((((-5*(-5/((-5/(((-5*(-63.31--5))-(-5+((-5*-63.31)*(((-5--5)+(-63.31--5))+-63.31))))-(-5+-5)))*-5)))/-5)--5)+(-5*(((-63.31*(-63.31-(-5/-5)))*(-63.31-(-63.31/(-5*-63.31))))-(-5/-5)))))</f>
        <v>-1277005.055655</v>
      </c>
      <c r="C3670" t="n" s="0">
        <v>-1277005.055655</v>
      </c>
    </row>
    <row r="3671">
      <c r="A3671" t="n" s="0">
        <v>-63.3</v>
      </c>
      <c r="B3671" t="n" s="0">
        <f>(-5-((((-5*(-5/((-5/(((-5*(-63.3--5))-(-5+((-5*-63.3)*(((-5--5)+(-63.3--5))+-63.3))))-(-5+-5)))*-5)))/-5)--5)+(-5*(((-63.3*(-63.3-(-5/-5)))*(-63.3-(-63.3/(-5*-63.3))))-(-5/-5)))))</f>
        <v>-1276401.365</v>
      </c>
      <c r="C3671" t="n" s="0">
        <v>-1276401.3649999998</v>
      </c>
    </row>
    <row r="3672">
      <c r="A3672" t="n" s="0">
        <v>-63.29</v>
      </c>
      <c r="B3672" t="n" s="0">
        <f>(-5-((((-5*(-5/((-5/(((-5*(-63.29--5))-(-5+((-5*-63.29)*(((-5--5)+(-63.29--5))+-63.29))))-(-5+-5)))*-5)))/-5)--5)+(-5*(((-63.29*(-63.29-(-5/-5)))*(-63.29-(-63.29/(-5*-63.29))))-(-5/-5)))))</f>
        <v>-1275797.8646449998</v>
      </c>
      <c r="C3672" t="n" s="0">
        <v>-1275797.864645</v>
      </c>
    </row>
    <row r="3673">
      <c r="A3673" t="n" s="0">
        <v>-63.28</v>
      </c>
      <c r="B3673" t="n" s="0">
        <f>(-5-((((-5*(-5/((-5/(((-5*(-63.28--5))-(-5+((-5*-63.28)*(((-5--5)+(-63.28--5))+-63.28))))-(-5+-5)))*-5)))/-5)--5)+(-5*(((-63.28*(-63.28-(-5/-5)))*(-63.28-(-63.28/(-5*-63.28))))-(-5/-5)))))</f>
        <v>-1275194.55456</v>
      </c>
      <c r="C3673" t="n" s="0">
        <v>-1275194.5545600003</v>
      </c>
    </row>
    <row r="3674">
      <c r="A3674" t="n" s="0">
        <v>-63.27</v>
      </c>
      <c r="B3674" t="n" s="0">
        <f>(-5-((((-5*(-5/((-5/(((-5*(-63.27--5))-(-5+((-5*-63.27)*(((-5--5)+(-63.27--5))+-63.27))))-(-5+-5)))*-5)))/-5)--5)+(-5*(((-63.27*(-63.27-(-5/-5)))*(-63.27-(-63.27/(-5*-63.27))))-(-5/-5)))))</f>
        <v>-1274591.434715</v>
      </c>
      <c r="C3674" t="n" s="0">
        <v>-1274591.4347150002</v>
      </c>
    </row>
    <row r="3675">
      <c r="A3675" t="n" s="0">
        <v>-63.26</v>
      </c>
      <c r="B3675" t="n" s="0">
        <f>(-5-((((-5*(-5/((-5/(((-5*(-63.26--5))-(-5+((-5*-63.26)*(((-5--5)+(-63.26--5))+-63.26))))-(-5+-5)))*-5)))/-5)--5)+(-5*(((-63.26*(-63.26-(-5/-5)))*(-63.26-(-63.26/(-5*-63.26))))-(-5/-5)))))</f>
        <v>-1273988.5050799998</v>
      </c>
      <c r="C3675" t="n" s="0">
        <v>-1273988.5050799998</v>
      </c>
    </row>
    <row r="3676">
      <c r="A3676" t="n" s="0">
        <v>-63.25</v>
      </c>
      <c r="B3676" t="n" s="0">
        <f>(-5-((((-5*(-5/((-5/(((-5*(-63.25--5))-(-5+((-5*-63.25)*(((-5--5)+(-63.25--5))+-63.25))))-(-5+-5)))*-5)))/-5)--5)+(-5*(((-63.25*(-63.25-(-5/-5)))*(-63.25-(-63.25/(-5*-63.25))))-(-5/-5)))))</f>
        <v>-1273385.765625</v>
      </c>
      <c r="C3676" t="n" s="0">
        <v>-1273385.765625</v>
      </c>
    </row>
    <row r="3677">
      <c r="A3677" t="n" s="0">
        <v>-63.24</v>
      </c>
      <c r="B3677" t="n" s="0">
        <f>(-5-((((-5*(-5/((-5/(((-5*(-63.24--5))-(-5+((-5*-63.24)*(((-5--5)+(-63.24--5))+-63.24))))-(-5+-5)))*-5)))/-5)--5)+(-5*(((-63.24*(-63.24-(-5/-5)))*(-63.24-(-63.24/(-5*-63.24))))-(-5/-5)))))</f>
        <v>-1272783.2163200001</v>
      </c>
      <c r="C3677" t="n" s="0">
        <v>-1272783.2163200001</v>
      </c>
    </row>
    <row r="3678">
      <c r="A3678" t="n" s="0">
        <v>-63.23</v>
      </c>
      <c r="B3678" t="n" s="0">
        <f>(-5-((((-5*(-5/((-5/(((-5*(-63.23--5))-(-5+((-5*-63.23)*(((-5--5)+(-63.23--5))+-63.23))))-(-5+-5)))*-5)))/-5)--5)+(-5*(((-63.23*(-63.23-(-5/-5)))*(-63.23-(-63.23/(-5*-63.23))))-(-5/-5)))))</f>
        <v>-1272180.857135</v>
      </c>
      <c r="C3678" t="n" s="0">
        <v>-1272180.8571349997</v>
      </c>
    </row>
    <row r="3679">
      <c r="A3679" t="n" s="0">
        <v>-63.22</v>
      </c>
      <c r="B3679" t="n" s="0">
        <f>(-5-((((-5*(-5/((-5/(((-5*(-63.22--5))-(-5+((-5*-63.22)*(((-5--5)+(-63.22--5))+-63.22))))-(-5+-5)))*-5)))/-5)--5)+(-5*(((-63.22*(-63.22-(-5/-5)))*(-63.22-(-63.22/(-5*-63.22))))-(-5/-5)))))</f>
        <v>-1271578.68804</v>
      </c>
      <c r="C3679" t="n" s="0">
        <v>-1271578.6880399997</v>
      </c>
    </row>
    <row r="3680">
      <c r="A3680" t="n" s="0">
        <v>-63.21</v>
      </c>
      <c r="B3680" t="n" s="0">
        <f>(-5-((((-5*(-5/((-5/(((-5*(-63.21--5))-(-5+((-5*-63.21)*(((-5--5)+(-63.21--5))+-63.21))))-(-5+-5)))*-5)))/-5)--5)+(-5*(((-63.21*(-63.21-(-5/-5)))*(-63.21-(-63.21/(-5*-63.21))))-(-5/-5)))))</f>
        <v>-1270976.709005</v>
      </c>
      <c r="C3680" t="n" s="0">
        <v>-1270976.709005</v>
      </c>
    </row>
    <row r="3681">
      <c r="A3681" t="n" s="0">
        <v>-63.2</v>
      </c>
      <c r="B3681" t="n" s="0">
        <f>(-5-((((-5*(-5/((-5/(((-5*(-63.2--5))-(-5+((-5*-63.2)*(((-5--5)+(-63.2--5))+-63.2))))-(-5+-5)))*-5)))/-5)--5)+(-5*(((-63.2*(-63.2-(-5/-5)))*(-63.2-(-63.2/(-5*-63.2))))-(-5/-5)))))</f>
        <v>-1270374.9200000002</v>
      </c>
      <c r="C3681" t="n" s="0">
        <v>-1270374.9200000002</v>
      </c>
    </row>
    <row r="3682">
      <c r="A3682" t="n" s="0">
        <v>-63.19</v>
      </c>
      <c r="B3682" t="n" s="0">
        <f>(-5-((((-5*(-5/((-5/(((-5*(-63.19--5))-(-5+((-5*-63.19)*(((-5--5)+(-63.19--5))+-63.19))))-(-5+-5)))*-5)))/-5)--5)+(-5*(((-63.19*(-63.19-(-5/-5)))*(-63.19-(-63.19/(-5*-63.19))))-(-5/-5)))))</f>
        <v>-1269773.320995</v>
      </c>
      <c r="C3682" t="n" s="0">
        <v>-1269773.320995</v>
      </c>
    </row>
    <row r="3683">
      <c r="A3683" t="n" s="0">
        <v>-63.18</v>
      </c>
      <c r="B3683" t="n" s="0">
        <f>(-5-((((-5*(-5/((-5/(((-5*(-63.18--5))-(-5+((-5*-63.18)*(((-5--5)+(-63.18--5))+-63.18))))-(-5+-5)))*-5)))/-5)--5)+(-5*(((-63.18*(-63.18-(-5/-5)))*(-63.18-(-63.18/(-5*-63.18))))-(-5/-5)))))</f>
        <v>-1269171.91196</v>
      </c>
      <c r="C3683" t="n" s="0">
        <v>-1269171.91196</v>
      </c>
    </row>
    <row r="3684">
      <c r="A3684" t="n" s="0">
        <v>-63.17</v>
      </c>
      <c r="B3684" t="n" s="0">
        <f>(-5-((((-5*(-5/((-5/(((-5*(-63.17--5))-(-5+((-5*-63.17)*(((-5--5)+(-63.17--5))+-63.17))))-(-5+-5)))*-5)))/-5)--5)+(-5*(((-63.17*(-63.17-(-5/-5)))*(-63.17-(-63.17/(-5*-63.17))))-(-5/-5)))))</f>
        <v>-1268570.692865</v>
      </c>
      <c r="C3684" t="n" s="0">
        <v>-1268570.692865</v>
      </c>
    </row>
    <row r="3685">
      <c r="A3685" t="n" s="0">
        <v>-63.16</v>
      </c>
      <c r="B3685" t="n" s="0">
        <f>(-5-((((-5*(-5/((-5/(((-5*(-63.16--5))-(-5+((-5*-63.16)*(((-5--5)+(-63.16--5))+-63.16))))-(-5+-5)))*-5)))/-5)--5)+(-5*(((-63.16*(-63.16-(-5/-5)))*(-63.16-(-63.16/(-5*-63.16))))-(-5/-5)))))</f>
        <v>-1267969.66368</v>
      </c>
      <c r="C3685" t="n" s="0">
        <v>-1267969.6636799998</v>
      </c>
    </row>
    <row r="3686">
      <c r="A3686" t="n" s="0">
        <v>-63.15</v>
      </c>
      <c r="B3686" t="n" s="0">
        <f>(-5-((((-5*(-5/((-5/(((-5*(-63.15--5))-(-5+((-5*-63.15)*(((-5--5)+(-63.15--5))+-63.15))))-(-5+-5)))*-5)))/-5)--5)+(-5*(((-63.15*(-63.15-(-5/-5)))*(-63.15-(-63.15/(-5*-63.15))))-(-5/-5)))))</f>
        <v>-1267368.824375</v>
      </c>
      <c r="C3686" t="n" s="0">
        <v>-1267368.8243749999</v>
      </c>
    </row>
    <row r="3687">
      <c r="A3687" t="n" s="0">
        <v>-63.14</v>
      </c>
      <c r="B3687" t="n" s="0">
        <f>(-5-((((-5*(-5/((-5/(((-5*(-63.14--5))-(-5+((-5*-63.14)*(((-5--5)+(-63.14--5))+-63.14))))-(-5+-5)))*-5)))/-5)--5)+(-5*(((-63.14*(-63.14-(-5/-5)))*(-63.14-(-63.14/(-5*-63.14))))-(-5/-5)))))</f>
        <v>-1266768.1749200001</v>
      </c>
      <c r="C3687" t="n" s="0">
        <v>-1266768.17492</v>
      </c>
    </row>
    <row r="3688">
      <c r="A3688" t="n" s="0">
        <v>-63.13</v>
      </c>
      <c r="B3688" t="n" s="0">
        <f>(-5-((((-5*(-5/((-5/(((-5*(-63.13--5))-(-5+((-5*-63.13)*(((-5--5)+(-63.13--5))+-63.13))))-(-5+-5)))*-5)))/-5)--5)+(-5*(((-63.13*(-63.13-(-5/-5)))*(-63.13-(-63.13/(-5*-63.13))))-(-5/-5)))))</f>
        <v>-1266167.715285</v>
      </c>
      <c r="C3688" t="n" s="0">
        <v>-1266167.7152850002</v>
      </c>
    </row>
    <row r="3689">
      <c r="A3689" t="n" s="0">
        <v>-63.12</v>
      </c>
      <c r="B3689" t="n" s="0">
        <f>(-5-((((-5*(-5/((-5/(((-5*(-63.12--5))-(-5+((-5*-63.12)*(((-5--5)+(-63.12--5))+-63.12))))-(-5+-5)))*-5)))/-5)--5)+(-5*(((-63.12*(-63.12-(-5/-5)))*(-63.12-(-63.12/(-5*-63.12))))-(-5/-5)))))</f>
        <v>-1265567.44544</v>
      </c>
      <c r="C3689" t="n" s="0">
        <v>-1265567.44544</v>
      </c>
    </row>
    <row r="3690">
      <c r="A3690" t="n" s="0">
        <v>-63.11</v>
      </c>
      <c r="B3690" t="n" s="0">
        <f>(-5-((((-5*(-5/((-5/(((-5*(-63.11--5))-(-5+((-5*-63.11)*(((-5--5)+(-63.11--5))+-63.11))))-(-5+-5)))*-5)))/-5)--5)+(-5*(((-63.11*(-63.11-(-5/-5)))*(-63.11-(-63.11/(-5*-63.11))))-(-5/-5)))))</f>
        <v>-1264967.365355</v>
      </c>
      <c r="C3690" t="n" s="0">
        <v>-1264967.3653550001</v>
      </c>
    </row>
    <row r="3691">
      <c r="A3691" t="n" s="0">
        <v>-63.1</v>
      </c>
      <c r="B3691" t="n" s="0">
        <f>(-5-((((-5*(-5/((-5/(((-5*(-63.1--5))-(-5+((-5*-63.1)*(((-5--5)+(-63.1--5))+-63.1))))-(-5+-5)))*-5)))/-5)--5)+(-5*(((-63.1*(-63.1-(-5/-5)))*(-63.1-(-63.1/(-5*-63.1))))-(-5/-5)))))</f>
        <v>-1264367.4749999999</v>
      </c>
      <c r="C3691" t="n" s="0">
        <v>-1264367.475</v>
      </c>
    </row>
    <row r="3692">
      <c r="A3692" t="n" s="0">
        <v>-63.09</v>
      </c>
      <c r="B3692" t="n" s="0">
        <f>(-5-((((-5*(-5/((-5/(((-5*(-63.09--5))-(-5+((-5*-63.09)*(((-5--5)+(-63.09--5))+-63.09))))-(-5+-5)))*-5)))/-5)--5)+(-5*(((-63.09*(-63.09-(-5/-5)))*(-63.09-(-63.09/(-5*-63.09))))-(-5/-5)))))</f>
        <v>-1263767.774345</v>
      </c>
      <c r="C3692" t="n" s="0">
        <v>-1263767.774345</v>
      </c>
    </row>
    <row r="3693">
      <c r="A3693" t="n" s="0">
        <v>-63.08</v>
      </c>
      <c r="B3693" t="n" s="0">
        <f>(-5-((((-5*(-5/((-5/(((-5*(-63.08--5))-(-5+((-5*-63.08)*(((-5--5)+(-63.08--5))+-63.08))))-(-5+-5)))*-5)))/-5)--5)+(-5*(((-63.08*(-63.08-(-5/-5)))*(-63.08-(-63.08/(-5*-63.08))))-(-5/-5)))))</f>
        <v>-1263168.26336</v>
      </c>
      <c r="C3693" t="n" s="0">
        <v>-1263168.26336</v>
      </c>
    </row>
    <row r="3694">
      <c r="A3694" t="n" s="0">
        <v>-63.07</v>
      </c>
      <c r="B3694" t="n" s="0">
        <f>(-5-((((-5*(-5/((-5/(((-5*(-63.07--5))-(-5+((-5*-63.07)*(((-5--5)+(-63.07--5))+-63.07))))-(-5+-5)))*-5)))/-5)--5)+(-5*(((-63.07*(-63.07-(-5/-5)))*(-63.07-(-63.07/(-5*-63.07))))-(-5/-5)))))</f>
        <v>-1262568.942015</v>
      </c>
      <c r="C3694" t="n" s="0">
        <v>-1262568.942015</v>
      </c>
    </row>
    <row r="3695">
      <c r="A3695" t="n" s="0">
        <v>-63.06</v>
      </c>
      <c r="B3695" t="n" s="0">
        <f>(-5-((((-5*(-5/((-5/(((-5*(-63.06--5))-(-5+((-5*-63.06)*(((-5--5)+(-63.06--5))+-63.06))))-(-5+-5)))*-5)))/-5)--5)+(-5*(((-63.06*(-63.06-(-5/-5)))*(-63.06-(-63.06/(-5*-63.06))))-(-5/-5)))))</f>
        <v>-1261969.81028</v>
      </c>
      <c r="C3695" t="n" s="0">
        <v>-1261969.81028</v>
      </c>
    </row>
    <row r="3696">
      <c r="A3696" t="n" s="0">
        <v>-63.05</v>
      </c>
      <c r="B3696" t="n" s="0">
        <f>(-5-((((-5*(-5/((-5/(((-5*(-63.05--5))-(-5+((-5*-63.05)*(((-5--5)+(-63.05--5))+-63.05))))-(-5+-5)))*-5)))/-5)--5)+(-5*(((-63.05*(-63.05-(-5/-5)))*(-63.05-(-63.05/(-5*-63.05))))-(-5/-5)))))</f>
        <v>-1261370.868125</v>
      </c>
      <c r="C3696" t="n" s="0">
        <v>-1261370.8681249998</v>
      </c>
    </row>
    <row r="3697">
      <c r="A3697" t="n" s="0">
        <v>-63.04</v>
      </c>
      <c r="B3697" t="n" s="0">
        <f>(-5-((((-5*(-5/((-5/(((-5*(-63.04--5))-(-5+((-5*-63.04)*(((-5--5)+(-63.04--5))+-63.04))))-(-5+-5)))*-5)))/-5)--5)+(-5*(((-63.04*(-63.04-(-5/-5)))*(-63.04-(-63.04/(-5*-63.04))))-(-5/-5)))))</f>
        <v>-1260772.11552</v>
      </c>
      <c r="C3697" t="n" s="0">
        <v>-1260772.11552</v>
      </c>
    </row>
    <row r="3698">
      <c r="A3698" t="n" s="0">
        <v>-63.03</v>
      </c>
      <c r="B3698" t="n" s="0">
        <f>(-5-((((-5*(-5/((-5/(((-5*(-63.03--5))-(-5+((-5*-63.03)*(((-5--5)+(-63.03--5))+-63.03))))-(-5+-5)))*-5)))/-5)--5)+(-5*(((-63.03*(-63.03-(-5/-5)))*(-63.03-(-63.03/(-5*-63.03))))-(-5/-5)))))</f>
        <v>-1260173.5524350002</v>
      </c>
      <c r="C3698" t="n" s="0">
        <v>-1260173.5524350002</v>
      </c>
    </row>
    <row r="3699">
      <c r="A3699" t="n" s="0">
        <v>-63.02</v>
      </c>
      <c r="B3699" t="n" s="0">
        <f>(-5-((((-5*(-5/((-5/(((-5*(-63.02--5))-(-5+((-5*-63.02)*(((-5--5)+(-63.02--5))+-63.02))))-(-5+-5)))*-5)))/-5)--5)+(-5*(((-63.02*(-63.02-(-5/-5)))*(-63.02-(-63.02/(-5*-63.02))))-(-5/-5)))))</f>
        <v>-1259575.17884</v>
      </c>
      <c r="C3699" t="n" s="0">
        <v>-1259575.1788400002</v>
      </c>
    </row>
    <row r="3700">
      <c r="A3700" t="n" s="0">
        <v>-63.01</v>
      </c>
      <c r="B3700" t="n" s="0">
        <f>(-5-((((-5*(-5/((-5/(((-5*(-63.01--5))-(-5+((-5*-63.01)*(((-5--5)+(-63.01--5))+-63.01))))-(-5+-5)))*-5)))/-5)--5)+(-5*(((-63.01*(-63.01-(-5/-5)))*(-63.01-(-63.01/(-5*-63.01))))-(-5/-5)))))</f>
        <v>-1258976.994705</v>
      </c>
      <c r="C3700" t="n" s="0">
        <v>-1258976.994705</v>
      </c>
    </row>
    <row r="3701">
      <c r="A3701" t="n" s="0">
        <v>-63.0</v>
      </c>
      <c r="B3701" t="n" s="0">
        <f>(-5-((((-5*(-5/((-5/(((-5*(-63--5))-(-5+((-5*-63)*(((-5--5)+(-63--5))+-63))))-(-5+-5)))*-5)))/-5)--5)+(-5*(((-63*(-63-(-5/-5)))*(-63-(-63/(-5*-63))))-(-5/-5)))))</f>
        <v>-1258379.0</v>
      </c>
      <c r="C3701" t="n" s="0">
        <v>-1258379.0</v>
      </c>
    </row>
    <row r="3702">
      <c r="A3702" t="n" s="0">
        <v>-62.99</v>
      </c>
      <c r="B3702" t="n" s="0">
        <f>(-5-((((-5*(-5/((-5/(((-5*(-62.99--5))-(-5+((-5*-62.99)*(((-5--5)+(-62.99--5))+-62.99))))-(-5+-5)))*-5)))/-5)--5)+(-5*(((-62.99*(-62.99-(-5/-5)))*(-62.99-(-62.99/(-5*-62.99))))-(-5/-5)))))</f>
        <v>-1257781.194695</v>
      </c>
      <c r="C3702" t="n" s="0">
        <v>-1257781.194695</v>
      </c>
    </row>
    <row r="3703">
      <c r="A3703" t="n" s="0">
        <v>-62.98</v>
      </c>
      <c r="B3703" t="n" s="0">
        <f>(-5-((((-5*(-5/((-5/(((-5*(-62.98--5))-(-5+((-5*-62.98)*(((-5--5)+(-62.98--5))+-62.98))))-(-5+-5)))*-5)))/-5)--5)+(-5*(((-62.98*(-62.98-(-5/-5)))*(-62.98-(-62.98/(-5*-62.98))))-(-5/-5)))))</f>
        <v>-1257183.57876</v>
      </c>
      <c r="C3703" t="n" s="0">
        <v>-1257183.5787599997</v>
      </c>
    </row>
    <row r="3704">
      <c r="A3704" t="n" s="0">
        <v>-62.97</v>
      </c>
      <c r="B3704" t="n" s="0">
        <f>(-5-((((-5*(-5/((-5/(((-5*(-62.97--5))-(-5+((-5*-62.97)*(((-5--5)+(-62.97--5))+-62.97))))-(-5+-5)))*-5)))/-5)--5)+(-5*(((-62.97*(-62.97-(-5/-5)))*(-62.97-(-62.97/(-5*-62.97))))-(-5/-5)))))</f>
        <v>-1256586.1521649999</v>
      </c>
      <c r="C3704" t="n" s="0">
        <v>-1256586.1521649999</v>
      </c>
    </row>
    <row r="3705">
      <c r="A3705" t="n" s="0">
        <v>-62.96</v>
      </c>
      <c r="B3705" t="n" s="0">
        <f>(-5-((((-5*(-5/((-5/(((-5*(-62.96--5))-(-5+((-5*-62.96)*(((-5--5)+(-62.96--5))+-62.96))))-(-5+-5)))*-5)))/-5)--5)+(-5*(((-62.96*(-62.96-(-5/-5)))*(-62.96-(-62.96/(-5*-62.96))))-(-5/-5)))))</f>
        <v>-1255988.91488</v>
      </c>
      <c r="C3705" t="n" s="0">
        <v>-1255988.91488</v>
      </c>
    </row>
    <row r="3706">
      <c r="A3706" t="n" s="0">
        <v>-62.95</v>
      </c>
      <c r="B3706" t="n" s="0">
        <f>(-5-((((-5*(-5/((-5/(((-5*(-62.95--5))-(-5+((-5*-62.95)*(((-5--5)+(-62.95--5))+-62.95))))-(-5+-5)))*-5)))/-5)--5)+(-5*(((-62.95*(-62.95-(-5/-5)))*(-62.95-(-62.95/(-5*-62.95))))-(-5/-5)))))</f>
        <v>-1255391.866875</v>
      </c>
      <c r="C3706" t="n" s="0">
        <v>-1255391.8668750003</v>
      </c>
    </row>
    <row r="3707">
      <c r="A3707" t="n" s="0">
        <v>-62.94</v>
      </c>
      <c r="B3707" t="n" s="0">
        <f>(-5-((((-5*(-5/((-5/(((-5*(-62.94--5))-(-5+((-5*-62.94)*(((-5--5)+(-62.94--5))+-62.94))))-(-5+-5)))*-5)))/-5)--5)+(-5*(((-62.94*(-62.94-(-5/-5)))*(-62.94-(-62.94/(-5*-62.94))))-(-5/-5)))))</f>
        <v>-1254795.00812</v>
      </c>
      <c r="C3707" t="n" s="0">
        <v>-1254795.00812</v>
      </c>
    </row>
    <row r="3708">
      <c r="A3708" t="n" s="0">
        <v>-62.93</v>
      </c>
      <c r="B3708" t="n" s="0">
        <f>(-5-((((-5*(-5/((-5/(((-5*(-62.93--5))-(-5+((-5*-62.93)*(((-5--5)+(-62.93--5))+-62.93))))-(-5+-5)))*-5)))/-5)--5)+(-5*(((-62.93*(-62.93-(-5/-5)))*(-62.93-(-62.93/(-5*-62.93))))-(-5/-5)))))</f>
        <v>-1254198.338585</v>
      </c>
      <c r="C3708" t="n" s="0">
        <v>-1254198.338585</v>
      </c>
    </row>
    <row r="3709">
      <c r="A3709" t="n" s="0">
        <v>-62.92</v>
      </c>
      <c r="B3709" t="n" s="0">
        <f>(-5-((((-5*(-5/((-5/(((-5*(-62.92--5))-(-5+((-5*-62.92)*(((-5--5)+(-62.92--5))+-62.92))))-(-5+-5)))*-5)))/-5)--5)+(-5*(((-62.92*(-62.92-(-5/-5)))*(-62.92-(-62.92/(-5*-62.92))))-(-5/-5)))))</f>
        <v>-1253601.85824</v>
      </c>
      <c r="C3709" t="n" s="0">
        <v>-1253601.8582400002</v>
      </c>
    </row>
    <row r="3710">
      <c r="A3710" t="n" s="0">
        <v>-62.91</v>
      </c>
      <c r="B3710" t="n" s="0">
        <f>(-5-((((-5*(-5/((-5/(((-5*(-62.91--5))-(-5+((-5*-62.91)*(((-5--5)+(-62.91--5))+-62.91))))-(-5+-5)))*-5)))/-5)--5)+(-5*(((-62.91*(-62.91-(-5/-5)))*(-62.91-(-62.91/(-5*-62.91))))-(-5/-5)))))</f>
        <v>-1253005.5670550002</v>
      </c>
      <c r="C3710" t="n" s="0">
        <v>-1253005.5670549998</v>
      </c>
    </row>
    <row r="3711">
      <c r="A3711" t="n" s="0">
        <v>-62.9</v>
      </c>
      <c r="B3711" t="n" s="0">
        <f>(-5-((((-5*(-5/((-5/(((-5*(-62.9--5))-(-5+((-5*-62.9)*(((-5--5)+(-62.9--5))+-62.9))))-(-5+-5)))*-5)))/-5)--5)+(-5*(((-62.9*(-62.9-(-5/-5)))*(-62.9-(-62.9/(-5*-62.9))))-(-5/-5)))))</f>
        <v>-1252409.465</v>
      </c>
      <c r="C3711" t="n" s="0">
        <v>-1252409.4649999999</v>
      </c>
    </row>
    <row r="3712">
      <c r="A3712" t="n" s="0">
        <v>-62.89</v>
      </c>
      <c r="B3712" t="n" s="0">
        <f>(-5-((((-5*(-5/((-5/(((-5*(-62.89--5))-(-5+((-5*-62.89)*(((-5--5)+(-62.89--5))+-62.89))))-(-5+-5)))*-5)))/-5)--5)+(-5*(((-62.89*(-62.89-(-5/-5)))*(-62.89-(-62.89/(-5*-62.89))))-(-5/-5)))))</f>
        <v>-1251813.552045</v>
      </c>
      <c r="C3712" t="n" s="0">
        <v>-1251813.5520449998</v>
      </c>
    </row>
    <row r="3713">
      <c r="A3713" t="n" s="0">
        <v>-62.88</v>
      </c>
      <c r="B3713" t="n" s="0">
        <f>(-5-((((-5*(-5/((-5/(((-5*(-62.88--5))-(-5+((-5*-62.88)*(((-5--5)+(-62.88--5))+-62.88))))-(-5+-5)))*-5)))/-5)--5)+(-5*(((-62.88*(-62.88-(-5/-5)))*(-62.88-(-62.88/(-5*-62.88))))-(-5/-5)))))</f>
        <v>-1251217.82816</v>
      </c>
      <c r="C3713" t="n" s="0">
        <v>-1251217.82816</v>
      </c>
    </row>
    <row r="3714">
      <c r="A3714" t="n" s="0">
        <v>-62.87</v>
      </c>
      <c r="B3714" t="n" s="0">
        <f>(-5-((((-5*(-5/((-5/(((-5*(-62.87--5))-(-5+((-5*-62.87)*(((-5--5)+(-62.87--5))+-62.87))))-(-5+-5)))*-5)))/-5)--5)+(-5*(((-62.87*(-62.87-(-5/-5)))*(-62.87-(-62.87/(-5*-62.87))))-(-5/-5)))))</f>
        <v>-1250622.2933150001</v>
      </c>
      <c r="C3714" t="n" s="0">
        <v>-1250622.2933150001</v>
      </c>
    </row>
    <row r="3715">
      <c r="A3715" t="n" s="0">
        <v>-62.86</v>
      </c>
      <c r="B3715" t="n" s="0">
        <f>(-5-((((-5*(-5/((-5/(((-5*(-62.86--5))-(-5+((-5*-62.86)*(((-5--5)+(-62.86--5))+-62.86))))-(-5+-5)))*-5)))/-5)--5)+(-5*(((-62.86*(-62.86-(-5/-5)))*(-62.86-(-62.86/(-5*-62.86))))-(-5/-5)))))</f>
        <v>-1250026.9474799999</v>
      </c>
      <c r="C3715" t="n" s="0">
        <v>-1250026.9474799999</v>
      </c>
    </row>
    <row r="3716">
      <c r="A3716" t="n" s="0">
        <v>-62.85</v>
      </c>
      <c r="B3716" t="n" s="0">
        <f>(-5-((((-5*(-5/((-5/(((-5*(-62.85--5))-(-5+((-5*-62.85)*(((-5--5)+(-62.85--5))+-62.85))))-(-5+-5)))*-5)))/-5)--5)+(-5*(((-62.85*(-62.85-(-5/-5)))*(-62.85-(-62.85/(-5*-62.85))))-(-5/-5)))))</f>
        <v>-1249431.7906250001</v>
      </c>
      <c r="C3716" t="n" s="0">
        <v>-1249431.7906250001</v>
      </c>
    </row>
    <row r="3717">
      <c r="A3717" t="n" s="0">
        <v>-62.84</v>
      </c>
      <c r="B3717" t="n" s="0">
        <f>(-5-((((-5*(-5/((-5/(((-5*(-62.84--5))-(-5+((-5*-62.84)*(((-5--5)+(-62.84--5))+-62.84))))-(-5+-5)))*-5)))/-5)--5)+(-5*(((-62.84*(-62.84-(-5/-5)))*(-62.84-(-62.84/(-5*-62.84))))-(-5/-5)))))</f>
        <v>-1248836.82272</v>
      </c>
      <c r="C3717" t="n" s="0">
        <v>-1248836.8227200003</v>
      </c>
    </row>
    <row r="3718">
      <c r="A3718" t="n" s="0">
        <v>-62.83</v>
      </c>
      <c r="B3718" t="n" s="0">
        <f>(-5-((((-5*(-5/((-5/(((-5*(-62.83--5))-(-5+((-5*-62.83)*(((-5--5)+(-62.83--5))+-62.83))))-(-5+-5)))*-5)))/-5)--5)+(-5*(((-62.83*(-62.83-(-5/-5)))*(-62.83-(-62.83/(-5*-62.83))))-(-5/-5)))))</f>
        <v>-1248242.043735</v>
      </c>
      <c r="C3718" t="n" s="0">
        <v>-1248242.0437349998</v>
      </c>
    </row>
    <row r="3719">
      <c r="A3719" t="n" s="0">
        <v>-62.82</v>
      </c>
      <c r="B3719" t="n" s="0">
        <f>(-5-((((-5*(-5/((-5/(((-5*(-62.82--5))-(-5+((-5*-62.82)*(((-5--5)+(-62.82--5))+-62.82))))-(-5+-5)))*-5)))/-5)--5)+(-5*(((-62.82*(-62.82-(-5/-5)))*(-62.82-(-62.82/(-5*-62.82))))-(-5/-5)))))</f>
        <v>-1247647.45364</v>
      </c>
      <c r="C3719" t="n" s="0">
        <v>-1247647.45364</v>
      </c>
    </row>
    <row r="3720">
      <c r="A3720" t="n" s="0">
        <v>-62.81</v>
      </c>
      <c r="B3720" t="n" s="0">
        <f>(-5-((((-5*(-5/((-5/(((-5*(-62.81--5))-(-5+((-5*-62.81)*(((-5--5)+(-62.81--5))+-62.81))))-(-5+-5)))*-5)))/-5)--5)+(-5*(((-62.81*(-62.81-(-5/-5)))*(-62.81-(-62.81/(-5*-62.81))))-(-5/-5)))))</f>
        <v>-1247053.052405</v>
      </c>
      <c r="C3720" t="n" s="0">
        <v>-1247053.052405</v>
      </c>
    </row>
    <row r="3721">
      <c r="A3721" t="n" s="0">
        <v>-62.8</v>
      </c>
      <c r="B3721" t="n" s="0">
        <f>(-5-((((-5*(-5/((-5/(((-5*(-62.8--5))-(-5+((-5*-62.8)*(((-5--5)+(-62.8--5))+-62.8))))-(-5+-5)))*-5)))/-5)--5)+(-5*(((-62.8*(-62.8-(-5/-5)))*(-62.8-(-62.8/(-5*-62.8))))-(-5/-5)))))</f>
        <v>-1246458.84</v>
      </c>
      <c r="C3721" t="n" s="0">
        <v>-1246458.8399999996</v>
      </c>
    </row>
    <row r="3722">
      <c r="A3722" t="n" s="0">
        <v>-62.79</v>
      </c>
      <c r="B3722" t="n" s="0">
        <f>(-5-((((-5*(-5/((-5/(((-5*(-62.79--5))-(-5+((-5*-62.79)*(((-5--5)+(-62.79--5))+-62.79))))-(-5+-5)))*-5)))/-5)--5)+(-5*(((-62.79*(-62.79-(-5/-5)))*(-62.79-(-62.79/(-5*-62.79))))-(-5/-5)))))</f>
        <v>-1245864.8163949999</v>
      </c>
      <c r="C3722" t="n" s="0">
        <v>-1245864.816395</v>
      </c>
    </row>
    <row r="3723">
      <c r="A3723" t="n" s="0">
        <v>-62.78</v>
      </c>
      <c r="B3723" t="n" s="0">
        <f>(-5-((((-5*(-5/((-5/(((-5*(-62.78--5))-(-5+((-5*-62.78)*(((-5--5)+(-62.78--5))+-62.78))))-(-5+-5)))*-5)))/-5)--5)+(-5*(((-62.78*(-62.78-(-5/-5)))*(-62.78-(-62.78/(-5*-62.78))))-(-5/-5)))))</f>
        <v>-1245270.98156</v>
      </c>
      <c r="C3723" t="n" s="0">
        <v>-1245270.9815600002</v>
      </c>
    </row>
    <row r="3724">
      <c r="A3724" t="n" s="0">
        <v>-62.77</v>
      </c>
      <c r="B3724" t="n" s="0">
        <f>(-5-((((-5*(-5/((-5/(((-5*(-62.77--5))-(-5+((-5*-62.77)*(((-5--5)+(-62.77--5))+-62.77))))-(-5+-5)))*-5)))/-5)--5)+(-5*(((-62.77*(-62.77-(-5/-5)))*(-62.77-(-62.77/(-5*-62.77))))-(-5/-5)))))</f>
        <v>-1244677.335465</v>
      </c>
      <c r="C3724" t="n" s="0">
        <v>-1244677.3354650002</v>
      </c>
    </row>
    <row r="3725">
      <c r="A3725" t="n" s="0">
        <v>-62.76</v>
      </c>
      <c r="B3725" t="n" s="0">
        <f>(-5-((((-5*(-5/((-5/(((-5*(-62.76--5))-(-5+((-5*-62.76)*(((-5--5)+(-62.76--5))+-62.76))))-(-5+-5)))*-5)))/-5)--5)+(-5*(((-62.76*(-62.76-(-5/-5)))*(-62.76-(-62.76/(-5*-62.76))))-(-5/-5)))))</f>
        <v>-1244083.8780800002</v>
      </c>
      <c r="C3725" t="n" s="0">
        <v>-1244083.8780799997</v>
      </c>
    </row>
    <row r="3726">
      <c r="A3726" t="n" s="0">
        <v>-62.75</v>
      </c>
      <c r="B3726" t="n" s="0">
        <f>(-5-((((-5*(-5/((-5/(((-5*(-62.75--5))-(-5+((-5*-62.75)*(((-5--5)+(-62.75--5))+-62.75))))-(-5+-5)))*-5)))/-5)--5)+(-5*(((-62.75*(-62.75-(-5/-5)))*(-62.75-(-62.75/(-5*-62.75))))-(-5/-5)))))</f>
        <v>-1243490.609375</v>
      </c>
      <c r="C3726" t="n" s="0">
        <v>-1243490.609375</v>
      </c>
    </row>
    <row r="3727">
      <c r="A3727" t="n" s="0">
        <v>-62.74</v>
      </c>
      <c r="B3727" t="n" s="0">
        <f>(-5-((((-5*(-5/((-5/(((-5*(-62.74--5))-(-5+((-5*-62.74)*(((-5--5)+(-62.74--5))+-62.74))))-(-5+-5)))*-5)))/-5)--5)+(-5*(((-62.74*(-62.74-(-5/-5)))*(-62.74-(-62.74/(-5*-62.74))))-(-5/-5)))))</f>
        <v>-1242897.52932</v>
      </c>
      <c r="C3727" t="n" s="0">
        <v>-1242897.52932</v>
      </c>
    </row>
    <row r="3728">
      <c r="A3728" t="n" s="0">
        <v>-62.73</v>
      </c>
      <c r="B3728" t="n" s="0">
        <f>(-5-((((-5*(-5/((-5/(((-5*(-62.73--5))-(-5+((-5*-62.73)*(((-5--5)+(-62.73--5))+-62.73))))-(-5+-5)))*-5)))/-5)--5)+(-5*(((-62.73*(-62.73-(-5/-5)))*(-62.73-(-62.73/(-5*-62.73))))-(-5/-5)))))</f>
        <v>-1242304.6378849999</v>
      </c>
      <c r="C3728" t="n" s="0">
        <v>-1242304.6378849999</v>
      </c>
    </row>
    <row r="3729">
      <c r="A3729" t="n" s="0">
        <v>-62.72</v>
      </c>
      <c r="B3729" t="n" s="0">
        <f>(-5-((((-5*(-5/((-5/(((-5*(-62.72--5))-(-5+((-5*-62.72)*(((-5--5)+(-62.72--5))+-62.72))))-(-5+-5)))*-5)))/-5)--5)+(-5*(((-62.72*(-62.72-(-5/-5)))*(-62.72-(-62.72/(-5*-62.72))))-(-5/-5)))))</f>
        <v>-1241711.93504</v>
      </c>
      <c r="C3729" t="n" s="0">
        <v>-1241711.9350399997</v>
      </c>
    </row>
    <row r="3730">
      <c r="A3730" t="n" s="0">
        <v>-62.71</v>
      </c>
      <c r="B3730" t="n" s="0">
        <f>(-5-((((-5*(-5/((-5/(((-5*(-62.71--5))-(-5+((-5*-62.71)*(((-5--5)+(-62.71--5))+-62.71))))-(-5+-5)))*-5)))/-5)--5)+(-5*(((-62.71*(-62.71-(-5/-5)))*(-62.71-(-62.71/(-5*-62.71))))-(-5/-5)))))</f>
        <v>-1241119.4207549999</v>
      </c>
      <c r="C3730" t="n" s="0">
        <v>-1241119.420755</v>
      </c>
    </row>
    <row r="3731">
      <c r="A3731" t="n" s="0">
        <v>-62.7</v>
      </c>
      <c r="B3731" t="n" s="0">
        <f>(-5-((((-5*(-5/((-5/(((-5*(-62.7--5))-(-5+((-5*-62.7)*(((-5--5)+(-62.7--5))+-62.7))))-(-5+-5)))*-5)))/-5)--5)+(-5*(((-62.7*(-62.7-(-5/-5)))*(-62.7-(-62.7/(-5*-62.7))))-(-5/-5)))))</f>
        <v>-1240527.095</v>
      </c>
      <c r="C3731" t="n" s="0">
        <v>-1240527.0950000002</v>
      </c>
    </row>
    <row r="3732">
      <c r="A3732" t="n" s="0">
        <v>-62.69</v>
      </c>
      <c r="B3732" t="n" s="0">
        <f>(-5-((((-5*(-5/((-5/(((-5*(-62.69--5))-(-5+((-5*-62.69)*(((-5--5)+(-62.69--5))+-62.69))))-(-5+-5)))*-5)))/-5)--5)+(-5*(((-62.69*(-62.69-(-5/-5)))*(-62.69-(-62.69/(-5*-62.69))))-(-5/-5)))))</f>
        <v>-1239934.957745</v>
      </c>
      <c r="C3732" t="n" s="0">
        <v>-1239934.957745</v>
      </c>
    </row>
    <row r="3733">
      <c r="A3733" t="n" s="0">
        <v>-62.68</v>
      </c>
      <c r="B3733" t="n" s="0">
        <f>(-5-((((-5*(-5/((-5/(((-5*(-62.68--5))-(-5+((-5*-62.68)*(((-5--5)+(-62.68--5))+-62.68))))-(-5+-5)))*-5)))/-5)--5)+(-5*(((-62.68*(-62.68-(-5/-5)))*(-62.68-(-62.68/(-5*-62.68))))-(-5/-5)))))</f>
        <v>-1239343.00896</v>
      </c>
      <c r="C3733" t="n" s="0">
        <v>-1239343.00896</v>
      </c>
    </row>
    <row r="3734">
      <c r="A3734" t="n" s="0">
        <v>-62.67</v>
      </c>
      <c r="B3734" t="n" s="0">
        <f>(-5-((((-5*(-5/((-5/(((-5*(-62.67--5))-(-5+((-5*-62.67)*(((-5--5)+(-62.67--5))+-62.67))))-(-5+-5)))*-5)))/-5)--5)+(-5*(((-62.67*(-62.67-(-5/-5)))*(-62.67-(-62.67/(-5*-62.67))))-(-5/-5)))))</f>
        <v>-1238751.2486150002</v>
      </c>
      <c r="C3734" t="n" s="0">
        <v>-1238751.2486150002</v>
      </c>
    </row>
    <row r="3735">
      <c r="A3735" t="n" s="0">
        <v>-62.66</v>
      </c>
      <c r="B3735" t="n" s="0">
        <f>(-5-((((-5*(-5/((-5/(((-5*(-62.66--5))-(-5+((-5*-62.66)*(((-5--5)+(-62.66--5))+-62.66))))-(-5+-5)))*-5)))/-5)--5)+(-5*(((-62.66*(-62.66-(-5/-5)))*(-62.66-(-62.66/(-5*-62.66))))-(-5/-5)))))</f>
        <v>-1238159.67668</v>
      </c>
      <c r="C3735" t="n" s="0">
        <v>-1238159.6766799998</v>
      </c>
    </row>
    <row r="3736">
      <c r="A3736" t="n" s="0">
        <v>-62.65</v>
      </c>
      <c r="B3736" t="n" s="0">
        <f>(-5-((((-5*(-5/((-5/(((-5*(-62.65--5))-(-5+((-5*-62.65)*(((-5--5)+(-62.65--5))+-62.65))))-(-5+-5)))*-5)))/-5)--5)+(-5*(((-62.65*(-62.65-(-5/-5)))*(-62.65-(-62.65/(-5*-62.65))))-(-5/-5)))))</f>
        <v>-1237568.2931249999</v>
      </c>
      <c r="C3736" t="n" s="0">
        <v>-1237568.2931249996</v>
      </c>
    </row>
    <row r="3737">
      <c r="A3737" t="n" s="0">
        <v>-62.64</v>
      </c>
      <c r="B3737" t="n" s="0">
        <f>(-5-((((-5*(-5/((-5/(((-5*(-62.64--5))-(-5+((-5*-62.64)*(((-5--5)+(-62.64--5))+-62.64))))-(-5+-5)))*-5)))/-5)--5)+(-5*(((-62.64*(-62.64-(-5/-5)))*(-62.64-(-62.64/(-5*-62.64))))-(-5/-5)))))</f>
        <v>-1236977.09792</v>
      </c>
      <c r="C3737" t="n" s="0">
        <v>-1236977.09792</v>
      </c>
    </row>
    <row r="3738">
      <c r="A3738" t="n" s="0">
        <v>-62.63</v>
      </c>
      <c r="B3738" t="n" s="0">
        <f>(-5-((((-5*(-5/((-5/(((-5*(-62.63--5))-(-5+((-5*-62.63)*(((-5--5)+(-62.63--5))+-62.63))))-(-5+-5)))*-5)))/-5)--5)+(-5*(((-62.63*(-62.63-(-5/-5)))*(-62.63-(-62.63/(-5*-62.63))))-(-5/-5)))))</f>
        <v>-1236386.0910349998</v>
      </c>
      <c r="C3738" t="n" s="0">
        <v>-1236386.091035</v>
      </c>
    </row>
    <row r="3739">
      <c r="A3739" t="n" s="0">
        <v>-62.62</v>
      </c>
      <c r="B3739" t="n" s="0">
        <f>(-5-((((-5*(-5/((-5/(((-5*(-62.62--5))-(-5+((-5*-62.62)*(((-5--5)+(-62.62--5))+-62.62))))-(-5+-5)))*-5)))/-5)--5)+(-5*(((-62.62*(-62.62-(-5/-5)))*(-62.62-(-62.62/(-5*-62.62))))-(-5/-5)))))</f>
        <v>-1235795.27244</v>
      </c>
      <c r="C3739" t="n" s="0">
        <v>-1235795.2724399997</v>
      </c>
    </row>
    <row r="3740">
      <c r="A3740" t="n" s="0">
        <v>-62.61</v>
      </c>
      <c r="B3740" t="n" s="0">
        <f>(-5-((((-5*(-5/((-5/(((-5*(-62.61--5))-(-5+((-5*-62.61)*(((-5--5)+(-62.61--5))+-62.61))))-(-5+-5)))*-5)))/-5)--5)+(-5*(((-62.61*(-62.61-(-5/-5)))*(-62.61-(-62.61/(-5*-62.61))))-(-5/-5)))))</f>
        <v>-1235204.642105</v>
      </c>
      <c r="C3740" t="n" s="0">
        <v>-1235204.642105</v>
      </c>
    </row>
    <row r="3741">
      <c r="A3741" t="n" s="0">
        <v>-62.6</v>
      </c>
      <c r="B3741" t="n" s="0">
        <f>(-5-((((-5*(-5/((-5/(((-5*(-62.6--5))-(-5+((-5*-62.6)*(((-5--5)+(-62.6--5))+-62.6))))-(-5+-5)))*-5)))/-5)--5)+(-5*(((-62.6*(-62.6-(-5/-5)))*(-62.6-(-62.6/(-5*-62.6))))-(-5/-5)))))</f>
        <v>-1234614.2</v>
      </c>
      <c r="C3741" t="n" s="0">
        <v>-1234614.2000000002</v>
      </c>
    </row>
    <row r="3742">
      <c r="A3742" t="n" s="0">
        <v>-62.59</v>
      </c>
      <c r="B3742" t="n" s="0">
        <f>(-5-((((-5*(-5/((-5/(((-5*(-62.59--5))-(-5+((-5*-62.59)*(((-5--5)+(-62.59--5))+-62.59))))-(-5+-5)))*-5)))/-5)--5)+(-5*(((-62.59*(-62.59-(-5/-5)))*(-62.59-(-62.59/(-5*-62.59))))-(-5/-5)))))</f>
        <v>-1234023.946095</v>
      </c>
      <c r="C3742" t="n" s="0">
        <v>-1234023.9460950003</v>
      </c>
    </row>
    <row r="3743">
      <c r="A3743" t="n" s="0">
        <v>-62.58</v>
      </c>
      <c r="B3743" t="n" s="0">
        <f>(-5-((((-5*(-5/((-5/(((-5*(-62.58--5))-(-5+((-5*-62.58)*(((-5--5)+(-62.58--5))+-62.58))))-(-5+-5)))*-5)))/-5)--5)+(-5*(((-62.58*(-62.58-(-5/-5)))*(-62.58-(-62.58/(-5*-62.58))))-(-5/-5)))))</f>
        <v>-1233433.8803599998</v>
      </c>
      <c r="C3743" t="n" s="0">
        <v>-1233433.8803599998</v>
      </c>
    </row>
    <row r="3744">
      <c r="A3744" t="n" s="0">
        <v>-62.57</v>
      </c>
      <c r="B3744" t="n" s="0">
        <f>(-5-((((-5*(-5/((-5/(((-5*(-62.57--5))-(-5+((-5*-62.57)*(((-5--5)+(-62.57--5))+-62.57))))-(-5+-5)))*-5)))/-5)--5)+(-5*(((-62.57*(-62.57-(-5/-5)))*(-62.57-(-62.57/(-5*-62.57))))-(-5/-5)))))</f>
        <v>-1232844.0027649999</v>
      </c>
      <c r="C3744" t="n" s="0">
        <v>-1232844.0027649999</v>
      </c>
    </row>
    <row r="3745">
      <c r="A3745" t="n" s="0">
        <v>-62.56</v>
      </c>
      <c r="B3745" t="n" s="0">
        <f>(-5-((((-5*(-5/((-5/(((-5*(-62.56--5))-(-5+((-5*-62.56)*(((-5--5)+(-62.56--5))+-62.56))))-(-5+-5)))*-5)))/-5)--5)+(-5*(((-62.56*(-62.56-(-5/-5)))*(-62.56-(-62.56/(-5*-62.56))))-(-5/-5)))))</f>
        <v>-1232254.31328</v>
      </c>
      <c r="C3745" t="n" s="0">
        <v>-1232254.3132800001</v>
      </c>
    </row>
    <row r="3746">
      <c r="A3746" t="n" s="0">
        <v>-62.55</v>
      </c>
      <c r="B3746" t="n" s="0">
        <f>(-5-((((-5*(-5/((-5/(((-5*(-62.55--5))-(-5+((-5*-62.55)*(((-5--5)+(-62.55--5))+-62.55))))-(-5+-5)))*-5)))/-5)--5)+(-5*(((-62.55*(-62.55-(-5/-5)))*(-62.55-(-62.55/(-5*-62.55))))-(-5/-5)))))</f>
        <v>-1231664.8118750001</v>
      </c>
      <c r="C3746" t="n" s="0">
        <v>-1231664.8118749997</v>
      </c>
    </row>
    <row r="3747">
      <c r="A3747" t="n" s="0">
        <v>-62.54</v>
      </c>
      <c r="B3747" t="n" s="0">
        <f>(-5-((((-5*(-5/((-5/(((-5*(-62.54--5))-(-5+((-5*-62.54)*(((-5--5)+(-62.54--5))+-62.54))))-(-5+-5)))*-5)))/-5)--5)+(-5*(((-62.54*(-62.54-(-5/-5)))*(-62.54-(-62.54/(-5*-62.54))))-(-5/-5)))))</f>
        <v>-1231075.49852</v>
      </c>
      <c r="C3747" t="n" s="0">
        <v>-1231075.49852</v>
      </c>
    </row>
    <row r="3748">
      <c r="A3748" t="n" s="0">
        <v>-62.53</v>
      </c>
      <c r="B3748" t="n" s="0">
        <f>(-5-((((-5*(-5/((-5/(((-5*(-62.53--5))-(-5+((-5*-62.53)*(((-5--5)+(-62.53--5))+-62.53))))-(-5+-5)))*-5)))/-5)--5)+(-5*(((-62.53*(-62.53-(-5/-5)))*(-62.53-(-62.53/(-5*-62.53))))-(-5/-5)))))</f>
        <v>-1230486.373185</v>
      </c>
      <c r="C3748" t="n" s="0">
        <v>-1230486.3731850001</v>
      </c>
    </row>
    <row r="3749">
      <c r="A3749" t="n" s="0">
        <v>-62.52</v>
      </c>
      <c r="B3749" t="n" s="0">
        <f>(-5-((((-5*(-5/((-5/(((-5*(-62.52--5))-(-5+((-5*-62.52)*(((-5--5)+(-62.52--5))+-62.52))))-(-5+-5)))*-5)))/-5)--5)+(-5*(((-62.52*(-62.52-(-5/-5)))*(-62.52-(-62.52/(-5*-62.52))))-(-5/-5)))))</f>
        <v>-1229897.43584</v>
      </c>
      <c r="C3749" t="n" s="0">
        <v>-1229897.4358400004</v>
      </c>
    </row>
    <row r="3750">
      <c r="A3750" t="n" s="0">
        <v>-62.51</v>
      </c>
      <c r="B3750" t="n" s="0">
        <f>(-5-((((-5*(-5/((-5/(((-5*(-62.51--5))-(-5+((-5*-62.51)*(((-5--5)+(-62.51--5))+-62.51))))-(-5+-5)))*-5)))/-5)--5)+(-5*(((-62.51*(-62.51-(-5/-5)))*(-62.51-(-62.51/(-5*-62.51))))-(-5/-5)))))</f>
        <v>-1229308.686455</v>
      </c>
      <c r="C3750" t="n" s="0">
        <v>-1229308.6864549997</v>
      </c>
    </row>
    <row r="3751">
      <c r="A3751" t="n" s="0">
        <v>-62.5</v>
      </c>
      <c r="B3751" t="n" s="0">
        <f>(-5-((((-5*(-5/((-5/(((-5*(-62.5--5))-(-5+((-5*-62.5)*(((-5--5)+(-62.5--5))+-62.5))))-(-5+-5)))*-5)))/-5)--5)+(-5*(((-62.5*(-62.5-(-5/-5)))*(-62.5-(-62.5/(-5*-62.5))))-(-5/-5)))))</f>
        <v>-1228720.125</v>
      </c>
      <c r="C3751" t="n" s="0">
        <v>-1228720.125</v>
      </c>
    </row>
    <row r="3752">
      <c r="A3752" t="n" s="0">
        <v>-62.49</v>
      </c>
      <c r="B3752" t="n" s="0">
        <f>(-5-((((-5*(-5/((-5/(((-5*(-62.49--5))-(-5+((-5*-62.49)*(((-5--5)+(-62.49--5))+-62.49))))-(-5+-5)))*-5)))/-5)--5)+(-5*(((-62.49*(-62.49-(-5/-5)))*(-62.49-(-62.49/(-5*-62.49))))-(-5/-5)))))</f>
        <v>-1228131.751445</v>
      </c>
      <c r="C3752" t="n" s="0">
        <v>-1228131.7514449998</v>
      </c>
    </row>
    <row r="3753">
      <c r="A3753" t="n" s="0">
        <v>-62.48</v>
      </c>
      <c r="B3753" t="n" s="0">
        <f>(-5-((((-5*(-5/((-5/(((-5*(-62.48--5))-(-5+((-5*-62.48)*(((-5--5)+(-62.48--5))+-62.48))))-(-5+-5)))*-5)))/-5)--5)+(-5*(((-62.48*(-62.48-(-5/-5)))*(-62.48-(-62.48/(-5*-62.48))))-(-5/-5)))))</f>
        <v>-1227543.56576</v>
      </c>
      <c r="C3753" t="n" s="0">
        <v>-1227543.5657599997</v>
      </c>
    </row>
    <row r="3754">
      <c r="A3754" t="n" s="0">
        <v>-62.47</v>
      </c>
      <c r="B3754" t="n" s="0">
        <f>(-5-((((-5*(-5/((-5/(((-5*(-62.47--5))-(-5+((-5*-62.47)*(((-5--5)+(-62.47--5))+-62.47))))-(-5+-5)))*-5)))/-5)--5)+(-5*(((-62.47*(-62.47-(-5/-5)))*(-62.47-(-62.47/(-5*-62.47))))-(-5/-5)))))</f>
        <v>-1226955.567915</v>
      </c>
      <c r="C3754" t="n" s="0">
        <v>-1226955.5679149998</v>
      </c>
    </row>
    <row r="3755">
      <c r="A3755" t="n" s="0">
        <v>-62.46</v>
      </c>
      <c r="B3755" t="n" s="0">
        <f>(-5-((((-5*(-5/((-5/(((-5*(-62.46--5))-(-5+((-5*-62.46)*(((-5--5)+(-62.46--5))+-62.46))))-(-5+-5)))*-5)))/-5)--5)+(-5*(((-62.46*(-62.46-(-5/-5)))*(-62.46-(-62.46/(-5*-62.46))))-(-5/-5)))))</f>
        <v>-1226367.75788</v>
      </c>
      <c r="C3755" t="n" s="0">
        <v>-1226367.7578799997</v>
      </c>
    </row>
    <row r="3756">
      <c r="A3756" t="n" s="0">
        <v>-62.45</v>
      </c>
      <c r="B3756" t="n" s="0">
        <f>(-5-((((-5*(-5/((-5/(((-5*(-62.45--5))-(-5+((-5*-62.45)*(((-5--5)+(-62.45--5))+-62.45))))-(-5+-5)))*-5)))/-5)--5)+(-5*(((-62.45*(-62.45-(-5/-5)))*(-62.45-(-62.45/(-5*-62.45))))-(-5/-5)))))</f>
        <v>-1225780.1356249999</v>
      </c>
      <c r="C3756" t="n" s="0">
        <v>-1225780.135625</v>
      </c>
    </row>
    <row r="3757">
      <c r="A3757" t="n" s="0">
        <v>-62.44</v>
      </c>
      <c r="B3757" t="n" s="0">
        <f>(-5-((((-5*(-5/((-5/(((-5*(-62.44--5))-(-5+((-5*-62.44)*(((-5--5)+(-62.44--5))+-62.44))))-(-5+-5)))*-5)))/-5)--5)+(-5*(((-62.44*(-62.44-(-5/-5)))*(-62.44-(-62.44/(-5*-62.44))))-(-5/-5)))))</f>
        <v>-1225192.7011199999</v>
      </c>
      <c r="C3757" t="n" s="0">
        <v>-1225192.70112</v>
      </c>
    </row>
    <row r="3758">
      <c r="A3758" t="n" s="0">
        <v>-62.43</v>
      </c>
      <c r="B3758" t="n" s="0">
        <f>(-5-((((-5*(-5/((-5/(((-5*(-62.43--5))-(-5+((-5*-62.43)*(((-5--5)+(-62.43--5))+-62.43))))-(-5+-5)))*-5)))/-5)--5)+(-5*(((-62.43*(-62.43-(-5/-5)))*(-62.43-(-62.43/(-5*-62.43))))-(-5/-5)))))</f>
        <v>-1224605.4543350001</v>
      </c>
      <c r="C3758" t="n" s="0">
        <v>-1224605.454335</v>
      </c>
    </row>
    <row r="3759">
      <c r="A3759" t="n" s="0">
        <v>-62.42</v>
      </c>
      <c r="B3759" t="n" s="0">
        <f>(-5-((((-5*(-5/((-5/(((-5*(-62.42--5))-(-5+((-5*-62.42)*(((-5--5)+(-62.42--5))+-62.42))))-(-5+-5)))*-5)))/-5)--5)+(-5*(((-62.42*(-62.42-(-5/-5)))*(-62.42-(-62.42/(-5*-62.42))))-(-5/-5)))))</f>
        <v>-1224018.39524</v>
      </c>
      <c r="C3759" t="n" s="0">
        <v>-1224018.39524</v>
      </c>
    </row>
    <row r="3760">
      <c r="A3760" t="n" s="0">
        <v>-62.41</v>
      </c>
      <c r="B3760" t="n" s="0">
        <f>(-5-((((-5*(-5/((-5/(((-5*(-62.41--5))-(-5+((-5*-62.41)*(((-5--5)+(-62.41--5))+-62.41))))-(-5+-5)))*-5)))/-5)--5)+(-5*(((-62.41*(-62.41-(-5/-5)))*(-62.41-(-62.41/(-5*-62.41))))-(-5/-5)))))</f>
        <v>-1223431.523805</v>
      </c>
      <c r="C3760" t="n" s="0">
        <v>-1223431.523805</v>
      </c>
    </row>
    <row r="3761">
      <c r="A3761" t="n" s="0">
        <v>-62.4</v>
      </c>
      <c r="B3761" t="n" s="0">
        <f>(-5-((((-5*(-5/((-5/(((-5*(-62.4--5))-(-5+((-5*-62.4)*(((-5--5)+(-62.4--5))+-62.4))))-(-5+-5)))*-5)))/-5)--5)+(-5*(((-62.4*(-62.4-(-5/-5)))*(-62.4-(-62.4/(-5*-62.4))))-(-5/-5)))))</f>
        <v>-1222844.84</v>
      </c>
      <c r="C3761" t="n" s="0">
        <v>-1222844.8399999999</v>
      </c>
    </row>
    <row r="3762">
      <c r="A3762" t="n" s="0">
        <v>-62.39</v>
      </c>
      <c r="B3762" t="n" s="0">
        <f>(-5-((((-5*(-5/((-5/(((-5*(-62.39--5))-(-5+((-5*-62.39)*(((-5--5)+(-62.39--5))+-62.39))))-(-5+-5)))*-5)))/-5)--5)+(-5*(((-62.39*(-62.39-(-5/-5)))*(-62.39-(-62.39/(-5*-62.39))))-(-5/-5)))))</f>
        <v>-1222258.3437949999</v>
      </c>
      <c r="C3762" t="n" s="0">
        <v>-1222258.343795</v>
      </c>
    </row>
    <row r="3763">
      <c r="A3763" t="n" s="0">
        <v>-62.38</v>
      </c>
      <c r="B3763" t="n" s="0">
        <f>(-5-((((-5*(-5/((-5/(((-5*(-62.38--5))-(-5+((-5*-62.38)*(((-5--5)+(-62.38--5))+-62.38))))-(-5+-5)))*-5)))/-5)--5)+(-5*(((-62.38*(-62.38-(-5/-5)))*(-62.38-(-62.38/(-5*-62.38))))-(-5/-5)))))</f>
        <v>-1221672.03516</v>
      </c>
      <c r="C3763" t="n" s="0">
        <v>-1221672.03516</v>
      </c>
    </row>
    <row r="3764">
      <c r="A3764" t="n" s="0">
        <v>-62.37</v>
      </c>
      <c r="B3764" t="n" s="0">
        <f>(-5-((((-5*(-5/((-5/(((-5*(-62.37--5))-(-5+((-5*-62.37)*(((-5--5)+(-62.37--5))+-62.37))))-(-5+-5)))*-5)))/-5)--5)+(-5*(((-62.37*(-62.37-(-5/-5)))*(-62.37-(-62.37/(-5*-62.37))))-(-5/-5)))))</f>
        <v>-1221085.914065</v>
      </c>
      <c r="C3764" t="n" s="0">
        <v>-1221085.914065</v>
      </c>
    </row>
    <row r="3765">
      <c r="A3765" t="n" s="0">
        <v>-62.36</v>
      </c>
      <c r="B3765" t="n" s="0">
        <f>(-5-((((-5*(-5/((-5/(((-5*(-62.36--5))-(-5+((-5*-62.36)*(((-5--5)+(-62.36--5))+-62.36))))-(-5+-5)))*-5)))/-5)--5)+(-5*(((-62.36*(-62.36-(-5/-5)))*(-62.36-(-62.36/(-5*-62.36))))-(-5/-5)))))</f>
        <v>-1220499.98048</v>
      </c>
      <c r="C3765" t="n" s="0">
        <v>-1220499.98048</v>
      </c>
    </row>
    <row r="3766">
      <c r="A3766" t="n" s="0">
        <v>-62.35</v>
      </c>
      <c r="B3766" t="n" s="0">
        <f>(-5-((((-5*(-5/((-5/(((-5*(-62.35--5))-(-5+((-5*-62.35)*(((-5--5)+(-62.35--5))+-62.35))))-(-5+-5)))*-5)))/-5)--5)+(-5*(((-62.35*(-62.35-(-5/-5)))*(-62.35-(-62.35/(-5*-62.35))))-(-5/-5)))))</f>
        <v>-1219914.234375</v>
      </c>
      <c r="C3766" t="n" s="0">
        <v>-1219914.2343750002</v>
      </c>
    </row>
    <row r="3767">
      <c r="A3767" t="n" s="0">
        <v>-62.34</v>
      </c>
      <c r="B3767" t="n" s="0">
        <f>(-5-((((-5*(-5/((-5/(((-5*(-62.34--5))-(-5+((-5*-62.34)*(((-5--5)+(-62.34--5))+-62.34))))-(-5+-5)))*-5)))/-5)--5)+(-5*(((-62.34*(-62.34-(-5/-5)))*(-62.34-(-62.34/(-5*-62.34))))-(-5/-5)))))</f>
        <v>-1219328.67572</v>
      </c>
      <c r="C3767" t="n" s="0">
        <v>-1219328.6757200002</v>
      </c>
    </row>
    <row r="3768">
      <c r="A3768" t="n" s="0">
        <v>-62.33</v>
      </c>
      <c r="B3768" t="n" s="0">
        <f>(-5-((((-5*(-5/((-5/(((-5*(-62.33--5))-(-5+((-5*-62.33)*(((-5--5)+(-62.33--5))+-62.33))))-(-5+-5)))*-5)))/-5)--5)+(-5*(((-62.33*(-62.33-(-5/-5)))*(-62.33-(-62.33/(-5*-62.33))))-(-5/-5)))))</f>
        <v>-1218743.304485</v>
      </c>
      <c r="C3768" t="n" s="0">
        <v>-1218743.304485</v>
      </c>
    </row>
    <row r="3769">
      <c r="A3769" t="n" s="0">
        <v>-62.32</v>
      </c>
      <c r="B3769" t="n" s="0">
        <f>(-5-((((-5*(-5/((-5/(((-5*(-62.32--5))-(-5+((-5*-62.32)*(((-5--5)+(-62.32--5))+-62.32))))-(-5+-5)))*-5)))/-5)--5)+(-5*(((-62.32*(-62.32-(-5/-5)))*(-62.32-(-62.32/(-5*-62.32))))-(-5/-5)))))</f>
        <v>-1218158.1206399999</v>
      </c>
      <c r="C3769" t="n" s="0">
        <v>-1218158.12064</v>
      </c>
    </row>
    <row r="3770">
      <c r="A3770" t="n" s="0">
        <v>-62.31</v>
      </c>
      <c r="B3770" t="n" s="0">
        <f>(-5-((((-5*(-5/((-5/(((-5*(-62.31--5))-(-5+((-5*-62.31)*(((-5--5)+(-62.31--5))+-62.31))))-(-5+-5)))*-5)))/-5)--5)+(-5*(((-62.31*(-62.31-(-5/-5)))*(-62.31-(-62.31/(-5*-62.31))))-(-5/-5)))))</f>
        <v>-1217573.1241549999</v>
      </c>
      <c r="C3770" t="n" s="0">
        <v>-1217573.124155</v>
      </c>
    </row>
    <row r="3771">
      <c r="A3771" t="n" s="0">
        <v>-62.3</v>
      </c>
      <c r="B3771" t="n" s="0">
        <f>(-5-((((-5*(-5/((-5/(((-5*(-62.3--5))-(-5+((-5*-62.3)*(((-5--5)+(-62.3--5))+-62.3))))-(-5+-5)))*-5)))/-5)--5)+(-5*(((-62.3*(-62.3-(-5/-5)))*(-62.3-(-62.3/(-5*-62.3))))-(-5/-5)))))</f>
        <v>-1216988.3150000002</v>
      </c>
      <c r="C3771" t="n" s="0">
        <v>-1216988.315</v>
      </c>
    </row>
    <row r="3772">
      <c r="A3772" t="n" s="0">
        <v>-62.29</v>
      </c>
      <c r="B3772" t="n" s="0">
        <f>(-5-((((-5*(-5/((-5/(((-5*(-62.29--5))-(-5+((-5*-62.29)*(((-5--5)+(-62.29--5))+-62.29))))-(-5+-5)))*-5)))/-5)--5)+(-5*(((-62.29*(-62.29-(-5/-5)))*(-62.29-(-62.29/(-5*-62.29))))-(-5/-5)))))</f>
        <v>-1216403.6931450001</v>
      </c>
      <c r="C3772" t="n" s="0">
        <v>-1216403.6931450001</v>
      </c>
    </row>
    <row r="3773">
      <c r="A3773" t="n" s="0">
        <v>-62.28</v>
      </c>
      <c r="B3773" t="n" s="0">
        <f>(-5-((((-5*(-5/((-5/(((-5*(-62.28--5))-(-5+((-5*-62.28)*(((-5--5)+(-62.28--5))+-62.28))))-(-5+-5)))*-5)))/-5)--5)+(-5*(((-62.28*(-62.28-(-5/-5)))*(-62.28-(-62.28/(-5*-62.28))))-(-5/-5)))))</f>
        <v>-1215819.25856</v>
      </c>
      <c r="C3773" t="n" s="0">
        <v>-1215819.2585600002</v>
      </c>
    </row>
    <row r="3774">
      <c r="A3774" t="n" s="0">
        <v>-62.27</v>
      </c>
      <c r="B3774" t="n" s="0">
        <f>(-5-((((-5*(-5/((-5/(((-5*(-62.27--5))-(-5+((-5*-62.27)*(((-5--5)+(-62.27--5))+-62.27))))-(-5+-5)))*-5)))/-5)--5)+(-5*(((-62.27*(-62.27-(-5/-5)))*(-62.27-(-62.27/(-5*-62.27))))-(-5/-5)))))</f>
        <v>-1215235.011215</v>
      </c>
      <c r="C3774" t="n" s="0">
        <v>-1215235.0112150002</v>
      </c>
    </row>
    <row r="3775">
      <c r="A3775" t="n" s="0">
        <v>-62.26</v>
      </c>
      <c r="B3775" t="n" s="0">
        <f>(-5-((((-5*(-5/((-5/(((-5*(-62.26--5))-(-5+((-5*-62.26)*(((-5--5)+(-62.26--5))+-62.26))))-(-5+-5)))*-5)))/-5)--5)+(-5*(((-62.26*(-62.26-(-5/-5)))*(-62.26-(-62.26/(-5*-62.26))))-(-5/-5)))))</f>
        <v>-1214650.95108</v>
      </c>
      <c r="C3775" t="n" s="0">
        <v>-1214650.9510799998</v>
      </c>
    </row>
    <row r="3776">
      <c r="A3776" t="n" s="0">
        <v>-62.25</v>
      </c>
      <c r="B3776" t="n" s="0">
        <f>(-5-((((-5*(-5/((-5/(((-5*(-62.25--5))-(-5+((-5*-62.25)*(((-5--5)+(-62.25--5))+-62.25))))-(-5+-5)))*-5)))/-5)--5)+(-5*(((-62.25*(-62.25-(-5/-5)))*(-62.25-(-62.25/(-5*-62.25))))-(-5/-5)))))</f>
        <v>-1214067.078125</v>
      </c>
      <c r="C3776" t="n" s="0">
        <v>-1214067.078125</v>
      </c>
    </row>
    <row r="3777">
      <c r="A3777" t="n" s="0">
        <v>-62.24</v>
      </c>
      <c r="B3777" t="n" s="0">
        <f>(-5-((((-5*(-5/((-5/(((-5*(-62.24--5))-(-5+((-5*-62.24)*(((-5--5)+(-62.24--5))+-62.24))))-(-5+-5)))*-5)))/-5)--5)+(-5*(((-62.24*(-62.24-(-5/-5)))*(-62.24-(-62.24/(-5*-62.24))))-(-5/-5)))))</f>
        <v>-1213483.39232</v>
      </c>
      <c r="C3777" t="n" s="0">
        <v>-1213483.39232</v>
      </c>
    </row>
    <row r="3778">
      <c r="A3778" t="n" s="0">
        <v>-62.23</v>
      </c>
      <c r="B3778" t="n" s="0">
        <f>(-5-((((-5*(-5/((-5/(((-5*(-62.23--5))-(-5+((-5*-62.23)*(((-5--5)+(-62.23--5))+-62.23))))-(-5+-5)))*-5)))/-5)--5)+(-5*(((-62.23*(-62.23-(-5/-5)))*(-62.23-(-62.23/(-5*-62.23))))-(-5/-5)))))</f>
        <v>-1212899.893635</v>
      </c>
      <c r="C3778" t="n" s="0">
        <v>-1212899.8936349999</v>
      </c>
    </row>
    <row r="3779">
      <c r="A3779" t="n" s="0">
        <v>-62.22</v>
      </c>
      <c r="B3779" t="n" s="0">
        <f>(-5-((((-5*(-5/((-5/(((-5*(-62.22--5))-(-5+((-5*-62.22)*(((-5--5)+(-62.22--5))+-62.22))))-(-5+-5)))*-5)))/-5)--5)+(-5*(((-62.22*(-62.22-(-5/-5)))*(-62.22-(-62.22/(-5*-62.22))))-(-5/-5)))))</f>
        <v>-1212316.5820399998</v>
      </c>
      <c r="C3779" t="n" s="0">
        <v>-1212316.5820399998</v>
      </c>
    </row>
    <row r="3780">
      <c r="A3780" t="n" s="0">
        <v>-62.21</v>
      </c>
      <c r="B3780" t="n" s="0">
        <f>(-5-((((-5*(-5/((-5/(((-5*(-62.21--5))-(-5+((-5*-62.21)*(((-5--5)+(-62.21--5))+-62.21))))-(-5+-5)))*-5)))/-5)--5)+(-5*(((-62.21*(-62.21-(-5/-5)))*(-62.21-(-62.21/(-5*-62.21))))-(-5/-5)))))</f>
        <v>-1211733.4575049998</v>
      </c>
      <c r="C3780" t="n" s="0">
        <v>-1211733.457505</v>
      </c>
    </row>
    <row r="3781">
      <c r="A3781" t="n" s="0">
        <v>-62.2</v>
      </c>
      <c r="B3781" t="n" s="0">
        <f>(-5-((((-5*(-5/((-5/(((-5*(-62.2--5))-(-5+((-5*-62.2)*(((-5--5)+(-62.2--5))+-62.2))))-(-5+-5)))*-5)))/-5)--5)+(-5*(((-62.2*(-62.2-(-5/-5)))*(-62.2-(-62.2/(-5*-62.2))))-(-5/-5)))))</f>
        <v>-1211150.52</v>
      </c>
      <c r="C3781" t="n" s="0">
        <v>-1211150.5200000003</v>
      </c>
    </row>
    <row r="3782">
      <c r="A3782" t="n" s="0">
        <v>-62.19</v>
      </c>
      <c r="B3782" t="n" s="0">
        <f>(-5-((((-5*(-5/((-5/(((-5*(-62.19--5))-(-5+((-5*-62.19)*(((-5--5)+(-62.19--5))+-62.19))))-(-5+-5)))*-5)))/-5)--5)+(-5*(((-62.19*(-62.19-(-5/-5)))*(-62.19-(-62.19/(-5*-62.19))))-(-5/-5)))))</f>
        <v>-1210567.7694950001</v>
      </c>
      <c r="C3782" t="n" s="0">
        <v>-1210567.769495</v>
      </c>
    </row>
    <row r="3783">
      <c r="A3783" t="n" s="0">
        <v>-62.18</v>
      </c>
      <c r="B3783" t="n" s="0">
        <f>(-5-((((-5*(-5/((-5/(((-5*(-62.18--5))-(-5+((-5*-62.18)*(((-5--5)+(-62.18--5))+-62.18))))-(-5+-5)))*-5)))/-5)--5)+(-5*(((-62.18*(-62.18-(-5/-5)))*(-62.18-(-62.18/(-5*-62.18))))-(-5/-5)))))</f>
        <v>-1209985.20596</v>
      </c>
      <c r="C3783" t="n" s="0">
        <v>-1209985.20596</v>
      </c>
    </row>
    <row r="3784">
      <c r="A3784" t="n" s="0">
        <v>-62.17</v>
      </c>
      <c r="B3784" t="n" s="0">
        <f>(-5-((((-5*(-5/((-5/(((-5*(-62.17--5))-(-5+((-5*-62.17)*(((-5--5)+(-62.17--5))+-62.17))))-(-5+-5)))*-5)))/-5)--5)+(-5*(((-62.17*(-62.17-(-5/-5)))*(-62.17-(-62.17/(-5*-62.17))))-(-5/-5)))))</f>
        <v>-1209402.829365</v>
      </c>
      <c r="C3784" t="n" s="0">
        <v>-1209402.8293650001</v>
      </c>
    </row>
    <row r="3785">
      <c r="A3785" t="n" s="0">
        <v>-62.16</v>
      </c>
      <c r="B3785" t="n" s="0">
        <f>(-5-((((-5*(-5/((-5/(((-5*(-62.16--5))-(-5+((-5*-62.16)*(((-5--5)+(-62.16--5))+-62.16))))-(-5+-5)))*-5)))/-5)--5)+(-5*(((-62.16*(-62.16-(-5/-5)))*(-62.16-(-62.16/(-5*-62.16))))-(-5/-5)))))</f>
        <v>-1208820.63968</v>
      </c>
      <c r="C3785" t="n" s="0">
        <v>-1208820.6396799998</v>
      </c>
    </row>
    <row r="3786">
      <c r="A3786" t="n" s="0">
        <v>-62.15</v>
      </c>
      <c r="B3786" t="n" s="0">
        <f>(-5-((((-5*(-5/((-5/(((-5*(-62.15--5))-(-5+((-5*-62.15)*(((-5--5)+(-62.15--5))+-62.15))))-(-5+-5)))*-5)))/-5)--5)+(-5*(((-62.15*(-62.15-(-5/-5)))*(-62.15-(-62.15/(-5*-62.15))))-(-5/-5)))))</f>
        <v>-1208238.636875</v>
      </c>
      <c r="C3786" t="n" s="0">
        <v>-1208238.636875</v>
      </c>
    </row>
    <row r="3787">
      <c r="A3787" t="n" s="0">
        <v>-62.14</v>
      </c>
      <c r="B3787" t="n" s="0">
        <f>(-5-((((-5*(-5/((-5/(((-5*(-62.14--5))-(-5+((-5*-62.14)*(((-5--5)+(-62.14--5))+-62.14))))-(-5+-5)))*-5)))/-5)--5)+(-5*(((-62.14*(-62.14-(-5/-5)))*(-62.14-(-62.14/(-5*-62.14))))-(-5/-5)))))</f>
        <v>-1207656.82092</v>
      </c>
      <c r="C3787" t="n" s="0">
        <v>-1207656.8209199999</v>
      </c>
    </row>
    <row r="3788">
      <c r="A3788" t="n" s="0">
        <v>-62.13</v>
      </c>
      <c r="B3788" t="n" s="0">
        <f>(-5-((((-5*(-5/((-5/(((-5*(-62.13--5))-(-5+((-5*-62.13)*(((-5--5)+(-62.13--5))+-62.13))))-(-5+-5)))*-5)))/-5)--5)+(-5*(((-62.13*(-62.13-(-5/-5)))*(-62.13-(-62.13/(-5*-62.13))))-(-5/-5)))))</f>
        <v>-1207075.191785</v>
      </c>
      <c r="C3788" t="n" s="0">
        <v>-1207075.191785</v>
      </c>
    </row>
    <row r="3789">
      <c r="A3789" t="n" s="0">
        <v>-62.12</v>
      </c>
      <c r="B3789" t="n" s="0">
        <f>(-5-((((-5*(-5/((-5/(((-5*(-62.12--5))-(-5+((-5*-62.12)*(((-5--5)+(-62.12--5))+-62.12))))-(-5+-5)))*-5)))/-5)--5)+(-5*(((-62.12*(-62.12-(-5/-5)))*(-62.12-(-62.12/(-5*-62.12))))-(-5/-5)))))</f>
        <v>-1206493.74944</v>
      </c>
      <c r="C3789" t="n" s="0">
        <v>-1206493.74944</v>
      </c>
    </row>
    <row r="3790">
      <c r="A3790" t="n" s="0">
        <v>-62.11</v>
      </c>
      <c r="B3790" t="n" s="0">
        <f>(-5-((((-5*(-5/((-5/(((-5*(-62.11--5))-(-5+((-5*-62.11)*(((-5--5)+(-62.11--5))+-62.11))))-(-5+-5)))*-5)))/-5)--5)+(-5*(((-62.11*(-62.11-(-5/-5)))*(-62.11-(-62.11/(-5*-62.11))))-(-5/-5)))))</f>
        <v>-1205912.493855</v>
      </c>
      <c r="C3790" t="n" s="0">
        <v>-1205912.493855</v>
      </c>
    </row>
    <row r="3791">
      <c r="A3791" t="n" s="0">
        <v>-62.1</v>
      </c>
      <c r="B3791" t="n" s="0">
        <f>(-5-((((-5*(-5/((-5/(((-5*(-62.1--5))-(-5+((-5*-62.1)*(((-5--5)+(-62.1--5))+-62.1))))-(-5+-5)))*-5)))/-5)--5)+(-5*(((-62.1*(-62.1-(-5/-5)))*(-62.1-(-62.1/(-5*-62.1))))-(-5/-5)))))</f>
        <v>-1205331.425</v>
      </c>
      <c r="C3791" t="n" s="0">
        <v>-1205331.4250000003</v>
      </c>
    </row>
    <row r="3792">
      <c r="A3792" t="n" s="0">
        <v>-62.09</v>
      </c>
      <c r="B3792" t="n" s="0">
        <f>(-5-((((-5*(-5/((-5/(((-5*(-62.09--5))-(-5+((-5*-62.09)*(((-5--5)+(-62.09--5))+-62.09))))-(-5+-5)))*-5)))/-5)--5)+(-5*(((-62.09*(-62.09-(-5/-5)))*(-62.09-(-62.09/(-5*-62.09))))-(-5/-5)))))</f>
        <v>-1204750.542845</v>
      </c>
      <c r="C3792" t="n" s="0">
        <v>-1204750.5428450003</v>
      </c>
    </row>
    <row r="3793">
      <c r="A3793" t="n" s="0">
        <v>-62.08</v>
      </c>
      <c r="B3793" t="n" s="0">
        <f>(-5-((((-5*(-5/((-5/(((-5*(-62.08--5))-(-5+((-5*-62.08)*(((-5--5)+(-62.08--5))+-62.08))))-(-5+-5)))*-5)))/-5)--5)+(-5*(((-62.08*(-62.08-(-5/-5)))*(-62.08-(-62.08/(-5*-62.08))))-(-5/-5)))))</f>
        <v>-1204169.84736</v>
      </c>
      <c r="C3793" t="n" s="0">
        <v>-1204169.84736</v>
      </c>
    </row>
    <row r="3794">
      <c r="A3794" t="n" s="0">
        <v>-62.07</v>
      </c>
      <c r="B3794" t="n" s="0">
        <f>(-5-((((-5*(-5/((-5/(((-5*(-62.07--5))-(-5+((-5*-62.07)*(((-5--5)+(-62.07--5))+-62.07))))-(-5+-5)))*-5)))/-5)--5)+(-5*(((-62.07*(-62.07-(-5/-5)))*(-62.07-(-62.07/(-5*-62.07))))-(-5/-5)))))</f>
        <v>-1203589.338515</v>
      </c>
      <c r="C3794" t="n" s="0">
        <v>-1203589.338515</v>
      </c>
    </row>
    <row r="3795">
      <c r="A3795" t="n" s="0">
        <v>-62.06</v>
      </c>
      <c r="B3795" t="n" s="0">
        <f>(-5-((((-5*(-5/((-5/(((-5*(-62.06--5))-(-5+((-5*-62.06)*(((-5--5)+(-62.06--5))+-62.06))))-(-5+-5)))*-5)))/-5)--5)+(-5*(((-62.06*(-62.06-(-5/-5)))*(-62.06-(-62.06/(-5*-62.06))))-(-5/-5)))))</f>
        <v>-1203009.01628</v>
      </c>
      <c r="C3795" t="n" s="0">
        <v>-1203009.01628</v>
      </c>
    </row>
    <row r="3796">
      <c r="A3796" t="n" s="0">
        <v>-62.05</v>
      </c>
      <c r="B3796" t="n" s="0">
        <f>(-5-((((-5*(-5/((-5/(((-5*(-62.05--5))-(-5+((-5*-62.05)*(((-5--5)+(-62.05--5))+-62.05))))-(-5+-5)))*-5)))/-5)--5)+(-5*(((-62.05*(-62.05-(-5/-5)))*(-62.05-(-62.05/(-5*-62.05))))-(-5/-5)))))</f>
        <v>-1202428.880625</v>
      </c>
      <c r="C3796" t="n" s="0">
        <v>-1202428.8806249998</v>
      </c>
    </row>
    <row r="3797">
      <c r="A3797" t="n" s="0">
        <v>-62.04</v>
      </c>
      <c r="B3797" t="n" s="0">
        <f>(-5-((((-5*(-5/((-5/(((-5*(-62.04--5))-(-5+((-5*-62.04)*(((-5--5)+(-62.04--5))+-62.04))))-(-5+-5)))*-5)))/-5)--5)+(-5*(((-62.04*(-62.04-(-5/-5)))*(-62.04-(-62.04/(-5*-62.04))))-(-5/-5)))))</f>
        <v>-1201848.93152</v>
      </c>
      <c r="C3797" t="n" s="0">
        <v>-1201848.93152</v>
      </c>
    </row>
    <row r="3798">
      <c r="A3798" t="n" s="0">
        <v>-62.03</v>
      </c>
      <c r="B3798" t="n" s="0">
        <f>(-5-((((-5*(-5/((-5/(((-5*(-62.03--5))-(-5+((-5*-62.03)*(((-5--5)+(-62.03--5))+-62.03))))-(-5+-5)))*-5)))/-5)--5)+(-5*(((-62.03*(-62.03-(-5/-5)))*(-62.03-(-62.03/(-5*-62.03))))-(-5/-5)))))</f>
        <v>-1201269.168935</v>
      </c>
      <c r="C3798" t="n" s="0">
        <v>-1201269.168935</v>
      </c>
    </row>
    <row r="3799">
      <c r="A3799" t="n" s="0">
        <v>-62.02</v>
      </c>
      <c r="B3799" t="n" s="0">
        <f>(-5-((((-5*(-5/((-5/(((-5*(-62.02--5))-(-5+((-5*-62.02)*(((-5--5)+(-62.02--5))+-62.02))))-(-5+-5)))*-5)))/-5)--5)+(-5*(((-62.02*(-62.02-(-5/-5)))*(-62.02-(-62.02/(-5*-62.02))))-(-5/-5)))))</f>
        <v>-1200689.59284</v>
      </c>
      <c r="C3799" t="n" s="0">
        <v>-1200689.5928400003</v>
      </c>
    </row>
    <row r="3800">
      <c r="A3800" t="n" s="0">
        <v>-62.01</v>
      </c>
      <c r="B3800" t="n" s="0">
        <f>(-5-((((-5*(-5/((-5/(((-5*(-62.01--5))-(-5+((-5*-62.01)*(((-5--5)+(-62.01--5))+-62.01))))-(-5+-5)))*-5)))/-5)--5)+(-5*(((-62.01*(-62.01-(-5/-5)))*(-62.01-(-62.01/(-5*-62.01))))-(-5/-5)))))</f>
        <v>-1200110.203205</v>
      </c>
      <c r="C3800" t="n" s="0">
        <v>-1200110.203205</v>
      </c>
    </row>
    <row r="3801">
      <c r="A3801" t="n" s="0">
        <v>-62.0</v>
      </c>
      <c r="B3801" t="n" s="0">
        <f>(-5-((((-5*(-5/((-5/(((-5*(-62--5))-(-5+((-5*-62)*(((-5--5)+(-62--5))+-62))))-(-5+-5)))*-5)))/-5)--5)+(-5*(((-62*(-62-(-5/-5)))*(-62-(-62/(-5*-62))))-(-5/-5)))))</f>
        <v>-1199531.0</v>
      </c>
      <c r="C3801" t="n" s="0">
        <v>-1199531.0</v>
      </c>
    </row>
    <row r="3802">
      <c r="A3802" t="n" s="0">
        <v>-61.99</v>
      </c>
      <c r="B3802" t="n" s="0">
        <f>(-5-((((-5*(-5/((-5/(((-5*(-61.99--5))-(-5+((-5*-61.99)*(((-5--5)+(-61.99--5))+-61.99))))-(-5+-5)))*-5)))/-5)--5)+(-5*(((-61.99*(-61.99-(-5/-5)))*(-61.99-(-61.99/(-5*-61.99))))-(-5/-5)))))</f>
        <v>-1198951.983195</v>
      </c>
      <c r="C3802" t="n" s="0">
        <v>-1198951.983195</v>
      </c>
    </row>
    <row r="3803">
      <c r="A3803" t="n" s="0">
        <v>-61.98</v>
      </c>
      <c r="B3803" t="n" s="0">
        <f>(-5-((((-5*(-5/((-5/(((-5*(-61.98--5))-(-5+((-5*-61.98)*(((-5--5)+(-61.98--5))+-61.98))))-(-5+-5)))*-5)))/-5)--5)+(-5*(((-61.98*(-61.98-(-5/-5)))*(-61.98-(-61.98/(-5*-61.98))))-(-5/-5)))))</f>
        <v>-1198373.15276</v>
      </c>
      <c r="C3803" t="n" s="0">
        <v>-1198373.15276</v>
      </c>
    </row>
    <row r="3804">
      <c r="A3804" t="n" s="0">
        <v>-61.97</v>
      </c>
      <c r="B3804" t="n" s="0">
        <f>(-5-((((-5*(-5/((-5/(((-5*(-61.97--5))-(-5+((-5*-61.97)*(((-5--5)+(-61.97--5))+-61.97))))-(-5+-5)))*-5)))/-5)--5)+(-5*(((-61.97*(-61.97-(-5/-5)))*(-61.97-(-61.97/(-5*-61.97))))-(-5/-5)))))</f>
        <v>-1197794.508665</v>
      </c>
      <c r="C3804" t="n" s="0">
        <v>-1197794.5086649999</v>
      </c>
    </row>
    <row r="3805">
      <c r="A3805" t="n" s="0">
        <v>-61.96</v>
      </c>
      <c r="B3805" t="n" s="0">
        <f>(-5-((((-5*(-5/((-5/(((-5*(-61.96--5))-(-5+((-5*-61.96)*(((-5--5)+(-61.96--5))+-61.96))))-(-5+-5)))*-5)))/-5)--5)+(-5*(((-61.96*(-61.96-(-5/-5)))*(-61.96-(-61.96/(-5*-61.96))))-(-5/-5)))))</f>
        <v>-1197216.05088</v>
      </c>
      <c r="C3805" t="n" s="0">
        <v>-1197216.0508799998</v>
      </c>
    </row>
    <row r="3806">
      <c r="A3806" t="n" s="0">
        <v>-61.95</v>
      </c>
      <c r="B3806" t="n" s="0">
        <f>(-5-((((-5*(-5/((-5/(((-5*(-61.95--5))-(-5+((-5*-61.95)*(((-5--5)+(-61.95--5))+-61.95))))-(-5+-5)))*-5)))/-5)--5)+(-5*(((-61.95*(-61.95-(-5/-5)))*(-61.95-(-61.95/(-5*-61.95))))-(-5/-5)))))</f>
        <v>-1196637.7793750002</v>
      </c>
      <c r="C3806" t="n" s="0">
        <v>-1196637.7793750002</v>
      </c>
    </row>
    <row r="3807">
      <c r="A3807" t="n" s="0">
        <v>-61.94</v>
      </c>
      <c r="B3807" t="n" s="0">
        <f>(-5-((((-5*(-5/((-5/(((-5*(-61.94--5))-(-5+((-5*-61.94)*(((-5--5)+(-61.94--5))+-61.94))))-(-5+-5)))*-5)))/-5)--5)+(-5*(((-61.94*(-61.94-(-5/-5)))*(-61.94-(-61.94/(-5*-61.94))))-(-5/-5)))))</f>
        <v>-1196059.6941200001</v>
      </c>
      <c r="C3807" t="n" s="0">
        <v>-1196059.69412</v>
      </c>
    </row>
    <row r="3808">
      <c r="A3808" t="n" s="0">
        <v>-61.93</v>
      </c>
      <c r="B3808" t="n" s="0">
        <f>(-5-((((-5*(-5/((-5/(((-5*(-61.93--5))-(-5+((-5*-61.93)*(((-5--5)+(-61.93--5))+-61.93))))-(-5+-5)))*-5)))/-5)--5)+(-5*(((-61.93*(-61.93-(-5/-5)))*(-61.93-(-61.93/(-5*-61.93))))-(-5/-5)))))</f>
        <v>-1195481.7950849999</v>
      </c>
      <c r="C3808" t="n" s="0">
        <v>-1195481.795085</v>
      </c>
    </row>
    <row r="3809">
      <c r="A3809" t="n" s="0">
        <v>-61.92</v>
      </c>
      <c r="B3809" t="n" s="0">
        <f>(-5-((((-5*(-5/((-5/(((-5*(-61.92--5))-(-5+((-5*-61.92)*(((-5--5)+(-61.92--5))+-61.92))))-(-5+-5)))*-5)))/-5)--5)+(-5*(((-61.92*(-61.92-(-5/-5)))*(-61.92-(-61.92/(-5*-61.92))))-(-5/-5)))))</f>
        <v>-1194904.0822400001</v>
      </c>
      <c r="C3809" t="n" s="0">
        <v>-1194904.0822400001</v>
      </c>
    </row>
    <row r="3810">
      <c r="A3810" t="n" s="0">
        <v>-61.91</v>
      </c>
      <c r="B3810" t="n" s="0">
        <f>(-5-((((-5*(-5/((-5/(((-5*(-61.91--5))-(-5+((-5*-61.91)*(((-5--5)+(-61.91--5))+-61.91))))-(-5+-5)))*-5)))/-5)--5)+(-5*(((-61.91*(-61.91-(-5/-5)))*(-61.91-(-61.91/(-5*-61.91))))-(-5/-5)))))</f>
        <v>-1194326.555555</v>
      </c>
      <c r="C3810" t="n" s="0">
        <v>-1194326.5555549997</v>
      </c>
    </row>
    <row r="3811">
      <c r="A3811" t="n" s="0">
        <v>-61.9</v>
      </c>
      <c r="B3811" t="n" s="0">
        <f>(-5-((((-5*(-5/((-5/(((-5*(-61.9--5))-(-5+((-5*-61.9)*(((-5--5)+(-61.9--5))+-61.9))))-(-5+-5)))*-5)))/-5)--5)+(-5*(((-61.9*(-61.9-(-5/-5)))*(-61.9-(-61.9/(-5*-61.9))))-(-5/-5)))))</f>
        <v>-1193749.215</v>
      </c>
      <c r="C3811" t="n" s="0">
        <v>-1193749.2149999999</v>
      </c>
    </row>
    <row r="3812">
      <c r="A3812" t="n" s="0">
        <v>-61.89</v>
      </c>
      <c r="B3812" t="n" s="0">
        <f>(-5-((((-5*(-5/((-5/(((-5*(-61.89--5))-(-5+((-5*-61.89)*(((-5--5)+(-61.89--5))+-61.89))))-(-5+-5)))*-5)))/-5)--5)+(-5*(((-61.89*(-61.89-(-5/-5)))*(-61.89-(-61.89/(-5*-61.89))))-(-5/-5)))))</f>
        <v>-1193172.060545</v>
      </c>
      <c r="C3812" t="n" s="0">
        <v>-1193172.060545</v>
      </c>
    </row>
    <row r="3813">
      <c r="A3813" t="n" s="0">
        <v>-61.88</v>
      </c>
      <c r="B3813" t="n" s="0">
        <f>(-5-((((-5*(-5/((-5/(((-5*(-61.88--5))-(-5+((-5*-61.88)*(((-5--5)+(-61.88--5))+-61.88))))-(-5+-5)))*-5)))/-5)--5)+(-5*(((-61.88*(-61.88-(-5/-5)))*(-61.88-(-61.88/(-5*-61.88))))-(-5/-5)))))</f>
        <v>-1192595.09216</v>
      </c>
      <c r="C3813" t="n" s="0">
        <v>-1192595.09216</v>
      </c>
    </row>
    <row r="3814">
      <c r="A3814" t="n" s="0">
        <v>-61.87</v>
      </c>
      <c r="B3814" t="n" s="0">
        <f>(-5-((((-5*(-5/((-5/(((-5*(-61.87--5))-(-5+((-5*-61.87)*(((-5--5)+(-61.87--5))+-61.87))))-(-5+-5)))*-5)))/-5)--5)+(-5*(((-61.87*(-61.87-(-5/-5)))*(-61.87-(-61.87/(-5*-61.87))))-(-5/-5)))))</f>
        <v>-1192018.309815</v>
      </c>
      <c r="C3814" t="n" s="0">
        <v>-1192018.309815</v>
      </c>
    </row>
    <row r="3815">
      <c r="A3815" t="n" s="0">
        <v>-61.86</v>
      </c>
      <c r="B3815" t="n" s="0">
        <f>(-5-((((-5*(-5/((-5/(((-5*(-61.86--5))-(-5+((-5*-61.86)*(((-5--5)+(-61.86--5))+-61.86))))-(-5+-5)))*-5)))/-5)--5)+(-5*(((-61.86*(-61.86-(-5/-5)))*(-61.86-(-61.86/(-5*-61.86))))-(-5/-5)))))</f>
        <v>-1191441.71348</v>
      </c>
      <c r="C3815" t="n" s="0">
        <v>-1191441.71348</v>
      </c>
    </row>
    <row r="3816">
      <c r="A3816" t="n" s="0">
        <v>-61.85</v>
      </c>
      <c r="B3816" t="n" s="0">
        <f>(-5-((((-5*(-5/((-5/(((-5*(-61.85--5))-(-5+((-5*-61.85)*(((-5--5)+(-61.85--5))+-61.85))))-(-5+-5)))*-5)))/-5)--5)+(-5*(((-61.85*(-61.85-(-5/-5)))*(-61.85-(-61.85/(-5*-61.85))))-(-5/-5)))))</f>
        <v>-1190865.3031249999</v>
      </c>
      <c r="C3816" t="n" s="0">
        <v>-1190865.303125</v>
      </c>
    </row>
    <row r="3817">
      <c r="A3817" t="n" s="0">
        <v>-61.84</v>
      </c>
      <c r="B3817" t="n" s="0">
        <f>(-5-((((-5*(-5/((-5/(((-5*(-61.84--5))-(-5+((-5*-61.84)*(((-5--5)+(-61.84--5))+-61.84))))-(-5+-5)))*-5)))/-5)--5)+(-5*(((-61.84*(-61.84-(-5/-5)))*(-61.84-(-61.84/(-5*-61.84))))-(-5/-5)))))</f>
        <v>-1190289.0787199999</v>
      </c>
      <c r="C3817" t="n" s="0">
        <v>-1190289.07872</v>
      </c>
    </row>
    <row r="3818">
      <c r="A3818" t="n" s="0">
        <v>-61.83</v>
      </c>
      <c r="B3818" t="n" s="0">
        <f>(-5-((((-5*(-5/((-5/(((-5*(-61.83--5))-(-5+((-5*-61.83)*(((-5--5)+(-61.83--5))+-61.83))))-(-5+-5)))*-5)))/-5)--5)+(-5*(((-61.83*(-61.83-(-5/-5)))*(-61.83-(-61.83/(-5*-61.83))))-(-5/-5)))))</f>
        <v>-1189713.040235</v>
      </c>
      <c r="C3818" t="n" s="0">
        <v>-1189713.0402349997</v>
      </c>
    </row>
    <row r="3819">
      <c r="A3819" t="n" s="0">
        <v>-61.82</v>
      </c>
      <c r="B3819" t="n" s="0">
        <f>(-5-((((-5*(-5/((-5/(((-5*(-61.82--5))-(-5+((-5*-61.82)*(((-5--5)+(-61.82--5))+-61.82))))-(-5+-5)))*-5)))/-5)--5)+(-5*(((-61.82*(-61.82-(-5/-5)))*(-61.82-(-61.82/(-5*-61.82))))-(-5/-5)))))</f>
        <v>-1189137.18764</v>
      </c>
      <c r="C3819" t="n" s="0">
        <v>-1189137.18764</v>
      </c>
    </row>
    <row r="3820">
      <c r="A3820" t="n" s="0">
        <v>-61.81</v>
      </c>
      <c r="B3820" t="n" s="0">
        <f>(-5-((((-5*(-5/((-5/(((-5*(-61.81--5))-(-5+((-5*-61.81)*(((-5--5)+(-61.81--5))+-61.81))))-(-5+-5)))*-5)))/-5)--5)+(-5*(((-61.81*(-61.81-(-5/-5)))*(-61.81-(-61.81/(-5*-61.81))))-(-5/-5)))))</f>
        <v>-1188561.5209050002</v>
      </c>
      <c r="C3820" t="n" s="0">
        <v>-1188561.5209050002</v>
      </c>
    </row>
    <row r="3821">
      <c r="A3821" t="n" s="0">
        <v>-61.8</v>
      </c>
      <c r="B3821" t="n" s="0">
        <f>(-5-((((-5*(-5/((-5/(((-5*(-61.8--5))-(-5+((-5*-61.8)*(((-5--5)+(-61.8--5))+-61.8))))-(-5+-5)))*-5)))/-5)--5)+(-5*(((-61.8*(-61.8-(-5/-5)))*(-61.8-(-61.8/(-5*-61.8))))-(-5/-5)))))</f>
        <v>-1187986.04</v>
      </c>
      <c r="C3821" t="n" s="0">
        <v>-1187986.0399999998</v>
      </c>
    </row>
    <row r="3822">
      <c r="A3822" t="n" s="0">
        <v>-61.79</v>
      </c>
      <c r="B3822" t="n" s="0">
        <f>(-5-((((-5*(-5/((-5/(((-5*(-61.79--5))-(-5+((-5*-61.79)*(((-5--5)+(-61.79--5))+-61.79))))-(-5+-5)))*-5)))/-5)--5)+(-5*(((-61.79*(-61.79-(-5/-5)))*(-61.79-(-61.79/(-5*-61.79))))-(-5/-5)))))</f>
        <v>-1187410.744895</v>
      </c>
      <c r="C3822" t="n" s="0">
        <v>-1187410.744895</v>
      </c>
    </row>
    <row r="3823">
      <c r="A3823" t="n" s="0">
        <v>-61.78</v>
      </c>
      <c r="B3823" t="n" s="0">
        <f>(-5-((((-5*(-5/((-5/(((-5*(-61.78--5))-(-5+((-5*-61.78)*(((-5--5)+(-61.78--5))+-61.78))))-(-5+-5)))*-5)))/-5)--5)+(-5*(((-61.78*(-61.78-(-5/-5)))*(-61.78-(-61.78/(-5*-61.78))))-(-5/-5)))))</f>
        <v>-1186835.63556</v>
      </c>
      <c r="C3823" t="n" s="0">
        <v>-1186835.63556</v>
      </c>
    </row>
    <row r="3824">
      <c r="A3824" t="n" s="0">
        <v>-61.77</v>
      </c>
      <c r="B3824" t="n" s="0">
        <f>(-5-((((-5*(-5/((-5/(((-5*(-61.77--5))-(-5+((-5*-61.77)*(((-5--5)+(-61.77--5))+-61.77))))-(-5+-5)))*-5)))/-5)--5)+(-5*(((-61.77*(-61.77-(-5/-5)))*(-61.77-(-61.77/(-5*-61.77))))-(-5/-5)))))</f>
        <v>-1186260.711965</v>
      </c>
      <c r="C3824" t="n" s="0">
        <v>-1186260.7119650003</v>
      </c>
    </row>
    <row r="3825">
      <c r="A3825" t="n" s="0">
        <v>-61.76</v>
      </c>
      <c r="B3825" t="n" s="0">
        <f>(-5-((((-5*(-5/((-5/(((-5*(-61.76--5))-(-5+((-5*-61.76)*(((-5--5)+(-61.76--5))+-61.76))))-(-5+-5)))*-5)))/-5)--5)+(-5*(((-61.76*(-61.76-(-5/-5)))*(-61.76-(-61.76/(-5*-61.76))))-(-5/-5)))))</f>
        <v>-1185685.9740799998</v>
      </c>
      <c r="C3825" t="n" s="0">
        <v>-1185685.97408</v>
      </c>
    </row>
    <row r="3826">
      <c r="A3826" t="n" s="0">
        <v>-61.75</v>
      </c>
      <c r="B3826" t="n" s="0">
        <f>(-5-((((-5*(-5/((-5/(((-5*(-61.75--5))-(-5+((-5*-61.75)*(((-5--5)+(-61.75--5))+-61.75))))-(-5+-5)))*-5)))/-5)--5)+(-5*(((-61.75*(-61.75-(-5/-5)))*(-61.75-(-61.75/(-5*-61.75))))-(-5/-5)))))</f>
        <v>-1185111.421875</v>
      </c>
      <c r="C3826" t="n" s="0">
        <v>-1185111.421875</v>
      </c>
    </row>
    <row r="3827">
      <c r="A3827" t="n" s="0">
        <v>-61.74</v>
      </c>
      <c r="B3827" t="n" s="0">
        <f>(-5-((((-5*(-5/((-5/(((-5*(-61.74--5))-(-5+((-5*-61.74)*(((-5--5)+(-61.74--5))+-61.74))))-(-5+-5)))*-5)))/-5)--5)+(-5*(((-61.74*(-61.74-(-5/-5)))*(-61.74-(-61.74/(-5*-61.74))))-(-5/-5)))))</f>
        <v>-1184537.05532</v>
      </c>
      <c r="C3827" t="n" s="0">
        <v>-1184537.05532</v>
      </c>
    </row>
    <row r="3828">
      <c r="A3828" t="n" s="0">
        <v>-61.73</v>
      </c>
      <c r="B3828" t="n" s="0">
        <f>(-5-((((-5*(-5/((-5/(((-5*(-61.73--5))-(-5+((-5*-61.73)*(((-5--5)+(-61.73--5))+-61.73))))-(-5+-5)))*-5)))/-5)--5)+(-5*(((-61.73*(-61.73-(-5/-5)))*(-61.73-(-61.73/(-5*-61.73))))-(-5/-5)))))</f>
        <v>-1183962.874385</v>
      </c>
      <c r="C3828" t="n" s="0">
        <v>-1183962.8743849997</v>
      </c>
    </row>
    <row r="3829">
      <c r="A3829" t="n" s="0">
        <v>-61.72</v>
      </c>
      <c r="B3829" t="n" s="0">
        <f>(-5-((((-5*(-5/((-5/(((-5*(-61.72--5))-(-5+((-5*-61.72)*(((-5--5)+(-61.72--5))+-61.72))))-(-5+-5)))*-5)))/-5)--5)+(-5*(((-61.72*(-61.72-(-5/-5)))*(-61.72-(-61.72/(-5*-61.72))))-(-5/-5)))))</f>
        <v>-1183388.87904</v>
      </c>
      <c r="C3829" t="n" s="0">
        <v>-1183388.8790399998</v>
      </c>
    </row>
    <row r="3830">
      <c r="A3830" t="n" s="0">
        <v>-61.71</v>
      </c>
      <c r="B3830" t="n" s="0">
        <f>(-5-((((-5*(-5/((-5/(((-5*(-61.71--5))-(-5+((-5*-61.71)*(((-5--5)+(-61.71--5))+-61.71))))-(-5+-5)))*-5)))/-5)--5)+(-5*(((-61.71*(-61.71-(-5/-5)))*(-61.71-(-61.71/(-5*-61.71))))-(-5/-5)))))</f>
        <v>-1182815.069255</v>
      </c>
      <c r="C3830" t="n" s="0">
        <v>-1182815.069255</v>
      </c>
    </row>
    <row r="3831">
      <c r="A3831" t="n" s="0">
        <v>-61.7</v>
      </c>
      <c r="B3831" t="n" s="0">
        <f>(-5-((((-5*(-5/((-5/(((-5*(-61.7--5))-(-5+((-5*-61.7)*(((-5--5)+(-61.7--5))+-61.7))))-(-5+-5)))*-5)))/-5)--5)+(-5*(((-61.7*(-61.7-(-5/-5)))*(-61.7-(-61.7/(-5*-61.7))))-(-5/-5)))))</f>
        <v>-1182241.445</v>
      </c>
      <c r="C3831" t="n" s="0">
        <v>-1182241.4450000003</v>
      </c>
    </row>
    <row r="3832">
      <c r="A3832" t="n" s="0">
        <v>-61.69</v>
      </c>
      <c r="B3832" t="n" s="0">
        <f>(-5-((((-5*(-5/((-5/(((-5*(-61.69--5))-(-5+((-5*-61.69)*(((-5--5)+(-61.69--5))+-61.69))))-(-5+-5)))*-5)))/-5)--5)+(-5*(((-61.69*(-61.69-(-5/-5)))*(-61.69-(-61.69/(-5*-61.69))))-(-5/-5)))))</f>
        <v>-1181668.006245</v>
      </c>
      <c r="C3832" t="n" s="0">
        <v>-1181668.0062449998</v>
      </c>
    </row>
    <row r="3833">
      <c r="A3833" t="n" s="0">
        <v>-61.68</v>
      </c>
      <c r="B3833" t="n" s="0">
        <f>(-5-((((-5*(-5/((-5/(((-5*(-61.68--5))-(-5+((-5*-61.68)*(((-5--5)+(-61.68--5))+-61.68))))-(-5+-5)))*-5)))/-5)--5)+(-5*(((-61.68*(-61.68-(-5/-5)))*(-61.68-(-61.68/(-5*-61.68))))-(-5/-5)))))</f>
        <v>-1181094.75296</v>
      </c>
      <c r="C3833" t="n" s="0">
        <v>-1181094.7529600002</v>
      </c>
    </row>
    <row r="3834">
      <c r="A3834" t="n" s="0">
        <v>-61.67</v>
      </c>
      <c r="B3834" t="n" s="0">
        <f>(-5-((((-5*(-5/((-5/(((-5*(-61.67--5))-(-5+((-5*-61.67)*(((-5--5)+(-61.67--5))+-61.67))))-(-5+-5)))*-5)))/-5)--5)+(-5*(((-61.67*(-61.67-(-5/-5)))*(-61.67-(-61.67/(-5*-61.67))))-(-5/-5)))))</f>
        <v>-1180521.685115</v>
      </c>
      <c r="C3834" t="n" s="0">
        <v>-1180521.685115</v>
      </c>
    </row>
    <row r="3835">
      <c r="A3835" t="n" s="0">
        <v>-61.66</v>
      </c>
      <c r="B3835" t="n" s="0">
        <f>(-5-((((-5*(-5/((-5/(((-5*(-61.66--5))-(-5+((-5*-61.66)*(((-5--5)+(-61.66--5))+-61.66))))-(-5+-5)))*-5)))/-5)--5)+(-5*(((-61.66*(-61.66-(-5/-5)))*(-61.66-(-61.66/(-5*-61.66))))-(-5/-5)))))</f>
        <v>-1179948.80268</v>
      </c>
      <c r="C3835" t="n" s="0">
        <v>-1179948.8026799997</v>
      </c>
    </row>
    <row r="3836">
      <c r="A3836" t="n" s="0">
        <v>-61.65</v>
      </c>
      <c r="B3836" t="n" s="0">
        <f>(-5-((((-5*(-5/((-5/(((-5*(-61.65--5))-(-5+((-5*-61.65)*(((-5--5)+(-61.65--5))+-61.65))))-(-5+-5)))*-5)))/-5)--5)+(-5*(((-61.65*(-61.65-(-5/-5)))*(-61.65-(-61.65/(-5*-61.65))))-(-5/-5)))))</f>
        <v>-1179376.105625</v>
      </c>
      <c r="C3836" t="n" s="0">
        <v>-1179376.1056249999</v>
      </c>
    </row>
    <row r="3837">
      <c r="A3837" t="n" s="0">
        <v>-61.64</v>
      </c>
      <c r="B3837" t="n" s="0">
        <f>(-5-((((-5*(-5/((-5/(((-5*(-61.64--5))-(-5+((-5*-61.64)*(((-5--5)+(-61.64--5))+-61.64))))-(-5+-5)))*-5)))/-5)--5)+(-5*(((-61.64*(-61.64-(-5/-5)))*(-61.64-(-61.64/(-5*-61.64))))-(-5/-5)))))</f>
        <v>-1178803.5939200001</v>
      </c>
      <c r="C3837" t="n" s="0">
        <v>-1178803.59392</v>
      </c>
    </row>
    <row r="3838">
      <c r="A3838" t="n" s="0">
        <v>-61.63</v>
      </c>
      <c r="B3838" t="n" s="0">
        <f>(-5-((((-5*(-5/((-5/(((-5*(-61.63--5))-(-5+((-5*-61.63)*(((-5--5)+(-61.63--5))+-61.63))))-(-5+-5)))*-5)))/-5)--5)+(-5*(((-61.63*(-61.63-(-5/-5)))*(-61.63-(-61.63/(-5*-61.63))))-(-5/-5)))))</f>
        <v>-1178231.2675349999</v>
      </c>
      <c r="C3838" t="n" s="0">
        <v>-1178231.267535</v>
      </c>
    </row>
    <row r="3839">
      <c r="A3839" t="n" s="0">
        <v>-61.62</v>
      </c>
      <c r="B3839" t="n" s="0">
        <f>(-5-((((-5*(-5/((-5/(((-5*(-61.62--5))-(-5+((-5*-61.62)*(((-5--5)+(-61.62--5))+-61.62))))-(-5+-5)))*-5)))/-5)--5)+(-5*(((-61.62*(-61.62-(-5/-5)))*(-61.62-(-61.62/(-5*-61.62))))-(-5/-5)))))</f>
        <v>-1177659.12644</v>
      </c>
      <c r="C3839" t="n" s="0">
        <v>-1177659.1264399998</v>
      </c>
    </row>
    <row r="3840">
      <c r="A3840" t="n" s="0">
        <v>-61.61</v>
      </c>
      <c r="B3840" t="n" s="0">
        <f>(-5-((((-5*(-5/((-5/(((-5*(-61.61--5))-(-5+((-5*-61.61)*(((-5--5)+(-61.61--5))+-61.61))))-(-5+-5)))*-5)))/-5)--5)+(-5*(((-61.61*(-61.61-(-5/-5)))*(-61.61-(-61.61/(-5*-61.61))))-(-5/-5)))))</f>
        <v>-1177087.170605</v>
      </c>
      <c r="C3840" t="n" s="0">
        <v>-1177087.170605</v>
      </c>
    </row>
    <row r="3841">
      <c r="A3841" t="n" s="0">
        <v>-61.6</v>
      </c>
      <c r="B3841" t="n" s="0">
        <f>(-5-((((-5*(-5/((-5/(((-5*(-61.6--5))-(-5+((-5*-61.6)*(((-5--5)+(-61.6--5))+-61.6))))-(-5+-5)))*-5)))/-5)--5)+(-5*(((-61.6*(-61.6-(-5/-5)))*(-61.6-(-61.6/(-5*-61.6))))-(-5/-5)))))</f>
        <v>-1176515.4000000001</v>
      </c>
      <c r="C3841" t="n" s="0">
        <v>-1176515.4000000001</v>
      </c>
    </row>
    <row r="3842">
      <c r="A3842" t="n" s="0">
        <v>-61.59</v>
      </c>
      <c r="B3842" t="n" s="0">
        <f>(-5-((((-5*(-5/((-5/(((-5*(-61.59--5))-(-5+((-5*-61.59)*(((-5--5)+(-61.59--5))+-61.59))))-(-5+-5)))*-5)))/-5)--5)+(-5*(((-61.59*(-61.59-(-5/-5)))*(-61.59-(-61.59/(-5*-61.59))))-(-5/-5)))))</f>
        <v>-1175943.8145950001</v>
      </c>
      <c r="C3842" t="n" s="0">
        <v>-1175943.8145950004</v>
      </c>
    </row>
    <row r="3843">
      <c r="A3843" t="n" s="0">
        <v>-61.58</v>
      </c>
      <c r="B3843" t="n" s="0">
        <f>(-5-((((-5*(-5/((-5/(((-5*(-61.58--5))-(-5+((-5*-61.58)*(((-5--5)+(-61.58--5))+-61.58))))-(-5+-5)))*-5)))/-5)--5)+(-5*(((-61.58*(-61.58-(-5/-5)))*(-61.58-(-61.58/(-5*-61.58))))-(-5/-5)))))</f>
        <v>-1175372.41436</v>
      </c>
      <c r="C3843" t="n" s="0">
        <v>-1175372.41436</v>
      </c>
    </row>
    <row r="3844">
      <c r="A3844" t="n" s="0">
        <v>-61.57</v>
      </c>
      <c r="B3844" t="n" s="0">
        <f>(-5-((((-5*(-5/((-5/(((-5*(-61.57--5))-(-5+((-5*-61.57)*(((-5--5)+(-61.57--5))+-61.57))))-(-5+-5)))*-5)))/-5)--5)+(-5*(((-61.57*(-61.57-(-5/-5)))*(-61.57-(-61.57/(-5*-61.57))))-(-5/-5)))))</f>
        <v>-1174801.199265</v>
      </c>
      <c r="C3844" t="n" s="0">
        <v>-1174801.199265</v>
      </c>
    </row>
    <row r="3845">
      <c r="A3845" t="n" s="0">
        <v>-61.56</v>
      </c>
      <c r="B3845" t="n" s="0">
        <f>(-5-((((-5*(-5/((-5/(((-5*(-61.56--5))-(-5+((-5*-61.56)*(((-5--5)+(-61.56--5))+-61.56))))-(-5+-5)))*-5)))/-5)--5)+(-5*(((-61.56*(-61.56-(-5/-5)))*(-61.56-(-61.56/(-5*-61.56))))-(-5/-5)))))</f>
        <v>-1174230.16928</v>
      </c>
      <c r="C3845" t="n" s="0">
        <v>-1174230.16928</v>
      </c>
    </row>
    <row r="3846">
      <c r="A3846" t="n" s="0">
        <v>-61.55</v>
      </c>
      <c r="B3846" t="n" s="0">
        <f>(-5-((((-5*(-5/((-5/(((-5*(-61.55--5))-(-5+((-5*-61.55)*(((-5--5)+(-61.55--5))+-61.55))))-(-5+-5)))*-5)))/-5)--5)+(-5*(((-61.55*(-61.55-(-5/-5)))*(-61.55-(-61.55/(-5*-61.55))))-(-5/-5)))))</f>
        <v>-1173659.324375</v>
      </c>
      <c r="C3846" t="n" s="0">
        <v>-1173659.3243749996</v>
      </c>
    </row>
    <row r="3847">
      <c r="A3847" t="n" s="0">
        <v>-61.54</v>
      </c>
      <c r="B3847" t="n" s="0">
        <f>(-5-((((-5*(-5/((-5/(((-5*(-61.54--5))-(-5+((-5*-61.54)*(((-5--5)+(-61.54--5))+-61.54))))-(-5+-5)))*-5)))/-5)--5)+(-5*(((-61.54*(-61.54-(-5/-5)))*(-61.54-(-61.54/(-5*-61.54))))-(-5/-5)))))</f>
        <v>-1173088.6645199999</v>
      </c>
      <c r="C3847" t="n" s="0">
        <v>-1173088.66452</v>
      </c>
    </row>
    <row r="3848">
      <c r="A3848" t="n" s="0">
        <v>-61.53</v>
      </c>
      <c r="B3848" t="n" s="0">
        <f>(-5-((((-5*(-5/((-5/(((-5*(-61.53--5))-(-5+((-5*-61.53)*(((-5--5)+(-61.53--5))+-61.53))))-(-5+-5)))*-5)))/-5)--5)+(-5*(((-61.53*(-61.53-(-5/-5)))*(-61.53-(-61.53/(-5*-61.53))))-(-5/-5)))))</f>
        <v>-1172518.189685</v>
      </c>
      <c r="C3848" t="n" s="0">
        <v>-1172518.1896850003</v>
      </c>
    </row>
    <row r="3849">
      <c r="A3849" t="n" s="0">
        <v>-61.52</v>
      </c>
      <c r="B3849" t="n" s="0">
        <f>(-5-((((-5*(-5/((-5/(((-5*(-61.52--5))-(-5+((-5*-61.52)*(((-5--5)+(-61.52--5))+-61.52))))-(-5+-5)))*-5)))/-5)--5)+(-5*(((-61.52*(-61.52-(-5/-5)))*(-61.52-(-61.52/(-5*-61.52))))-(-5/-5)))))</f>
        <v>-1171947.89984</v>
      </c>
      <c r="C3849" t="n" s="0">
        <v>-1171947.8998400003</v>
      </c>
    </row>
    <row r="3850">
      <c r="A3850" t="n" s="0">
        <v>-61.51</v>
      </c>
      <c r="B3850" t="n" s="0">
        <f>(-5-((((-5*(-5/((-5/(((-5*(-61.51--5))-(-5+((-5*-61.51)*(((-5--5)+(-61.51--5))+-61.51))))-(-5+-5)))*-5)))/-5)--5)+(-5*(((-61.51*(-61.51-(-5/-5)))*(-61.51-(-61.51/(-5*-61.51))))-(-5/-5)))))</f>
        <v>-1171377.794955</v>
      </c>
      <c r="C3850" t="n" s="0">
        <v>-1171377.794955</v>
      </c>
    </row>
    <row r="3851">
      <c r="A3851" t="n" s="0">
        <v>-61.5</v>
      </c>
      <c r="B3851" t="n" s="0">
        <f>(-5-((((-5*(-5/((-5/(((-5*(-61.5--5))-(-5+((-5*-61.5)*(((-5--5)+(-61.5--5))+-61.5))))-(-5+-5)))*-5)))/-5)--5)+(-5*(((-61.5*(-61.5-(-5/-5)))*(-61.5-(-61.5/(-5*-61.5))))-(-5/-5)))))</f>
        <v>-1170807.875</v>
      </c>
      <c r="C3851" t="n" s="0">
        <v>-1170807.875</v>
      </c>
    </row>
    <row r="3852">
      <c r="A3852" t="n" s="0">
        <v>-61.49</v>
      </c>
      <c r="B3852" t="n" s="0">
        <f>(-5-((((-5*(-5/((-5/(((-5*(-61.49--5))-(-5+((-5*-61.49)*(((-5--5)+(-61.49--5))+-61.49))))-(-5+-5)))*-5)))/-5)--5)+(-5*(((-61.49*(-61.49-(-5/-5)))*(-61.49-(-61.49/(-5*-61.49))))-(-5/-5)))))</f>
        <v>-1170238.139945</v>
      </c>
      <c r="C3852" t="n" s="0">
        <v>-1170238.139945</v>
      </c>
    </row>
    <row r="3853">
      <c r="A3853" t="n" s="0">
        <v>-61.48</v>
      </c>
      <c r="B3853" t="n" s="0">
        <f>(-5-((((-5*(-5/((-5/(((-5*(-61.48--5))-(-5+((-5*-61.48)*(((-5--5)+(-61.48--5))+-61.48))))-(-5+-5)))*-5)))/-5)--5)+(-5*(((-61.48*(-61.48-(-5/-5)))*(-61.48-(-61.48/(-5*-61.48))))-(-5/-5)))))</f>
        <v>-1169668.5897600001</v>
      </c>
      <c r="C3853" t="n" s="0">
        <v>-1169668.58976</v>
      </c>
    </row>
    <row r="3854">
      <c r="A3854" t="n" s="0">
        <v>-61.47</v>
      </c>
      <c r="B3854" t="n" s="0">
        <f>(-5-((((-5*(-5/((-5/(((-5*(-61.47--5))-(-5+((-5*-61.47)*(((-5--5)+(-61.47--5))+-61.47))))-(-5+-5)))*-5)))/-5)--5)+(-5*(((-61.47*(-61.47-(-5/-5)))*(-61.47-(-61.47/(-5*-61.47))))-(-5/-5)))))</f>
        <v>-1169099.224415</v>
      </c>
      <c r="C3854" t="n" s="0">
        <v>-1169099.224415</v>
      </c>
    </row>
    <row r="3855">
      <c r="A3855" t="n" s="0">
        <v>-61.46</v>
      </c>
      <c r="B3855" t="n" s="0">
        <f>(-5-((((-5*(-5/((-5/(((-5*(-61.46--5))-(-5+((-5*-61.46)*(((-5--5)+(-61.46--5))+-61.46))))-(-5+-5)))*-5)))/-5)--5)+(-5*(((-61.46*(-61.46-(-5/-5)))*(-61.46-(-61.46/(-5*-61.46))))-(-5/-5)))))</f>
        <v>-1168530.04388</v>
      </c>
      <c r="C3855" t="n" s="0">
        <v>-1168530.04388</v>
      </c>
    </row>
    <row r="3856">
      <c r="A3856" t="n" s="0">
        <v>-61.45</v>
      </c>
      <c r="B3856" t="n" s="0">
        <f>(-5-((((-5*(-5/((-5/(((-5*(-61.45--5))-(-5+((-5*-61.45)*(((-5--5)+(-61.45--5))+-61.45))))-(-5+-5)))*-5)))/-5)--5)+(-5*(((-61.45*(-61.45-(-5/-5)))*(-61.45-(-61.45/(-5*-61.45))))-(-5/-5)))))</f>
        <v>-1167961.048125</v>
      </c>
      <c r="C3856" t="n" s="0">
        <v>-1167961.0481250004</v>
      </c>
    </row>
    <row r="3857">
      <c r="A3857" t="n" s="0">
        <v>-61.44</v>
      </c>
      <c r="B3857" t="n" s="0">
        <f>(-5-((((-5*(-5/((-5/(((-5*(-61.44--5))-(-5+((-5*-61.44)*(((-5--5)+(-61.44--5))+-61.44))))-(-5+-5)))*-5)))/-5)--5)+(-5*(((-61.44*(-61.44-(-5/-5)))*(-61.44-(-61.44/(-5*-61.44))))-(-5/-5)))))</f>
        <v>-1167392.23712</v>
      </c>
      <c r="C3857" t="n" s="0">
        <v>-1167392.23712</v>
      </c>
    </row>
    <row r="3858">
      <c r="A3858" t="n" s="0">
        <v>-61.43</v>
      </c>
      <c r="B3858" t="n" s="0">
        <f>(-5-((((-5*(-5/((-5/(((-5*(-61.43--5))-(-5+((-5*-61.43)*(((-5--5)+(-61.43--5))+-61.43))))-(-5+-5)))*-5)))/-5)--5)+(-5*(((-61.43*(-61.43-(-5/-5)))*(-61.43-(-61.43/(-5*-61.43))))-(-5/-5)))))</f>
        <v>-1166823.6108350002</v>
      </c>
      <c r="C3858" t="n" s="0">
        <v>-1166823.610835</v>
      </c>
    </row>
    <row r="3859">
      <c r="A3859" t="n" s="0">
        <v>-61.42</v>
      </c>
      <c r="B3859" t="n" s="0">
        <f>(-5-((((-5*(-5/((-5/(((-5*(-61.42--5))-(-5+((-5*-61.42)*(((-5--5)+(-61.42--5))+-61.42))))-(-5+-5)))*-5)))/-5)--5)+(-5*(((-61.42*(-61.42-(-5/-5)))*(-61.42-(-61.42/(-5*-61.42))))-(-5/-5)))))</f>
        <v>-1166255.16924</v>
      </c>
      <c r="C3859" t="n" s="0">
        <v>-1166255.16924</v>
      </c>
    </row>
    <row r="3860">
      <c r="A3860" t="n" s="0">
        <v>-61.41</v>
      </c>
      <c r="B3860" t="n" s="0">
        <f>(-5-((((-5*(-5/((-5/(((-5*(-61.41--5))-(-5+((-5*-61.41)*(((-5--5)+(-61.41--5))+-61.41))))-(-5+-5)))*-5)))/-5)--5)+(-5*(((-61.41*(-61.41-(-5/-5)))*(-61.41-(-61.41/(-5*-61.41))))-(-5/-5)))))</f>
        <v>-1165686.912305</v>
      </c>
      <c r="C3860" t="n" s="0">
        <v>-1165686.9123049998</v>
      </c>
    </row>
    <row r="3861">
      <c r="A3861" t="n" s="0">
        <v>-61.4</v>
      </c>
      <c r="B3861" t="n" s="0">
        <f>(-5-((((-5*(-5/((-5/(((-5*(-61.4--5))-(-5+((-5*-61.4)*(((-5--5)+(-61.4--5))+-61.4))))-(-5+-5)))*-5)))/-5)--5)+(-5*(((-61.4*(-61.4-(-5/-5)))*(-61.4-(-61.4/(-5*-61.4))))-(-5/-5)))))</f>
        <v>-1165118.8399999999</v>
      </c>
      <c r="C3861" t="n" s="0">
        <v>-1165118.8399999999</v>
      </c>
    </row>
    <row r="3862">
      <c r="A3862" t="n" s="0">
        <v>-61.39</v>
      </c>
      <c r="B3862" t="n" s="0">
        <f>(-5-((((-5*(-5/((-5/(((-5*(-61.39--5))-(-5+((-5*-61.39)*(((-5--5)+(-61.39--5))+-61.39))))-(-5+-5)))*-5)))/-5)--5)+(-5*(((-61.39*(-61.39-(-5/-5)))*(-61.39-(-61.39/(-5*-61.39))))-(-5/-5)))))</f>
        <v>-1164550.952295</v>
      </c>
      <c r="C3862" t="n" s="0">
        <v>-1164550.952295</v>
      </c>
    </row>
    <row r="3863">
      <c r="A3863" t="n" s="0">
        <v>-61.38</v>
      </c>
      <c r="B3863" t="n" s="0">
        <f>(-5-((((-5*(-5/((-5/(((-5*(-61.38--5))-(-5+((-5*-61.38)*(((-5--5)+(-61.38--5))+-61.38))))-(-5+-5)))*-5)))/-5)--5)+(-5*(((-61.38*(-61.38-(-5/-5)))*(-61.38-(-61.38/(-5*-61.38))))-(-5/-5)))))</f>
        <v>-1163983.2491600001</v>
      </c>
      <c r="C3863" t="n" s="0">
        <v>-1163983.2491600001</v>
      </c>
    </row>
    <row r="3864">
      <c r="A3864" t="n" s="0">
        <v>-61.37</v>
      </c>
      <c r="B3864" t="n" s="0">
        <f>(-5-((((-5*(-5/((-5/(((-5*(-61.37--5))-(-5+((-5*-61.37)*(((-5--5)+(-61.37--5))+-61.37))))-(-5+-5)))*-5)))/-5)--5)+(-5*(((-61.37*(-61.37-(-5/-5)))*(-61.37-(-61.37/(-5*-61.37))))-(-5/-5)))))</f>
        <v>-1163415.7305649999</v>
      </c>
      <c r="C3864" t="n" s="0">
        <v>-1163415.730565</v>
      </c>
    </row>
    <row r="3865">
      <c r="A3865" t="n" s="0">
        <v>-61.36</v>
      </c>
      <c r="B3865" t="n" s="0">
        <f>(-5-((((-5*(-5/((-5/(((-5*(-61.36--5))-(-5+((-5*-61.36)*(((-5--5)+(-61.36--5))+-61.36))))-(-5+-5)))*-5)))/-5)--5)+(-5*(((-61.36*(-61.36-(-5/-5)))*(-61.36-(-61.36/(-5*-61.36))))-(-5/-5)))))</f>
        <v>-1162848.3964799999</v>
      </c>
      <c r="C3865" t="n" s="0">
        <v>-1162848.39648</v>
      </c>
    </row>
    <row r="3866">
      <c r="A3866" t="n" s="0">
        <v>-61.35</v>
      </c>
      <c r="B3866" t="n" s="0">
        <f>(-5-((((-5*(-5/((-5/(((-5*(-61.35--5))-(-5+((-5*-61.35)*(((-5--5)+(-61.35--5))+-61.35))))-(-5+-5)))*-5)))/-5)--5)+(-5*(((-61.35*(-61.35-(-5/-5)))*(-61.35-(-61.35/(-5*-61.35))))-(-5/-5)))))</f>
        <v>-1162281.246875</v>
      </c>
      <c r="C3866" t="n" s="0">
        <v>-1162281.2468750002</v>
      </c>
    </row>
    <row r="3867">
      <c r="A3867" t="n" s="0">
        <v>-61.34</v>
      </c>
      <c r="B3867" t="n" s="0">
        <f>(-5-((((-5*(-5/((-5/(((-5*(-61.34--5))-(-5+((-5*-61.34)*(((-5--5)+(-61.34--5))+-61.34))))-(-5+-5)))*-5)))/-5)--5)+(-5*(((-61.34*(-61.34-(-5/-5)))*(-61.34-(-61.34/(-5*-61.34))))-(-5/-5)))))</f>
        <v>-1161714.28172</v>
      </c>
      <c r="C3867" t="n" s="0">
        <v>-1161714.28172</v>
      </c>
    </row>
    <row r="3868">
      <c r="A3868" t="n" s="0">
        <v>-61.33</v>
      </c>
      <c r="B3868" t="n" s="0">
        <f>(-5-((((-5*(-5/((-5/(((-5*(-61.33--5))-(-5+((-5*-61.33)*(((-5--5)+(-61.33--5))+-61.33))))-(-5+-5)))*-5)))/-5)--5)+(-5*(((-61.33*(-61.33-(-5/-5)))*(-61.33-(-61.33/(-5*-61.33))))-(-5/-5)))))</f>
        <v>-1161147.500985</v>
      </c>
      <c r="C3868" t="n" s="0">
        <v>-1161147.5009849998</v>
      </c>
    </row>
    <row r="3869">
      <c r="A3869" t="n" s="0">
        <v>-61.32</v>
      </c>
      <c r="B3869" t="n" s="0">
        <f>(-5-((((-5*(-5/((-5/(((-5*(-61.32--5))-(-5+((-5*-61.32)*(((-5--5)+(-61.32--5))+-61.32))))-(-5+-5)))*-5)))/-5)--5)+(-5*(((-61.32*(-61.32-(-5/-5)))*(-61.32-(-61.32/(-5*-61.32))))-(-5/-5)))))</f>
        <v>-1160580.90464</v>
      </c>
      <c r="C3869" t="n" s="0">
        <v>-1160580.9046399998</v>
      </c>
    </row>
    <row r="3870">
      <c r="A3870" t="n" s="0">
        <v>-61.31</v>
      </c>
      <c r="B3870" t="n" s="0">
        <f>(-5-((((-5*(-5/((-5/(((-5*(-61.31--5))-(-5+((-5*-61.31)*(((-5--5)+(-61.31--5))+-61.31))))-(-5+-5)))*-5)))/-5)--5)+(-5*(((-61.31*(-61.31-(-5/-5)))*(-61.31-(-61.31/(-5*-61.31))))-(-5/-5)))))</f>
        <v>-1160014.492655</v>
      </c>
      <c r="C3870" t="n" s="0">
        <v>-1160014.4926550002</v>
      </c>
    </row>
    <row r="3871">
      <c r="A3871" t="n" s="0">
        <v>-61.3</v>
      </c>
      <c r="B3871" t="n" s="0">
        <f>(-5-((((-5*(-5/((-5/(((-5*(-61.3--5))-(-5+((-5*-61.3)*(((-5--5)+(-61.3--5))+-61.3))))-(-5+-5)))*-5)))/-5)--5)+(-5*(((-61.3*(-61.3-(-5/-5)))*(-61.3-(-61.3/(-5*-61.3))))-(-5/-5)))))</f>
        <v>-1159448.2650000001</v>
      </c>
      <c r="C3871" t="n" s="0">
        <v>-1159448.2649999997</v>
      </c>
    </row>
    <row r="3872">
      <c r="A3872" t="n" s="0">
        <v>-61.29</v>
      </c>
      <c r="B3872" t="n" s="0">
        <f>(-5-((((-5*(-5/((-5/(((-5*(-61.29--5))-(-5+((-5*-61.29)*(((-5--5)+(-61.29--5))+-61.29))))-(-5+-5)))*-5)))/-5)--5)+(-5*(((-61.29*(-61.29-(-5/-5)))*(-61.29-(-61.29/(-5*-61.29))))-(-5/-5)))))</f>
        <v>-1158882.221645</v>
      </c>
      <c r="C3872" t="n" s="0">
        <v>-1158882.221645</v>
      </c>
    </row>
    <row r="3873">
      <c r="A3873" t="n" s="0">
        <v>-61.28</v>
      </c>
      <c r="B3873" t="n" s="0">
        <f>(-5-((((-5*(-5/((-5/(((-5*(-61.28--5))-(-5+((-5*-61.28)*(((-5--5)+(-61.28--5))+-61.28))))-(-5+-5)))*-5)))/-5)--5)+(-5*(((-61.28*(-61.28-(-5/-5)))*(-61.28-(-61.28/(-5*-61.28))))-(-5/-5)))))</f>
        <v>-1158316.36256</v>
      </c>
      <c r="C3873" t="n" s="0">
        <v>-1158316.3625600003</v>
      </c>
    </row>
    <row r="3874">
      <c r="A3874" t="n" s="0">
        <v>-61.27</v>
      </c>
      <c r="B3874" t="n" s="0">
        <f>(-5-((((-5*(-5/((-5/(((-5*(-61.27--5))-(-5+((-5*-61.27)*(((-5--5)+(-61.27--5))+-61.27))))-(-5+-5)))*-5)))/-5)--5)+(-5*(((-61.27*(-61.27-(-5/-5)))*(-61.27-(-61.27/(-5*-61.27))))-(-5/-5)))))</f>
        <v>-1157750.687715</v>
      </c>
      <c r="C3874" t="n" s="0">
        <v>-1157750.6877150002</v>
      </c>
    </row>
    <row r="3875">
      <c r="A3875" t="n" s="0">
        <v>-61.26</v>
      </c>
      <c r="B3875" t="n" s="0">
        <f>(-5-((((-5*(-5/((-5/(((-5*(-61.26--5))-(-5+((-5*-61.26)*(((-5--5)+(-61.26--5))+-61.26))))-(-5+-5)))*-5)))/-5)--5)+(-5*(((-61.26*(-61.26-(-5/-5)))*(-61.26-(-61.26/(-5*-61.26))))-(-5/-5)))))</f>
        <v>-1157185.19708</v>
      </c>
      <c r="C3875" t="n" s="0">
        <v>-1157185.1970799998</v>
      </c>
    </row>
    <row r="3876">
      <c r="A3876" t="n" s="0">
        <v>-61.25</v>
      </c>
      <c r="B3876" t="n" s="0">
        <f>(-5-((((-5*(-5/((-5/(((-5*(-61.25--5))-(-5+((-5*-61.25)*(((-5--5)+(-61.25--5))+-61.25))))-(-5+-5)))*-5)))/-5)--5)+(-5*(((-61.25*(-61.25-(-5/-5)))*(-61.25-(-61.25/(-5*-61.25))))-(-5/-5)))))</f>
        <v>-1156619.890625</v>
      </c>
      <c r="C3876" t="n" s="0">
        <v>-1156619.890625</v>
      </c>
    </row>
    <row r="3877">
      <c r="A3877" t="n" s="0">
        <v>-61.24</v>
      </c>
      <c r="B3877" t="n" s="0">
        <f>(-5-((((-5*(-5/((-5/(((-5*(-61.24--5))-(-5+((-5*-61.24)*(((-5--5)+(-61.24--5))+-61.24))))-(-5+-5)))*-5)))/-5)--5)+(-5*(((-61.24*(-61.24-(-5/-5)))*(-61.24-(-61.24/(-5*-61.24))))-(-5/-5)))))</f>
        <v>-1156054.76832</v>
      </c>
      <c r="C3877" t="n" s="0">
        <v>-1156054.76832</v>
      </c>
    </row>
    <row r="3878">
      <c r="A3878" t="n" s="0">
        <v>-61.23</v>
      </c>
      <c r="B3878" t="n" s="0">
        <f>(-5-((((-5*(-5/((-5/(((-5*(-61.23--5))-(-5+((-5*-61.23)*(((-5--5)+(-61.23--5))+-61.23))))-(-5+-5)))*-5)))/-5)--5)+(-5*(((-61.23*(-61.23-(-5/-5)))*(-61.23-(-61.23/(-5*-61.23))))-(-5/-5)))))</f>
        <v>-1155489.830135</v>
      </c>
      <c r="C3878" t="n" s="0">
        <v>-1155489.8301349997</v>
      </c>
    </row>
    <row r="3879">
      <c r="A3879" t="n" s="0">
        <v>-61.22</v>
      </c>
      <c r="B3879" t="n" s="0">
        <f>(-5-((((-5*(-5/((-5/(((-5*(-61.22--5))-(-5+((-5*-61.22)*(((-5--5)+(-61.22--5))+-61.22))))-(-5+-5)))*-5)))/-5)--5)+(-5*(((-61.22*(-61.22-(-5/-5)))*(-61.22-(-61.22/(-5*-61.22))))-(-5/-5)))))</f>
        <v>-1154925.07604</v>
      </c>
      <c r="C3879" t="n" s="0">
        <v>-1154925.07604</v>
      </c>
    </row>
    <row r="3880">
      <c r="A3880" t="n" s="0">
        <v>-61.21</v>
      </c>
      <c r="B3880" t="n" s="0">
        <f>(-5-((((-5*(-5/((-5/(((-5*(-61.21--5))-(-5+((-5*-61.21)*(((-5--5)+(-61.21--5))+-61.21))))-(-5+-5)))*-5)))/-5)--5)+(-5*(((-61.21*(-61.21-(-5/-5)))*(-61.21-(-61.21/(-5*-61.21))))-(-5/-5)))))</f>
        <v>-1154360.506005</v>
      </c>
      <c r="C3880" t="n" s="0">
        <v>-1154360.506005</v>
      </c>
    </row>
    <row r="3881">
      <c r="A3881" t="n" s="0">
        <v>-61.2</v>
      </c>
      <c r="B3881" t="n" s="0">
        <f>(-5-((((-5*(-5/((-5/(((-5*(-61.2--5))-(-5+((-5*-61.2)*(((-5--5)+(-61.2--5))+-61.2))))-(-5+-5)))*-5)))/-5)--5)+(-5*(((-61.2*(-61.2-(-5/-5)))*(-61.2-(-61.2/(-5*-61.2))))-(-5/-5)))))</f>
        <v>-1153796.1199999999</v>
      </c>
      <c r="C3881" t="n" s="0">
        <v>-1153796.12</v>
      </c>
    </row>
    <row r="3882">
      <c r="A3882" t="n" s="0">
        <v>-61.19</v>
      </c>
      <c r="B3882" t="n" s="0">
        <f>(-5-((((-5*(-5/((-5/(((-5*(-61.19--5))-(-5+((-5*-61.19)*(((-5--5)+(-61.19--5))+-61.19))))-(-5+-5)))*-5)))/-5)--5)+(-5*(((-61.19*(-61.19-(-5/-5)))*(-61.19-(-61.19/(-5*-61.19))))-(-5/-5)))))</f>
        <v>-1153231.917995</v>
      </c>
      <c r="C3882" t="n" s="0">
        <v>-1153231.9179949998</v>
      </c>
    </row>
    <row r="3883">
      <c r="A3883" t="n" s="0">
        <v>-61.18</v>
      </c>
      <c r="B3883" t="n" s="0">
        <f>(-5-((((-5*(-5/((-5/(((-5*(-61.18--5))-(-5+((-5*-61.18)*(((-5--5)+(-61.18--5))+-61.18))))-(-5+-5)))*-5)))/-5)--5)+(-5*(((-61.18*(-61.18-(-5/-5)))*(-61.18-(-61.18/(-5*-61.18))))-(-5/-5)))))</f>
        <v>-1152667.89996</v>
      </c>
      <c r="C3883" t="n" s="0">
        <v>-1152667.89996</v>
      </c>
    </row>
    <row r="3884">
      <c r="A3884" t="n" s="0">
        <v>-61.17</v>
      </c>
      <c r="B3884" t="n" s="0">
        <f>(-5-((((-5*(-5/((-5/(((-5*(-61.17--5))-(-5+((-5*-61.17)*(((-5--5)+(-61.17--5))+-61.17))))-(-5+-5)))*-5)))/-5)--5)+(-5*(((-61.17*(-61.17-(-5/-5)))*(-61.17-(-61.17/(-5*-61.17))))-(-5/-5)))))</f>
        <v>-1152104.0658649998</v>
      </c>
      <c r="C3884" t="n" s="0">
        <v>-1152104.065865</v>
      </c>
    </row>
    <row r="3885">
      <c r="A3885" t="n" s="0">
        <v>-61.16</v>
      </c>
      <c r="B3885" t="n" s="0">
        <f>(-5-((((-5*(-5/((-5/(((-5*(-61.16--5))-(-5+((-5*-61.16)*(((-5--5)+(-61.16--5))+-61.16))))-(-5+-5)))*-5)))/-5)--5)+(-5*(((-61.16*(-61.16-(-5/-5)))*(-61.16-(-61.16/(-5*-61.16))))-(-5/-5)))))</f>
        <v>-1151540.41568</v>
      </c>
      <c r="C3885" t="n" s="0">
        <v>-1151540.4156799996</v>
      </c>
    </row>
    <row r="3886">
      <c r="A3886" t="n" s="0">
        <v>-61.15</v>
      </c>
      <c r="B3886" t="n" s="0">
        <f>(-5-((((-5*(-5/((-5/(((-5*(-61.15--5))-(-5+((-5*-61.15)*(((-5--5)+(-61.15--5))+-61.15))))-(-5+-5)))*-5)))/-5)--5)+(-5*(((-61.15*(-61.15-(-5/-5)))*(-61.15-(-61.15/(-5*-61.15))))-(-5/-5)))))</f>
        <v>-1150976.949375</v>
      </c>
      <c r="C3886" t="n" s="0">
        <v>-1150976.9493749999</v>
      </c>
    </row>
    <row r="3887">
      <c r="A3887" t="n" s="0">
        <v>-61.14</v>
      </c>
      <c r="B3887" t="n" s="0">
        <f>(-5-((((-5*(-5/((-5/(((-5*(-61.14--5))-(-5+((-5*-61.14)*(((-5--5)+(-61.14--5))+-61.14))))-(-5+-5)))*-5)))/-5)--5)+(-5*(((-61.14*(-61.14-(-5/-5)))*(-61.14-(-61.14/(-5*-61.14))))-(-5/-5)))))</f>
        <v>-1150413.66692</v>
      </c>
      <c r="C3887" t="n" s="0">
        <v>-1150413.6669199998</v>
      </c>
    </row>
    <row r="3888">
      <c r="A3888" t="n" s="0">
        <v>-61.13</v>
      </c>
      <c r="B3888" t="n" s="0">
        <f>(-5-((((-5*(-5/((-5/(((-5*(-61.13--5))-(-5+((-5*-61.13)*(((-5--5)+(-61.13--5))+-61.13))))-(-5+-5)))*-5)))/-5)--5)+(-5*(((-61.13*(-61.13-(-5/-5)))*(-61.13-(-61.13/(-5*-61.13))))-(-5/-5)))))</f>
        <v>-1149850.568285</v>
      </c>
      <c r="C3888" t="n" s="0">
        <v>-1149850.568285</v>
      </c>
    </row>
    <row r="3889">
      <c r="A3889" t="n" s="0">
        <v>-61.12</v>
      </c>
      <c r="B3889" t="n" s="0">
        <f>(-5-((((-5*(-5/((-5/(((-5*(-61.12--5))-(-5+((-5*-61.12)*(((-5--5)+(-61.12--5))+-61.12))))-(-5+-5)))*-5)))/-5)--5)+(-5*(((-61.12*(-61.12-(-5/-5)))*(-61.12-(-61.12/(-5*-61.12))))-(-5/-5)))))</f>
        <v>-1149287.65344</v>
      </c>
      <c r="C3889" t="n" s="0">
        <v>-1149287.65344</v>
      </c>
    </row>
    <row r="3890">
      <c r="A3890" t="n" s="0">
        <v>-61.11</v>
      </c>
      <c r="B3890" t="n" s="0">
        <f>(-5-((((-5*(-5/((-5/(((-5*(-61.11--5))-(-5+((-5*-61.11)*(((-5--5)+(-61.11--5))+-61.11))))-(-5+-5)))*-5)))/-5)--5)+(-5*(((-61.11*(-61.11-(-5/-5)))*(-61.11-(-61.11/(-5*-61.11))))-(-5/-5)))))</f>
        <v>-1148724.922355</v>
      </c>
      <c r="C3890" t="n" s="0">
        <v>-1148724.922355</v>
      </c>
    </row>
    <row r="3891">
      <c r="A3891" t="n" s="0">
        <v>-61.1</v>
      </c>
      <c r="B3891" t="n" s="0">
        <f>(-5-((((-5*(-5/((-5/(((-5*(-61.1--5))-(-5+((-5*-61.1)*(((-5--5)+(-61.1--5))+-61.1))))-(-5+-5)))*-5)))/-5)--5)+(-5*(((-61.1*(-61.1-(-5/-5)))*(-61.1-(-61.1/(-5*-61.1))))-(-5/-5)))))</f>
        <v>-1148162.375</v>
      </c>
      <c r="C3891" t="n" s="0">
        <v>-1148162.375</v>
      </c>
    </row>
    <row r="3892">
      <c r="A3892" t="n" s="0">
        <v>-61.09</v>
      </c>
      <c r="B3892" t="n" s="0">
        <f>(-5-((((-5*(-5/((-5/(((-5*(-61.09--5))-(-5+((-5*-61.09)*(((-5--5)+(-61.09--5))+-61.09))))-(-5+-5)))*-5)))/-5)--5)+(-5*(((-61.09*(-61.09-(-5/-5)))*(-61.09-(-61.09/(-5*-61.09))))-(-5/-5)))))</f>
        <v>-1147600.011345</v>
      </c>
      <c r="C3892" t="n" s="0">
        <v>-1147600.011345</v>
      </c>
    </row>
    <row r="3893">
      <c r="A3893" t="n" s="0">
        <v>-61.08</v>
      </c>
      <c r="B3893" t="n" s="0">
        <f>(-5-((((-5*(-5/((-5/(((-5*(-61.08--5))-(-5+((-5*-61.08)*(((-5--5)+(-61.08--5))+-61.08))))-(-5+-5)))*-5)))/-5)--5)+(-5*(((-61.08*(-61.08-(-5/-5)))*(-61.08-(-61.08/(-5*-61.08))))-(-5/-5)))))</f>
        <v>-1147037.83136</v>
      </c>
      <c r="C3893" t="n" s="0">
        <v>-1147037.83136</v>
      </c>
    </row>
    <row r="3894">
      <c r="A3894" t="n" s="0">
        <v>-61.07</v>
      </c>
      <c r="B3894" t="n" s="0">
        <f>(-5-((((-5*(-5/((-5/(((-5*(-61.07--5))-(-5+((-5*-61.07)*(((-5--5)+(-61.07--5))+-61.07))))-(-5+-5)))*-5)))/-5)--5)+(-5*(((-61.07*(-61.07-(-5/-5)))*(-61.07-(-61.07/(-5*-61.07))))-(-5/-5)))))</f>
        <v>-1146475.835015</v>
      </c>
      <c r="C3894" t="n" s="0">
        <v>-1146475.835015</v>
      </c>
    </row>
    <row r="3895">
      <c r="A3895" t="n" s="0">
        <v>-61.06</v>
      </c>
      <c r="B3895" t="n" s="0">
        <f>(-5-((((-5*(-5/((-5/(((-5*(-61.06--5))-(-5+((-5*-61.06)*(((-5--5)+(-61.06--5))+-61.06))))-(-5+-5)))*-5)))/-5)--5)+(-5*(((-61.06*(-61.06-(-5/-5)))*(-61.06-(-61.06/(-5*-61.06))))-(-5/-5)))))</f>
        <v>-1145914.02228</v>
      </c>
      <c r="C3895" t="n" s="0">
        <v>-1145914.02228</v>
      </c>
    </row>
    <row r="3896">
      <c r="A3896" t="n" s="0">
        <v>-61.05</v>
      </c>
      <c r="B3896" t="n" s="0">
        <f>(-5-((((-5*(-5/((-5/(((-5*(-61.05--5))-(-5+((-5*-61.05)*(((-5--5)+(-61.05--5))+-61.05))))-(-5+-5)))*-5)))/-5)--5)+(-5*(((-61.05*(-61.05-(-5/-5)))*(-61.05-(-61.05/(-5*-61.05))))-(-5/-5)))))</f>
        <v>-1145352.3931250002</v>
      </c>
      <c r="C3896" t="n" s="0">
        <v>-1145352.393125</v>
      </c>
    </row>
    <row r="3897">
      <c r="A3897" t="n" s="0">
        <v>-61.04</v>
      </c>
      <c r="B3897" t="n" s="0">
        <f>(-5-((((-5*(-5/((-5/(((-5*(-61.04--5))-(-5+((-5*-61.04)*(((-5--5)+(-61.04--5))+-61.04))))-(-5+-5)))*-5)))/-5)--5)+(-5*(((-61.04*(-61.04-(-5/-5)))*(-61.04-(-61.04/(-5*-61.04))))-(-5/-5)))))</f>
        <v>-1144790.94752</v>
      </c>
      <c r="C3897" t="n" s="0">
        <v>-1144790.94752</v>
      </c>
    </row>
    <row r="3898">
      <c r="A3898" t="n" s="0">
        <v>-61.03</v>
      </c>
      <c r="B3898" t="n" s="0">
        <f>(-5-((((-5*(-5/((-5/(((-5*(-61.03--5))-(-5+((-5*-61.03)*(((-5--5)+(-61.03--5))+-61.03))))-(-5+-5)))*-5)))/-5)--5)+(-5*(((-61.03*(-61.03-(-5/-5)))*(-61.03-(-61.03/(-5*-61.03))))-(-5/-5)))))</f>
        <v>-1144229.685435</v>
      </c>
      <c r="C3898" t="n" s="0">
        <v>-1144229.685435</v>
      </c>
    </row>
    <row r="3899">
      <c r="A3899" t="n" s="0">
        <v>-61.02</v>
      </c>
      <c r="B3899" t="n" s="0">
        <f>(-5-((((-5*(-5/((-5/(((-5*(-61.02--5))-(-5+((-5*-61.02)*(((-5--5)+(-61.02--5))+-61.02))))-(-5+-5)))*-5)))/-5)--5)+(-5*(((-61.02*(-61.02-(-5/-5)))*(-61.02-(-61.02/(-5*-61.02))))-(-5/-5)))))</f>
        <v>-1143668.60684</v>
      </c>
      <c r="C3899" t="n" s="0">
        <v>-1143668.60684</v>
      </c>
    </row>
    <row r="3900">
      <c r="A3900" t="n" s="0">
        <v>-61.01</v>
      </c>
      <c r="B3900" t="n" s="0">
        <f>(-5-((((-5*(-5/((-5/(((-5*(-61.01--5))-(-5+((-5*-61.01)*(((-5--5)+(-61.01--5))+-61.01))))-(-5+-5)))*-5)))/-5)--5)+(-5*(((-61.01*(-61.01-(-5/-5)))*(-61.01-(-61.01/(-5*-61.01))))-(-5/-5)))))</f>
        <v>-1143107.711705</v>
      </c>
      <c r="C3900" t="n" s="0">
        <v>-1143107.711705</v>
      </c>
    </row>
    <row r="3901">
      <c r="A3901" t="n" s="0">
        <v>-61.0</v>
      </c>
      <c r="B3901" t="n" s="0">
        <f>(-5-((((-5*(-5/((-5/(((-5*(-61--5))-(-5+((-5*-61)*(((-5--5)+(-61--5))+-61))))-(-5+-5)))*-5)))/-5)--5)+(-5*(((-61*(-61-(-5/-5)))*(-61-(-61/(-5*-61))))-(-5/-5)))))</f>
        <v>-1142547.0</v>
      </c>
      <c r="C3901" t="n" s="0">
        <v>-1142547.0</v>
      </c>
    </row>
    <row r="3902">
      <c r="A3902" t="n" s="0">
        <v>-60.99</v>
      </c>
      <c r="B3902" t="n" s="0">
        <f>(-5-((((-5*(-5/((-5/(((-5*(-60.99--5))-(-5+((-5*-60.99)*(((-5--5)+(-60.99--5))+-60.99))))-(-5+-5)))*-5)))/-5)--5)+(-5*(((-60.99*(-60.99-(-5/-5)))*(-60.99-(-60.99/(-5*-60.99))))-(-5/-5)))))</f>
        <v>-1141986.471695</v>
      </c>
      <c r="C3902" t="n" s="0">
        <v>-1141986.471695</v>
      </c>
    </row>
    <row r="3903">
      <c r="A3903" t="n" s="0">
        <v>-60.98</v>
      </c>
      <c r="B3903" t="n" s="0">
        <f>(-5-((((-5*(-5/((-5/(((-5*(-60.98--5))-(-5+((-5*-60.98)*(((-5--5)+(-60.98--5))+-60.98))))-(-5+-5)))*-5)))/-5)--5)+(-5*(((-60.98*(-60.98-(-5/-5)))*(-60.98-(-60.98/(-5*-60.98))))-(-5/-5)))))</f>
        <v>-1141426.12676</v>
      </c>
      <c r="C3903" t="n" s="0">
        <v>-1141426.1267599997</v>
      </c>
    </row>
    <row r="3904">
      <c r="A3904" t="n" s="0">
        <v>-60.97</v>
      </c>
      <c r="B3904" t="n" s="0">
        <f>(-5-((((-5*(-5/((-5/(((-5*(-60.97--5))-(-5+((-5*-60.97)*(((-5--5)+(-60.97--5))+-60.97))))-(-5+-5)))*-5)))/-5)--5)+(-5*(((-60.97*(-60.97-(-5/-5)))*(-60.97-(-60.97/(-5*-60.97))))-(-5/-5)))))</f>
        <v>-1140865.965165</v>
      </c>
      <c r="C3904" t="n" s="0">
        <v>-1140865.9651649997</v>
      </c>
    </row>
    <row r="3905">
      <c r="A3905" t="n" s="0">
        <v>-60.96</v>
      </c>
      <c r="B3905" t="n" s="0">
        <f>(-5-((((-5*(-5/((-5/(((-5*(-60.96--5))-(-5+((-5*-60.96)*(((-5--5)+(-60.96--5))+-60.96))))-(-5+-5)))*-5)))/-5)--5)+(-5*(((-60.96*(-60.96-(-5/-5)))*(-60.96-(-60.96/(-5*-60.96))))-(-5/-5)))))</f>
        <v>-1140305.98688</v>
      </c>
      <c r="C3905" t="n" s="0">
        <v>-1140305.9868799997</v>
      </c>
    </row>
    <row r="3906">
      <c r="A3906" t="n" s="0">
        <v>-60.95</v>
      </c>
      <c r="B3906" t="n" s="0">
        <f>(-5-((((-5*(-5/((-5/(((-5*(-60.95--5))-(-5+((-5*-60.95)*(((-5--5)+(-60.95--5))+-60.95))))-(-5+-5)))*-5)))/-5)--5)+(-5*(((-60.95*(-60.95-(-5/-5)))*(-60.95-(-60.95/(-5*-60.95))))-(-5/-5)))))</f>
        <v>-1139746.191875</v>
      </c>
      <c r="C3906" t="n" s="0">
        <v>-1139746.1918750003</v>
      </c>
    </row>
    <row r="3907">
      <c r="A3907" t="n" s="0">
        <v>-60.94</v>
      </c>
      <c r="B3907" t="n" s="0">
        <f>(-5-((((-5*(-5/((-5/(((-5*(-60.94--5))-(-5+((-5*-60.94)*(((-5--5)+(-60.94--5))+-60.94))))-(-5+-5)))*-5)))/-5)--5)+(-5*(((-60.94*(-60.94-(-5/-5)))*(-60.94-(-60.94/(-5*-60.94))))-(-5/-5)))))</f>
        <v>-1139186.58012</v>
      </c>
      <c r="C3907" t="n" s="0">
        <v>-1139186.5801199998</v>
      </c>
    </row>
    <row r="3908">
      <c r="A3908" t="n" s="0">
        <v>-60.93</v>
      </c>
      <c r="B3908" t="n" s="0">
        <f>(-5-((((-5*(-5/((-5/(((-5*(-60.93--5))-(-5+((-5*-60.93)*(((-5--5)+(-60.93--5))+-60.93))))-(-5+-5)))*-5)))/-5)--5)+(-5*(((-60.93*(-60.93-(-5/-5)))*(-60.93-(-60.93/(-5*-60.93))))-(-5/-5)))))</f>
        <v>-1138627.1515849999</v>
      </c>
      <c r="C3908" t="n" s="0">
        <v>-1138627.151585</v>
      </c>
    </row>
    <row r="3909">
      <c r="A3909" t="n" s="0">
        <v>-60.92</v>
      </c>
      <c r="B3909" t="n" s="0">
        <f>(-5-((((-5*(-5/((-5/(((-5*(-60.92--5))-(-5+((-5*-60.92)*(((-5--5)+(-60.92--5))+-60.92))))-(-5+-5)))*-5)))/-5)--5)+(-5*(((-60.92*(-60.92-(-5/-5)))*(-60.92-(-60.92/(-5*-60.92))))-(-5/-5)))))</f>
        <v>-1138067.9062400002</v>
      </c>
      <c r="C3909" t="n" s="0">
        <v>-1138067.90624</v>
      </c>
    </row>
    <row r="3910">
      <c r="A3910" t="n" s="0">
        <v>-60.91</v>
      </c>
      <c r="B3910" t="n" s="0">
        <f>(-5-((((-5*(-5/((-5/(((-5*(-60.91--5))-(-5+((-5*-60.91)*(((-5--5)+(-60.91--5))+-60.91))))-(-5+-5)))*-5)))/-5)--5)+(-5*(((-60.91*(-60.91-(-5/-5)))*(-60.91-(-60.91/(-5*-60.91))))-(-5/-5)))))</f>
        <v>-1137508.844055</v>
      </c>
      <c r="C3910" t="n" s="0">
        <v>-1137508.8440549998</v>
      </c>
    </row>
    <row r="3911">
      <c r="A3911" t="n" s="0">
        <v>-60.9</v>
      </c>
      <c r="B3911" t="n" s="0">
        <f>(-5-((((-5*(-5/((-5/(((-5*(-60.9--5))-(-5+((-5*-60.9)*(((-5--5)+(-60.9--5))+-60.9))))-(-5+-5)))*-5)))/-5)--5)+(-5*(((-60.9*(-60.9-(-5/-5)))*(-60.9-(-60.9/(-5*-60.9))))-(-5/-5)))))</f>
        <v>-1136949.965</v>
      </c>
      <c r="C3911" t="n" s="0">
        <v>-1136949.965</v>
      </c>
    </row>
    <row r="3912">
      <c r="A3912" t="n" s="0">
        <v>-60.89</v>
      </c>
      <c r="B3912" t="n" s="0">
        <f>(-5-((((-5*(-5/((-5/(((-5*(-60.89--5))-(-5+((-5*-60.89)*(((-5--5)+(-60.89--5))+-60.89))))-(-5+-5)))*-5)))/-5)--5)+(-5*(((-60.89*(-60.89-(-5/-5)))*(-60.89-(-60.89/(-5*-60.89))))-(-5/-5)))))</f>
        <v>-1136391.269045</v>
      </c>
      <c r="C3912" t="n" s="0">
        <v>-1136391.269045</v>
      </c>
    </row>
    <row r="3913">
      <c r="A3913" t="n" s="0">
        <v>-60.88</v>
      </c>
      <c r="B3913" t="n" s="0">
        <f>(-5-((((-5*(-5/((-5/(((-5*(-60.88--5))-(-5+((-5*-60.88)*(((-5--5)+(-60.88--5))+-60.88))))-(-5+-5)))*-5)))/-5)--5)+(-5*(((-60.88*(-60.88-(-5/-5)))*(-60.88-(-60.88/(-5*-60.88))))-(-5/-5)))))</f>
        <v>-1135832.75616</v>
      </c>
      <c r="C3913" t="n" s="0">
        <v>-1135832.7561599999</v>
      </c>
    </row>
    <row r="3914">
      <c r="A3914" t="n" s="0">
        <v>-60.87</v>
      </c>
      <c r="B3914" t="n" s="0">
        <f>(-5-((((-5*(-5/((-5/(((-5*(-60.87--5))-(-5+((-5*-60.87)*(((-5--5)+(-60.87--5))+-60.87))))-(-5+-5)))*-5)))/-5)--5)+(-5*(((-60.87*(-60.87-(-5/-5)))*(-60.87-(-60.87/(-5*-60.87))))-(-5/-5)))))</f>
        <v>-1135274.426315</v>
      </c>
      <c r="C3914" t="n" s="0">
        <v>-1135274.4263149998</v>
      </c>
    </row>
    <row r="3915">
      <c r="A3915" t="n" s="0">
        <v>-60.86</v>
      </c>
      <c r="B3915" t="n" s="0">
        <f>(-5-((((-5*(-5/((-5/(((-5*(-60.86--5))-(-5+((-5*-60.86)*(((-5--5)+(-60.86--5))+-60.86))))-(-5+-5)))*-5)))/-5)--5)+(-5*(((-60.86*(-60.86-(-5/-5)))*(-60.86-(-60.86/(-5*-60.86))))-(-5/-5)))))</f>
        <v>-1134716.27948</v>
      </c>
      <c r="C3915" t="n" s="0">
        <v>-1134716.27948</v>
      </c>
    </row>
    <row r="3916">
      <c r="A3916" t="n" s="0">
        <v>-60.85</v>
      </c>
      <c r="B3916" t="n" s="0">
        <f>(-5-((((-5*(-5/((-5/(((-5*(-60.85--5))-(-5+((-5*-60.85)*(((-5--5)+(-60.85--5))+-60.85))))-(-5+-5)))*-5)))/-5)--5)+(-5*(((-60.85*(-60.85-(-5/-5)))*(-60.85-(-60.85/(-5*-60.85))))-(-5/-5)))))</f>
        <v>-1134158.315625</v>
      </c>
      <c r="C3916" t="n" s="0">
        <v>-1134158.3156250003</v>
      </c>
    </row>
    <row r="3917">
      <c r="A3917" t="n" s="0">
        <v>-60.84</v>
      </c>
      <c r="B3917" t="n" s="0">
        <f>(-5-((((-5*(-5/((-5/(((-5*(-60.84--5))-(-5+((-5*-60.84)*(((-5--5)+(-60.84--5))+-60.84))))-(-5+-5)))*-5)))/-5)--5)+(-5*(((-60.84*(-60.84-(-5/-5)))*(-60.84-(-60.84/(-5*-60.84))))-(-5/-5)))))</f>
        <v>-1133600.53472</v>
      </c>
      <c r="C3917" t="n" s="0">
        <v>-1133600.5347200003</v>
      </c>
    </row>
    <row r="3918">
      <c r="A3918" t="n" s="0">
        <v>-60.83</v>
      </c>
      <c r="B3918" t="n" s="0">
        <f>(-5-((((-5*(-5/((-5/(((-5*(-60.83--5))-(-5+((-5*-60.83)*(((-5--5)+(-60.83--5))+-60.83))))-(-5+-5)))*-5)))/-5)--5)+(-5*(((-60.83*(-60.83-(-5/-5)))*(-60.83-(-60.83/(-5*-60.83))))-(-5/-5)))))</f>
        <v>-1133042.936735</v>
      </c>
      <c r="C3918" t="n" s="0">
        <v>-1133042.936735</v>
      </c>
    </row>
    <row r="3919">
      <c r="A3919" t="n" s="0">
        <v>-60.82</v>
      </c>
      <c r="B3919" t="n" s="0">
        <f>(-5-((((-5*(-5/((-5/(((-5*(-60.82--5))-(-5+((-5*-60.82)*(((-5--5)+(-60.82--5))+-60.82))))-(-5+-5)))*-5)))/-5)--5)+(-5*(((-60.82*(-60.82-(-5/-5)))*(-60.82-(-60.82/(-5*-60.82))))-(-5/-5)))))</f>
        <v>-1132485.52164</v>
      </c>
      <c r="C3919" t="n" s="0">
        <v>-1132485.52164</v>
      </c>
    </row>
    <row r="3920">
      <c r="A3920" t="n" s="0">
        <v>-60.81</v>
      </c>
      <c r="B3920" t="n" s="0">
        <f>(-5-((((-5*(-5/((-5/(((-5*(-60.81--5))-(-5+((-5*-60.81)*(((-5--5)+(-60.81--5))+-60.81))))-(-5+-5)))*-5)))/-5)--5)+(-5*(((-60.81*(-60.81-(-5/-5)))*(-60.81-(-60.81/(-5*-60.81))))-(-5/-5)))))</f>
        <v>-1131928.289405</v>
      </c>
      <c r="C3920" t="n" s="0">
        <v>-1131928.289405</v>
      </c>
    </row>
    <row r="3921">
      <c r="A3921" t="n" s="0">
        <v>-60.8</v>
      </c>
      <c r="B3921" t="n" s="0">
        <f>(-5-((((-5*(-5/((-5/(((-5*(-60.8--5))-(-5+((-5*-60.8)*(((-5--5)+(-60.8--5))+-60.8))))-(-5+-5)))*-5)))/-5)--5)+(-5*(((-60.8*(-60.8-(-5/-5)))*(-60.8-(-60.8/(-5*-60.8))))-(-5/-5)))))</f>
        <v>-1131371.24</v>
      </c>
      <c r="C3921" t="n" s="0">
        <v>-1131371.2399999998</v>
      </c>
    </row>
    <row r="3922">
      <c r="A3922" t="n" s="0">
        <v>-60.79</v>
      </c>
      <c r="B3922" t="n" s="0">
        <f>(-5-((((-5*(-5/((-5/(((-5*(-60.79--5))-(-5+((-5*-60.79)*(((-5--5)+(-60.79--5))+-60.79))))-(-5+-5)))*-5)))/-5)--5)+(-5*(((-60.79*(-60.79-(-5/-5)))*(-60.79-(-60.79/(-5*-60.79))))-(-5/-5)))))</f>
        <v>-1130814.3733950001</v>
      </c>
      <c r="C3922" t="n" s="0">
        <v>-1130814.373395</v>
      </c>
    </row>
    <row r="3923">
      <c r="A3923" t="n" s="0">
        <v>-60.78</v>
      </c>
      <c r="B3923" t="n" s="0">
        <f>(-5-((((-5*(-5/((-5/(((-5*(-60.78--5))-(-5+((-5*-60.78)*(((-5--5)+(-60.78--5))+-60.78))))-(-5+-5)))*-5)))/-5)--5)+(-5*(((-60.78*(-60.78-(-5/-5)))*(-60.78-(-60.78/(-5*-60.78))))-(-5/-5)))))</f>
        <v>-1130257.68956</v>
      </c>
      <c r="C3923" t="n" s="0">
        <v>-1130257.68956</v>
      </c>
    </row>
    <row r="3924">
      <c r="A3924" t="n" s="0">
        <v>-60.77</v>
      </c>
      <c r="B3924" t="n" s="0">
        <f>(-5-((((-5*(-5/((-5/(((-5*(-60.77--5))-(-5+((-5*-60.77)*(((-5--5)+(-60.77--5))+-60.77))))-(-5+-5)))*-5)))/-5)--5)+(-5*(((-60.77*(-60.77-(-5/-5)))*(-60.77-(-60.77/(-5*-60.77))))-(-5/-5)))))</f>
        <v>-1129701.188465</v>
      </c>
      <c r="C3924" t="n" s="0">
        <v>-1129701.1884650001</v>
      </c>
    </row>
    <row r="3925">
      <c r="A3925" t="n" s="0">
        <v>-60.76</v>
      </c>
      <c r="B3925" t="n" s="0">
        <f>(-5-((((-5*(-5/((-5/(((-5*(-60.76--5))-(-5+((-5*-60.76)*(((-5--5)+(-60.76--5))+-60.76))))-(-5+-5)))*-5)))/-5)--5)+(-5*(((-60.76*(-60.76-(-5/-5)))*(-60.76-(-60.76/(-5*-60.76))))-(-5/-5)))))</f>
        <v>-1129144.87008</v>
      </c>
      <c r="C3925" t="n" s="0">
        <v>-1129144.87008</v>
      </c>
    </row>
    <row r="3926">
      <c r="A3926" t="n" s="0">
        <v>-60.75</v>
      </c>
      <c r="B3926" t="n" s="0">
        <f>(-5-((((-5*(-5/((-5/(((-5*(-60.75--5))-(-5+((-5*-60.75)*(((-5--5)+(-60.75--5))+-60.75))))-(-5+-5)))*-5)))/-5)--5)+(-5*(((-60.75*(-60.75-(-5/-5)))*(-60.75-(-60.75/(-5*-60.75))))-(-5/-5)))))</f>
        <v>-1128588.734375</v>
      </c>
      <c r="C3926" t="n" s="0">
        <v>-1128588.734375</v>
      </c>
    </row>
    <row r="3927">
      <c r="A3927" t="n" s="0">
        <v>-60.74</v>
      </c>
      <c r="B3927" t="n" s="0">
        <f>(-5-((((-5*(-5/((-5/(((-5*(-60.74--5))-(-5+((-5*-60.74)*(((-5--5)+(-60.74--5))+-60.74))))-(-5+-5)))*-5)))/-5)--5)+(-5*(((-60.74*(-60.74-(-5/-5)))*(-60.74-(-60.74/(-5*-60.74))))-(-5/-5)))))</f>
        <v>-1128032.78132</v>
      </c>
      <c r="C3927" t="n" s="0">
        <v>-1128032.78132</v>
      </c>
    </row>
    <row r="3928">
      <c r="A3928" t="n" s="0">
        <v>-60.73</v>
      </c>
      <c r="B3928" t="n" s="0">
        <f>(-5-((((-5*(-5/((-5/(((-5*(-60.73--5))-(-5+((-5*-60.73)*(((-5--5)+(-60.73--5))+-60.73))))-(-5+-5)))*-5)))/-5)--5)+(-5*(((-60.73*(-60.73-(-5/-5)))*(-60.73-(-60.73/(-5*-60.73))))-(-5/-5)))))</f>
        <v>-1127477.010885</v>
      </c>
      <c r="C3928" t="n" s="0">
        <v>-1127477.0108849998</v>
      </c>
    </row>
    <row r="3929">
      <c r="A3929" t="n" s="0">
        <v>-60.72</v>
      </c>
      <c r="B3929" t="n" s="0">
        <f>(-5-((((-5*(-5/((-5/(((-5*(-60.72--5))-(-5+((-5*-60.72)*(((-5--5)+(-60.72--5))+-60.72))))-(-5+-5)))*-5)))/-5)--5)+(-5*(((-60.72*(-60.72-(-5/-5)))*(-60.72-(-60.72/(-5*-60.72))))-(-5/-5)))))</f>
        <v>-1126921.42304</v>
      </c>
      <c r="C3929" t="n" s="0">
        <v>-1126921.4230399998</v>
      </c>
    </row>
    <row r="3930">
      <c r="A3930" t="n" s="0">
        <v>-60.71</v>
      </c>
      <c r="B3930" t="n" s="0">
        <f>(-5-((((-5*(-5/((-5/(((-5*(-60.71--5))-(-5+((-5*-60.71)*(((-5--5)+(-60.71--5))+-60.71))))-(-5+-5)))*-5)))/-5)--5)+(-5*(((-60.71*(-60.71-(-5/-5)))*(-60.71-(-60.71/(-5*-60.71))))-(-5/-5)))))</f>
        <v>-1126366.017755</v>
      </c>
      <c r="C3930" t="n" s="0">
        <v>-1126366.017755</v>
      </c>
    </row>
    <row r="3931">
      <c r="A3931" t="n" s="0">
        <v>-60.7</v>
      </c>
      <c r="B3931" t="n" s="0">
        <f>(-5-((((-5*(-5/((-5/(((-5*(-60.7--5))-(-5+((-5*-60.7)*(((-5--5)+(-60.7--5))+-60.7))))-(-5+-5)))*-5)))/-5)--5)+(-5*(((-60.7*(-60.7-(-5/-5)))*(-60.7-(-60.7/(-5*-60.7))))-(-5/-5)))))</f>
        <v>-1125810.7950000002</v>
      </c>
      <c r="C3931" t="n" s="0">
        <v>-1125810.7950000002</v>
      </c>
    </row>
    <row r="3932">
      <c r="A3932" t="n" s="0">
        <v>-60.69</v>
      </c>
      <c r="B3932" t="n" s="0">
        <f>(-5-((((-5*(-5/((-5/(((-5*(-60.69--5))-(-5+((-5*-60.69)*(((-5--5)+(-60.69--5))+-60.69))))-(-5+-5)))*-5)))/-5)--5)+(-5*(((-60.69*(-60.69-(-5/-5)))*(-60.69-(-60.69/(-5*-60.69))))-(-5/-5)))))</f>
        <v>-1125255.754745</v>
      </c>
      <c r="C3932" t="n" s="0">
        <v>-1125255.754745</v>
      </c>
    </row>
    <row r="3933">
      <c r="A3933" t="n" s="0">
        <v>-60.68</v>
      </c>
      <c r="B3933" t="n" s="0">
        <f>(-5-((((-5*(-5/((-5/(((-5*(-60.68--5))-(-5+((-5*-60.68)*(((-5--5)+(-60.68--5))+-60.68))))-(-5+-5)))*-5)))/-5)--5)+(-5*(((-60.68*(-60.68-(-5/-5)))*(-60.68-(-60.68/(-5*-60.68))))-(-5/-5)))))</f>
        <v>-1124700.8969599998</v>
      </c>
      <c r="C3933" t="n" s="0">
        <v>-1124700.8969600003</v>
      </c>
    </row>
    <row r="3934">
      <c r="A3934" t="n" s="0">
        <v>-60.67</v>
      </c>
      <c r="B3934" t="n" s="0">
        <f>(-5-((((-5*(-5/((-5/(((-5*(-60.67--5))-(-5+((-5*-60.67)*(((-5--5)+(-60.67--5))+-60.67))))-(-5+-5)))*-5)))/-5)--5)+(-5*(((-60.67*(-60.67-(-5/-5)))*(-60.67-(-60.67/(-5*-60.67))))-(-5/-5)))))</f>
        <v>-1124146.221615</v>
      </c>
      <c r="C3934" t="n" s="0">
        <v>-1124146.2216150002</v>
      </c>
    </row>
    <row r="3935">
      <c r="A3935" t="n" s="0">
        <v>-60.66</v>
      </c>
      <c r="B3935" t="n" s="0">
        <f>(-5-((((-5*(-5/((-5/(((-5*(-60.66--5))-(-5+((-5*-60.66)*(((-5--5)+(-60.66--5))+-60.66))))-(-5+-5)))*-5)))/-5)--5)+(-5*(((-60.66*(-60.66-(-5/-5)))*(-60.66-(-60.66/(-5*-60.66))))-(-5/-5)))))</f>
        <v>-1123591.72868</v>
      </c>
      <c r="C3935" t="n" s="0">
        <v>-1123591.72868</v>
      </c>
    </row>
    <row r="3936">
      <c r="A3936" t="n" s="0">
        <v>-60.65</v>
      </c>
      <c r="B3936" t="n" s="0">
        <f>(-5-((((-5*(-5/((-5/(((-5*(-60.65--5))-(-5+((-5*-60.65)*(((-5--5)+(-60.65--5))+-60.65))))-(-5+-5)))*-5)))/-5)--5)+(-5*(((-60.65*(-60.65-(-5/-5)))*(-60.65-(-60.65/(-5*-60.65))))-(-5/-5)))))</f>
        <v>-1123037.418125</v>
      </c>
      <c r="C3936" t="n" s="0">
        <v>-1123037.4181249999</v>
      </c>
    </row>
    <row r="3937">
      <c r="A3937" t="n" s="0">
        <v>-60.64</v>
      </c>
      <c r="B3937" t="n" s="0">
        <f>(-5-((((-5*(-5/((-5/(((-5*(-60.64--5))-(-5+((-5*-60.64)*(((-5--5)+(-60.64--5))+-60.64))))-(-5+-5)))*-5)))/-5)--5)+(-5*(((-60.64*(-60.64-(-5/-5)))*(-60.64-(-60.64/(-5*-60.64))))-(-5/-5)))))</f>
        <v>-1122483.28992</v>
      </c>
      <c r="C3937" t="n" s="0">
        <v>-1122483.28992</v>
      </c>
    </row>
    <row r="3938">
      <c r="A3938" t="n" s="0">
        <v>-60.63</v>
      </c>
      <c r="B3938" t="n" s="0">
        <f>(-5-((((-5*(-5/((-5/(((-5*(-60.63--5))-(-5+((-5*-60.63)*(((-5--5)+(-60.63--5))+-60.63))))-(-5+-5)))*-5)))/-5)--5)+(-5*(((-60.63*(-60.63-(-5/-5)))*(-60.63-(-60.63/(-5*-60.63))))-(-5/-5)))))</f>
        <v>-1121929.344035</v>
      </c>
      <c r="C3938" t="n" s="0">
        <v>-1121929.344035</v>
      </c>
    </row>
    <row r="3939">
      <c r="A3939" t="n" s="0">
        <v>-60.62</v>
      </c>
      <c r="B3939" t="n" s="0">
        <f>(-5-((((-5*(-5/((-5/(((-5*(-60.62--5))-(-5+((-5*-60.62)*(((-5--5)+(-60.62--5))+-60.62))))-(-5+-5)))*-5)))/-5)--5)+(-5*(((-60.62*(-60.62-(-5/-5)))*(-60.62-(-60.62/(-5*-60.62))))-(-5/-5)))))</f>
        <v>-1121375.58044</v>
      </c>
      <c r="C3939" t="n" s="0">
        <v>-1121375.58044</v>
      </c>
    </row>
    <row r="3940">
      <c r="A3940" t="n" s="0">
        <v>-60.61</v>
      </c>
      <c r="B3940" t="n" s="0">
        <f>(-5-((((-5*(-5/((-5/(((-5*(-60.61--5))-(-5+((-5*-60.61)*(((-5--5)+(-60.61--5))+-60.61))))-(-5+-5)))*-5)))/-5)--5)+(-5*(((-60.61*(-60.61-(-5/-5)))*(-60.61-(-60.61/(-5*-60.61))))-(-5/-5)))))</f>
        <v>-1120821.999105</v>
      </c>
      <c r="C3940" t="n" s="0">
        <v>-1120821.999105</v>
      </c>
    </row>
    <row r="3941">
      <c r="A3941" t="n" s="0">
        <v>-60.6</v>
      </c>
      <c r="B3941" t="n" s="0">
        <f>(-5-((((-5*(-5/((-5/(((-5*(-60.6--5))-(-5+((-5*-60.6)*(((-5--5)+(-60.6--5))+-60.6))))-(-5+-5)))*-5)))/-5)--5)+(-5*(((-60.6*(-60.6-(-5/-5)))*(-60.6-(-60.6/(-5*-60.6))))-(-5/-5)))))</f>
        <v>-1120268.5999999999</v>
      </c>
      <c r="C3941" t="n" s="0">
        <v>-1120268.6</v>
      </c>
    </row>
    <row r="3942">
      <c r="A3942" t="n" s="0">
        <v>-60.59</v>
      </c>
      <c r="B3942" t="n" s="0">
        <f>(-5-((((-5*(-5/((-5/(((-5*(-60.59--5))-(-5+((-5*-60.59)*(((-5--5)+(-60.59--5))+-60.59))))-(-5+-5)))*-5)))/-5)--5)+(-5*(((-60.59*(-60.59-(-5/-5)))*(-60.59-(-60.59/(-5*-60.59))))-(-5/-5)))))</f>
        <v>-1119715.383095</v>
      </c>
      <c r="C3942" t="n" s="0">
        <v>-1119715.3830950002</v>
      </c>
    </row>
    <row r="3943">
      <c r="A3943" t="n" s="0">
        <v>-60.58</v>
      </c>
      <c r="B3943" t="n" s="0">
        <f>(-5-((((-5*(-5/((-5/(((-5*(-60.58--5))-(-5+((-5*-60.58)*(((-5--5)+(-60.58--5))+-60.58))))-(-5+-5)))*-5)))/-5)--5)+(-5*(((-60.58*(-60.58-(-5/-5)))*(-60.58-(-60.58/(-5*-60.58))))-(-5/-5)))))</f>
        <v>-1119162.34836</v>
      </c>
      <c r="C3943" t="n" s="0">
        <v>-1119162.34836</v>
      </c>
    </row>
    <row r="3944">
      <c r="A3944" t="n" s="0">
        <v>-60.57</v>
      </c>
      <c r="B3944" t="n" s="0">
        <f>(-5-((((-5*(-5/((-5/(((-5*(-60.57--5))-(-5+((-5*-60.57)*(((-5--5)+(-60.57--5))+-60.57))))-(-5+-5)))*-5)))/-5)--5)+(-5*(((-60.57*(-60.57-(-5/-5)))*(-60.57-(-60.57/(-5*-60.57))))-(-5/-5)))))</f>
        <v>-1118609.4957649999</v>
      </c>
      <c r="C3944" t="n" s="0">
        <v>-1118609.495765</v>
      </c>
    </row>
    <row r="3945">
      <c r="A3945" t="n" s="0">
        <v>-60.56</v>
      </c>
      <c r="B3945" t="n" s="0">
        <f>(-5-((((-5*(-5/((-5/(((-5*(-60.56--5))-(-5+((-5*-60.56)*(((-5--5)+(-60.56--5))+-60.56))))-(-5+-5)))*-5)))/-5)--5)+(-5*(((-60.56*(-60.56-(-5/-5)))*(-60.56-(-60.56/(-5*-60.56))))-(-5/-5)))))</f>
        <v>-1118056.82528</v>
      </c>
      <c r="C3945" t="n" s="0">
        <v>-1118056.82528</v>
      </c>
    </row>
    <row r="3946">
      <c r="A3946" t="n" s="0">
        <v>-60.55</v>
      </c>
      <c r="B3946" t="n" s="0">
        <f>(-5-((((-5*(-5/((-5/(((-5*(-60.55--5))-(-5+((-5*-60.55)*(((-5--5)+(-60.55--5))+-60.55))))-(-5+-5)))*-5)))/-5)--5)+(-5*(((-60.55*(-60.55-(-5/-5)))*(-60.55-(-60.55/(-5*-60.55))))-(-5/-5)))))</f>
        <v>-1117504.336875</v>
      </c>
      <c r="C3946" t="n" s="0">
        <v>-1117504.3368749998</v>
      </c>
    </row>
    <row r="3947">
      <c r="A3947" t="n" s="0">
        <v>-60.54</v>
      </c>
      <c r="B3947" t="n" s="0">
        <f>(-5-((((-5*(-5/((-5/(((-5*(-60.54--5))-(-5+((-5*-60.54)*(((-5--5)+(-60.54--5))+-60.54))))-(-5+-5)))*-5)))/-5)--5)+(-5*(((-60.54*(-60.54-(-5/-5)))*(-60.54-(-60.54/(-5*-60.54))))-(-5/-5)))))</f>
        <v>-1116952.03052</v>
      </c>
      <c r="C3947" t="n" s="0">
        <v>-1116952.0305200003</v>
      </c>
    </row>
    <row r="3948">
      <c r="A3948" t="n" s="0">
        <v>-60.53</v>
      </c>
      <c r="B3948" t="n" s="0">
        <f>(-5-((((-5*(-5/((-5/(((-5*(-60.53--5))-(-5+((-5*-60.53)*(((-5--5)+(-60.53--5))+-60.53))))-(-5+-5)))*-5)))/-5)--5)+(-5*(((-60.53*(-60.53-(-5/-5)))*(-60.53-(-60.53/(-5*-60.53))))-(-5/-5)))))</f>
        <v>-1116399.906185</v>
      </c>
      <c r="C3948" t="n" s="0">
        <v>-1116399.906185</v>
      </c>
    </row>
    <row r="3949">
      <c r="A3949" t="n" s="0">
        <v>-60.52</v>
      </c>
      <c r="B3949" t="n" s="0">
        <f>(-5-((((-5*(-5/((-5/(((-5*(-60.52--5))-(-5+((-5*-60.52)*(((-5--5)+(-60.52--5))+-60.52))))-(-5+-5)))*-5)))/-5)--5)+(-5*(((-60.52*(-60.52-(-5/-5)))*(-60.52-(-60.52/(-5*-60.52))))-(-5/-5)))))</f>
        <v>-1115847.9638399999</v>
      </c>
      <c r="C3949" t="n" s="0">
        <v>-1115847.96384</v>
      </c>
    </row>
    <row r="3950">
      <c r="A3950" t="n" s="0">
        <v>-60.51</v>
      </c>
      <c r="B3950" t="n" s="0">
        <f>(-5-((((-5*(-5/((-5/(((-5*(-60.51--5))-(-5+((-5*-60.51)*(((-5--5)+(-60.51--5))+-60.51))))-(-5+-5)))*-5)))/-5)--5)+(-5*(((-60.51*(-60.51-(-5/-5)))*(-60.51-(-60.51/(-5*-60.51))))-(-5/-5)))))</f>
        <v>-1115296.203455</v>
      </c>
      <c r="C3950" t="n" s="0">
        <v>-1115296.203455</v>
      </c>
    </row>
    <row r="3951">
      <c r="A3951" t="n" s="0">
        <v>-60.5</v>
      </c>
      <c r="B3951" t="n" s="0">
        <f>(-5-((((-5*(-5/((-5/(((-5*(-60.5--5))-(-5+((-5*-60.5)*(((-5--5)+(-60.5--5))+-60.5))))-(-5+-5)))*-5)))/-5)--5)+(-5*(((-60.5*(-60.5-(-5/-5)))*(-60.5-(-60.5/(-5*-60.5))))-(-5/-5)))))</f>
        <v>-1114744.625</v>
      </c>
      <c r="C3951" t="n" s="0">
        <v>-1114744.625</v>
      </c>
    </row>
    <row r="3952">
      <c r="A3952" t="n" s="0">
        <v>-60.49</v>
      </c>
      <c r="B3952" t="n" s="0">
        <f>(-5-((((-5*(-5/((-5/(((-5*(-60.49--5))-(-5+((-5*-60.49)*(((-5--5)+(-60.49--5))+-60.49))))-(-5+-5)))*-5)))/-5)--5)+(-5*(((-60.49*(-60.49-(-5/-5)))*(-60.49-(-60.49/(-5*-60.49))))-(-5/-5)))))</f>
        <v>-1114193.228445</v>
      </c>
      <c r="C3952" t="n" s="0">
        <v>-1114193.228445</v>
      </c>
    </row>
    <row r="3953">
      <c r="A3953" t="n" s="0">
        <v>-60.48</v>
      </c>
      <c r="B3953" t="n" s="0">
        <f>(-5-((((-5*(-5/((-5/(((-5*(-60.48--5))-(-5+((-5*-60.48)*(((-5--5)+(-60.48--5))+-60.48))))-(-5+-5)))*-5)))/-5)--5)+(-5*(((-60.48*(-60.48-(-5/-5)))*(-60.48-(-60.48/(-5*-60.48))))-(-5/-5)))))</f>
        <v>-1113642.01376</v>
      </c>
      <c r="C3953" t="n" s="0">
        <v>-1113642.0137599998</v>
      </c>
    </row>
    <row r="3954">
      <c r="A3954" t="n" s="0">
        <v>-60.47</v>
      </c>
      <c r="B3954" t="n" s="0">
        <f>(-5-((((-5*(-5/((-5/(((-5*(-60.47--5))-(-5+((-5*-60.47)*(((-5--5)+(-60.47--5))+-60.47))))-(-5+-5)))*-5)))/-5)--5)+(-5*(((-60.47*(-60.47-(-5/-5)))*(-60.47-(-60.47/(-5*-60.47))))-(-5/-5)))))</f>
        <v>-1113090.980915</v>
      </c>
      <c r="C3954" t="n" s="0">
        <v>-1113090.980915</v>
      </c>
    </row>
    <row r="3955">
      <c r="A3955" t="n" s="0">
        <v>-60.46</v>
      </c>
      <c r="B3955" t="n" s="0">
        <f>(-5-((((-5*(-5/((-5/(((-5*(-60.46--5))-(-5+((-5*-60.46)*(((-5--5)+(-60.46--5))+-60.46))))-(-5+-5)))*-5)))/-5)--5)+(-5*(((-60.46*(-60.46-(-5/-5)))*(-60.46-(-60.46/(-5*-60.46))))-(-5/-5)))))</f>
        <v>-1112540.1298800001</v>
      </c>
      <c r="C3955" t="n" s="0">
        <v>-1112540.12988</v>
      </c>
    </row>
    <row r="3956">
      <c r="A3956" t="n" s="0">
        <v>-60.45</v>
      </c>
      <c r="B3956" t="n" s="0">
        <f>(-5-((((-5*(-5/((-5/(((-5*(-60.45--5))-(-5+((-5*-60.45)*(((-5--5)+(-60.45--5))+-60.45))))-(-5+-5)))*-5)))/-5)--5)+(-5*(((-60.45*(-60.45-(-5/-5)))*(-60.45-(-60.45/(-5*-60.45))))-(-5/-5)))))</f>
        <v>-1111989.460625</v>
      </c>
      <c r="C3956" t="n" s="0">
        <v>-1111989.4606250003</v>
      </c>
    </row>
    <row r="3957">
      <c r="A3957" t="n" s="0">
        <v>-60.44</v>
      </c>
      <c r="B3957" t="n" s="0">
        <f>(-5-((((-5*(-5/((-5/(((-5*(-60.44--5))-(-5+((-5*-60.44)*(((-5--5)+(-60.44--5))+-60.44))))-(-5+-5)))*-5)))/-5)--5)+(-5*(((-60.44*(-60.44-(-5/-5)))*(-60.44-(-60.44/(-5*-60.44))))-(-5/-5)))))</f>
        <v>-1111438.97312</v>
      </c>
      <c r="C3957" t="n" s="0">
        <v>-1111438.97312</v>
      </c>
    </row>
    <row r="3958">
      <c r="A3958" t="n" s="0">
        <v>-60.43</v>
      </c>
      <c r="B3958" t="n" s="0">
        <f>(-5-((((-5*(-5/((-5/(((-5*(-60.43--5))-(-5+((-5*-60.43)*(((-5--5)+(-60.43--5))+-60.43))))-(-5+-5)))*-5)))/-5)--5)+(-5*(((-60.43*(-60.43-(-5/-5)))*(-60.43-(-60.43/(-5*-60.43))))-(-5/-5)))))</f>
        <v>-1110888.6673350001</v>
      </c>
      <c r="C3958" t="n" s="0">
        <v>-1110888.667335</v>
      </c>
    </row>
    <row r="3959">
      <c r="A3959" t="n" s="0">
        <v>-60.42</v>
      </c>
      <c r="B3959" t="n" s="0">
        <f>(-5-((((-5*(-5/((-5/(((-5*(-60.42--5))-(-5+((-5*-60.42)*(((-5--5)+(-60.42--5))+-60.42))))-(-5+-5)))*-5)))/-5)--5)+(-5*(((-60.42*(-60.42-(-5/-5)))*(-60.42-(-60.42/(-5*-60.42))))-(-5/-5)))))</f>
        <v>-1110338.5432399998</v>
      </c>
      <c r="C3959" t="n" s="0">
        <v>-1110338.5432400003</v>
      </c>
    </row>
    <row r="3960">
      <c r="A3960" t="n" s="0">
        <v>-60.41</v>
      </c>
      <c r="B3960" t="n" s="0">
        <f>(-5-((((-5*(-5/((-5/(((-5*(-60.41--5))-(-5+((-5*-60.41)*(((-5--5)+(-60.41--5))+-60.41))))-(-5+-5)))*-5)))/-5)--5)+(-5*(((-60.41*(-60.41-(-5/-5)))*(-60.41-(-60.41/(-5*-60.41))))-(-5/-5)))))</f>
        <v>-1109788.600805</v>
      </c>
      <c r="C3960" t="n" s="0">
        <v>-1109788.6008049997</v>
      </c>
    </row>
    <row r="3961">
      <c r="A3961" t="n" s="0">
        <v>-60.4</v>
      </c>
      <c r="B3961" t="n" s="0">
        <f>(-5-((((-5*(-5/((-5/(((-5*(-60.4--5))-(-5+((-5*-60.4)*(((-5--5)+(-60.4--5))+-60.4))))-(-5+-5)))*-5)))/-5)--5)+(-5*(((-60.4*(-60.4-(-5/-5)))*(-60.4-(-60.4/(-5*-60.4))))-(-5/-5)))))</f>
        <v>-1109238.84</v>
      </c>
      <c r="C3961" t="n" s="0">
        <v>-1109238.8399999999</v>
      </c>
    </row>
    <row r="3962">
      <c r="A3962" t="n" s="0">
        <v>-60.39</v>
      </c>
      <c r="B3962" t="n" s="0">
        <f>(-5-((((-5*(-5/((-5/(((-5*(-60.39--5))-(-5+((-5*-60.39)*(((-5--5)+(-60.39--5))+-60.39))))-(-5+-5)))*-5)))/-5)--5)+(-5*(((-60.39*(-60.39-(-5/-5)))*(-60.39-(-60.39/(-5*-60.39))))-(-5/-5)))))</f>
        <v>-1108689.260795</v>
      </c>
      <c r="C3962" t="n" s="0">
        <v>-1108689.260795</v>
      </c>
    </row>
    <row r="3963">
      <c r="A3963" t="n" s="0">
        <v>-60.38</v>
      </c>
      <c r="B3963" t="n" s="0">
        <f>(-5-((((-5*(-5/((-5/(((-5*(-60.38--5))-(-5+((-5*-60.38)*(((-5--5)+(-60.38--5))+-60.38))))-(-5+-5)))*-5)))/-5)--5)+(-5*(((-60.38*(-60.38-(-5/-5)))*(-60.38-(-60.38/(-5*-60.38))))-(-5/-5)))))</f>
        <v>-1108139.8631600002</v>
      </c>
      <c r="C3963" t="n" s="0">
        <v>-1108139.86316</v>
      </c>
    </row>
    <row r="3964">
      <c r="A3964" t="n" s="0">
        <v>-60.37</v>
      </c>
      <c r="B3964" t="n" s="0">
        <f>(-5-((((-5*(-5/((-5/(((-5*(-60.37--5))-(-5+((-5*-60.37)*(((-5--5)+(-60.37--5))+-60.37))))-(-5+-5)))*-5)))/-5)--5)+(-5*(((-60.37*(-60.37-(-5/-5)))*(-60.37-(-60.37/(-5*-60.37))))-(-5/-5)))))</f>
        <v>-1107590.6470650001</v>
      </c>
      <c r="C3964" t="n" s="0">
        <v>-1107590.647065</v>
      </c>
    </row>
    <row r="3965">
      <c r="A3965" t="n" s="0">
        <v>-60.36</v>
      </c>
      <c r="B3965" t="n" s="0">
        <f>(-5-((((-5*(-5/((-5/(((-5*(-60.36--5))-(-5+((-5*-60.36)*(((-5--5)+(-60.36--5))+-60.36))))-(-5+-5)))*-5)))/-5)--5)+(-5*(((-60.36*(-60.36-(-5/-5)))*(-60.36-(-60.36/(-5*-60.36))))-(-5/-5)))))</f>
        <v>-1107041.6124800001</v>
      </c>
      <c r="C3965" t="n" s="0">
        <v>-1107041.6124800001</v>
      </c>
    </row>
    <row r="3966">
      <c r="A3966" t="n" s="0">
        <v>-60.35</v>
      </c>
      <c r="B3966" t="n" s="0">
        <f>(-5-((((-5*(-5/((-5/(((-5*(-60.35--5))-(-5+((-5*-60.35)*(((-5--5)+(-60.35--5))+-60.35))))-(-5+-5)))*-5)))/-5)--5)+(-5*(((-60.35*(-60.35-(-5/-5)))*(-60.35-(-60.35/(-5*-60.35))))-(-5/-5)))))</f>
        <v>-1106492.7593750001</v>
      </c>
      <c r="C3966" t="n" s="0">
        <v>-1106492.7593750001</v>
      </c>
    </row>
    <row r="3967">
      <c r="A3967" t="n" s="0">
        <v>-60.34</v>
      </c>
      <c r="B3967" t="n" s="0">
        <f>(-5-((((-5*(-5/((-5/(((-5*(-60.34--5))-(-5+((-5*-60.34)*(((-5--5)+(-60.34--5))+-60.34))))-(-5+-5)))*-5)))/-5)--5)+(-5*(((-60.34*(-60.34-(-5/-5)))*(-60.34-(-60.34/(-5*-60.34))))-(-5/-5)))))</f>
        <v>-1105944.08772</v>
      </c>
      <c r="C3967" t="n" s="0">
        <v>-1105944.08772</v>
      </c>
    </row>
    <row r="3968">
      <c r="A3968" t="n" s="0">
        <v>-60.33</v>
      </c>
      <c r="B3968" t="n" s="0">
        <f>(-5-((((-5*(-5/((-5/(((-5*(-60.33--5))-(-5+((-5*-60.33)*(((-5--5)+(-60.33--5))+-60.33))))-(-5+-5)))*-5)))/-5)--5)+(-5*(((-60.33*(-60.33-(-5/-5)))*(-60.33-(-60.33/(-5*-60.33))))-(-5/-5)))))</f>
        <v>-1105395.5974849998</v>
      </c>
      <c r="C3968" t="n" s="0">
        <v>-1105395.5974849998</v>
      </c>
    </row>
    <row r="3969">
      <c r="A3969" t="n" s="0">
        <v>-60.32</v>
      </c>
      <c r="B3969" t="n" s="0">
        <f>(-5-((((-5*(-5/((-5/(((-5*(-60.32--5))-(-5+((-5*-60.32)*(((-5--5)+(-60.32--5))+-60.32))))-(-5+-5)))*-5)))/-5)--5)+(-5*(((-60.32*(-60.32-(-5/-5)))*(-60.32-(-60.32/(-5*-60.32))))-(-5/-5)))))</f>
        <v>-1104847.28864</v>
      </c>
      <c r="C3969" t="n" s="0">
        <v>-1104847.28864</v>
      </c>
    </row>
    <row r="3970">
      <c r="A3970" t="n" s="0">
        <v>-60.31</v>
      </c>
      <c r="B3970" t="n" s="0">
        <f>(-5-((((-5*(-5/((-5/(((-5*(-60.31--5))-(-5+((-5*-60.31)*(((-5--5)+(-60.31--5))+-60.31))))-(-5+-5)))*-5)))/-5)--5)+(-5*(((-60.31*(-60.31-(-5/-5)))*(-60.31-(-60.31/(-5*-60.31))))-(-5/-5)))))</f>
        <v>-1104299.1611549999</v>
      </c>
      <c r="C3970" t="n" s="0">
        <v>-1104299.161155</v>
      </c>
    </row>
    <row r="3971">
      <c r="A3971" t="n" s="0">
        <v>-60.3</v>
      </c>
      <c r="B3971" t="n" s="0">
        <f>(-5-((((-5*(-5/((-5/(((-5*(-60.3--5))-(-5+((-5*-60.3)*(((-5--5)+(-60.3--5))+-60.3))))-(-5+-5)))*-5)))/-5)--5)+(-5*(((-60.3*(-60.3-(-5/-5)))*(-60.3-(-60.3/(-5*-60.3))))-(-5/-5)))))</f>
        <v>-1103751.215</v>
      </c>
      <c r="C3971" t="n" s="0">
        <v>-1103751.2149999996</v>
      </c>
    </row>
    <row r="3972">
      <c r="A3972" t="n" s="0">
        <v>-60.29</v>
      </c>
      <c r="B3972" t="n" s="0">
        <f>(-5-((((-5*(-5/((-5/(((-5*(-60.29--5))-(-5+((-5*-60.29)*(((-5--5)+(-60.29--5))+-60.29))))-(-5+-5)))*-5)))/-5)--5)+(-5*(((-60.29*(-60.29-(-5/-5)))*(-60.29-(-60.29/(-5*-60.29))))-(-5/-5)))))</f>
        <v>-1103203.4501450001</v>
      </c>
      <c r="C3972" t="n" s="0">
        <v>-1103203.4501450001</v>
      </c>
    </row>
    <row r="3973">
      <c r="A3973" t="n" s="0">
        <v>-60.28</v>
      </c>
      <c r="B3973" t="n" s="0">
        <f>(-5-((((-5*(-5/((-5/(((-5*(-60.28--5))-(-5+((-5*-60.28)*(((-5--5)+(-60.28--5))+-60.28))))-(-5+-5)))*-5)))/-5)--5)+(-5*(((-60.28*(-60.28-(-5/-5)))*(-60.28-(-60.28/(-5*-60.28))))-(-5/-5)))))</f>
        <v>-1102655.86656</v>
      </c>
      <c r="C3973" t="n" s="0">
        <v>-1102655.86656</v>
      </c>
    </row>
    <row r="3974">
      <c r="A3974" t="n" s="0">
        <v>-60.27</v>
      </c>
      <c r="B3974" t="n" s="0">
        <f>(-5-((((-5*(-5/((-5/(((-5*(-60.27--5))-(-5+((-5*-60.27)*(((-5--5)+(-60.27--5))+-60.27))))-(-5+-5)))*-5)))/-5)--5)+(-5*(((-60.27*(-60.27-(-5/-5)))*(-60.27-(-60.27/(-5*-60.27))))-(-5/-5)))))</f>
        <v>-1102108.464215</v>
      </c>
      <c r="C3974" t="n" s="0">
        <v>-1102108.4642150004</v>
      </c>
    </row>
    <row r="3975">
      <c r="A3975" t="n" s="0">
        <v>-60.26</v>
      </c>
      <c r="B3975" t="n" s="0">
        <f>(-5-((((-5*(-5/((-5/(((-5*(-60.26--5))-(-5+((-5*-60.26)*(((-5--5)+(-60.26--5))+-60.26))))-(-5+-5)))*-5)))/-5)--5)+(-5*(((-60.26*(-60.26-(-5/-5)))*(-60.26-(-60.26/(-5*-60.26))))-(-5/-5)))))</f>
        <v>-1101561.24308</v>
      </c>
      <c r="C3975" t="n" s="0">
        <v>-1101561.24308</v>
      </c>
    </row>
    <row r="3976">
      <c r="A3976" t="n" s="0">
        <v>-60.25</v>
      </c>
      <c r="B3976" t="n" s="0">
        <f>(-5-((((-5*(-5/((-5/(((-5*(-60.25--5))-(-5+((-5*-60.25)*(((-5--5)+(-60.25--5))+-60.25))))-(-5+-5)))*-5)))/-5)--5)+(-5*(((-60.25*(-60.25-(-5/-5)))*(-60.25-(-60.25/(-5*-60.25))))-(-5/-5)))))</f>
        <v>-1101014.203125</v>
      </c>
      <c r="C3976" t="n" s="0">
        <v>-1101014.203125</v>
      </c>
    </row>
    <row r="3977">
      <c r="A3977" t="n" s="0">
        <v>-60.24</v>
      </c>
      <c r="B3977" t="n" s="0">
        <f>(-5-((((-5*(-5/((-5/(((-5*(-60.24--5))-(-5+((-5*-60.24)*(((-5--5)+(-60.24--5))+-60.24))))-(-5+-5)))*-5)))/-5)--5)+(-5*(((-60.24*(-60.24-(-5/-5)))*(-60.24-(-60.24/(-5*-60.24))))-(-5/-5)))))</f>
        <v>-1100467.34432</v>
      </c>
      <c r="C3977" t="n" s="0">
        <v>-1100467.34432</v>
      </c>
    </row>
    <row r="3978">
      <c r="A3978" t="n" s="0">
        <v>-60.23</v>
      </c>
      <c r="B3978" t="n" s="0">
        <f>(-5-((((-5*(-5/((-5/(((-5*(-60.23--5))-(-5+((-5*-60.23)*(((-5--5)+(-60.23--5))+-60.23))))-(-5+-5)))*-5)))/-5)--5)+(-5*(((-60.23*(-60.23-(-5/-5)))*(-60.23-(-60.23/(-5*-60.23))))-(-5/-5)))))</f>
        <v>-1099920.666635</v>
      </c>
      <c r="C3978" t="n" s="0">
        <v>-1099920.666635</v>
      </c>
    </row>
    <row r="3979">
      <c r="A3979" t="n" s="0">
        <v>-60.22</v>
      </c>
      <c r="B3979" t="n" s="0">
        <f>(-5-((((-5*(-5/((-5/(((-5*(-60.22--5))-(-5+((-5*-60.22)*(((-5--5)+(-60.22--5))+-60.22))))-(-5+-5)))*-5)))/-5)--5)+(-5*(((-60.22*(-60.22-(-5/-5)))*(-60.22-(-60.22/(-5*-60.22))))-(-5/-5)))))</f>
        <v>-1099374.17004</v>
      </c>
      <c r="C3979" t="n" s="0">
        <v>-1099374.1700399998</v>
      </c>
    </row>
    <row r="3980">
      <c r="A3980" t="n" s="0">
        <v>-60.21</v>
      </c>
      <c r="B3980" t="n" s="0">
        <f>(-5-((((-5*(-5/((-5/(((-5*(-60.21--5))-(-5+((-5*-60.21)*(((-5--5)+(-60.21--5))+-60.21))))-(-5+-5)))*-5)))/-5)--5)+(-5*(((-60.21*(-60.21-(-5/-5)))*(-60.21-(-60.21/(-5*-60.21))))-(-5/-5)))))</f>
        <v>-1098827.8545050002</v>
      </c>
      <c r="C3980" t="n" s="0">
        <v>-1098827.854505</v>
      </c>
    </row>
    <row r="3981">
      <c r="A3981" t="n" s="0">
        <v>-60.2</v>
      </c>
      <c r="B3981" t="n" s="0">
        <f>(-5-((((-5*(-5/((-5/(((-5*(-60.2--5))-(-5+((-5*-60.2)*(((-5--5)+(-60.2--5))+-60.2))))-(-5+-5)))*-5)))/-5)--5)+(-5*(((-60.2*(-60.2-(-5/-5)))*(-60.2-(-60.2/(-5*-60.2))))-(-5/-5)))))</f>
        <v>-1098281.72</v>
      </c>
      <c r="C3981" t="n" s="0">
        <v>-1098281.7200000004</v>
      </c>
    </row>
    <row r="3982">
      <c r="A3982" t="n" s="0">
        <v>-60.19</v>
      </c>
      <c r="B3982" t="n" s="0">
        <f>(-5-((((-5*(-5/((-5/(((-5*(-60.19--5))-(-5+((-5*-60.19)*(((-5--5)+(-60.19--5))+-60.19))))-(-5+-5)))*-5)))/-5)--5)+(-5*(((-60.19*(-60.19-(-5/-5)))*(-60.19-(-60.19/(-5*-60.19))))-(-5/-5)))))</f>
        <v>-1097735.766495</v>
      </c>
      <c r="C3982" t="n" s="0">
        <v>-1097735.7664949999</v>
      </c>
    </row>
    <row r="3983">
      <c r="A3983" t="n" s="0">
        <v>-60.18</v>
      </c>
      <c r="B3983" t="n" s="0">
        <f>(-5-((((-5*(-5/((-5/(((-5*(-60.18--5))-(-5+((-5*-60.18)*(((-5--5)+(-60.18--5))+-60.18))))-(-5+-5)))*-5)))/-5)--5)+(-5*(((-60.18*(-60.18-(-5/-5)))*(-60.18-(-60.18/(-5*-60.18))))-(-5/-5)))))</f>
        <v>-1097189.9939599999</v>
      </c>
      <c r="C3983" t="n" s="0">
        <v>-1097189.99396</v>
      </c>
    </row>
    <row r="3984">
      <c r="A3984" t="n" s="0">
        <v>-60.17</v>
      </c>
      <c r="B3984" t="n" s="0">
        <f>(-5-((((-5*(-5/((-5/(((-5*(-60.17--5))-(-5+((-5*-60.17)*(((-5--5)+(-60.17--5))+-60.17))))-(-5+-5)))*-5)))/-5)--5)+(-5*(((-60.17*(-60.17-(-5/-5)))*(-60.17-(-60.17/(-5*-60.17))))-(-5/-5)))))</f>
        <v>-1096644.402365</v>
      </c>
      <c r="C3984" t="n" s="0">
        <v>-1096644.4023650002</v>
      </c>
    </row>
    <row r="3985">
      <c r="A3985" t="n" s="0">
        <v>-60.16</v>
      </c>
      <c r="B3985" t="n" s="0">
        <f>(-5-((((-5*(-5/((-5/(((-5*(-60.16--5))-(-5+((-5*-60.16)*(((-5--5)+(-60.16--5))+-60.16))))-(-5+-5)))*-5)))/-5)--5)+(-5*(((-60.16*(-60.16-(-5/-5)))*(-60.16-(-60.16/(-5*-60.16))))-(-5/-5)))))</f>
        <v>-1096098.99168</v>
      </c>
      <c r="C3985" t="n" s="0">
        <v>-1096098.9916799997</v>
      </c>
    </row>
    <row r="3986">
      <c r="A3986" t="n" s="0">
        <v>-60.15</v>
      </c>
      <c r="B3986" t="n" s="0">
        <f>(-5-((((-5*(-5/((-5/(((-5*(-60.15--5))-(-5+((-5*-60.15)*(((-5--5)+(-60.15--5))+-60.15))))-(-5+-5)))*-5)))/-5)--5)+(-5*(((-60.15*(-60.15-(-5/-5)))*(-60.15-(-60.15/(-5*-60.15))))-(-5/-5)))))</f>
        <v>-1095553.7618749999</v>
      </c>
      <c r="C3986" t="n" s="0">
        <v>-1095553.7618749999</v>
      </c>
    </row>
    <row r="3987">
      <c r="A3987" t="n" s="0">
        <v>-60.14</v>
      </c>
      <c r="B3987" t="n" s="0">
        <f>(-5-((((-5*(-5/((-5/(((-5*(-60.14--5))-(-5+((-5*-60.14)*(((-5--5)+(-60.14--5))+-60.14))))-(-5+-5)))*-5)))/-5)--5)+(-5*(((-60.14*(-60.14-(-5/-5)))*(-60.14-(-60.14/(-5*-60.14))))-(-5/-5)))))</f>
        <v>-1095008.71292</v>
      </c>
      <c r="C3987" t="n" s="0">
        <v>-1095008.71292</v>
      </c>
    </row>
    <row r="3988">
      <c r="A3988" t="n" s="0">
        <v>-60.13</v>
      </c>
      <c r="B3988" t="n" s="0">
        <f>(-5-((((-5*(-5/((-5/(((-5*(-60.13--5))-(-5+((-5*-60.13)*(((-5--5)+(-60.13--5))+-60.13))))-(-5+-5)))*-5)))/-5)--5)+(-5*(((-60.13*(-60.13-(-5/-5)))*(-60.13-(-60.13/(-5*-60.13))))-(-5/-5)))))</f>
        <v>-1094463.844785</v>
      </c>
      <c r="C3988" t="n" s="0">
        <v>-1094463.8447850002</v>
      </c>
    </row>
    <row r="3989">
      <c r="A3989" t="n" s="0">
        <v>-60.12</v>
      </c>
      <c r="B3989" t="n" s="0">
        <f>(-5-((((-5*(-5/((-5/(((-5*(-60.12--5))-(-5+((-5*-60.12)*(((-5--5)+(-60.12--5))+-60.12))))-(-5+-5)))*-5)))/-5)--5)+(-5*(((-60.12*(-60.12-(-5/-5)))*(-60.12-(-60.12/(-5*-60.12))))-(-5/-5)))))</f>
        <v>-1093919.15744</v>
      </c>
      <c r="C3989" t="n" s="0">
        <v>-1093919.15744</v>
      </c>
    </row>
    <row r="3990">
      <c r="A3990" t="n" s="0">
        <v>-60.11</v>
      </c>
      <c r="B3990" t="n" s="0">
        <f>(-5-((((-5*(-5/((-5/(((-5*(-60.11--5))-(-5+((-5*-60.11)*(((-5--5)+(-60.11--5))+-60.11))))-(-5+-5)))*-5)))/-5)--5)+(-5*(((-60.11*(-60.11-(-5/-5)))*(-60.11-(-60.11/(-5*-60.11))))-(-5/-5)))))</f>
        <v>-1093374.650855</v>
      </c>
      <c r="C3990" t="n" s="0">
        <v>-1093374.6508550001</v>
      </c>
    </row>
    <row r="3991">
      <c r="A3991" t="n" s="0">
        <v>-60.1</v>
      </c>
      <c r="B3991" t="n" s="0">
        <f>(-5-((((-5*(-5/((-5/(((-5*(-60.1--5))-(-5+((-5*-60.1)*(((-5--5)+(-60.1--5))+-60.1))))-(-5+-5)))*-5)))/-5)--5)+(-5*(((-60.1*(-60.1-(-5/-5)))*(-60.1-(-60.1/(-5*-60.1))))-(-5/-5)))))</f>
        <v>-1092830.325</v>
      </c>
      <c r="C3991" t="n" s="0">
        <v>-1092830.3250000002</v>
      </c>
    </row>
    <row r="3992">
      <c r="A3992" t="n" s="0">
        <v>-60.09</v>
      </c>
      <c r="B3992" t="n" s="0">
        <f>(-5-((((-5*(-5/((-5/(((-5*(-60.09--5))-(-5+((-5*-60.09)*(((-5--5)+(-60.09--5))+-60.09))))-(-5+-5)))*-5)))/-5)--5)+(-5*(((-60.09*(-60.09-(-5/-5)))*(-60.09-(-60.09/(-5*-60.09))))-(-5/-5)))))</f>
        <v>-1092286.1798450002</v>
      </c>
      <c r="C3992" t="n" s="0">
        <v>-1092286.1798450002</v>
      </c>
    </row>
    <row r="3993">
      <c r="A3993" t="n" s="0">
        <v>-60.08</v>
      </c>
      <c r="B3993" t="n" s="0">
        <f>(-5-((((-5*(-5/((-5/(((-5*(-60.08--5))-(-5+((-5*-60.08)*(((-5--5)+(-60.08--5))+-60.08))))-(-5+-5)))*-5)))/-5)--5)+(-5*(((-60.08*(-60.08-(-5/-5)))*(-60.08-(-60.08/(-5*-60.08))))-(-5/-5)))))</f>
        <v>-1091742.21536</v>
      </c>
      <c r="C3993" t="n" s="0">
        <v>-1091742.21536</v>
      </c>
    </row>
    <row r="3994">
      <c r="A3994" t="n" s="0">
        <v>-60.07</v>
      </c>
      <c r="B3994" t="n" s="0">
        <f>(-5-((((-5*(-5/((-5/(((-5*(-60.07--5))-(-5+((-5*-60.07)*(((-5--5)+(-60.07--5))+-60.07))))-(-5+-5)))*-5)))/-5)--5)+(-5*(((-60.07*(-60.07-(-5/-5)))*(-60.07-(-60.07/(-5*-60.07))))-(-5/-5)))))</f>
        <v>-1091198.431515</v>
      </c>
      <c r="C3994" t="n" s="0">
        <v>-1091198.4315149998</v>
      </c>
    </row>
    <row r="3995">
      <c r="A3995" t="n" s="0">
        <v>-60.06</v>
      </c>
      <c r="B3995" t="n" s="0">
        <f>(-5-((((-5*(-5/((-5/(((-5*(-60.06--5))-(-5+((-5*-60.06)*(((-5--5)+(-60.06--5))+-60.06))))-(-5+-5)))*-5)))/-5)--5)+(-5*(((-60.06*(-60.06-(-5/-5)))*(-60.06-(-60.06/(-5*-60.06))))-(-5/-5)))))</f>
        <v>-1090654.82828</v>
      </c>
      <c r="C3995" t="n" s="0">
        <v>-1090654.82828</v>
      </c>
    </row>
    <row r="3996">
      <c r="A3996" t="n" s="0">
        <v>-60.05</v>
      </c>
      <c r="B3996" t="n" s="0">
        <f>(-5-((((-5*(-5/((-5/(((-5*(-60.05--5))-(-5+((-5*-60.05)*(((-5--5)+(-60.05--5))+-60.05))))-(-5+-5)))*-5)))/-5)--5)+(-5*(((-60.05*(-60.05-(-5/-5)))*(-60.05-(-60.05/(-5*-60.05))))-(-5/-5)))))</f>
        <v>-1090111.4056250001</v>
      </c>
      <c r="C3996" t="n" s="0">
        <v>-1090111.4056249997</v>
      </c>
    </row>
    <row r="3997">
      <c r="A3997" t="n" s="0">
        <v>-60.04</v>
      </c>
      <c r="B3997" t="n" s="0">
        <f>(-5-((((-5*(-5/((-5/(((-5*(-60.04--5))-(-5+((-5*-60.04)*(((-5--5)+(-60.04--5))+-60.04))))-(-5+-5)))*-5)))/-5)--5)+(-5*(((-60.04*(-60.04-(-5/-5)))*(-60.04-(-60.04/(-5*-60.04))))-(-5/-5)))))</f>
        <v>-1089568.16352</v>
      </c>
      <c r="C3997" t="n" s="0">
        <v>-1089568.1635200002</v>
      </c>
    </row>
    <row r="3998">
      <c r="A3998" t="n" s="0">
        <v>-60.03</v>
      </c>
      <c r="B3998" t="n" s="0">
        <f>(-5-((((-5*(-5/((-5/(((-5*(-60.03--5))-(-5+((-5*-60.03)*(((-5--5)+(-60.03--5))+-60.03))))-(-5+-5)))*-5)))/-5)--5)+(-5*(((-60.03*(-60.03-(-5/-5)))*(-60.03-(-60.03/(-5*-60.03))))-(-5/-5)))))</f>
        <v>-1089025.101935</v>
      </c>
      <c r="C3998" t="n" s="0">
        <v>-1089025.1019350002</v>
      </c>
    </row>
    <row r="3999">
      <c r="A3999" t="n" s="0">
        <v>-60.02</v>
      </c>
      <c r="B3999" t="n" s="0">
        <f>(-5-((((-5*(-5/((-5/(((-5*(-60.02--5))-(-5+((-5*-60.02)*(((-5--5)+(-60.02--5))+-60.02))))-(-5+-5)))*-5)))/-5)--5)+(-5*(((-60.02*(-60.02-(-5/-5)))*(-60.02-(-60.02/(-5*-60.02))))-(-5/-5)))))</f>
        <v>-1088482.22084</v>
      </c>
      <c r="C3999" t="n" s="0">
        <v>-1088482.2208400003</v>
      </c>
    </row>
    <row r="4000">
      <c r="A4000" t="n" s="0">
        <v>-60.01</v>
      </c>
      <c r="B4000" t="n" s="0">
        <f>(-5-((((-5*(-5/((-5/(((-5*(-60.01--5))-(-5+((-5*-60.01)*(((-5--5)+(-60.01--5))+-60.01))))-(-5+-5)))*-5)))/-5)--5)+(-5*(((-60.01*(-60.01-(-5/-5)))*(-60.01-(-60.01/(-5*-60.01))))-(-5/-5)))))</f>
        <v>-1087939.520205</v>
      </c>
      <c r="C4000" t="n" s="0">
        <v>-1087939.520205</v>
      </c>
    </row>
    <row r="4001">
      <c r="A4001" t="n" s="0">
        <v>-60.0</v>
      </c>
      <c r="B4001" t="n" s="0">
        <f>(-5-((((-5*(-5/((-5/(((-5*(-60--5))-(-5+((-5*-60)*(((-5--5)+(-60--5))+-60))))-(-5+-5)))*-5)))/-5)--5)+(-5*(((-60*(-60-(-5/-5)))*(-60-(-60/(-5*-60))))-(-5/-5)))))</f>
        <v>-1087397.0</v>
      </c>
      <c r="C4001" t="n" s="0">
        <v>-1087397.0</v>
      </c>
    </row>
    <row r="4002">
      <c r="A4002" t="n" s="0">
        <v>-59.99</v>
      </c>
      <c r="B4002" t="n" s="0">
        <f>(-5-((((-5*(-5/((-5/(((-5*(-59.99--5))-(-5+((-5*-59.99)*(((-5--5)+(-59.99--5))+-59.99))))-(-5+-5)))*-5)))/-5)--5)+(-5*(((-59.99*(-59.99-(-5/-5)))*(-59.99-(-59.99/(-5*-59.99))))-(-5/-5)))))</f>
        <v>-1086854.660195</v>
      </c>
      <c r="C4002" t="n" s="0">
        <v>-1086854.660195</v>
      </c>
    </row>
    <row r="4003">
      <c r="A4003" t="n" s="0">
        <v>-59.98</v>
      </c>
      <c r="B4003" t="n" s="0">
        <f>(-5-((((-5*(-5/((-5/(((-5*(-59.98--5))-(-5+((-5*-59.98)*(((-5--5)+(-59.98--5))+-59.98))))-(-5+-5)))*-5)))/-5)--5)+(-5*(((-59.98*(-59.98-(-5/-5)))*(-59.98-(-59.98/(-5*-59.98))))-(-5/-5)))))</f>
        <v>-1086312.50076</v>
      </c>
      <c r="C4003" t="n" s="0">
        <v>-1086312.5007599997</v>
      </c>
    </row>
    <row r="4004">
      <c r="A4004" t="n" s="0">
        <v>-59.97</v>
      </c>
      <c r="B4004" t="n" s="0">
        <f>(-5-((((-5*(-5/((-5/(((-5*(-59.97--5))-(-5+((-5*-59.97)*(((-5--5)+(-59.97--5))+-59.97))))-(-5+-5)))*-5)))/-5)--5)+(-5*(((-59.97*(-59.97-(-5/-5)))*(-59.97-(-59.97/(-5*-59.97))))-(-5/-5)))))</f>
        <v>-1085770.5216650001</v>
      </c>
      <c r="C4004" t="n" s="0">
        <v>-1085770.521665</v>
      </c>
    </row>
    <row r="4005">
      <c r="A4005" t="n" s="0">
        <v>-59.96</v>
      </c>
      <c r="B4005" t="n" s="0">
        <f>(-5-((((-5*(-5/((-5/(((-5*(-59.96--5))-(-5+((-5*-59.96)*(((-5--5)+(-59.96--5))+-59.96))))-(-5+-5)))*-5)))/-5)--5)+(-5*(((-59.96*(-59.96-(-5/-5)))*(-59.96-(-59.96/(-5*-59.96))))-(-5/-5)))))</f>
        <v>-1085228.72288</v>
      </c>
      <c r="C4005" t="n" s="0">
        <v>-1085228.72288</v>
      </c>
    </row>
    <row r="4006">
      <c r="A4006" t="n" s="0">
        <v>-59.95</v>
      </c>
      <c r="B4006" t="n" s="0">
        <f>(-5-((((-5*(-5/((-5/(((-5*(-59.95--5))-(-5+((-5*-59.95)*(((-5--5)+(-59.95--5))+-59.95))))-(-5+-5)))*-5)))/-5)--5)+(-5*(((-59.95*(-59.95-(-5/-5)))*(-59.95-(-59.95/(-5*-59.95))))-(-5/-5)))))</f>
        <v>-1084687.1043749999</v>
      </c>
      <c r="C4006" t="n" s="0">
        <v>-1084687.104375</v>
      </c>
    </row>
    <row r="4007">
      <c r="A4007" t="n" s="0">
        <v>-59.94</v>
      </c>
      <c r="B4007" t="n" s="0">
        <f>(-5-((((-5*(-5/((-5/(((-5*(-59.94--5))-(-5+((-5*-59.94)*(((-5--5)+(-59.94--5))+-59.94))))-(-5+-5)))*-5)))/-5)--5)+(-5*(((-59.94*(-59.94-(-5/-5)))*(-59.94-(-59.94/(-5*-59.94))))-(-5/-5)))))</f>
        <v>-1084145.66612</v>
      </c>
      <c r="C4007" t="n" s="0">
        <v>-1084145.66612</v>
      </c>
    </row>
    <row r="4008">
      <c r="A4008" t="n" s="0">
        <v>-59.93</v>
      </c>
      <c r="B4008" t="n" s="0">
        <f>(-5-((((-5*(-5/((-5/(((-5*(-59.93--5))-(-5+((-5*-59.93)*(((-5--5)+(-59.93--5))+-59.93))))-(-5+-5)))*-5)))/-5)--5)+(-5*(((-59.93*(-59.93-(-5/-5)))*(-59.93-(-59.93/(-5*-59.93))))-(-5/-5)))))</f>
        <v>-1083604.408085</v>
      </c>
      <c r="C4008" t="n" s="0">
        <v>-1083604.408085</v>
      </c>
    </row>
    <row r="4009">
      <c r="A4009" t="n" s="0">
        <v>-59.92</v>
      </c>
      <c r="B4009" t="n" s="0">
        <f>(-5-((((-5*(-5/((-5/(((-5*(-59.92--5))-(-5+((-5*-59.92)*(((-5--5)+(-59.92--5))+-59.92))))-(-5+-5)))*-5)))/-5)--5)+(-5*(((-59.92*(-59.92-(-5/-5)))*(-59.92-(-59.92/(-5*-59.92))))-(-5/-5)))))</f>
        <v>-1083063.33024</v>
      </c>
      <c r="C4009" t="n" s="0">
        <v>-1083063.33024</v>
      </c>
    </row>
    <row r="4010">
      <c r="A4010" t="n" s="0">
        <v>-59.91</v>
      </c>
      <c r="B4010" t="n" s="0">
        <f>(-5-((((-5*(-5/((-5/(((-5*(-59.91--5))-(-5+((-5*-59.91)*(((-5--5)+(-59.91--5))+-59.91))))-(-5+-5)))*-5)))/-5)--5)+(-5*(((-59.91*(-59.91-(-5/-5)))*(-59.91-(-59.91/(-5*-59.91))))-(-5/-5)))))</f>
        <v>-1082522.432555</v>
      </c>
      <c r="C4010" t="n" s="0">
        <v>-1082522.4325549998</v>
      </c>
    </row>
    <row r="4011">
      <c r="A4011" t="n" s="0">
        <v>-59.9</v>
      </c>
      <c r="B4011" t="n" s="0">
        <f>(-5-((((-5*(-5/((-5/(((-5*(-59.9--5))-(-5+((-5*-59.9)*(((-5--5)+(-59.9--5))+-59.9))))-(-5+-5)))*-5)))/-5)--5)+(-5*(((-59.9*(-59.9-(-5/-5)))*(-59.9-(-59.9/(-5*-59.9))))-(-5/-5)))))</f>
        <v>-1081981.715</v>
      </c>
      <c r="C4011" t="n" s="0">
        <v>-1081981.715</v>
      </c>
    </row>
    <row r="4012">
      <c r="A4012" t="n" s="0">
        <v>-59.89</v>
      </c>
      <c r="B4012" t="n" s="0">
        <f>(-5-((((-5*(-5/((-5/(((-5*(-59.89--5))-(-5+((-5*-59.89)*(((-5--5)+(-59.89--5))+-59.89))))-(-5+-5)))*-5)))/-5)--5)+(-5*(((-59.89*(-59.89-(-5/-5)))*(-59.89-(-59.89/(-5*-59.89))))-(-5/-5)))))</f>
        <v>-1081441.177545</v>
      </c>
      <c r="C4012" t="n" s="0">
        <v>-1081441.1775449999</v>
      </c>
    </row>
    <row r="4013">
      <c r="A4013" t="n" s="0">
        <v>-59.88</v>
      </c>
      <c r="B4013" t="n" s="0">
        <f>(-5-((((-5*(-5/((-5/(((-5*(-59.88--5))-(-5+((-5*-59.88)*(((-5--5)+(-59.88--5))+-59.88))))-(-5+-5)))*-5)))/-5)--5)+(-5*(((-59.88*(-59.88-(-5/-5)))*(-59.88-(-59.88/(-5*-59.88))))-(-5/-5)))))</f>
        <v>-1080900.8201600001</v>
      </c>
      <c r="C4013" t="n" s="0">
        <v>-1080900.82016</v>
      </c>
    </row>
    <row r="4014">
      <c r="A4014" t="n" s="0">
        <v>-59.87</v>
      </c>
      <c r="B4014" t="n" s="0">
        <f>(-5-((((-5*(-5/((-5/(((-5*(-59.87--5))-(-5+((-5*-59.87)*(((-5--5)+(-59.87--5))+-59.87))))-(-5+-5)))*-5)))/-5)--5)+(-5*(((-59.87*(-59.87-(-5/-5)))*(-59.87-(-59.87/(-5*-59.87))))-(-5/-5)))))</f>
        <v>-1080360.6428150001</v>
      </c>
      <c r="C4014" t="n" s="0">
        <v>-1080360.642815</v>
      </c>
    </row>
    <row r="4015">
      <c r="A4015" t="n" s="0">
        <v>-59.86</v>
      </c>
      <c r="B4015" t="n" s="0">
        <f>(-5-((((-5*(-5/((-5/(((-5*(-59.86--5))-(-5+((-5*-59.86)*(((-5--5)+(-59.86--5))+-59.86))))-(-5+-5)))*-5)))/-5)--5)+(-5*(((-59.86*(-59.86-(-5/-5)))*(-59.86-(-59.86/(-5*-59.86))))-(-5/-5)))))</f>
        <v>-1079820.64548</v>
      </c>
      <c r="C4015" t="n" s="0">
        <v>-1079820.64548</v>
      </c>
    </row>
    <row r="4016">
      <c r="A4016" t="n" s="0">
        <v>-59.85</v>
      </c>
      <c r="B4016" t="n" s="0">
        <f>(-5-((((-5*(-5/((-5/(((-5*(-59.85--5))-(-5+((-5*-59.85)*(((-5--5)+(-59.85--5))+-59.85))))-(-5+-5)))*-5)))/-5)--5)+(-5*(((-59.85*(-59.85-(-5/-5)))*(-59.85-(-59.85/(-5*-59.85))))-(-5/-5)))))</f>
        <v>-1079280.828125</v>
      </c>
      <c r="C4016" t="n" s="0">
        <v>-1079280.828125</v>
      </c>
    </row>
    <row r="4017">
      <c r="A4017" t="n" s="0">
        <v>-59.84</v>
      </c>
      <c r="B4017" t="n" s="0">
        <f>(-5-((((-5*(-5/((-5/(((-5*(-59.84--5))-(-5+((-5*-59.84)*(((-5--5)+(-59.84--5))+-59.84))))-(-5+-5)))*-5)))/-5)--5)+(-5*(((-59.84*(-59.84-(-5/-5)))*(-59.84-(-59.84/(-5*-59.84))))-(-5/-5)))))</f>
        <v>-1078741.1907199998</v>
      </c>
      <c r="C4017" t="n" s="0">
        <v>-1078741.1907200003</v>
      </c>
    </row>
    <row r="4018">
      <c r="A4018" t="n" s="0">
        <v>-59.83</v>
      </c>
      <c r="B4018" t="n" s="0">
        <f>(-5-((((-5*(-5/((-5/(((-5*(-59.83--5))-(-5+((-5*-59.83)*(((-5--5)+(-59.83--5))+-59.83))))-(-5+-5)))*-5)))/-5)--5)+(-5*(((-59.83*(-59.83-(-5/-5)))*(-59.83-(-59.83/(-5*-59.83))))-(-5/-5)))))</f>
        <v>-1078201.733235</v>
      </c>
      <c r="C4018" t="n" s="0">
        <v>-1078201.733235</v>
      </c>
    </row>
    <row r="4019">
      <c r="A4019" t="n" s="0">
        <v>-59.82</v>
      </c>
      <c r="B4019" t="n" s="0">
        <f>(-5-((((-5*(-5/((-5/(((-5*(-59.82--5))-(-5+((-5*-59.82)*(((-5--5)+(-59.82--5))+-59.82))))-(-5+-5)))*-5)))/-5)--5)+(-5*(((-59.82*(-59.82-(-5/-5)))*(-59.82-(-59.82/(-5*-59.82))))-(-5/-5)))))</f>
        <v>-1077662.4556399998</v>
      </c>
      <c r="C4019" t="n" s="0">
        <v>-1077662.45564</v>
      </c>
    </row>
    <row r="4020">
      <c r="A4020" t="n" s="0">
        <v>-59.81</v>
      </c>
      <c r="B4020" t="n" s="0">
        <f>(-5-((((-5*(-5/((-5/(((-5*(-59.81--5))-(-5+((-5*-59.81)*(((-5--5)+(-59.81--5))+-59.81))))-(-5+-5)))*-5)))/-5)--5)+(-5*(((-59.81*(-59.81-(-5/-5)))*(-59.81-(-59.81/(-5*-59.81))))-(-5/-5)))))</f>
        <v>-1077123.357905</v>
      </c>
      <c r="C4020" t="n" s="0">
        <v>-1077123.357905</v>
      </c>
    </row>
    <row r="4021">
      <c r="A4021" t="n" s="0">
        <v>-59.8</v>
      </c>
      <c r="B4021" t="n" s="0">
        <f>(-5-((((-5*(-5/((-5/(((-5*(-59.8--5))-(-5+((-5*-59.8)*(((-5--5)+(-59.8--5))+-59.8))))-(-5+-5)))*-5)))/-5)--5)+(-5*(((-59.8*(-59.8-(-5/-5)))*(-59.8-(-59.8/(-5*-59.8))))-(-5/-5)))))</f>
        <v>-1076584.44</v>
      </c>
      <c r="C4021" t="n" s="0">
        <v>-1076584.44</v>
      </c>
    </row>
    <row r="4022">
      <c r="A4022" t="n" s="0">
        <v>-59.79</v>
      </c>
      <c r="B4022" t="n" s="0">
        <f>(-5-((((-5*(-5/((-5/(((-5*(-59.79--5))-(-5+((-5*-59.79)*(((-5--5)+(-59.79--5))+-59.79))))-(-5+-5)))*-5)))/-5)--5)+(-5*(((-59.79*(-59.79-(-5/-5)))*(-59.79-(-59.79/(-5*-59.79))))-(-5/-5)))))</f>
        <v>-1076045.701895</v>
      </c>
      <c r="C4022" t="n" s="0">
        <v>-1076045.7018950002</v>
      </c>
    </row>
    <row r="4023">
      <c r="A4023" t="n" s="0">
        <v>-59.78</v>
      </c>
      <c r="B4023" t="n" s="0">
        <f>(-5-((((-5*(-5/((-5/(((-5*(-59.78--5))-(-5+((-5*-59.78)*(((-5--5)+(-59.78--5))+-59.78))))-(-5+-5)))*-5)))/-5)--5)+(-5*(((-59.78*(-59.78-(-5/-5)))*(-59.78-(-59.78/(-5*-59.78))))-(-5/-5)))))</f>
        <v>-1075507.14356</v>
      </c>
      <c r="C4023" t="n" s="0">
        <v>-1075507.14356</v>
      </c>
    </row>
    <row r="4024">
      <c r="A4024" t="n" s="0">
        <v>-59.77</v>
      </c>
      <c r="B4024" t="n" s="0">
        <f>(-5-((((-5*(-5/((-5/(((-5*(-59.77--5))-(-5+((-5*-59.77)*(((-5--5)+(-59.77--5))+-59.77))))-(-5+-5)))*-5)))/-5)--5)+(-5*(((-59.77*(-59.77-(-5/-5)))*(-59.77-(-59.77/(-5*-59.77))))-(-5/-5)))))</f>
        <v>-1074968.764965</v>
      </c>
      <c r="C4024" t="n" s="0">
        <v>-1074968.7649650003</v>
      </c>
    </row>
    <row r="4025">
      <c r="A4025" t="n" s="0">
        <v>-59.76</v>
      </c>
      <c r="B4025" t="n" s="0">
        <f>(-5-((((-5*(-5/((-5/(((-5*(-59.76--5))-(-5+((-5*-59.76)*(((-5--5)+(-59.76--5))+-59.76))))-(-5+-5)))*-5)))/-5)--5)+(-5*(((-59.76*(-59.76-(-5/-5)))*(-59.76-(-59.76/(-5*-59.76))))-(-5/-5)))))</f>
        <v>-1074430.56608</v>
      </c>
      <c r="C4025" t="n" s="0">
        <v>-1074430.5660799998</v>
      </c>
    </row>
    <row r="4026">
      <c r="A4026" t="n" s="0">
        <v>-59.75</v>
      </c>
      <c r="B4026" t="n" s="0">
        <f>(-5-((((-5*(-5/((-5/(((-5*(-59.75--5))-(-5+((-5*-59.75)*(((-5--5)+(-59.75--5))+-59.75))))-(-5+-5)))*-5)))/-5)--5)+(-5*(((-59.75*(-59.75-(-5/-5)))*(-59.75-(-59.75/(-5*-59.75))))-(-5/-5)))))</f>
        <v>-1073892.546875</v>
      </c>
      <c r="C4026" t="n" s="0">
        <v>-1073892.546875</v>
      </c>
    </row>
    <row r="4027">
      <c r="A4027" t="n" s="0">
        <v>-59.74</v>
      </c>
      <c r="B4027" t="n" s="0">
        <f>(-5-((((-5*(-5/((-5/(((-5*(-59.74--5))-(-5+((-5*-59.74)*(((-5--5)+(-59.74--5))+-59.74))))-(-5+-5)))*-5)))/-5)--5)+(-5*(((-59.74*(-59.74-(-5/-5)))*(-59.74-(-59.74/(-5*-59.74))))-(-5/-5)))))</f>
        <v>-1073354.70732</v>
      </c>
      <c r="C4027" t="n" s="0">
        <v>-1073354.70732</v>
      </c>
    </row>
    <row r="4028">
      <c r="A4028" t="n" s="0">
        <v>-59.73</v>
      </c>
      <c r="B4028" t="n" s="0">
        <f>(-5-((((-5*(-5/((-5/(((-5*(-59.73--5))-(-5+((-5*-59.73)*(((-5--5)+(-59.73--5))+-59.73))))-(-5+-5)))*-5)))/-5)--5)+(-5*(((-59.73*(-59.73-(-5/-5)))*(-59.73-(-59.73/(-5*-59.73))))-(-5/-5)))))</f>
        <v>-1072817.047385</v>
      </c>
      <c r="C4028" t="n" s="0">
        <v>-1072817.0473849997</v>
      </c>
    </row>
    <row r="4029">
      <c r="A4029" t="n" s="0">
        <v>-59.72</v>
      </c>
      <c r="B4029" t="n" s="0">
        <f>(-5-((((-5*(-5/((-5/(((-5*(-59.72--5))-(-5+((-5*-59.72)*(((-5--5)+(-59.72--5))+-59.72))))-(-5+-5)))*-5)))/-5)--5)+(-5*(((-59.72*(-59.72-(-5/-5)))*(-59.72-(-59.72/(-5*-59.72))))-(-5/-5)))))</f>
        <v>-1072279.56704</v>
      </c>
      <c r="C4029" t="n" s="0">
        <v>-1072279.5670399999</v>
      </c>
    </row>
    <row r="4030">
      <c r="A4030" t="n" s="0">
        <v>-59.71</v>
      </c>
      <c r="B4030" t="n" s="0">
        <f>(-5-((((-5*(-5/((-5/(((-5*(-59.71--5))-(-5+((-5*-59.71)*(((-5--5)+(-59.71--5))+-59.71))))-(-5+-5)))*-5)))/-5)--5)+(-5*(((-59.71*(-59.71-(-5/-5)))*(-59.71-(-59.71/(-5*-59.71))))-(-5/-5)))))</f>
        <v>-1071742.266255</v>
      </c>
      <c r="C4030" t="n" s="0">
        <v>-1071742.2662550001</v>
      </c>
    </row>
    <row r="4031">
      <c r="A4031" t="n" s="0">
        <v>-59.7</v>
      </c>
      <c r="B4031" t="n" s="0">
        <f>(-5-((((-5*(-5/((-5/(((-5*(-59.7--5))-(-5+((-5*-59.7)*(((-5--5)+(-59.7--5))+-59.7))))-(-5+-5)))*-5)))/-5)--5)+(-5*(((-59.7*(-59.7-(-5/-5)))*(-59.7-(-59.7/(-5*-59.7))))-(-5/-5)))))</f>
        <v>-1071205.145</v>
      </c>
      <c r="C4031" t="n" s="0">
        <v>-1071205.1450000003</v>
      </c>
    </row>
    <row r="4032">
      <c r="A4032" t="n" s="0">
        <v>-59.69</v>
      </c>
      <c r="B4032" t="n" s="0">
        <f>(-5-((((-5*(-5/((-5/(((-5*(-59.69--5))-(-5+((-5*-59.69)*(((-5--5)+(-59.69--5))+-59.69))))-(-5+-5)))*-5)))/-5)--5)+(-5*(((-59.69*(-59.69-(-5/-5)))*(-59.69-(-59.69/(-5*-59.69))))-(-5/-5)))))</f>
        <v>-1070668.203245</v>
      </c>
      <c r="C4032" t="n" s="0">
        <v>-1070668.203245</v>
      </c>
    </row>
    <row r="4033">
      <c r="A4033" t="n" s="0">
        <v>-59.68</v>
      </c>
      <c r="B4033" t="n" s="0">
        <f>(-5-((((-5*(-5/((-5/(((-5*(-59.68--5))-(-5+((-5*-59.68)*(((-5--5)+(-59.68--5))+-59.68))))-(-5+-5)))*-5)))/-5)--5)+(-5*(((-59.68*(-59.68-(-5/-5)))*(-59.68-(-59.68/(-5*-59.68))))-(-5/-5)))))</f>
        <v>-1070131.44096</v>
      </c>
      <c r="C4033" t="n" s="0">
        <v>-1070131.44096</v>
      </c>
    </row>
    <row r="4034">
      <c r="A4034" t="n" s="0">
        <v>-59.67</v>
      </c>
      <c r="B4034" t="n" s="0">
        <f>(-5-((((-5*(-5/((-5/(((-5*(-59.67--5))-(-5+((-5*-59.67)*(((-5--5)+(-59.67--5))+-59.67))))-(-5+-5)))*-5)))/-5)--5)+(-5*(((-59.67*(-59.67-(-5/-5)))*(-59.67-(-59.67/(-5*-59.67))))-(-5/-5)))))</f>
        <v>-1069594.858115</v>
      </c>
      <c r="C4034" t="n" s="0">
        <v>-1069594.858115</v>
      </c>
    </row>
    <row r="4035">
      <c r="A4035" t="n" s="0">
        <v>-59.66</v>
      </c>
      <c r="B4035" t="n" s="0">
        <f>(-5-((((-5*(-5/((-5/(((-5*(-59.66--5))-(-5+((-5*-59.66)*(((-5--5)+(-59.66--5))+-59.66))))-(-5+-5)))*-5)))/-5)--5)+(-5*(((-59.66*(-59.66-(-5/-5)))*(-59.66-(-59.66/(-5*-59.66))))-(-5/-5)))))</f>
        <v>-1069058.45468</v>
      </c>
      <c r="C4035" t="n" s="0">
        <v>-1069058.4546799997</v>
      </c>
    </row>
    <row r="4036">
      <c r="A4036" t="n" s="0">
        <v>-59.65</v>
      </c>
      <c r="B4036" t="n" s="0">
        <f>(-5-((((-5*(-5/((-5/(((-5*(-59.65--5))-(-5+((-5*-59.65)*(((-5--5)+(-59.65--5))+-59.65))))-(-5+-5)))*-5)))/-5)--5)+(-5*(((-59.65*(-59.65-(-5/-5)))*(-59.65-(-59.65/(-5*-59.65))))-(-5/-5)))))</f>
        <v>-1068522.230625</v>
      </c>
      <c r="C4036" t="n" s="0">
        <v>-1068522.2306249999</v>
      </c>
    </row>
    <row r="4037">
      <c r="A4037" t="n" s="0">
        <v>-59.64</v>
      </c>
      <c r="B4037" t="n" s="0">
        <f>(-5-((((-5*(-5/((-5/(((-5*(-59.64--5))-(-5+((-5*-59.64)*(((-5--5)+(-59.64--5))+-59.64))))-(-5+-5)))*-5)))/-5)--5)+(-5*(((-59.64*(-59.64-(-5/-5)))*(-59.64-(-59.64/(-5*-59.64))))-(-5/-5)))))</f>
        <v>-1067986.18592</v>
      </c>
      <c r="C4037" t="n" s="0">
        <v>-1067986.18592</v>
      </c>
    </row>
    <row r="4038">
      <c r="A4038" t="n" s="0">
        <v>-59.63</v>
      </c>
      <c r="B4038" t="n" s="0">
        <f>(-5-((((-5*(-5/((-5/(((-5*(-59.63--5))-(-5+((-5*-59.63)*(((-5--5)+(-59.63--5))+-59.63))))-(-5+-5)))*-5)))/-5)--5)+(-5*(((-59.63*(-59.63-(-5/-5)))*(-59.63-(-59.63/(-5*-59.63))))-(-5/-5)))))</f>
        <v>-1067450.320535</v>
      </c>
      <c r="C4038" t="n" s="0">
        <v>-1067450.3205350002</v>
      </c>
    </row>
    <row r="4039">
      <c r="A4039" t="n" s="0">
        <v>-59.62</v>
      </c>
      <c r="B4039" t="n" s="0">
        <f>(-5-((((-5*(-5/((-5/(((-5*(-59.62--5))-(-5+((-5*-59.62)*(((-5--5)+(-59.62--5))+-59.62))))-(-5+-5)))*-5)))/-5)--5)+(-5*(((-59.62*(-59.62-(-5/-5)))*(-59.62-(-59.62/(-5*-59.62))))-(-5/-5)))))</f>
        <v>-1066914.63444</v>
      </c>
      <c r="C4039" t="n" s="0">
        <v>-1066914.63444</v>
      </c>
    </row>
    <row r="4040">
      <c r="A4040" t="n" s="0">
        <v>-59.61</v>
      </c>
      <c r="B4040" t="n" s="0">
        <f>(-5-((((-5*(-5/((-5/(((-5*(-59.61--5))-(-5+((-5*-59.61)*(((-5--5)+(-59.61--5))+-59.61))))-(-5+-5)))*-5)))/-5)--5)+(-5*(((-59.61*(-59.61-(-5/-5)))*(-59.61-(-59.61/(-5*-59.61))))-(-5/-5)))))</f>
        <v>-1066379.1276049998</v>
      </c>
      <c r="C4040" t="n" s="0">
        <v>-1066379.127605</v>
      </c>
    </row>
    <row r="4041">
      <c r="A4041" t="n" s="0">
        <v>-59.6</v>
      </c>
      <c r="B4041" t="n" s="0">
        <f>(-5-((((-5*(-5/((-5/(((-5*(-59.6--5))-(-5+((-5*-59.6)*(((-5--5)+(-59.6--5))+-59.6))))-(-5+-5)))*-5)))/-5)--5)+(-5*(((-59.6*(-59.6-(-5/-5)))*(-59.6-(-59.6/(-5*-59.6))))-(-5/-5)))))</f>
        <v>-1065843.8</v>
      </c>
      <c r="C4041" t="n" s="0">
        <v>-1065843.8</v>
      </c>
    </row>
    <row r="4042">
      <c r="A4042" t="n" s="0">
        <v>-59.59</v>
      </c>
      <c r="B4042" t="n" s="0">
        <f>(-5-((((-5*(-5/((-5/(((-5*(-59.59--5))-(-5+((-5*-59.59)*(((-5--5)+(-59.59--5))+-59.59))))-(-5+-5)))*-5)))/-5)--5)+(-5*(((-59.59*(-59.59-(-5/-5)))*(-59.59-(-59.59/(-5*-59.59))))-(-5/-5)))))</f>
        <v>-1065308.651595</v>
      </c>
      <c r="C4042" t="n" s="0">
        <v>-1065308.6515950004</v>
      </c>
    </row>
    <row r="4043">
      <c r="A4043" t="n" s="0">
        <v>-59.58</v>
      </c>
      <c r="B4043" t="n" s="0">
        <f>(-5-((((-5*(-5/((-5/(((-5*(-59.58--5))-(-5+((-5*-59.58)*(((-5--5)+(-59.58--5))+-59.58))))-(-5+-5)))*-5)))/-5)--5)+(-5*(((-59.58*(-59.58-(-5/-5)))*(-59.58-(-59.58/(-5*-59.58))))-(-5/-5)))))</f>
        <v>-1064773.6823600002</v>
      </c>
      <c r="C4043" t="n" s="0">
        <v>-1064773.68236</v>
      </c>
    </row>
    <row r="4044">
      <c r="A4044" t="n" s="0">
        <v>-59.57</v>
      </c>
      <c r="B4044" t="n" s="0">
        <f>(-5-((((-5*(-5/((-5/(((-5*(-59.57--5))-(-5+((-5*-59.57)*(((-5--5)+(-59.57--5))+-59.57))))-(-5+-5)))*-5)))/-5)--5)+(-5*(((-59.57*(-59.57-(-5/-5)))*(-59.57-(-59.57/(-5*-59.57))))-(-5/-5)))))</f>
        <v>-1064238.892265</v>
      </c>
      <c r="C4044" t="n" s="0">
        <v>-1064238.892265</v>
      </c>
    </row>
    <row r="4045">
      <c r="A4045" t="n" s="0">
        <v>-59.56</v>
      </c>
      <c r="B4045" t="n" s="0">
        <f>(-5-((((-5*(-5/((-5/(((-5*(-59.56--5))-(-5+((-5*-59.56)*(((-5--5)+(-59.56--5))+-59.56))))-(-5+-5)))*-5)))/-5)--5)+(-5*(((-59.56*(-59.56-(-5/-5)))*(-59.56-(-59.56/(-5*-59.56))))-(-5/-5)))))</f>
        <v>-1063704.28128</v>
      </c>
      <c r="C4045" t="n" s="0">
        <v>-1063704.28128</v>
      </c>
    </row>
    <row r="4046">
      <c r="A4046" t="n" s="0">
        <v>-59.55</v>
      </c>
      <c r="B4046" t="n" s="0">
        <f>(-5-((((-5*(-5/((-5/(((-5*(-59.55--5))-(-5+((-5*-59.55)*(((-5--5)+(-59.55--5))+-59.55))))-(-5+-5)))*-5)))/-5)--5)+(-5*(((-59.55*(-59.55-(-5/-5)))*(-59.55-(-59.55/(-5*-59.55))))-(-5/-5)))))</f>
        <v>-1063169.849375</v>
      </c>
      <c r="C4046" t="n" s="0">
        <v>-1063169.8493749998</v>
      </c>
    </row>
    <row r="4047">
      <c r="A4047" t="n" s="0">
        <v>-59.54</v>
      </c>
      <c r="B4047" t="n" s="0">
        <f>(-5-((((-5*(-5/((-5/(((-5*(-59.54--5))-(-5+((-5*-59.54)*(((-5--5)+(-59.54--5))+-59.54))))-(-5+-5)))*-5)))/-5)--5)+(-5*(((-59.54*(-59.54-(-5/-5)))*(-59.54-(-59.54/(-5*-59.54))))-(-5/-5)))))</f>
        <v>-1062635.59652</v>
      </c>
      <c r="C4047" t="n" s="0">
        <v>-1062635.59652</v>
      </c>
    </row>
    <row r="4048">
      <c r="A4048" t="n" s="0">
        <v>-59.53</v>
      </c>
      <c r="B4048" t="n" s="0">
        <f>(-5-((((-5*(-5/((-5/(((-5*(-59.53--5))-(-5+((-5*-59.53)*(((-5--5)+(-59.53--5))+-59.53))))-(-5+-5)))*-5)))/-5)--5)+(-5*(((-59.53*(-59.53-(-5/-5)))*(-59.53-(-59.53/(-5*-59.53))))-(-5/-5)))))</f>
        <v>-1062101.522685</v>
      </c>
      <c r="C4048" t="n" s="0">
        <v>-1062101.5226850002</v>
      </c>
    </row>
    <row r="4049">
      <c r="A4049" t="n" s="0">
        <v>-59.52</v>
      </c>
      <c r="B4049" t="n" s="0">
        <f>(-5-((((-5*(-5/((-5/(((-5*(-59.52--5))-(-5+((-5*-59.52)*(((-5--5)+(-59.52--5))+-59.52))))-(-5+-5)))*-5)))/-5)--5)+(-5*(((-59.52*(-59.52-(-5/-5)))*(-59.52-(-59.52/(-5*-59.52))))-(-5/-5)))))</f>
        <v>-1061567.62784</v>
      </c>
      <c r="C4049" t="n" s="0">
        <v>-1061567.6278400002</v>
      </c>
    </row>
    <row r="4050">
      <c r="A4050" t="n" s="0">
        <v>-59.51</v>
      </c>
      <c r="B4050" t="n" s="0">
        <f>(-5-((((-5*(-5/((-5/(((-5*(-59.51--5))-(-5+((-5*-59.51)*(((-5--5)+(-59.51--5))+-59.51))))-(-5+-5)))*-5)))/-5)--5)+(-5*(((-59.51*(-59.51-(-5/-5)))*(-59.51-(-59.51/(-5*-59.51))))-(-5/-5)))))</f>
        <v>-1061033.9119550001</v>
      </c>
      <c r="C4050" t="n" s="0">
        <v>-1061033.911955</v>
      </c>
    </row>
    <row r="4051">
      <c r="A4051" t="n" s="0">
        <v>-59.5</v>
      </c>
      <c r="B4051" t="n" s="0">
        <f>(-5-((((-5*(-5/((-5/(((-5*(-59.5--5))-(-5+((-5*-59.5)*(((-5--5)+(-59.5--5))+-59.5))))-(-5+-5)))*-5)))/-5)--5)+(-5*(((-59.5*(-59.5-(-5/-5)))*(-59.5-(-59.5/(-5*-59.5))))-(-5/-5)))))</f>
        <v>-1060500.375</v>
      </c>
      <c r="C4051" t="n" s="0">
        <v>-1060500.375</v>
      </c>
    </row>
    <row r="4052">
      <c r="A4052" t="n" s="0">
        <v>-59.49</v>
      </c>
      <c r="B4052" t="n" s="0">
        <f>(-5-((((-5*(-5/((-5/(((-5*(-59.49--5))-(-5+((-5*-59.49)*(((-5--5)+(-59.49--5))+-59.49))))-(-5+-5)))*-5)))/-5)--5)+(-5*(((-59.49*(-59.49-(-5/-5)))*(-59.49-(-59.49/(-5*-59.49))))-(-5/-5)))))</f>
        <v>-1059967.016945</v>
      </c>
      <c r="C4052" t="n" s="0">
        <v>-1059967.016945</v>
      </c>
    </row>
    <row r="4053">
      <c r="A4053" t="n" s="0">
        <v>-59.48</v>
      </c>
      <c r="B4053" t="n" s="0">
        <f>(-5-((((-5*(-5/((-5/(((-5*(-59.48--5))-(-5+((-5*-59.48)*(((-5--5)+(-59.48--5))+-59.48))))-(-5+-5)))*-5)))/-5)--5)+(-5*(((-59.48*(-59.48-(-5/-5)))*(-59.48-(-59.48/(-5*-59.48))))-(-5/-5)))))</f>
        <v>-1059433.8377599998</v>
      </c>
      <c r="C4053" t="n" s="0">
        <v>-1059433.8377599998</v>
      </c>
    </row>
    <row r="4054">
      <c r="A4054" t="n" s="0">
        <v>-59.47</v>
      </c>
      <c r="B4054" t="n" s="0">
        <f>(-5-((((-5*(-5/((-5/(((-5*(-59.47--5))-(-5+((-5*-59.47)*(((-5--5)+(-59.47--5))+-59.47))))-(-5+-5)))*-5)))/-5)--5)+(-5*(((-59.47*(-59.47-(-5/-5)))*(-59.47-(-59.47/(-5*-59.47))))-(-5/-5)))))</f>
        <v>-1058900.837415</v>
      </c>
      <c r="C4054" t="n" s="0">
        <v>-1058900.837415</v>
      </c>
    </row>
    <row r="4055">
      <c r="A4055" t="n" s="0">
        <v>-59.46</v>
      </c>
      <c r="B4055" t="n" s="0">
        <f>(-5-((((-5*(-5/((-5/(((-5*(-59.46--5))-(-5+((-5*-59.46)*(((-5--5)+(-59.46--5))+-59.46))))-(-5+-5)))*-5)))/-5)--5)+(-5*(((-59.46*(-59.46-(-5/-5)))*(-59.46-(-59.46/(-5*-59.46))))-(-5/-5)))))</f>
        <v>-1058368.0158799998</v>
      </c>
      <c r="C4055" t="n" s="0">
        <v>-1058368.0158799998</v>
      </c>
    </row>
    <row r="4056">
      <c r="A4056" t="n" s="0">
        <v>-59.45</v>
      </c>
      <c r="B4056" t="n" s="0">
        <f>(-5-((((-5*(-5/((-5/(((-5*(-59.45--5))-(-5+((-5*-59.45)*(((-5--5)+(-59.45--5))+-59.45))))-(-5+-5)))*-5)))/-5)--5)+(-5*(((-59.45*(-59.45-(-5/-5)))*(-59.45-(-59.45/(-5*-59.45))))-(-5/-5)))))</f>
        <v>-1057835.3731250002</v>
      </c>
      <c r="C4056" t="n" s="0">
        <v>-1057835.3731250004</v>
      </c>
    </row>
    <row r="4057">
      <c r="A4057" t="n" s="0">
        <v>-59.44</v>
      </c>
      <c r="B4057" t="n" s="0">
        <f>(-5-((((-5*(-5/((-5/(((-5*(-59.44--5))-(-5+((-5*-59.44)*(((-5--5)+(-59.44--5))+-59.44))))-(-5+-5)))*-5)))/-5)--5)+(-5*(((-59.44*(-59.44-(-5/-5)))*(-59.44-(-59.44/(-5*-59.44))))-(-5/-5)))))</f>
        <v>-1057302.90912</v>
      </c>
      <c r="C4057" t="n" s="0">
        <v>-1057302.90912</v>
      </c>
    </row>
    <row r="4058">
      <c r="A4058" t="n" s="0">
        <v>-59.43</v>
      </c>
      <c r="B4058" t="n" s="0">
        <f>(-5-((((-5*(-5/((-5/(((-5*(-59.43--5))-(-5+((-5*-59.43)*(((-5--5)+(-59.43--5))+-59.43))))-(-5+-5)))*-5)))/-5)--5)+(-5*(((-59.43*(-59.43-(-5/-5)))*(-59.43-(-59.43/(-5*-59.43))))-(-5/-5)))))</f>
        <v>-1056770.623835</v>
      </c>
      <c r="C4058" t="n" s="0">
        <v>-1056770.623835</v>
      </c>
    </row>
    <row r="4059">
      <c r="A4059" t="n" s="0">
        <v>-59.42</v>
      </c>
      <c r="B4059" t="n" s="0">
        <f>(-5-((((-5*(-5/((-5/(((-5*(-59.42--5))-(-5+((-5*-59.42)*(((-5--5)+(-59.42--5))+-59.42))))-(-5+-5)))*-5)))/-5)--5)+(-5*(((-59.42*(-59.42-(-5/-5)))*(-59.42-(-59.42/(-5*-59.42))))-(-5/-5)))))</f>
        <v>-1056238.51724</v>
      </c>
      <c r="C4059" t="n" s="0">
        <v>-1056238.5172400002</v>
      </c>
    </row>
    <row r="4060">
      <c r="A4060" t="n" s="0">
        <v>-59.41</v>
      </c>
      <c r="B4060" t="n" s="0">
        <f>(-5-((((-5*(-5/((-5/(((-5*(-59.41--5))-(-5+((-5*-59.41)*(((-5--5)+(-59.41--5))+-59.41))))-(-5+-5)))*-5)))/-5)--5)+(-5*(((-59.41*(-59.41-(-5/-5)))*(-59.41-(-59.41/(-5*-59.41))))-(-5/-5)))))</f>
        <v>-1055706.5893050001</v>
      </c>
      <c r="C4060" t="n" s="0">
        <v>-1055706.589305</v>
      </c>
    </row>
    <row r="4061">
      <c r="A4061" t="n" s="0">
        <v>-59.4</v>
      </c>
      <c r="B4061" t="n" s="0">
        <f>(-5-((((-5*(-5/((-5/(((-5*(-59.4--5))-(-5+((-5*-59.4)*(((-5--5)+(-59.4--5))+-59.4))))-(-5+-5)))*-5)))/-5)--5)+(-5*(((-59.4*(-59.4-(-5/-5)))*(-59.4-(-59.4/(-5*-59.4))))-(-5/-5)))))</f>
        <v>-1055174.8399999999</v>
      </c>
      <c r="C4061" t="n" s="0">
        <v>-1055174.8399999999</v>
      </c>
    </row>
    <row r="4062">
      <c r="A4062" t="n" s="0">
        <v>-59.39</v>
      </c>
      <c r="B4062" t="n" s="0">
        <f>(-5-((((-5*(-5/((-5/(((-5*(-59.39--5))-(-5+((-5*-59.39)*(((-5--5)+(-59.39--5))+-59.39))))-(-5+-5)))*-5)))/-5)--5)+(-5*(((-59.39*(-59.39-(-5/-5)))*(-59.39-(-59.39/(-5*-59.39))))-(-5/-5)))))</f>
        <v>-1054643.269295</v>
      </c>
      <c r="C4062" t="n" s="0">
        <v>-1054643.269295</v>
      </c>
    </row>
    <row r="4063">
      <c r="A4063" t="n" s="0">
        <v>-59.38</v>
      </c>
      <c r="B4063" t="n" s="0">
        <f>(-5-((((-5*(-5/((-5/(((-5*(-59.38--5))-(-5+((-5*-59.38)*(((-5--5)+(-59.38--5))+-59.38))))-(-5+-5)))*-5)))/-5)--5)+(-5*(((-59.38*(-59.38-(-5/-5)))*(-59.38-(-59.38/(-5*-59.38))))-(-5/-5)))))</f>
        <v>-1054111.8771600001</v>
      </c>
      <c r="C4063" t="n" s="0">
        <v>-1054111.87716</v>
      </c>
    </row>
    <row r="4064">
      <c r="A4064" t="n" s="0">
        <v>-59.37</v>
      </c>
      <c r="B4064" t="n" s="0">
        <f>(-5-((((-5*(-5/((-5/(((-5*(-59.37--5))-(-5+((-5*-59.37)*(((-5--5)+(-59.37--5))+-59.37))))-(-5+-5)))*-5)))/-5)--5)+(-5*(((-59.37*(-59.37-(-5/-5)))*(-59.37-(-59.37/(-5*-59.37))))-(-5/-5)))))</f>
        <v>-1053580.663565</v>
      </c>
      <c r="C4064" t="n" s="0">
        <v>-1053580.6635649998</v>
      </c>
    </row>
    <row r="4065">
      <c r="A4065" t="n" s="0">
        <v>-59.36</v>
      </c>
      <c r="B4065" t="n" s="0">
        <f>(-5-((((-5*(-5/((-5/(((-5*(-59.36--5))-(-5+((-5*-59.36)*(((-5--5)+(-59.36--5))+-59.36))))-(-5+-5)))*-5)))/-5)--5)+(-5*(((-59.36*(-59.36-(-5/-5)))*(-59.36-(-59.36/(-5*-59.36))))-(-5/-5)))))</f>
        <v>-1053049.62848</v>
      </c>
      <c r="C4065" t="n" s="0">
        <v>-1053049.62848</v>
      </c>
    </row>
    <row r="4066">
      <c r="A4066" t="n" s="0">
        <v>-59.35</v>
      </c>
      <c r="B4066" t="n" s="0">
        <f>(-5-((((-5*(-5/((-5/(((-5*(-59.35--5))-(-5+((-5*-59.35)*(((-5--5)+(-59.35--5))+-59.35))))-(-5+-5)))*-5)))/-5)--5)+(-5*(((-59.35*(-59.35-(-5/-5)))*(-59.35-(-59.35/(-5*-59.35))))-(-5/-5)))))</f>
        <v>-1052518.7718749999</v>
      </c>
      <c r="C4066" t="n" s="0">
        <v>-1052518.771875</v>
      </c>
    </row>
    <row r="4067">
      <c r="A4067" t="n" s="0">
        <v>-59.34</v>
      </c>
      <c r="B4067" t="n" s="0">
        <f>(-5-((((-5*(-5/((-5/(((-5*(-59.34--5))-(-5+((-5*-59.34)*(((-5--5)+(-59.34--5))+-59.34))))-(-5+-5)))*-5)))/-5)--5)+(-5*(((-59.34*(-59.34-(-5/-5)))*(-59.34-(-59.34/(-5*-59.34))))-(-5/-5)))))</f>
        <v>-1051988.09372</v>
      </c>
      <c r="C4067" t="n" s="0">
        <v>-1051988.0937200002</v>
      </c>
    </row>
    <row r="4068">
      <c r="A4068" t="n" s="0">
        <v>-59.33</v>
      </c>
      <c r="B4068" t="n" s="0">
        <f>(-5-((((-5*(-5/((-5/(((-5*(-59.33--5))-(-5+((-5*-59.33)*(((-5--5)+(-59.33--5))+-59.33))))-(-5+-5)))*-5)))/-5)--5)+(-5*(((-59.33*(-59.33-(-5/-5)))*(-59.33-(-59.33/(-5*-59.33))))-(-5/-5)))))</f>
        <v>-1051457.593985</v>
      </c>
      <c r="C4068" t="n" s="0">
        <v>-1051457.593985</v>
      </c>
    </row>
    <row r="4069">
      <c r="A4069" t="n" s="0">
        <v>-59.32</v>
      </c>
      <c r="B4069" t="n" s="0">
        <f>(-5-((((-5*(-5/((-5/(((-5*(-59.32--5))-(-5+((-5*-59.32)*(((-5--5)+(-59.32--5))+-59.32))))-(-5+-5)))*-5)))/-5)--5)+(-5*(((-59.32*(-59.32-(-5/-5)))*(-59.32-(-59.32/(-5*-59.32))))-(-5/-5)))))</f>
        <v>-1050927.27264</v>
      </c>
      <c r="C4069" t="n" s="0">
        <v>-1050927.27264</v>
      </c>
    </row>
    <row r="4070">
      <c r="A4070" t="n" s="0">
        <v>-59.31</v>
      </c>
      <c r="B4070" t="n" s="0">
        <f>(-5-((((-5*(-5/((-5/(((-5*(-59.31--5))-(-5+((-5*-59.31)*(((-5--5)+(-59.31--5))+-59.31))))-(-5+-5)))*-5)))/-5)--5)+(-5*(((-59.31*(-59.31-(-5/-5)))*(-59.31-(-59.31/(-5*-59.31))))-(-5/-5)))))</f>
        <v>-1050397.1296549998</v>
      </c>
      <c r="C4070" t="n" s="0">
        <v>-1050397.129655</v>
      </c>
    </row>
    <row r="4071">
      <c r="A4071" t="n" s="0">
        <v>-59.3</v>
      </c>
      <c r="B4071" t="n" s="0">
        <f>(-5-((((-5*(-5/((-5/(((-5*(-59.3--5))-(-5+((-5*-59.3)*(((-5--5)+(-59.3--5))+-59.3))))-(-5+-5)))*-5)))/-5)--5)+(-5*(((-59.3*(-59.3-(-5/-5)))*(-59.3-(-59.3/(-5*-59.3))))-(-5/-5)))))</f>
        <v>-1049867.165</v>
      </c>
      <c r="C4071" t="n" s="0">
        <v>-1049867.1649999998</v>
      </c>
    </row>
    <row r="4072">
      <c r="A4072" t="n" s="0">
        <v>-59.29</v>
      </c>
      <c r="B4072" t="n" s="0">
        <f>(-5-((((-5*(-5/((-5/(((-5*(-59.29--5))-(-5+((-5*-59.29)*(((-5--5)+(-59.29--5))+-59.29))))-(-5+-5)))*-5)))/-5)--5)+(-5*(((-59.29*(-59.29-(-5/-5)))*(-59.29-(-59.29/(-5*-59.29))))-(-5/-5)))))</f>
        <v>-1049337.378645</v>
      </c>
      <c r="C4072" t="n" s="0">
        <v>-1049337.378645</v>
      </c>
    </row>
    <row r="4073">
      <c r="A4073" t="n" s="0">
        <v>-59.28</v>
      </c>
      <c r="B4073" t="n" s="0">
        <f>(-5-((((-5*(-5/((-5/(((-5*(-59.28--5))-(-5+((-5*-59.28)*(((-5--5)+(-59.28--5))+-59.28))))-(-5+-5)))*-5)))/-5)--5)+(-5*(((-59.28*(-59.28-(-5/-5)))*(-59.28-(-59.28/(-5*-59.28))))-(-5/-5)))))</f>
        <v>-1048807.77056</v>
      </c>
      <c r="C4073" t="n" s="0">
        <v>-1048807.77056</v>
      </c>
    </row>
    <row r="4074">
      <c r="A4074" t="n" s="0">
        <v>-59.27</v>
      </c>
      <c r="B4074" t="n" s="0">
        <f>(-5-((((-5*(-5/((-5/(((-5*(-59.27--5))-(-5+((-5*-59.27)*(((-5--5)+(-59.27--5))+-59.27))))-(-5+-5)))*-5)))/-5)--5)+(-5*(((-59.27*(-59.27-(-5/-5)))*(-59.27-(-59.27/(-5*-59.27))))-(-5/-5)))))</f>
        <v>-1048278.3407149998</v>
      </c>
      <c r="C4074" t="n" s="0">
        <v>-1048278.3407150003</v>
      </c>
    </row>
    <row r="4075">
      <c r="A4075" t="n" s="0">
        <v>-59.26</v>
      </c>
      <c r="B4075" t="n" s="0">
        <f>(-5-((((-5*(-5/((-5/(((-5*(-59.26--5))-(-5+((-5*-59.26)*(((-5--5)+(-59.26--5))+-59.26))))-(-5+-5)))*-5)))/-5)--5)+(-5*(((-59.26*(-59.26-(-5/-5)))*(-59.26-(-59.26/(-5*-59.26))))-(-5/-5)))))</f>
        <v>-1047749.0890800001</v>
      </c>
      <c r="C4075" t="n" s="0">
        <v>-1047749.08908</v>
      </c>
    </row>
    <row r="4076">
      <c r="A4076" t="n" s="0">
        <v>-59.25</v>
      </c>
      <c r="B4076" t="n" s="0">
        <f>(-5-((((-5*(-5/((-5/(((-5*(-59.25--5))-(-5+((-5*-59.25)*(((-5--5)+(-59.25--5))+-59.25))))-(-5+-5)))*-5)))/-5)--5)+(-5*(((-59.25*(-59.25-(-5/-5)))*(-59.25-(-59.25/(-5*-59.25))))-(-5/-5)))))</f>
        <v>-1047220.015625</v>
      </c>
      <c r="C4076" t="n" s="0">
        <v>-1047220.015625</v>
      </c>
    </row>
    <row r="4077">
      <c r="A4077" t="n" s="0">
        <v>-59.24</v>
      </c>
      <c r="B4077" t="n" s="0">
        <f>(-5-((((-5*(-5/((-5/(((-5*(-59.24--5))-(-5+((-5*-59.24)*(((-5--5)+(-59.24--5))+-59.24))))-(-5+-5)))*-5)))/-5)--5)+(-5*(((-59.24*(-59.24-(-5/-5)))*(-59.24-(-59.24/(-5*-59.24))))-(-5/-5)))))</f>
        <v>-1046691.12032</v>
      </c>
      <c r="C4077" t="n" s="0">
        <v>-1046691.1203200001</v>
      </c>
    </row>
    <row r="4078">
      <c r="A4078" t="n" s="0">
        <v>-59.23</v>
      </c>
      <c r="B4078" t="n" s="0">
        <f>(-5-((((-5*(-5/((-5/(((-5*(-59.23--5))-(-5+((-5*-59.23)*(((-5--5)+(-59.23--5))+-59.23))))-(-5+-5)))*-5)))/-5)--5)+(-5*(((-59.23*(-59.23-(-5/-5)))*(-59.23-(-59.23/(-5*-59.23))))-(-5/-5)))))</f>
        <v>-1046162.4031349999</v>
      </c>
      <c r="C4078" t="n" s="0">
        <v>-1046162.4031349998</v>
      </c>
    </row>
    <row r="4079">
      <c r="A4079" t="n" s="0">
        <v>-59.22</v>
      </c>
      <c r="B4079" t="n" s="0">
        <f>(-5-((((-5*(-5/((-5/(((-5*(-59.22--5))-(-5+((-5*-59.22)*(((-5--5)+(-59.22--5))+-59.22))))-(-5+-5)))*-5)))/-5)--5)+(-5*(((-59.22*(-59.22-(-5/-5)))*(-59.22-(-59.22/(-5*-59.22))))-(-5/-5)))))</f>
        <v>-1045633.8640400001</v>
      </c>
      <c r="C4079" t="n" s="0">
        <v>-1045633.8640399999</v>
      </c>
    </row>
    <row r="4080">
      <c r="A4080" t="n" s="0">
        <v>-59.21</v>
      </c>
      <c r="B4080" t="n" s="0">
        <f>(-5-((((-5*(-5/((-5/(((-5*(-59.21--5))-(-5+((-5*-59.21)*(((-5--5)+(-59.21--5))+-59.21))))-(-5+-5)))*-5)))/-5)--5)+(-5*(((-59.21*(-59.21-(-5/-5)))*(-59.21-(-59.21/(-5*-59.21))))-(-5/-5)))))</f>
        <v>-1045105.503005</v>
      </c>
      <c r="C4080" t="n" s="0">
        <v>-1045105.5030050001</v>
      </c>
    </row>
    <row r="4081">
      <c r="A4081" t="n" s="0">
        <v>-59.2</v>
      </c>
      <c r="B4081" t="n" s="0">
        <f>(-5-((((-5*(-5/((-5/(((-5*(-59.2--5))-(-5+((-5*-59.2)*(((-5--5)+(-59.2--5))+-59.2))))-(-5+-5)))*-5)))/-5)--5)+(-5*(((-59.2*(-59.2-(-5/-5)))*(-59.2-(-59.2/(-5*-59.2))))-(-5/-5)))))</f>
        <v>-1044577.3200000001</v>
      </c>
      <c r="C4081" t="n" s="0">
        <v>-1044577.3200000002</v>
      </c>
    </row>
    <row r="4082">
      <c r="A4082" t="n" s="0">
        <v>-59.19</v>
      </c>
      <c r="B4082" t="n" s="0">
        <f>(-5-((((-5*(-5/((-5/(((-5*(-59.19--5))-(-5+((-5*-59.19)*(((-5--5)+(-59.19--5))+-59.19))))-(-5+-5)))*-5)))/-5)--5)+(-5*(((-59.19*(-59.19-(-5/-5)))*(-59.19-(-59.19/(-5*-59.19))))-(-5/-5)))))</f>
        <v>-1044049.314995</v>
      </c>
      <c r="C4082" t="n" s="0">
        <v>-1044049.3149949998</v>
      </c>
    </row>
    <row r="4083">
      <c r="A4083" t="n" s="0">
        <v>-59.18</v>
      </c>
      <c r="B4083" t="n" s="0">
        <f>(-5-((((-5*(-5/((-5/(((-5*(-59.18--5))-(-5+((-5*-59.18)*(((-5--5)+(-59.18--5))+-59.18))))-(-5+-5)))*-5)))/-5)--5)+(-5*(((-59.18*(-59.18-(-5/-5)))*(-59.18-(-59.18/(-5*-59.18))))-(-5/-5)))))</f>
        <v>-1043521.4879599999</v>
      </c>
      <c r="C4083" t="n" s="0">
        <v>-1043521.48796</v>
      </c>
    </row>
    <row r="4084">
      <c r="A4084" t="n" s="0">
        <v>-59.17</v>
      </c>
      <c r="B4084" t="n" s="0">
        <f>(-5-((((-5*(-5/((-5/(((-5*(-59.17--5))-(-5+((-5*-59.17)*(((-5--5)+(-59.17--5))+-59.17))))-(-5+-5)))*-5)))/-5)--5)+(-5*(((-59.17*(-59.17-(-5/-5)))*(-59.17-(-59.17/(-5*-59.17))))-(-5/-5)))))</f>
        <v>-1042993.838865</v>
      </c>
      <c r="C4084" t="n" s="0">
        <v>-1042993.838865</v>
      </c>
    </row>
    <row r="4085">
      <c r="A4085" t="n" s="0">
        <v>-59.16</v>
      </c>
      <c r="B4085" t="n" s="0">
        <f>(-5-((((-5*(-5/((-5/(((-5*(-59.16--5))-(-5+((-5*-59.16)*(((-5--5)+(-59.16--5))+-59.16))))-(-5+-5)))*-5)))/-5)--5)+(-5*(((-59.16*(-59.16-(-5/-5)))*(-59.16-(-59.16/(-5*-59.16))))-(-5/-5)))))</f>
        <v>-1042466.3676799999</v>
      </c>
      <c r="C4085" t="n" s="0">
        <v>-1042466.3676799998</v>
      </c>
    </row>
    <row r="4086">
      <c r="A4086" t="n" s="0">
        <v>-59.15</v>
      </c>
      <c r="B4086" t="n" s="0">
        <f>(-5-((((-5*(-5/((-5/(((-5*(-59.15--5))-(-5+((-5*-59.15)*(((-5--5)+(-59.15--5))+-59.15))))-(-5+-5)))*-5)))/-5)--5)+(-5*(((-59.15*(-59.15-(-5/-5)))*(-59.15-(-59.15/(-5*-59.15))))-(-5/-5)))))</f>
        <v>-1041939.0743750001</v>
      </c>
      <c r="C4086" t="n" s="0">
        <v>-1041939.0743749999</v>
      </c>
    </row>
    <row r="4087">
      <c r="A4087" t="n" s="0">
        <v>-59.14</v>
      </c>
      <c r="B4087" t="n" s="0">
        <f>(-5-((((-5*(-5/((-5/(((-5*(-59.14--5))-(-5+((-5*-59.14)*(((-5--5)+(-59.14--5))+-59.14))))-(-5+-5)))*-5)))/-5)--5)+(-5*(((-59.14*(-59.14-(-5/-5)))*(-59.14-(-59.14/(-5*-59.14))))-(-5/-5)))))</f>
        <v>-1041411.95892</v>
      </c>
      <c r="C4087" t="n" s="0">
        <v>-1041411.9589200001</v>
      </c>
    </row>
    <row r="4088">
      <c r="A4088" t="n" s="0">
        <v>-59.13</v>
      </c>
      <c r="B4088" t="n" s="0">
        <f>(-5-((((-5*(-5/((-5/(((-5*(-59.13--5))-(-5+((-5*-59.13)*(((-5--5)+(-59.13--5))+-59.13))))-(-5+-5)))*-5)))/-5)--5)+(-5*(((-59.13*(-59.13-(-5/-5)))*(-59.13-(-59.13/(-5*-59.13))))-(-5/-5)))))</f>
        <v>-1040885.021285</v>
      </c>
      <c r="C4088" t="n" s="0">
        <v>-1040885.0212850001</v>
      </c>
    </row>
    <row r="4089">
      <c r="A4089" t="n" s="0">
        <v>-59.12</v>
      </c>
      <c r="B4089" t="n" s="0">
        <f>(-5-((((-5*(-5/((-5/(((-5*(-59.12--5))-(-5+((-5*-59.12)*(((-5--5)+(-59.12--5))+-59.12))))-(-5+-5)))*-5)))/-5)--5)+(-5*(((-59.12*(-59.12-(-5/-5)))*(-59.12-(-59.12/(-5*-59.12))))-(-5/-5)))))</f>
        <v>-1040358.2614399999</v>
      </c>
      <c r="C4089" t="n" s="0">
        <v>-1040358.2614399999</v>
      </c>
    </row>
    <row r="4090">
      <c r="A4090" t="n" s="0">
        <v>-59.11</v>
      </c>
      <c r="B4090" t="n" s="0">
        <f>(-5-((((-5*(-5/((-5/(((-5*(-59.11--5))-(-5+((-5*-59.11)*(((-5--5)+(-59.11--5))+-59.11))))-(-5+-5)))*-5)))/-5)--5)+(-5*(((-59.11*(-59.11-(-5/-5)))*(-59.11-(-59.11/(-5*-59.11))))-(-5/-5)))))</f>
        <v>-1039831.679355</v>
      </c>
      <c r="C4090" t="n" s="0">
        <v>-1039831.6793549999</v>
      </c>
    </row>
    <row r="4091">
      <c r="A4091" t="n" s="0">
        <v>-59.1</v>
      </c>
      <c r="B4091" t="n" s="0">
        <f>(-5-((((-5*(-5/((-5/(((-5*(-59.1--5))-(-5+((-5*-59.1)*(((-5--5)+(-59.1--5))+-59.1))))-(-5+-5)))*-5)))/-5)--5)+(-5*(((-59.1*(-59.1-(-5/-5)))*(-59.1-(-59.1/(-5*-59.1))))-(-5/-5)))))</f>
        <v>-1039305.275</v>
      </c>
      <c r="C4091" t="n" s="0">
        <v>-1039305.2750000001</v>
      </c>
    </row>
    <row r="4092">
      <c r="A4092" t="n" s="0">
        <v>-59.09</v>
      </c>
      <c r="B4092" t="n" s="0">
        <f>(-5-((((-5*(-5/((-5/(((-5*(-59.09--5))-(-5+((-5*-59.09)*(((-5--5)+(-59.09--5))+-59.09))))-(-5+-5)))*-5)))/-5)--5)+(-5*(((-59.09*(-59.09-(-5/-5)))*(-59.09-(-59.09/(-5*-59.09))))-(-5/-5)))))</f>
        <v>-1038779.048345</v>
      </c>
      <c r="C4092" t="n" s="0">
        <v>-1038779.0483450001</v>
      </c>
    </row>
    <row r="4093">
      <c r="A4093" t="n" s="0">
        <v>-59.08</v>
      </c>
      <c r="B4093" t="n" s="0">
        <f>(-5-((((-5*(-5/((-5/(((-5*(-59.08--5))-(-5+((-5*-59.08)*(((-5--5)+(-59.08--5))+-59.08))))-(-5+-5)))*-5)))/-5)--5)+(-5*(((-59.08*(-59.08-(-5/-5)))*(-59.08-(-59.08/(-5*-59.08))))-(-5/-5)))))</f>
        <v>-1038252.99936</v>
      </c>
      <c r="C4093" t="n" s="0">
        <v>-1038252.99936</v>
      </c>
    </row>
    <row r="4094">
      <c r="A4094" t="n" s="0">
        <v>-59.07</v>
      </c>
      <c r="B4094" t="n" s="0">
        <f>(-5-((((-5*(-5/((-5/(((-5*(-59.07--5))-(-5+((-5*-59.07)*(((-5--5)+(-59.07--5))+-59.07))))-(-5+-5)))*-5)))/-5)--5)+(-5*(((-59.07*(-59.07-(-5/-5)))*(-59.07-(-59.07/(-5*-59.07))))-(-5/-5)))))</f>
        <v>-1037727.128015</v>
      </c>
      <c r="C4094" t="n" s="0">
        <v>-1037727.128015</v>
      </c>
    </row>
    <row r="4095">
      <c r="A4095" t="n" s="0">
        <v>-59.06</v>
      </c>
      <c r="B4095" t="n" s="0">
        <f>(-5-((((-5*(-5/((-5/(((-5*(-59.06--5))-(-5+((-5*-59.06)*(((-5--5)+(-59.06--5))+-59.06))))-(-5+-5)))*-5)))/-5)--5)+(-5*(((-59.06*(-59.06-(-5/-5)))*(-59.06-(-59.06/(-5*-59.06))))-(-5/-5)))))</f>
        <v>-1037201.4342799999</v>
      </c>
      <c r="C4095" t="n" s="0">
        <v>-1037201.4342800003</v>
      </c>
    </row>
    <row r="4096">
      <c r="A4096" t="n" s="0">
        <v>-59.05</v>
      </c>
      <c r="B4096" t="n" s="0">
        <f>(-5-((((-5*(-5/((-5/(((-5*(-59.05--5))-(-5+((-5*-59.05)*(((-5--5)+(-59.05--5))+-59.05))))-(-5+-5)))*-5)))/-5)--5)+(-5*(((-59.05*(-59.05-(-5/-5)))*(-59.05-(-59.05/(-5*-59.05))))-(-5/-5)))))</f>
        <v>-1036675.918125</v>
      </c>
      <c r="C4096" t="n" s="0">
        <v>-1036675.9181249999</v>
      </c>
    </row>
    <row r="4097">
      <c r="A4097" t="n" s="0">
        <v>-59.04</v>
      </c>
      <c r="B4097" t="n" s="0">
        <f>(-5-((((-5*(-5/((-5/(((-5*(-59.04--5))-(-5+((-5*-59.04)*(((-5--5)+(-59.04--5))+-59.04))))-(-5+-5)))*-5)))/-5)--5)+(-5*(((-59.04*(-59.04-(-5/-5)))*(-59.04-(-59.04/(-5*-59.04))))-(-5/-5)))))</f>
        <v>-1036150.5795199999</v>
      </c>
      <c r="C4097" t="n" s="0">
        <v>-1036150.5795199999</v>
      </c>
    </row>
    <row r="4098">
      <c r="A4098" t="n" s="0">
        <v>-59.03</v>
      </c>
      <c r="B4098" t="n" s="0">
        <f>(-5-((((-5*(-5/((-5/(((-5*(-59.03--5))-(-5+((-5*-59.03)*(((-5--5)+(-59.03--5))+-59.03))))-(-5+-5)))*-5)))/-5)--5)+(-5*(((-59.03*(-59.03-(-5/-5)))*(-59.03-(-59.03/(-5*-59.03))))-(-5/-5)))))</f>
        <v>-1035625.4184350001</v>
      </c>
      <c r="C4098" t="n" s="0">
        <v>-1035625.418435</v>
      </c>
    </row>
    <row r="4099">
      <c r="A4099" t="n" s="0">
        <v>-59.02</v>
      </c>
      <c r="B4099" t="n" s="0">
        <f>(-5-((((-5*(-5/((-5/(((-5*(-59.02--5))-(-5+((-5*-59.02)*(((-5--5)+(-59.02--5))+-59.02))))-(-5+-5)))*-5)))/-5)--5)+(-5*(((-59.02*(-59.02-(-5/-5)))*(-59.02-(-59.02/(-5*-59.02))))-(-5/-5)))))</f>
        <v>-1035100.4348400001</v>
      </c>
      <c r="C4099" t="n" s="0">
        <v>-1035100.4348400002</v>
      </c>
    </row>
    <row r="4100">
      <c r="A4100" t="n" s="0">
        <v>-59.01</v>
      </c>
      <c r="B4100" t="n" s="0">
        <f>(-5-((((-5*(-5/((-5/(((-5*(-59.01--5))-(-5+((-5*-59.01)*(((-5--5)+(-59.01--5))+-59.01))))-(-5+-5)))*-5)))/-5)--5)+(-5*(((-59.01*(-59.01-(-5/-5)))*(-59.01-(-59.01/(-5*-59.01))))-(-5/-5)))))</f>
        <v>-1034575.6287049999</v>
      </c>
      <c r="C4100" t="n" s="0">
        <v>-1034575.6287049998</v>
      </c>
    </row>
    <row r="4101">
      <c r="A4101" t="n" s="0">
        <v>-59.0</v>
      </c>
      <c r="B4101" t="n" s="0">
        <f>(-5-((((-5*(-5/((-5/(((-5*(-59--5))-(-5+((-5*-59)*(((-5--5)+(-59--5))+-59))))-(-5+-5)))*-5)))/-5)--5)+(-5*(((-59*(-59-(-5/-5)))*(-59-(-59/(-5*-59))))-(-5/-5)))))</f>
        <v>-1034051.0</v>
      </c>
      <c r="C4101" t="n" s="0">
        <v>-1034051.0</v>
      </c>
    </row>
    <row r="4102">
      <c r="A4102" t="n" s="0">
        <v>-58.99</v>
      </c>
      <c r="B4102" t="n" s="0">
        <f>(-5-((((-5*(-5/((-5/(((-5*(-58.99--5))-(-5+((-5*-58.99)*(((-5--5)+(-58.99--5))+-58.99))))-(-5+-5)))*-5)))/-5)--5)+(-5*(((-58.99*(-58.99-(-5/-5)))*(-58.99-(-58.99/(-5*-58.99))))-(-5/-5)))))</f>
        <v>-1033526.548695</v>
      </c>
      <c r="C4102" t="n" s="0">
        <v>-1033526.5486950001</v>
      </c>
    </row>
    <row r="4103">
      <c r="A4103" t="n" s="0">
        <v>-58.98</v>
      </c>
      <c r="B4103" t="n" s="0">
        <f>(-5-((((-5*(-5/((-5/(((-5*(-58.98--5))-(-5+((-5*-58.98)*(((-5--5)+(-58.98--5))+-58.98))))-(-5+-5)))*-5)))/-5)--5)+(-5*(((-58.98*(-58.98-(-5/-5)))*(-58.98-(-58.98/(-5*-58.98))))-(-5/-5)))))</f>
        <v>-1033002.27476</v>
      </c>
      <c r="C4103" t="n" s="0">
        <v>-1033002.2747599997</v>
      </c>
    </row>
    <row r="4104">
      <c r="A4104" t="n" s="0">
        <v>-58.97</v>
      </c>
      <c r="B4104" t="n" s="0">
        <f>(-5-((((-5*(-5/((-5/(((-5*(-58.97--5))-(-5+((-5*-58.97)*(((-5--5)+(-58.97--5))+-58.97))))-(-5+-5)))*-5)))/-5)--5)+(-5*(((-58.97*(-58.97-(-5/-5)))*(-58.97-(-58.97/(-5*-58.97))))-(-5/-5)))))</f>
        <v>-1032478.178165</v>
      </c>
      <c r="C4104" t="n" s="0">
        <v>-1032478.1781649999</v>
      </c>
    </row>
    <row r="4105">
      <c r="A4105" t="n" s="0">
        <v>-58.96</v>
      </c>
      <c r="B4105" t="n" s="0">
        <f>(-5-((((-5*(-5/((-5/(((-5*(-58.96--5))-(-5+((-5*-58.96)*(((-5--5)+(-58.96--5))+-58.96))))-(-5+-5)))*-5)))/-5)--5)+(-5*(((-58.96*(-58.96-(-5/-5)))*(-58.96-(-58.96/(-5*-58.96))))-(-5/-5)))))</f>
        <v>-1031954.25888</v>
      </c>
      <c r="C4105" t="n" s="0">
        <v>-1031954.25888</v>
      </c>
    </row>
    <row r="4106">
      <c r="A4106" t="n" s="0">
        <v>-58.95</v>
      </c>
      <c r="B4106" t="n" s="0">
        <f>(-5-((((-5*(-5/((-5/(((-5*(-58.95--5))-(-5+((-5*-58.95)*(((-5--5)+(-58.95--5))+-58.95))))-(-5+-5)))*-5)))/-5)--5)+(-5*(((-58.95*(-58.95-(-5/-5)))*(-58.95-(-58.95/(-5*-58.95))))-(-5/-5)))))</f>
        <v>-1031430.516875</v>
      </c>
      <c r="C4106" t="n" s="0">
        <v>-1031430.516875</v>
      </c>
    </row>
    <row r="4107">
      <c r="A4107" t="n" s="0">
        <v>-58.94</v>
      </c>
      <c r="B4107" t="n" s="0">
        <f>(-5-((((-5*(-5/((-5/(((-5*(-58.94--5))-(-5+((-5*-58.94)*(((-5--5)+(-58.94--5))+-58.94))))-(-5+-5)))*-5)))/-5)--5)+(-5*(((-58.94*(-58.94-(-5/-5)))*(-58.94-(-58.94/(-5*-58.94))))-(-5/-5)))))</f>
        <v>-1030906.9521199999</v>
      </c>
      <c r="C4107" t="n" s="0">
        <v>-1030906.9521199997</v>
      </c>
    </row>
    <row r="4108">
      <c r="A4108" t="n" s="0">
        <v>-58.93</v>
      </c>
      <c r="B4108" t="n" s="0">
        <f>(-5-((((-5*(-5/((-5/(((-5*(-58.93--5))-(-5+((-5*-58.93)*(((-5--5)+(-58.93--5))+-58.93))))-(-5+-5)))*-5)))/-5)--5)+(-5*(((-58.93*(-58.93-(-5/-5)))*(-58.93-(-58.93/(-5*-58.93))))-(-5/-5)))))</f>
        <v>-1030383.564585</v>
      </c>
      <c r="C4108" t="n" s="0">
        <v>-1030383.564585</v>
      </c>
    </row>
    <row r="4109">
      <c r="A4109" t="n" s="0">
        <v>-58.92</v>
      </c>
      <c r="B4109" t="n" s="0">
        <f>(-5-((((-5*(-5/((-5/(((-5*(-58.92--5))-(-5+((-5*-58.92)*(((-5--5)+(-58.92--5))+-58.92))))-(-5+-5)))*-5)))/-5)--5)+(-5*(((-58.92*(-58.92-(-5/-5)))*(-58.92-(-58.92/(-5*-58.92))))-(-5/-5)))))</f>
        <v>-1029860.35424</v>
      </c>
      <c r="C4109" t="n" s="0">
        <v>-1029860.3542400001</v>
      </c>
    </row>
    <row r="4110">
      <c r="A4110" t="n" s="0">
        <v>-58.91</v>
      </c>
      <c r="B4110" t="n" s="0">
        <f>(-5-((((-5*(-5/((-5/(((-5*(-58.91--5))-(-5+((-5*-58.91)*(((-5--5)+(-58.91--5))+-58.91))))-(-5+-5)))*-5)))/-5)--5)+(-5*(((-58.91*(-58.91-(-5/-5)))*(-58.91-(-58.91/(-5*-58.91))))-(-5/-5)))))</f>
        <v>-1029337.3210550001</v>
      </c>
      <c r="C4110" t="n" s="0">
        <v>-1029337.3210549998</v>
      </c>
    </row>
    <row r="4111">
      <c r="A4111" t="n" s="0">
        <v>-58.9</v>
      </c>
      <c r="B4111" t="n" s="0">
        <f>(-5-((((-5*(-5/((-5/(((-5*(-58.9--5))-(-5+((-5*-58.9)*(((-5--5)+(-58.9--5))+-58.9))))-(-5+-5)))*-5)))/-5)--5)+(-5*(((-58.9*(-58.9-(-5/-5)))*(-58.9-(-58.9/(-5*-58.9))))-(-5/-5)))))</f>
        <v>-1028814.4650000001</v>
      </c>
      <c r="C4111" t="n" s="0">
        <v>-1028814.465</v>
      </c>
    </row>
    <row r="4112">
      <c r="A4112" t="n" s="0">
        <v>-58.89</v>
      </c>
      <c r="B4112" t="n" s="0">
        <f>(-5-((((-5*(-5/((-5/(((-5*(-58.89--5))-(-5+((-5*-58.89)*(((-5--5)+(-58.89--5))+-58.89))))-(-5+-5)))*-5)))/-5)--5)+(-5*(((-58.89*(-58.89-(-5/-5)))*(-58.89-(-58.89/(-5*-58.89))))-(-5/-5)))))</f>
        <v>-1028291.7860450001</v>
      </c>
      <c r="C4112" t="n" s="0">
        <v>-1028291.7860450002</v>
      </c>
    </row>
    <row r="4113">
      <c r="A4113" t="n" s="0">
        <v>-58.88</v>
      </c>
      <c r="B4113" t="n" s="0">
        <f>(-5-((((-5*(-5/((-5/(((-5*(-58.88--5))-(-5+((-5*-58.88)*(((-5--5)+(-58.88--5))+-58.88))))-(-5+-5)))*-5)))/-5)--5)+(-5*(((-58.88*(-58.88-(-5/-5)))*(-58.88-(-58.88/(-5*-58.88))))-(-5/-5)))))</f>
        <v>-1027769.28416</v>
      </c>
      <c r="C4113" t="n" s="0">
        <v>-1027769.28416</v>
      </c>
    </row>
    <row r="4114">
      <c r="A4114" t="n" s="0">
        <v>-58.87</v>
      </c>
      <c r="B4114" t="n" s="0">
        <f>(-5-((((-5*(-5/((-5/(((-5*(-58.87--5))-(-5+((-5*-58.87)*(((-5--5)+(-58.87--5))+-58.87))))-(-5+-5)))*-5)))/-5)--5)+(-5*(((-58.87*(-58.87-(-5/-5)))*(-58.87-(-58.87/(-5*-58.87))))-(-5/-5)))))</f>
        <v>-1027246.959315</v>
      </c>
      <c r="C4114" t="n" s="0">
        <v>-1027246.9593149999</v>
      </c>
    </row>
    <row r="4115">
      <c r="A4115" t="n" s="0">
        <v>-58.86</v>
      </c>
      <c r="B4115" t="n" s="0">
        <f>(-5-((((-5*(-5/((-5/(((-5*(-58.86--5))-(-5+((-5*-58.86)*(((-5--5)+(-58.86--5))+-58.86))))-(-5+-5)))*-5)))/-5)--5)+(-5*(((-58.86*(-58.86-(-5/-5)))*(-58.86-(-58.86/(-5*-58.86))))-(-5/-5)))))</f>
        <v>-1026724.81148</v>
      </c>
      <c r="C4115" t="n" s="0">
        <v>-1026724.8114799999</v>
      </c>
    </row>
    <row r="4116">
      <c r="A4116" t="n" s="0">
        <v>-58.85</v>
      </c>
      <c r="B4116" t="n" s="0">
        <f>(-5-((((-5*(-5/((-5/(((-5*(-58.85--5))-(-5+((-5*-58.85)*(((-5--5)+(-58.85--5))+-58.85))))-(-5+-5)))*-5)))/-5)--5)+(-5*(((-58.85*(-58.85-(-5/-5)))*(-58.85-(-58.85/(-5*-58.85))))-(-5/-5)))))</f>
        <v>-1026202.840625</v>
      </c>
      <c r="C4116" t="n" s="0">
        <v>-1026202.8406250001</v>
      </c>
    </row>
    <row r="4117">
      <c r="A4117" t="n" s="0">
        <v>-58.84</v>
      </c>
      <c r="B4117" t="n" s="0">
        <f>(-5-((((-5*(-5/((-5/(((-5*(-58.84--5))-(-5+((-5*-58.84)*(((-5--5)+(-58.84--5))+-58.84))))-(-5+-5)))*-5)))/-5)--5)+(-5*(((-58.84*(-58.84-(-5/-5)))*(-58.84-(-58.84/(-5*-58.84))))-(-5/-5)))))</f>
        <v>-1025681.04672</v>
      </c>
      <c r="C4117" t="n" s="0">
        <v>-1025681.0467200001</v>
      </c>
    </row>
    <row r="4118">
      <c r="A4118" t="n" s="0">
        <v>-58.83</v>
      </c>
      <c r="B4118" t="n" s="0">
        <f>(-5-((((-5*(-5/((-5/(((-5*(-58.83--5))-(-5+((-5*-58.83)*(((-5--5)+(-58.83--5))+-58.83))))-(-5+-5)))*-5)))/-5)--5)+(-5*(((-58.83*(-58.83-(-5/-5)))*(-58.83-(-58.83/(-5*-58.83))))-(-5/-5)))))</f>
        <v>-1025159.429735</v>
      </c>
      <c r="C4118" t="n" s="0">
        <v>-1025159.4297349999</v>
      </c>
    </row>
    <row r="4119">
      <c r="A4119" t="n" s="0">
        <v>-58.82</v>
      </c>
      <c r="B4119" t="n" s="0">
        <f>(-5-((((-5*(-5/((-5/(((-5*(-58.82--5))-(-5+((-5*-58.82)*(((-5--5)+(-58.82--5))+-58.82))))-(-5+-5)))*-5)))/-5)--5)+(-5*(((-58.82*(-58.82-(-5/-5)))*(-58.82-(-58.82/(-5*-58.82))))-(-5/-5)))))</f>
        <v>-1024637.9896399999</v>
      </c>
      <c r="C4119" t="n" s="0">
        <v>-1024637.9896399999</v>
      </c>
    </row>
    <row r="4120">
      <c r="A4120" t="n" s="0">
        <v>-58.81</v>
      </c>
      <c r="B4120" t="n" s="0">
        <f>(-5-((((-5*(-5/((-5/(((-5*(-58.81--5))-(-5+((-5*-58.81)*(((-5--5)+(-58.81--5))+-58.81))))-(-5+-5)))*-5)))/-5)--5)+(-5*(((-58.81*(-58.81-(-5/-5)))*(-58.81-(-58.81/(-5*-58.81))))-(-5/-5)))))</f>
        <v>-1024116.726405</v>
      </c>
      <c r="C4120" t="n" s="0">
        <v>-1024116.7264050002</v>
      </c>
    </row>
    <row r="4121">
      <c r="A4121" t="n" s="0">
        <v>-58.8</v>
      </c>
      <c r="B4121" t="n" s="0">
        <f>(-5-((((-5*(-5/((-5/(((-5*(-58.8--5))-(-5+((-5*-58.8)*(((-5--5)+(-58.8--5))+-58.8))))-(-5+-5)))*-5)))/-5)--5)+(-5*(((-58.8*(-58.8-(-5/-5)))*(-58.8-(-58.8/(-5*-58.8))))-(-5/-5)))))</f>
        <v>-1023595.6399999999</v>
      </c>
      <c r="C4121" t="n" s="0">
        <v>-1023595.6399999999</v>
      </c>
    </row>
    <row r="4122">
      <c r="A4122" t="n" s="0">
        <v>-58.79</v>
      </c>
      <c r="B4122" t="n" s="0">
        <f>(-5-((((-5*(-5/((-5/(((-5*(-58.79--5))-(-5+((-5*-58.79)*(((-5--5)+(-58.79--5))+-58.79))))-(-5+-5)))*-5)))/-5)--5)+(-5*(((-58.79*(-58.79-(-5/-5)))*(-58.79-(-58.79/(-5*-58.79))))-(-5/-5)))))</f>
        <v>-1023074.730395</v>
      </c>
      <c r="C4122" t="n" s="0">
        <v>-1023074.730395</v>
      </c>
    </row>
    <row r="4123">
      <c r="A4123" t="n" s="0">
        <v>-58.78</v>
      </c>
      <c r="B4123" t="n" s="0">
        <f>(-5-((((-5*(-5/((-5/(((-5*(-58.78--5))-(-5+((-5*-58.78)*(((-5--5)+(-58.78--5))+-58.78))))-(-5+-5)))*-5)))/-5)--5)+(-5*(((-58.78*(-58.78-(-5/-5)))*(-58.78-(-58.78/(-5*-58.78))))-(-5/-5)))))</f>
        <v>-1022553.9975599999</v>
      </c>
      <c r="C4123" t="n" s="0">
        <v>-1022553.99756</v>
      </c>
    </row>
    <row r="4124">
      <c r="A4124" t="n" s="0">
        <v>-58.77</v>
      </c>
      <c r="B4124" t="n" s="0">
        <f>(-5-((((-5*(-5/((-5/(((-5*(-58.77--5))-(-5+((-5*-58.77)*(((-5--5)+(-58.77--5))+-58.77))))-(-5+-5)))*-5)))/-5)--5)+(-5*(((-58.77*(-58.77-(-5/-5)))*(-58.77-(-58.77/(-5*-58.77))))-(-5/-5)))))</f>
        <v>-1022033.4414649999</v>
      </c>
      <c r="C4124" t="n" s="0">
        <v>-1022033.4414650002</v>
      </c>
    </row>
    <row r="4125">
      <c r="A4125" t="n" s="0">
        <v>-58.76</v>
      </c>
      <c r="B4125" t="n" s="0">
        <f>(-5-((((-5*(-5/((-5/(((-5*(-58.76--5))-(-5+((-5*-58.76)*(((-5--5)+(-58.76--5))+-58.76))))-(-5+-5)))*-5)))/-5)--5)+(-5*(((-58.76*(-58.76-(-5/-5)))*(-58.76-(-58.76/(-5*-58.76))))-(-5/-5)))))</f>
        <v>-1021513.06208</v>
      </c>
      <c r="C4125" t="n" s="0">
        <v>-1021513.06208</v>
      </c>
    </row>
    <row r="4126">
      <c r="A4126" t="n" s="0">
        <v>-58.75</v>
      </c>
      <c r="B4126" t="n" s="0">
        <f>(-5-((((-5*(-5/((-5/(((-5*(-58.75--5))-(-5+((-5*-58.75)*(((-5--5)+(-58.75--5))+-58.75))))-(-5+-5)))*-5)))/-5)--5)+(-5*(((-58.75*(-58.75-(-5/-5)))*(-58.75-(-58.75/(-5*-58.75))))-(-5/-5)))))</f>
        <v>-1020992.859375</v>
      </c>
      <c r="C4126" t="n" s="0">
        <v>-1020992.859375</v>
      </c>
    </row>
    <row r="4127">
      <c r="A4127" t="n" s="0">
        <v>-58.74</v>
      </c>
      <c r="B4127" t="n" s="0">
        <f>(-5-((((-5*(-5/((-5/(((-5*(-58.74--5))-(-5+((-5*-58.74)*(((-5--5)+(-58.74--5))+-58.74))))-(-5+-5)))*-5)))/-5)--5)+(-5*(((-58.74*(-58.74-(-5/-5)))*(-58.74-(-58.74/(-5*-58.74))))-(-5/-5)))))</f>
        <v>-1020472.83332</v>
      </c>
      <c r="C4127" t="n" s="0">
        <v>-1020472.8333200002</v>
      </c>
    </row>
    <row r="4128">
      <c r="A4128" t="n" s="0">
        <v>-58.73</v>
      </c>
      <c r="B4128" t="n" s="0">
        <f>(-5-((((-5*(-5/((-5/(((-5*(-58.73--5))-(-5+((-5*-58.73)*(((-5--5)+(-58.73--5))+-58.73))))-(-5+-5)))*-5)))/-5)--5)+(-5*(((-58.73*(-58.73-(-5/-5)))*(-58.73-(-58.73/(-5*-58.73))))-(-5/-5)))))</f>
        <v>-1019952.983885</v>
      </c>
      <c r="C4128" t="n" s="0">
        <v>-1019952.9838849998</v>
      </c>
    </row>
    <row r="4129">
      <c r="A4129" t="n" s="0">
        <v>-58.72</v>
      </c>
      <c r="B4129" t="n" s="0">
        <f>(-5-((((-5*(-5/((-5/(((-5*(-58.72--5))-(-5+((-5*-58.72)*(((-5--5)+(-58.72--5))+-58.72))))-(-5+-5)))*-5)))/-5)--5)+(-5*(((-58.72*(-58.72-(-5/-5)))*(-58.72-(-58.72/(-5*-58.72))))-(-5/-5)))))</f>
        <v>-1019433.31104</v>
      </c>
      <c r="C4129" t="n" s="0">
        <v>-1019433.31104</v>
      </c>
    </row>
    <row r="4130">
      <c r="A4130" t="n" s="0">
        <v>-58.71</v>
      </c>
      <c r="B4130" t="n" s="0">
        <f>(-5-((((-5*(-5/((-5/(((-5*(-58.71--5))-(-5+((-5*-58.71)*(((-5--5)+(-58.71--5))+-58.71))))-(-5+-5)))*-5)))/-5)--5)+(-5*(((-58.71*(-58.71-(-5/-5)))*(-58.71-(-58.71/(-5*-58.71))))-(-5/-5)))))</f>
        <v>-1018913.814755</v>
      </c>
      <c r="C4130" t="n" s="0">
        <v>-1018913.814755</v>
      </c>
    </row>
    <row r="4131">
      <c r="A4131" t="n" s="0">
        <v>-58.7</v>
      </c>
      <c r="B4131" t="n" s="0">
        <f>(-5-((((-5*(-5/((-5/(((-5*(-58.7--5))-(-5+((-5*-58.7)*(((-5--5)+(-58.7--5))+-58.7))))-(-5+-5)))*-5)))/-5)--5)+(-5*(((-58.7*(-58.7-(-5/-5)))*(-58.7-(-58.7/(-5*-58.7))))-(-5/-5)))))</f>
        <v>-1018394.495</v>
      </c>
      <c r="C4131" t="n" s="0">
        <v>-1018394.4950000001</v>
      </c>
    </row>
    <row r="4132">
      <c r="A4132" t="n" s="0">
        <v>-58.69</v>
      </c>
      <c r="B4132" t="n" s="0">
        <f>(-5-((((-5*(-5/((-5/(((-5*(-58.69--5))-(-5+((-5*-58.69)*(((-5--5)+(-58.69--5))+-58.69))))-(-5+-5)))*-5)))/-5)--5)+(-5*(((-58.69*(-58.69-(-5/-5)))*(-58.69-(-58.69/(-5*-58.69))))-(-5/-5)))))</f>
        <v>-1017875.351745</v>
      </c>
      <c r="C4132" t="n" s="0">
        <v>-1017875.3517449998</v>
      </c>
    </row>
    <row r="4133">
      <c r="A4133" t="n" s="0">
        <v>-58.68</v>
      </c>
      <c r="B4133" t="n" s="0">
        <f>(-5-((((-5*(-5/((-5/(((-5*(-58.68--5))-(-5+((-5*-58.68)*(((-5--5)+(-58.68--5))+-58.68))))-(-5+-5)))*-5)))/-5)--5)+(-5*(((-58.68*(-58.68-(-5/-5)))*(-58.68-(-58.68/(-5*-58.68))))-(-5/-5)))))</f>
        <v>-1017356.38496</v>
      </c>
      <c r="C4133" t="n" s="0">
        <v>-1017356.38496</v>
      </c>
    </row>
    <row r="4134">
      <c r="A4134" t="n" s="0">
        <v>-58.67</v>
      </c>
      <c r="B4134" t="n" s="0">
        <f>(-5-((((-5*(-5/((-5/(((-5*(-58.67--5))-(-5+((-5*-58.67)*(((-5--5)+(-58.67--5))+-58.67))))-(-5+-5)))*-5)))/-5)--5)+(-5*(((-58.67*(-58.67-(-5/-5)))*(-58.67-(-58.67/(-5*-58.67))))-(-5/-5)))))</f>
        <v>-1016837.594615</v>
      </c>
      <c r="C4134" t="n" s="0">
        <v>-1016837.5946150002</v>
      </c>
    </row>
    <row r="4135">
      <c r="A4135" t="n" s="0">
        <v>-58.66</v>
      </c>
      <c r="B4135" t="n" s="0">
        <f>(-5-((((-5*(-5/((-5/(((-5*(-58.66--5))-(-5+((-5*-58.66)*(((-5--5)+(-58.66--5))+-58.66))))-(-5+-5)))*-5)))/-5)--5)+(-5*(((-58.66*(-58.66-(-5/-5)))*(-58.66-(-58.66/(-5*-58.66))))-(-5/-5)))))</f>
        <v>-1016318.9806799999</v>
      </c>
      <c r="C4135" t="n" s="0">
        <v>-1016318.9806799998</v>
      </c>
    </row>
    <row r="4136">
      <c r="A4136" t="n" s="0">
        <v>-58.65</v>
      </c>
      <c r="B4136" t="n" s="0">
        <f>(-5-((((-5*(-5/((-5/(((-5*(-58.65--5))-(-5+((-5*-58.65)*(((-5--5)+(-58.65--5))+-58.65))))-(-5+-5)))*-5)))/-5)--5)+(-5*(((-58.65*(-58.65-(-5/-5)))*(-58.65-(-58.65/(-5*-58.65))))-(-5/-5)))))</f>
        <v>-1015800.543125</v>
      </c>
      <c r="C4136" t="n" s="0">
        <v>-1015800.543125</v>
      </c>
    </row>
    <row r="4137">
      <c r="A4137" t="n" s="0">
        <v>-58.64</v>
      </c>
      <c r="B4137" t="n" s="0">
        <f>(-5-((((-5*(-5/((-5/(((-5*(-58.64--5))-(-5+((-5*-58.64)*(((-5--5)+(-58.64--5))+-58.64))))-(-5+-5)))*-5)))/-5)--5)+(-5*(((-58.64*(-58.64-(-5/-5)))*(-58.64-(-58.64/(-5*-58.64))))-(-5/-5)))))</f>
        <v>-1015282.2819200001</v>
      </c>
      <c r="C4137" t="n" s="0">
        <v>-1015282.28192</v>
      </c>
    </row>
    <row r="4138">
      <c r="A4138" t="n" s="0">
        <v>-58.63</v>
      </c>
      <c r="B4138" t="n" s="0">
        <f>(-5-((((-5*(-5/((-5/(((-5*(-58.63--5))-(-5+((-5*-58.63)*(((-5--5)+(-58.63--5))+-58.63))))-(-5+-5)))*-5)))/-5)--5)+(-5*(((-58.63*(-58.63-(-5/-5)))*(-58.63-(-58.63/(-5*-58.63))))-(-5/-5)))))</f>
        <v>-1014764.197035</v>
      </c>
      <c r="C4138" t="n" s="0">
        <v>-1014764.1970350002</v>
      </c>
    </row>
    <row r="4139">
      <c r="A4139" t="n" s="0">
        <v>-58.62</v>
      </c>
      <c r="B4139" t="n" s="0">
        <f>(-5-((((-5*(-5/((-5/(((-5*(-58.62--5))-(-5+((-5*-58.62)*(((-5--5)+(-58.62--5))+-58.62))))-(-5+-5)))*-5)))/-5)--5)+(-5*(((-58.62*(-58.62-(-5/-5)))*(-58.62-(-58.62/(-5*-58.62))))-(-5/-5)))))</f>
        <v>-1014246.2884399999</v>
      </c>
      <c r="C4139" t="n" s="0">
        <v>-1014246.2884399999</v>
      </c>
    </row>
    <row r="4140">
      <c r="A4140" t="n" s="0">
        <v>-58.61</v>
      </c>
      <c r="B4140" t="n" s="0">
        <f>(-5-((((-5*(-5/((-5/(((-5*(-58.61--5))-(-5+((-5*-58.61)*(((-5--5)+(-58.61--5))+-58.61))))-(-5+-5)))*-5)))/-5)--5)+(-5*(((-58.61*(-58.61-(-5/-5)))*(-58.61-(-58.61/(-5*-58.61))))-(-5/-5)))))</f>
        <v>-1013728.556105</v>
      </c>
      <c r="C4140" t="n" s="0">
        <v>-1013728.556105</v>
      </c>
    </row>
    <row r="4141">
      <c r="A4141" t="n" s="0">
        <v>-58.6</v>
      </c>
      <c r="B4141" t="n" s="0">
        <f>(-5-((((-5*(-5/((-5/(((-5*(-58.6--5))-(-5+((-5*-58.6)*(((-5--5)+(-58.6--5))+-58.6))))-(-5+-5)))*-5)))/-5)--5)+(-5*(((-58.6*(-58.6-(-5/-5)))*(-58.6-(-58.6/(-5*-58.6))))-(-5/-5)))))</f>
        <v>-1013211.0</v>
      </c>
      <c r="C4141" t="n" s="0">
        <v>-1013211.0000000001</v>
      </c>
    </row>
    <row r="4142">
      <c r="A4142" t="n" s="0">
        <v>-58.59</v>
      </c>
      <c r="B4142" t="n" s="0">
        <f>(-5-((((-5*(-5/((-5/(((-5*(-58.59--5))-(-5+((-5*-58.59)*(((-5--5)+(-58.59--5))+-58.59))))-(-5+-5)))*-5)))/-5)--5)+(-5*(((-58.59*(-58.59-(-5/-5)))*(-58.59-(-58.59/(-5*-58.59))))-(-5/-5)))))</f>
        <v>-1012693.620095</v>
      </c>
      <c r="C4142" t="n" s="0">
        <v>-1012693.6200950001</v>
      </c>
    </row>
    <row r="4143">
      <c r="A4143" t="n" s="0">
        <v>-58.58</v>
      </c>
      <c r="B4143" t="n" s="0">
        <f>(-5-((((-5*(-5/((-5/(((-5*(-58.58--5))-(-5+((-5*-58.58)*(((-5--5)+(-58.58--5))+-58.58))))-(-5+-5)))*-5)))/-5)--5)+(-5*(((-58.58*(-58.58-(-5/-5)))*(-58.58-(-58.58/(-5*-58.58))))-(-5/-5)))))</f>
        <v>-1012176.41636</v>
      </c>
      <c r="C4143" t="n" s="0">
        <v>-1012176.4163599998</v>
      </c>
    </row>
    <row r="4144">
      <c r="A4144" t="n" s="0">
        <v>-58.57</v>
      </c>
      <c r="B4144" t="n" s="0">
        <f>(-5-((((-5*(-5/((-5/(((-5*(-58.57--5))-(-5+((-5*-58.57)*(((-5--5)+(-58.57--5))+-58.57))))-(-5+-5)))*-5)))/-5)--5)+(-5*(((-58.57*(-58.57-(-5/-5)))*(-58.57-(-58.57/(-5*-58.57))))-(-5/-5)))))</f>
        <v>-1011659.388765</v>
      </c>
      <c r="C4144" t="n" s="0">
        <v>-1011659.3887649999</v>
      </c>
    </row>
    <row r="4145">
      <c r="A4145" t="n" s="0">
        <v>-58.56</v>
      </c>
      <c r="B4145" t="n" s="0">
        <f>(-5-((((-5*(-5/((-5/(((-5*(-58.56--5))-(-5+((-5*-58.56)*(((-5--5)+(-58.56--5))+-58.56))))-(-5+-5)))*-5)))/-5)--5)+(-5*(((-58.56*(-58.56-(-5/-5)))*(-58.56-(-58.56/(-5*-58.56))))-(-5/-5)))))</f>
        <v>-1011142.53728</v>
      </c>
      <c r="C4145" t="n" s="0">
        <v>-1011142.5372800002</v>
      </c>
    </row>
    <row r="4146">
      <c r="A4146" t="n" s="0">
        <v>-58.55</v>
      </c>
      <c r="B4146" t="n" s="0">
        <f>(-5-((((-5*(-5/((-5/(((-5*(-58.55--5))-(-5+((-5*-58.55)*(((-5--5)+(-58.55--5))+-58.55))))-(-5+-5)))*-5)))/-5)--5)+(-5*(((-58.55*(-58.55-(-5/-5)))*(-58.55-(-58.55/(-5*-58.55))))-(-5/-5)))))</f>
        <v>-1010625.861875</v>
      </c>
      <c r="C4146" t="n" s="0">
        <v>-1010625.8618749997</v>
      </c>
    </row>
    <row r="4147">
      <c r="A4147" t="n" s="0">
        <v>-58.54</v>
      </c>
      <c r="B4147" t="n" s="0">
        <f>(-5-((((-5*(-5/((-5/(((-5*(-58.54--5))-(-5+((-5*-58.54)*(((-5--5)+(-58.54--5))+-58.54))))-(-5+-5)))*-5)))/-5)--5)+(-5*(((-58.54*(-58.54-(-5/-5)))*(-58.54-(-58.54/(-5*-58.54))))-(-5/-5)))))</f>
        <v>-1010109.36252</v>
      </c>
      <c r="C4147" t="n" s="0">
        <v>-1010109.36252</v>
      </c>
    </row>
    <row r="4148">
      <c r="A4148" t="n" s="0">
        <v>-58.53</v>
      </c>
      <c r="B4148" t="n" s="0">
        <f>(-5-((((-5*(-5/((-5/(((-5*(-58.53--5))-(-5+((-5*-58.53)*(((-5--5)+(-58.53--5))+-58.53))))-(-5+-5)))*-5)))/-5)--5)+(-5*(((-58.53*(-58.53-(-5/-5)))*(-58.53-(-58.53/(-5*-58.53))))-(-5/-5)))))</f>
        <v>-1009593.039185</v>
      </c>
      <c r="C4148" t="n" s="0">
        <v>-1009593.039185</v>
      </c>
    </row>
    <row r="4149">
      <c r="A4149" t="n" s="0">
        <v>-58.52</v>
      </c>
      <c r="B4149" t="n" s="0">
        <f>(-5-((((-5*(-5/((-5/(((-5*(-58.52--5))-(-5+((-5*-58.52)*(((-5--5)+(-58.52--5))+-58.52))))-(-5+-5)))*-5)))/-5)--5)+(-5*(((-58.52*(-58.52-(-5/-5)))*(-58.52-(-58.52/(-5*-58.52))))-(-5/-5)))))</f>
        <v>-1009076.8918399999</v>
      </c>
      <c r="C4149" t="n" s="0">
        <v>-1009076.8918400002</v>
      </c>
    </row>
    <row r="4150">
      <c r="A4150" t="n" s="0">
        <v>-58.51</v>
      </c>
      <c r="B4150" t="n" s="0">
        <f>(-5-((((-5*(-5/((-5/(((-5*(-58.51--5))-(-5+((-5*-58.51)*(((-5--5)+(-58.51--5))+-58.51))))-(-5+-5)))*-5)))/-5)--5)+(-5*(((-58.51*(-58.51-(-5/-5)))*(-58.51-(-58.51/(-5*-58.51))))-(-5/-5)))))</f>
        <v>-1008560.9204549999</v>
      </c>
      <c r="C4150" t="n" s="0">
        <v>-1008560.9204549999</v>
      </c>
    </row>
    <row r="4151">
      <c r="A4151" t="n" s="0">
        <v>-58.5</v>
      </c>
      <c r="B4151" t="n" s="0">
        <f>(-5-((((-5*(-5/((-5/(((-5*(-58.5--5))-(-5+((-5*-58.5)*(((-5--5)+(-58.5--5))+-58.5))))-(-5+-5)))*-5)))/-5)--5)+(-5*(((-58.5*(-58.5-(-5/-5)))*(-58.5-(-58.5/(-5*-58.5))))-(-5/-5)))))</f>
        <v>-1008045.125</v>
      </c>
      <c r="C4151" t="n" s="0">
        <v>-1008045.125</v>
      </c>
    </row>
    <row r="4152">
      <c r="A4152" t="n" s="0">
        <v>-58.49</v>
      </c>
      <c r="B4152" t="n" s="0">
        <f>(-5-((((-5*(-5/((-5/(((-5*(-58.49--5))-(-5+((-5*-58.49)*(((-5--5)+(-58.49--5))+-58.49))))-(-5+-5)))*-5)))/-5)--5)+(-5*(((-58.49*(-58.49-(-5/-5)))*(-58.49-(-58.49/(-5*-58.49))))-(-5/-5)))))</f>
        <v>-1007529.505445</v>
      </c>
      <c r="C4152" t="n" s="0">
        <v>-1007529.5054450001</v>
      </c>
    </row>
    <row r="4153">
      <c r="A4153" t="n" s="0">
        <v>-58.48</v>
      </c>
      <c r="B4153" t="n" s="0">
        <f>(-5-((((-5*(-5/((-5/(((-5*(-58.48--5))-(-5+((-5*-58.48)*(((-5--5)+(-58.48--5))+-58.48))))-(-5+-5)))*-5)))/-5)--5)+(-5*(((-58.48*(-58.48-(-5/-5)))*(-58.48-(-58.48/(-5*-58.48))))-(-5/-5)))))</f>
        <v>-1007014.0617600001</v>
      </c>
      <c r="C4153" t="n" s="0">
        <v>-1007014.0617599997</v>
      </c>
    </row>
    <row r="4154">
      <c r="A4154" t="n" s="0">
        <v>-58.47</v>
      </c>
      <c r="B4154" t="n" s="0">
        <f>(-5-((((-5*(-5/((-5/(((-5*(-58.47--5))-(-5+((-5*-58.47)*(((-5--5)+(-58.47--5))+-58.47))))-(-5+-5)))*-5)))/-5)--5)+(-5*(((-58.47*(-58.47-(-5/-5)))*(-58.47-(-58.47/(-5*-58.47))))-(-5/-5)))))</f>
        <v>-1006498.793915</v>
      </c>
      <c r="C4154" t="n" s="0">
        <v>-1006498.7939149999</v>
      </c>
    </row>
    <row r="4155">
      <c r="A4155" t="n" s="0">
        <v>-58.46</v>
      </c>
      <c r="B4155" t="n" s="0">
        <f>(-5-((((-5*(-5/((-5/(((-5*(-58.46--5))-(-5+((-5*-58.46)*(((-5--5)+(-58.46--5))+-58.46))))-(-5+-5)))*-5)))/-5)--5)+(-5*(((-58.46*(-58.46-(-5/-5)))*(-58.46-(-58.46/(-5*-58.46))))-(-5/-5)))))</f>
        <v>-1005983.7018800001</v>
      </c>
      <c r="C4155" t="n" s="0">
        <v>-1005983.7018800001</v>
      </c>
    </row>
    <row r="4156">
      <c r="A4156" t="n" s="0">
        <v>-58.45</v>
      </c>
      <c r="B4156" t="n" s="0">
        <f>(-5-((((-5*(-5/((-5/(((-5*(-58.45--5))-(-5+((-5*-58.45)*(((-5--5)+(-58.45--5))+-58.45))))-(-5+-5)))*-5)))/-5)--5)+(-5*(((-58.45*(-58.45-(-5/-5)))*(-58.45-(-58.45/(-5*-58.45))))-(-5/-5)))))</f>
        <v>-1005468.785625</v>
      </c>
      <c r="C4156" t="n" s="0">
        <v>-1005468.7856250001</v>
      </c>
    </row>
    <row r="4157">
      <c r="A4157" t="n" s="0">
        <v>-58.44</v>
      </c>
      <c r="B4157" t="n" s="0">
        <f>(-5-((((-5*(-5/((-5/(((-5*(-58.44--5))-(-5+((-5*-58.44)*(((-5--5)+(-58.44--5))+-58.44))))-(-5+-5)))*-5)))/-5)--5)+(-5*(((-58.44*(-58.44-(-5/-5)))*(-58.44-(-58.44/(-5*-58.44))))-(-5/-5)))))</f>
        <v>-1004954.0451199999</v>
      </c>
      <c r="C4157" t="n" s="0">
        <v>-1004954.0451199998</v>
      </c>
    </row>
    <row r="4158">
      <c r="A4158" t="n" s="0">
        <v>-58.43</v>
      </c>
      <c r="B4158" t="n" s="0">
        <f>(-5-((((-5*(-5/((-5/(((-5*(-58.43--5))-(-5+((-5*-58.43)*(((-5--5)+(-58.43--5))+-58.43))))-(-5+-5)))*-5)))/-5)--5)+(-5*(((-58.43*(-58.43-(-5/-5)))*(-58.43-(-58.43/(-5*-58.43))))-(-5/-5)))))</f>
        <v>-1004439.480335</v>
      </c>
      <c r="C4158" t="n" s="0">
        <v>-1004439.4803350001</v>
      </c>
    </row>
    <row r="4159">
      <c r="A4159" t="n" s="0">
        <v>-58.42</v>
      </c>
      <c r="B4159" t="n" s="0">
        <f>(-5-((((-5*(-5/((-5/(((-5*(-58.42--5))-(-5+((-5*-58.42)*(((-5--5)+(-58.42--5))+-58.42))))-(-5+-5)))*-5)))/-5)--5)+(-5*(((-58.42*(-58.42-(-5/-5)))*(-58.42-(-58.42/(-5*-58.42))))-(-5/-5)))))</f>
        <v>-1003925.09124</v>
      </c>
      <c r="C4159" t="n" s="0">
        <v>-1003925.0912400001</v>
      </c>
    </row>
    <row r="4160">
      <c r="A4160" t="n" s="0">
        <v>-58.41</v>
      </c>
      <c r="B4160" t="n" s="0">
        <f>(-5-((((-5*(-5/((-5/(((-5*(-58.41--5))-(-5+((-5*-58.41)*(((-5--5)+(-58.41--5))+-58.41))))-(-5+-5)))*-5)))/-5)--5)+(-5*(((-58.41*(-58.41-(-5/-5)))*(-58.41-(-58.41/(-5*-58.41))))-(-5/-5)))))</f>
        <v>-1003410.877805</v>
      </c>
      <c r="C4160" t="n" s="0">
        <v>-1003410.8778049998</v>
      </c>
    </row>
    <row r="4161">
      <c r="A4161" t="n" s="0">
        <v>-58.4</v>
      </c>
      <c r="B4161" t="n" s="0">
        <f>(-5-((((-5*(-5/((-5/(((-5*(-58.4--5))-(-5+((-5*-58.4)*(((-5--5)+(-58.4--5))+-58.4))))-(-5+-5)))*-5)))/-5)--5)+(-5*(((-58.4*(-58.4-(-5/-5)))*(-58.4-(-58.4/(-5*-58.4))))-(-5/-5)))))</f>
        <v>-1002896.84</v>
      </c>
      <c r="C4161" t="n" s="0">
        <v>-1002896.84</v>
      </c>
    </row>
    <row r="4162">
      <c r="A4162" t="n" s="0">
        <v>-58.39</v>
      </c>
      <c r="B4162" t="n" s="0">
        <f>(-5-((((-5*(-5/((-5/(((-5*(-58.39--5))-(-5+((-5*-58.39)*(((-5--5)+(-58.39--5))+-58.39))))-(-5+-5)))*-5)))/-5)--5)+(-5*(((-58.39*(-58.39-(-5/-5)))*(-58.39-(-58.39/(-5*-58.39))))-(-5/-5)))))</f>
        <v>-1002382.9777950001</v>
      </c>
      <c r="C4162" t="n" s="0">
        <v>-1002382.9777950001</v>
      </c>
    </row>
    <row r="4163">
      <c r="A4163" t="n" s="0">
        <v>-58.38</v>
      </c>
      <c r="B4163" t="n" s="0">
        <f>(-5-((((-5*(-5/((-5/(((-5*(-58.38--5))-(-5+((-5*-58.38)*(((-5--5)+(-58.38--5))+-58.38))))-(-5+-5)))*-5)))/-5)--5)+(-5*(((-58.38*(-58.38-(-5/-5)))*(-58.38-(-58.38/(-5*-58.38))))-(-5/-5)))))</f>
        <v>-1001869.29116</v>
      </c>
      <c r="C4163" t="n" s="0">
        <v>-1001869.2911600001</v>
      </c>
    </row>
    <row r="4164">
      <c r="A4164" t="n" s="0">
        <v>-58.37</v>
      </c>
      <c r="B4164" t="n" s="0">
        <f>(-5-((((-5*(-5/((-5/(((-5*(-58.37--5))-(-5+((-5*-58.37)*(((-5--5)+(-58.37--5))+-58.37))))-(-5+-5)))*-5)))/-5)--5)+(-5*(((-58.37*(-58.37-(-5/-5)))*(-58.37-(-58.37/(-5*-58.37))))-(-5/-5)))))</f>
        <v>-1001355.780065</v>
      </c>
      <c r="C4164" t="n" s="0">
        <v>-1001355.7800649998</v>
      </c>
    </row>
    <row r="4165">
      <c r="A4165" t="n" s="0">
        <v>-58.36</v>
      </c>
      <c r="B4165" t="n" s="0">
        <f>(-5-((((-5*(-5/((-5/(((-5*(-58.36--5))-(-5+((-5*-58.36)*(((-5--5)+(-58.36--5))+-58.36))))-(-5+-5)))*-5)))/-5)--5)+(-5*(((-58.36*(-58.36-(-5/-5)))*(-58.36-(-58.36/(-5*-58.36))))-(-5/-5)))))</f>
        <v>-1000842.4444800001</v>
      </c>
      <c r="C4165" t="n" s="0">
        <v>-1000842.44448</v>
      </c>
    </row>
    <row r="4166">
      <c r="A4166" t="n" s="0">
        <v>-58.35</v>
      </c>
      <c r="B4166" t="n" s="0">
        <f>(-5-((((-5*(-5/((-5/(((-5*(-58.35--5))-(-5+((-5*-58.35)*(((-5--5)+(-58.35--5))+-58.35))))-(-5+-5)))*-5)))/-5)--5)+(-5*(((-58.35*(-58.35-(-5/-5)))*(-58.35-(-58.35/(-5*-58.35))))-(-5/-5)))))</f>
        <v>-1000329.2843749999</v>
      </c>
      <c r="C4166" t="n" s="0">
        <v>-1000329.2843750002</v>
      </c>
    </row>
    <row r="4167">
      <c r="A4167" t="n" s="0">
        <v>-58.34</v>
      </c>
      <c r="B4167" t="n" s="0">
        <f>(-5-((((-5*(-5/((-5/(((-5*(-58.34--5))-(-5+((-5*-58.34)*(((-5--5)+(-58.34--5))+-58.34))))-(-5+-5)))*-5)))/-5)--5)+(-5*(((-58.34*(-58.34-(-5/-5)))*(-58.34-(-58.34/(-5*-58.34))))-(-5/-5)))))</f>
        <v>-999816.2997199999</v>
      </c>
      <c r="C4167" t="n" s="0">
        <v>-999816.2997200001</v>
      </c>
    </row>
    <row r="4168">
      <c r="A4168" t="n" s="0">
        <v>-58.33</v>
      </c>
      <c r="B4168" t="n" s="0">
        <f>(-5-((((-5*(-5/((-5/(((-5*(-58.33--5))-(-5+((-5*-58.33)*(((-5--5)+(-58.33--5))+-58.33))))-(-5+-5)))*-5)))/-5)--5)+(-5*(((-58.33*(-58.33-(-5/-5)))*(-58.33-(-58.33/(-5*-58.33))))-(-5/-5)))))</f>
        <v>-999303.4904850001</v>
      </c>
      <c r="C4168" t="n" s="0">
        <v>-999303.4904849998</v>
      </c>
    </row>
    <row r="4169">
      <c r="A4169" t="n" s="0">
        <v>-58.32</v>
      </c>
      <c r="B4169" t="n" s="0">
        <f>(-5-((((-5*(-5/((-5/(((-5*(-58.32--5))-(-5+((-5*-58.32)*(((-5--5)+(-58.32--5))+-58.32))))-(-5+-5)))*-5)))/-5)--5)+(-5*(((-58.32*(-58.32-(-5/-5)))*(-58.32-(-58.32/(-5*-58.32))))-(-5/-5)))))</f>
        <v>-998790.85664</v>
      </c>
      <c r="C4169" t="n" s="0">
        <v>-998790.8566400001</v>
      </c>
    </row>
    <row r="4170">
      <c r="A4170" t="n" s="0">
        <v>-58.31</v>
      </c>
      <c r="B4170" t="n" s="0">
        <f>(-5-((((-5*(-5/((-5/(((-5*(-58.31--5))-(-5+((-5*-58.31)*(((-5--5)+(-58.31--5))+-58.31))))-(-5+-5)))*-5)))/-5)--5)+(-5*(((-58.31*(-58.31-(-5/-5)))*(-58.31-(-58.31/(-5*-58.31))))-(-5/-5)))))</f>
        <v>-998278.3981550001</v>
      </c>
      <c r="C4170" t="n" s="0">
        <v>-998278.3981550002</v>
      </c>
    </row>
    <row r="4171">
      <c r="A4171" t="n" s="0">
        <v>-58.3</v>
      </c>
      <c r="B4171" t="n" s="0">
        <f>(-5-((((-5*(-5/((-5/(((-5*(-58.3--5))-(-5+((-5*-58.3)*(((-5--5)+(-58.3--5))+-58.3))))-(-5+-5)))*-5)))/-5)--5)+(-5*(((-58.3*(-58.3-(-5/-5)))*(-58.3-(-58.3/(-5*-58.3))))-(-5/-5)))))</f>
        <v>-997766.1149999999</v>
      </c>
      <c r="C4171" t="n" s="0">
        <v>-997766.115</v>
      </c>
    </row>
    <row r="4172">
      <c r="A4172" t="n" s="0">
        <v>-58.29</v>
      </c>
      <c r="B4172" t="n" s="0">
        <f>(-5-((((-5*(-5/((-5/(((-5*(-58.29--5))-(-5+((-5*-58.29)*(((-5--5)+(-58.29--5))+-58.29))))-(-5+-5)))*-5)))/-5)--5)+(-5*(((-58.29*(-58.29-(-5/-5)))*(-58.29-(-58.29/(-5*-58.29))))-(-5/-5)))))</f>
        <v>-997254.0071449999</v>
      </c>
      <c r="C4172" t="n" s="0">
        <v>-997254.0071449999</v>
      </c>
    </row>
    <row r="4173">
      <c r="A4173" t="n" s="0">
        <v>-58.28</v>
      </c>
      <c r="B4173" t="n" s="0">
        <f>(-5-((((-5*(-5/((-5/(((-5*(-58.28--5))-(-5+((-5*-58.28)*(((-5--5)+(-58.28--5))+-58.28))))-(-5+-5)))*-5)))/-5)--5)+(-5*(((-58.28*(-58.28-(-5/-5)))*(-58.28-(-58.28/(-5*-58.28))))-(-5/-5)))))</f>
        <v>-996742.07456</v>
      </c>
      <c r="C4173" t="n" s="0">
        <v>-996742.07456</v>
      </c>
    </row>
    <row r="4174">
      <c r="A4174" t="n" s="0">
        <v>-58.27</v>
      </c>
      <c r="B4174" t="n" s="0">
        <f>(-5-((((-5*(-5/((-5/(((-5*(-58.27--5))-(-5+((-5*-58.27)*(((-5--5)+(-58.27--5))+-58.27))))-(-5+-5)))*-5)))/-5)--5)+(-5*(((-58.27*(-58.27-(-5/-5)))*(-58.27-(-58.27/(-5*-58.27))))-(-5/-5)))))</f>
        <v>-996230.317215</v>
      </c>
      <c r="C4174" t="n" s="0">
        <v>-996230.3172150002</v>
      </c>
    </row>
    <row r="4175">
      <c r="A4175" t="n" s="0">
        <v>-58.26</v>
      </c>
      <c r="B4175" t="n" s="0">
        <f>(-5-((((-5*(-5/((-5/(((-5*(-58.26--5))-(-5+((-5*-58.26)*(((-5--5)+(-58.26--5))+-58.26))))-(-5+-5)))*-5)))/-5)--5)+(-5*(((-58.26*(-58.26-(-5/-5)))*(-58.26-(-58.26/(-5*-58.26))))-(-5/-5)))))</f>
        <v>-995718.7350799999</v>
      </c>
      <c r="C4175" t="n" s="0">
        <v>-995718.7350799999</v>
      </c>
    </row>
    <row r="4176">
      <c r="A4176" t="n" s="0">
        <v>-58.25</v>
      </c>
      <c r="B4176" t="n" s="0">
        <f>(-5-((((-5*(-5/((-5/(((-5*(-58.25--5))-(-5+((-5*-58.25)*(((-5--5)+(-58.25--5))+-58.25))))-(-5+-5)))*-5)))/-5)--5)+(-5*(((-58.25*(-58.25-(-5/-5)))*(-58.25-(-58.25/(-5*-58.25))))-(-5/-5)))))</f>
        <v>-995207.328125</v>
      </c>
      <c r="C4176" t="n" s="0">
        <v>-995207.328125</v>
      </c>
    </row>
    <row r="4177">
      <c r="A4177" t="n" s="0">
        <v>-58.24</v>
      </c>
      <c r="B4177" t="n" s="0">
        <f>(-5-((((-5*(-5/((-5/(((-5*(-58.24--5))-(-5+((-5*-58.24)*(((-5--5)+(-58.24--5))+-58.24))))-(-5+-5)))*-5)))/-5)--5)+(-5*(((-58.24*(-58.24-(-5/-5)))*(-58.24-(-58.24/(-5*-58.24))))-(-5/-5)))))</f>
        <v>-994696.09632</v>
      </c>
      <c r="C4177" t="n" s="0">
        <v>-994696.0963200001</v>
      </c>
    </row>
    <row r="4178">
      <c r="A4178" t="n" s="0">
        <v>-58.23</v>
      </c>
      <c r="B4178" t="n" s="0">
        <f>(-5-((((-5*(-5/((-5/(((-5*(-58.23--5))-(-5+((-5*-58.23)*(((-5--5)+(-58.23--5))+-58.23))))-(-5+-5)))*-5)))/-5)--5)+(-5*(((-58.23*(-58.23-(-5/-5)))*(-58.23-(-58.23/(-5*-58.23))))-(-5/-5)))))</f>
        <v>-994185.039635</v>
      </c>
      <c r="C4178" t="n" s="0">
        <v>-994185.0396349998</v>
      </c>
    </row>
    <row r="4179">
      <c r="A4179" t="n" s="0">
        <v>-58.22</v>
      </c>
      <c r="B4179" t="n" s="0">
        <f>(-5-((((-5*(-5/((-5/(((-5*(-58.22--5))-(-5+((-5*-58.22)*(((-5--5)+(-58.22--5))+-58.22))))-(-5+-5)))*-5)))/-5)--5)+(-5*(((-58.22*(-58.22-(-5/-5)))*(-58.22-(-58.22/(-5*-58.22))))-(-5/-5)))))</f>
        <v>-993674.15804</v>
      </c>
      <c r="C4179" t="n" s="0">
        <v>-993674.15804</v>
      </c>
    </row>
    <row r="4180">
      <c r="A4180" t="n" s="0">
        <v>-58.21</v>
      </c>
      <c r="B4180" t="n" s="0">
        <f>(-5-((((-5*(-5/((-5/(((-5*(-58.21--5))-(-5+((-5*-58.21)*(((-5--5)+(-58.21--5))+-58.21))))-(-5+-5)))*-5)))/-5)--5)+(-5*(((-58.21*(-58.21-(-5/-5)))*(-58.21-(-58.21/(-5*-58.21))))-(-5/-5)))))</f>
        <v>-993163.451505</v>
      </c>
      <c r="C4180" t="n" s="0">
        <v>-993163.451505</v>
      </c>
    </row>
    <row r="4181">
      <c r="A4181" t="n" s="0">
        <v>-58.2</v>
      </c>
      <c r="B4181" t="n" s="0">
        <f>(-5-((((-5*(-5/((-5/(((-5*(-58.2--5))-(-5+((-5*-58.2)*(((-5--5)+(-58.2--5))+-58.2))))-(-5+-5)))*-5)))/-5)--5)+(-5*(((-58.2*(-58.2-(-5/-5)))*(-58.2-(-58.2/(-5*-58.2))))-(-5/-5)))))</f>
        <v>-992652.92</v>
      </c>
      <c r="C4181" t="n" s="0">
        <v>-992652.92</v>
      </c>
    </row>
    <row r="4182">
      <c r="A4182" t="n" s="0">
        <v>-58.19</v>
      </c>
      <c r="B4182" t="n" s="0">
        <f>(-5-((((-5*(-5/((-5/(((-5*(-58.19--5))-(-5+((-5*-58.19)*(((-5--5)+(-58.19--5))+-58.19))))-(-5+-5)))*-5)))/-5)--5)+(-5*(((-58.19*(-58.19-(-5/-5)))*(-58.19-(-58.19/(-5*-58.19))))-(-5/-5)))))</f>
        <v>-992142.563495</v>
      </c>
      <c r="C4182" t="n" s="0">
        <v>-992142.5634949999</v>
      </c>
    </row>
    <row r="4183">
      <c r="A4183" t="n" s="0">
        <v>-58.18</v>
      </c>
      <c r="B4183" t="n" s="0">
        <f>(-5-((((-5*(-5/((-5/(((-5*(-58.18--5))-(-5+((-5*-58.18)*(((-5--5)+(-58.18--5))+-58.18))))-(-5+-5)))*-5)))/-5)--5)+(-5*(((-58.18*(-58.18-(-5/-5)))*(-58.18-(-58.18/(-5*-58.18))))-(-5/-5)))))</f>
        <v>-991632.38196</v>
      </c>
      <c r="C4183" t="n" s="0">
        <v>-991632.38196</v>
      </c>
    </row>
    <row r="4184">
      <c r="A4184" t="n" s="0">
        <v>-58.17</v>
      </c>
      <c r="B4184" t="n" s="0">
        <f>(-5-((((-5*(-5/((-5/(((-5*(-58.17--5))-(-5+((-5*-58.17)*(((-5--5)+(-58.17--5))+-58.17))))-(-5+-5)))*-5)))/-5)--5)+(-5*(((-58.17*(-58.17-(-5/-5)))*(-58.17-(-58.17/(-5*-58.17))))-(-5/-5)))))</f>
        <v>-991122.3753649999</v>
      </c>
      <c r="C4184" t="n" s="0">
        <v>-991122.3753650001</v>
      </c>
    </row>
    <row r="4185">
      <c r="A4185" t="n" s="0">
        <v>-58.16</v>
      </c>
      <c r="B4185" t="n" s="0">
        <f>(-5-((((-5*(-5/((-5/(((-5*(-58.16--5))-(-5+((-5*-58.16)*(((-5--5)+(-58.16--5))+-58.16))))-(-5+-5)))*-5)))/-5)--5)+(-5*(((-58.16*(-58.16-(-5/-5)))*(-58.16-(-58.16/(-5*-58.16))))-(-5/-5)))))</f>
        <v>-990612.54368</v>
      </c>
      <c r="C4185" t="n" s="0">
        <v>-990612.5436799999</v>
      </c>
    </row>
    <row r="4186">
      <c r="A4186" t="n" s="0">
        <v>-58.15</v>
      </c>
      <c r="B4186" t="n" s="0">
        <f>(-5-((((-5*(-5/((-5/(((-5*(-58.15--5))-(-5+((-5*-58.15)*(((-5--5)+(-58.15--5))+-58.15))))-(-5+-5)))*-5)))/-5)--5)+(-5*(((-58.15*(-58.15-(-5/-5)))*(-58.15-(-58.15/(-5*-58.15))))-(-5/-5)))))</f>
        <v>-990102.886875</v>
      </c>
      <c r="C4186" t="n" s="0">
        <v>-990102.8868749999</v>
      </c>
    </row>
    <row r="4187">
      <c r="A4187" t="n" s="0">
        <v>-58.14</v>
      </c>
      <c r="B4187" t="n" s="0">
        <f>(-5-((((-5*(-5/((-5/(((-5*(-58.14--5))-(-5+((-5*-58.14)*(((-5--5)+(-58.14--5))+-58.14))))-(-5+-5)))*-5)))/-5)--5)+(-5*(((-58.14*(-58.14-(-5/-5)))*(-58.14-(-58.14/(-5*-58.14))))-(-5/-5)))))</f>
        <v>-989593.40492</v>
      </c>
      <c r="C4187" t="n" s="0">
        <v>-989593.40492</v>
      </c>
    </row>
    <row r="4188">
      <c r="A4188" t="n" s="0">
        <v>-58.13</v>
      </c>
      <c r="B4188" t="n" s="0">
        <f>(-5-((((-5*(-5/((-5/(((-5*(-58.13--5))-(-5+((-5*-58.13)*(((-5--5)+(-58.13--5))+-58.13))))-(-5+-5)))*-5)))/-5)--5)+(-5*(((-58.13*(-58.13-(-5/-5)))*(-58.13-(-58.13/(-5*-58.13))))-(-5/-5)))))</f>
        <v>-989084.097785</v>
      </c>
      <c r="C4188" t="n" s="0">
        <v>-989084.0977850001</v>
      </c>
    </row>
    <row r="4189">
      <c r="A4189" t="n" s="0">
        <v>-58.12</v>
      </c>
      <c r="B4189" t="n" s="0">
        <f>(-5-((((-5*(-5/((-5/(((-5*(-58.12--5))-(-5+((-5*-58.12)*(((-5--5)+(-58.12--5))+-58.12))))-(-5+-5)))*-5)))/-5)--5)+(-5*(((-58.12*(-58.12-(-5/-5)))*(-58.12-(-58.12/(-5*-58.12))))-(-5/-5)))))</f>
        <v>-988574.9654399999</v>
      </c>
      <c r="C4189" t="n" s="0">
        <v>-988574.9654399999</v>
      </c>
    </row>
    <row r="4190">
      <c r="A4190" t="n" s="0">
        <v>-58.11</v>
      </c>
      <c r="B4190" t="n" s="0">
        <f>(-5-((((-5*(-5/((-5/(((-5*(-58.11--5))-(-5+((-5*-58.11)*(((-5--5)+(-58.11--5))+-58.11))))-(-5+-5)))*-5)))/-5)--5)+(-5*(((-58.11*(-58.11-(-5/-5)))*(-58.11-(-58.11/(-5*-58.11))))-(-5/-5)))))</f>
        <v>-988066.0078550001</v>
      </c>
      <c r="C4190" t="n" s="0">
        <v>-988066.007855</v>
      </c>
    </row>
    <row r="4191">
      <c r="A4191" t="n" s="0">
        <v>-58.1</v>
      </c>
      <c r="B4191" t="n" s="0">
        <f>(-5-((((-5*(-5/((-5/(((-5*(-58.1--5))-(-5+((-5*-58.1)*(((-5--5)+(-58.1--5))+-58.1))))-(-5+-5)))*-5)))/-5)--5)+(-5*(((-58.1*(-58.1-(-5/-5)))*(-58.1-(-58.1/(-5*-58.1))))-(-5/-5)))))</f>
        <v>-987557.2250000001</v>
      </c>
      <c r="C4191" t="n" s="0">
        <v>-987557.2250000001</v>
      </c>
    </row>
    <row r="4192">
      <c r="A4192" t="n" s="0">
        <v>-58.09</v>
      </c>
      <c r="B4192" t="n" s="0">
        <f>(-5-((((-5*(-5/((-5/(((-5*(-58.09--5))-(-5+((-5*-58.09)*(((-5--5)+(-58.09--5))+-58.09))))-(-5+-5)))*-5)))/-5)--5)+(-5*(((-58.09*(-58.09-(-5/-5)))*(-58.09-(-58.09/(-5*-58.09))))-(-5/-5)))))</f>
        <v>-987048.6168450001</v>
      </c>
      <c r="C4192" t="n" s="0">
        <v>-987048.6168450001</v>
      </c>
    </row>
    <row r="4193">
      <c r="A4193" t="n" s="0">
        <v>-58.08</v>
      </c>
      <c r="B4193" t="n" s="0">
        <f>(-5-((((-5*(-5/((-5/(((-5*(-58.08--5))-(-5+((-5*-58.08)*(((-5--5)+(-58.08--5))+-58.08))))-(-5+-5)))*-5)))/-5)--5)+(-5*(((-58.08*(-58.08-(-5/-5)))*(-58.08-(-58.08/(-5*-58.08))))-(-5/-5)))))</f>
        <v>-986540.18336</v>
      </c>
      <c r="C4193" t="n" s="0">
        <v>-986540.1833599999</v>
      </c>
    </row>
    <row r="4194">
      <c r="A4194" t="n" s="0">
        <v>-58.07</v>
      </c>
      <c r="B4194" t="n" s="0">
        <f>(-5-((((-5*(-5/((-5/(((-5*(-58.07--5))-(-5+((-5*-58.07)*(((-5--5)+(-58.07--5))+-58.07))))-(-5+-5)))*-5)))/-5)--5)+(-5*(((-58.07*(-58.07-(-5/-5)))*(-58.07-(-58.07/(-5*-58.07))))-(-5/-5)))))</f>
        <v>-986031.9245150001</v>
      </c>
      <c r="C4194" t="n" s="0">
        <v>-986031.924515</v>
      </c>
    </row>
    <row r="4195">
      <c r="A4195" t="n" s="0">
        <v>-58.06</v>
      </c>
      <c r="B4195" t="n" s="0">
        <f>(-5-((((-5*(-5/((-5/(((-5*(-58.06--5))-(-5+((-5*-58.06)*(((-5--5)+(-58.06--5))+-58.06))))-(-5+-5)))*-5)))/-5)--5)+(-5*(((-58.06*(-58.06-(-5/-5)))*(-58.06-(-58.06/(-5*-58.06))))-(-5/-5)))))</f>
        <v>-985523.84028</v>
      </c>
      <c r="C4195" t="n" s="0">
        <v>-985523.8402800001</v>
      </c>
    </row>
    <row r="4196">
      <c r="A4196" t="n" s="0">
        <v>-58.05</v>
      </c>
      <c r="B4196" t="n" s="0">
        <f>(-5-((((-5*(-5/((-5/(((-5*(-58.05--5))-(-5+((-5*-58.05)*(((-5--5)+(-58.05--5))+-58.05))))-(-5+-5)))*-5)))/-5)--5)+(-5*(((-58.05*(-58.05-(-5/-5)))*(-58.05-(-58.05/(-5*-58.05))))-(-5/-5)))))</f>
        <v>-985015.9306249999</v>
      </c>
      <c r="C4196" t="n" s="0">
        <v>-985015.9306249998</v>
      </c>
    </row>
    <row r="4197">
      <c r="A4197" t="n" s="0">
        <v>-58.04</v>
      </c>
      <c r="B4197" t="n" s="0">
        <f>(-5-((((-5*(-5/((-5/(((-5*(-58.04--5))-(-5+((-5*-58.04)*(((-5--5)+(-58.04--5))+-58.04))))-(-5+-5)))*-5)))/-5)--5)+(-5*(((-58.04*(-58.04-(-5/-5)))*(-58.04-(-58.04/(-5*-58.04))))-(-5/-5)))))</f>
        <v>-984508.19552</v>
      </c>
      <c r="C4197" t="n" s="0">
        <v>-984508.19552</v>
      </c>
    </row>
    <row r="4198">
      <c r="A4198" t="n" s="0">
        <v>-58.03</v>
      </c>
      <c r="B4198" t="n" s="0">
        <f>(-5-((((-5*(-5/((-5/(((-5*(-58.03--5))-(-5+((-5*-58.03)*(((-5--5)+(-58.03--5))+-58.03))))-(-5+-5)))*-5)))/-5)--5)+(-5*(((-58.03*(-58.03-(-5/-5)))*(-58.03-(-58.03/(-5*-58.03))))-(-5/-5)))))</f>
        <v>-984000.634935</v>
      </c>
      <c r="C4198" t="n" s="0">
        <v>-984000.634935</v>
      </c>
    </row>
    <row r="4199">
      <c r="A4199" t="n" s="0">
        <v>-58.02</v>
      </c>
      <c r="B4199" t="n" s="0">
        <f>(-5-((((-5*(-5/((-5/(((-5*(-58.02--5))-(-5+((-5*-58.02)*(((-5--5)+(-58.02--5))+-58.02))))-(-5+-5)))*-5)))/-5)--5)+(-5*(((-58.02*(-58.02-(-5/-5)))*(-58.02-(-58.02/(-5*-58.02))))-(-5/-5)))))</f>
        <v>-983493.24884</v>
      </c>
      <c r="C4199" t="n" s="0">
        <v>-983493.2488400004</v>
      </c>
    </row>
    <row r="4200">
      <c r="A4200" t="n" s="0">
        <v>-58.01</v>
      </c>
      <c r="B4200" t="n" s="0">
        <f>(-5-((((-5*(-5/((-5/(((-5*(-58.01--5))-(-5+((-5*-58.01)*(((-5--5)+(-58.01--5))+-58.01))))-(-5+-5)))*-5)))/-5)--5)+(-5*(((-58.01*(-58.01-(-5/-5)))*(-58.01-(-58.01/(-5*-58.01))))-(-5/-5)))))</f>
        <v>-982986.037205</v>
      </c>
      <c r="C4200" t="n" s="0">
        <v>-982986.0372049998</v>
      </c>
    </row>
    <row r="4201">
      <c r="A4201" t="n" s="0">
        <v>-58.0</v>
      </c>
      <c r="B4201" t="n" s="0">
        <f>(-5-((((-5*(-5/((-5/(((-5*(-58--5))-(-5+((-5*-58)*(((-5--5)+(-58--5))+-58))))-(-5+-5)))*-5)))/-5)--5)+(-5*(((-58*(-58-(-5/-5)))*(-58-(-58/(-5*-58))))-(-5/-5)))))</f>
        <v>-982479.0</v>
      </c>
      <c r="C4201" t="n" s="0">
        <v>-982479.0</v>
      </c>
    </row>
    <row r="4202">
      <c r="A4202" t="n" s="0">
        <v>-57.99</v>
      </c>
      <c r="B4202" t="n" s="0">
        <f>(-5-((((-5*(-5/((-5/(((-5*(-57.99--5))-(-5+((-5*-57.99)*(((-5--5)+(-57.99--5))+-57.99))))-(-5+-5)))*-5)))/-5)--5)+(-5*(((-57.99*(-57.99-(-5/-5)))*(-57.99-(-57.99/(-5*-57.99))))-(-5/-5)))))</f>
        <v>-981972.1371950001</v>
      </c>
      <c r="C4202" t="n" s="0">
        <v>-981972.1371950001</v>
      </c>
    </row>
    <row r="4203">
      <c r="A4203" t="n" s="0">
        <v>-57.98</v>
      </c>
      <c r="B4203" t="n" s="0">
        <f>(-5-((((-5*(-5/((-5/(((-5*(-57.98--5))-(-5+((-5*-57.98)*(((-5--5)+(-57.98--5))+-57.98))))-(-5+-5)))*-5)))/-5)--5)+(-5*(((-57.98*(-57.98-(-5/-5)))*(-57.98-(-57.98/(-5*-57.98))))-(-5/-5)))))</f>
        <v>-981465.44876</v>
      </c>
      <c r="C4203" t="n" s="0">
        <v>-981465.4487599997</v>
      </c>
    </row>
    <row r="4204">
      <c r="A4204" t="n" s="0">
        <v>-57.97</v>
      </c>
      <c r="B4204" t="n" s="0">
        <f>(-5-((((-5*(-5/((-5/(((-5*(-57.97--5))-(-5+((-5*-57.97)*(((-5--5)+(-57.97--5))+-57.97))))-(-5+-5)))*-5)))/-5)--5)+(-5*(((-57.97*(-57.97-(-5/-5)))*(-57.97-(-57.97/(-5*-57.97))))-(-5/-5)))))</f>
        <v>-980958.934665</v>
      </c>
      <c r="C4204" t="n" s="0">
        <v>-980958.934665</v>
      </c>
    </row>
    <row r="4205">
      <c r="A4205" t="n" s="0">
        <v>-57.96</v>
      </c>
      <c r="B4205" t="n" s="0">
        <f>(-5-((((-5*(-5/((-5/(((-5*(-57.96--5))-(-5+((-5*-57.96)*(((-5--5)+(-57.96--5))+-57.96))))-(-5+-5)))*-5)))/-5)--5)+(-5*(((-57.96*(-57.96-(-5/-5)))*(-57.96-(-57.96/(-5*-57.96))))-(-5/-5)))))</f>
        <v>-980452.59488</v>
      </c>
      <c r="C4205" t="n" s="0">
        <v>-980452.59488</v>
      </c>
    </row>
    <row r="4206">
      <c r="A4206" t="n" s="0">
        <v>-57.95</v>
      </c>
      <c r="B4206" t="n" s="0">
        <f>(-5-((((-5*(-5/((-5/(((-5*(-57.95--5))-(-5+((-5*-57.95)*(((-5--5)+(-57.95--5))+-57.95))))-(-5+-5)))*-5)))/-5)--5)+(-5*(((-57.95*(-57.95-(-5/-5)))*(-57.95-(-57.95/(-5*-57.95))))-(-5/-5)))))</f>
        <v>-979946.4293750001</v>
      </c>
      <c r="C4206" t="n" s="0">
        <v>-979946.4293750002</v>
      </c>
    </row>
    <row r="4207">
      <c r="A4207" t="n" s="0">
        <v>-57.94</v>
      </c>
      <c r="B4207" t="n" s="0">
        <f>(-5-((((-5*(-5/((-5/(((-5*(-57.94--5))-(-5+((-5*-57.94)*(((-5--5)+(-57.94--5))+-57.94))))-(-5+-5)))*-5)))/-5)--5)+(-5*(((-57.94*(-57.94-(-5/-5)))*(-57.94-(-57.94/(-5*-57.94))))-(-5/-5)))))</f>
        <v>-979440.4381200001</v>
      </c>
      <c r="C4207" t="n" s="0">
        <v>-979440.4381199997</v>
      </c>
    </row>
    <row r="4208">
      <c r="A4208" t="n" s="0">
        <v>-57.93</v>
      </c>
      <c r="B4208" t="n" s="0">
        <f>(-5-((((-5*(-5/((-5/(((-5*(-57.93--5))-(-5+((-5*-57.93)*(((-5--5)+(-57.93--5))+-57.93))))-(-5+-5)))*-5)))/-5)--5)+(-5*(((-57.93*(-57.93-(-5/-5)))*(-57.93-(-57.93/(-5*-57.93))))-(-5/-5)))))</f>
        <v>-978934.621085</v>
      </c>
      <c r="C4208" t="n" s="0">
        <v>-978934.621085</v>
      </c>
    </row>
    <row r="4209">
      <c r="A4209" t="n" s="0">
        <v>-57.92</v>
      </c>
      <c r="B4209" t="n" s="0">
        <f>(-5-((((-5*(-5/((-5/(((-5*(-57.92--5))-(-5+((-5*-57.92)*(((-5--5)+(-57.92--5))+-57.92))))-(-5+-5)))*-5)))/-5)--5)+(-5*(((-57.92*(-57.92-(-5/-5)))*(-57.92-(-57.92/(-5*-57.92))))-(-5/-5)))))</f>
        <v>-978428.97824</v>
      </c>
      <c r="C4209" t="n" s="0">
        <v>-978428.9782400001</v>
      </c>
    </row>
    <row r="4210">
      <c r="A4210" t="n" s="0">
        <v>-57.91</v>
      </c>
      <c r="B4210" t="n" s="0">
        <f>(-5-((((-5*(-5/((-5/(((-5*(-57.91--5))-(-5+((-5*-57.91)*(((-5--5)+(-57.91--5))+-57.91))))-(-5+-5)))*-5)))/-5)--5)+(-5*(((-57.91*(-57.91-(-5/-5)))*(-57.91-(-57.91/(-5*-57.91))))-(-5/-5)))))</f>
        <v>-977923.5095550001</v>
      </c>
      <c r="C4210" t="n" s="0">
        <v>-977923.5095549998</v>
      </c>
    </row>
    <row r="4211">
      <c r="A4211" t="n" s="0">
        <v>-57.9</v>
      </c>
      <c r="B4211" t="n" s="0">
        <f>(-5-((((-5*(-5/((-5/(((-5*(-57.9--5))-(-5+((-5*-57.9)*(((-5--5)+(-57.9--5))+-57.9))))-(-5+-5)))*-5)))/-5)--5)+(-5*(((-57.9*(-57.9-(-5/-5)))*(-57.9-(-57.9/(-5*-57.9))))-(-5/-5)))))</f>
        <v>-977418.2150000001</v>
      </c>
      <c r="C4211" t="n" s="0">
        <v>-977418.2149999999</v>
      </c>
    </row>
    <row r="4212">
      <c r="A4212" t="n" s="0">
        <v>-57.89</v>
      </c>
      <c r="B4212" t="n" s="0">
        <f>(-5-((((-5*(-5/((-5/(((-5*(-57.89--5))-(-5+((-5*-57.89)*(((-5--5)+(-57.89--5))+-57.89))))-(-5+-5)))*-5)))/-5)--5)+(-5*(((-57.89*(-57.89-(-5/-5)))*(-57.89-(-57.89/(-5*-57.89))))-(-5/-5)))))</f>
        <v>-976913.094545</v>
      </c>
      <c r="C4212" t="n" s="0">
        <v>-976913.094545</v>
      </c>
    </row>
    <row r="4213">
      <c r="A4213" t="n" s="0">
        <v>-57.88</v>
      </c>
      <c r="B4213" t="n" s="0">
        <f>(-5-((((-5*(-5/((-5/(((-5*(-57.88--5))-(-5+((-5*-57.88)*(((-5--5)+(-57.88--5))+-57.88))))-(-5+-5)))*-5)))/-5)--5)+(-5*(((-57.88*(-57.88-(-5/-5)))*(-57.88-(-57.88/(-5*-57.88))))-(-5/-5)))))</f>
        <v>-976408.14816</v>
      </c>
      <c r="C4213" t="n" s="0">
        <v>-976408.1481600001</v>
      </c>
    </row>
    <row r="4214">
      <c r="A4214" t="n" s="0">
        <v>-57.87</v>
      </c>
      <c r="B4214" t="n" s="0">
        <f>(-5-((((-5*(-5/((-5/(((-5*(-57.87--5))-(-5+((-5*-57.87)*(((-5--5)+(-57.87--5))+-57.87))))-(-5+-5)))*-5)))/-5)--5)+(-5*(((-57.87*(-57.87-(-5/-5)))*(-57.87-(-57.87/(-5*-57.87))))-(-5/-5)))))</f>
        <v>-975903.375815</v>
      </c>
      <c r="C4214" t="n" s="0">
        <v>-975903.3758149998</v>
      </c>
    </row>
    <row r="4215">
      <c r="A4215" t="n" s="0">
        <v>-57.86</v>
      </c>
      <c r="B4215" t="n" s="0">
        <f>(-5-((((-5*(-5/((-5/(((-5*(-57.86--5))-(-5+((-5*-57.86)*(((-5--5)+(-57.86--5))+-57.86))))-(-5+-5)))*-5)))/-5)--5)+(-5*(((-57.86*(-57.86-(-5/-5)))*(-57.86-(-57.86/(-5*-57.86))))-(-5/-5)))))</f>
        <v>-975398.7774799999</v>
      </c>
      <c r="C4215" t="n" s="0">
        <v>-975398.7774799999</v>
      </c>
    </row>
    <row r="4216">
      <c r="A4216" t="n" s="0">
        <v>-57.85</v>
      </c>
      <c r="B4216" t="n" s="0">
        <f>(-5-((((-5*(-5/((-5/(((-5*(-57.85--5))-(-5+((-5*-57.85)*(((-5--5)+(-57.85--5))+-57.85))))-(-5+-5)))*-5)))/-5)--5)+(-5*(((-57.85*(-57.85-(-5/-5)))*(-57.85-(-57.85/(-5*-57.85))))-(-5/-5)))))</f>
        <v>-974894.353125</v>
      </c>
      <c r="C4216" t="n" s="0">
        <v>-974894.3531250001</v>
      </c>
    </row>
    <row r="4217">
      <c r="A4217" t="n" s="0">
        <v>-57.84</v>
      </c>
      <c r="B4217" t="n" s="0">
        <f>(-5-((((-5*(-5/((-5/(((-5*(-57.84--5))-(-5+((-5*-57.84)*(((-5--5)+(-57.84--5))+-57.84))))-(-5+-5)))*-5)))/-5)--5)+(-5*(((-57.84*(-57.84-(-5/-5)))*(-57.84-(-57.84/(-5*-57.84))))-(-5/-5)))))</f>
        <v>-974390.10272</v>
      </c>
      <c r="C4217" t="n" s="0">
        <v>-974390.1027200001</v>
      </c>
    </row>
    <row r="4218">
      <c r="A4218" t="n" s="0">
        <v>-57.83</v>
      </c>
      <c r="B4218" t="n" s="0">
        <f>(-5-((((-5*(-5/((-5/(((-5*(-57.83--5))-(-5+((-5*-57.83)*(((-5--5)+(-57.83--5))+-57.83))))-(-5+-5)))*-5)))/-5)--5)+(-5*(((-57.83*(-57.83-(-5/-5)))*(-57.83-(-57.83/(-5*-57.83))))-(-5/-5)))))</f>
        <v>-973886.0262350001</v>
      </c>
      <c r="C4218" t="n" s="0">
        <v>-973886.026235</v>
      </c>
    </row>
    <row r="4219">
      <c r="A4219" t="n" s="0">
        <v>-57.82</v>
      </c>
      <c r="B4219" t="n" s="0">
        <f>(-5-((((-5*(-5/((-5/(((-5*(-57.82--5))-(-5+((-5*-57.82)*(((-5--5)+(-57.82--5))+-57.82))))-(-5+-5)))*-5)))/-5)--5)+(-5*(((-57.82*(-57.82-(-5/-5)))*(-57.82-(-57.82/(-5*-57.82))))-(-5/-5)))))</f>
        <v>-973382.12364</v>
      </c>
      <c r="C4219" t="n" s="0">
        <v>-973382.12364</v>
      </c>
    </row>
    <row r="4220">
      <c r="A4220" t="n" s="0">
        <v>-57.81</v>
      </c>
      <c r="B4220" t="n" s="0">
        <f>(-5-((((-5*(-5/((-5/(((-5*(-57.81--5))-(-5+((-5*-57.81)*(((-5--5)+(-57.81--5))+-57.81))))-(-5+-5)))*-5)))/-5)--5)+(-5*(((-57.81*(-57.81-(-5/-5)))*(-57.81-(-57.81/(-5*-57.81))))-(-5/-5)))))</f>
        <v>-972878.394905</v>
      </c>
      <c r="C4220" t="n" s="0">
        <v>-972878.3949050001</v>
      </c>
    </row>
    <row r="4221">
      <c r="A4221" t="n" s="0">
        <v>-57.8</v>
      </c>
      <c r="B4221" t="n" s="0">
        <f>(-5-((((-5*(-5/((-5/(((-5*(-57.8--5))-(-5+((-5*-57.8)*(((-5--5)+(-57.8--5))+-57.8))))-(-5+-5)))*-5)))/-5)--5)+(-5*(((-57.8*(-57.8-(-5/-5)))*(-57.8-(-57.8/(-5*-57.8))))-(-5/-5)))))</f>
        <v>-972374.84</v>
      </c>
      <c r="C4221" t="n" s="0">
        <v>-972374.8399999999</v>
      </c>
    </row>
    <row r="4222">
      <c r="A4222" t="n" s="0">
        <v>-57.79</v>
      </c>
      <c r="B4222" t="n" s="0">
        <f>(-5-((((-5*(-5/((-5/(((-5*(-57.79--5))-(-5+((-5*-57.79)*(((-5--5)+(-57.79--5))+-57.79))))-(-5+-5)))*-5)))/-5)--5)+(-5*(((-57.79*(-57.79-(-5/-5)))*(-57.79-(-57.79/(-5*-57.79))))-(-5/-5)))))</f>
        <v>-971871.458895</v>
      </c>
      <c r="C4222" t="n" s="0">
        <v>-971871.4588949999</v>
      </c>
    </row>
    <row r="4223">
      <c r="A4223" t="n" s="0">
        <v>-57.78</v>
      </c>
      <c r="B4223" t="n" s="0">
        <f>(-5-((((-5*(-5/((-5/(((-5*(-57.78--5))-(-5+((-5*-57.78)*(((-5--5)+(-57.78--5))+-57.78))))-(-5+-5)))*-5)))/-5)--5)+(-5*(((-57.78*(-57.78-(-5/-5)))*(-57.78-(-57.78/(-5*-57.78))))-(-5/-5)))))</f>
        <v>-971368.25156</v>
      </c>
      <c r="C4223" t="n" s="0">
        <v>-971368.25156</v>
      </c>
    </row>
    <row r="4224">
      <c r="A4224" t="n" s="0">
        <v>-57.77</v>
      </c>
      <c r="B4224" t="n" s="0">
        <f>(-5-((((-5*(-5/((-5/(((-5*(-57.77--5))-(-5+((-5*-57.77)*(((-5--5)+(-57.77--5))+-57.77))))-(-5+-5)))*-5)))/-5)--5)+(-5*(((-57.77*(-57.77-(-5/-5)))*(-57.77-(-57.77/(-5*-57.77))))-(-5/-5)))))</f>
        <v>-970865.2179650001</v>
      </c>
      <c r="C4224" t="n" s="0">
        <v>-970865.2179650003</v>
      </c>
    </row>
    <row r="4225">
      <c r="A4225" t="n" s="0">
        <v>-57.76</v>
      </c>
      <c r="B4225" t="n" s="0">
        <f>(-5-((((-5*(-5/((-5/(((-5*(-57.76--5))-(-5+((-5*-57.76)*(((-5--5)+(-57.76--5))+-57.76))))-(-5+-5)))*-5)))/-5)--5)+(-5*(((-57.76*(-57.76-(-5/-5)))*(-57.76-(-57.76/(-5*-57.76))))-(-5/-5)))))</f>
        <v>-970362.3580799999</v>
      </c>
      <c r="C4225" t="n" s="0">
        <v>-970362.3580799999</v>
      </c>
    </row>
    <row r="4226">
      <c r="A4226" t="n" s="0">
        <v>-57.75</v>
      </c>
      <c r="B4226" t="n" s="0">
        <f>(-5-((((-5*(-5/((-5/(((-5*(-57.75--5))-(-5+((-5*-57.75)*(((-5--5)+(-57.75--5))+-57.75))))-(-5+-5)))*-5)))/-5)--5)+(-5*(((-57.75*(-57.75-(-5/-5)))*(-57.75-(-57.75/(-5*-57.75))))-(-5/-5)))))</f>
        <v>-969859.671875</v>
      </c>
      <c r="C4226" t="n" s="0">
        <v>-969859.671875</v>
      </c>
    </row>
    <row r="4227">
      <c r="A4227" t="n" s="0">
        <v>-57.74</v>
      </c>
      <c r="B4227" t="n" s="0">
        <f>(-5-((((-5*(-5/((-5/(((-5*(-57.74--5))-(-5+((-5*-57.74)*(((-5--5)+(-57.74--5))+-57.74))))-(-5+-5)))*-5)))/-5)--5)+(-5*(((-57.74*(-57.74-(-5/-5)))*(-57.74-(-57.74/(-5*-57.74))))-(-5/-5)))))</f>
        <v>-969357.15932</v>
      </c>
      <c r="C4227" t="n" s="0">
        <v>-969357.15932</v>
      </c>
    </row>
    <row r="4228">
      <c r="A4228" t="n" s="0">
        <v>-57.73</v>
      </c>
      <c r="B4228" t="n" s="0">
        <f>(-5-((((-5*(-5/((-5/(((-5*(-57.73--5))-(-5+((-5*-57.73)*(((-5--5)+(-57.73--5))+-57.73))))-(-5+-5)))*-5)))/-5)--5)+(-5*(((-57.73*(-57.73-(-5/-5)))*(-57.73-(-57.73/(-5*-57.73))))-(-5/-5)))))</f>
        <v>-968854.820385</v>
      </c>
      <c r="C4228" t="n" s="0">
        <v>-968854.8203849999</v>
      </c>
    </row>
    <row r="4229">
      <c r="A4229" t="n" s="0">
        <v>-57.72</v>
      </c>
      <c r="B4229" t="n" s="0">
        <f>(-5-((((-5*(-5/((-5/(((-5*(-57.72--5))-(-5+((-5*-57.72)*(((-5--5)+(-57.72--5))+-57.72))))-(-5+-5)))*-5)))/-5)--5)+(-5*(((-57.72*(-57.72-(-5/-5)))*(-57.72-(-57.72/(-5*-57.72))))-(-5/-5)))))</f>
        <v>-968352.65504</v>
      </c>
      <c r="C4229" t="n" s="0">
        <v>-968352.65504</v>
      </c>
    </row>
    <row r="4230">
      <c r="A4230" t="n" s="0">
        <v>-57.71</v>
      </c>
      <c r="B4230" t="n" s="0">
        <f>(-5-((((-5*(-5/((-5/(((-5*(-57.71--5))-(-5+((-5*-57.71)*(((-5--5)+(-57.71--5))+-57.71))))-(-5+-5)))*-5)))/-5)--5)+(-5*(((-57.71*(-57.71-(-5/-5)))*(-57.71-(-57.71/(-5*-57.71))))-(-5/-5)))))</f>
        <v>-967850.6632549999</v>
      </c>
      <c r="C4230" t="n" s="0">
        <v>-967850.663255</v>
      </c>
    </row>
    <row r="4231">
      <c r="A4231" t="n" s="0">
        <v>-57.7</v>
      </c>
      <c r="B4231" t="n" s="0">
        <f>(-5-((((-5*(-5/((-5/(((-5*(-57.7--5))-(-5+((-5*-57.7)*(((-5--5)+(-57.7--5))+-57.7))))-(-5+-5)))*-5)))/-5)--5)+(-5*(((-57.7*(-57.7-(-5/-5)))*(-57.7-(-57.7/(-5*-57.7))))-(-5/-5)))))</f>
        <v>-967348.845</v>
      </c>
      <c r="C4231" t="n" s="0">
        <v>-967348.8450000001</v>
      </c>
    </row>
    <row r="4232">
      <c r="A4232" t="n" s="0">
        <v>-57.69</v>
      </c>
      <c r="B4232" t="n" s="0">
        <f>(-5-((((-5*(-5/((-5/(((-5*(-57.69--5))-(-5+((-5*-57.69)*(((-5--5)+(-57.69--5))+-57.69))))-(-5+-5)))*-5)))/-5)--5)+(-5*(((-57.69*(-57.69-(-5/-5)))*(-57.69-(-57.69/(-5*-57.69))))-(-5/-5)))))</f>
        <v>-966847.200245</v>
      </c>
      <c r="C4232" t="n" s="0">
        <v>-966847.2002449998</v>
      </c>
    </row>
    <row r="4233">
      <c r="A4233" t="n" s="0">
        <v>-57.68</v>
      </c>
      <c r="B4233" t="n" s="0">
        <f>(-5-((((-5*(-5/((-5/(((-5*(-57.68--5))-(-5+((-5*-57.68)*(((-5--5)+(-57.68--5))+-57.68))))-(-5+-5)))*-5)))/-5)--5)+(-5*(((-57.68*(-57.68-(-5/-5)))*(-57.68-(-57.68/(-5*-57.68))))-(-5/-5)))))</f>
        <v>-966345.72896</v>
      </c>
      <c r="C4233" t="n" s="0">
        <v>-966345.72896</v>
      </c>
    </row>
    <row r="4234">
      <c r="A4234" t="n" s="0">
        <v>-57.67</v>
      </c>
      <c r="B4234" t="n" s="0">
        <f>(-5-((((-5*(-5/((-5/(((-5*(-57.67--5))-(-5+((-5*-57.67)*(((-5--5)+(-57.67--5))+-57.67))))-(-5+-5)))*-5)))/-5)--5)+(-5*(((-57.67*(-57.67-(-5/-5)))*(-57.67-(-57.67/(-5*-57.67))))-(-5/-5)))))</f>
        <v>-965844.431115</v>
      </c>
      <c r="C4234" t="n" s="0">
        <v>-965844.4311150002</v>
      </c>
    </row>
    <row r="4235">
      <c r="A4235" t="n" s="0">
        <v>-57.66</v>
      </c>
      <c r="B4235" t="n" s="0">
        <f>(-5-((((-5*(-5/((-5/(((-5*(-57.66--5))-(-5+((-5*-57.66)*(((-5--5)+(-57.66--5))+-57.66))))-(-5+-5)))*-5)))/-5)--5)+(-5*(((-57.66*(-57.66-(-5/-5)))*(-57.66-(-57.66/(-5*-57.66))))-(-5/-5)))))</f>
        <v>-965343.30668</v>
      </c>
      <c r="C4235" t="n" s="0">
        <v>-965343.3066799998</v>
      </c>
    </row>
    <row r="4236">
      <c r="A4236" t="n" s="0">
        <v>-57.65</v>
      </c>
      <c r="B4236" t="n" s="0">
        <f>(-5-((((-5*(-5/((-5/(((-5*(-57.65--5))-(-5+((-5*-57.65)*(((-5--5)+(-57.65--5))+-57.65))))-(-5+-5)))*-5)))/-5)--5)+(-5*(((-57.65*(-57.65-(-5/-5)))*(-57.65-(-57.65/(-5*-57.65))))-(-5/-5)))))</f>
        <v>-964842.3556250001</v>
      </c>
      <c r="C4236" t="n" s="0">
        <v>-964842.3556249999</v>
      </c>
    </row>
    <row r="4237">
      <c r="A4237" t="n" s="0">
        <v>-57.64</v>
      </c>
      <c r="B4237" t="n" s="0">
        <f>(-5-((((-5*(-5/((-5/(((-5*(-57.64--5))-(-5+((-5*-57.64)*(((-5--5)+(-57.64--5))+-57.64))))-(-5+-5)))*-5)))/-5)--5)+(-5*(((-57.64*(-57.64-(-5/-5)))*(-57.64-(-57.64/(-5*-57.64))))-(-5/-5)))))</f>
        <v>-964341.57792</v>
      </c>
      <c r="C4237" t="n" s="0">
        <v>-964341.57792</v>
      </c>
    </row>
    <row r="4238">
      <c r="A4238" t="n" s="0">
        <v>-57.63</v>
      </c>
      <c r="B4238" t="n" s="0">
        <f>(-5-((((-5*(-5/((-5/(((-5*(-57.63--5))-(-5+((-5*-57.63)*(((-5--5)+(-57.63--5))+-57.63))))-(-5+-5)))*-5)))/-5)--5)+(-5*(((-57.63*(-57.63-(-5/-5)))*(-57.63-(-57.63/(-5*-57.63))))-(-5/-5)))))</f>
        <v>-963840.973535</v>
      </c>
      <c r="C4238" t="n" s="0">
        <v>-963840.9735350001</v>
      </c>
    </row>
    <row r="4239">
      <c r="A4239" t="n" s="0">
        <v>-57.62</v>
      </c>
      <c r="B4239" t="n" s="0">
        <f>(-5-((((-5*(-5/((-5/(((-5*(-57.62--5))-(-5+((-5*-57.62)*(((-5--5)+(-57.62--5))+-57.62))))-(-5+-5)))*-5)))/-5)--5)+(-5*(((-57.62*(-57.62-(-5/-5)))*(-57.62-(-57.62/(-5*-57.62))))-(-5/-5)))))</f>
        <v>-963340.54244</v>
      </c>
      <c r="C4239" t="n" s="0">
        <v>-963340.5424399998</v>
      </c>
    </row>
    <row r="4240">
      <c r="A4240" t="n" s="0">
        <v>-57.61</v>
      </c>
      <c r="B4240" t="n" s="0">
        <f>(-5-((((-5*(-5/((-5/(((-5*(-57.61--5))-(-5+((-5*-57.61)*(((-5--5)+(-57.61--5))+-57.61))))-(-5+-5)))*-5)))/-5)--5)+(-5*(((-57.61*(-57.61-(-5/-5)))*(-57.61-(-57.61/(-5*-57.61))))-(-5/-5)))))</f>
        <v>-962840.284605</v>
      </c>
      <c r="C4240" t="n" s="0">
        <v>-962840.2846049999</v>
      </c>
    </row>
    <row r="4241">
      <c r="A4241" t="n" s="0">
        <v>-57.6</v>
      </c>
      <c r="B4241" t="n" s="0">
        <f>(-5-((((-5*(-5/((-5/(((-5*(-57.6--5))-(-5+((-5*-57.6)*(((-5--5)+(-57.6--5))+-57.6))))-(-5+-5)))*-5)))/-5)--5)+(-5*(((-57.6*(-57.6-(-5/-5)))*(-57.6-(-57.6/(-5*-57.6))))-(-5/-5)))))</f>
        <v>-962340.2</v>
      </c>
      <c r="C4241" t="n" s="0">
        <v>-962340.2000000002</v>
      </c>
    </row>
    <row r="4242">
      <c r="A4242" t="n" s="0">
        <v>-57.59</v>
      </c>
      <c r="B4242" t="n" s="0">
        <f>(-5-((((-5*(-5/((-5/(((-5*(-57.59--5))-(-5+((-5*-57.59)*(((-5--5)+(-57.59--5))+-57.59))))-(-5+-5)))*-5)))/-5)--5)+(-5*(((-57.59*(-57.59-(-5/-5)))*(-57.59-(-57.59/(-5*-57.59))))-(-5/-5)))))</f>
        <v>-961840.2885949999</v>
      </c>
      <c r="C4242" t="n" s="0">
        <v>-961840.2885950002</v>
      </c>
    </row>
    <row r="4243">
      <c r="A4243" t="n" s="0">
        <v>-57.58</v>
      </c>
      <c r="B4243" t="n" s="0">
        <f>(-5-((((-5*(-5/((-5/(((-5*(-57.58--5))-(-5+((-5*-57.58)*(((-5--5)+(-57.58--5))+-57.58))))-(-5+-5)))*-5)))/-5)--5)+(-5*(((-57.58*(-57.58-(-5/-5)))*(-57.58-(-57.58/(-5*-57.58))))-(-5/-5)))))</f>
        <v>-961340.55036</v>
      </c>
      <c r="C4243" t="n" s="0">
        <v>-961340.55036</v>
      </c>
    </row>
    <row r="4244">
      <c r="A4244" t="n" s="0">
        <v>-57.57</v>
      </c>
      <c r="B4244" t="n" s="0">
        <f>(-5-((((-5*(-5/((-5/(((-5*(-57.57--5))-(-5+((-5*-57.57)*(((-5--5)+(-57.57--5))+-57.57))))-(-5+-5)))*-5)))/-5)--5)+(-5*(((-57.57*(-57.57-(-5/-5)))*(-57.57-(-57.57/(-5*-57.57))))-(-5/-5)))))</f>
        <v>-960840.9852649999</v>
      </c>
      <c r="C4244" t="n" s="0">
        <v>-960840.985265</v>
      </c>
    </row>
    <row r="4245">
      <c r="A4245" t="n" s="0">
        <v>-57.56</v>
      </c>
      <c r="B4245" t="n" s="0">
        <f>(-5-((((-5*(-5/((-5/(((-5*(-57.56--5))-(-5+((-5*-57.56)*(((-5--5)+(-57.56--5))+-57.56))))-(-5+-5)))*-5)))/-5)--5)+(-5*(((-57.56*(-57.56-(-5/-5)))*(-57.56-(-57.56/(-5*-57.56))))-(-5/-5)))))</f>
        <v>-960341.5932799999</v>
      </c>
      <c r="C4245" t="n" s="0">
        <v>-960341.5932800003</v>
      </c>
    </row>
    <row r="4246">
      <c r="A4246" t="n" s="0">
        <v>-57.55</v>
      </c>
      <c r="B4246" t="n" s="0">
        <f>(-5-((((-5*(-5/((-5/(((-5*(-57.55--5))-(-5+((-5*-57.55)*(((-5--5)+(-57.55--5))+-57.55))))-(-5+-5)))*-5)))/-5)--5)+(-5*(((-57.55*(-57.55-(-5/-5)))*(-57.55-(-57.55/(-5*-57.55))))-(-5/-5)))))</f>
        <v>-959842.374375</v>
      </c>
      <c r="C4246" t="n" s="0">
        <v>-959842.3743749999</v>
      </c>
    </row>
    <row r="4247">
      <c r="A4247" t="n" s="0">
        <v>-57.54</v>
      </c>
      <c r="B4247" t="n" s="0">
        <f>(-5-((((-5*(-5/((-5/(((-5*(-57.54--5))-(-5+((-5*-57.54)*(((-5--5)+(-57.54--5))+-57.54))))-(-5+-5)))*-5)))/-5)--5)+(-5*(((-57.54*(-57.54-(-5/-5)))*(-57.54-(-57.54/(-5*-57.54))))-(-5/-5)))))</f>
        <v>-959343.32852</v>
      </c>
      <c r="C4247" t="n" s="0">
        <v>-959343.32852</v>
      </c>
    </row>
    <row r="4248">
      <c r="A4248" t="n" s="0">
        <v>-57.53</v>
      </c>
      <c r="B4248" t="n" s="0">
        <f>(-5-((((-5*(-5/((-5/(((-5*(-57.53--5))-(-5+((-5*-57.53)*(((-5--5)+(-57.53--5))+-57.53))))-(-5+-5)))*-5)))/-5)--5)+(-5*(((-57.53*(-57.53-(-5/-5)))*(-57.53-(-57.53/(-5*-57.53))))-(-5/-5)))))</f>
        <v>-958844.455685</v>
      </c>
      <c r="C4248" t="n" s="0">
        <v>-958844.455685</v>
      </c>
    </row>
    <row r="4249">
      <c r="A4249" t="n" s="0">
        <v>-57.52</v>
      </c>
      <c r="B4249" t="n" s="0">
        <f>(-5-((((-5*(-5/((-5/(((-5*(-57.52--5))-(-5+((-5*-57.52)*(((-5--5)+(-57.52--5))+-57.52))))-(-5+-5)))*-5)))/-5)--5)+(-5*(((-57.52*(-57.52-(-5/-5)))*(-57.52-(-57.52/(-5*-57.52))))-(-5/-5)))))</f>
        <v>-958345.7558400001</v>
      </c>
      <c r="C4249" t="n" s="0">
        <v>-958345.7558400001</v>
      </c>
    </row>
    <row r="4250">
      <c r="A4250" t="n" s="0">
        <v>-57.51</v>
      </c>
      <c r="B4250" t="n" s="0">
        <f>(-5-((((-5*(-5/((-5/(((-5*(-57.51--5))-(-5+((-5*-57.51)*(((-5--5)+(-57.51--5))+-57.51))))-(-5+-5)))*-5)))/-5)--5)+(-5*(((-57.51*(-57.51-(-5/-5)))*(-57.51-(-57.51/(-5*-57.51))))-(-5/-5)))))</f>
        <v>-957847.2289549999</v>
      </c>
      <c r="C4250" t="n" s="0">
        <v>-957847.228955</v>
      </c>
    </row>
    <row r="4251">
      <c r="A4251" t="n" s="0">
        <v>-57.5</v>
      </c>
      <c r="B4251" t="n" s="0">
        <f>(-5-((((-5*(-5/((-5/(((-5*(-57.5--5))-(-5+((-5*-57.5)*(((-5--5)+(-57.5--5))+-57.5))))-(-5+-5)))*-5)))/-5)--5)+(-5*(((-57.5*(-57.5-(-5/-5)))*(-57.5-(-57.5/(-5*-57.5))))-(-5/-5)))))</f>
        <v>-957348.875</v>
      </c>
      <c r="C4251" t="n" s="0">
        <v>-957348.875</v>
      </c>
    </row>
    <row r="4252">
      <c r="A4252" t="n" s="0">
        <v>-57.49</v>
      </c>
      <c r="B4252" t="n" s="0">
        <f>(-5-((((-5*(-5/((-5/(((-5*(-57.49--5))-(-5+((-5*-57.49)*(((-5--5)+(-57.49--5))+-57.49))))-(-5+-5)))*-5)))/-5)--5)+(-5*(((-57.49*(-57.49-(-5/-5)))*(-57.49-(-57.49/(-5*-57.49))))-(-5/-5)))))</f>
        <v>-956850.693945</v>
      </c>
      <c r="C4252" t="n" s="0">
        <v>-956850.6939450001</v>
      </c>
    </row>
    <row r="4253">
      <c r="A4253" t="n" s="0">
        <v>-57.48</v>
      </c>
      <c r="B4253" t="n" s="0">
        <f>(-5-((((-5*(-5/((-5/(((-5*(-57.48--5))-(-5+((-5*-57.48)*(((-5--5)+(-57.48--5))+-57.48))))-(-5+-5)))*-5)))/-5)--5)+(-5*(((-57.48*(-57.48-(-5/-5)))*(-57.48-(-57.48/(-5*-57.48))))-(-5/-5)))))</f>
        <v>-956352.68576</v>
      </c>
      <c r="C4253" t="n" s="0">
        <v>-956352.6857599997</v>
      </c>
    </row>
    <row r="4254">
      <c r="A4254" t="n" s="0">
        <v>-57.47</v>
      </c>
      <c r="B4254" t="n" s="0">
        <f>(-5-((((-5*(-5/((-5/(((-5*(-57.47--5))-(-5+((-5*-57.47)*(((-5--5)+(-57.47--5))+-57.47))))-(-5+-5)))*-5)))/-5)--5)+(-5*(((-57.47*(-57.47-(-5/-5)))*(-57.47-(-57.47/(-5*-57.47))))-(-5/-5)))))</f>
        <v>-955854.850415</v>
      </c>
      <c r="C4254" t="n" s="0">
        <v>-955854.8504149999</v>
      </c>
    </row>
    <row r="4255">
      <c r="A4255" t="n" s="0">
        <v>-57.46</v>
      </c>
      <c r="B4255" t="n" s="0">
        <f>(-5-((((-5*(-5/((-5/(((-5*(-57.46--5))-(-5+((-5*-57.46)*(((-5--5)+(-57.46--5))+-57.46))))-(-5+-5)))*-5)))/-5)--5)+(-5*(((-57.46*(-57.46-(-5/-5)))*(-57.46-(-57.46/(-5*-57.46))))-(-5/-5)))))</f>
        <v>-955357.18788</v>
      </c>
      <c r="C4255" t="n" s="0">
        <v>-955357.1878800001</v>
      </c>
    </row>
    <row r="4256">
      <c r="A4256" t="n" s="0">
        <v>-57.45</v>
      </c>
      <c r="B4256" t="n" s="0">
        <f>(-5-((((-5*(-5/((-5/(((-5*(-57.45--5))-(-5+((-5*-57.45)*(((-5--5)+(-57.45--5))+-57.45))))-(-5+-5)))*-5)))/-5)--5)+(-5*(((-57.45*(-57.45-(-5/-5)))*(-57.45-(-57.45/(-5*-57.45))))-(-5/-5)))))</f>
        <v>-954859.698125</v>
      </c>
      <c r="C4256" t="n" s="0">
        <v>-954859.6981250001</v>
      </c>
    </row>
    <row r="4257">
      <c r="A4257" t="n" s="0">
        <v>-57.44</v>
      </c>
      <c r="B4257" t="n" s="0">
        <f>(-5-((((-5*(-5/((-5/(((-5*(-57.44--5))-(-5+((-5*-57.44)*(((-5--5)+(-57.44--5))+-57.44))))-(-5+-5)))*-5)))/-5)--5)+(-5*(((-57.44*(-57.44-(-5/-5)))*(-57.44-(-57.44/(-5*-57.44))))-(-5/-5)))))</f>
        <v>-954362.38112</v>
      </c>
      <c r="C4257" t="n" s="0">
        <v>-954362.3811199998</v>
      </c>
    </row>
    <row r="4258">
      <c r="A4258" t="n" s="0">
        <v>-57.43</v>
      </c>
      <c r="B4258" t="n" s="0">
        <f>(-5-((((-5*(-5/((-5/(((-5*(-57.43--5))-(-5+((-5*-57.43)*(((-5--5)+(-57.43--5))+-57.43))))-(-5+-5)))*-5)))/-5)--5)+(-5*(((-57.43*(-57.43-(-5/-5)))*(-57.43-(-57.43/(-5*-57.43))))-(-5/-5)))))</f>
        <v>-953865.236835</v>
      </c>
      <c r="C4258" t="n" s="0">
        <v>-953865.236835</v>
      </c>
    </row>
    <row r="4259">
      <c r="A4259" t="n" s="0">
        <v>-57.42</v>
      </c>
      <c r="B4259" t="n" s="0">
        <f>(-5-((((-5*(-5/((-5/(((-5*(-57.42--5))-(-5+((-5*-57.42)*(((-5--5)+(-57.42--5))+-57.42))))-(-5+-5)))*-5)))/-5)--5)+(-5*(((-57.42*(-57.42-(-5/-5)))*(-57.42-(-57.42/(-5*-57.42))))-(-5/-5)))))</f>
        <v>-953368.26524</v>
      </c>
      <c r="C4259" t="n" s="0">
        <v>-953368.2652400001</v>
      </c>
    </row>
    <row r="4260">
      <c r="A4260" t="n" s="0">
        <v>-57.41</v>
      </c>
      <c r="B4260" t="n" s="0">
        <f>(-5-((((-5*(-5/((-5/(((-5*(-57.41--5))-(-5+((-5*-57.41)*(((-5--5)+(-57.41--5))+-57.41))))-(-5+-5)))*-5)))/-5)--5)+(-5*(((-57.41*(-57.41-(-5/-5)))*(-57.41-(-57.41/(-5*-57.41))))-(-5/-5)))))</f>
        <v>-952871.466305</v>
      </c>
      <c r="C4260" t="n" s="0">
        <v>-952871.4663049998</v>
      </c>
    </row>
    <row r="4261">
      <c r="A4261" t="n" s="0">
        <v>-57.4</v>
      </c>
      <c r="B4261" t="n" s="0">
        <f>(-5-((((-5*(-5/((-5/(((-5*(-57.4--5))-(-5+((-5*-57.4)*(((-5--5)+(-57.4--5))+-57.4))))-(-5+-5)))*-5)))/-5)--5)+(-5*(((-57.4*(-57.4-(-5/-5)))*(-57.4-(-57.4/(-5*-57.4))))-(-5/-5)))))</f>
        <v>-952374.84</v>
      </c>
      <c r="C4261" t="n" s="0">
        <v>-952374.8399999999</v>
      </c>
    </row>
    <row r="4262">
      <c r="A4262" t="n" s="0">
        <v>-57.39</v>
      </c>
      <c r="B4262" t="n" s="0">
        <f>(-5-((((-5*(-5/((-5/(((-5*(-57.39--5))-(-5+((-5*-57.39)*(((-5--5)+(-57.39--5))+-57.39))))-(-5+-5)))*-5)))/-5)--5)+(-5*(((-57.39*(-57.39-(-5/-5)))*(-57.39-(-57.39/(-5*-57.39))))-(-5/-5)))))</f>
        <v>-951878.386295</v>
      </c>
      <c r="C4262" t="n" s="0">
        <v>-951878.3862950001</v>
      </c>
    </row>
    <row r="4263">
      <c r="A4263" t="n" s="0">
        <v>-57.38</v>
      </c>
      <c r="B4263" t="n" s="0">
        <f>(-5-((((-5*(-5/((-5/(((-5*(-57.38--5))-(-5+((-5*-57.38)*(((-5--5)+(-57.38--5))+-57.38))))-(-5+-5)))*-5)))/-5)--5)+(-5*(((-57.38*(-57.38-(-5/-5)))*(-57.38-(-57.38/(-5*-57.38))))-(-5/-5)))))</f>
        <v>-951382.10516</v>
      </c>
      <c r="C4263" t="n" s="0">
        <v>-951382.1051600002</v>
      </c>
    </row>
    <row r="4264">
      <c r="A4264" t="n" s="0">
        <v>-57.37</v>
      </c>
      <c r="B4264" t="n" s="0">
        <f>(-5-((((-5*(-5/((-5/(((-5*(-57.37--5))-(-5+((-5*-57.37)*(((-5--5)+(-57.37--5))+-57.37))))-(-5+-5)))*-5)))/-5)--5)+(-5*(((-57.37*(-57.37-(-5/-5)))*(-57.37-(-57.37/(-5*-57.37))))-(-5/-5)))))</f>
        <v>-950885.996565</v>
      </c>
      <c r="C4264" t="n" s="0">
        <v>-950885.9965649998</v>
      </c>
    </row>
    <row r="4265">
      <c r="A4265" t="n" s="0">
        <v>-57.36</v>
      </c>
      <c r="B4265" t="n" s="0">
        <f>(-5-((((-5*(-5/((-5/(((-5*(-57.36--5))-(-5+((-5*-57.36)*(((-5--5)+(-57.36--5))+-57.36))))-(-5+-5)))*-5)))/-5)--5)+(-5*(((-57.36*(-57.36-(-5/-5)))*(-57.36-(-57.36/(-5*-57.36))))-(-5/-5)))))</f>
        <v>-950390.06048</v>
      </c>
      <c r="C4265" t="n" s="0">
        <v>-950390.06048</v>
      </c>
    </row>
    <row r="4266">
      <c r="A4266" t="n" s="0">
        <v>-57.35</v>
      </c>
      <c r="B4266" t="n" s="0">
        <f>(-5-((((-5*(-5/((-5/(((-5*(-57.35--5))-(-5+((-5*-57.35)*(((-5--5)+(-57.35--5))+-57.35))))-(-5+-5)))*-5)))/-5)--5)+(-5*(((-57.35*(-57.35-(-5/-5)))*(-57.35-(-57.35/(-5*-57.35))))-(-5/-5)))))</f>
        <v>-949894.296875</v>
      </c>
      <c r="C4266" t="n" s="0">
        <v>-949894.2968750001</v>
      </c>
    </row>
    <row r="4267">
      <c r="A4267" t="n" s="0">
        <v>-57.34</v>
      </c>
      <c r="B4267" t="n" s="0">
        <f>(-5-((((-5*(-5/((-5/(((-5*(-57.34--5))-(-5+((-5*-57.34)*(((-5--5)+(-57.34--5))+-57.34))))-(-5+-5)))*-5)))/-5)--5)+(-5*(((-57.34*(-57.34-(-5/-5)))*(-57.34-(-57.34/(-5*-57.34))))-(-5/-5)))))</f>
        <v>-949398.7057200001</v>
      </c>
      <c r="C4267" t="n" s="0">
        <v>-949398.7057200002</v>
      </c>
    </row>
    <row r="4268">
      <c r="A4268" t="n" s="0">
        <v>-57.33</v>
      </c>
      <c r="B4268" t="n" s="0">
        <f>(-5-((((-5*(-5/((-5/(((-5*(-57.33--5))-(-5+((-5*-57.33)*(((-5--5)+(-57.33--5))+-57.33))))-(-5+-5)))*-5)))/-5)--5)+(-5*(((-57.33*(-57.33-(-5/-5)))*(-57.33-(-57.33/(-5*-57.33))))-(-5/-5)))))</f>
        <v>-948903.286985</v>
      </c>
      <c r="C4268" t="n" s="0">
        <v>-948903.2869849999</v>
      </c>
    </row>
    <row r="4269">
      <c r="A4269" t="n" s="0">
        <v>-57.32</v>
      </c>
      <c r="B4269" t="n" s="0">
        <f>(-5-((((-5*(-5/((-5/(((-5*(-57.32--5))-(-5+((-5*-57.32)*(((-5--5)+(-57.32--5))+-57.32))))-(-5+-5)))*-5)))/-5)--5)+(-5*(((-57.32*(-57.32-(-5/-5)))*(-57.32-(-57.32/(-5*-57.32))))-(-5/-5)))))</f>
        <v>-948408.04064</v>
      </c>
      <c r="C4269" t="n" s="0">
        <v>-948408.04064</v>
      </c>
    </row>
    <row r="4270">
      <c r="A4270" t="n" s="0">
        <v>-57.31</v>
      </c>
      <c r="B4270" t="n" s="0">
        <f>(-5-((((-5*(-5/((-5/(((-5*(-57.31--5))-(-5+((-5*-57.31)*(((-5--5)+(-57.31--5))+-57.31))))-(-5+-5)))*-5)))/-5)--5)+(-5*(((-57.31*(-57.31-(-5/-5)))*(-57.31-(-57.31/(-5*-57.31))))-(-5/-5)))))</f>
        <v>-947912.966655</v>
      </c>
      <c r="C4270" t="n" s="0">
        <v>-947912.9666550001</v>
      </c>
    </row>
    <row r="4271">
      <c r="A4271" t="n" s="0">
        <v>-57.3</v>
      </c>
      <c r="B4271" t="n" s="0">
        <f>(-5-((((-5*(-5/((-5/(((-5*(-57.3--5))-(-5+((-5*-57.3)*(((-5--5)+(-57.3--5))+-57.3))))-(-5+-5)))*-5)))/-5)--5)+(-5*(((-57.3*(-57.3-(-5/-5)))*(-57.3-(-57.3/(-5*-57.3))))-(-5/-5)))))</f>
        <v>-947418.065</v>
      </c>
      <c r="C4271" t="n" s="0">
        <v>-947418.0649999998</v>
      </c>
    </row>
    <row r="4272">
      <c r="A4272" t="n" s="0">
        <v>-57.29</v>
      </c>
      <c r="B4272" t="n" s="0">
        <f>(-5-((((-5*(-5/((-5/(((-5*(-57.29--5))-(-5+((-5*-57.29)*(((-5--5)+(-57.29--5))+-57.29))))-(-5+-5)))*-5)))/-5)--5)+(-5*(((-57.29*(-57.29-(-5/-5)))*(-57.29-(-57.29/(-5*-57.29))))-(-5/-5)))))</f>
        <v>-946923.335645</v>
      </c>
      <c r="C4272" t="n" s="0">
        <v>-946923.335645</v>
      </c>
    </row>
    <row r="4273">
      <c r="A4273" t="n" s="0">
        <v>-57.28</v>
      </c>
      <c r="B4273" t="n" s="0">
        <f>(-5-((((-5*(-5/((-5/(((-5*(-57.28--5))-(-5+((-5*-57.28)*(((-5--5)+(-57.28--5))+-57.28))))-(-5+-5)))*-5)))/-5)--5)+(-5*(((-57.28*(-57.28-(-5/-5)))*(-57.28-(-57.28/(-5*-57.28))))-(-5/-5)))))</f>
        <v>-946428.77856</v>
      </c>
      <c r="C4273" t="n" s="0">
        <v>-946428.77856</v>
      </c>
    </row>
    <row r="4274">
      <c r="A4274" t="n" s="0">
        <v>-57.27</v>
      </c>
      <c r="B4274" t="n" s="0">
        <f>(-5-((((-5*(-5/((-5/(((-5*(-57.27--5))-(-5+((-5*-57.27)*(((-5--5)+(-57.27--5))+-57.27))))-(-5+-5)))*-5)))/-5)--5)+(-5*(((-57.27*(-57.27-(-5/-5)))*(-57.27-(-57.27/(-5*-57.27))))-(-5/-5)))))</f>
        <v>-945934.393715</v>
      </c>
      <c r="C4274" t="n" s="0">
        <v>-945934.3937150002</v>
      </c>
    </row>
    <row r="4275">
      <c r="A4275" t="n" s="0">
        <v>-57.26</v>
      </c>
      <c r="B4275" t="n" s="0">
        <f>(-5-((((-5*(-5/((-5/(((-5*(-57.26--5))-(-5+((-5*-57.26)*(((-5--5)+(-57.26--5))+-57.26))))-(-5+-5)))*-5)))/-5)--5)+(-5*(((-57.26*(-57.26-(-5/-5)))*(-57.26-(-57.26/(-5*-57.26))))-(-5/-5)))))</f>
        <v>-945440.18108</v>
      </c>
      <c r="C4275" t="n" s="0">
        <v>-945440.18108</v>
      </c>
    </row>
    <row r="4276">
      <c r="A4276" t="n" s="0">
        <v>-57.25</v>
      </c>
      <c r="B4276" t="n" s="0">
        <f>(-5-((((-5*(-5/((-5/(((-5*(-57.25--5))-(-5+((-5*-57.25)*(((-5--5)+(-57.25--5))+-57.25))))-(-5+-5)))*-5)))/-5)--5)+(-5*(((-57.25*(-57.25-(-5/-5)))*(-57.25-(-57.25/(-5*-57.25))))-(-5/-5)))))</f>
        <v>-944946.140625</v>
      </c>
      <c r="C4276" t="n" s="0">
        <v>-944946.140625</v>
      </c>
    </row>
    <row r="4277">
      <c r="A4277" t="n" s="0">
        <v>-57.24</v>
      </c>
      <c r="B4277" t="n" s="0">
        <f>(-5-((((-5*(-5/((-5/(((-5*(-57.24--5))-(-5+((-5*-57.24)*(((-5--5)+(-57.24--5))+-57.24))))-(-5+-5)))*-5)))/-5)--5)+(-5*(((-57.24*(-57.24-(-5/-5)))*(-57.24-(-57.24/(-5*-57.24))))-(-5/-5)))))</f>
        <v>-944452.27232</v>
      </c>
      <c r="C4277" t="n" s="0">
        <v>-944452.27232</v>
      </c>
    </row>
    <row r="4278">
      <c r="A4278" t="n" s="0">
        <v>-57.23</v>
      </c>
      <c r="B4278" t="n" s="0">
        <f>(-5-((((-5*(-5/((-5/(((-5*(-57.23--5))-(-5+((-5*-57.23)*(((-5--5)+(-57.23--5))+-57.23))))-(-5+-5)))*-5)))/-5)--5)+(-5*(((-57.23*(-57.23-(-5/-5)))*(-57.23-(-57.23/(-5*-57.23))))-(-5/-5)))))</f>
        <v>-943958.576135</v>
      </c>
      <c r="C4278" t="n" s="0">
        <v>-943958.5761349997</v>
      </c>
    </row>
    <row r="4279">
      <c r="A4279" t="n" s="0">
        <v>-57.22</v>
      </c>
      <c r="B4279" t="n" s="0">
        <f>(-5-((((-5*(-5/((-5/(((-5*(-57.22--5))-(-5+((-5*-57.22)*(((-5--5)+(-57.22--5))+-57.22))))-(-5+-5)))*-5)))/-5)--5)+(-5*(((-57.22*(-57.22-(-5/-5)))*(-57.22-(-57.22/(-5*-57.22))))-(-5/-5)))))</f>
        <v>-943465.05204</v>
      </c>
      <c r="C4279" t="n" s="0">
        <v>-943465.05204</v>
      </c>
    </row>
    <row r="4280">
      <c r="A4280" t="n" s="0">
        <v>-57.21</v>
      </c>
      <c r="B4280" t="n" s="0">
        <f>(-5-((((-5*(-5/((-5/(((-5*(-57.21--5))-(-5+((-5*-57.21)*(((-5--5)+(-57.21--5))+-57.21))))-(-5+-5)))*-5)))/-5)--5)+(-5*(((-57.21*(-57.21-(-5/-5)))*(-57.21-(-57.21/(-5*-57.21))))-(-5/-5)))))</f>
        <v>-942971.700005</v>
      </c>
      <c r="C4280" t="n" s="0">
        <v>-942971.700005</v>
      </c>
    </row>
    <row r="4281">
      <c r="A4281" t="n" s="0">
        <v>-57.2</v>
      </c>
      <c r="B4281" t="n" s="0">
        <f>(-5-((((-5*(-5/((-5/(((-5*(-57.2--5))-(-5+((-5*-57.2)*(((-5--5)+(-57.2--5))+-57.2))))-(-5+-5)))*-5)))/-5)--5)+(-5*(((-57.2*(-57.2-(-5/-5)))*(-57.2-(-57.2/(-5*-57.2))))-(-5/-5)))))</f>
        <v>-942478.52</v>
      </c>
      <c r="C4281" t="n" s="0">
        <v>-942478.5200000001</v>
      </c>
    </row>
    <row r="4282">
      <c r="A4282" t="n" s="0">
        <v>-57.19</v>
      </c>
      <c r="B4282" t="n" s="0">
        <f>(-5-((((-5*(-5/((-5/(((-5*(-57.19--5))-(-5+((-5*-57.19)*(((-5--5)+(-57.19--5))+-57.19))))-(-5+-5)))*-5)))/-5)--5)+(-5*(((-57.19*(-57.19-(-5/-5)))*(-57.19-(-57.19/(-5*-57.19))))-(-5/-5)))))</f>
        <v>-941985.511995</v>
      </c>
      <c r="C4282" t="n" s="0">
        <v>-941985.5119949998</v>
      </c>
    </row>
    <row r="4283">
      <c r="A4283" t="n" s="0">
        <v>-57.18</v>
      </c>
      <c r="B4283" t="n" s="0">
        <f>(-5-((((-5*(-5/((-5/(((-5*(-57.18--5))-(-5+((-5*-57.18)*(((-5--5)+(-57.18--5))+-57.18))))-(-5+-5)))*-5)))/-5)--5)+(-5*(((-57.18*(-57.18-(-5/-5)))*(-57.18-(-57.18/(-5*-57.18))))-(-5/-5)))))</f>
        <v>-941492.67596</v>
      </c>
      <c r="C4283" t="n" s="0">
        <v>-941492.6759599999</v>
      </c>
    </row>
    <row r="4284">
      <c r="A4284" t="n" s="0">
        <v>-57.17</v>
      </c>
      <c r="B4284" t="n" s="0">
        <f>(-5-((((-5*(-5/((-5/(((-5*(-57.17--5))-(-5+((-5*-57.17)*(((-5--5)+(-57.17--5))+-57.17))))-(-5+-5)))*-5)))/-5)--5)+(-5*(((-57.17*(-57.17-(-5/-5)))*(-57.17-(-57.17/(-5*-57.17))))-(-5/-5)))))</f>
        <v>-941000.011865</v>
      </c>
      <c r="C4284" t="n" s="0">
        <v>-941000.011865</v>
      </c>
    </row>
    <row r="4285">
      <c r="A4285" t="n" s="0">
        <v>-57.16</v>
      </c>
      <c r="B4285" t="n" s="0">
        <f>(-5-((((-5*(-5/((-5/(((-5*(-57.16--5))-(-5+((-5*-57.16)*(((-5--5)+(-57.16--5))+-57.16))))-(-5+-5)))*-5)))/-5)--5)+(-5*(((-57.16*(-57.16-(-5/-5)))*(-57.16-(-57.16/(-5*-57.16))))-(-5/-5)))))</f>
        <v>-940507.51968</v>
      </c>
      <c r="C4285" t="n" s="0">
        <v>-940507.5196799998</v>
      </c>
    </row>
    <row r="4286">
      <c r="A4286" t="n" s="0">
        <v>-57.15</v>
      </c>
      <c r="B4286" t="n" s="0">
        <f>(-5-((((-5*(-5/((-5/(((-5*(-57.15--5))-(-5+((-5*-57.15)*(((-5--5)+(-57.15--5))+-57.15))))-(-5+-5)))*-5)))/-5)--5)+(-5*(((-57.15*(-57.15-(-5/-5)))*(-57.15-(-57.15/(-5*-57.15))))-(-5/-5)))))</f>
        <v>-940015.199375</v>
      </c>
      <c r="C4286" t="n" s="0">
        <v>-940015.199375</v>
      </c>
    </row>
    <row r="4287">
      <c r="A4287" t="n" s="0">
        <v>-57.14</v>
      </c>
      <c r="B4287" t="n" s="0">
        <f>(-5-((((-5*(-5/((-5/(((-5*(-57.14--5))-(-5+((-5*-57.14)*(((-5--5)+(-57.14--5))+-57.14))))-(-5+-5)))*-5)))/-5)--5)+(-5*(((-57.14*(-57.14-(-5/-5)))*(-57.14-(-57.14/(-5*-57.14))))-(-5/-5)))))</f>
        <v>-939523.0509200001</v>
      </c>
      <c r="C4287" t="n" s="0">
        <v>-939523.0509200001</v>
      </c>
    </row>
    <row r="4288">
      <c r="A4288" t="n" s="0">
        <v>-57.13</v>
      </c>
      <c r="B4288" t="n" s="0">
        <f>(-5-((((-5*(-5/((-5/(((-5*(-57.13--5))-(-5+((-5*-57.13)*(((-5--5)+(-57.13--5))+-57.13))))-(-5+-5)))*-5)))/-5)--5)+(-5*(((-57.13*(-57.13-(-5/-5)))*(-57.13-(-57.13/(-5*-57.13))))-(-5/-5)))))</f>
        <v>-939031.074285</v>
      </c>
      <c r="C4288" t="n" s="0">
        <v>-939031.0742850001</v>
      </c>
    </row>
    <row r="4289">
      <c r="A4289" t="n" s="0">
        <v>-57.12</v>
      </c>
      <c r="B4289" t="n" s="0">
        <f>(-5-((((-5*(-5/((-5/(((-5*(-57.12--5))-(-5+((-5*-57.12)*(((-5--5)+(-57.12--5))+-57.12))))-(-5+-5)))*-5)))/-5)--5)+(-5*(((-57.12*(-57.12-(-5/-5)))*(-57.12-(-57.12/(-5*-57.12))))-(-5/-5)))))</f>
        <v>-938539.2694400001</v>
      </c>
      <c r="C4289" t="n" s="0">
        <v>-938539.2694399998</v>
      </c>
    </row>
    <row r="4290">
      <c r="A4290" t="n" s="0">
        <v>-57.11</v>
      </c>
      <c r="B4290" t="n" s="0">
        <f>(-5-((((-5*(-5/((-5/(((-5*(-57.11--5))-(-5+((-5*-57.11)*(((-5--5)+(-57.11--5))+-57.11))))-(-5+-5)))*-5)))/-5)--5)+(-5*(((-57.11*(-57.11-(-5/-5)))*(-57.11-(-57.11/(-5*-57.11))))-(-5/-5)))))</f>
        <v>-938047.636355</v>
      </c>
      <c r="C4290" t="n" s="0">
        <v>-938047.6363549998</v>
      </c>
    </row>
    <row r="4291">
      <c r="A4291" t="n" s="0">
        <v>-57.1</v>
      </c>
      <c r="B4291" t="n" s="0">
        <f>(-5-((((-5*(-5/((-5/(((-5*(-57.1--5))-(-5+((-5*-57.1)*(((-5--5)+(-57.1--5))+-57.1))))-(-5+-5)))*-5)))/-5)--5)+(-5*(((-57.1*(-57.1-(-5/-5)))*(-57.1-(-57.1/(-5*-57.1))))-(-5/-5)))))</f>
        <v>-937556.175</v>
      </c>
      <c r="C4291" t="n" s="0">
        <v>-937556.1750000002</v>
      </c>
    </row>
    <row r="4292">
      <c r="A4292" t="n" s="0">
        <v>-57.09</v>
      </c>
      <c r="B4292" t="n" s="0">
        <f>(-5-((((-5*(-5/((-5/(((-5*(-57.09--5))-(-5+((-5*-57.09)*(((-5--5)+(-57.09--5))+-57.09))))-(-5+-5)))*-5)))/-5)--5)+(-5*(((-57.09*(-57.09-(-5/-5)))*(-57.09-(-57.09/(-5*-57.09))))-(-5/-5)))))</f>
        <v>-937064.885345</v>
      </c>
      <c r="C4292" t="n" s="0">
        <v>-937064.8853450002</v>
      </c>
    </row>
    <row r="4293">
      <c r="A4293" t="n" s="0">
        <v>-57.08</v>
      </c>
      <c r="B4293" t="n" s="0">
        <f>(-5-((((-5*(-5/((-5/(((-5*(-57.08--5))-(-5+((-5*-57.08)*(((-5--5)+(-57.08--5))+-57.08))))-(-5+-5)))*-5)))/-5)--5)+(-5*(((-57.08*(-57.08-(-5/-5)))*(-57.08-(-57.08/(-5*-57.08))))-(-5/-5)))))</f>
        <v>-936573.76736</v>
      </c>
      <c r="C4293" t="n" s="0">
        <v>-936573.7673599999</v>
      </c>
    </row>
    <row r="4294">
      <c r="A4294" t="n" s="0">
        <v>-57.07</v>
      </c>
      <c r="B4294" t="n" s="0">
        <f>(-5-((((-5*(-5/((-5/(((-5*(-57.07--5))-(-5+((-5*-57.07)*(((-5--5)+(-57.07--5))+-57.07))))-(-5+-5)))*-5)))/-5)--5)+(-5*(((-57.07*(-57.07-(-5/-5)))*(-57.07-(-57.07/(-5*-57.07))))-(-5/-5)))))</f>
        <v>-936082.821015</v>
      </c>
      <c r="C4294" t="n" s="0">
        <v>-936082.821015</v>
      </c>
    </row>
    <row r="4295">
      <c r="A4295" t="n" s="0">
        <v>-57.06</v>
      </c>
      <c r="B4295" t="n" s="0">
        <f>(-5-((((-5*(-5/((-5/(((-5*(-57.06--5))-(-5+((-5*-57.06)*(((-5--5)+(-57.06--5))+-57.06))))-(-5+-5)))*-5)))/-5)--5)+(-5*(((-57.06*(-57.06-(-5/-5)))*(-57.06-(-57.06/(-5*-57.06))))-(-5/-5)))))</f>
        <v>-935592.0462799999</v>
      </c>
      <c r="C4295" t="n" s="0">
        <v>-935592.0462800001</v>
      </c>
    </row>
    <row r="4296">
      <c r="A4296" t="n" s="0">
        <v>-57.05</v>
      </c>
      <c r="B4296" t="n" s="0">
        <f>(-5-((((-5*(-5/((-5/(((-5*(-57.05--5))-(-5+((-5*-57.05)*(((-5--5)+(-57.05--5))+-57.05))))-(-5+-5)))*-5)))/-5)--5)+(-5*(((-57.05*(-57.05-(-5/-5)))*(-57.05-(-57.05/(-5*-57.05))))-(-5/-5)))))</f>
        <v>-935101.443125</v>
      </c>
      <c r="C4296" t="n" s="0">
        <v>-935101.4431249999</v>
      </c>
    </row>
    <row r="4297">
      <c r="A4297" t="n" s="0">
        <v>-57.04</v>
      </c>
      <c r="B4297" t="n" s="0">
        <f>(-5-((((-5*(-5/((-5/(((-5*(-57.04--5))-(-5+((-5*-57.04)*(((-5--5)+(-57.04--5))+-57.04))))-(-5+-5)))*-5)))/-5)--5)+(-5*(((-57.04*(-57.04-(-5/-5)))*(-57.04-(-57.04/(-5*-57.04))))-(-5/-5)))))</f>
        <v>-934611.0115200001</v>
      </c>
      <c r="C4297" t="n" s="0">
        <v>-934611.01152</v>
      </c>
    </row>
    <row r="4298">
      <c r="A4298" t="n" s="0">
        <v>-57.03</v>
      </c>
      <c r="B4298" t="n" s="0">
        <f>(-5-((((-5*(-5/((-5/(((-5*(-57.03--5))-(-5+((-5*-57.03)*(((-5--5)+(-57.03--5))+-57.03))))-(-5+-5)))*-5)))/-5)--5)+(-5*(((-57.03*(-57.03-(-5/-5)))*(-57.03-(-57.03/(-5*-57.03))))-(-5/-5)))))</f>
        <v>-934120.7514350001</v>
      </c>
      <c r="C4298" t="n" s="0">
        <v>-934120.7514350001</v>
      </c>
    </row>
    <row r="4299">
      <c r="A4299" t="n" s="0">
        <v>-57.02</v>
      </c>
      <c r="B4299" t="n" s="0">
        <f>(-5-((((-5*(-5/((-5/(((-5*(-57.02--5))-(-5+((-5*-57.02)*(((-5--5)+(-57.02--5))+-57.02))))-(-5+-5)))*-5)))/-5)--5)+(-5*(((-57.02*(-57.02-(-5/-5)))*(-57.02-(-57.02/(-5*-57.02))))-(-5/-5)))))</f>
        <v>-933630.66284</v>
      </c>
      <c r="C4299" t="n" s="0">
        <v>-933630.6628400001</v>
      </c>
    </row>
    <row r="4300">
      <c r="A4300" t="n" s="0">
        <v>-57.01</v>
      </c>
      <c r="B4300" t="n" s="0">
        <f>(-5-((((-5*(-5/((-5/(((-5*(-57.01--5))-(-5+((-5*-57.01)*(((-5--5)+(-57.01--5))+-57.01))))-(-5+-5)))*-5)))/-5)--5)+(-5*(((-57.01*(-57.01-(-5/-5)))*(-57.01-(-57.01/(-5*-57.01))))-(-5/-5)))))</f>
        <v>-933140.745705</v>
      </c>
      <c r="C4300" t="n" s="0">
        <v>-933140.745705</v>
      </c>
    </row>
    <row r="4301">
      <c r="A4301" t="n" s="0">
        <v>-57.0</v>
      </c>
      <c r="B4301" t="n" s="0">
        <f>(-5-((((-5*(-5/((-5/(((-5*(-57--5))-(-5+((-5*-57)*(((-5--5)+(-57--5))+-57))))-(-5+-5)))*-5)))/-5)--5)+(-5*(((-57*(-57-(-5/-5)))*(-57-(-57/(-5*-57))))-(-5/-5)))))</f>
        <v>-932651.0</v>
      </c>
      <c r="C4301" t="n" s="0">
        <v>-932651.0</v>
      </c>
    </row>
    <row r="4302">
      <c r="A4302" t="n" s="0">
        <v>-56.99</v>
      </c>
      <c r="B4302" t="n" s="0">
        <f>(-5-((((-5*(-5/((-5/(((-5*(-56.99--5))-(-5+((-5*-56.99)*(((-5--5)+(-56.99--5))+-56.99))))-(-5+-5)))*-5)))/-5)--5)+(-5*(((-56.99*(-56.99-(-5/-5)))*(-56.99-(-56.99/(-5*-56.99))))-(-5/-5)))))</f>
        <v>-932161.425695</v>
      </c>
      <c r="C4302" t="n" s="0">
        <v>-932161.4256950001</v>
      </c>
    </row>
    <row r="4303">
      <c r="A4303" t="n" s="0">
        <v>-56.98</v>
      </c>
      <c r="B4303" t="n" s="0">
        <f>(-5-((((-5*(-5/((-5/(((-5*(-56.98--5))-(-5+((-5*-56.98)*(((-5--5)+(-56.98--5))+-56.98))))-(-5+-5)))*-5)))/-5)--5)+(-5*(((-56.98*(-56.98-(-5/-5)))*(-56.98-(-56.98/(-5*-56.98))))-(-5/-5)))))</f>
        <v>-931672.0227600001</v>
      </c>
      <c r="C4303" t="n" s="0">
        <v>-931672.0227599997</v>
      </c>
    </row>
    <row r="4304">
      <c r="A4304" t="n" s="0">
        <v>-56.97</v>
      </c>
      <c r="B4304" t="n" s="0">
        <f>(-5-((((-5*(-5/((-5/(((-5*(-56.97--5))-(-5+((-5*-56.97)*(((-5--5)+(-56.97--5))+-56.97))))-(-5+-5)))*-5)))/-5)--5)+(-5*(((-56.97*(-56.97-(-5/-5)))*(-56.97-(-56.97/(-5*-56.97))))-(-5/-5)))))</f>
        <v>-931182.7911650001</v>
      </c>
      <c r="C4304" t="n" s="0">
        <v>-931182.7911650001</v>
      </c>
    </row>
    <row r="4305">
      <c r="A4305" t="n" s="0">
        <v>-56.96</v>
      </c>
      <c r="B4305" t="n" s="0">
        <f>(-5-((((-5*(-5/((-5/(((-5*(-56.96--5))-(-5+((-5*-56.96)*(((-5--5)+(-56.96--5))+-56.96))))-(-5+-5)))*-5)))/-5)--5)+(-5*(((-56.96*(-56.96-(-5/-5)))*(-56.96-(-56.96/(-5*-56.96))))-(-5/-5)))))</f>
        <v>-930693.73088</v>
      </c>
      <c r="C4305" t="n" s="0">
        <v>-930693.7308800002</v>
      </c>
    </row>
    <row r="4306">
      <c r="A4306" t="n" s="0">
        <v>-56.95</v>
      </c>
      <c r="B4306" t="n" s="0">
        <f>(-5-((((-5*(-5/((-5/(((-5*(-56.95--5))-(-5+((-5*-56.95)*(((-5--5)+(-56.95--5))+-56.95))))-(-5+-5)))*-5)))/-5)--5)+(-5*(((-56.95*(-56.95-(-5/-5)))*(-56.95-(-56.95/(-5*-56.95))))-(-5/-5)))))</f>
        <v>-930204.8418749999</v>
      </c>
      <c r="C4306" t="n" s="0">
        <v>-930204.841875</v>
      </c>
    </row>
    <row r="4307">
      <c r="A4307" t="n" s="0">
        <v>-56.94</v>
      </c>
      <c r="B4307" t="n" s="0">
        <f>(-5-((((-5*(-5/((-5/(((-5*(-56.94--5))-(-5+((-5*-56.94)*(((-5--5)+(-56.94--5))+-56.94))))-(-5+-5)))*-5)))/-5)--5)+(-5*(((-56.94*(-56.94-(-5/-5)))*(-56.94-(-56.94/(-5*-56.94))))-(-5/-5)))))</f>
        <v>-929716.1241199999</v>
      </c>
      <c r="C4307" t="n" s="0">
        <v>-929716.1241199997</v>
      </c>
    </row>
    <row r="4308">
      <c r="A4308" t="n" s="0">
        <v>-56.93</v>
      </c>
      <c r="B4308" t="n" s="0">
        <f>(-5-((((-5*(-5/((-5/(((-5*(-56.93--5))-(-5+((-5*-56.93)*(((-5--5)+(-56.93--5))+-56.93))))-(-5+-5)))*-5)))/-5)--5)+(-5*(((-56.93*(-56.93-(-5/-5)))*(-56.93-(-56.93/(-5*-56.93))))-(-5/-5)))))</f>
        <v>-929227.577585</v>
      </c>
      <c r="C4308" t="n" s="0">
        <v>-929227.577585</v>
      </c>
    </row>
    <row r="4309">
      <c r="A4309" t="n" s="0">
        <v>-56.92</v>
      </c>
      <c r="B4309" t="n" s="0">
        <f>(-5-((((-5*(-5/((-5/(((-5*(-56.92--5))-(-5+((-5*-56.92)*(((-5--5)+(-56.92--5))+-56.92))))-(-5+-5)))*-5)))/-5)--5)+(-5*(((-56.92*(-56.92-(-5/-5)))*(-56.92-(-56.92/(-5*-56.92))))-(-5/-5)))))</f>
        <v>-928739.20224</v>
      </c>
      <c r="C4309" t="n" s="0">
        <v>-928739.2022400001</v>
      </c>
    </row>
    <row r="4310">
      <c r="A4310" t="n" s="0">
        <v>-56.91</v>
      </c>
      <c r="B4310" t="n" s="0">
        <f>(-5-((((-5*(-5/((-5/(((-5*(-56.91--5))-(-5+((-5*-56.91)*(((-5--5)+(-56.91--5))+-56.91))))-(-5+-5)))*-5)))/-5)--5)+(-5*(((-56.91*(-56.91-(-5/-5)))*(-56.91-(-56.91/(-5*-56.91))))-(-5/-5)))))</f>
        <v>-928250.998055</v>
      </c>
      <c r="C4310" t="n" s="0">
        <v>-928250.9980549997</v>
      </c>
    </row>
    <row r="4311">
      <c r="A4311" t="n" s="0">
        <v>-56.9</v>
      </c>
      <c r="B4311" t="n" s="0">
        <f>(-5-((((-5*(-5/((-5/(((-5*(-56.9--5))-(-5+((-5*-56.9)*(((-5--5)+(-56.9--5))+-56.9))))-(-5+-5)))*-5)))/-5)--5)+(-5*(((-56.9*(-56.9-(-5/-5)))*(-56.9-(-56.9/(-5*-56.9))))-(-5/-5)))))</f>
        <v>-927762.965</v>
      </c>
      <c r="C4311" t="n" s="0">
        <v>-927762.9649999999</v>
      </c>
    </row>
    <row r="4312">
      <c r="A4312" t="n" s="0">
        <v>-56.89</v>
      </c>
      <c r="B4312" t="n" s="0">
        <f>(-5-((((-5*(-5/((-5/(((-5*(-56.89--5))-(-5+((-5*-56.89)*(((-5--5)+(-56.89--5))+-56.89))))-(-5+-5)))*-5)))/-5)--5)+(-5*(((-56.89*(-56.89-(-5/-5)))*(-56.89-(-56.89/(-5*-56.89))))-(-5/-5)))))</f>
        <v>-927275.103045</v>
      </c>
      <c r="C4312" t="n" s="0">
        <v>-927275.1030450001</v>
      </c>
    </row>
    <row r="4313">
      <c r="A4313" t="n" s="0">
        <v>-56.88</v>
      </c>
      <c r="B4313" t="n" s="0">
        <f>(-5-((((-5*(-5/((-5/(((-5*(-56.88--5))-(-5+((-5*-56.88)*(((-5--5)+(-56.88--5))+-56.88))))-(-5+-5)))*-5)))/-5)--5)+(-5*(((-56.88*(-56.88-(-5/-5)))*(-56.88-(-56.88/(-5*-56.88))))-(-5/-5)))))</f>
        <v>-926787.4121600001</v>
      </c>
      <c r="C4313" t="n" s="0">
        <v>-926787.4121600002</v>
      </c>
    </row>
    <row r="4314">
      <c r="A4314" t="n" s="0">
        <v>-56.87</v>
      </c>
      <c r="B4314" t="n" s="0">
        <f>(-5-((((-5*(-5/((-5/(((-5*(-56.87--5))-(-5+((-5*-56.87)*(((-5--5)+(-56.87--5))+-56.87))))-(-5+-5)))*-5)))/-5)--5)+(-5*(((-56.87*(-56.87-(-5/-5)))*(-56.87-(-56.87/(-5*-56.87))))-(-5/-5)))))</f>
        <v>-926299.8923150001</v>
      </c>
      <c r="C4314" t="n" s="0">
        <v>-926299.8923149998</v>
      </c>
    </row>
    <row r="4315">
      <c r="A4315" t="n" s="0">
        <v>-56.86</v>
      </c>
      <c r="B4315" t="n" s="0">
        <f>(-5-((((-5*(-5/((-5/(((-5*(-56.86--5))-(-5+((-5*-56.86)*(((-5--5)+(-56.86--5))+-56.86))))-(-5+-5)))*-5)))/-5)--5)+(-5*(((-56.86*(-56.86-(-5/-5)))*(-56.86-(-56.86/(-5*-56.86))))-(-5/-5)))))</f>
        <v>-925812.54348</v>
      </c>
      <c r="C4315" t="n" s="0">
        <v>-925812.5434799998</v>
      </c>
    </row>
    <row r="4316">
      <c r="A4316" t="n" s="0">
        <v>-56.85</v>
      </c>
      <c r="B4316" t="n" s="0">
        <f>(-5-((((-5*(-5/((-5/(((-5*(-56.85--5))-(-5+((-5*-56.85)*(((-5--5)+(-56.85--5))+-56.85))))-(-5+-5)))*-5)))/-5)--5)+(-5*(((-56.85*(-56.85-(-5/-5)))*(-56.85-(-56.85/(-5*-56.85))))-(-5/-5)))))</f>
        <v>-925325.3656250001</v>
      </c>
      <c r="C4316" t="n" s="0">
        <v>-925325.3656250001</v>
      </c>
    </row>
    <row r="4317">
      <c r="A4317" t="n" s="0">
        <v>-56.84</v>
      </c>
      <c r="B4317" t="n" s="0">
        <f>(-5-((((-5*(-5/((-5/(((-5*(-56.84--5))-(-5+((-5*-56.84)*(((-5--5)+(-56.84--5))+-56.84))))-(-5+-5)))*-5)))/-5)--5)+(-5*(((-56.84*(-56.84-(-5/-5)))*(-56.84-(-56.84/(-5*-56.84))))-(-5/-5)))))</f>
        <v>-924838.35872</v>
      </c>
      <c r="C4317" t="n" s="0">
        <v>-924838.3587200001</v>
      </c>
    </row>
    <row r="4318">
      <c r="A4318" t="n" s="0">
        <v>-56.83</v>
      </c>
      <c r="B4318" t="n" s="0">
        <f>(-5-((((-5*(-5/((-5/(((-5*(-56.83--5))-(-5+((-5*-56.83)*(((-5--5)+(-56.83--5))+-56.83))))-(-5+-5)))*-5)))/-5)--5)+(-5*(((-56.83*(-56.83-(-5/-5)))*(-56.83-(-56.83/(-5*-56.83))))-(-5/-5)))))</f>
        <v>-924351.522735</v>
      </c>
      <c r="C4318" t="n" s="0">
        <v>-924351.5227349998</v>
      </c>
    </row>
    <row r="4319">
      <c r="A4319" t="n" s="0">
        <v>-56.82</v>
      </c>
      <c r="B4319" t="n" s="0">
        <f>(-5-((((-5*(-5/((-5/(((-5*(-56.82--5))-(-5+((-5*-56.82)*(((-5--5)+(-56.82--5))+-56.82))))-(-5+-5)))*-5)))/-5)--5)+(-5*(((-56.82*(-56.82-(-5/-5)))*(-56.82-(-56.82/(-5*-56.82))))-(-5/-5)))))</f>
        <v>-923864.8576400001</v>
      </c>
      <c r="C4319" t="n" s="0">
        <v>-923864.8576400001</v>
      </c>
    </row>
    <row r="4320">
      <c r="A4320" t="n" s="0">
        <v>-56.81</v>
      </c>
      <c r="B4320" t="n" s="0">
        <f>(-5-((((-5*(-5/((-5/(((-5*(-56.81--5))-(-5+((-5*-56.81)*(((-5--5)+(-56.81--5))+-56.81))))-(-5+-5)))*-5)))/-5)--5)+(-5*(((-56.81*(-56.81-(-5/-5)))*(-56.81-(-56.81/(-5*-56.81))))-(-5/-5)))))</f>
        <v>-923378.363405</v>
      </c>
      <c r="C4320" t="n" s="0">
        <v>-923378.3634050002</v>
      </c>
    </row>
    <row r="4321">
      <c r="A4321" t="n" s="0">
        <v>-56.8</v>
      </c>
      <c r="B4321" t="n" s="0">
        <f>(-5-((((-5*(-5/((-5/(((-5*(-56.8--5))-(-5+((-5*-56.8)*(((-5--5)+(-56.8--5))+-56.8))))-(-5+-5)))*-5)))/-5)--5)+(-5*(((-56.8*(-56.8-(-5/-5)))*(-56.8-(-56.8/(-5*-56.8))))-(-5/-5)))))</f>
        <v>-922892.0399999999</v>
      </c>
      <c r="C4321" t="n" s="0">
        <v>-922892.0399999999</v>
      </c>
    </row>
    <row r="4322">
      <c r="A4322" t="n" s="0">
        <v>-56.79</v>
      </c>
      <c r="B4322" t="n" s="0">
        <f>(-5-((((-5*(-5/((-5/(((-5*(-56.79--5))-(-5+((-5*-56.79)*(((-5--5)+(-56.79--5))+-56.79))))-(-5+-5)))*-5)))/-5)--5)+(-5*(((-56.79*(-56.79-(-5/-5)))*(-56.79-(-56.79/(-5*-56.79))))-(-5/-5)))))</f>
        <v>-922405.8873950001</v>
      </c>
      <c r="C4322" t="n" s="0">
        <v>-922405.8873949999</v>
      </c>
    </row>
    <row r="4323">
      <c r="A4323" t="n" s="0">
        <v>-56.78</v>
      </c>
      <c r="B4323" t="n" s="0">
        <f>(-5-((((-5*(-5/((-5/(((-5*(-56.78--5))-(-5+((-5*-56.78)*(((-5--5)+(-56.78--5))+-56.78))))-(-5+-5)))*-5)))/-5)--5)+(-5*(((-56.78*(-56.78-(-5/-5)))*(-56.78-(-56.78/(-5*-56.78))))-(-5/-5)))))</f>
        <v>-921919.90556</v>
      </c>
      <c r="C4323" t="n" s="0">
        <v>-921919.90556</v>
      </c>
    </row>
    <row r="4324">
      <c r="A4324" t="n" s="0">
        <v>-56.77</v>
      </c>
      <c r="B4324" t="n" s="0">
        <f>(-5-((((-5*(-5/((-5/(((-5*(-56.77--5))-(-5+((-5*-56.77)*(((-5--5)+(-56.77--5))+-56.77))))-(-5+-5)))*-5)))/-5)--5)+(-5*(((-56.77*(-56.77-(-5/-5)))*(-56.77-(-56.77/(-5*-56.77))))-(-5/-5)))))</f>
        <v>-921434.094465</v>
      </c>
      <c r="C4324" t="n" s="0">
        <v>-921434.0944650001</v>
      </c>
    </row>
    <row r="4325">
      <c r="A4325" t="n" s="0">
        <v>-56.76</v>
      </c>
      <c r="B4325" t="n" s="0">
        <f>(-5-((((-5*(-5/((-5/(((-5*(-56.76--5))-(-5+((-5*-56.76)*(((-5--5)+(-56.76--5))+-56.76))))-(-5+-5)))*-5)))/-5)--5)+(-5*(((-56.76*(-56.76-(-5/-5)))*(-56.76-(-56.76/(-5*-56.76))))-(-5/-5)))))</f>
        <v>-920948.45408</v>
      </c>
      <c r="C4325" t="n" s="0">
        <v>-920948.45408</v>
      </c>
    </row>
    <row r="4326">
      <c r="A4326" t="n" s="0">
        <v>-56.75</v>
      </c>
      <c r="B4326" t="n" s="0">
        <f>(-5-((((-5*(-5/((-5/(((-5*(-56.75--5))-(-5+((-5*-56.75)*(((-5--5)+(-56.75--5))+-56.75))))-(-5+-5)))*-5)))/-5)--5)+(-5*(((-56.75*(-56.75-(-5/-5)))*(-56.75-(-56.75/(-5*-56.75))))-(-5/-5)))))</f>
        <v>-920462.984375</v>
      </c>
      <c r="C4326" t="n" s="0">
        <v>-920462.984375</v>
      </c>
    </row>
    <row r="4327">
      <c r="A4327" t="n" s="0">
        <v>-56.74</v>
      </c>
      <c r="B4327" t="n" s="0">
        <f>(-5-((((-5*(-5/((-5/(((-5*(-56.74--5))-(-5+((-5*-56.74)*(((-5--5)+(-56.74--5))+-56.74))))-(-5+-5)))*-5)))/-5)--5)+(-5*(((-56.74*(-56.74-(-5/-5)))*(-56.74-(-56.74/(-5*-56.74))))-(-5/-5)))))</f>
        <v>-919977.6853199999</v>
      </c>
      <c r="C4327" t="n" s="0">
        <v>-919977.68532</v>
      </c>
    </row>
    <row r="4328">
      <c r="A4328" t="n" s="0">
        <v>-56.73</v>
      </c>
      <c r="B4328" t="n" s="0">
        <f>(-5-((((-5*(-5/((-5/(((-5*(-56.73--5))-(-5+((-5*-56.73)*(((-5--5)+(-56.73--5))+-56.73))))-(-5+-5)))*-5)))/-5)--5)+(-5*(((-56.73*(-56.73-(-5/-5)))*(-56.73-(-56.73/(-5*-56.73))))-(-5/-5)))))</f>
        <v>-919492.5568850001</v>
      </c>
      <c r="C4328" t="n" s="0">
        <v>-919492.5568849997</v>
      </c>
    </row>
    <row r="4329">
      <c r="A4329" t="n" s="0">
        <v>-56.72</v>
      </c>
      <c r="B4329" t="n" s="0">
        <f>(-5-((((-5*(-5/((-5/(((-5*(-56.72--5))-(-5+((-5*-56.72)*(((-5--5)+(-56.72--5))+-56.72))))-(-5+-5)))*-5)))/-5)--5)+(-5*(((-56.72*(-56.72-(-5/-5)))*(-56.72-(-56.72/(-5*-56.72))))-(-5/-5)))))</f>
        <v>-919007.59904</v>
      </c>
      <c r="C4329" t="n" s="0">
        <v>-919007.59904</v>
      </c>
    </row>
    <row r="4330">
      <c r="A4330" t="n" s="0">
        <v>-56.71</v>
      </c>
      <c r="B4330" t="n" s="0">
        <f>(-5-((((-5*(-5/((-5/(((-5*(-56.71--5))-(-5+((-5*-56.71)*(((-5--5)+(-56.71--5))+-56.71))))-(-5+-5)))*-5)))/-5)--5)+(-5*(((-56.71*(-56.71-(-5/-5)))*(-56.71-(-56.71/(-5*-56.71))))-(-5/-5)))))</f>
        <v>-918522.811755</v>
      </c>
      <c r="C4330" t="n" s="0">
        <v>-918522.8117549999</v>
      </c>
    </row>
    <row r="4331">
      <c r="A4331" t="n" s="0">
        <v>-56.7</v>
      </c>
      <c r="B4331" t="n" s="0">
        <f>(-5-((((-5*(-5/((-5/(((-5*(-56.7--5))-(-5+((-5*-56.7)*(((-5--5)+(-56.7--5))+-56.7))))-(-5+-5)))*-5)))/-5)--5)+(-5*(((-56.7*(-56.7-(-5/-5)))*(-56.7-(-56.7/(-5*-56.7))))-(-5/-5)))))</f>
        <v>-918038.1950000001</v>
      </c>
      <c r="C4331" t="n" s="0">
        <v>-918038.1950000002</v>
      </c>
    </row>
    <row r="4332">
      <c r="A4332" t="n" s="0">
        <v>-56.69</v>
      </c>
      <c r="B4332" t="n" s="0">
        <f>(-5-((((-5*(-5/((-5/(((-5*(-56.69--5))-(-5+((-5*-56.69)*(((-5--5)+(-56.69--5))+-56.69))))-(-5+-5)))*-5)))/-5)--5)+(-5*(((-56.69*(-56.69-(-5/-5)))*(-56.69-(-56.69/(-5*-56.69))))-(-5/-5)))))</f>
        <v>-917553.748745</v>
      </c>
      <c r="C4332" t="n" s="0">
        <v>-917553.7487449999</v>
      </c>
    </row>
    <row r="4333">
      <c r="A4333" t="n" s="0">
        <v>-56.68</v>
      </c>
      <c r="B4333" t="n" s="0">
        <f>(-5-((((-5*(-5/((-5/(((-5*(-56.68--5))-(-5+((-5*-56.68)*(((-5--5)+(-56.68--5))+-56.68))))-(-5+-5)))*-5)))/-5)--5)+(-5*(((-56.68*(-56.68-(-5/-5)))*(-56.68-(-56.68/(-5*-56.68))))-(-5/-5)))))</f>
        <v>-917069.47296</v>
      </c>
      <c r="C4333" t="n" s="0">
        <v>-917069.4729599999</v>
      </c>
    </row>
    <row r="4334">
      <c r="A4334" t="n" s="0">
        <v>-56.67</v>
      </c>
      <c r="B4334" t="n" s="0">
        <f>(-5-((((-5*(-5/((-5/(((-5*(-56.67--5))-(-5+((-5*-56.67)*(((-5--5)+(-56.67--5))+-56.67))))-(-5+-5)))*-5)))/-5)--5)+(-5*(((-56.67*(-56.67-(-5/-5)))*(-56.67-(-56.67/(-5*-56.67))))-(-5/-5)))))</f>
        <v>-916585.3676150001</v>
      </c>
      <c r="C4334" t="n" s="0">
        <v>-916585.3676150001</v>
      </c>
    </row>
    <row r="4335">
      <c r="A4335" t="n" s="0">
        <v>-56.66</v>
      </c>
      <c r="B4335" t="n" s="0">
        <f>(-5-((((-5*(-5/((-5/(((-5*(-56.66--5))-(-5+((-5*-56.66)*(((-5--5)+(-56.66--5))+-56.66))))-(-5+-5)))*-5)))/-5)--5)+(-5*(((-56.66*(-56.66-(-5/-5)))*(-56.66-(-56.66/(-5*-56.66))))-(-5/-5)))))</f>
        <v>-916101.43268</v>
      </c>
      <c r="C4335" t="n" s="0">
        <v>-916101.4326799999</v>
      </c>
    </row>
    <row r="4336">
      <c r="A4336" t="n" s="0">
        <v>-56.65</v>
      </c>
      <c r="B4336" t="n" s="0">
        <f>(-5-((((-5*(-5/((-5/(((-5*(-56.65--5))-(-5+((-5*-56.65)*(((-5--5)+(-56.65--5))+-56.65))))-(-5+-5)))*-5)))/-5)--5)+(-5*(((-56.65*(-56.65-(-5/-5)))*(-56.65-(-56.65/(-5*-56.65))))-(-5/-5)))))</f>
        <v>-915617.6681250001</v>
      </c>
      <c r="C4336" t="n" s="0">
        <v>-915617.6681249999</v>
      </c>
    </row>
    <row r="4337">
      <c r="A4337" t="n" s="0">
        <v>-56.64</v>
      </c>
      <c r="B4337" t="n" s="0">
        <f>(-5-((((-5*(-5/((-5/(((-5*(-56.64--5))-(-5+((-5*-56.64)*(((-5--5)+(-56.64--5))+-56.64))))-(-5+-5)))*-5)))/-5)--5)+(-5*(((-56.64*(-56.64-(-5/-5)))*(-56.64-(-56.64/(-5*-56.64))))-(-5/-5)))))</f>
        <v>-915134.07392</v>
      </c>
      <c r="C4337" t="n" s="0">
        <v>-915134.0739200001</v>
      </c>
    </row>
    <row r="4338">
      <c r="A4338" t="n" s="0">
        <v>-56.63</v>
      </c>
      <c r="B4338" t="n" s="0">
        <f>(-5-((((-5*(-5/((-5/(((-5*(-56.63--5))-(-5+((-5*-56.63)*(((-5--5)+(-56.63--5))+-56.63))))-(-5+-5)))*-5)))/-5)--5)+(-5*(((-56.63*(-56.63-(-5/-5)))*(-56.63-(-56.63/(-5*-56.63))))-(-5/-5)))))</f>
        <v>-914650.650035</v>
      </c>
      <c r="C4338" t="n" s="0">
        <v>-914650.6500350002</v>
      </c>
    </row>
    <row r="4339">
      <c r="A4339" t="n" s="0">
        <v>-56.62</v>
      </c>
      <c r="B4339" t="n" s="0">
        <f>(-5-((((-5*(-5/((-5/(((-5*(-56.62--5))-(-5+((-5*-56.62)*(((-5--5)+(-56.62--5))+-56.62))))-(-5+-5)))*-5)))/-5)--5)+(-5*(((-56.62*(-56.62-(-5/-5)))*(-56.62-(-56.62/(-5*-56.62))))-(-5/-5)))))</f>
        <v>-914167.39644</v>
      </c>
      <c r="C4339" t="n" s="0">
        <v>-914167.3964399998</v>
      </c>
    </row>
    <row r="4340">
      <c r="A4340" t="n" s="0">
        <v>-56.61</v>
      </c>
      <c r="B4340" t="n" s="0">
        <f>(-5-((((-5*(-5/((-5/(((-5*(-56.61--5))-(-5+((-5*-56.61)*(((-5--5)+(-56.61--5))+-56.61))))-(-5+-5)))*-5)))/-5)--5)+(-5*(((-56.61*(-56.61-(-5/-5)))*(-56.61-(-56.61/(-5*-56.61))))-(-5/-5)))))</f>
        <v>-913684.313105</v>
      </c>
      <c r="C4340" t="n" s="0">
        <v>-913684.3131049998</v>
      </c>
    </row>
    <row r="4341">
      <c r="A4341" t="n" s="0">
        <v>-56.6</v>
      </c>
      <c r="B4341" t="n" s="0">
        <f>(-5-((((-5*(-5/((-5/(((-5*(-56.6--5))-(-5+((-5*-56.6)*(((-5--5)+(-56.6--5))+-56.6))))-(-5+-5)))*-5)))/-5)--5)+(-5*(((-56.6*(-56.6-(-5/-5)))*(-56.6-(-56.6/(-5*-56.6))))-(-5/-5)))))</f>
        <v>-913201.4</v>
      </c>
      <c r="C4341" t="n" s="0">
        <v>-913201.4000000001</v>
      </c>
    </row>
    <row r="4342">
      <c r="A4342" t="n" s="0">
        <v>-56.59</v>
      </c>
      <c r="B4342" t="n" s="0">
        <f>(-5-((((-5*(-5/((-5/(((-5*(-56.59--5))-(-5+((-5*-56.59)*(((-5--5)+(-56.59--5))+-56.59))))-(-5+-5)))*-5)))/-5)--5)+(-5*(((-56.59*(-56.59-(-5/-5)))*(-56.59-(-56.59/(-5*-56.59))))-(-5/-5)))))</f>
        <v>-912718.6570949999</v>
      </c>
      <c r="C4342" t="n" s="0">
        <v>-912718.6570950003</v>
      </c>
    </row>
    <row r="4343">
      <c r="A4343" t="n" s="0">
        <v>-56.58</v>
      </c>
      <c r="B4343" t="n" s="0">
        <f>(-5-((((-5*(-5/((-5/(((-5*(-56.58--5))-(-5+((-5*-56.58)*(((-5--5)+(-56.58--5))+-56.58))))-(-5+-5)))*-5)))/-5)--5)+(-5*(((-56.58*(-56.58-(-5/-5)))*(-56.58-(-56.58/(-5*-56.58))))-(-5/-5)))))</f>
        <v>-912236.08436</v>
      </c>
      <c r="C4343" t="n" s="0">
        <v>-912236.08436</v>
      </c>
    </row>
    <row r="4344">
      <c r="A4344" t="n" s="0">
        <v>-56.57</v>
      </c>
      <c r="B4344" t="n" s="0">
        <f>(-5-((((-5*(-5/((-5/(((-5*(-56.57--5))-(-5+((-5*-56.57)*(((-5--5)+(-56.57--5))+-56.57))))-(-5+-5)))*-5)))/-5)--5)+(-5*(((-56.57*(-56.57-(-5/-5)))*(-56.57-(-56.57/(-5*-56.57))))-(-5/-5)))))</f>
        <v>-911753.681765</v>
      </c>
      <c r="C4344" t="n" s="0">
        <v>-911753.6817649999</v>
      </c>
    </row>
    <row r="4345">
      <c r="A4345" t="n" s="0">
        <v>-56.56</v>
      </c>
      <c r="B4345" t="n" s="0">
        <f>(-5-((((-5*(-5/((-5/(((-5*(-56.56--5))-(-5+((-5*-56.56)*(((-5--5)+(-56.56--5))+-56.56))))-(-5+-5)))*-5)))/-5)--5)+(-5*(((-56.56*(-56.56-(-5/-5)))*(-56.56-(-56.56/(-5*-56.56))))-(-5/-5)))))</f>
        <v>-911271.4492800001</v>
      </c>
      <c r="C4345" t="n" s="0">
        <v>-911271.4492800002</v>
      </c>
    </row>
    <row r="4346">
      <c r="A4346" t="n" s="0">
        <v>-56.55</v>
      </c>
      <c r="B4346" t="n" s="0">
        <f>(-5-((((-5*(-5/((-5/(((-5*(-56.55--5))-(-5+((-5*-56.55)*(((-5--5)+(-56.55--5))+-56.55))))-(-5+-5)))*-5)))/-5)--5)+(-5*(((-56.55*(-56.55-(-5/-5)))*(-56.55-(-56.55/(-5*-56.55))))-(-5/-5)))))</f>
        <v>-910789.386875</v>
      </c>
      <c r="C4346" t="n" s="0">
        <v>-910789.386875</v>
      </c>
    </row>
    <row r="4347">
      <c r="A4347" t="n" s="0">
        <v>-56.54</v>
      </c>
      <c r="B4347" t="n" s="0">
        <f>(-5-((((-5*(-5/((-5/(((-5*(-56.54--5))-(-5+((-5*-56.54)*(((-5--5)+(-56.54--5))+-56.54))))-(-5+-5)))*-5)))/-5)--5)+(-5*(((-56.54*(-56.54-(-5/-5)))*(-56.54-(-56.54/(-5*-56.54))))-(-5/-5)))))</f>
        <v>-910307.49452</v>
      </c>
      <c r="C4347" t="n" s="0">
        <v>-910307.4945199998</v>
      </c>
    </row>
    <row r="4348">
      <c r="A4348" t="n" s="0">
        <v>-56.53</v>
      </c>
      <c r="B4348" t="n" s="0">
        <f>(-5-((((-5*(-5/((-5/(((-5*(-56.53--5))-(-5+((-5*-56.53)*(((-5--5)+(-56.53--5))+-56.53))))-(-5+-5)))*-5)))/-5)--5)+(-5*(((-56.53*(-56.53-(-5/-5)))*(-56.53-(-56.53/(-5*-56.53))))-(-5/-5)))))</f>
        <v>-909825.772185</v>
      </c>
      <c r="C4348" t="n" s="0">
        <v>-909825.772185</v>
      </c>
    </row>
    <row r="4349">
      <c r="A4349" t="n" s="0">
        <v>-56.52</v>
      </c>
      <c r="B4349" t="n" s="0">
        <f>(-5-((((-5*(-5/((-5/(((-5*(-56.52--5))-(-5+((-5*-56.52)*(((-5--5)+(-56.52--5))+-56.52))))-(-5+-5)))*-5)))/-5)--5)+(-5*(((-56.52*(-56.52-(-5/-5)))*(-56.52-(-56.52/(-5*-56.52))))-(-5/-5)))))</f>
        <v>-909344.21984</v>
      </c>
      <c r="C4349" t="n" s="0">
        <v>-909344.2198400003</v>
      </c>
    </row>
    <row r="4350">
      <c r="A4350" t="n" s="0">
        <v>-56.51</v>
      </c>
      <c r="B4350" t="n" s="0">
        <f>(-5-((((-5*(-5/((-5/(((-5*(-56.51--5))-(-5+((-5*-56.51)*(((-5--5)+(-56.51--5))+-56.51))))-(-5+-5)))*-5)))/-5)--5)+(-5*(((-56.51*(-56.51-(-5/-5)))*(-56.51-(-56.51/(-5*-56.51))))-(-5/-5)))))</f>
        <v>-908862.837455</v>
      </c>
      <c r="C4350" t="n" s="0">
        <v>-908862.8374549999</v>
      </c>
    </row>
    <row r="4351">
      <c r="A4351" t="n" s="0">
        <v>-56.5</v>
      </c>
      <c r="B4351" t="n" s="0">
        <f>(-5-((((-5*(-5/((-5/(((-5*(-56.5--5))-(-5+((-5*-56.5)*(((-5--5)+(-56.5--5))+-56.5))))-(-5+-5)))*-5)))/-5)--5)+(-5*(((-56.5*(-56.5-(-5/-5)))*(-56.5-(-56.5/(-5*-56.5))))-(-5/-5)))))</f>
        <v>-908381.625</v>
      </c>
      <c r="C4351" t="n" s="0">
        <v>-908381.625</v>
      </c>
    </row>
    <row r="4352">
      <c r="A4352" t="n" s="0">
        <v>-56.49</v>
      </c>
      <c r="B4352" t="n" s="0">
        <f>(-5-((((-5*(-5/((-5/(((-5*(-56.49--5))-(-5+((-5*-56.49)*(((-5--5)+(-56.49--5))+-56.49))))-(-5+-5)))*-5)))/-5)--5)+(-5*(((-56.49*(-56.49-(-5/-5)))*(-56.49-(-56.49/(-5*-56.49))))-(-5/-5)))))</f>
        <v>-907900.582445</v>
      </c>
      <c r="C4352" t="n" s="0">
        <v>-907900.5824450001</v>
      </c>
    </row>
    <row r="4353">
      <c r="A4353" t="n" s="0">
        <v>-56.48</v>
      </c>
      <c r="B4353" t="n" s="0">
        <f>(-5-((((-5*(-5/((-5/(((-5*(-56.48--5))-(-5+((-5*-56.48)*(((-5--5)+(-56.48--5))+-56.48))))-(-5+-5)))*-5)))/-5)--5)+(-5*(((-56.48*(-56.48-(-5/-5)))*(-56.48-(-56.48/(-5*-56.48))))-(-5/-5)))))</f>
        <v>-907419.70976</v>
      </c>
      <c r="C4353" t="n" s="0">
        <v>-907419.7097599999</v>
      </c>
    </row>
    <row r="4354">
      <c r="A4354" t="n" s="0">
        <v>-56.47</v>
      </c>
      <c r="B4354" t="n" s="0">
        <f>(-5-((((-5*(-5/((-5/(((-5*(-56.47--5))-(-5+((-5*-56.47)*(((-5--5)+(-56.47--5))+-56.47))))-(-5+-5)))*-5)))/-5)--5)+(-5*(((-56.47*(-56.47-(-5/-5)))*(-56.47-(-56.47/(-5*-56.47))))-(-5/-5)))))</f>
        <v>-906939.0069149999</v>
      </c>
      <c r="C4354" t="n" s="0">
        <v>-906939.0069149999</v>
      </c>
    </row>
    <row r="4355">
      <c r="A4355" t="n" s="0">
        <v>-56.46</v>
      </c>
      <c r="B4355" t="n" s="0">
        <f>(-5-((((-5*(-5/((-5/(((-5*(-56.46--5))-(-5+((-5*-56.46)*(((-5--5)+(-56.46--5))+-56.46))))-(-5+-5)))*-5)))/-5)--5)+(-5*(((-56.46*(-56.46-(-5/-5)))*(-56.46-(-56.46/(-5*-56.46))))-(-5/-5)))))</f>
        <v>-906458.47388</v>
      </c>
      <c r="C4355" t="n" s="0">
        <v>-906458.4738800001</v>
      </c>
    </row>
    <row r="4356">
      <c r="A4356" t="n" s="0">
        <v>-56.45</v>
      </c>
      <c r="B4356" t="n" s="0">
        <f>(-5-((((-5*(-5/((-5/(((-5*(-56.45--5))-(-5+((-5*-56.45)*(((-5--5)+(-56.45--5))+-56.45))))-(-5+-5)))*-5)))/-5)--5)+(-5*(((-56.45*(-56.45-(-5/-5)))*(-56.45-(-56.45/(-5*-56.45))))-(-5/-5)))))</f>
        <v>-905978.110625</v>
      </c>
      <c r="C4356" t="n" s="0">
        <v>-905978.1106250001</v>
      </c>
    </row>
    <row r="4357">
      <c r="A4357" t="n" s="0">
        <v>-56.44</v>
      </c>
      <c r="B4357" t="n" s="0">
        <f>(-5-((((-5*(-5/((-5/(((-5*(-56.44--5))-(-5+((-5*-56.44)*(((-5--5)+(-56.44--5))+-56.44))))-(-5+-5)))*-5)))/-5)--5)+(-5*(((-56.44*(-56.44-(-5/-5)))*(-56.44-(-56.44/(-5*-56.44))))-(-5/-5)))))</f>
        <v>-905497.91712</v>
      </c>
      <c r="C4357" t="n" s="0">
        <v>-905497.9171199999</v>
      </c>
    </row>
    <row r="4358">
      <c r="A4358" t="n" s="0">
        <v>-56.43</v>
      </c>
      <c r="B4358" t="n" s="0">
        <f>(-5-((((-5*(-5/((-5/(((-5*(-56.43--5))-(-5+((-5*-56.43)*(((-5--5)+(-56.43--5))+-56.43))))-(-5+-5)))*-5)))/-5)--5)+(-5*(((-56.43*(-56.43-(-5/-5)))*(-56.43-(-56.43/(-5*-56.43))))-(-5/-5)))))</f>
        <v>-905017.893335</v>
      </c>
      <c r="C4358" t="n" s="0">
        <v>-905017.893335</v>
      </c>
    </row>
    <row r="4359">
      <c r="A4359" t="n" s="0">
        <v>-56.42</v>
      </c>
      <c r="B4359" t="n" s="0">
        <f>(-5-((((-5*(-5/((-5/(((-5*(-56.42--5))-(-5+((-5*-56.42)*(((-5--5)+(-56.42--5))+-56.42))))-(-5+-5)))*-5)))/-5)--5)+(-5*(((-56.42*(-56.42-(-5/-5)))*(-56.42-(-56.42/(-5*-56.42))))-(-5/-5)))))</f>
        <v>-904538.03924</v>
      </c>
      <c r="C4359" t="n" s="0">
        <v>-904538.0392400001</v>
      </c>
    </row>
    <row r="4360">
      <c r="A4360" t="n" s="0">
        <v>-56.41</v>
      </c>
      <c r="B4360" t="n" s="0">
        <f>(-5-((((-5*(-5/((-5/(((-5*(-56.41--5))-(-5+((-5*-56.41)*(((-5--5)+(-56.41--5))+-56.41))))-(-5+-5)))*-5)))/-5)--5)+(-5*(((-56.41*(-56.41-(-5/-5)))*(-56.41-(-56.41/(-5*-56.41))))-(-5/-5)))))</f>
        <v>-904058.354805</v>
      </c>
      <c r="C4360" t="n" s="0">
        <v>-904058.3548049998</v>
      </c>
    </row>
    <row r="4361">
      <c r="A4361" t="n" s="0">
        <v>-56.4</v>
      </c>
      <c r="B4361" t="n" s="0">
        <f>(-5-((((-5*(-5/((-5/(((-5*(-56.4--5))-(-5+((-5*-56.4)*(((-5--5)+(-56.4--5))+-56.4))))-(-5+-5)))*-5)))/-5)--5)+(-5*(((-56.4*(-56.4-(-5/-5)))*(-56.4-(-56.4/(-5*-56.4))))-(-5/-5)))))</f>
        <v>-903578.84</v>
      </c>
      <c r="C4361" t="n" s="0">
        <v>-903578.84</v>
      </c>
    </row>
    <row r="4362">
      <c r="A4362" t="n" s="0">
        <v>-56.39</v>
      </c>
      <c r="B4362" t="n" s="0">
        <f>(-5-((((-5*(-5/((-5/(((-5*(-56.39--5))-(-5+((-5*-56.39)*(((-5--5)+(-56.39--5))+-56.39))))-(-5+-5)))*-5)))/-5)--5)+(-5*(((-56.39*(-56.39-(-5/-5)))*(-56.39-(-56.39/(-5*-56.39))))-(-5/-5)))))</f>
        <v>-903099.4947950001</v>
      </c>
      <c r="C4362" t="n" s="0">
        <v>-903099.4947950001</v>
      </c>
    </row>
    <row r="4363">
      <c r="A4363" t="n" s="0">
        <v>-56.38</v>
      </c>
      <c r="B4363" t="n" s="0">
        <f>(-5-((((-5*(-5/((-5/(((-5*(-56.38--5))-(-5+((-5*-56.38)*(((-5--5)+(-56.38--5))+-56.38))))-(-5+-5)))*-5)))/-5)--5)+(-5*(((-56.38*(-56.38-(-5/-5)))*(-56.38-(-56.38/(-5*-56.38))))-(-5/-5)))))</f>
        <v>-902620.3191600001</v>
      </c>
      <c r="C4363" t="n" s="0">
        <v>-902620.3191600001</v>
      </c>
    </row>
    <row r="4364">
      <c r="A4364" t="n" s="0">
        <v>-56.37</v>
      </c>
      <c r="B4364" t="n" s="0">
        <f>(-5-((((-5*(-5/((-5/(((-5*(-56.37--5))-(-5+((-5*-56.37)*(((-5--5)+(-56.37--5))+-56.37))))-(-5+-5)))*-5)))/-5)--5)+(-5*(((-56.37*(-56.37-(-5/-5)))*(-56.37-(-56.37/(-5*-56.37))))-(-5/-5)))))</f>
        <v>-902141.313065</v>
      </c>
      <c r="C4364" t="n" s="0">
        <v>-902141.3130649998</v>
      </c>
    </row>
    <row r="4365">
      <c r="A4365" t="n" s="0">
        <v>-56.36</v>
      </c>
      <c r="B4365" t="n" s="0">
        <f>(-5-((((-5*(-5/((-5/(((-5*(-56.36--5))-(-5+((-5*-56.36)*(((-5--5)+(-56.36--5))+-56.36))))-(-5+-5)))*-5)))/-5)--5)+(-5*(((-56.36*(-56.36-(-5/-5)))*(-56.36-(-56.36/(-5*-56.36))))-(-5/-5)))))</f>
        <v>-901662.47648</v>
      </c>
      <c r="C4365" t="n" s="0">
        <v>-901662.47648</v>
      </c>
    </row>
    <row r="4366">
      <c r="A4366" t="n" s="0">
        <v>-56.35</v>
      </c>
      <c r="B4366" t="n" s="0">
        <f>(-5-((((-5*(-5/((-5/(((-5*(-56.35--5))-(-5+((-5*-56.35)*(((-5--5)+(-56.35--5))+-56.35))))-(-5+-5)))*-5)))/-5)--5)+(-5*(((-56.35*(-56.35-(-5/-5)))*(-56.35-(-56.35/(-5*-56.35))))-(-5/-5)))))</f>
        <v>-901183.809375</v>
      </c>
      <c r="C4366" t="n" s="0">
        <v>-901183.8093750002</v>
      </c>
    </row>
    <row r="4367">
      <c r="A4367" t="n" s="0">
        <v>-56.34</v>
      </c>
      <c r="B4367" t="n" s="0">
        <f>(-5-((((-5*(-5/((-5/(((-5*(-56.34--5))-(-5+((-5*-56.34)*(((-5--5)+(-56.34--5))+-56.34))))-(-5+-5)))*-5)))/-5)--5)+(-5*(((-56.34*(-56.34-(-5/-5)))*(-56.34-(-56.34/(-5*-56.34))))-(-5/-5)))))</f>
        <v>-900705.31172</v>
      </c>
      <c r="C4367" t="n" s="0">
        <v>-900705.3117200001</v>
      </c>
    </row>
    <row r="4368">
      <c r="A4368" t="n" s="0">
        <v>-56.33</v>
      </c>
      <c r="B4368" t="n" s="0">
        <f>(-5-((((-5*(-5/((-5/(((-5*(-56.33--5))-(-5+((-5*-56.33)*(((-5--5)+(-56.33--5))+-56.33))))-(-5+-5)))*-5)))/-5)--5)+(-5*(((-56.33*(-56.33-(-5/-5)))*(-56.33-(-56.33/(-5*-56.33))))-(-5/-5)))))</f>
        <v>-900226.9834850001</v>
      </c>
      <c r="C4368" t="n" s="0">
        <v>-900226.983485</v>
      </c>
    </row>
    <row r="4369">
      <c r="A4369" t="n" s="0">
        <v>-56.32</v>
      </c>
      <c r="B4369" t="n" s="0">
        <f>(-5-((((-5*(-5/((-5/(((-5*(-56.32--5))-(-5+((-5*-56.32)*(((-5--5)+(-56.32--5))+-56.32))))-(-5+-5)))*-5)))/-5)--5)+(-5*(((-56.32*(-56.32-(-5/-5)))*(-56.32-(-56.32/(-5*-56.32))))-(-5/-5)))))</f>
        <v>-899748.82464</v>
      </c>
      <c r="C4369" t="n" s="0">
        <v>-899748.8246399999</v>
      </c>
    </row>
    <row r="4370">
      <c r="A4370" t="n" s="0">
        <v>-56.31</v>
      </c>
      <c r="B4370" t="n" s="0">
        <f>(-5-((((-5*(-5/((-5/(((-5*(-56.31--5))-(-5+((-5*-56.31)*(((-5--5)+(-56.31--5))+-56.31))))-(-5+-5)))*-5)))/-5)--5)+(-5*(((-56.31*(-56.31-(-5/-5)))*(-56.31-(-56.31/(-5*-56.31))))-(-5/-5)))))</f>
        <v>-899270.835155</v>
      </c>
      <c r="C4370" t="n" s="0">
        <v>-899270.8351550002</v>
      </c>
    </row>
    <row r="4371">
      <c r="A4371" t="n" s="0">
        <v>-56.3</v>
      </c>
      <c r="B4371" t="n" s="0">
        <f>(-5-((((-5*(-5/((-5/(((-5*(-56.3--5))-(-5+((-5*-56.3)*(((-5--5)+(-56.3--5))+-56.3))))-(-5+-5)))*-5)))/-5)--5)+(-5*(((-56.3*(-56.3-(-5/-5)))*(-56.3-(-56.3/(-5*-56.3))))-(-5/-5)))))</f>
        <v>-898793.0149999999</v>
      </c>
      <c r="C4371" t="n" s="0">
        <v>-898793.0149999999</v>
      </c>
    </row>
    <row r="4372">
      <c r="A4372" t="n" s="0">
        <v>-56.29</v>
      </c>
      <c r="B4372" t="n" s="0">
        <f>(-5-((((-5*(-5/((-5/(((-5*(-56.29--5))-(-5+((-5*-56.29)*(((-5--5)+(-56.29--5))+-56.29))))-(-5+-5)))*-5)))/-5)--5)+(-5*(((-56.29*(-56.29-(-5/-5)))*(-56.29-(-56.29/(-5*-56.29))))-(-5/-5)))))</f>
        <v>-898315.364145</v>
      </c>
      <c r="C4372" t="n" s="0">
        <v>-898315.364145</v>
      </c>
    </row>
    <row r="4373">
      <c r="A4373" t="n" s="0">
        <v>-56.28</v>
      </c>
      <c r="B4373" t="n" s="0">
        <f>(-5-((((-5*(-5/((-5/(((-5*(-56.28--5))-(-5+((-5*-56.28)*(((-5--5)+(-56.28--5))+-56.28))))-(-5+-5)))*-5)))/-5)--5)+(-5*(((-56.28*(-56.28-(-5/-5)))*(-56.28-(-56.28/(-5*-56.28))))-(-5/-5)))))</f>
        <v>-897837.88256</v>
      </c>
      <c r="C4373" t="n" s="0">
        <v>-897837.8825599999</v>
      </c>
    </row>
    <row r="4374">
      <c r="A4374" t="n" s="0">
        <v>-56.27</v>
      </c>
      <c r="B4374" t="n" s="0">
        <f>(-5-((((-5*(-5/((-5/(((-5*(-56.27--5))-(-5+((-5*-56.27)*(((-5--5)+(-56.27--5))+-56.27))))-(-5+-5)))*-5)))/-5)--5)+(-5*(((-56.27*(-56.27-(-5/-5)))*(-56.27-(-56.27/(-5*-56.27))))-(-5/-5)))))</f>
        <v>-897360.5702150001</v>
      </c>
      <c r="C4374" t="n" s="0">
        <v>-897360.5702150003</v>
      </c>
    </row>
    <row r="4375">
      <c r="A4375" t="n" s="0">
        <v>-56.26</v>
      </c>
      <c r="B4375" t="n" s="0">
        <f>(-5-((((-5*(-5/((-5/(((-5*(-56.26--5))-(-5+((-5*-56.26)*(((-5--5)+(-56.26--5))+-56.26))))-(-5+-5)))*-5)))/-5)--5)+(-5*(((-56.26*(-56.26-(-5/-5)))*(-56.26-(-56.26/(-5*-56.26))))-(-5/-5)))))</f>
        <v>-896883.42708</v>
      </c>
      <c r="C4375" t="n" s="0">
        <v>-896883.4270799999</v>
      </c>
    </row>
    <row r="4376">
      <c r="A4376" t="n" s="0">
        <v>-56.25</v>
      </c>
      <c r="B4376" t="n" s="0">
        <f>(-5-((((-5*(-5/((-5/(((-5*(-56.25--5))-(-5+((-5*-56.25)*(((-5--5)+(-56.25--5))+-56.25))))-(-5+-5)))*-5)))/-5)--5)+(-5*(((-56.25*(-56.25-(-5/-5)))*(-56.25-(-56.25/(-5*-56.25))))-(-5/-5)))))</f>
        <v>-896406.453125</v>
      </c>
      <c r="C4376" t="n" s="0">
        <v>-896406.453125</v>
      </c>
    </row>
    <row r="4377">
      <c r="A4377" t="n" s="0">
        <v>-56.24</v>
      </c>
      <c r="B4377" t="n" s="0">
        <f>(-5-((((-5*(-5/((-5/(((-5*(-56.24--5))-(-5+((-5*-56.24)*(((-5--5)+(-56.24--5))+-56.24))))-(-5+-5)))*-5)))/-5)--5)+(-5*(((-56.24*(-56.24-(-5/-5)))*(-56.24-(-56.24/(-5*-56.24))))-(-5/-5)))))</f>
        <v>-895929.64832</v>
      </c>
      <c r="C4377" t="n" s="0">
        <v>-895929.64832</v>
      </c>
    </row>
    <row r="4378">
      <c r="A4378" t="n" s="0">
        <v>-56.23</v>
      </c>
      <c r="B4378" t="n" s="0">
        <f>(-5-((((-5*(-5/((-5/(((-5*(-56.23--5))-(-5+((-5*-56.23)*(((-5--5)+(-56.23--5))+-56.23))))-(-5+-5)))*-5)))/-5)--5)+(-5*(((-56.23*(-56.23-(-5/-5)))*(-56.23-(-56.23/(-5*-56.23))))-(-5/-5)))))</f>
        <v>-895453.012635</v>
      </c>
      <c r="C4378" t="n" s="0">
        <v>-895453.0126349998</v>
      </c>
    </row>
    <row r="4379">
      <c r="A4379" t="n" s="0">
        <v>-56.22</v>
      </c>
      <c r="B4379" t="n" s="0">
        <f>(-5-((((-5*(-5/((-5/(((-5*(-56.22--5))-(-5+((-5*-56.22)*(((-5--5)+(-56.22--5))+-56.22))))-(-5+-5)))*-5)))/-5)--5)+(-5*(((-56.22*(-56.22-(-5/-5)))*(-56.22-(-56.22/(-5*-56.22))))-(-5/-5)))))</f>
        <v>-894976.54604</v>
      </c>
      <c r="C4379" t="n" s="0">
        <v>-894976.5460399999</v>
      </c>
    </row>
    <row r="4380">
      <c r="A4380" t="n" s="0">
        <v>-56.21</v>
      </c>
      <c r="B4380" t="n" s="0">
        <f>(-5-((((-5*(-5/((-5/(((-5*(-56.21--5))-(-5+((-5*-56.21)*(((-5--5)+(-56.21--5))+-56.21))))-(-5+-5)))*-5)))/-5)--5)+(-5*(((-56.21*(-56.21-(-5/-5)))*(-56.21-(-56.21/(-5*-56.21))))-(-5/-5)))))</f>
        <v>-894500.248505</v>
      </c>
      <c r="C4380" t="n" s="0">
        <v>-894500.248505</v>
      </c>
    </row>
    <row r="4381">
      <c r="A4381" t="n" s="0">
        <v>-56.2</v>
      </c>
      <c r="B4381" t="n" s="0">
        <f>(-5-((((-5*(-5/((-5/(((-5*(-56.2--5))-(-5+((-5*-56.2)*(((-5--5)+(-56.2--5))+-56.2))))-(-5+-5)))*-5)))/-5)--5)+(-5*(((-56.2*(-56.2-(-5/-5)))*(-56.2-(-56.2/(-5*-56.2))))-(-5/-5)))))</f>
        <v>-894024.12</v>
      </c>
      <c r="C4381" t="n" s="0">
        <v>-894024.1200000001</v>
      </c>
    </row>
    <row r="4382">
      <c r="A4382" t="n" s="0">
        <v>-56.19</v>
      </c>
      <c r="B4382" t="n" s="0">
        <f>(-5-((((-5*(-5/((-5/(((-5*(-56.19--5))-(-5+((-5*-56.19)*(((-5--5)+(-56.19--5))+-56.19))))-(-5+-5)))*-5)))/-5)--5)+(-5*(((-56.19*(-56.19-(-5/-5)))*(-56.19-(-56.19/(-5*-56.19))))-(-5/-5)))))</f>
        <v>-893548.160495</v>
      </c>
      <c r="C4382" t="n" s="0">
        <v>-893548.1604949997</v>
      </c>
    </row>
    <row r="4383">
      <c r="A4383" t="n" s="0">
        <v>-56.18</v>
      </c>
      <c r="B4383" t="n" s="0">
        <f>(-5-((((-5*(-5/((-5/(((-5*(-56.18--5))-(-5+((-5*-56.18)*(((-5--5)+(-56.18--5))+-56.18))))-(-5+-5)))*-5)))/-5)--5)+(-5*(((-56.18*(-56.18-(-5/-5)))*(-56.18-(-56.18/(-5*-56.18))))-(-5/-5)))))</f>
        <v>-893072.3699599999</v>
      </c>
      <c r="C4383" t="n" s="0">
        <v>-893072.36996</v>
      </c>
    </row>
    <row r="4384">
      <c r="A4384" t="n" s="0">
        <v>-56.17</v>
      </c>
      <c r="B4384" t="n" s="0">
        <f>(-5-((((-5*(-5/((-5/(((-5*(-56.17--5))-(-5+((-5*-56.17)*(((-5--5)+(-56.17--5))+-56.17))))-(-5+-5)))*-5)))/-5)--5)+(-5*(((-56.17*(-56.17-(-5/-5)))*(-56.17-(-56.17/(-5*-56.17))))-(-5/-5)))))</f>
        <v>-892596.748365</v>
      </c>
      <c r="C4384" t="n" s="0">
        <v>-892596.7483650001</v>
      </c>
    </row>
    <row r="4385">
      <c r="A4385" t="n" s="0">
        <v>-56.16</v>
      </c>
      <c r="B4385" t="n" s="0">
        <f>(-5-((((-5*(-5/((-5/(((-5*(-56.16--5))-(-5+((-5*-56.16)*(((-5--5)+(-56.16--5))+-56.16))))-(-5+-5)))*-5)))/-5)--5)+(-5*(((-56.16*(-56.16-(-5/-5)))*(-56.16-(-56.16/(-5*-56.16))))-(-5/-5)))))</f>
        <v>-892121.29568</v>
      </c>
      <c r="C4385" t="n" s="0">
        <v>-892121.2956799997</v>
      </c>
    </row>
    <row r="4386">
      <c r="A4386" t="n" s="0">
        <v>-56.15</v>
      </c>
      <c r="B4386" t="n" s="0">
        <f>(-5-((((-5*(-5/((-5/(((-5*(-56.15--5))-(-5+((-5*-56.15)*(((-5--5)+(-56.15--5))+-56.15))))-(-5+-5)))*-5)))/-5)--5)+(-5*(((-56.15*(-56.15-(-5/-5)))*(-56.15-(-56.15/(-5*-56.15))))-(-5/-5)))))</f>
        <v>-891646.011875</v>
      </c>
      <c r="C4386" t="n" s="0">
        <v>-891646.0118749999</v>
      </c>
    </row>
    <row r="4387">
      <c r="A4387" t="n" s="0">
        <v>-56.14</v>
      </c>
      <c r="B4387" t="n" s="0">
        <f>(-5-((((-5*(-5/((-5/(((-5*(-56.14--5))-(-5+((-5*-56.14)*(((-5--5)+(-56.14--5))+-56.14))))-(-5+-5)))*-5)))/-5)--5)+(-5*(((-56.14*(-56.14-(-5/-5)))*(-56.14-(-56.14/(-5*-56.14))))-(-5/-5)))))</f>
        <v>-891170.89692</v>
      </c>
      <c r="C4387" t="n" s="0">
        <v>-891170.8969200001</v>
      </c>
    </row>
    <row r="4388">
      <c r="A4388" t="n" s="0">
        <v>-56.13</v>
      </c>
      <c r="B4388" t="n" s="0">
        <f>(-5-((((-5*(-5/((-5/(((-5*(-56.13--5))-(-5+((-5*-56.13)*(((-5--5)+(-56.13--5))+-56.13))))-(-5+-5)))*-5)))/-5)--5)+(-5*(((-56.13*(-56.13-(-5/-5)))*(-56.13-(-56.13/(-5*-56.13))))-(-5/-5)))))</f>
        <v>-890695.950785</v>
      </c>
      <c r="C4388" t="n" s="0">
        <v>-890695.9507850001</v>
      </c>
    </row>
    <row r="4389">
      <c r="A4389" t="n" s="0">
        <v>-56.12</v>
      </c>
      <c r="B4389" t="n" s="0">
        <f>(-5-((((-5*(-5/((-5/(((-5*(-56.12--5))-(-5+((-5*-56.12)*(((-5--5)+(-56.12--5))+-56.12))))-(-5+-5)))*-5)))/-5)--5)+(-5*(((-56.12*(-56.12-(-5/-5)))*(-56.12-(-56.12/(-5*-56.12))))-(-5/-5)))))</f>
        <v>-890221.17344</v>
      </c>
      <c r="C4389" t="n" s="0">
        <v>-890221.1734399998</v>
      </c>
    </row>
    <row r="4390">
      <c r="A4390" t="n" s="0">
        <v>-56.11</v>
      </c>
      <c r="B4390" t="n" s="0">
        <f>(-5-((((-5*(-5/((-5/(((-5*(-56.11--5))-(-5+((-5*-56.11)*(((-5--5)+(-56.11--5))+-56.11))))-(-5+-5)))*-5)))/-5)--5)+(-5*(((-56.11*(-56.11-(-5/-5)))*(-56.11-(-56.11/(-5*-56.11))))-(-5/-5)))))</f>
        <v>-889746.564855</v>
      </c>
      <c r="C4390" t="n" s="0">
        <v>-889746.5648549999</v>
      </c>
    </row>
    <row r="4391">
      <c r="A4391" t="n" s="0">
        <v>-56.1</v>
      </c>
      <c r="B4391" t="n" s="0">
        <f>(-5-((((-5*(-5/((-5/(((-5*(-56.1--5))-(-5+((-5*-56.1)*(((-5--5)+(-56.1--5))+-56.1))))-(-5+-5)))*-5)))/-5)--5)+(-5*(((-56.1*(-56.1-(-5/-5)))*(-56.1-(-56.1/(-5*-56.1))))-(-5/-5)))))</f>
        <v>-889272.125</v>
      </c>
      <c r="C4391" t="n" s="0">
        <v>-889272.1250000001</v>
      </c>
    </row>
    <row r="4392">
      <c r="A4392" t="n" s="0">
        <v>-56.09</v>
      </c>
      <c r="B4392" t="n" s="0">
        <f>(-5-((((-5*(-5/((-5/(((-5*(-56.09--5))-(-5+((-5*-56.09)*(((-5--5)+(-56.09--5))+-56.09))))-(-5+-5)))*-5)))/-5)--5)+(-5*(((-56.09*(-56.09-(-5/-5)))*(-56.09-(-56.09/(-5*-56.09))))-(-5/-5)))))</f>
        <v>-888797.853845</v>
      </c>
      <c r="C4392" t="n" s="0">
        <v>-888797.8538450003</v>
      </c>
    </row>
    <row r="4393">
      <c r="A4393" t="n" s="0">
        <v>-56.08</v>
      </c>
      <c r="B4393" t="n" s="0">
        <f>(-5-((((-5*(-5/((-5/(((-5*(-56.08--5))-(-5+((-5*-56.08)*(((-5--5)+(-56.08--5))+-56.08))))-(-5+-5)))*-5)))/-5)--5)+(-5*(((-56.08*(-56.08-(-5/-5)))*(-56.08-(-56.08/(-5*-56.08))))-(-5/-5)))))</f>
        <v>-888323.75136</v>
      </c>
      <c r="C4393" t="n" s="0">
        <v>-888323.7513599998</v>
      </c>
    </row>
    <row r="4394">
      <c r="A4394" t="n" s="0">
        <v>-56.07</v>
      </c>
      <c r="B4394" t="n" s="0">
        <f>(-5-((((-5*(-5/((-5/(((-5*(-56.07--5))-(-5+((-5*-56.07)*(((-5--5)+(-56.07--5))+-56.07))))-(-5+-5)))*-5)))/-5)--5)+(-5*(((-56.07*(-56.07-(-5/-5)))*(-56.07-(-56.07/(-5*-56.07))))-(-5/-5)))))</f>
        <v>-887849.817515</v>
      </c>
      <c r="C4394" t="n" s="0">
        <v>-887849.817515</v>
      </c>
    </row>
    <row r="4395">
      <c r="A4395" t="n" s="0">
        <v>-56.06</v>
      </c>
      <c r="B4395" t="n" s="0">
        <f>(-5-((((-5*(-5/((-5/(((-5*(-56.06--5))-(-5+((-5*-56.06)*(((-5--5)+(-56.06--5))+-56.06))))-(-5+-5)))*-5)))/-5)--5)+(-5*(((-56.06*(-56.06-(-5/-5)))*(-56.06-(-56.06/(-5*-56.06))))-(-5/-5)))))</f>
        <v>-887376.0522800001</v>
      </c>
      <c r="C4395" t="n" s="0">
        <v>-887376.0522800003</v>
      </c>
    </row>
    <row r="4396">
      <c r="A4396" t="n" s="0">
        <v>-56.05</v>
      </c>
      <c r="B4396" t="n" s="0">
        <f>(-5-((((-5*(-5/((-5/(((-5*(-56.05--5))-(-5+((-5*-56.05)*(((-5--5)+(-56.05--5))+-56.05))))-(-5+-5)))*-5)))/-5)--5)+(-5*(((-56.05*(-56.05-(-5/-5)))*(-56.05-(-56.05/(-5*-56.05))))-(-5/-5)))))</f>
        <v>-886902.455625</v>
      </c>
      <c r="C4396" t="n" s="0">
        <v>-886902.4556249998</v>
      </c>
    </row>
    <row r="4397">
      <c r="A4397" t="n" s="0">
        <v>-56.04</v>
      </c>
      <c r="B4397" t="n" s="0">
        <f>(-5-((((-5*(-5/((-5/(((-5*(-56.04--5))-(-5+((-5*-56.04)*(((-5--5)+(-56.04--5))+-56.04))))-(-5+-5)))*-5)))/-5)--5)+(-5*(((-56.04*(-56.04-(-5/-5)))*(-56.04-(-56.04/(-5*-56.04))))-(-5/-5)))))</f>
        <v>-886429.02752</v>
      </c>
      <c r="C4397" t="n" s="0">
        <v>-886429.02752</v>
      </c>
    </row>
    <row r="4398">
      <c r="A4398" t="n" s="0">
        <v>-56.03</v>
      </c>
      <c r="B4398" t="n" s="0">
        <f>(-5-((((-5*(-5/((-5/(((-5*(-56.03--5))-(-5+((-5*-56.03)*(((-5--5)+(-56.03--5))+-56.03))))-(-5+-5)))*-5)))/-5)--5)+(-5*(((-56.03*(-56.03-(-5/-5)))*(-56.03-(-56.03/(-5*-56.03))))-(-5/-5)))))</f>
        <v>-885955.767935</v>
      </c>
      <c r="C4398" t="n" s="0">
        <v>-885955.7679350001</v>
      </c>
    </row>
    <row r="4399">
      <c r="A4399" t="n" s="0">
        <v>-56.02</v>
      </c>
      <c r="B4399" t="n" s="0">
        <f>(-5-((((-5*(-5/((-5/(((-5*(-56.02--5))-(-5+((-5*-56.02)*(((-5--5)+(-56.02--5))+-56.02))))-(-5+-5)))*-5)))/-5)--5)+(-5*(((-56.02*(-56.02-(-5/-5)))*(-56.02-(-56.02/(-5*-56.02))))-(-5/-5)))))</f>
        <v>-885482.67684</v>
      </c>
      <c r="C4399" t="n" s="0">
        <v>-885482.6768400002</v>
      </c>
    </row>
    <row r="4400">
      <c r="A4400" t="n" s="0">
        <v>-56.01</v>
      </c>
      <c r="B4400" t="n" s="0">
        <f>(-5-((((-5*(-5/((-5/(((-5*(-56.01--5))-(-5+((-5*-56.01)*(((-5--5)+(-56.01--5))+-56.01))))-(-5+-5)))*-5)))/-5)--5)+(-5*(((-56.01*(-56.01-(-5/-5)))*(-56.01-(-56.01/(-5*-56.01))))-(-5/-5)))))</f>
        <v>-885009.754205</v>
      </c>
      <c r="C4400" t="n" s="0">
        <v>-885009.7542049999</v>
      </c>
    </row>
    <row r="4401">
      <c r="A4401" t="n" s="0">
        <v>-56.0</v>
      </c>
      <c r="B4401" t="n" s="0">
        <f>(-5-((((-5*(-5/((-5/(((-5*(-56--5))-(-5+((-5*-56)*(((-5--5)+(-56--5))+-56))))-(-5+-5)))*-5)))/-5)--5)+(-5*(((-56*(-56-(-5/-5)))*(-56-(-56/(-5*-56))))-(-5/-5)))))</f>
        <v>-884537.0</v>
      </c>
      <c r="C4401" t="n" s="0">
        <v>-884537.0</v>
      </c>
    </row>
    <row r="4402">
      <c r="A4402" t="n" s="0">
        <v>-55.99</v>
      </c>
      <c r="B4402" t="n" s="0">
        <f>(-5-((((-5*(-5/((-5/(((-5*(-55.99--5))-(-5+((-5*-55.99)*(((-5--5)+(-55.99--5))+-55.99))))-(-5+-5)))*-5)))/-5)--5)+(-5*(((-55.99*(-55.99-(-5/-5)))*(-55.99-(-55.99/(-5*-55.99))))-(-5/-5)))))</f>
        <v>-884064.414195</v>
      </c>
      <c r="C4402" t="n" s="0">
        <v>-884064.4141950001</v>
      </c>
    </row>
    <row r="4403">
      <c r="A4403" t="n" s="0">
        <v>-55.98</v>
      </c>
      <c r="B4403" t="n" s="0">
        <f>(-5-((((-5*(-5/((-5/(((-5*(-55.98--5))-(-5+((-5*-55.98)*(((-5--5)+(-55.98--5))+-55.98))))-(-5+-5)))*-5)))/-5)--5)+(-5*(((-55.98*(-55.98-(-5/-5)))*(-55.98-(-55.98/(-5*-55.98))))-(-5/-5)))))</f>
        <v>-883591.99676</v>
      </c>
      <c r="C4403" t="n" s="0">
        <v>-883591.9967599999</v>
      </c>
    </row>
    <row r="4404">
      <c r="A4404" t="n" s="0">
        <v>-55.97</v>
      </c>
      <c r="B4404" t="n" s="0">
        <f>(-5-((((-5*(-5/((-5/(((-5*(-55.97--5))-(-5+((-5*-55.97)*(((-5--5)+(-55.97--5))+-55.97))))-(-5+-5)))*-5)))/-5)--5)+(-5*(((-55.97*(-55.97-(-5/-5)))*(-55.97-(-55.97/(-5*-55.97))))-(-5/-5)))))</f>
        <v>-883119.747665</v>
      </c>
      <c r="C4404" t="n" s="0">
        <v>-883119.747665</v>
      </c>
    </row>
    <row r="4405">
      <c r="A4405" t="n" s="0">
        <v>-55.96</v>
      </c>
      <c r="B4405" t="n" s="0">
        <f>(-5-((((-5*(-5/((-5/(((-5*(-55.96--5))-(-5+((-5*-55.96)*(((-5--5)+(-55.96--5))+-55.96))))-(-5+-5)))*-5)))/-5)--5)+(-5*(((-55.96*(-55.96-(-5/-5)))*(-55.96-(-55.96/(-5*-55.96))))-(-5/-5)))))</f>
        <v>-882647.66688</v>
      </c>
      <c r="C4405" t="n" s="0">
        <v>-882647.66688</v>
      </c>
    </row>
    <row r="4406">
      <c r="A4406" t="n" s="0">
        <v>-55.95</v>
      </c>
      <c r="B4406" t="n" s="0">
        <f>(-5-((((-5*(-5/((-5/(((-5*(-55.95--5))-(-5+((-5*-55.95)*(((-5--5)+(-55.95--5))+-55.95))))-(-5+-5)))*-5)))/-5)--5)+(-5*(((-55.95*(-55.95-(-5/-5)))*(-55.95-(-55.95/(-5*-55.95))))-(-5/-5)))))</f>
        <v>-882175.754375</v>
      </c>
      <c r="C4406" t="n" s="0">
        <v>-882175.7543750001</v>
      </c>
    </row>
    <row r="4407">
      <c r="A4407" t="n" s="0">
        <v>-55.94</v>
      </c>
      <c r="B4407" t="n" s="0">
        <f>(-5-((((-5*(-5/((-5/(((-5*(-55.94--5))-(-5+((-5*-55.94)*(((-5--5)+(-55.94--5))+-55.94))))-(-5+-5)))*-5)))/-5)--5)+(-5*(((-55.94*(-55.94-(-5/-5)))*(-55.94-(-55.94/(-5*-55.94))))-(-5/-5)))))</f>
        <v>-881704.01012</v>
      </c>
      <c r="C4407" t="n" s="0">
        <v>-881704.0101199999</v>
      </c>
    </row>
    <row r="4408">
      <c r="A4408" t="n" s="0">
        <v>-55.93</v>
      </c>
      <c r="B4408" t="n" s="0">
        <f>(-5-((((-5*(-5/((-5/(((-5*(-55.93--5))-(-5+((-5*-55.93)*(((-5--5)+(-55.93--5))+-55.93))))-(-5+-5)))*-5)))/-5)--5)+(-5*(((-55.93*(-55.93-(-5/-5)))*(-55.93-(-55.93/(-5*-55.93))))-(-5/-5)))))</f>
        <v>-881232.4340850001</v>
      </c>
      <c r="C4408" t="n" s="0">
        <v>-881232.434085</v>
      </c>
    </row>
    <row r="4409">
      <c r="A4409" t="n" s="0">
        <v>-55.92</v>
      </c>
      <c r="B4409" t="n" s="0">
        <f>(-5-((((-5*(-5/((-5/(((-5*(-55.92--5))-(-5+((-5*-55.92)*(((-5--5)+(-55.92--5))+-55.92))))-(-5+-5)))*-5)))/-5)--5)+(-5*(((-55.92*(-55.92-(-5/-5)))*(-55.92-(-55.92/(-5*-55.92))))-(-5/-5)))))</f>
        <v>-880761.0262399999</v>
      </c>
      <c r="C4409" t="n" s="0">
        <v>-880761.02624</v>
      </c>
    </row>
    <row r="4410">
      <c r="A4410" t="n" s="0">
        <v>-55.91</v>
      </c>
      <c r="B4410" t="n" s="0">
        <f>(-5-((((-5*(-5/((-5/(((-5*(-55.91--5))-(-5+((-5*-55.91)*(((-5--5)+(-55.91--5))+-55.91))))-(-5+-5)))*-5)))/-5)--5)+(-5*(((-55.91*(-55.91-(-5/-5)))*(-55.91-(-55.91/(-5*-55.91))))-(-5/-5)))))</f>
        <v>-880289.786555</v>
      </c>
      <c r="C4410" t="n" s="0">
        <v>-880289.7865549999</v>
      </c>
    </row>
    <row r="4411">
      <c r="A4411" t="n" s="0">
        <v>-55.9</v>
      </c>
      <c r="B4411" t="n" s="0">
        <f>(-5-((((-5*(-5/((-5/(((-5*(-55.9--5))-(-5+((-5*-55.9)*(((-5--5)+(-55.9--5))+-55.9))))-(-5+-5)))*-5)))/-5)--5)+(-5*(((-55.9*(-55.9-(-5/-5)))*(-55.9-(-55.9/(-5*-55.9))))-(-5/-5)))))</f>
        <v>-879818.715</v>
      </c>
      <c r="C4411" t="n" s="0">
        <v>-879818.7149999999</v>
      </c>
    </row>
    <row r="4412">
      <c r="A4412" t="n" s="0">
        <v>-55.89</v>
      </c>
      <c r="B4412" t="n" s="0">
        <f>(-5-((((-5*(-5/((-5/(((-5*(-55.89--5))-(-5+((-5*-55.89)*(((-5--5)+(-55.89--5))+-55.89))))-(-5+-5)))*-5)))/-5)--5)+(-5*(((-55.89*(-55.89-(-5/-5)))*(-55.89-(-55.89/(-5*-55.89))))-(-5/-5)))))</f>
        <v>-879347.811545</v>
      </c>
      <c r="C4412" t="n" s="0">
        <v>-879347.8115450001</v>
      </c>
    </row>
    <row r="4413">
      <c r="A4413" t="n" s="0">
        <v>-55.88</v>
      </c>
      <c r="B4413" t="n" s="0">
        <f>(-5-((((-5*(-5/((-5/(((-5*(-55.88--5))-(-5+((-5*-55.88)*(((-5--5)+(-55.88--5))+-55.88))))-(-5+-5)))*-5)))/-5)--5)+(-5*(((-55.88*(-55.88-(-5/-5)))*(-55.88-(-55.88/(-5*-55.88))))-(-5/-5)))))</f>
        <v>-878877.0761599999</v>
      </c>
      <c r="C4413" t="n" s="0">
        <v>-878877.0761600002</v>
      </c>
    </row>
    <row r="4414">
      <c r="A4414" t="n" s="0">
        <v>-55.87</v>
      </c>
      <c r="B4414" t="n" s="0">
        <f>(-5-((((-5*(-5/((-5/(((-5*(-55.87--5))-(-5+((-5*-55.87)*(((-5--5)+(-55.87--5))+-55.87))))-(-5+-5)))*-5)))/-5)--5)+(-5*(((-55.87*(-55.87-(-5/-5)))*(-55.87-(-55.87/(-5*-55.87))))-(-5/-5)))))</f>
        <v>-878406.508815</v>
      </c>
      <c r="C4414" t="n" s="0">
        <v>-878406.508815</v>
      </c>
    </row>
    <row r="4415">
      <c r="A4415" t="n" s="0">
        <v>-55.86</v>
      </c>
      <c r="B4415" t="n" s="0">
        <f>(-5-((((-5*(-5/((-5/(((-5*(-55.86--5))-(-5+((-5*-55.86)*(((-5--5)+(-55.86--5))+-55.86))))-(-5+-5)))*-5)))/-5)--5)+(-5*(((-55.86*(-55.86-(-5/-5)))*(-55.86-(-55.86/(-5*-55.86))))-(-5/-5)))))</f>
        <v>-877936.10948</v>
      </c>
      <c r="C4415" t="n" s="0">
        <v>-877936.10948</v>
      </c>
    </row>
    <row r="4416">
      <c r="A4416" t="n" s="0">
        <v>-55.85</v>
      </c>
      <c r="B4416" t="n" s="0">
        <f>(-5-((((-5*(-5/((-5/(((-5*(-55.85--5))-(-5+((-5*-55.85)*(((-5--5)+(-55.85--5))+-55.85))))-(-5+-5)))*-5)))/-5)--5)+(-5*(((-55.85*(-55.85-(-5/-5)))*(-55.85-(-55.85/(-5*-55.85))))-(-5/-5)))))</f>
        <v>-877465.8781249999</v>
      </c>
      <c r="C4416" t="n" s="0">
        <v>-877465.878125</v>
      </c>
    </row>
    <row r="4417">
      <c r="A4417" t="n" s="0">
        <v>-55.84</v>
      </c>
      <c r="B4417" t="n" s="0">
        <f>(-5-((((-5*(-5/((-5/(((-5*(-55.84--5))-(-5+((-5*-55.84)*(((-5--5)+(-55.84--5))+-55.84))))-(-5+-5)))*-5)))/-5)--5)+(-5*(((-55.84*(-55.84-(-5/-5)))*(-55.84-(-55.84/(-5*-55.84))))-(-5/-5)))))</f>
        <v>-876995.81472</v>
      </c>
      <c r="C4417" t="n" s="0">
        <v>-876995.8147200003</v>
      </c>
    </row>
    <row r="4418">
      <c r="A4418" t="n" s="0">
        <v>-55.83</v>
      </c>
      <c r="B4418" t="n" s="0">
        <f>(-5-((((-5*(-5/((-5/(((-5*(-55.83--5))-(-5+((-5*-55.83)*(((-5--5)+(-55.83--5))+-55.83))))-(-5+-5)))*-5)))/-5)--5)+(-5*(((-55.83*(-55.83-(-5/-5)))*(-55.83-(-55.83/(-5*-55.83))))-(-5/-5)))))</f>
        <v>-876525.9192349999</v>
      </c>
      <c r="C4418" t="n" s="0">
        <v>-876525.9192349999</v>
      </c>
    </row>
    <row r="4419">
      <c r="A4419" t="n" s="0">
        <v>-55.82</v>
      </c>
      <c r="B4419" t="n" s="0">
        <f>(-5-((((-5*(-5/((-5/(((-5*(-55.82--5))-(-5+((-5*-55.82)*(((-5--5)+(-55.82--5))+-55.82))))-(-5+-5)))*-5)))/-5)--5)+(-5*(((-55.82*(-55.82-(-5/-5)))*(-55.82-(-55.82/(-5*-55.82))))-(-5/-5)))))</f>
        <v>-876056.1916400001</v>
      </c>
      <c r="C4419" t="n" s="0">
        <v>-876056.19164</v>
      </c>
    </row>
    <row r="4420">
      <c r="A4420" t="n" s="0">
        <v>-55.81</v>
      </c>
      <c r="B4420" t="n" s="0">
        <f>(-5-((((-5*(-5/((-5/(((-5*(-55.81--5))-(-5+((-5*-55.81)*(((-5--5)+(-55.81--5))+-55.81))))-(-5+-5)))*-5)))/-5)--5)+(-5*(((-55.81*(-55.81-(-5/-5)))*(-55.81-(-55.81/(-5*-55.81))))-(-5/-5)))))</f>
        <v>-875586.631905</v>
      </c>
      <c r="C4420" t="n" s="0">
        <v>-875586.6319050001</v>
      </c>
    </row>
    <row r="4421">
      <c r="A4421" t="n" s="0">
        <v>-55.8</v>
      </c>
      <c r="B4421" t="n" s="0">
        <f>(-5-((((-5*(-5/((-5/(((-5*(-55.8--5))-(-5+((-5*-55.8)*(((-5--5)+(-55.8--5))+-55.8))))-(-5+-5)))*-5)))/-5)--5)+(-5*(((-55.8*(-55.8-(-5/-5)))*(-55.8-(-55.8/(-5*-55.8))))-(-5/-5)))))</f>
        <v>-875117.24</v>
      </c>
      <c r="C4421" t="n" s="0">
        <v>-875117.2399999999</v>
      </c>
    </row>
    <row r="4422">
      <c r="A4422" t="n" s="0">
        <v>-55.79</v>
      </c>
      <c r="B4422" t="n" s="0">
        <f>(-5-((((-5*(-5/((-5/(((-5*(-55.79--5))-(-5+((-5*-55.79)*(((-5--5)+(-55.79--5))+-55.79))))-(-5+-5)))*-5)))/-5)--5)+(-5*(((-55.79*(-55.79-(-5/-5)))*(-55.79-(-55.79/(-5*-55.79))))-(-5/-5)))))</f>
        <v>-874648.015895</v>
      </c>
      <c r="C4422" t="n" s="0">
        <v>-874648.0158949998</v>
      </c>
    </row>
    <row r="4423">
      <c r="A4423" t="n" s="0">
        <v>-55.78</v>
      </c>
      <c r="B4423" t="n" s="0">
        <f>(-5-((((-5*(-5/((-5/(((-5*(-55.78--5))-(-5+((-5*-55.78)*(((-5--5)+(-55.78--5))+-55.78))))-(-5+-5)))*-5)))/-5)--5)+(-5*(((-55.78*(-55.78-(-5/-5)))*(-55.78-(-55.78/(-5*-55.78))))-(-5/-5)))))</f>
        <v>-874178.95956</v>
      </c>
      <c r="C4423" t="n" s="0">
        <v>-874178.95956</v>
      </c>
    </row>
    <row r="4424">
      <c r="A4424" t="n" s="0">
        <v>-55.77</v>
      </c>
      <c r="B4424" t="n" s="0">
        <f>(-5-((((-5*(-5/((-5/(((-5*(-55.77--5))-(-5+((-5*-55.77)*(((-5--5)+(-55.77--5))+-55.77))))-(-5+-5)))*-5)))/-5)--5)+(-5*(((-55.77*(-55.77-(-5/-5)))*(-55.77-(-55.77/(-5*-55.77))))-(-5/-5)))))</f>
        <v>-873710.070965</v>
      </c>
      <c r="C4424" t="n" s="0">
        <v>-873710.0709650002</v>
      </c>
    </row>
    <row r="4425">
      <c r="A4425" t="n" s="0">
        <v>-55.76</v>
      </c>
      <c r="B4425" t="n" s="0">
        <f>(-5-((((-5*(-5/((-5/(((-5*(-55.76--5))-(-5+((-5*-55.76)*(((-5--5)+(-55.76--5))+-55.76))))-(-5+-5)))*-5)))/-5)--5)+(-5*(((-55.76*(-55.76-(-5/-5)))*(-55.76-(-55.76/(-5*-55.76))))-(-5/-5)))))</f>
        <v>-873241.35008</v>
      </c>
      <c r="C4425" t="n" s="0">
        <v>-873241.3500799999</v>
      </c>
    </row>
    <row r="4426">
      <c r="A4426" t="n" s="0">
        <v>-55.75</v>
      </c>
      <c r="B4426" t="n" s="0">
        <f>(-5-((((-5*(-5/((-5/(((-5*(-55.75--5))-(-5+((-5*-55.75)*(((-5--5)+(-55.75--5))+-55.75))))-(-5+-5)))*-5)))/-5)--5)+(-5*(((-55.75*(-55.75-(-5/-5)))*(-55.75-(-55.75/(-5*-55.75))))-(-5/-5)))))</f>
        <v>-872772.796875</v>
      </c>
      <c r="C4426" t="n" s="0">
        <v>-872772.796875</v>
      </c>
    </row>
    <row r="4427">
      <c r="A4427" t="n" s="0">
        <v>-55.74</v>
      </c>
      <c r="B4427" t="n" s="0">
        <f>(-5-((((-5*(-5/((-5/(((-5*(-55.74--5))-(-5+((-5*-55.74)*(((-5--5)+(-55.74--5))+-55.74))))-(-5+-5)))*-5)))/-5)--5)+(-5*(((-55.74*(-55.74-(-5/-5)))*(-55.74-(-55.74/(-5*-55.74))))-(-5/-5)))))</f>
        <v>-872304.4113200001</v>
      </c>
      <c r="C4427" t="n" s="0">
        <v>-872304.4113200001</v>
      </c>
    </row>
    <row r="4428">
      <c r="A4428" t="n" s="0">
        <v>-55.73</v>
      </c>
      <c r="B4428" t="n" s="0">
        <f>(-5-((((-5*(-5/((-5/(((-5*(-55.73--5))-(-5+((-5*-55.73)*(((-5--5)+(-55.73--5))+-55.73))))-(-5+-5)))*-5)))/-5)--5)+(-5*(((-55.73*(-55.73-(-5/-5)))*(-55.73-(-55.73/(-5*-55.73))))-(-5/-5)))))</f>
        <v>-871836.193385</v>
      </c>
      <c r="C4428" t="n" s="0">
        <v>-871836.1933849998</v>
      </c>
    </row>
    <row r="4429">
      <c r="A4429" t="n" s="0">
        <v>-55.72</v>
      </c>
      <c r="B4429" t="n" s="0">
        <f>(-5-((((-5*(-5/((-5/(((-5*(-55.72--5))-(-5+((-5*-55.72)*(((-5--5)+(-55.72--5))+-55.72))))-(-5+-5)))*-5)))/-5)--5)+(-5*(((-55.72*(-55.72-(-5/-5)))*(-55.72-(-55.72/(-5*-55.72))))-(-5/-5)))))</f>
        <v>-871368.14304</v>
      </c>
      <c r="C4429" t="n" s="0">
        <v>-871368.14304</v>
      </c>
    </row>
    <row r="4430">
      <c r="A4430" t="n" s="0">
        <v>-55.71</v>
      </c>
      <c r="B4430" t="n" s="0">
        <f>(-5-((((-5*(-5/((-5/(((-5*(-55.71--5))-(-5+((-5*-55.71)*(((-5--5)+(-55.71--5))+-55.71))))-(-5+-5)))*-5)))/-5)--5)+(-5*(((-55.71*(-55.71-(-5/-5)))*(-55.71-(-55.71/(-5*-55.71))))-(-5/-5)))))</f>
        <v>-870900.260255</v>
      </c>
      <c r="C4430" t="n" s="0">
        <v>-870900.260255</v>
      </c>
    </row>
    <row r="4431">
      <c r="A4431" t="n" s="0">
        <v>-55.7</v>
      </c>
      <c r="B4431" t="n" s="0">
        <f>(-5-((((-5*(-5/((-5/(((-5*(-55.7--5))-(-5+((-5*-55.7)*(((-5--5)+(-55.7--5))+-55.7))))-(-5+-5)))*-5)))/-5)--5)+(-5*(((-55.7*(-55.7-(-5/-5)))*(-55.7-(-55.7/(-5*-55.7))))-(-5/-5)))))</f>
        <v>-870432.5449999999</v>
      </c>
      <c r="C4431" t="n" s="0">
        <v>-870432.545</v>
      </c>
    </row>
    <row r="4432">
      <c r="A4432" t="n" s="0">
        <v>-55.69</v>
      </c>
      <c r="B4432" t="n" s="0">
        <f>(-5-((((-5*(-5/((-5/(((-5*(-55.69--5))-(-5+((-5*-55.69)*(((-5--5)+(-55.69--5))+-55.69))))-(-5+-5)))*-5)))/-5)--5)+(-5*(((-55.69*(-55.69-(-5/-5)))*(-55.69-(-55.69/(-5*-55.69))))-(-5/-5)))))</f>
        <v>-869964.997245</v>
      </c>
      <c r="C4432" t="n" s="0">
        <v>-869964.9972449999</v>
      </c>
    </row>
    <row r="4433">
      <c r="A4433" t="n" s="0">
        <v>-55.68</v>
      </c>
      <c r="B4433" t="n" s="0">
        <f>(-5-((((-5*(-5/((-5/(((-5*(-55.68--5))-(-5+((-5*-55.68)*(((-5--5)+(-55.68--5))+-55.68))))-(-5+-5)))*-5)))/-5)--5)+(-5*(((-55.68*(-55.68-(-5/-5)))*(-55.68-(-55.68/(-5*-55.68))))-(-5/-5)))))</f>
        <v>-869497.61696</v>
      </c>
      <c r="C4433" t="n" s="0">
        <v>-869497.61696</v>
      </c>
    </row>
    <row r="4434">
      <c r="A4434" t="n" s="0">
        <v>-55.67</v>
      </c>
      <c r="B4434" t="n" s="0">
        <f>(-5-((((-5*(-5/((-5/(((-5*(-55.67--5))-(-5+((-5*-55.67)*(((-5--5)+(-55.67--5))+-55.67))))-(-5+-5)))*-5)))/-5)--5)+(-5*(((-55.67*(-55.67-(-5/-5)))*(-55.67-(-55.67/(-5*-55.67))))-(-5/-5)))))</f>
        <v>-869030.404115</v>
      </c>
      <c r="C4434" t="n" s="0">
        <v>-869030.4041150003</v>
      </c>
    </row>
    <row r="4435">
      <c r="A4435" t="n" s="0">
        <v>-55.66</v>
      </c>
      <c r="B4435" t="n" s="0">
        <f>(-5-((((-5*(-5/((-5/(((-5*(-55.66--5))-(-5+((-5*-55.66)*(((-5--5)+(-55.66--5))+-55.66))))-(-5+-5)))*-5)))/-5)--5)+(-5*(((-55.66*(-55.66-(-5/-5)))*(-55.66-(-55.66/(-5*-55.66))))-(-5/-5)))))</f>
        <v>-868563.3586800001</v>
      </c>
      <c r="C4435" t="n" s="0">
        <v>-868563.3586799997</v>
      </c>
    </row>
    <row r="4436">
      <c r="A4436" t="n" s="0">
        <v>-55.65</v>
      </c>
      <c r="B4436" t="n" s="0">
        <f>(-5-((((-5*(-5/((-5/(((-5*(-55.65--5))-(-5+((-5*-55.65)*(((-5--5)+(-55.65--5))+-55.65))))-(-5+-5)))*-5)))/-5)--5)+(-5*(((-55.65*(-55.65-(-5/-5)))*(-55.65-(-55.65/(-5*-55.65))))-(-5/-5)))))</f>
        <v>-868096.480625</v>
      </c>
      <c r="C4436" t="n" s="0">
        <v>-868096.4806249999</v>
      </c>
    </row>
    <row r="4437">
      <c r="A4437" t="n" s="0">
        <v>-55.64</v>
      </c>
      <c r="B4437" t="n" s="0">
        <f>(-5-((((-5*(-5/((-5/(((-5*(-55.64--5))-(-5+((-5*-55.64)*(((-5--5)+(-55.64--5))+-55.64))))-(-5+-5)))*-5)))/-5)--5)+(-5*(((-55.64*(-55.64-(-5/-5)))*(-55.64-(-55.64/(-5*-55.64))))-(-5/-5)))))</f>
        <v>-867629.76992</v>
      </c>
      <c r="C4437" t="n" s="0">
        <v>-867629.7699200001</v>
      </c>
    </row>
    <row r="4438">
      <c r="A4438" t="n" s="0">
        <v>-55.63</v>
      </c>
      <c r="B4438" t="n" s="0">
        <f>(-5-((((-5*(-5/((-5/(((-5*(-55.63--5))-(-5+((-5*-55.63)*(((-5--5)+(-55.63--5))+-55.63))))-(-5+-5)))*-5)))/-5)--5)+(-5*(((-55.63*(-55.63-(-5/-5)))*(-55.63-(-55.63/(-5*-55.63))))-(-5/-5)))))</f>
        <v>-867163.226535</v>
      </c>
      <c r="C4438" t="n" s="0">
        <v>-867163.226535</v>
      </c>
    </row>
    <row r="4439">
      <c r="A4439" t="n" s="0">
        <v>-55.62</v>
      </c>
      <c r="B4439" t="n" s="0">
        <f>(-5-((((-5*(-5/((-5/(((-5*(-55.62--5))-(-5+((-5*-55.62)*(((-5--5)+(-55.62--5))+-55.62))))-(-5+-5)))*-5)))/-5)--5)+(-5*(((-55.62*(-55.62-(-5/-5)))*(-55.62-(-55.62/(-5*-55.62))))-(-5/-5)))))</f>
        <v>-866696.85044</v>
      </c>
      <c r="C4439" t="n" s="0">
        <v>-866696.85044</v>
      </c>
    </row>
    <row r="4440">
      <c r="A4440" t="n" s="0">
        <v>-55.61</v>
      </c>
      <c r="B4440" t="n" s="0">
        <f>(-5-((((-5*(-5/((-5/(((-5*(-55.61--5))-(-5+((-5*-55.61)*(((-5--5)+(-55.61--5))+-55.61))))-(-5+-5)))*-5)))/-5)--5)+(-5*(((-55.61*(-55.61-(-5/-5)))*(-55.61-(-55.61/(-5*-55.61))))-(-5/-5)))))</f>
        <v>-866230.641605</v>
      </c>
      <c r="C4440" t="n" s="0">
        <v>-866230.6416049999</v>
      </c>
    </row>
    <row r="4441">
      <c r="A4441" t="n" s="0">
        <v>-55.6</v>
      </c>
      <c r="B4441" t="n" s="0">
        <f>(-5-((((-5*(-5/((-5/(((-5*(-55.6--5))-(-5+((-5*-55.6)*(((-5--5)+(-55.6--5))+-55.6))))-(-5+-5)))*-5)))/-5)--5)+(-5*(((-55.6*(-55.6-(-5/-5)))*(-55.6-(-55.6/(-5*-55.6))))-(-5/-5)))))</f>
        <v>-865764.6000000001</v>
      </c>
      <c r="C4441" t="n" s="0">
        <v>-865764.6000000001</v>
      </c>
    </row>
    <row r="4442">
      <c r="A4442" t="n" s="0">
        <v>-55.59</v>
      </c>
      <c r="B4442" t="n" s="0">
        <f>(-5-((((-5*(-5/((-5/(((-5*(-55.59--5))-(-5+((-5*-55.59)*(((-5--5)+(-55.59--5))+-55.59))))-(-5+-5)))*-5)))/-5)--5)+(-5*(((-55.59*(-55.59-(-5/-5)))*(-55.59-(-55.59/(-5*-55.59))))-(-5/-5)))))</f>
        <v>-865298.7255950001</v>
      </c>
      <c r="C4442" t="n" s="0">
        <v>-865298.7255950002</v>
      </c>
    </row>
    <row r="4443">
      <c r="A4443" t="n" s="0">
        <v>-55.58</v>
      </c>
      <c r="B4443" t="n" s="0">
        <f>(-5-((((-5*(-5/((-5/(((-5*(-55.58--5))-(-5+((-5*-55.58)*(((-5--5)+(-55.58--5))+-55.58))))-(-5+-5)))*-5)))/-5)--5)+(-5*(((-55.58*(-55.58-(-5/-5)))*(-55.58-(-55.58/(-5*-55.58))))-(-5/-5)))))</f>
        <v>-864833.01836</v>
      </c>
      <c r="C4443" t="n" s="0">
        <v>-864833.01836</v>
      </c>
    </row>
    <row r="4444">
      <c r="A4444" t="n" s="0">
        <v>-55.57</v>
      </c>
      <c r="B4444" t="n" s="0">
        <f>(-5-((((-5*(-5/((-5/(((-5*(-55.57--5))-(-5+((-5*-55.57)*(((-5--5)+(-55.57--5))+-55.57))))-(-5+-5)))*-5)))/-5)--5)+(-5*(((-55.57*(-55.57-(-5/-5)))*(-55.57-(-55.57/(-5*-55.57))))-(-5/-5)))))</f>
        <v>-864367.478265</v>
      </c>
      <c r="C4444" t="n" s="0">
        <v>-864367.478265</v>
      </c>
    </row>
    <row r="4445">
      <c r="A4445" t="n" s="0">
        <v>-55.56</v>
      </c>
      <c r="B4445" t="n" s="0">
        <f>(-5-((((-5*(-5/((-5/(((-5*(-55.56--5))-(-5+((-5*-55.56)*(((-5--5)+(-55.56--5))+-55.56))))-(-5+-5)))*-5)))/-5)--5)+(-5*(((-55.56*(-55.56-(-5/-5)))*(-55.56-(-55.56/(-5*-55.56))))-(-5/-5)))))</f>
        <v>-863902.10528</v>
      </c>
      <c r="C4445" t="n" s="0">
        <v>-863902.1052800003</v>
      </c>
    </row>
    <row r="4446">
      <c r="A4446" t="n" s="0">
        <v>-55.55</v>
      </c>
      <c r="B4446" t="n" s="0">
        <f>(-5-((((-5*(-5/((-5/(((-5*(-55.55--5))-(-5+((-5*-55.55)*(((-5--5)+(-55.55--5))+-55.55))))-(-5+-5)))*-5)))/-5)--5)+(-5*(((-55.55*(-55.55-(-5/-5)))*(-55.55-(-55.55/(-5*-55.55))))-(-5/-5)))))</f>
        <v>-863436.8993749999</v>
      </c>
      <c r="C4446" t="n" s="0">
        <v>-863436.8993749999</v>
      </c>
    </row>
    <row r="4447">
      <c r="A4447" t="n" s="0">
        <v>-55.54</v>
      </c>
      <c r="B4447" t="n" s="0">
        <f>(-5-((((-5*(-5/((-5/(((-5*(-55.54--5))-(-5+((-5*-55.54)*(((-5--5)+(-55.54--5))+-55.54))))-(-5+-5)))*-5)))/-5)--5)+(-5*(((-55.54*(-55.54-(-5/-5)))*(-55.54-(-55.54/(-5*-55.54))))-(-5/-5)))))</f>
        <v>-862971.86052</v>
      </c>
      <c r="C4447" t="n" s="0">
        <v>-862971.86052</v>
      </c>
    </row>
    <row r="4448">
      <c r="A4448" t="n" s="0">
        <v>-55.53</v>
      </c>
      <c r="B4448" t="n" s="0">
        <f>(-5-((((-5*(-5/((-5/(((-5*(-55.53--5))-(-5+((-5*-55.53)*(((-5--5)+(-55.53--5))+-55.53))))-(-5+-5)))*-5)))/-5)--5)+(-5*(((-55.53*(-55.53-(-5/-5)))*(-55.53-(-55.53/(-5*-55.53))))-(-5/-5)))))</f>
        <v>-862506.988685</v>
      </c>
      <c r="C4448" t="n" s="0">
        <v>-862506.9886850001</v>
      </c>
    </row>
    <row r="4449">
      <c r="A4449" t="n" s="0">
        <v>-55.52</v>
      </c>
      <c r="B4449" t="n" s="0">
        <f>(-5-((((-5*(-5/((-5/(((-5*(-55.52--5))-(-5+((-5*-55.52)*(((-5--5)+(-55.52--5))+-55.52))))-(-5+-5)))*-5)))/-5)--5)+(-5*(((-55.52*(-55.52-(-5/-5)))*(-55.52-(-55.52/(-5*-55.52))))-(-5/-5)))))</f>
        <v>-862042.2838399999</v>
      </c>
      <c r="C4449" t="n" s="0">
        <v>-862042.2838400002</v>
      </c>
    </row>
    <row r="4450">
      <c r="A4450" t="n" s="0">
        <v>-55.51</v>
      </c>
      <c r="B4450" t="n" s="0">
        <f>(-5-((((-5*(-5/((-5/(((-5*(-55.51--5))-(-5+((-5*-55.51)*(((-5--5)+(-55.51--5))+-55.51))))-(-5+-5)))*-5)))/-5)--5)+(-5*(((-55.51*(-55.51-(-5/-5)))*(-55.51-(-55.51/(-5*-55.51))))-(-5/-5)))))</f>
        <v>-861577.745955</v>
      </c>
      <c r="C4450" t="n" s="0">
        <v>-861577.7459549999</v>
      </c>
    </row>
    <row r="4451">
      <c r="A4451" t="n" s="0">
        <v>-55.5</v>
      </c>
      <c r="B4451" t="n" s="0">
        <f>(-5-((((-5*(-5/((-5/(((-5*(-55.5--5))-(-5+((-5*-55.5)*(((-5--5)+(-55.5--5))+-55.5))))-(-5+-5)))*-5)))/-5)--5)+(-5*(((-55.5*(-55.5-(-5/-5)))*(-55.5-(-55.5/(-5*-55.5))))-(-5/-5)))))</f>
        <v>-861113.375</v>
      </c>
      <c r="C4451" t="n" s="0">
        <v>-861113.375</v>
      </c>
    </row>
    <row r="4452">
      <c r="A4452" t="n" s="0">
        <v>-55.49</v>
      </c>
      <c r="B4452" t="n" s="0">
        <f>(-5-((((-5*(-5/((-5/(((-5*(-55.49--5))-(-5+((-5*-55.49)*(((-5--5)+(-55.49--5))+-55.49))))-(-5+-5)))*-5)))/-5)--5)+(-5*(((-55.49*(-55.49-(-5/-5)))*(-55.49-(-55.49/(-5*-55.49))))-(-5/-5)))))</f>
        <v>-860649.170945</v>
      </c>
      <c r="C4452" t="n" s="0">
        <v>-860649.1709450001</v>
      </c>
    </row>
    <row r="4453">
      <c r="A4453" t="n" s="0">
        <v>-55.48</v>
      </c>
      <c r="B4453" t="n" s="0">
        <f>(-5-((((-5*(-5/((-5/(((-5*(-55.48--5))-(-5+((-5*-55.48)*(((-5--5)+(-55.48--5))+-55.48))))-(-5+-5)))*-5)))/-5)--5)+(-5*(((-55.48*(-55.48-(-5/-5)))*(-55.48-(-55.48/(-5*-55.48))))-(-5/-5)))))</f>
        <v>-860185.13376</v>
      </c>
      <c r="C4453" t="n" s="0">
        <v>-860185.1337599998</v>
      </c>
    </row>
    <row r="4454">
      <c r="A4454" t="n" s="0">
        <v>-55.47</v>
      </c>
      <c r="B4454" t="n" s="0">
        <f>(-5-((((-5*(-5/((-5/(((-5*(-55.47--5))-(-5+((-5*-55.47)*(((-5--5)+(-55.47--5))+-55.47))))-(-5+-5)))*-5)))/-5)--5)+(-5*(((-55.47*(-55.47-(-5/-5)))*(-55.47-(-55.47/(-5*-55.47))))-(-5/-5)))))</f>
        <v>-859721.2634149999</v>
      </c>
      <c r="C4454" t="n" s="0">
        <v>-859721.263415</v>
      </c>
    </row>
    <row r="4455">
      <c r="A4455" t="n" s="0">
        <v>-55.46</v>
      </c>
      <c r="B4455" t="n" s="0">
        <f>(-5-((((-5*(-5/((-5/(((-5*(-55.46--5))-(-5+((-5*-55.46)*(((-5--5)+(-55.46--5))+-55.46))))-(-5+-5)))*-5)))/-5)--5)+(-5*(((-55.46*(-55.46-(-5/-5)))*(-55.46-(-55.46/(-5*-55.46))))-(-5/-5)))))</f>
        <v>-859257.5598800001</v>
      </c>
      <c r="C4455" t="n" s="0">
        <v>-859257.55988</v>
      </c>
    </row>
    <row r="4456">
      <c r="A4456" t="n" s="0">
        <v>-55.45</v>
      </c>
      <c r="B4456" t="n" s="0">
        <f>(-5-((((-5*(-5/((-5/(((-5*(-55.45--5))-(-5+((-5*-55.45)*(((-5--5)+(-55.45--5))+-55.45))))-(-5+-5)))*-5)))/-5)--5)+(-5*(((-55.45*(-55.45-(-5/-5)))*(-55.45-(-55.45/(-5*-55.45))))-(-5/-5)))))</f>
        <v>-858794.0231250001</v>
      </c>
      <c r="C4456" t="n" s="0">
        <v>-858794.0231250001</v>
      </c>
    </row>
    <row r="4457">
      <c r="A4457" t="n" s="0">
        <v>-55.44</v>
      </c>
      <c r="B4457" t="n" s="0">
        <f>(-5-((((-5*(-5/((-5/(((-5*(-55.44--5))-(-5+((-5*-55.44)*(((-5--5)+(-55.44--5))+-55.44))))-(-5+-5)))*-5)))/-5)--5)+(-5*(((-55.44*(-55.44-(-5/-5)))*(-55.44-(-55.44/(-5*-55.44))))-(-5/-5)))))</f>
        <v>-858330.6531199999</v>
      </c>
      <c r="C4457" t="n" s="0">
        <v>-858330.6531199999</v>
      </c>
    </row>
    <row r="4458">
      <c r="A4458" t="n" s="0">
        <v>-55.43</v>
      </c>
      <c r="B4458" t="n" s="0">
        <f>(-5-((((-5*(-5/((-5/(((-5*(-55.43--5))-(-5+((-5*-55.43)*(((-5--5)+(-55.43--5))+-55.43))))-(-5+-5)))*-5)))/-5)--5)+(-5*(((-55.43*(-55.43-(-5/-5)))*(-55.43-(-55.43/(-5*-55.43))))-(-5/-5)))))</f>
        <v>-857867.449835</v>
      </c>
      <c r="C4458" t="n" s="0">
        <v>-857867.449835</v>
      </c>
    </row>
    <row r="4459">
      <c r="A4459" t="n" s="0">
        <v>-55.42</v>
      </c>
      <c r="B4459" t="n" s="0">
        <f>(-5-((((-5*(-5/((-5/(((-5*(-55.42--5))-(-5+((-5*-55.42)*(((-5--5)+(-55.42--5))+-55.42))))-(-5+-5)))*-5)))/-5)--5)+(-5*(((-55.42*(-55.42-(-5/-5)))*(-55.42-(-55.42/(-5*-55.42))))-(-5/-5)))))</f>
        <v>-857404.41324</v>
      </c>
      <c r="C4459" t="n" s="0">
        <v>-857404.4132400001</v>
      </c>
    </row>
    <row r="4460">
      <c r="A4460" t="n" s="0">
        <v>-55.41</v>
      </c>
      <c r="B4460" t="n" s="0">
        <f>(-5-((((-5*(-5/((-5/(((-5*(-55.41--5))-(-5+((-5*-55.41)*(((-5--5)+(-55.41--5))+-55.41))))-(-5+-5)))*-5)))/-5)--5)+(-5*(((-55.41*(-55.41-(-5/-5)))*(-55.41-(-55.41/(-5*-55.41))))-(-5/-5)))))</f>
        <v>-856941.5433049999</v>
      </c>
      <c r="C4460" t="n" s="0">
        <v>-856941.5433049998</v>
      </c>
    </row>
    <row r="4461">
      <c r="A4461" t="n" s="0">
        <v>-55.4</v>
      </c>
      <c r="B4461" t="n" s="0">
        <f>(-5-((((-5*(-5/((-5/(((-5*(-55.4--5))-(-5+((-5*-55.4)*(((-5--5)+(-55.4--5))+-55.4))))-(-5+-5)))*-5)))/-5)--5)+(-5*(((-55.4*(-55.4-(-5/-5)))*(-55.4-(-55.4/(-5*-55.4))))-(-5/-5)))))</f>
        <v>-856478.8400000001</v>
      </c>
      <c r="C4461" t="n" s="0">
        <v>-856478.8399999997</v>
      </c>
    </row>
    <row r="4462">
      <c r="A4462" t="n" s="0">
        <v>-55.39</v>
      </c>
      <c r="B4462" t="n" s="0">
        <f>(-5-((((-5*(-5/((-5/(((-5*(-55.39--5))-(-5+((-5*-55.39)*(((-5--5)+(-55.39--5))+-55.39))))-(-5+-5)))*-5)))/-5)--5)+(-5*(((-55.39*(-55.39-(-5/-5)))*(-55.39-(-55.39/(-5*-55.39))))-(-5/-5)))))</f>
        <v>-856016.303295</v>
      </c>
      <c r="C4462" t="n" s="0">
        <v>-856016.303295</v>
      </c>
    </row>
    <row r="4463">
      <c r="A4463" t="n" s="0">
        <v>-55.38</v>
      </c>
      <c r="B4463" t="n" s="0">
        <f>(-5-((((-5*(-5/((-5/(((-5*(-55.38--5))-(-5+((-5*-55.38)*(((-5--5)+(-55.38--5))+-55.38))))-(-5+-5)))*-5)))/-5)--5)+(-5*(((-55.38*(-55.38-(-5/-5)))*(-55.38-(-55.38/(-5*-55.38))))-(-5/-5)))))</f>
        <v>-855553.9331599999</v>
      </c>
      <c r="C4463" t="n" s="0">
        <v>-855553.9331600001</v>
      </c>
    </row>
    <row r="4464">
      <c r="A4464" t="n" s="0">
        <v>-55.37</v>
      </c>
      <c r="B4464" t="n" s="0">
        <f>(-5-((((-5*(-5/((-5/(((-5*(-55.37--5))-(-5+((-5*-55.37)*(((-5--5)+(-55.37--5))+-55.37))))-(-5+-5)))*-5)))/-5)--5)+(-5*(((-55.37*(-55.37-(-5/-5)))*(-55.37-(-55.37/(-5*-55.37))))-(-5/-5)))))</f>
        <v>-855091.729565</v>
      </c>
      <c r="C4464" t="n" s="0">
        <v>-855091.7295649998</v>
      </c>
    </row>
    <row r="4465">
      <c r="A4465" t="n" s="0">
        <v>-55.36</v>
      </c>
      <c r="B4465" t="n" s="0">
        <f>(-5-((((-5*(-5/((-5/(((-5*(-55.36--5))-(-5+((-5*-55.36)*(((-5--5)+(-55.36--5))+-55.36))))-(-5+-5)))*-5)))/-5)--5)+(-5*(((-55.36*(-55.36-(-5/-5)))*(-55.36-(-55.36/(-5*-55.36))))-(-5/-5)))))</f>
        <v>-854629.69248</v>
      </c>
      <c r="C4465" t="n" s="0">
        <v>-854629.69248</v>
      </c>
    </row>
    <row r="4466">
      <c r="A4466" t="n" s="0">
        <v>-55.35</v>
      </c>
      <c r="B4466" t="n" s="0">
        <f>(-5-((((-5*(-5/((-5/(((-5*(-55.35--5))-(-5+((-5*-55.35)*(((-5--5)+(-55.35--5))+-55.35))))-(-5+-5)))*-5)))/-5)--5)+(-5*(((-55.35*(-55.35-(-5/-5)))*(-55.35-(-55.35/(-5*-55.35))))-(-5/-5)))))</f>
        <v>-854167.821875</v>
      </c>
      <c r="C4466" t="n" s="0">
        <v>-854167.821875</v>
      </c>
    </row>
    <row r="4467">
      <c r="A4467" t="n" s="0">
        <v>-55.34</v>
      </c>
      <c r="B4467" t="n" s="0">
        <f>(-5-((((-5*(-5/((-5/(((-5*(-55.34--5))-(-5+((-5*-55.34)*(((-5--5)+(-55.34--5))+-55.34))))-(-5+-5)))*-5)))/-5)--5)+(-5*(((-55.34*(-55.34-(-5/-5)))*(-55.34-(-55.34/(-5*-55.34))))-(-5/-5)))))</f>
        <v>-853706.11772</v>
      </c>
      <c r="C4467" t="n" s="0">
        <v>-853706.1177200001</v>
      </c>
    </row>
    <row r="4468">
      <c r="A4468" t="n" s="0">
        <v>-55.33</v>
      </c>
      <c r="B4468" t="n" s="0">
        <f>(-5-((((-5*(-5/((-5/(((-5*(-55.33--5))-(-5+((-5*-55.33)*(((-5--5)+(-55.33--5))+-55.33))))-(-5+-5)))*-5)))/-5)--5)+(-5*(((-55.33*(-55.33-(-5/-5)))*(-55.33-(-55.33/(-5*-55.33))))-(-5/-5)))))</f>
        <v>-853244.579985</v>
      </c>
      <c r="C4468" t="n" s="0">
        <v>-853244.579985</v>
      </c>
    </row>
    <row r="4469">
      <c r="A4469" t="n" s="0">
        <v>-55.32</v>
      </c>
      <c r="B4469" t="n" s="0">
        <f>(-5-((((-5*(-5/((-5/(((-5*(-55.32--5))-(-5+((-5*-55.32)*(((-5--5)+(-55.32--5))+-55.32))))-(-5+-5)))*-5)))/-5)--5)+(-5*(((-55.32*(-55.32-(-5/-5)))*(-55.32-(-55.32/(-5*-55.32))))-(-5/-5)))))</f>
        <v>-852783.20864</v>
      </c>
      <c r="C4469" t="n" s="0">
        <v>-852783.20864</v>
      </c>
    </row>
    <row r="4470">
      <c r="A4470" t="n" s="0">
        <v>-55.31</v>
      </c>
      <c r="B4470" t="n" s="0">
        <f>(-5-((((-5*(-5/((-5/(((-5*(-55.31--5))-(-5+((-5*-55.31)*(((-5--5)+(-55.31--5))+-55.31))))-(-5+-5)))*-5)))/-5)--5)+(-5*(((-55.31*(-55.31-(-5/-5)))*(-55.31-(-55.31/(-5*-55.31))))-(-5/-5)))))</f>
        <v>-852322.003655</v>
      </c>
      <c r="C4470" t="n" s="0">
        <v>-852322.0036550002</v>
      </c>
    </row>
    <row r="4471">
      <c r="A4471" t="n" s="0">
        <v>-55.3</v>
      </c>
      <c r="B4471" t="n" s="0">
        <f>(-5-((((-5*(-5/((-5/(((-5*(-55.3--5))-(-5+((-5*-55.3)*(((-5--5)+(-55.3--5))+-55.3))))-(-5+-5)))*-5)))/-5)--5)+(-5*(((-55.3*(-55.3-(-5/-5)))*(-55.3-(-55.3/(-5*-55.3))))-(-5/-5)))))</f>
        <v>-851860.965</v>
      </c>
      <c r="C4471" t="n" s="0">
        <v>-851860.965</v>
      </c>
    </row>
    <row r="4472">
      <c r="A4472" t="n" s="0">
        <v>-55.29</v>
      </c>
      <c r="B4472" t="n" s="0">
        <f>(-5-((((-5*(-5/((-5/(((-5*(-55.29--5))-(-5+((-5*-55.29)*(((-5--5)+(-55.29--5))+-55.29))))-(-5+-5)))*-5)))/-5)--5)+(-5*(((-55.29*(-55.29-(-5/-5)))*(-55.29-(-55.29/(-5*-55.29))))-(-5/-5)))))</f>
        <v>-851400.0926450001</v>
      </c>
      <c r="C4472" t="n" s="0">
        <v>-851400.0926449999</v>
      </c>
    </row>
    <row r="4473">
      <c r="A4473" t="n" s="0">
        <v>-55.28</v>
      </c>
      <c r="B4473" t="n" s="0">
        <f>(-5-((((-5*(-5/((-5/(((-5*(-55.28--5))-(-5+((-5*-55.28)*(((-5--5)+(-55.28--5))+-55.28))))-(-5+-5)))*-5)))/-5)--5)+(-5*(((-55.28*(-55.28-(-5/-5)))*(-55.28-(-55.28/(-5*-55.28))))-(-5/-5)))))</f>
        <v>-850939.38656</v>
      </c>
      <c r="C4473" t="n" s="0">
        <v>-850939.3865599999</v>
      </c>
    </row>
    <row r="4474">
      <c r="A4474" t="n" s="0">
        <v>-55.27</v>
      </c>
      <c r="B4474" t="n" s="0">
        <f>(-5-((((-5*(-5/((-5/(((-5*(-55.27--5))-(-5+((-5*-55.27)*(((-5--5)+(-55.27--5))+-55.27))))-(-5+-5)))*-5)))/-5)--5)+(-5*(((-55.27*(-55.27-(-5/-5)))*(-55.27-(-55.27/(-5*-55.27))))-(-5/-5)))))</f>
        <v>-850478.846715</v>
      </c>
      <c r="C4474" t="n" s="0">
        <v>-850478.8467150002</v>
      </c>
    </row>
    <row r="4475">
      <c r="A4475" t="n" s="0">
        <v>-55.26</v>
      </c>
      <c r="B4475" t="n" s="0">
        <f>(-5-((((-5*(-5/((-5/(((-5*(-55.26--5))-(-5+((-5*-55.26)*(((-5--5)+(-55.26--5))+-55.26))))-(-5+-5)))*-5)))/-5)--5)+(-5*(((-55.26*(-55.26-(-5/-5)))*(-55.26-(-55.26/(-5*-55.26))))-(-5/-5)))))</f>
        <v>-850018.4730799999</v>
      </c>
      <c r="C4475" t="n" s="0">
        <v>-850018.47308</v>
      </c>
    </row>
    <row r="4476">
      <c r="A4476" t="n" s="0">
        <v>-55.25</v>
      </c>
      <c r="B4476" t="n" s="0">
        <f>(-5-((((-5*(-5/((-5/(((-5*(-55.25--5))-(-5+((-5*-55.25)*(((-5--5)+(-55.25--5))+-55.25))))-(-5+-5)))*-5)))/-5)--5)+(-5*(((-55.25*(-55.25-(-5/-5)))*(-55.25-(-55.25/(-5*-55.25))))-(-5/-5)))))</f>
        <v>-849558.265625</v>
      </c>
      <c r="C4476" t="n" s="0">
        <v>-849558.265625</v>
      </c>
    </row>
    <row r="4477">
      <c r="A4477" t="n" s="0">
        <v>-55.24</v>
      </c>
      <c r="B4477" t="n" s="0">
        <f>(-5-((((-5*(-5/((-5/(((-5*(-55.24--5))-(-5+((-5*-55.24)*(((-5--5)+(-55.24--5))+-55.24))))-(-5+-5)))*-5)))/-5)--5)+(-5*(((-55.24*(-55.24-(-5/-5)))*(-55.24-(-55.24/(-5*-55.24))))-(-5/-5)))))</f>
        <v>-849098.22432</v>
      </c>
      <c r="C4477" t="n" s="0">
        <v>-849098.22432</v>
      </c>
    </row>
    <row r="4478">
      <c r="A4478" t="n" s="0">
        <v>-55.23</v>
      </c>
      <c r="B4478" t="n" s="0">
        <f>(-5-((((-5*(-5/((-5/(((-5*(-55.23--5))-(-5+((-5*-55.23)*(((-5--5)+(-55.23--5))+-55.23))))-(-5+-5)))*-5)))/-5)--5)+(-5*(((-55.23*(-55.23-(-5/-5)))*(-55.23-(-55.23/(-5*-55.23))))-(-5/-5)))))</f>
        <v>-848638.349135</v>
      </c>
      <c r="C4478" t="n" s="0">
        <v>-848638.3491349998</v>
      </c>
    </row>
    <row r="4479">
      <c r="A4479" t="n" s="0">
        <v>-55.22</v>
      </c>
      <c r="B4479" t="n" s="0">
        <f>(-5-((((-5*(-5/((-5/(((-5*(-55.22--5))-(-5+((-5*-55.22)*(((-5--5)+(-55.22--5))+-55.22))))-(-5+-5)))*-5)))/-5)--5)+(-5*(((-55.22*(-55.22-(-5/-5)))*(-55.22-(-55.22/(-5*-55.22))))-(-5/-5)))))</f>
        <v>-848178.6400400001</v>
      </c>
      <c r="C4479" t="n" s="0">
        <v>-848178.64004</v>
      </c>
    </row>
    <row r="4480">
      <c r="A4480" t="n" s="0">
        <v>-55.21</v>
      </c>
      <c r="B4480" t="n" s="0">
        <f>(-5-((((-5*(-5/((-5/(((-5*(-55.21--5))-(-5+((-5*-55.21)*(((-5--5)+(-55.21--5))+-55.21))))-(-5+-5)))*-5)))/-5)--5)+(-5*(((-55.21*(-55.21-(-5/-5)))*(-55.21-(-55.21/(-5*-55.21))))-(-5/-5)))))</f>
        <v>-847719.097005</v>
      </c>
      <c r="C4480" t="n" s="0">
        <v>-847719.097005</v>
      </c>
    </row>
    <row r="4481">
      <c r="A4481" t="n" s="0">
        <v>-55.2</v>
      </c>
      <c r="B4481" t="n" s="0">
        <f>(-5-((((-5*(-5/((-5/(((-5*(-55.2--5))-(-5+((-5*-55.2)*(((-5--5)+(-55.2--5))+-55.2))))-(-5+-5)))*-5)))/-5)--5)+(-5*(((-55.2*(-55.2-(-5/-5)))*(-55.2-(-55.2/(-5*-55.2))))-(-5/-5)))))</f>
        <v>-847259.72</v>
      </c>
      <c r="C4481" t="n" s="0">
        <v>-847259.7200000001</v>
      </c>
    </row>
    <row r="4482">
      <c r="A4482" t="n" s="0">
        <v>-55.19</v>
      </c>
      <c r="B4482" t="n" s="0">
        <f>(-5-((((-5*(-5/((-5/(((-5*(-55.19--5))-(-5+((-5*-55.19)*(((-5--5)+(-55.19--5))+-55.19))))-(-5+-5)))*-5)))/-5)--5)+(-5*(((-55.19*(-55.19-(-5/-5)))*(-55.19-(-55.19/(-5*-55.19))))-(-5/-5)))))</f>
        <v>-846800.508995</v>
      </c>
      <c r="C4482" t="n" s="0">
        <v>-846800.5089949998</v>
      </c>
    </row>
    <row r="4483">
      <c r="A4483" t="n" s="0">
        <v>-55.18</v>
      </c>
      <c r="B4483" t="n" s="0">
        <f>(-5-((((-5*(-5/((-5/(((-5*(-55.18--5))-(-5+((-5*-55.18)*(((-5--5)+(-55.18--5))+-55.18))))-(-5+-5)))*-5)))/-5)--5)+(-5*(((-55.18*(-55.18-(-5/-5)))*(-55.18-(-55.18/(-5*-55.18))))-(-5/-5)))))</f>
        <v>-846341.46396</v>
      </c>
      <c r="C4483" t="n" s="0">
        <v>-846341.46396</v>
      </c>
    </row>
    <row r="4484">
      <c r="A4484" t="n" s="0">
        <v>-55.17</v>
      </c>
      <c r="B4484" t="n" s="0">
        <f>(-5-((((-5*(-5/((-5/(((-5*(-55.17--5))-(-5+((-5*-55.17)*(((-5--5)+(-55.17--5))+-55.17))))-(-5+-5)))*-5)))/-5)--5)+(-5*(((-55.17*(-55.17-(-5/-5)))*(-55.17-(-55.17/(-5*-55.17))))-(-5/-5)))))</f>
        <v>-845882.584865</v>
      </c>
      <c r="C4484" t="n" s="0">
        <v>-845882.5848650001</v>
      </c>
    </row>
    <row r="4485">
      <c r="A4485" t="n" s="0">
        <v>-55.16</v>
      </c>
      <c r="B4485" t="n" s="0">
        <f>(-5-((((-5*(-5/((-5/(((-5*(-55.16--5))-(-5+((-5*-55.16)*(((-5--5)+(-55.16--5))+-55.16))))-(-5+-5)))*-5)))/-5)--5)+(-5*(((-55.16*(-55.16-(-5/-5)))*(-55.16-(-55.16/(-5*-55.16))))-(-5/-5)))))</f>
        <v>-845423.87168</v>
      </c>
      <c r="C4485" t="n" s="0">
        <v>-845423.8716799999</v>
      </c>
    </row>
    <row r="4486">
      <c r="A4486" t="n" s="0">
        <v>-55.15</v>
      </c>
      <c r="B4486" t="n" s="0">
        <f>(-5-((((-5*(-5/((-5/(((-5*(-55.15--5))-(-5+((-5*-55.15)*(((-5--5)+(-55.15--5))+-55.15))))-(-5+-5)))*-5)))/-5)--5)+(-5*(((-55.15*(-55.15-(-5/-5)))*(-55.15-(-55.15/(-5*-55.15))))-(-5/-5)))))</f>
        <v>-844965.3243750001</v>
      </c>
      <c r="C4486" t="n" s="0">
        <v>-844965.324375</v>
      </c>
    </row>
    <row r="4487">
      <c r="A4487" t="n" s="0">
        <v>-55.14</v>
      </c>
      <c r="B4487" t="n" s="0">
        <f>(-5-((((-5*(-5/((-5/(((-5*(-55.14--5))-(-5+((-5*-55.14)*(((-5--5)+(-55.14--5))+-55.14))))-(-5+-5)))*-5)))/-5)--5)+(-5*(((-55.14*(-55.14-(-5/-5)))*(-55.14-(-55.14/(-5*-55.14))))-(-5/-5)))))</f>
        <v>-844506.9429200001</v>
      </c>
      <c r="C4487" t="n" s="0">
        <v>-844506.9429200001</v>
      </c>
    </row>
    <row r="4488">
      <c r="A4488" t="n" s="0">
        <v>-55.13</v>
      </c>
      <c r="B4488" t="n" s="0">
        <f>(-5-((((-5*(-5/((-5/(((-5*(-55.13--5))-(-5+((-5*-55.13)*(((-5--5)+(-55.13--5))+-55.13))))-(-5+-5)))*-5)))/-5)--5)+(-5*(((-55.13*(-55.13-(-5/-5)))*(-55.13-(-55.13/(-5*-55.13))))-(-5/-5)))))</f>
        <v>-844048.7272849999</v>
      </c>
      <c r="C4488" t="n" s="0">
        <v>-844048.727285</v>
      </c>
    </row>
    <row r="4489">
      <c r="A4489" t="n" s="0">
        <v>-55.12</v>
      </c>
      <c r="B4489" t="n" s="0">
        <f>(-5-((((-5*(-5/((-5/(((-5*(-55.12--5))-(-5+((-5*-55.12)*(((-5--5)+(-55.12--5))+-55.12))))-(-5+-5)))*-5)))/-5)--5)+(-5*(((-55.12*(-55.12-(-5/-5)))*(-55.12-(-55.12/(-5*-55.12))))-(-5/-5)))))</f>
        <v>-843590.67744</v>
      </c>
      <c r="C4489" t="n" s="0">
        <v>-843590.6774399998</v>
      </c>
    </row>
    <row r="4490">
      <c r="A4490" t="n" s="0">
        <v>-55.11</v>
      </c>
      <c r="B4490" t="n" s="0">
        <f>(-5-((((-5*(-5/((-5/(((-5*(-55.11--5))-(-5+((-5*-55.11)*(((-5--5)+(-55.11--5))+-55.11))))-(-5+-5)))*-5)))/-5)--5)+(-5*(((-55.11*(-55.11-(-5/-5)))*(-55.11-(-55.11/(-5*-55.11))))-(-5/-5)))))</f>
        <v>-843132.793355</v>
      </c>
      <c r="C4490" t="n" s="0">
        <v>-843132.793355</v>
      </c>
    </row>
    <row r="4491">
      <c r="A4491" t="n" s="0">
        <v>-55.1</v>
      </c>
      <c r="B4491" t="n" s="0">
        <f>(-5-((((-5*(-5/((-5/(((-5*(-55.1--5))-(-5+((-5*-55.1)*(((-5--5)+(-55.1--5))+-55.1))))-(-5+-5)))*-5)))/-5)--5)+(-5*(((-55.1*(-55.1-(-5/-5)))*(-55.1-(-55.1/(-5*-55.1))))-(-5/-5)))))</f>
        <v>-842675.075</v>
      </c>
      <c r="C4491" t="n" s="0">
        <v>-842675.0750000002</v>
      </c>
    </row>
    <row r="4492">
      <c r="A4492" t="n" s="0">
        <v>-55.09</v>
      </c>
      <c r="B4492" t="n" s="0">
        <f>(-5-((((-5*(-5/((-5/(((-5*(-55.09--5))-(-5+((-5*-55.09)*(((-5--5)+(-55.09--5))+-55.09))))-(-5+-5)))*-5)))/-5)--5)+(-5*(((-55.09*(-55.09-(-5/-5)))*(-55.09-(-55.09/(-5*-55.09))))-(-5/-5)))))</f>
        <v>-842217.522345</v>
      </c>
      <c r="C4492" t="n" s="0">
        <v>-842217.5223450002</v>
      </c>
    </row>
    <row r="4493">
      <c r="A4493" t="n" s="0">
        <v>-55.08</v>
      </c>
      <c r="B4493" t="n" s="0">
        <f>(-5-((((-5*(-5/((-5/(((-5*(-55.08--5))-(-5+((-5*-55.08)*(((-5--5)+(-55.08--5))+-55.08))))-(-5+-5)))*-5)))/-5)--5)+(-5*(((-55.08*(-55.08-(-5/-5)))*(-55.08-(-55.08/(-5*-55.08))))-(-5/-5)))))</f>
        <v>-841760.13536</v>
      </c>
      <c r="C4493" t="n" s="0">
        <v>-841760.13536</v>
      </c>
    </row>
    <row r="4494">
      <c r="A4494" t="n" s="0">
        <v>-55.07</v>
      </c>
      <c r="B4494" t="n" s="0">
        <f>(-5-((((-5*(-5/((-5/(((-5*(-55.07--5))-(-5+((-5*-55.07)*(((-5--5)+(-55.07--5))+-55.07))))-(-5+-5)))*-5)))/-5)--5)+(-5*(((-55.07*(-55.07-(-5/-5)))*(-55.07-(-55.07/(-5*-55.07))))-(-5/-5)))))</f>
        <v>-841302.914015</v>
      </c>
      <c r="C4494" t="n" s="0">
        <v>-841302.914015</v>
      </c>
    </row>
    <row r="4495">
      <c r="A4495" t="n" s="0">
        <v>-55.06</v>
      </c>
      <c r="B4495" t="n" s="0">
        <f>(-5-((((-5*(-5/((-5/(((-5*(-55.06--5))-(-5+((-5*-55.06)*(((-5--5)+(-55.06--5))+-55.06))))-(-5+-5)))*-5)))/-5)--5)+(-5*(((-55.06*(-55.06-(-5/-5)))*(-55.06-(-55.06/(-5*-55.06))))-(-5/-5)))))</f>
        <v>-840845.85828</v>
      </c>
      <c r="C4495" t="n" s="0">
        <v>-840845.8582800002</v>
      </c>
    </row>
    <row r="4496">
      <c r="A4496" t="n" s="0">
        <v>-55.05</v>
      </c>
      <c r="B4496" t="n" s="0">
        <f>(-5-((((-5*(-5/((-5/(((-5*(-55.05--5))-(-5+((-5*-55.05)*(((-5--5)+(-55.05--5))+-55.05))))-(-5+-5)))*-5)))/-5)--5)+(-5*(((-55.05*(-55.05-(-5/-5)))*(-55.05-(-55.05/(-5*-55.05))))-(-5/-5)))))</f>
        <v>-840388.9681249999</v>
      </c>
      <c r="C4496" t="n" s="0">
        <v>-840388.9681249999</v>
      </c>
    </row>
    <row r="4497">
      <c r="A4497" t="n" s="0">
        <v>-55.04</v>
      </c>
      <c r="B4497" t="n" s="0">
        <f>(-5-((((-5*(-5/((-5/(((-5*(-55.04--5))-(-5+((-5*-55.04)*(((-5--5)+(-55.04--5))+-55.04))))-(-5+-5)))*-5)))/-5)--5)+(-5*(((-55.04*(-55.04-(-5/-5)))*(-55.04-(-55.04/(-5*-55.04))))-(-5/-5)))))</f>
        <v>-839932.2435199999</v>
      </c>
      <c r="C4497" t="n" s="0">
        <v>-839932.2435199999</v>
      </c>
    </row>
    <row r="4498">
      <c r="A4498" t="n" s="0">
        <v>-55.03</v>
      </c>
      <c r="B4498" t="n" s="0">
        <f>(-5-((((-5*(-5/((-5/(((-5*(-55.03--5))-(-5+((-5*-55.03)*(((-5--5)+(-55.03--5))+-55.03))))-(-5+-5)))*-5)))/-5)--5)+(-5*(((-55.03*(-55.03-(-5/-5)))*(-55.03-(-55.03/(-5*-55.03))))-(-5/-5)))))</f>
        <v>-839475.684435</v>
      </c>
      <c r="C4498" t="n" s="0">
        <v>-839475.684435</v>
      </c>
    </row>
    <row r="4499">
      <c r="A4499" t="n" s="0">
        <v>-55.02</v>
      </c>
      <c r="B4499" t="n" s="0">
        <f>(-5-((((-5*(-5/((-5/(((-5*(-55.02--5))-(-5+((-5*-55.02)*(((-5--5)+(-55.02--5))+-55.02))))-(-5+-5)))*-5)))/-5)--5)+(-5*(((-55.02*(-55.02-(-5/-5)))*(-55.02-(-55.02/(-5*-55.02))))-(-5/-5)))))</f>
        <v>-839019.29084</v>
      </c>
      <c r="C4499" t="n" s="0">
        <v>-839019.2908400001</v>
      </c>
    </row>
    <row r="4500">
      <c r="A4500" t="n" s="0">
        <v>-55.01</v>
      </c>
      <c r="B4500" t="n" s="0">
        <f>(-5-((((-5*(-5/((-5/(((-5*(-55.01--5))-(-5+((-5*-55.01)*(((-5--5)+(-55.01--5))+-55.01))))-(-5+-5)))*-5)))/-5)--5)+(-5*(((-55.01*(-55.01-(-5/-5)))*(-55.01-(-55.01/(-5*-55.01))))-(-5/-5)))))</f>
        <v>-838563.062705</v>
      </c>
      <c r="C4500" t="n" s="0">
        <v>-838563.0627049998</v>
      </c>
    </row>
    <row r="4501">
      <c r="A4501" t="n" s="0">
        <v>-55.0</v>
      </c>
      <c r="B4501" t="n" s="0">
        <f>(-5-((((-5*(-5/((-5/(((-5*(-55--5))-(-5+((-5*-55)*(((-5--5)+(-55--5))+-55))))-(-5+-5)))*-5)))/-5)--5)+(-5*(((-55*(-55-(-5/-5)))*(-55-(-55/(-5*-55))))-(-5/-5)))))</f>
        <v>-838107.0</v>
      </c>
      <c r="C4501" t="n" s="0">
        <v>-838107.0</v>
      </c>
    </row>
    <row r="4502">
      <c r="A4502" t="n" s="0">
        <v>-54.99</v>
      </c>
      <c r="B4502" t="n" s="0">
        <f>(-5-((((-5*(-5/((-5/(((-5*(-54.99--5))-(-5+((-5*-54.99)*(((-5--5)+(-54.99--5))+-54.99))))-(-5+-5)))*-5)))/-5)--5)+(-5*(((-54.99*(-54.99-(-5/-5)))*(-54.99-(-54.99/(-5*-54.99))))-(-5/-5)))))</f>
        <v>-837651.102695</v>
      </c>
      <c r="C4502" t="n" s="0">
        <v>-837651.1026950001</v>
      </c>
    </row>
    <row r="4503">
      <c r="A4503" t="n" s="0">
        <v>-54.98</v>
      </c>
      <c r="B4503" t="n" s="0">
        <f>(-5-((((-5*(-5/((-5/(((-5*(-54.98--5))-(-5+((-5*-54.98)*(((-5--5)+(-54.98--5))+-54.98))))-(-5+-5)))*-5)))/-5)--5)+(-5*(((-54.98*(-54.98-(-5/-5)))*(-54.98-(-54.98/(-5*-54.98))))-(-5/-5)))))</f>
        <v>-837195.3707600001</v>
      </c>
      <c r="C4503" t="n" s="0">
        <v>-837195.3707599997</v>
      </c>
    </row>
    <row r="4504">
      <c r="A4504" t="n" s="0">
        <v>-54.97</v>
      </c>
      <c r="B4504" t="n" s="0">
        <f>(-5-((((-5*(-5/((-5/(((-5*(-54.97--5))-(-5+((-5*-54.97)*(((-5--5)+(-54.97--5))+-54.97))))-(-5+-5)))*-5)))/-5)--5)+(-5*(((-54.97*(-54.97-(-5/-5)))*(-54.97-(-54.97/(-5*-54.97))))-(-5/-5)))))</f>
        <v>-836739.804165</v>
      </c>
      <c r="C4504" t="n" s="0">
        <v>-836739.8041649999</v>
      </c>
    </row>
    <row r="4505">
      <c r="A4505" t="n" s="0">
        <v>-54.96</v>
      </c>
      <c r="B4505" t="n" s="0">
        <f>(-5-((((-5*(-5/((-5/(((-5*(-54.96--5))-(-5+((-5*-54.96)*(((-5--5)+(-54.96--5))+-54.96))))-(-5+-5)))*-5)))/-5)--5)+(-5*(((-54.96*(-54.96-(-5/-5)))*(-54.96-(-54.96/(-5*-54.96))))-(-5/-5)))))</f>
        <v>-836284.40288</v>
      </c>
      <c r="C4505" t="n" s="0">
        <v>-836284.40288</v>
      </c>
    </row>
    <row r="4506">
      <c r="A4506" t="n" s="0">
        <v>-54.95</v>
      </c>
      <c r="B4506" t="n" s="0">
        <f>(-5-((((-5*(-5/((-5/(((-5*(-54.95--5))-(-5+((-5*-54.95)*(((-5--5)+(-54.95--5))+-54.95))))-(-5+-5)))*-5)))/-5)--5)+(-5*(((-54.95*(-54.95-(-5/-5)))*(-54.95-(-54.95/(-5*-54.95))))-(-5/-5)))))</f>
        <v>-835829.166875</v>
      </c>
      <c r="C4506" t="n" s="0">
        <v>-835829.1668750001</v>
      </c>
    </row>
    <row r="4507">
      <c r="A4507" t="n" s="0">
        <v>-54.94</v>
      </c>
      <c r="B4507" t="n" s="0">
        <f>(-5-((((-5*(-5/((-5/(((-5*(-54.94--5))-(-5+((-5*-54.94)*(((-5--5)+(-54.94--5))+-54.94))))-(-5+-5)))*-5)))/-5)--5)+(-5*(((-54.94*(-54.94-(-5/-5)))*(-54.94-(-54.94/(-5*-54.94))))-(-5/-5)))))</f>
        <v>-835374.09612</v>
      </c>
      <c r="C4507" t="n" s="0">
        <v>-835374.0961199999</v>
      </c>
    </row>
    <row r="4508">
      <c r="A4508" t="n" s="0">
        <v>-54.93</v>
      </c>
      <c r="B4508" t="n" s="0">
        <f>(-5-((((-5*(-5/((-5/(((-5*(-54.93--5))-(-5+((-5*-54.93)*(((-5--5)+(-54.93--5))+-54.93))))-(-5+-5)))*-5)))/-5)--5)+(-5*(((-54.93*(-54.93-(-5/-5)))*(-54.93-(-54.93/(-5*-54.93))))-(-5/-5)))))</f>
        <v>-834919.190585</v>
      </c>
      <c r="C4508" t="n" s="0">
        <v>-834919.190585</v>
      </c>
    </row>
    <row r="4509">
      <c r="A4509" t="n" s="0">
        <v>-54.92</v>
      </c>
      <c r="B4509" t="n" s="0">
        <f>(-5-((((-5*(-5/((-5/(((-5*(-54.92--5))-(-5+((-5*-54.92)*(((-5--5)+(-54.92--5))+-54.92))))-(-5+-5)))*-5)))/-5)--5)+(-5*(((-54.92*(-54.92-(-5/-5)))*(-54.92-(-54.92/(-5*-54.92))))-(-5/-5)))))</f>
        <v>-834464.45024</v>
      </c>
      <c r="C4509" t="n" s="0">
        <v>-834464.4502400002</v>
      </c>
    </row>
    <row r="4510">
      <c r="A4510" t="n" s="0">
        <v>-54.91</v>
      </c>
      <c r="B4510" t="n" s="0">
        <f>(-5-((((-5*(-5/((-5/(((-5*(-54.91--5))-(-5+((-5*-54.91)*(((-5--5)+(-54.91--5))+-54.91))))-(-5+-5)))*-5)))/-5)--5)+(-5*(((-54.91*(-54.91-(-5/-5)))*(-54.91-(-54.91/(-5*-54.91))))-(-5/-5)))))</f>
        <v>-834009.875055</v>
      </c>
      <c r="C4510" t="n" s="0">
        <v>-834009.875055</v>
      </c>
    </row>
    <row r="4511">
      <c r="A4511" t="n" s="0">
        <v>-54.9</v>
      </c>
      <c r="B4511" t="n" s="0">
        <f>(-5-((((-5*(-5/((-5/(((-5*(-54.9--5))-(-5+((-5*-54.9)*(((-5--5)+(-54.9--5))+-54.9))))-(-5+-5)))*-5)))/-5)--5)+(-5*(((-54.9*(-54.9-(-5/-5)))*(-54.9-(-54.9/(-5*-54.9))))-(-5/-5)))))</f>
        <v>-833555.465</v>
      </c>
      <c r="C4511" t="n" s="0">
        <v>-833555.4649999999</v>
      </c>
    </row>
    <row r="4512">
      <c r="A4512" t="n" s="0">
        <v>-54.89</v>
      </c>
      <c r="B4512" t="n" s="0">
        <f>(-5-((((-5*(-5/((-5/(((-5*(-54.89--5))-(-5+((-5*-54.89)*(((-5--5)+(-54.89--5))+-54.89))))-(-5+-5)))*-5)))/-5)--5)+(-5*(((-54.89*(-54.89-(-5/-5)))*(-54.89-(-54.89/(-5*-54.89))))-(-5/-5)))))</f>
        <v>-833101.2200450001</v>
      </c>
      <c r="C4512" t="n" s="0">
        <v>-833101.2200450001</v>
      </c>
    </row>
    <row r="4513">
      <c r="A4513" t="n" s="0">
        <v>-54.88</v>
      </c>
      <c r="B4513" t="n" s="0">
        <f>(-5-((((-5*(-5/((-5/(((-5*(-54.88--5))-(-5+((-5*-54.88)*(((-5--5)+(-54.88--5))+-54.88))))-(-5+-5)))*-5)))/-5)--5)+(-5*(((-54.88*(-54.88-(-5/-5)))*(-54.88-(-54.88/(-5*-54.88))))-(-5/-5)))))</f>
        <v>-832647.1401600001</v>
      </c>
      <c r="C4513" t="n" s="0">
        <v>-832647.1401600001</v>
      </c>
    </row>
    <row r="4514">
      <c r="A4514" t="n" s="0">
        <v>-54.87</v>
      </c>
      <c r="B4514" t="n" s="0">
        <f>(-5-((((-5*(-5/((-5/(((-5*(-54.87--5))-(-5+((-5*-54.87)*(((-5--5)+(-54.87--5))+-54.87))))-(-5+-5)))*-5)))/-5)--5)+(-5*(((-54.87*(-54.87-(-5/-5)))*(-54.87-(-54.87/(-5*-54.87))))-(-5/-5)))))</f>
        <v>-832193.2253149999</v>
      </c>
      <c r="C4514" t="n" s="0">
        <v>-832193.2253149998</v>
      </c>
    </row>
    <row r="4515">
      <c r="A4515" t="n" s="0">
        <v>-54.86</v>
      </c>
      <c r="B4515" t="n" s="0">
        <f>(-5-((((-5*(-5/((-5/(((-5*(-54.86--5))-(-5+((-5*-54.86)*(((-5--5)+(-54.86--5))+-54.86))))-(-5+-5)))*-5)))/-5)--5)+(-5*(((-54.86*(-54.86-(-5/-5)))*(-54.86-(-54.86/(-5*-54.86))))-(-5/-5)))))</f>
        <v>-831739.47548</v>
      </c>
      <c r="C4515" t="n" s="0">
        <v>-831739.4754799999</v>
      </c>
    </row>
    <row r="4516">
      <c r="A4516" t="n" s="0">
        <v>-54.85</v>
      </c>
      <c r="B4516" t="n" s="0">
        <f>(-5-((((-5*(-5/((-5/(((-5*(-54.85--5))-(-5+((-5*-54.85)*(((-5--5)+(-54.85--5))+-54.85))))-(-5+-5)))*-5)))/-5)--5)+(-5*(((-54.85*(-54.85-(-5/-5)))*(-54.85-(-54.85/(-5*-54.85))))-(-5/-5)))))</f>
        <v>-831285.890625</v>
      </c>
      <c r="C4516" t="n" s="0">
        <v>-831285.8906250002</v>
      </c>
    </row>
    <row r="4517">
      <c r="A4517" t="n" s="0">
        <v>-54.84</v>
      </c>
      <c r="B4517" t="n" s="0">
        <f>(-5-((((-5*(-5/((-5/(((-5*(-54.84--5))-(-5+((-5*-54.84)*(((-5--5)+(-54.84--5))+-54.84))))-(-5+-5)))*-5)))/-5)--5)+(-5*(((-54.84*(-54.84-(-5/-5)))*(-54.84-(-54.84/(-5*-54.84))))-(-5/-5)))))</f>
        <v>-830832.47072</v>
      </c>
      <c r="C4517" t="n" s="0">
        <v>-830832.4707200002</v>
      </c>
    </row>
    <row r="4518">
      <c r="A4518" t="n" s="0">
        <v>-54.83</v>
      </c>
      <c r="B4518" t="n" s="0">
        <f>(-5-((((-5*(-5/((-5/(((-5*(-54.83--5))-(-5+((-5*-54.83)*(((-5--5)+(-54.83--5))+-54.83))))-(-5+-5)))*-5)))/-5)--5)+(-5*(((-54.83*(-54.83-(-5/-5)))*(-54.83-(-54.83/(-5*-54.83))))-(-5/-5)))))</f>
        <v>-830379.215735</v>
      </c>
      <c r="C4518" t="n" s="0">
        <v>-830379.215735</v>
      </c>
    </row>
    <row r="4519">
      <c r="A4519" t="n" s="0">
        <v>-54.82</v>
      </c>
      <c r="B4519" t="n" s="0">
        <f>(-5-((((-5*(-5/((-5/(((-5*(-54.82--5))-(-5+((-5*-54.82)*(((-5--5)+(-54.82--5))+-54.82))))-(-5+-5)))*-5)))/-5)--5)+(-5*(((-54.82*(-54.82-(-5/-5)))*(-54.82-(-54.82/(-5*-54.82))))-(-5/-5)))))</f>
        <v>-829926.12564</v>
      </c>
      <c r="C4519" t="n" s="0">
        <v>-829926.1256399999</v>
      </c>
    </row>
    <row r="4520">
      <c r="A4520" t="n" s="0">
        <v>-54.81</v>
      </c>
      <c r="B4520" t="n" s="0">
        <f>(-5-((((-5*(-5/((-5/(((-5*(-54.81--5))-(-5+((-5*-54.81)*(((-5--5)+(-54.81--5))+-54.81))))-(-5+-5)))*-5)))/-5)--5)+(-5*(((-54.81*(-54.81-(-5/-5)))*(-54.81-(-54.81/(-5*-54.81))))-(-5/-5)))))</f>
        <v>-829473.200405</v>
      </c>
      <c r="C4520" t="n" s="0">
        <v>-829473.2004050001</v>
      </c>
    </row>
    <row r="4521">
      <c r="A4521" t="n" s="0">
        <v>-54.8</v>
      </c>
      <c r="B4521" t="n" s="0">
        <f>(-5-((((-5*(-5/((-5/(((-5*(-54.8--5))-(-5+((-5*-54.8)*(((-5--5)+(-54.8--5))+-54.8))))-(-5+-5)))*-5)))/-5)--5)+(-5*(((-54.8*(-54.8-(-5/-5)))*(-54.8-(-54.8/(-5*-54.8))))-(-5/-5)))))</f>
        <v>-829020.44</v>
      </c>
      <c r="C4521" t="n" s="0">
        <v>-829020.4399999998</v>
      </c>
    </row>
    <row r="4522">
      <c r="A4522" t="n" s="0">
        <v>-54.79</v>
      </c>
      <c r="B4522" t="n" s="0">
        <f>(-5-((((-5*(-5/((-5/(((-5*(-54.79--5))-(-5+((-5*-54.79)*(((-5--5)+(-54.79--5))+-54.79))))-(-5+-5)))*-5)))/-5)--5)+(-5*(((-54.79*(-54.79-(-5/-5)))*(-54.79-(-54.79/(-5*-54.79))))-(-5/-5)))))</f>
        <v>-828567.844395</v>
      </c>
      <c r="C4522" t="n" s="0">
        <v>-828567.8443949999</v>
      </c>
    </row>
    <row r="4523">
      <c r="A4523" t="n" s="0">
        <v>-54.78</v>
      </c>
      <c r="B4523" t="n" s="0">
        <f>(-5-((((-5*(-5/((-5/(((-5*(-54.78--5))-(-5+((-5*-54.78)*(((-5--5)+(-54.78--5))+-54.78))))-(-5+-5)))*-5)))/-5)--5)+(-5*(((-54.78*(-54.78-(-5/-5)))*(-54.78-(-54.78/(-5*-54.78))))-(-5/-5)))))</f>
        <v>-828115.41356</v>
      </c>
      <c r="C4523" t="n" s="0">
        <v>-828115.41356</v>
      </c>
    </row>
    <row r="4524">
      <c r="A4524" t="n" s="0">
        <v>-54.77</v>
      </c>
      <c r="B4524" t="n" s="0">
        <f>(-5-((((-5*(-5/((-5/(((-5*(-54.77--5))-(-5+((-5*-54.77)*(((-5--5)+(-54.77--5))+-54.77))))-(-5+-5)))*-5)))/-5)--5)+(-5*(((-54.77*(-54.77-(-5/-5)))*(-54.77-(-54.77/(-5*-54.77))))-(-5/-5)))))</f>
        <v>-827663.147465</v>
      </c>
      <c r="C4524" t="n" s="0">
        <v>-827663.1474650002</v>
      </c>
    </row>
    <row r="4525">
      <c r="A4525" t="n" s="0">
        <v>-54.76</v>
      </c>
      <c r="B4525" t="n" s="0">
        <f>(-5-((((-5*(-5/((-5/(((-5*(-54.76--5))-(-5+((-5*-54.76)*(((-5--5)+(-54.76--5))+-54.76))))-(-5+-5)))*-5)))/-5)--5)+(-5*(((-54.76*(-54.76-(-5/-5)))*(-54.76-(-54.76/(-5*-54.76))))-(-5/-5)))))</f>
        <v>-827211.04608</v>
      </c>
      <c r="C4525" t="n" s="0">
        <v>-827211.0460799999</v>
      </c>
    </row>
    <row r="4526">
      <c r="A4526" t="n" s="0">
        <v>-54.75</v>
      </c>
      <c r="B4526" t="n" s="0">
        <f>(-5-((((-5*(-5/((-5/(((-5*(-54.75--5))-(-5+((-5*-54.75)*(((-5--5)+(-54.75--5))+-54.75))))-(-5+-5)))*-5)))/-5)--5)+(-5*(((-54.75*(-54.75-(-5/-5)))*(-54.75-(-54.75/(-5*-54.75))))-(-5/-5)))))</f>
        <v>-826759.109375</v>
      </c>
      <c r="C4526" t="n" s="0">
        <v>-826759.109375</v>
      </c>
    </row>
    <row r="4527">
      <c r="A4527" t="n" s="0">
        <v>-54.74</v>
      </c>
      <c r="B4527" t="n" s="0">
        <f>(-5-((((-5*(-5/((-5/(((-5*(-54.74--5))-(-5+((-5*-54.74)*(((-5--5)+(-54.74--5))+-54.74))))-(-5+-5)))*-5)))/-5)--5)+(-5*(((-54.74*(-54.74-(-5/-5)))*(-54.74-(-54.74/(-5*-54.74))))-(-5/-5)))))</f>
        <v>-826307.33732</v>
      </c>
      <c r="C4527" t="n" s="0">
        <v>-826307.33732</v>
      </c>
    </row>
    <row r="4528">
      <c r="A4528" t="n" s="0">
        <v>-54.73</v>
      </c>
      <c r="B4528" t="n" s="0">
        <f>(-5-((((-5*(-5/((-5/(((-5*(-54.73--5))-(-5+((-5*-54.73)*(((-5--5)+(-54.73--5))+-54.73))))-(-5+-5)))*-5)))/-5)--5)+(-5*(((-54.73*(-54.73-(-5/-5)))*(-54.73-(-54.73/(-5*-54.73))))-(-5/-5)))))</f>
        <v>-825855.729885</v>
      </c>
      <c r="C4528" t="n" s="0">
        <v>-825855.7298849998</v>
      </c>
    </row>
    <row r="4529">
      <c r="A4529" t="n" s="0">
        <v>-54.72</v>
      </c>
      <c r="B4529" t="n" s="0">
        <f>(-5-((((-5*(-5/((-5/(((-5*(-54.72--5))-(-5+((-5*-54.72)*(((-5--5)+(-54.72--5))+-54.72))))-(-5+-5)))*-5)))/-5)--5)+(-5*(((-54.72*(-54.72-(-5/-5)))*(-54.72-(-54.72/(-5*-54.72))))-(-5/-5)))))</f>
        <v>-825404.28704</v>
      </c>
      <c r="C4529" t="n" s="0">
        <v>-825404.28704</v>
      </c>
    </row>
    <row r="4530">
      <c r="A4530" t="n" s="0">
        <v>-54.71</v>
      </c>
      <c r="B4530" t="n" s="0">
        <f>(-5-((((-5*(-5/((-5/(((-5*(-54.71--5))-(-5+((-5*-54.71)*(((-5--5)+(-54.71--5))+-54.71))))-(-5+-5)))*-5)))/-5)--5)+(-5*(((-54.71*(-54.71-(-5/-5)))*(-54.71-(-54.71/(-5*-54.71))))-(-5/-5)))))</f>
        <v>-824953.0087550001</v>
      </c>
      <c r="C4530" t="n" s="0">
        <v>-824953.0087550001</v>
      </c>
    </row>
    <row r="4531">
      <c r="A4531" t="n" s="0">
        <v>-54.7</v>
      </c>
      <c r="B4531" t="n" s="0">
        <f>(-5-((((-5*(-5/((-5/(((-5*(-54.7--5))-(-5+((-5*-54.7)*(((-5--5)+(-54.7--5))+-54.7))))-(-5+-5)))*-5)))/-5)--5)+(-5*(((-54.7*(-54.7-(-5/-5)))*(-54.7-(-54.7/(-5*-54.7))))-(-5/-5)))))</f>
        <v>-824501.895</v>
      </c>
      <c r="C4531" t="n" s="0">
        <v>-824501.8950000003</v>
      </c>
    </row>
    <row r="4532">
      <c r="A4532" t="n" s="0">
        <v>-54.69</v>
      </c>
      <c r="B4532" t="n" s="0">
        <f>(-5-((((-5*(-5/((-5/(((-5*(-54.69--5))-(-5+((-5*-54.69)*(((-5--5)+(-54.69--5))+-54.69))))-(-5+-5)))*-5)))/-5)--5)+(-5*(((-54.69*(-54.69-(-5/-5)))*(-54.69-(-54.69/(-5*-54.69))))-(-5/-5)))))</f>
        <v>-824050.945745</v>
      </c>
      <c r="C4532" t="n" s="0">
        <v>-824050.9457449998</v>
      </c>
    </row>
    <row r="4533">
      <c r="A4533" t="n" s="0">
        <v>-54.68</v>
      </c>
      <c r="B4533" t="n" s="0">
        <f>(-5-((((-5*(-5/((-5/(((-5*(-54.68--5))-(-5+((-5*-54.68)*(((-5--5)+(-54.68--5))+-54.68))))-(-5+-5)))*-5)))/-5)--5)+(-5*(((-54.68*(-54.68-(-5/-5)))*(-54.68-(-54.68/(-5*-54.68))))-(-5/-5)))))</f>
        <v>-823600.1609599999</v>
      </c>
      <c r="C4533" t="n" s="0">
        <v>-823600.1609600001</v>
      </c>
    </row>
    <row r="4534">
      <c r="A4534" t="n" s="0">
        <v>-54.67</v>
      </c>
      <c r="B4534" t="n" s="0">
        <f>(-5-((((-5*(-5/((-5/(((-5*(-54.67--5))-(-5+((-5*-54.67)*(((-5--5)+(-54.67--5))+-54.67))))-(-5+-5)))*-5)))/-5)--5)+(-5*(((-54.67*(-54.67-(-5/-5)))*(-54.67-(-54.67/(-5*-54.67))))-(-5/-5)))))</f>
        <v>-823149.5406150001</v>
      </c>
      <c r="C4534" t="n" s="0">
        <v>-823149.5406150001</v>
      </c>
    </row>
    <row r="4535">
      <c r="A4535" t="n" s="0">
        <v>-54.66</v>
      </c>
      <c r="B4535" t="n" s="0">
        <f>(-5-((((-5*(-5/((-5/(((-5*(-54.66--5))-(-5+((-5*-54.66)*(((-5--5)+(-54.66--5))+-54.66))))-(-5+-5)))*-5)))/-5)--5)+(-5*(((-54.66*(-54.66-(-5/-5)))*(-54.66-(-54.66/(-5*-54.66))))-(-5/-5)))))</f>
        <v>-822699.08468</v>
      </c>
      <c r="C4535" t="n" s="0">
        <v>-822699.0846799997</v>
      </c>
    </row>
    <row r="4536">
      <c r="A4536" t="n" s="0">
        <v>-54.65</v>
      </c>
      <c r="B4536" t="n" s="0">
        <f>(-5-((((-5*(-5/((-5/(((-5*(-54.65--5))-(-5+((-5*-54.65)*(((-5--5)+(-54.65--5))+-54.65))))-(-5+-5)))*-5)))/-5)--5)+(-5*(((-54.65*(-54.65-(-5/-5)))*(-54.65-(-54.65/(-5*-54.65))))-(-5/-5)))))</f>
        <v>-822248.793125</v>
      </c>
      <c r="C4536" t="n" s="0">
        <v>-822248.7931249999</v>
      </c>
    </row>
    <row r="4537">
      <c r="A4537" t="n" s="0">
        <v>-54.64</v>
      </c>
      <c r="B4537" t="n" s="0">
        <f>(-5-((((-5*(-5/((-5/(((-5*(-54.64--5))-(-5+((-5*-54.64)*(((-5--5)+(-54.64--5))+-54.64))))-(-5+-5)))*-5)))/-5)--5)+(-5*(((-54.64*(-54.64-(-5/-5)))*(-54.64-(-54.64/(-5*-54.64))))-(-5/-5)))))</f>
        <v>-821798.66592</v>
      </c>
      <c r="C4537" t="n" s="0">
        <v>-821798.66592</v>
      </c>
    </row>
    <row r="4538">
      <c r="A4538" t="n" s="0">
        <v>-54.63</v>
      </c>
      <c r="B4538" t="n" s="0">
        <f>(-5-((((-5*(-5/((-5/(((-5*(-54.63--5))-(-5+((-5*-54.63)*(((-5--5)+(-54.63--5))+-54.63))))-(-5+-5)))*-5)))/-5)--5)+(-5*(((-54.63*(-54.63-(-5/-5)))*(-54.63-(-54.63/(-5*-54.63))))-(-5/-5)))))</f>
        <v>-821348.7030350001</v>
      </c>
      <c r="C4538" t="n" s="0">
        <v>-821348.7030350001</v>
      </c>
    </row>
    <row r="4539">
      <c r="A4539" t="n" s="0">
        <v>-54.62</v>
      </c>
      <c r="B4539" t="n" s="0">
        <f>(-5-((((-5*(-5/((-5/(((-5*(-54.62--5))-(-5+((-5*-54.62)*(((-5--5)+(-54.62--5))+-54.62))))-(-5+-5)))*-5)))/-5)--5)+(-5*(((-54.62*(-54.62-(-5/-5)))*(-54.62-(-54.62/(-5*-54.62))))-(-5/-5)))))</f>
        <v>-820898.90444</v>
      </c>
      <c r="C4539" t="n" s="0">
        <v>-820898.9044399998</v>
      </c>
    </row>
    <row r="4540">
      <c r="A4540" t="n" s="0">
        <v>-54.61</v>
      </c>
      <c r="B4540" t="n" s="0">
        <f>(-5-((((-5*(-5/((-5/(((-5*(-54.61--5))-(-5+((-5*-54.61)*(((-5--5)+(-54.61--5))+-54.61))))-(-5+-5)))*-5)))/-5)--5)+(-5*(((-54.61*(-54.61-(-5/-5)))*(-54.61-(-54.61/(-5*-54.61))))-(-5/-5)))))</f>
        <v>-820449.270105</v>
      </c>
      <c r="C4540" t="n" s="0">
        <v>-820449.2701049999</v>
      </c>
    </row>
    <row r="4541">
      <c r="A4541" t="n" s="0">
        <v>-54.6</v>
      </c>
      <c r="B4541" t="n" s="0">
        <f>(-5-((((-5*(-5/((-5/(((-5*(-54.6--5))-(-5+((-5*-54.6)*(((-5--5)+(-54.6--5))+-54.6))))-(-5+-5)))*-5)))/-5)--5)+(-5*(((-54.6*(-54.6-(-5/-5)))*(-54.6-(-54.6/(-5*-54.6))))-(-5/-5)))))</f>
        <v>-819999.7999999999</v>
      </c>
      <c r="C4541" t="n" s="0">
        <v>-819999.8</v>
      </c>
    </row>
    <row r="4542">
      <c r="A4542" t="n" s="0">
        <v>-54.59</v>
      </c>
      <c r="B4542" t="n" s="0">
        <f>(-5-((((-5*(-5/((-5/(((-5*(-54.59--5))-(-5+((-5*-54.59)*(((-5--5)+(-54.59--5))+-54.59))))-(-5+-5)))*-5)))/-5)--5)+(-5*(((-54.59*(-54.59-(-5/-5)))*(-54.59-(-54.59/(-5*-54.59))))-(-5/-5)))))</f>
        <v>-819550.4940950001</v>
      </c>
      <c r="C4542" t="n" s="0">
        <v>-819550.4940950001</v>
      </c>
    </row>
    <row r="4543">
      <c r="A4543" t="n" s="0">
        <v>-54.58</v>
      </c>
      <c r="B4543" t="n" s="0">
        <f>(-5-((((-5*(-5/((-5/(((-5*(-54.58--5))-(-5+((-5*-54.58)*(((-5--5)+(-54.58--5))+-54.58))))-(-5+-5)))*-5)))/-5)--5)+(-5*(((-54.58*(-54.58-(-5/-5)))*(-54.58-(-54.58/(-5*-54.58))))-(-5/-5)))))</f>
        <v>-819101.35236</v>
      </c>
      <c r="C4543" t="n" s="0">
        <v>-819101.3523599998</v>
      </c>
    </row>
    <row r="4544">
      <c r="A4544" t="n" s="0">
        <v>-54.57</v>
      </c>
      <c r="B4544" t="n" s="0">
        <f>(-5-((((-5*(-5/((-5/(((-5*(-54.57--5))-(-5+((-5*-54.57)*(((-5--5)+(-54.57--5))+-54.57))))-(-5+-5)))*-5)))/-5)--5)+(-5*(((-54.57*(-54.57-(-5/-5)))*(-54.57-(-54.57/(-5*-54.57))))-(-5/-5)))))</f>
        <v>-818652.3747650001</v>
      </c>
      <c r="C4544" t="n" s="0">
        <v>-818652.374765</v>
      </c>
    </row>
    <row r="4545">
      <c r="A4545" t="n" s="0">
        <v>-54.56</v>
      </c>
      <c r="B4545" t="n" s="0">
        <f>(-5-((((-5*(-5/((-5/(((-5*(-54.56--5))-(-5+((-5*-54.56)*(((-5--5)+(-54.56--5))+-54.56))))-(-5+-5)))*-5)))/-5)--5)+(-5*(((-54.56*(-54.56-(-5/-5)))*(-54.56-(-54.56/(-5*-54.56))))-(-5/-5)))))</f>
        <v>-818203.56128</v>
      </c>
      <c r="C4545" t="n" s="0">
        <v>-818203.5612800001</v>
      </c>
    </row>
    <row r="4546">
      <c r="A4546" t="n" s="0">
        <v>-54.55</v>
      </c>
      <c r="B4546" t="n" s="0">
        <f>(-5-((((-5*(-5/((-5/(((-5*(-54.55--5))-(-5+((-5*-54.55)*(((-5--5)+(-54.55--5))+-54.55))))-(-5+-5)))*-5)))/-5)--5)+(-5*(((-54.55*(-54.55-(-5/-5)))*(-54.55-(-54.55/(-5*-54.55))))-(-5/-5)))))</f>
        <v>-817754.911875</v>
      </c>
      <c r="C4546" t="n" s="0">
        <v>-817754.9118749999</v>
      </c>
    </row>
    <row r="4547">
      <c r="A4547" t="n" s="0">
        <v>-54.54</v>
      </c>
      <c r="B4547" t="n" s="0">
        <f>(-5-((((-5*(-5/((-5/(((-5*(-54.54--5))-(-5+((-5*-54.54)*(((-5--5)+(-54.54--5))+-54.54))))-(-5+-5)))*-5)))/-5)--5)+(-5*(((-54.54*(-54.54-(-5/-5)))*(-54.54-(-54.54/(-5*-54.54))))-(-5/-5)))))</f>
        <v>-817306.42652</v>
      </c>
      <c r="C4547" t="n" s="0">
        <v>-817306.42652</v>
      </c>
    </row>
    <row r="4548">
      <c r="A4548" t="n" s="0">
        <v>-54.53</v>
      </c>
      <c r="B4548" t="n" s="0">
        <f>(-5-((((-5*(-5/((-5/(((-5*(-54.53--5))-(-5+((-5*-54.53)*(((-5--5)+(-54.53--5))+-54.53))))-(-5+-5)))*-5)))/-5)--5)+(-5*(((-54.53*(-54.53-(-5/-5)))*(-54.53-(-54.53/(-5*-54.53))))-(-5/-5)))))</f>
        <v>-816858.105185</v>
      </c>
      <c r="C4548" t="n" s="0">
        <v>-816858.1051850001</v>
      </c>
    </row>
    <row r="4549">
      <c r="A4549" t="n" s="0">
        <v>-54.52</v>
      </c>
      <c r="B4549" t="n" s="0">
        <f>(-5-((((-5*(-5/((-5/(((-5*(-54.52--5))-(-5+((-5*-54.52)*(((-5--5)+(-54.52--5))+-54.52))))-(-5+-5)))*-5)))/-5)--5)+(-5*(((-54.52*(-54.52-(-5/-5)))*(-54.52-(-54.52/(-5*-54.52))))-(-5/-5)))))</f>
        <v>-816409.94784</v>
      </c>
      <c r="C4549" t="n" s="0">
        <v>-816409.9478400002</v>
      </c>
    </row>
    <row r="4550">
      <c r="A4550" t="n" s="0">
        <v>-54.51</v>
      </c>
      <c r="B4550" t="n" s="0">
        <f>(-5-((((-5*(-5/((-5/(((-5*(-54.51--5))-(-5+((-5*-54.51)*(((-5--5)+(-54.51--5))+-54.51))))-(-5+-5)))*-5)))/-5)--5)+(-5*(((-54.51*(-54.51-(-5/-5)))*(-54.51-(-54.51/(-5*-54.51))))-(-5/-5)))))</f>
        <v>-815961.954455</v>
      </c>
      <c r="C4550" t="n" s="0">
        <v>-815961.9544549999</v>
      </c>
    </row>
    <row r="4551">
      <c r="A4551" t="n" s="0">
        <v>-54.5</v>
      </c>
      <c r="B4551" t="n" s="0">
        <f>(-5-((((-5*(-5/((-5/(((-5*(-54.5--5))-(-5+((-5*-54.5)*(((-5--5)+(-54.5--5))+-54.5))))-(-5+-5)))*-5)))/-5)--5)+(-5*(((-54.5*(-54.5-(-5/-5)))*(-54.5-(-54.5/(-5*-54.5))))-(-5/-5)))))</f>
        <v>-815514.125</v>
      </c>
      <c r="C4551" t="n" s="0">
        <v>-815514.125</v>
      </c>
    </row>
    <row r="4552">
      <c r="A4552" t="n" s="0">
        <v>-54.49</v>
      </c>
      <c r="B4552" t="n" s="0">
        <f>(-5-((((-5*(-5/((-5/(((-5*(-54.49--5))-(-5+((-5*-54.49)*(((-5--5)+(-54.49--5))+-54.49))))-(-5+-5)))*-5)))/-5)--5)+(-5*(((-54.49*(-54.49-(-5/-5)))*(-54.49-(-54.49/(-5*-54.49))))-(-5/-5)))))</f>
        <v>-815066.459445</v>
      </c>
      <c r="C4552" t="n" s="0">
        <v>-815066.459445</v>
      </c>
    </row>
    <row r="4553">
      <c r="A4553" t="n" s="0">
        <v>-54.48</v>
      </c>
      <c r="B4553" t="n" s="0">
        <f>(-5-((((-5*(-5/((-5/(((-5*(-54.48--5))-(-5+((-5*-54.48)*(((-5--5)+(-54.48--5))+-54.48))))-(-5+-5)))*-5)))/-5)--5)+(-5*(((-54.48*(-54.48-(-5/-5)))*(-54.48-(-54.48/(-5*-54.48))))-(-5/-5)))))</f>
        <v>-814618.95776</v>
      </c>
      <c r="C4553" t="n" s="0">
        <v>-814618.9577599998</v>
      </c>
    </row>
    <row r="4554">
      <c r="A4554" t="n" s="0">
        <v>-54.47</v>
      </c>
      <c r="B4554" t="n" s="0">
        <f>(-5-((((-5*(-5/((-5/(((-5*(-54.47--5))-(-5+((-5*-54.47)*(((-5--5)+(-54.47--5))+-54.47))))-(-5+-5)))*-5)))/-5)--5)+(-5*(((-54.47*(-54.47-(-5/-5)))*(-54.47-(-54.47/(-5*-54.47))))-(-5/-5)))))</f>
        <v>-814171.6199149999</v>
      </c>
      <c r="C4554" t="n" s="0">
        <v>-814171.619915</v>
      </c>
    </row>
    <row r="4555">
      <c r="A4555" t="n" s="0">
        <v>-54.46</v>
      </c>
      <c r="B4555" t="n" s="0">
        <f>(-5-((((-5*(-5/((-5/(((-5*(-54.46--5))-(-5+((-5*-54.46)*(((-5--5)+(-54.46--5))+-54.46))))-(-5+-5)))*-5)))/-5)--5)+(-5*(((-54.46*(-54.46-(-5/-5)))*(-54.46-(-54.46/(-5*-54.46))))-(-5/-5)))))</f>
        <v>-813724.44588</v>
      </c>
      <c r="C4555" t="n" s="0">
        <v>-813724.44588</v>
      </c>
    </row>
    <row r="4556">
      <c r="A4556" t="n" s="0">
        <v>-54.45</v>
      </c>
      <c r="B4556" t="n" s="0">
        <f>(-5-((((-5*(-5/((-5/(((-5*(-54.45--5))-(-5+((-5*-54.45)*(((-5--5)+(-54.45--5))+-54.45))))-(-5+-5)))*-5)))/-5)--5)+(-5*(((-54.45*(-54.45-(-5/-5)))*(-54.45-(-54.45/(-5*-54.45))))-(-5/-5)))))</f>
        <v>-813277.4356249999</v>
      </c>
      <c r="C4556" t="n" s="0">
        <v>-813277.4356250002</v>
      </c>
    </row>
    <row r="4557">
      <c r="A4557" t="n" s="0">
        <v>-54.44</v>
      </c>
      <c r="B4557" t="n" s="0">
        <f>(-5-((((-5*(-5/((-5/(((-5*(-54.44--5))-(-5+((-5*-54.44)*(((-5--5)+(-54.44--5))+-54.44))))-(-5+-5)))*-5)))/-5)--5)+(-5*(((-54.44*(-54.44-(-5/-5)))*(-54.44-(-54.44/(-5*-54.44))))-(-5/-5)))))</f>
        <v>-812830.58912</v>
      </c>
      <c r="C4557" t="n" s="0">
        <v>-812830.5891199999</v>
      </c>
    </row>
    <row r="4558">
      <c r="A4558" t="n" s="0">
        <v>-54.43</v>
      </c>
      <c r="B4558" t="n" s="0">
        <f>(-5-((((-5*(-5/((-5/(((-5*(-54.43--5))-(-5+((-5*-54.43)*(((-5--5)+(-54.43--5))+-54.43))))-(-5+-5)))*-5)))/-5)--5)+(-5*(((-54.43*(-54.43-(-5/-5)))*(-54.43-(-54.43/(-5*-54.43))))-(-5/-5)))))</f>
        <v>-812383.906335</v>
      </c>
      <c r="C4558" t="n" s="0">
        <v>-812383.906335</v>
      </c>
    </row>
    <row r="4559">
      <c r="A4559" t="n" s="0">
        <v>-54.42</v>
      </c>
      <c r="B4559" t="n" s="0">
        <f>(-5-((((-5*(-5/((-5/(((-5*(-54.42--5))-(-5+((-5*-54.42)*(((-5--5)+(-54.42--5))+-54.42))))-(-5+-5)))*-5)))/-5)--5)+(-5*(((-54.42*(-54.42-(-5/-5)))*(-54.42-(-54.42/(-5*-54.42))))-(-5/-5)))))</f>
        <v>-811937.38724</v>
      </c>
      <c r="C4559" t="n" s="0">
        <v>-811937.3872400001</v>
      </c>
    </row>
    <row r="4560">
      <c r="A4560" t="n" s="0">
        <v>-54.41</v>
      </c>
      <c r="B4560" t="n" s="0">
        <f>(-5-((((-5*(-5/((-5/(((-5*(-54.41--5))-(-5+((-5*-54.41)*(((-5--5)+(-54.41--5))+-54.41))))-(-5+-5)))*-5)))/-5)--5)+(-5*(((-54.41*(-54.41-(-5/-5)))*(-54.41-(-54.41/(-5*-54.41))))-(-5/-5)))))</f>
        <v>-811491.031805</v>
      </c>
      <c r="C4560" t="n" s="0">
        <v>-811491.0318049997</v>
      </c>
    </row>
    <row r="4561">
      <c r="A4561" t="n" s="0">
        <v>-54.4</v>
      </c>
      <c r="B4561" t="n" s="0">
        <f>(-5-((((-5*(-5/((-5/(((-5*(-54.4--5))-(-5+((-5*-54.4)*(((-5--5)+(-54.4--5))+-54.4))))-(-5+-5)))*-5)))/-5)--5)+(-5*(((-54.4*(-54.4-(-5/-5)))*(-54.4-(-54.4/(-5*-54.4))))-(-5/-5)))))</f>
        <v>-811044.84</v>
      </c>
      <c r="C4561" t="n" s="0">
        <v>-811044.8399999999</v>
      </c>
    </row>
    <row r="4562">
      <c r="A4562" t="n" s="0">
        <v>-54.39</v>
      </c>
      <c r="B4562" t="n" s="0">
        <f>(-5-((((-5*(-5/((-5/(((-5*(-54.39--5))-(-5+((-5*-54.39)*(((-5--5)+(-54.39--5))+-54.39))))-(-5+-5)))*-5)))/-5)--5)+(-5*(((-54.39*(-54.39-(-5/-5)))*(-54.39-(-54.39/(-5*-54.39))))-(-5/-5)))))</f>
        <v>-810598.8117950001</v>
      </c>
      <c r="C4562" t="n" s="0">
        <v>-810598.8117950001</v>
      </c>
    </row>
    <row r="4563">
      <c r="A4563" t="n" s="0">
        <v>-54.38</v>
      </c>
      <c r="B4563" t="n" s="0">
        <f>(-5-((((-5*(-5/((-5/(((-5*(-54.38--5))-(-5+((-5*-54.38)*(((-5--5)+(-54.38--5))+-54.38))))-(-5+-5)))*-5)))/-5)--5)+(-5*(((-54.38*(-54.38-(-5/-5)))*(-54.38-(-54.38/(-5*-54.38))))-(-5/-5)))))</f>
        <v>-810152.94716</v>
      </c>
      <c r="C4563" t="n" s="0">
        <v>-810152.9471600002</v>
      </c>
    </row>
    <row r="4564">
      <c r="A4564" t="n" s="0">
        <v>-54.37</v>
      </c>
      <c r="B4564" t="n" s="0">
        <f>(-5-((((-5*(-5/((-5/(((-5*(-54.37--5))-(-5+((-5*-54.37)*(((-5--5)+(-54.37--5))+-54.37))))-(-5+-5)))*-5)))/-5)--5)+(-5*(((-54.37*(-54.37-(-5/-5)))*(-54.37-(-54.37/(-5*-54.37))))-(-5/-5)))))</f>
        <v>-809707.246065</v>
      </c>
      <c r="C4564" t="n" s="0">
        <v>-809707.2460649998</v>
      </c>
    </row>
    <row r="4565">
      <c r="A4565" t="n" s="0">
        <v>-54.36</v>
      </c>
      <c r="B4565" t="n" s="0">
        <f>(-5-((((-5*(-5/((-5/(((-5*(-54.36--5))-(-5+((-5*-54.36)*(((-5--5)+(-54.36--5))+-54.36))))-(-5+-5)))*-5)))/-5)--5)+(-5*(((-54.36*(-54.36-(-5/-5)))*(-54.36-(-54.36/(-5*-54.36))))-(-5/-5)))))</f>
        <v>-809261.7084799999</v>
      </c>
      <c r="C4565" t="n" s="0">
        <v>-809261.7084799999</v>
      </c>
    </row>
    <row r="4566">
      <c r="A4566" t="n" s="0">
        <v>-54.35</v>
      </c>
      <c r="B4566" t="n" s="0">
        <f>(-5-((((-5*(-5/((-5/(((-5*(-54.35--5))-(-5+((-5*-54.35)*(((-5--5)+(-54.35--5))+-54.35))))-(-5+-5)))*-5)))/-5)--5)+(-5*(((-54.35*(-54.35-(-5/-5)))*(-54.35-(-54.35/(-5*-54.35))))-(-5/-5)))))</f>
        <v>-808816.3343750001</v>
      </c>
      <c r="C4566" t="n" s="0">
        <v>-808816.3343750001</v>
      </c>
    </row>
    <row r="4567">
      <c r="A4567" t="n" s="0">
        <v>-54.34</v>
      </c>
      <c r="B4567" t="n" s="0">
        <f>(-5-((((-5*(-5/((-5/(((-5*(-54.34--5))-(-5+((-5*-54.34)*(((-5--5)+(-54.34--5))+-54.34))))-(-5+-5)))*-5)))/-5)--5)+(-5*(((-54.34*(-54.34-(-5/-5)))*(-54.34-(-54.34/(-5*-54.34))))-(-5/-5)))))</f>
        <v>-808371.12372</v>
      </c>
      <c r="C4567" t="n" s="0">
        <v>-808371.1237200001</v>
      </c>
    </row>
    <row r="4568">
      <c r="A4568" t="n" s="0">
        <v>-54.33</v>
      </c>
      <c r="B4568" t="n" s="0">
        <f>(-5-((((-5*(-5/((-5/(((-5*(-54.33--5))-(-5+((-5*-54.33)*(((-5--5)+(-54.33--5))+-54.33))))-(-5+-5)))*-5)))/-5)--5)+(-5*(((-54.33*(-54.33-(-5/-5)))*(-54.33-(-54.33/(-5*-54.33))))-(-5/-5)))))</f>
        <v>-807926.0764850001</v>
      </c>
      <c r="C4568" t="n" s="0">
        <v>-807926.076485</v>
      </c>
    </row>
    <row r="4569">
      <c r="A4569" t="n" s="0">
        <v>-54.32</v>
      </c>
      <c r="B4569" t="n" s="0">
        <f>(-5-((((-5*(-5/((-5/(((-5*(-54.32--5))-(-5+((-5*-54.32)*(((-5--5)+(-54.32--5))+-54.32))))-(-5+-5)))*-5)))/-5)--5)+(-5*(((-54.32*(-54.32-(-5/-5)))*(-54.32-(-54.32/(-5*-54.32))))-(-5/-5)))))</f>
        <v>-807481.19264</v>
      </c>
      <c r="C4569" t="n" s="0">
        <v>-807481.1926399999</v>
      </c>
    </row>
    <row r="4570">
      <c r="A4570" t="n" s="0">
        <v>-54.31</v>
      </c>
      <c r="B4570" t="n" s="0">
        <f>(-5-((((-5*(-5/((-5/(((-5*(-54.31--5))-(-5+((-5*-54.31)*(((-5--5)+(-54.31--5))+-54.31))))-(-5+-5)))*-5)))/-5)--5)+(-5*(((-54.31*(-54.31-(-5/-5)))*(-54.31-(-54.31/(-5*-54.31))))-(-5/-5)))))</f>
        <v>-807036.472155</v>
      </c>
      <c r="C4570" t="n" s="0">
        <v>-807036.4721550002</v>
      </c>
    </row>
    <row r="4571">
      <c r="A4571" t="n" s="0">
        <v>-54.3</v>
      </c>
      <c r="B4571" t="n" s="0">
        <f>(-5-((((-5*(-5/((-5/(((-5*(-54.3--5))-(-5+((-5*-54.3)*(((-5--5)+(-54.3--5))+-54.3))))-(-5+-5)))*-5)))/-5)--5)+(-5*(((-54.3*(-54.3-(-5/-5)))*(-54.3-(-54.3/(-5*-54.3))))-(-5/-5)))))</f>
        <v>-806591.9149999999</v>
      </c>
      <c r="C4571" t="n" s="0">
        <v>-806591.9149999999</v>
      </c>
    </row>
    <row r="4572">
      <c r="A4572" t="n" s="0">
        <v>-54.29</v>
      </c>
      <c r="B4572" t="n" s="0">
        <f>(-5-((((-5*(-5/((-5/(((-5*(-54.29--5))-(-5+((-5*-54.29)*(((-5--5)+(-54.29--5))+-54.29))))-(-5+-5)))*-5)))/-5)--5)+(-5*(((-54.29*(-54.29-(-5/-5)))*(-54.29-(-54.29/(-5*-54.29))))-(-5/-5)))))</f>
        <v>-806147.5211449999</v>
      </c>
      <c r="C4572" t="n" s="0">
        <v>-806147.521145</v>
      </c>
    </row>
    <row r="4573">
      <c r="A4573" t="n" s="0">
        <v>-54.28</v>
      </c>
      <c r="B4573" t="n" s="0">
        <f>(-5-((((-5*(-5/((-5/(((-5*(-54.28--5))-(-5+((-5*-54.28)*(((-5--5)+(-54.28--5))+-54.28))))-(-5+-5)))*-5)))/-5)--5)+(-5*(((-54.28*(-54.28-(-5/-5)))*(-54.28-(-54.28/(-5*-54.28))))-(-5/-5)))))</f>
        <v>-805703.29056</v>
      </c>
      <c r="C4573" t="n" s="0">
        <v>-805703.29056</v>
      </c>
    </row>
    <row r="4574">
      <c r="A4574" t="n" s="0">
        <v>-54.27</v>
      </c>
      <c r="B4574" t="n" s="0">
        <f>(-5-((((-5*(-5/((-5/(((-5*(-54.27--5))-(-5+((-5*-54.27)*(((-5--5)+(-54.27--5))+-54.27))))-(-5+-5)))*-5)))/-5)--5)+(-5*(((-54.27*(-54.27-(-5/-5)))*(-54.27-(-54.27/(-5*-54.27))))-(-5/-5)))))</f>
        <v>-805259.223215</v>
      </c>
      <c r="C4574" t="n" s="0">
        <v>-805259.2232150002</v>
      </c>
    </row>
    <row r="4575">
      <c r="A4575" t="n" s="0">
        <v>-54.26</v>
      </c>
      <c r="B4575" t="n" s="0">
        <f>(-5-((((-5*(-5/((-5/(((-5*(-54.26--5))-(-5+((-5*-54.26)*(((-5--5)+(-54.26--5))+-54.26))))-(-5+-5)))*-5)))/-5)--5)+(-5*(((-54.26*(-54.26-(-5/-5)))*(-54.26-(-54.26/(-5*-54.26))))-(-5/-5)))))</f>
        <v>-804815.3190799999</v>
      </c>
      <c r="C4575" t="n" s="0">
        <v>-804815.3190799999</v>
      </c>
    </row>
    <row r="4576">
      <c r="A4576" t="n" s="0">
        <v>-54.25</v>
      </c>
      <c r="B4576" t="n" s="0">
        <f>(-5-((((-5*(-5/((-5/(((-5*(-54.25--5))-(-5+((-5*-54.25)*(((-5--5)+(-54.25--5))+-54.25))))-(-5+-5)))*-5)))/-5)--5)+(-5*(((-54.25*(-54.25-(-5/-5)))*(-54.25-(-54.25/(-5*-54.25))))-(-5/-5)))))</f>
        <v>-804371.578125</v>
      </c>
      <c r="C4576" t="n" s="0">
        <v>-804371.578125</v>
      </c>
    </row>
    <row r="4577">
      <c r="A4577" t="n" s="0">
        <v>-54.24</v>
      </c>
      <c r="B4577" t="n" s="0">
        <f>(-5-((((-5*(-5/((-5/(((-5*(-54.24--5))-(-5+((-5*-54.24)*(((-5--5)+(-54.24--5))+-54.24))))-(-5+-5)))*-5)))/-5)--5)+(-5*(((-54.24*(-54.24-(-5/-5)))*(-54.24-(-54.24/(-5*-54.24))))-(-5/-5)))))</f>
        <v>-803928.00032</v>
      </c>
      <c r="C4577" t="n" s="0">
        <v>-803928.0003200001</v>
      </c>
    </row>
    <row r="4578">
      <c r="A4578" t="n" s="0">
        <v>-54.23</v>
      </c>
      <c r="B4578" t="n" s="0">
        <f>(-5-((((-5*(-5/((-5/(((-5*(-54.23--5))-(-5+((-5*-54.23)*(((-5--5)+(-54.23--5))+-54.23))))-(-5+-5)))*-5)))/-5)--5)+(-5*(((-54.23*(-54.23-(-5/-5)))*(-54.23-(-54.23/(-5*-54.23))))-(-5/-5)))))</f>
        <v>-803484.585635</v>
      </c>
      <c r="C4578" t="n" s="0">
        <v>-803484.5856349998</v>
      </c>
    </row>
    <row r="4579">
      <c r="A4579" t="n" s="0">
        <v>-54.22</v>
      </c>
      <c r="B4579" t="n" s="0">
        <f>(-5-((((-5*(-5/((-5/(((-5*(-54.22--5))-(-5+((-5*-54.22)*(((-5--5)+(-54.22--5))+-54.22))))-(-5+-5)))*-5)))/-5)--5)+(-5*(((-54.22*(-54.22-(-5/-5)))*(-54.22-(-54.22/(-5*-54.22))))-(-5/-5)))))</f>
        <v>-803041.33404</v>
      </c>
      <c r="C4579" t="n" s="0">
        <v>-803041.33404</v>
      </c>
    </row>
    <row r="4580">
      <c r="A4580" t="n" s="0">
        <v>-54.21</v>
      </c>
      <c r="B4580" t="n" s="0">
        <f>(-5-((((-5*(-5/((-5/(((-5*(-54.21--5))-(-5+((-5*-54.21)*(((-5--5)+(-54.21--5))+-54.21))))-(-5+-5)))*-5)))/-5)--5)+(-5*(((-54.21*(-54.21-(-5/-5)))*(-54.21-(-54.21/(-5*-54.21))))-(-5/-5)))))</f>
        <v>-802598.245505</v>
      </c>
      <c r="C4580" t="n" s="0">
        <v>-802598.245505</v>
      </c>
    </row>
    <row r="4581">
      <c r="A4581" t="n" s="0">
        <v>-54.2</v>
      </c>
      <c r="B4581" t="n" s="0">
        <f>(-5-((((-5*(-5/((-5/(((-5*(-54.2--5))-(-5+((-5*-54.2)*(((-5--5)+(-54.2--5))+-54.2))))-(-5+-5)))*-5)))/-5)--5)+(-5*(((-54.2*(-54.2-(-5/-5)))*(-54.2-(-54.2/(-5*-54.2))))-(-5/-5)))))</f>
        <v>-802155.3200000001</v>
      </c>
      <c r="C4581" t="n" s="0">
        <v>-802155.3200000001</v>
      </c>
    </row>
    <row r="4582">
      <c r="A4582" t="n" s="0">
        <v>-54.19</v>
      </c>
      <c r="B4582" t="n" s="0">
        <f>(-5-((((-5*(-5/((-5/(((-5*(-54.19--5))-(-5+((-5*-54.19)*(((-5--5)+(-54.19--5))+-54.19))))-(-5+-5)))*-5)))/-5)--5)+(-5*(((-54.19*(-54.19-(-5/-5)))*(-54.19-(-54.19/(-5*-54.19))))-(-5/-5)))))</f>
        <v>-801712.5574950001</v>
      </c>
      <c r="C4582" t="n" s="0">
        <v>-801712.5574949998</v>
      </c>
    </row>
    <row r="4583">
      <c r="A4583" t="n" s="0">
        <v>-54.18</v>
      </c>
      <c r="B4583" t="n" s="0">
        <f>(-5-((((-5*(-5/((-5/(((-5*(-54.18--5))-(-5+((-5*-54.18)*(((-5--5)+(-54.18--5))+-54.18))))-(-5+-5)))*-5)))/-5)--5)+(-5*(((-54.18*(-54.18-(-5/-5)))*(-54.18-(-54.18/(-5*-54.18))))-(-5/-5)))))</f>
        <v>-801269.95796</v>
      </c>
      <c r="C4583" t="n" s="0">
        <v>-801269.9579600001</v>
      </c>
    </row>
    <row r="4584">
      <c r="A4584" t="n" s="0">
        <v>-54.17</v>
      </c>
      <c r="B4584" t="n" s="0">
        <f>(-5-((((-5*(-5/((-5/(((-5*(-54.17--5))-(-5+((-5*-54.17)*(((-5--5)+(-54.17--5))+-54.17))))-(-5+-5)))*-5)))/-5)--5)+(-5*(((-54.17*(-54.17-(-5/-5)))*(-54.17-(-54.17/(-5*-54.17))))-(-5/-5)))))</f>
        <v>-800827.521365</v>
      </c>
      <c r="C4584" t="n" s="0">
        <v>-800827.521365</v>
      </c>
    </row>
    <row r="4585">
      <c r="A4585" t="n" s="0">
        <v>-54.16</v>
      </c>
      <c r="B4585" t="n" s="0">
        <f>(-5-((((-5*(-5/((-5/(((-5*(-54.16--5))-(-5+((-5*-54.16)*(((-5--5)+(-54.16--5))+-54.16))))-(-5+-5)))*-5)))/-5)--5)+(-5*(((-54.16*(-54.16-(-5/-5)))*(-54.16-(-54.16/(-5*-54.16))))-(-5/-5)))))</f>
        <v>-800385.2476799999</v>
      </c>
      <c r="C4585" t="n" s="0">
        <v>-800385.2476799998</v>
      </c>
    </row>
    <row r="4586">
      <c r="A4586" t="n" s="0">
        <v>-54.15</v>
      </c>
      <c r="B4586" t="n" s="0">
        <f>(-5-((((-5*(-5/((-5/(((-5*(-54.15--5))-(-5+((-5*-54.15)*(((-5--5)+(-54.15--5))+-54.15))))-(-5+-5)))*-5)))/-5)--5)+(-5*(((-54.15*(-54.15-(-5/-5)))*(-54.15-(-54.15/(-5*-54.15))))-(-5/-5)))))</f>
        <v>-799943.1368750001</v>
      </c>
      <c r="C4586" t="n" s="0">
        <v>-799943.136875</v>
      </c>
    </row>
    <row r="4587">
      <c r="A4587" t="n" s="0">
        <v>-54.14</v>
      </c>
      <c r="B4587" t="n" s="0">
        <f>(-5-((((-5*(-5/((-5/(((-5*(-54.14--5))-(-5+((-5*-54.14)*(((-5--5)+(-54.14--5))+-54.14))))-(-5+-5)))*-5)))/-5)--5)+(-5*(((-54.14*(-54.14-(-5/-5)))*(-54.14-(-54.14/(-5*-54.14))))-(-5/-5)))))</f>
        <v>-799501.18892</v>
      </c>
      <c r="C4587" t="n" s="0">
        <v>-799501.18892</v>
      </c>
    </row>
    <row r="4588">
      <c r="A4588" t="n" s="0">
        <v>-54.13</v>
      </c>
      <c r="B4588" t="n" s="0">
        <f>(-5-((((-5*(-5/((-5/(((-5*(-54.13--5))-(-5+((-5*-54.13)*(((-5--5)+(-54.13--5))+-54.13))))-(-5+-5)))*-5)))/-5)--5)+(-5*(((-54.13*(-54.13-(-5/-5)))*(-54.13-(-54.13/(-5*-54.13))))-(-5/-5)))))</f>
        <v>-799059.403785</v>
      </c>
      <c r="C4588" t="n" s="0">
        <v>-799059.4037850001</v>
      </c>
    </row>
    <row r="4589">
      <c r="A4589" t="n" s="0">
        <v>-54.12</v>
      </c>
      <c r="B4589" t="n" s="0">
        <f>(-5-((((-5*(-5/((-5/(((-5*(-54.12--5))-(-5+((-5*-54.12)*(((-5--5)+(-54.12--5))+-54.12))))-(-5+-5)))*-5)))/-5)--5)+(-5*(((-54.12*(-54.12-(-5/-5)))*(-54.12-(-54.12/(-5*-54.12))))-(-5/-5)))))</f>
        <v>-798617.7814399999</v>
      </c>
      <c r="C4589" t="n" s="0">
        <v>-798617.7814399999</v>
      </c>
    </row>
    <row r="4590">
      <c r="A4590" t="n" s="0">
        <v>-54.11</v>
      </c>
      <c r="B4590" t="n" s="0">
        <f>(-5-((((-5*(-5/((-5/(((-5*(-54.11--5))-(-5+((-5*-54.11)*(((-5--5)+(-54.11--5))+-54.11))))-(-5+-5)))*-5)))/-5)--5)+(-5*(((-54.11*(-54.11-(-5/-5)))*(-54.11-(-54.11/(-5*-54.11))))-(-5/-5)))))</f>
        <v>-798176.321855</v>
      </c>
      <c r="C4590" t="n" s="0">
        <v>-798176.321855</v>
      </c>
    </row>
    <row r="4591">
      <c r="A4591" t="n" s="0">
        <v>-54.1</v>
      </c>
      <c r="B4591" t="n" s="0">
        <f>(-5-((((-5*(-5/((-5/(((-5*(-54.1--5))-(-5+((-5*-54.1)*(((-5--5)+(-54.1--5))+-54.1))))-(-5+-5)))*-5)))/-5)--5)+(-5*(((-54.1*(-54.1-(-5/-5)))*(-54.1-(-54.1/(-5*-54.1))))-(-5/-5)))))</f>
        <v>-797735.025</v>
      </c>
      <c r="C4591" t="n" s="0">
        <v>-797735.025</v>
      </c>
    </row>
    <row r="4592">
      <c r="A4592" t="n" s="0">
        <v>-54.09</v>
      </c>
      <c r="B4592" t="n" s="0">
        <f>(-5-((((-5*(-5/((-5/(((-5*(-54.09--5))-(-5+((-5*-54.09)*(((-5--5)+(-54.09--5))+-54.09))))-(-5+-5)))*-5)))/-5)--5)+(-5*(((-54.09*(-54.09-(-5/-5)))*(-54.09-(-54.09/(-5*-54.09))))-(-5/-5)))))</f>
        <v>-797293.8908449999</v>
      </c>
      <c r="C4592" t="n" s="0">
        <v>-797293.8908450003</v>
      </c>
    </row>
    <row r="4593">
      <c r="A4593" t="n" s="0">
        <v>-54.08</v>
      </c>
      <c r="B4593" t="n" s="0">
        <f>(-5-((((-5*(-5/((-5/(((-5*(-54.08--5))-(-5+((-5*-54.08)*(((-5--5)+(-54.08--5))+-54.08))))-(-5+-5)))*-5)))/-5)--5)+(-5*(((-54.08*(-54.08-(-5/-5)))*(-54.08-(-54.08/(-5*-54.08))))-(-5/-5)))))</f>
        <v>-796852.91936</v>
      </c>
      <c r="C4593" t="n" s="0">
        <v>-796852.91936</v>
      </c>
    </row>
    <row r="4594">
      <c r="A4594" t="n" s="0">
        <v>-54.07</v>
      </c>
      <c r="B4594" t="n" s="0">
        <f>(-5-((((-5*(-5/((-5/(((-5*(-54.07--5))-(-5+((-5*-54.07)*(((-5--5)+(-54.07--5))+-54.07))))-(-5+-5)))*-5)))/-5)--5)+(-5*(((-54.07*(-54.07-(-5/-5)))*(-54.07-(-54.07/(-5*-54.07))))-(-5/-5)))))</f>
        <v>-796412.1105150001</v>
      </c>
      <c r="C4594" t="n" s="0">
        <v>-796412.110515</v>
      </c>
    </row>
    <row r="4595">
      <c r="A4595" t="n" s="0">
        <v>-54.06</v>
      </c>
      <c r="B4595" t="n" s="0">
        <f>(-5-((((-5*(-5/((-5/(((-5*(-54.06--5))-(-5+((-5*-54.06)*(((-5--5)+(-54.06--5))+-54.06))))-(-5+-5)))*-5)))/-5)--5)+(-5*(((-54.06*(-54.06-(-5/-5)))*(-54.06-(-54.06/(-5*-54.06))))-(-5/-5)))))</f>
        <v>-795971.4642800001</v>
      </c>
      <c r="C4595" t="n" s="0">
        <v>-795971.4642800001</v>
      </c>
    </row>
    <row r="4596">
      <c r="A4596" t="n" s="0">
        <v>-54.05</v>
      </c>
      <c r="B4596" t="n" s="0">
        <f>(-5-((((-5*(-5/((-5/(((-5*(-54.05--5))-(-5+((-5*-54.05)*(((-5--5)+(-54.05--5))+-54.05))))-(-5+-5)))*-5)))/-5)--5)+(-5*(((-54.05*(-54.05-(-5/-5)))*(-54.05-(-54.05/(-5*-54.05))))-(-5/-5)))))</f>
        <v>-795530.980625</v>
      </c>
      <c r="C4596" t="n" s="0">
        <v>-795530.980625</v>
      </c>
    </row>
    <row r="4597">
      <c r="A4597" t="n" s="0">
        <v>-54.04</v>
      </c>
      <c r="B4597" t="n" s="0">
        <f>(-5-((((-5*(-5/((-5/(((-5*(-54.04--5))-(-5+((-5*-54.04)*(((-5--5)+(-54.04--5))+-54.04))))-(-5+-5)))*-5)))/-5)--5)+(-5*(((-54.04*(-54.04-(-5/-5)))*(-54.04-(-54.04/(-5*-54.04))))-(-5/-5)))))</f>
        <v>-795090.65952</v>
      </c>
      <c r="C4597" t="n" s="0">
        <v>-795090.6595200001</v>
      </c>
    </row>
    <row r="4598">
      <c r="A4598" t="n" s="0">
        <v>-54.03</v>
      </c>
      <c r="B4598" t="n" s="0">
        <f>(-5-((((-5*(-5/((-5/(((-5*(-54.03--5))-(-5+((-5*-54.03)*(((-5--5)+(-54.03--5))+-54.03))))-(-5+-5)))*-5)))/-5)--5)+(-5*(((-54.03*(-54.03-(-5/-5)))*(-54.03-(-54.03/(-5*-54.03))))-(-5/-5)))))</f>
        <v>-794650.500935</v>
      </c>
      <c r="C4598" t="n" s="0">
        <v>-794650.5009349999</v>
      </c>
    </row>
    <row r="4599">
      <c r="A4599" t="n" s="0">
        <v>-54.02</v>
      </c>
      <c r="B4599" t="n" s="0">
        <f>(-5-((((-5*(-5/((-5/(((-5*(-54.02--5))-(-5+((-5*-54.02)*(((-5--5)+(-54.02--5))+-54.02))))-(-5+-5)))*-5)))/-5)--5)+(-5*(((-54.02*(-54.02-(-5/-5)))*(-54.02-(-54.02/(-5*-54.02))))-(-5/-5)))))</f>
        <v>-794210.50484</v>
      </c>
      <c r="C4599" t="n" s="0">
        <v>-794210.5048400002</v>
      </c>
    </row>
    <row r="4600">
      <c r="A4600" t="n" s="0">
        <v>-54.01</v>
      </c>
      <c r="B4600" t="n" s="0">
        <f>(-5-((((-5*(-5/((-5/(((-5*(-54.01--5))-(-5+((-5*-54.01)*(((-5--5)+(-54.01--5))+-54.01))))-(-5+-5)))*-5)))/-5)--5)+(-5*(((-54.01*(-54.01-(-5/-5)))*(-54.01-(-54.01/(-5*-54.01))))-(-5/-5)))))</f>
        <v>-793770.671205</v>
      </c>
      <c r="C4600" t="n" s="0">
        <v>-793770.6712049999</v>
      </c>
    </row>
    <row r="4601">
      <c r="A4601" t="n" s="0">
        <v>-54.0</v>
      </c>
      <c r="B4601" t="n" s="0">
        <f>(-5-((((-5*(-5/((-5/(((-5*(-54--5))-(-5+((-5*-54)*(((-5--5)+(-54--5))+-54))))-(-5+-5)))*-5)))/-5)--5)+(-5*(((-54*(-54-(-5/-5)))*(-54-(-54/(-5*-54))))-(-5/-5)))))</f>
        <v>-793331.0</v>
      </c>
      <c r="C4601" t="n" s="0">
        <v>-793331.0</v>
      </c>
    </row>
    <row r="4602">
      <c r="A4602" t="n" s="0">
        <v>-53.99</v>
      </c>
      <c r="B4602" t="n" s="0">
        <f>(-5-((((-5*(-5/((-5/(((-5*(-53.99--5))-(-5+((-5*-53.99)*(((-5--5)+(-53.99--5))+-53.99))))-(-5+-5)))*-5)))/-5)--5)+(-5*(((-53.99*(-53.99-(-5/-5)))*(-53.99-(-53.99/(-5*-53.99))))-(-5/-5)))))</f>
        <v>-792891.491195</v>
      </c>
      <c r="C4602" t="n" s="0">
        <v>-792891.491195</v>
      </c>
    </row>
    <row r="4603">
      <c r="A4603" t="n" s="0">
        <v>-53.98</v>
      </c>
      <c r="B4603" t="n" s="0">
        <f>(-5-((((-5*(-5/((-5/(((-5*(-53.98--5))-(-5+((-5*-53.98)*(((-5--5)+(-53.98--5))+-53.98))))-(-5+-5)))*-5)))/-5)--5)+(-5*(((-53.98*(-53.98-(-5/-5)))*(-53.98-(-53.98/(-5*-53.98))))-(-5/-5)))))</f>
        <v>-792452.1447599999</v>
      </c>
      <c r="C4603" t="n" s="0">
        <v>-792452.1447599998</v>
      </c>
    </row>
    <row r="4604">
      <c r="A4604" t="n" s="0">
        <v>-53.97</v>
      </c>
      <c r="B4604" t="n" s="0">
        <f>(-5-((((-5*(-5/((-5/(((-5*(-53.97--5))-(-5+((-5*-53.97)*(((-5--5)+(-53.97--5))+-53.97))))-(-5+-5)))*-5)))/-5)--5)+(-5*(((-53.97*(-53.97-(-5/-5)))*(-53.97-(-53.97/(-5*-53.97))))-(-5/-5)))))</f>
        <v>-792012.960665</v>
      </c>
      <c r="C4604" t="n" s="0">
        <v>-792012.960665</v>
      </c>
    </row>
    <row r="4605">
      <c r="A4605" t="n" s="0">
        <v>-53.96</v>
      </c>
      <c r="B4605" t="n" s="0">
        <f>(-5-((((-5*(-5/((-5/(((-5*(-53.96--5))-(-5+((-5*-53.96)*(((-5--5)+(-53.96--5))+-53.96))))-(-5+-5)))*-5)))/-5)--5)+(-5*(((-53.96*(-53.96-(-5/-5)))*(-53.96-(-53.96/(-5*-53.96))))-(-5/-5)))))</f>
        <v>-791573.9388799999</v>
      </c>
      <c r="C4605" t="n" s="0">
        <v>-791573.93888</v>
      </c>
    </row>
    <row r="4606">
      <c r="A4606" t="n" s="0">
        <v>-53.95</v>
      </c>
      <c r="B4606" t="n" s="0">
        <f>(-5-((((-5*(-5/((-5/(((-5*(-53.95--5))-(-5+((-5*-53.95)*(((-5--5)+(-53.95--5))+-53.95))))-(-5+-5)))*-5)))/-5)--5)+(-5*(((-53.95*(-53.95-(-5/-5)))*(-53.95-(-53.95/(-5*-53.95))))-(-5/-5)))))</f>
        <v>-791135.079375</v>
      </c>
      <c r="C4606" t="n" s="0">
        <v>-791135.079375</v>
      </c>
    </row>
    <row r="4607">
      <c r="A4607" t="n" s="0">
        <v>-53.94</v>
      </c>
      <c r="B4607" t="n" s="0">
        <f>(-5-((((-5*(-5/((-5/(((-5*(-53.94--5))-(-5+((-5*-53.94)*(((-5--5)+(-53.94--5))+-53.94))))-(-5+-5)))*-5)))/-5)--5)+(-5*(((-53.94*(-53.94-(-5/-5)))*(-53.94-(-53.94/(-5*-53.94))))-(-5/-5)))))</f>
        <v>-790696.38212</v>
      </c>
      <c r="C4607" t="n" s="0">
        <v>-790696.3821199998</v>
      </c>
    </row>
    <row r="4608">
      <c r="A4608" t="n" s="0">
        <v>-53.93</v>
      </c>
      <c r="B4608" t="n" s="0">
        <f>(-5-((((-5*(-5/((-5/(((-5*(-53.93--5))-(-5+((-5*-53.93)*(((-5--5)+(-53.93--5))+-53.93))))-(-5+-5)))*-5)))/-5)--5)+(-5*(((-53.93*(-53.93-(-5/-5)))*(-53.93-(-53.93/(-5*-53.93))))-(-5/-5)))))</f>
        <v>-790257.847085</v>
      </c>
      <c r="C4608" t="n" s="0">
        <v>-790257.847085</v>
      </c>
    </row>
    <row r="4609">
      <c r="A4609" t="n" s="0">
        <v>-53.92</v>
      </c>
      <c r="B4609" t="n" s="0">
        <f>(-5-((((-5*(-5/((-5/(((-5*(-53.92--5))-(-5+((-5*-53.92)*(((-5--5)+(-53.92--5))+-53.92))))-(-5+-5)))*-5)))/-5)--5)+(-5*(((-53.92*(-53.92-(-5/-5)))*(-53.92-(-53.92/(-5*-53.92))))-(-5/-5)))))</f>
        <v>-789819.47424</v>
      </c>
      <c r="C4609" t="n" s="0">
        <v>-789819.47424</v>
      </c>
    </row>
    <row r="4610">
      <c r="A4610" t="n" s="0">
        <v>-53.91</v>
      </c>
      <c r="B4610" t="n" s="0">
        <f>(-5-((((-5*(-5/((-5/(((-5*(-53.91--5))-(-5+((-5*-53.91)*(((-5--5)+(-53.91--5))+-53.91))))-(-5+-5)))*-5)))/-5)--5)+(-5*(((-53.91*(-53.91-(-5/-5)))*(-53.91-(-53.91/(-5*-53.91))))-(-5/-5)))))</f>
        <v>-789381.263555</v>
      </c>
      <c r="C4610" t="n" s="0">
        <v>-789381.2635549998</v>
      </c>
    </row>
    <row r="4611">
      <c r="A4611" t="n" s="0">
        <v>-53.9</v>
      </c>
      <c r="B4611" t="n" s="0">
        <f>(-5-((((-5*(-5/((-5/(((-5*(-53.9--5))-(-5+((-5*-53.9)*(((-5--5)+(-53.9--5))+-53.9))))-(-5+-5)))*-5)))/-5)--5)+(-5*(((-53.9*(-53.9-(-5/-5)))*(-53.9-(-53.9/(-5*-53.9))))-(-5/-5)))))</f>
        <v>-788943.2150000001</v>
      </c>
      <c r="C4611" t="n" s="0">
        <v>-788943.215</v>
      </c>
    </row>
    <row r="4612">
      <c r="A4612" t="n" s="0">
        <v>-53.89</v>
      </c>
      <c r="B4612" t="n" s="0">
        <f>(-5-((((-5*(-5/((-5/(((-5*(-53.89--5))-(-5+((-5*-53.89)*(((-5--5)+(-53.89--5))+-53.89))))-(-5+-5)))*-5)))/-5)--5)+(-5*(((-53.89*(-53.89-(-5/-5)))*(-53.89-(-53.89/(-5*-53.89))))-(-5/-5)))))</f>
        <v>-788505.3285449999</v>
      </c>
      <c r="C4612" t="n" s="0">
        <v>-788505.3285449999</v>
      </c>
    </row>
    <row r="4613">
      <c r="A4613" t="n" s="0">
        <v>-53.88</v>
      </c>
      <c r="B4613" t="n" s="0">
        <f>(-5-((((-5*(-5/((-5/(((-5*(-53.88--5))-(-5+((-5*-53.88)*(((-5--5)+(-53.88--5))+-53.88))))-(-5+-5)))*-5)))/-5)--5)+(-5*(((-53.88*(-53.88-(-5/-5)))*(-53.88-(-53.88/(-5*-53.88))))-(-5/-5)))))</f>
        <v>-788067.60416</v>
      </c>
      <c r="C4613" t="n" s="0">
        <v>-788067.6041600002</v>
      </c>
    </row>
    <row r="4614">
      <c r="A4614" t="n" s="0">
        <v>-53.87</v>
      </c>
      <c r="B4614" t="n" s="0">
        <f>(-5-((((-5*(-5/((-5/(((-5*(-53.87--5))-(-5+((-5*-53.87)*(((-5--5)+(-53.87--5))+-53.87))))-(-5+-5)))*-5)))/-5)--5)+(-5*(((-53.87*(-53.87-(-5/-5)))*(-53.87-(-53.87/(-5*-53.87))))-(-5/-5)))))</f>
        <v>-787630.041815</v>
      </c>
      <c r="C4614" t="n" s="0">
        <v>-787630.041815</v>
      </c>
    </row>
    <row r="4615">
      <c r="A4615" t="n" s="0">
        <v>-53.86</v>
      </c>
      <c r="B4615" t="n" s="0">
        <f>(-5-((((-5*(-5/((-5/(((-5*(-53.86--5))-(-5+((-5*-53.86)*(((-5--5)+(-53.86--5))+-53.86))))-(-5+-5)))*-5)))/-5)--5)+(-5*(((-53.86*(-53.86-(-5/-5)))*(-53.86-(-53.86/(-5*-53.86))))-(-5/-5)))))</f>
        <v>-787192.6414800001</v>
      </c>
      <c r="C4615" t="n" s="0">
        <v>-787192.64148</v>
      </c>
    </row>
    <row r="4616">
      <c r="A4616" t="n" s="0">
        <v>-53.85</v>
      </c>
      <c r="B4616" t="n" s="0">
        <f>(-5-((((-5*(-5/((-5/(((-5*(-53.85--5))-(-5+((-5*-53.85)*(((-5--5)+(-53.85--5))+-53.85))))-(-5+-5)))*-5)))/-5)--5)+(-5*(((-53.85*(-53.85-(-5/-5)))*(-53.85-(-53.85/(-5*-53.85))))-(-5/-5)))))</f>
        <v>-786755.403125</v>
      </c>
      <c r="C4616" t="n" s="0">
        <v>-786755.4031250001</v>
      </c>
    </row>
    <row r="4617">
      <c r="A4617" t="n" s="0">
        <v>-53.84</v>
      </c>
      <c r="B4617" t="n" s="0">
        <f>(-5-((((-5*(-5/((-5/(((-5*(-53.84--5))-(-5+((-5*-53.84)*(((-5--5)+(-53.84--5))+-53.84))))-(-5+-5)))*-5)))/-5)--5)+(-5*(((-53.84*(-53.84-(-5/-5)))*(-53.84-(-53.84/(-5*-53.84))))-(-5/-5)))))</f>
        <v>-786318.32672</v>
      </c>
      <c r="C4617" t="n" s="0">
        <v>-786318.3267200002</v>
      </c>
    </row>
    <row r="4618">
      <c r="A4618" t="n" s="0">
        <v>-53.83</v>
      </c>
      <c r="B4618" t="n" s="0">
        <f>(-5-((((-5*(-5/((-5/(((-5*(-53.83--5))-(-5+((-5*-53.83)*(((-5--5)+(-53.83--5))+-53.83))))-(-5+-5)))*-5)))/-5)--5)+(-5*(((-53.83*(-53.83-(-5/-5)))*(-53.83-(-53.83/(-5*-53.83))))-(-5/-5)))))</f>
        <v>-785881.4122349999</v>
      </c>
      <c r="C4618" t="n" s="0">
        <v>-785881.4122349998</v>
      </c>
    </row>
    <row r="4619">
      <c r="A4619" t="n" s="0">
        <v>-53.82</v>
      </c>
      <c r="B4619" t="n" s="0">
        <f>(-5-((((-5*(-5/((-5/(((-5*(-53.82--5))-(-5+((-5*-53.82)*(((-5--5)+(-53.82--5))+-53.82))))-(-5+-5)))*-5)))/-5)--5)+(-5*(((-53.82*(-53.82-(-5/-5)))*(-53.82-(-53.82/(-5*-53.82))))-(-5/-5)))))</f>
        <v>-785444.65964</v>
      </c>
      <c r="C4619" t="n" s="0">
        <v>-785444.65964</v>
      </c>
    </row>
    <row r="4620">
      <c r="A4620" t="n" s="0">
        <v>-53.81</v>
      </c>
      <c r="B4620" t="n" s="0">
        <f>(-5-((((-5*(-5/((-5/(((-5*(-53.81--5))-(-5+((-5*-53.81)*(((-5--5)+(-53.81--5))+-53.81))))-(-5+-5)))*-5)))/-5)--5)+(-5*(((-53.81*(-53.81-(-5/-5)))*(-53.81-(-53.81/(-5*-53.81))))-(-5/-5)))))</f>
        <v>-785008.068905</v>
      </c>
      <c r="C4620" t="n" s="0">
        <v>-785008.0689050002</v>
      </c>
    </row>
    <row r="4621">
      <c r="A4621" t="n" s="0">
        <v>-53.8</v>
      </c>
      <c r="B4621" t="n" s="0">
        <f>(-5-((((-5*(-5/((-5/(((-5*(-53.8--5))-(-5+((-5*-53.8)*(((-5--5)+(-53.8--5))+-53.8))))-(-5+-5)))*-5)))/-5)--5)+(-5*(((-53.8*(-53.8-(-5/-5)))*(-53.8-(-53.8/(-5*-53.8))))-(-5/-5)))))</f>
        <v>-784571.6399999999</v>
      </c>
      <c r="C4621" t="n" s="0">
        <v>-784571.6399999999</v>
      </c>
    </row>
    <row r="4622">
      <c r="A4622" t="n" s="0">
        <v>-53.79</v>
      </c>
      <c r="B4622" t="n" s="0">
        <f>(-5-((((-5*(-5/((-5/(((-5*(-53.79--5))-(-5+((-5*-53.79)*(((-5--5)+(-53.79--5))+-53.79))))-(-5+-5)))*-5)))/-5)--5)+(-5*(((-53.79*(-53.79-(-5/-5)))*(-53.79-(-53.79/(-5*-53.79))))-(-5/-5)))))</f>
        <v>-784135.372895</v>
      </c>
      <c r="C4622" t="n" s="0">
        <v>-784135.3728949999</v>
      </c>
    </row>
    <row r="4623">
      <c r="A4623" t="n" s="0">
        <v>-53.78</v>
      </c>
      <c r="B4623" t="n" s="0">
        <f>(-5-((((-5*(-5/((-5/(((-5*(-53.78--5))-(-5+((-5*-53.78)*(((-5--5)+(-53.78--5))+-53.78))))-(-5+-5)))*-5)))/-5)--5)+(-5*(((-53.78*(-53.78-(-5/-5)))*(-53.78-(-53.78/(-5*-53.78))))-(-5/-5)))))</f>
        <v>-783699.26756</v>
      </c>
      <c r="C4623" t="n" s="0">
        <v>-783699.2675600001</v>
      </c>
    </row>
    <row r="4624">
      <c r="A4624" t="n" s="0">
        <v>-53.77</v>
      </c>
      <c r="B4624" t="n" s="0">
        <f>(-5-((((-5*(-5/((-5/(((-5*(-53.77--5))-(-5+((-5*-53.77)*(((-5--5)+(-53.77--5))+-53.77))))-(-5+-5)))*-5)))/-5)--5)+(-5*(((-53.77*(-53.77-(-5/-5)))*(-53.77-(-53.77/(-5*-53.77))))-(-5/-5)))))</f>
        <v>-783263.323965</v>
      </c>
      <c r="C4624" t="n" s="0">
        <v>-783263.3239650002</v>
      </c>
    </row>
    <row r="4625">
      <c r="A4625" t="n" s="0">
        <v>-53.76</v>
      </c>
      <c r="B4625" t="n" s="0">
        <f>(-5-((((-5*(-5/((-5/(((-5*(-53.76--5))-(-5+((-5*-53.76)*(((-5--5)+(-53.76--5))+-53.76))))-(-5+-5)))*-5)))/-5)--5)+(-5*(((-53.76*(-53.76-(-5/-5)))*(-53.76-(-53.76/(-5*-53.76))))-(-5/-5)))))</f>
        <v>-782827.54208</v>
      </c>
      <c r="C4625" t="n" s="0">
        <v>-782827.5420799999</v>
      </c>
    </row>
    <row r="4626">
      <c r="A4626" t="n" s="0">
        <v>-53.75</v>
      </c>
      <c r="B4626" t="n" s="0">
        <f>(-5-((((-5*(-5/((-5/(((-5*(-53.75--5))-(-5+((-5*-53.75)*(((-5--5)+(-53.75--5))+-53.75))))-(-5+-5)))*-5)))/-5)--5)+(-5*(((-53.75*(-53.75-(-5/-5)))*(-53.75-(-53.75/(-5*-53.75))))-(-5/-5)))))</f>
        <v>-782391.921875</v>
      </c>
      <c r="C4626" t="n" s="0">
        <v>-782391.921875</v>
      </c>
    </row>
    <row r="4627">
      <c r="A4627" t="n" s="0">
        <v>-53.74</v>
      </c>
      <c r="B4627" t="n" s="0">
        <f>(-5-((((-5*(-5/((-5/(((-5*(-53.74--5))-(-5+((-5*-53.74)*(((-5--5)+(-53.74--5))+-53.74))))-(-5+-5)))*-5)))/-5)--5)+(-5*(((-53.74*(-53.74-(-5/-5)))*(-53.74-(-53.74/(-5*-53.74))))-(-5/-5)))))</f>
        <v>-781956.46332</v>
      </c>
      <c r="C4627" t="n" s="0">
        <v>-781956.4633200001</v>
      </c>
    </row>
    <row r="4628">
      <c r="A4628" t="n" s="0">
        <v>-53.73</v>
      </c>
      <c r="B4628" t="n" s="0">
        <f>(-5-((((-5*(-5/((-5/(((-5*(-53.73--5))-(-5+((-5*-53.73)*(((-5--5)+(-53.73--5))+-53.73))))-(-5+-5)))*-5)))/-5)--5)+(-5*(((-53.73*(-53.73-(-5/-5)))*(-53.73-(-53.73/(-5*-53.73))))-(-5/-5)))))</f>
        <v>-781521.1663850001</v>
      </c>
      <c r="C4628" t="n" s="0">
        <v>-781521.1663849999</v>
      </c>
    </row>
    <row r="4629">
      <c r="A4629" t="n" s="0">
        <v>-53.72</v>
      </c>
      <c r="B4629" t="n" s="0">
        <f>(-5-((((-5*(-5/((-5/(((-5*(-53.72--5))-(-5+((-5*-53.72)*(((-5--5)+(-53.72--5))+-53.72))))-(-5+-5)))*-5)))/-5)--5)+(-5*(((-53.72*(-53.72-(-5/-5)))*(-53.72-(-53.72/(-5*-53.72))))-(-5/-5)))))</f>
        <v>-781086.03104</v>
      </c>
      <c r="C4629" t="n" s="0">
        <v>-781086.0310399999</v>
      </c>
    </row>
    <row r="4630">
      <c r="A4630" t="n" s="0">
        <v>-53.71</v>
      </c>
      <c r="B4630" t="n" s="0">
        <f>(-5-((((-5*(-5/((-5/(((-5*(-53.71--5))-(-5+((-5*-53.71)*(((-5--5)+(-53.71--5))+-53.71))))-(-5+-5)))*-5)))/-5)--5)+(-5*(((-53.71*(-53.71-(-5/-5)))*(-53.71-(-53.71/(-5*-53.71))))-(-5/-5)))))</f>
        <v>-780651.057255</v>
      </c>
      <c r="C4630" t="n" s="0">
        <v>-780651.057255</v>
      </c>
    </row>
    <row r="4631">
      <c r="A4631" t="n" s="0">
        <v>-53.7</v>
      </c>
      <c r="B4631" t="n" s="0">
        <f>(-5-((((-5*(-5/((-5/(((-5*(-53.7--5))-(-5+((-5*-53.7)*(((-5--5)+(-53.7--5))+-53.7))))-(-5+-5)))*-5)))/-5)--5)+(-5*(((-53.7*(-53.7-(-5/-5)))*(-53.7-(-53.7/(-5*-53.7))))-(-5/-5)))))</f>
        <v>-780216.245</v>
      </c>
      <c r="C4631" t="n" s="0">
        <v>-780216.2450000001</v>
      </c>
    </row>
    <row r="4632">
      <c r="A4632" t="n" s="0">
        <v>-53.69</v>
      </c>
      <c r="B4632" t="n" s="0">
        <f>(-5-((((-5*(-5/((-5/(((-5*(-53.69--5))-(-5+((-5*-53.69)*(((-5--5)+(-53.69--5))+-53.69))))-(-5+-5)))*-5)))/-5)--5)+(-5*(((-53.69*(-53.69-(-5/-5)))*(-53.69-(-53.69/(-5*-53.69))))-(-5/-5)))))</f>
        <v>-779781.594245</v>
      </c>
      <c r="C4632" t="n" s="0">
        <v>-779781.5942449997</v>
      </c>
    </row>
    <row r="4633">
      <c r="A4633" t="n" s="0">
        <v>-53.68</v>
      </c>
      <c r="B4633" t="n" s="0">
        <f>(-5-((((-5*(-5/((-5/(((-5*(-53.68--5))-(-5+((-5*-53.68)*(((-5--5)+(-53.68--5))+-53.68))))-(-5+-5)))*-5)))/-5)--5)+(-5*(((-53.68*(-53.68-(-5/-5)))*(-53.68-(-53.68/(-5*-53.68))))-(-5/-5)))))</f>
        <v>-779347.10496</v>
      </c>
      <c r="C4633" t="n" s="0">
        <v>-779347.10496</v>
      </c>
    </row>
    <row r="4634">
      <c r="A4634" t="n" s="0">
        <v>-53.67</v>
      </c>
      <c r="B4634" t="n" s="0">
        <f>(-5-((((-5*(-5/((-5/(((-5*(-53.67--5))-(-5+((-5*-53.67)*(((-5--5)+(-53.67--5))+-53.67))))-(-5+-5)))*-5)))/-5)--5)+(-5*(((-53.67*(-53.67-(-5/-5)))*(-53.67-(-53.67/(-5*-53.67))))-(-5/-5)))))</f>
        <v>-778912.777115</v>
      </c>
      <c r="C4634" t="n" s="0">
        <v>-778912.777115</v>
      </c>
    </row>
    <row r="4635">
      <c r="A4635" t="n" s="0">
        <v>-53.66</v>
      </c>
      <c r="B4635" t="n" s="0">
        <f>(-5-((((-5*(-5/((-5/(((-5*(-53.66--5))-(-5+((-5*-53.66)*(((-5--5)+(-53.66--5))+-53.66))))-(-5+-5)))*-5)))/-5)--5)+(-5*(((-53.66*(-53.66-(-5/-5)))*(-53.66-(-53.66/(-5*-53.66))))-(-5/-5)))))</f>
        <v>-778478.61068</v>
      </c>
      <c r="C4635" t="n" s="0">
        <v>-778478.6106799998</v>
      </c>
    </row>
    <row r="4636">
      <c r="A4636" t="n" s="0">
        <v>-53.65</v>
      </c>
      <c r="B4636" t="n" s="0">
        <f>(-5-((((-5*(-5/((-5/(((-5*(-53.65--5))-(-5+((-5*-53.65)*(((-5--5)+(-53.65--5))+-53.65))))-(-5+-5)))*-5)))/-5)--5)+(-5*(((-53.65*(-53.65-(-5/-5)))*(-53.65-(-53.65/(-5*-53.65))))-(-5/-5)))))</f>
        <v>-778044.605625</v>
      </c>
      <c r="C4636" t="n" s="0">
        <v>-778044.605625</v>
      </c>
    </row>
    <row r="4637">
      <c r="A4637" t="n" s="0">
        <v>-53.64</v>
      </c>
      <c r="B4637" t="n" s="0">
        <f>(-5-((((-5*(-5/((-5/(((-5*(-53.64--5))-(-5+((-5*-53.64)*(((-5--5)+(-53.64--5))+-53.64))))-(-5+-5)))*-5)))/-5)--5)+(-5*(((-53.64*(-53.64-(-5/-5)))*(-53.64-(-53.64/(-5*-53.64))))-(-5/-5)))))</f>
        <v>-777610.76192</v>
      </c>
      <c r="C4637" t="n" s="0">
        <v>-777610.7619200001</v>
      </c>
    </row>
    <row r="4638">
      <c r="A4638" t="n" s="0">
        <v>-53.63</v>
      </c>
      <c r="B4638" t="n" s="0">
        <f>(-5-((((-5*(-5/((-5/(((-5*(-53.63--5))-(-5+((-5*-53.63)*(((-5--5)+(-53.63--5))+-53.63))))-(-5+-5)))*-5)))/-5)--5)+(-5*(((-53.63*(-53.63-(-5/-5)))*(-53.63-(-53.63/(-5*-53.63))))-(-5/-5)))))</f>
        <v>-777177.079535</v>
      </c>
      <c r="C4638" t="n" s="0">
        <v>-777177.0795350001</v>
      </c>
    </row>
    <row r="4639">
      <c r="A4639" t="n" s="0">
        <v>-53.62</v>
      </c>
      <c r="B4639" t="n" s="0">
        <f>(-5-((((-5*(-5/((-5/(((-5*(-53.62--5))-(-5+((-5*-53.62)*(((-5--5)+(-53.62--5))+-53.62))))-(-5+-5)))*-5)))/-5)--5)+(-5*(((-53.62*(-53.62-(-5/-5)))*(-53.62-(-53.62/(-5*-53.62))))-(-5/-5)))))</f>
        <v>-776743.5584399999</v>
      </c>
      <c r="C4639" t="n" s="0">
        <v>-776743.5584399998</v>
      </c>
    </row>
    <row r="4640">
      <c r="A4640" t="n" s="0">
        <v>-53.61</v>
      </c>
      <c r="B4640" t="n" s="0">
        <f>(-5-((((-5*(-5/((-5/(((-5*(-53.61--5))-(-5+((-5*-53.61)*(((-5--5)+(-53.61--5))+-53.61))))-(-5+-5)))*-5)))/-5)--5)+(-5*(((-53.61*(-53.61-(-5/-5)))*(-53.61-(-53.61/(-5*-53.61))))-(-5/-5)))))</f>
        <v>-776310.198605</v>
      </c>
      <c r="C4640" t="n" s="0">
        <v>-776310.198605</v>
      </c>
    </row>
    <row r="4641">
      <c r="A4641" t="n" s="0">
        <v>-53.6</v>
      </c>
      <c r="B4641" t="n" s="0">
        <f>(-5-((((-5*(-5/((-5/(((-5*(-53.6--5))-(-5+((-5*-53.6)*(((-5--5)+(-53.6--5))+-53.6))))-(-5+-5)))*-5)))/-5)--5)+(-5*(((-53.6*(-53.6-(-5/-5)))*(-53.6-(-53.6/(-5*-53.6))))-(-5/-5)))))</f>
        <v>-775877.0</v>
      </c>
      <c r="C4641" t="n" s="0">
        <v>-775877.0000000001</v>
      </c>
    </row>
    <row r="4642">
      <c r="A4642" t="n" s="0">
        <v>-53.59</v>
      </c>
      <c r="B4642" t="n" s="0">
        <f>(-5-((((-5*(-5/((-5/(((-5*(-53.59--5))-(-5+((-5*-53.59)*(((-5--5)+(-53.59--5))+-53.59))))-(-5+-5)))*-5)))/-5)--5)+(-5*(((-53.59*(-53.59-(-5/-5)))*(-53.59-(-53.59/(-5*-53.59))))-(-5/-5)))))</f>
        <v>-775443.962595</v>
      </c>
      <c r="C4642" t="n" s="0">
        <v>-775443.9625950002</v>
      </c>
    </row>
    <row r="4643">
      <c r="A4643" t="n" s="0">
        <v>-53.58</v>
      </c>
      <c r="B4643" t="n" s="0">
        <f>(-5-((((-5*(-5/((-5/(((-5*(-53.58--5))-(-5+((-5*-53.58)*(((-5--5)+(-53.58--5))+-53.58))))-(-5+-5)))*-5)))/-5)--5)+(-5*(((-53.58*(-53.58-(-5/-5)))*(-53.58-(-53.58/(-5*-53.58))))-(-5/-5)))))</f>
        <v>-775011.0863600001</v>
      </c>
      <c r="C4643" t="n" s="0">
        <v>-775011.08636</v>
      </c>
    </row>
    <row r="4644">
      <c r="A4644" t="n" s="0">
        <v>-53.57</v>
      </c>
      <c r="B4644" t="n" s="0">
        <f>(-5-((((-5*(-5/((-5/(((-5*(-53.57--5))-(-5+((-5*-53.57)*(((-5--5)+(-53.57--5))+-53.57))))-(-5+-5)))*-5)))/-5)--5)+(-5*(((-53.57*(-53.57-(-5/-5)))*(-53.57-(-53.57/(-5*-53.57))))-(-5/-5)))))</f>
        <v>-774578.3712650001</v>
      </c>
      <c r="C4644" t="n" s="0">
        <v>-774578.3712650001</v>
      </c>
    </row>
    <row r="4645">
      <c r="A4645" t="n" s="0">
        <v>-53.56</v>
      </c>
      <c r="B4645" t="n" s="0">
        <f>(-5-((((-5*(-5/((-5/(((-5*(-53.56--5))-(-5+((-5*-53.56)*(((-5--5)+(-53.56--5))+-53.56))))-(-5+-5)))*-5)))/-5)--5)+(-5*(((-53.56*(-53.56-(-5/-5)))*(-53.56-(-53.56/(-5*-53.56))))-(-5/-5)))))</f>
        <v>-774145.8172800001</v>
      </c>
      <c r="C4645" t="n" s="0">
        <v>-774145.8172800002</v>
      </c>
    </row>
    <row r="4646">
      <c r="A4646" t="n" s="0">
        <v>-53.55</v>
      </c>
      <c r="B4646" t="n" s="0">
        <f>(-5-((((-5*(-5/((-5/(((-5*(-53.55--5))-(-5+((-5*-53.55)*(((-5--5)+(-53.55--5))+-53.55))))-(-5+-5)))*-5)))/-5)--5)+(-5*(((-53.55*(-53.55-(-5/-5)))*(-53.55-(-53.55/(-5*-53.55))))-(-5/-5)))))</f>
        <v>-773713.424375</v>
      </c>
      <c r="C4646" t="n" s="0">
        <v>-773713.424375</v>
      </c>
    </row>
    <row r="4647">
      <c r="A4647" t="n" s="0">
        <v>-53.54</v>
      </c>
      <c r="B4647" t="n" s="0">
        <f>(-5-((((-5*(-5/((-5/(((-5*(-53.54--5))-(-5+((-5*-53.54)*(((-5--5)+(-53.54--5))+-53.54))))-(-5+-5)))*-5)))/-5)--5)+(-5*(((-53.54*(-53.54-(-5/-5)))*(-53.54-(-53.54/(-5*-53.54))))-(-5/-5)))))</f>
        <v>-773281.19252</v>
      </c>
      <c r="C4647" t="n" s="0">
        <v>-773281.1925199999</v>
      </c>
    </row>
    <row r="4648">
      <c r="A4648" t="n" s="0">
        <v>-53.53</v>
      </c>
      <c r="B4648" t="n" s="0">
        <f>(-5-((((-5*(-5/((-5/(((-5*(-53.53--5))-(-5+((-5*-53.53)*(((-5--5)+(-53.53--5))+-53.53))))-(-5+-5)))*-5)))/-5)--5)+(-5*(((-53.53*(-53.53-(-5/-5)))*(-53.53-(-53.53/(-5*-53.53))))-(-5/-5)))))</f>
        <v>-772849.121685</v>
      </c>
      <c r="C4648" t="n" s="0">
        <v>-772849.121685</v>
      </c>
    </row>
    <row r="4649">
      <c r="A4649" t="n" s="0">
        <v>-53.52</v>
      </c>
      <c r="B4649" t="n" s="0">
        <f>(-5-((((-5*(-5/((-5/(((-5*(-53.52--5))-(-5+((-5*-53.52)*(((-5--5)+(-53.52--5))+-53.52))))-(-5+-5)))*-5)))/-5)--5)+(-5*(((-53.52*(-53.52-(-5/-5)))*(-53.52-(-53.52/(-5*-53.52))))-(-5/-5)))))</f>
        <v>-772417.21184</v>
      </c>
      <c r="C4649" t="n" s="0">
        <v>-772417.2118400002</v>
      </c>
    </row>
    <row r="4650">
      <c r="A4650" t="n" s="0">
        <v>-53.51</v>
      </c>
      <c r="B4650" t="n" s="0">
        <f>(-5-((((-5*(-5/((-5/(((-5*(-53.51--5))-(-5+((-5*-53.51)*(((-5--5)+(-53.51--5))+-53.51))))-(-5+-5)))*-5)))/-5)--5)+(-5*(((-53.51*(-53.51-(-5/-5)))*(-53.51-(-53.51/(-5*-53.51))))-(-5/-5)))))</f>
        <v>-771985.462955</v>
      </c>
      <c r="C4650" t="n" s="0">
        <v>-771985.4629549999</v>
      </c>
    </row>
    <row r="4651">
      <c r="A4651" t="n" s="0">
        <v>-53.5</v>
      </c>
      <c r="B4651" t="n" s="0">
        <f>(-5-((((-5*(-5/((-5/(((-5*(-53.5--5))-(-5+((-5*-53.5)*(((-5--5)+(-53.5--5))+-53.5))))-(-5+-5)))*-5)))/-5)--5)+(-5*(((-53.5*(-53.5-(-5/-5)))*(-53.5-(-53.5/(-5*-53.5))))-(-5/-5)))))</f>
        <v>-771553.875</v>
      </c>
      <c r="C4651" t="n" s="0">
        <v>-771553.875</v>
      </c>
    </row>
    <row r="4652">
      <c r="A4652" t="n" s="0">
        <v>-53.49</v>
      </c>
      <c r="B4652" t="n" s="0">
        <f>(-5-((((-5*(-5/((-5/(((-5*(-53.49--5))-(-5+((-5*-53.49)*(((-5--5)+(-53.49--5))+-53.49))))-(-5+-5)))*-5)))/-5)--5)+(-5*(((-53.49*(-53.49-(-5/-5)))*(-53.49-(-53.49/(-5*-53.49))))-(-5/-5)))))</f>
        <v>-771122.447945</v>
      </c>
      <c r="C4652" t="n" s="0">
        <v>-771122.447945</v>
      </c>
    </row>
    <row r="4653">
      <c r="A4653" t="n" s="0">
        <v>-53.48</v>
      </c>
      <c r="B4653" t="n" s="0">
        <f>(-5-((((-5*(-5/((-5/(((-5*(-53.48--5))-(-5+((-5*-53.48)*(((-5--5)+(-53.48--5))+-53.48))))-(-5+-5)))*-5)))/-5)--5)+(-5*(((-53.48*(-53.48-(-5/-5)))*(-53.48-(-53.48/(-5*-53.48))))-(-5/-5)))))</f>
        <v>-770691.1817600001</v>
      </c>
      <c r="C4653" t="n" s="0">
        <v>-770691.1817599998</v>
      </c>
    </row>
    <row r="4654">
      <c r="A4654" t="n" s="0">
        <v>-53.47</v>
      </c>
      <c r="B4654" t="n" s="0">
        <f>(-5-((((-5*(-5/((-5/(((-5*(-53.47--5))-(-5+((-5*-53.47)*(((-5--5)+(-53.47--5))+-53.47))))-(-5+-5)))*-5)))/-5)--5)+(-5*(((-53.47*(-53.47-(-5/-5)))*(-53.47-(-53.47/(-5*-53.47))))-(-5/-5)))))</f>
        <v>-770260.076415</v>
      </c>
      <c r="C4654" t="n" s="0">
        <v>-770260.076415</v>
      </c>
    </row>
    <row r="4655">
      <c r="A4655" t="n" s="0">
        <v>-53.46</v>
      </c>
      <c r="B4655" t="n" s="0">
        <f>(-5-((((-5*(-5/((-5/(((-5*(-53.46--5))-(-5+((-5*-53.46)*(((-5--5)+(-53.46--5))+-53.46))))-(-5+-5)))*-5)))/-5)--5)+(-5*(((-53.46*(-53.46-(-5/-5)))*(-53.46-(-53.46/(-5*-53.46))))-(-5/-5)))))</f>
        <v>-769829.13188</v>
      </c>
      <c r="C4655" t="n" s="0">
        <v>-769829.13188</v>
      </c>
    </row>
    <row r="4656">
      <c r="A4656" t="n" s="0">
        <v>-53.45</v>
      </c>
      <c r="B4656" t="n" s="0">
        <f>(-5-((((-5*(-5/((-5/(((-5*(-53.45--5))-(-5+((-5*-53.45)*(((-5--5)+(-53.45--5))+-53.45))))-(-5+-5)))*-5)))/-5)--5)+(-5*(((-53.45*(-53.45-(-5/-5)))*(-53.45-(-53.45/(-5*-53.45))))-(-5/-5)))))</f>
        <v>-769398.348125</v>
      </c>
      <c r="C4656" t="n" s="0">
        <v>-769398.348125</v>
      </c>
    </row>
    <row r="4657">
      <c r="A4657" t="n" s="0">
        <v>-53.44</v>
      </c>
      <c r="B4657" t="n" s="0">
        <f>(-5-((((-5*(-5/((-5/(((-5*(-53.44--5))-(-5+((-5*-53.44)*(((-5--5)+(-53.44--5))+-53.44))))-(-5+-5)))*-5)))/-5)--5)+(-5*(((-53.44*(-53.44-(-5/-5)))*(-53.44-(-53.44/(-5*-53.44))))-(-5/-5)))))</f>
        <v>-768967.72512</v>
      </c>
      <c r="C4657" t="n" s="0">
        <v>-768967.7251199998</v>
      </c>
    </row>
    <row r="4658">
      <c r="A4658" t="n" s="0">
        <v>-53.43</v>
      </c>
      <c r="B4658" t="n" s="0">
        <f>(-5-((((-5*(-5/((-5/(((-5*(-53.43--5))-(-5+((-5*-53.43)*(((-5--5)+(-53.43--5))+-53.43))))-(-5+-5)))*-5)))/-5)--5)+(-5*(((-53.43*(-53.43-(-5/-5)))*(-53.43-(-53.43/(-5*-53.43))))-(-5/-5)))))</f>
        <v>-768537.262835</v>
      </c>
      <c r="C4658" t="n" s="0">
        <v>-768537.262835</v>
      </c>
    </row>
    <row r="4659">
      <c r="A4659" t="n" s="0">
        <v>-53.42</v>
      </c>
      <c r="B4659" t="n" s="0">
        <f>(-5-((((-5*(-5/((-5/(((-5*(-53.42--5))-(-5+((-5*-53.42)*(((-5--5)+(-53.42--5))+-53.42))))-(-5+-5)))*-5)))/-5)--5)+(-5*(((-53.42*(-53.42-(-5/-5)))*(-53.42-(-53.42/(-5*-53.42))))-(-5/-5)))))</f>
        <v>-768106.96124</v>
      </c>
      <c r="C4659" t="n" s="0">
        <v>-768106.9612400001</v>
      </c>
    </row>
    <row r="4660">
      <c r="A4660" t="n" s="0">
        <v>-53.41</v>
      </c>
      <c r="B4660" t="n" s="0">
        <f>(-5-((((-5*(-5/((-5/(((-5*(-53.41--5))-(-5+((-5*-53.41)*(((-5--5)+(-53.41--5))+-53.41))))-(-5+-5)))*-5)))/-5)--5)+(-5*(((-53.41*(-53.41-(-5/-5)))*(-53.41-(-53.41/(-5*-53.41))))-(-5/-5)))))</f>
        <v>-767676.820305</v>
      </c>
      <c r="C4660" t="n" s="0">
        <v>-767676.8203049998</v>
      </c>
    </row>
    <row r="4661">
      <c r="A4661" t="n" s="0">
        <v>-53.4</v>
      </c>
      <c r="B4661" t="n" s="0">
        <f>(-5-((((-5*(-5/((-5/(((-5*(-53.4--5))-(-5+((-5*-53.4)*(((-5--5)+(-53.4--5))+-53.4))))-(-5+-5)))*-5)))/-5)--5)+(-5*(((-53.4*(-53.4-(-5/-5)))*(-53.4-(-53.4/(-5*-53.4))))-(-5/-5)))))</f>
        <v>-767246.84</v>
      </c>
      <c r="C4661" t="n" s="0">
        <v>-767246.8399999999</v>
      </c>
    </row>
    <row r="4662">
      <c r="A4662" t="n" s="0">
        <v>-53.39</v>
      </c>
      <c r="B4662" t="n" s="0">
        <f>(-5-((((-5*(-5/((-5/(((-5*(-53.39--5))-(-5+((-5*-53.39)*(((-5--5)+(-53.39--5))+-53.39))))-(-5+-5)))*-5)))/-5)--5)+(-5*(((-53.39*(-53.39-(-5/-5)))*(-53.39-(-53.39/(-5*-53.39))))-(-5/-5)))))</f>
        <v>-766817.0202949999</v>
      </c>
      <c r="C4662" t="n" s="0">
        <v>-766817.0202949999</v>
      </c>
    </row>
    <row r="4663">
      <c r="A4663" t="n" s="0">
        <v>-53.38</v>
      </c>
      <c r="B4663" t="n" s="0">
        <f>(-5-((((-5*(-5/((-5/(((-5*(-53.38--5))-(-5+((-5*-53.38)*(((-5--5)+(-53.38--5))+-53.38))))-(-5+-5)))*-5)))/-5)--5)+(-5*(((-53.38*(-53.38-(-5/-5)))*(-53.38-(-53.38/(-5*-53.38))))-(-5/-5)))))</f>
        <v>-766387.36116</v>
      </c>
      <c r="C4663" t="n" s="0">
        <v>-766387.3611600002</v>
      </c>
    </row>
    <row r="4664">
      <c r="A4664" t="n" s="0">
        <v>-53.37</v>
      </c>
      <c r="B4664" t="n" s="0">
        <f>(-5-((((-5*(-5/((-5/(((-5*(-53.37--5))-(-5+((-5*-53.37)*(((-5--5)+(-53.37--5))+-53.37))))-(-5+-5)))*-5)))/-5)--5)+(-5*(((-53.37*(-53.37-(-5/-5)))*(-53.37-(-53.37/(-5*-53.37))))-(-5/-5)))))</f>
        <v>-765957.862565</v>
      </c>
      <c r="C4664" t="n" s="0">
        <v>-765957.8625649998</v>
      </c>
    </row>
    <row r="4665">
      <c r="A4665" t="n" s="0">
        <v>-53.36</v>
      </c>
      <c r="B4665" t="n" s="0">
        <f>(-5-((((-5*(-5/((-5/(((-5*(-53.36--5))-(-5+((-5*-53.36)*(((-5--5)+(-53.36--5))+-53.36))))-(-5+-5)))*-5)))/-5)--5)+(-5*(((-53.36*(-53.36-(-5/-5)))*(-53.36-(-53.36/(-5*-53.36))))-(-5/-5)))))</f>
        <v>-765528.52448</v>
      </c>
      <c r="C4665" t="n" s="0">
        <v>-765528.5244799999</v>
      </c>
    </row>
    <row r="4666">
      <c r="A4666" t="n" s="0">
        <v>-53.35</v>
      </c>
      <c r="B4666" t="n" s="0">
        <f>(-5-((((-5*(-5/((-5/(((-5*(-53.35--5))-(-5+((-5*-53.35)*(((-5--5)+(-53.35--5))+-53.35))))-(-5+-5)))*-5)))/-5)--5)+(-5*(((-53.35*(-53.35-(-5/-5)))*(-53.35-(-53.35/(-5*-53.35))))-(-5/-5)))))</f>
        <v>-765099.3468749999</v>
      </c>
      <c r="C4666" t="n" s="0">
        <v>-765099.346875</v>
      </c>
    </row>
    <row r="4667">
      <c r="A4667" t="n" s="0">
        <v>-53.34</v>
      </c>
      <c r="B4667" t="n" s="0">
        <f>(-5-((((-5*(-5/((-5/(((-5*(-53.34--5))-(-5+((-5*-53.34)*(((-5--5)+(-53.34--5))+-53.34))))-(-5+-5)))*-5)))/-5)--5)+(-5*(((-53.34*(-53.34-(-5/-5)))*(-53.34-(-53.34/(-5*-53.34))))-(-5/-5)))))</f>
        <v>-764670.32972</v>
      </c>
      <c r="C4667" t="n" s="0">
        <v>-764670.3297200002</v>
      </c>
    </row>
    <row r="4668">
      <c r="A4668" t="n" s="0">
        <v>-53.33</v>
      </c>
      <c r="B4668" t="n" s="0">
        <f>(-5-((((-5*(-5/((-5/(((-5*(-53.33--5))-(-5+((-5*-53.33)*(((-5--5)+(-53.33--5))+-53.33))))-(-5+-5)))*-5)))/-5)--5)+(-5*(((-53.33*(-53.33-(-5/-5)))*(-53.33-(-53.33/(-5*-53.33))))-(-5/-5)))))</f>
        <v>-764241.472985</v>
      </c>
      <c r="C4668" t="n" s="0">
        <v>-764241.4729849999</v>
      </c>
    </row>
    <row r="4669">
      <c r="A4669" t="n" s="0">
        <v>-53.32</v>
      </c>
      <c r="B4669" t="n" s="0">
        <f>(-5-((((-5*(-5/((-5/(((-5*(-53.32--5))-(-5+((-5*-53.32)*(((-5--5)+(-53.32--5))+-53.32))))-(-5+-5)))*-5)))/-5)--5)+(-5*(((-53.32*(-53.32-(-5/-5)))*(-53.32-(-53.32/(-5*-53.32))))-(-5/-5)))))</f>
        <v>-763812.7766399999</v>
      </c>
      <c r="C4669" t="n" s="0">
        <v>-763812.77664</v>
      </c>
    </row>
    <row r="4670">
      <c r="A4670" t="n" s="0">
        <v>-53.31</v>
      </c>
      <c r="B4670" t="n" s="0">
        <f>(-5-((((-5*(-5/((-5/(((-5*(-53.31--5))-(-5+((-5*-53.31)*(((-5--5)+(-53.31--5))+-53.31))))-(-5+-5)))*-5)))/-5)--5)+(-5*(((-53.31*(-53.31-(-5/-5)))*(-53.31-(-53.31/(-5*-53.31))))-(-5/-5)))))</f>
        <v>-763384.240655</v>
      </c>
      <c r="C4670" t="n" s="0">
        <v>-763384.2406550002</v>
      </c>
    </row>
    <row r="4671">
      <c r="A4671" t="n" s="0">
        <v>-53.3</v>
      </c>
      <c r="B4671" t="n" s="0">
        <f>(-5-((((-5*(-5/((-5/(((-5*(-53.3--5))-(-5+((-5*-53.3)*(((-5--5)+(-53.3--5))+-53.3))))-(-5+-5)))*-5)))/-5)--5)+(-5*(((-53.3*(-53.3-(-5/-5)))*(-53.3-(-53.3/(-5*-53.3))))-(-5/-5)))))</f>
        <v>-762955.865</v>
      </c>
      <c r="C4671" t="n" s="0">
        <v>-762955.8649999999</v>
      </c>
    </row>
    <row r="4672">
      <c r="A4672" t="n" s="0">
        <v>-53.29</v>
      </c>
      <c r="B4672" t="n" s="0">
        <f>(-5-((((-5*(-5/((-5/(((-5*(-53.29--5))-(-5+((-5*-53.29)*(((-5--5)+(-53.29--5))+-53.29))))-(-5+-5)))*-5)))/-5)--5)+(-5*(((-53.29*(-53.29-(-5/-5)))*(-53.29-(-53.29/(-5*-53.29))))-(-5/-5)))))</f>
        <v>-762527.649645</v>
      </c>
      <c r="C4672" t="n" s="0">
        <v>-762527.649645</v>
      </c>
    </row>
    <row r="4673">
      <c r="A4673" t="n" s="0">
        <v>-53.28</v>
      </c>
      <c r="B4673" t="n" s="0">
        <f>(-5-((((-5*(-5/((-5/(((-5*(-53.28--5))-(-5+((-5*-53.28)*(((-5--5)+(-53.28--5))+-53.28))))-(-5+-5)))*-5)))/-5)--5)+(-5*(((-53.28*(-53.28-(-5/-5)))*(-53.28-(-53.28/(-5*-53.28))))-(-5/-5)))))</f>
        <v>-762099.59456</v>
      </c>
      <c r="C4673" t="n" s="0">
        <v>-762099.59456</v>
      </c>
    </row>
    <row r="4674">
      <c r="A4674" t="n" s="0">
        <v>-53.27</v>
      </c>
      <c r="B4674" t="n" s="0">
        <f>(-5-((((-5*(-5/((-5/(((-5*(-53.27--5))-(-5+((-5*-53.27)*(((-5--5)+(-53.27--5))+-53.27))))-(-5+-5)))*-5)))/-5)--5)+(-5*(((-53.27*(-53.27-(-5/-5)))*(-53.27-(-53.27/(-5*-53.27))))-(-5/-5)))))</f>
        <v>-761671.699715</v>
      </c>
      <c r="C4674" t="n" s="0">
        <v>-761671.6997150002</v>
      </c>
    </row>
    <row r="4675">
      <c r="A4675" t="n" s="0">
        <v>-53.26</v>
      </c>
      <c r="B4675" t="n" s="0">
        <f>(-5-((((-5*(-5/((-5/(((-5*(-53.26--5))-(-5+((-5*-53.26)*(((-5--5)+(-53.26--5))+-53.26))))-(-5+-5)))*-5)))/-5)--5)+(-5*(((-53.26*(-53.26-(-5/-5)))*(-53.26-(-53.26/(-5*-53.26))))-(-5/-5)))))</f>
        <v>-761243.96508</v>
      </c>
      <c r="C4675" t="n" s="0">
        <v>-761243.96508</v>
      </c>
    </row>
    <row r="4676">
      <c r="A4676" t="n" s="0">
        <v>-53.25</v>
      </c>
      <c r="B4676" t="n" s="0">
        <f>(-5-((((-5*(-5/((-5/(((-5*(-53.25--5))-(-5+((-5*-53.25)*(((-5--5)+(-53.25--5))+-53.25))))-(-5+-5)))*-5)))/-5)--5)+(-5*(((-53.25*(-53.25-(-5/-5)))*(-53.25-(-53.25/(-5*-53.25))))-(-5/-5)))))</f>
        <v>-760816.390625</v>
      </c>
      <c r="C4676" t="n" s="0">
        <v>-760816.390625</v>
      </c>
    </row>
    <row r="4677">
      <c r="A4677" t="n" s="0">
        <v>-53.24</v>
      </c>
      <c r="B4677" t="n" s="0">
        <f>(-5-((((-5*(-5/((-5/(((-5*(-53.24--5))-(-5+((-5*-53.24)*(((-5--5)+(-53.24--5))+-53.24))))-(-5+-5)))*-5)))/-5)--5)+(-5*(((-53.24*(-53.24-(-5/-5)))*(-53.24-(-53.24/(-5*-53.24))))-(-5/-5)))))</f>
        <v>-760388.97632</v>
      </c>
      <c r="C4677" t="n" s="0">
        <v>-760388.9763200001</v>
      </c>
    </row>
    <row r="4678">
      <c r="A4678" t="n" s="0">
        <v>-53.23</v>
      </c>
      <c r="B4678" t="n" s="0">
        <f>(-5-((((-5*(-5/((-5/(((-5*(-53.23--5))-(-5+((-5*-53.23)*(((-5--5)+(-53.23--5))+-53.23))))-(-5+-5)))*-5)))/-5)--5)+(-5*(((-53.23*(-53.23-(-5/-5)))*(-53.23-(-53.23/(-5*-53.23))))-(-5/-5)))))</f>
        <v>-759961.722135</v>
      </c>
      <c r="C4678" t="n" s="0">
        <v>-759961.7221349998</v>
      </c>
    </row>
    <row r="4679">
      <c r="A4679" t="n" s="0">
        <v>-53.22</v>
      </c>
      <c r="B4679" t="n" s="0">
        <f>(-5-((((-5*(-5/((-5/(((-5*(-53.22--5))-(-5+((-5*-53.22)*(((-5--5)+(-53.22--5))+-53.22))))-(-5+-5)))*-5)))/-5)--5)+(-5*(((-53.22*(-53.22-(-5/-5)))*(-53.22-(-53.22/(-5*-53.22))))-(-5/-5)))))</f>
        <v>-759534.62804</v>
      </c>
      <c r="C4679" t="n" s="0">
        <v>-759534.62804</v>
      </c>
    </row>
    <row r="4680">
      <c r="A4680" t="n" s="0">
        <v>-53.21</v>
      </c>
      <c r="B4680" t="n" s="0">
        <f>(-5-((((-5*(-5/((-5/(((-5*(-53.21--5))-(-5+((-5*-53.21)*(((-5--5)+(-53.21--5))+-53.21))))-(-5+-5)))*-5)))/-5)--5)+(-5*(((-53.21*(-53.21-(-5/-5)))*(-53.21-(-53.21/(-5*-53.21))))-(-5/-5)))))</f>
        <v>-759107.6940049999</v>
      </c>
      <c r="C4680" t="n" s="0">
        <v>-759107.6940049999</v>
      </c>
    </row>
    <row r="4681">
      <c r="A4681" t="n" s="0">
        <v>-53.2</v>
      </c>
      <c r="B4681" t="n" s="0">
        <f>(-5-((((-5*(-5/((-5/(((-5*(-53.2--5))-(-5+((-5*-53.2)*(((-5--5)+(-53.2--5))+-53.2))))-(-5+-5)))*-5)))/-5)--5)+(-5*(((-53.2*(-53.2-(-5/-5)))*(-53.2-(-53.2/(-5*-53.2))))-(-5/-5)))))</f>
        <v>-758680.9199999999</v>
      </c>
      <c r="C4681" t="n" s="0">
        <v>-758680.92</v>
      </c>
    </row>
    <row r="4682">
      <c r="A4682" t="n" s="0">
        <v>-53.19</v>
      </c>
      <c r="B4682" t="n" s="0">
        <f>(-5-((((-5*(-5/((-5/(((-5*(-53.19--5))-(-5+((-5*-53.19)*(((-5--5)+(-53.19--5))+-53.19))))-(-5+-5)))*-5)))/-5)--5)+(-5*(((-53.19*(-53.19-(-5/-5)))*(-53.19-(-53.19/(-5*-53.19))))-(-5/-5)))))</f>
        <v>-758254.3059950001</v>
      </c>
      <c r="C4682" t="n" s="0">
        <v>-758254.3059949998</v>
      </c>
    </row>
    <row r="4683">
      <c r="A4683" t="n" s="0">
        <v>-53.18</v>
      </c>
      <c r="B4683" t="n" s="0">
        <f>(-5-((((-5*(-5/((-5/(((-5*(-53.18--5))-(-5+((-5*-53.18)*(((-5--5)+(-53.18--5))+-53.18))))-(-5+-5)))*-5)))/-5)--5)+(-5*(((-53.18*(-53.18-(-5/-5)))*(-53.18-(-53.18/(-5*-53.18))))-(-5/-5)))))</f>
        <v>-757827.85196</v>
      </c>
      <c r="C4683" t="n" s="0">
        <v>-757827.85196</v>
      </c>
    </row>
    <row r="4684">
      <c r="A4684" t="n" s="0">
        <v>-53.17</v>
      </c>
      <c r="B4684" t="n" s="0">
        <f>(-5-((((-5*(-5/((-5/(((-5*(-53.17--5))-(-5+((-5*-53.17)*(((-5--5)+(-53.17--5))+-53.17))))-(-5+-5)))*-5)))/-5)--5)+(-5*(((-53.17*(-53.17-(-5/-5)))*(-53.17-(-53.17/(-5*-53.17))))-(-5/-5)))))</f>
        <v>-757401.557865</v>
      </c>
      <c r="C4684" t="n" s="0">
        <v>-757401.5578650001</v>
      </c>
    </row>
    <row r="4685">
      <c r="A4685" t="n" s="0">
        <v>-53.16</v>
      </c>
      <c r="B4685" t="n" s="0">
        <f>(-5-((((-5*(-5/((-5/(((-5*(-53.16--5))-(-5+((-5*-53.16)*(((-5--5)+(-53.16--5))+-53.16))))-(-5+-5)))*-5)))/-5)--5)+(-5*(((-53.16*(-53.16-(-5/-5)))*(-53.16-(-53.16/(-5*-53.16))))-(-5/-5)))))</f>
        <v>-756975.42368</v>
      </c>
      <c r="C4685" t="n" s="0">
        <v>-756975.4236799998</v>
      </c>
    </row>
    <row r="4686">
      <c r="A4686" t="n" s="0">
        <v>-53.15</v>
      </c>
      <c r="B4686" t="n" s="0">
        <f>(-5-((((-5*(-5/((-5/(((-5*(-53.15--5))-(-5+((-5*-53.15)*(((-5--5)+(-53.15--5))+-53.15))))-(-5+-5)))*-5)))/-5)--5)+(-5*(((-53.15*(-53.15-(-5/-5)))*(-53.15-(-53.15/(-5*-53.15))))-(-5/-5)))))</f>
        <v>-756549.449375</v>
      </c>
      <c r="C4686" t="n" s="0">
        <v>-756549.4493749999</v>
      </c>
    </row>
    <row r="4687">
      <c r="A4687" t="n" s="0">
        <v>-53.14</v>
      </c>
      <c r="B4687" t="n" s="0">
        <f>(-5-((((-5*(-5/((-5/(((-5*(-53.14--5))-(-5+((-5*-53.14)*(((-5--5)+(-53.14--5))+-53.14))))-(-5+-5)))*-5)))/-5)--5)+(-5*(((-53.14*(-53.14-(-5/-5)))*(-53.14-(-53.14/(-5*-53.14))))-(-5/-5)))))</f>
        <v>-756123.63492</v>
      </c>
      <c r="C4687" t="n" s="0">
        <v>-756123.6349200001</v>
      </c>
    </row>
    <row r="4688">
      <c r="A4688" t="n" s="0">
        <v>-53.13</v>
      </c>
      <c r="B4688" t="n" s="0">
        <f>(-5-((((-5*(-5/((-5/(((-5*(-53.13--5))-(-5+((-5*-53.13)*(((-5--5)+(-53.13--5))+-53.13))))-(-5+-5)))*-5)))/-5)--5)+(-5*(((-53.13*(-53.13-(-5/-5)))*(-53.13-(-53.13/(-5*-53.13))))-(-5/-5)))))</f>
        <v>-755697.9802849999</v>
      </c>
      <c r="C4688" t="n" s="0">
        <v>-755697.980285</v>
      </c>
    </row>
    <row r="4689">
      <c r="A4689" t="n" s="0">
        <v>-53.12</v>
      </c>
      <c r="B4689" t="n" s="0">
        <f>(-5-((((-5*(-5/((-5/(((-5*(-53.12--5))-(-5+((-5*-53.12)*(((-5--5)+(-53.12--5))+-53.12))))-(-5+-5)))*-5)))/-5)--5)+(-5*(((-53.12*(-53.12-(-5/-5)))*(-53.12-(-53.12/(-5*-53.12))))-(-5/-5)))))</f>
        <v>-755272.48544</v>
      </c>
      <c r="C4689" t="n" s="0">
        <v>-755272.48544</v>
      </c>
    </row>
    <row r="4690">
      <c r="A4690" t="n" s="0">
        <v>-53.11</v>
      </c>
      <c r="B4690" t="n" s="0">
        <f>(-5-((((-5*(-5/((-5/(((-5*(-53.11--5))-(-5+((-5*-53.11)*(((-5--5)+(-53.11--5))+-53.11))))-(-5+-5)))*-5)))/-5)--5)+(-5*(((-53.11*(-53.11-(-5/-5)))*(-53.11-(-53.11/(-5*-53.11))))-(-5/-5)))))</f>
        <v>-754847.150355</v>
      </c>
      <c r="C4690" t="n" s="0">
        <v>-754847.150355</v>
      </c>
    </row>
    <row r="4691">
      <c r="A4691" t="n" s="0">
        <v>-53.1</v>
      </c>
      <c r="B4691" t="n" s="0">
        <f>(-5-((((-5*(-5/((-5/(((-5*(-53.1--5))-(-5+((-5*-53.1)*(((-5--5)+(-53.1--5))+-53.1))))-(-5+-5)))*-5)))/-5)--5)+(-5*(((-53.1*(-53.1-(-5/-5)))*(-53.1-(-53.1/(-5*-53.1))))-(-5/-5)))))</f>
        <v>-754421.9750000001</v>
      </c>
      <c r="C4691" t="n" s="0">
        <v>-754421.9750000001</v>
      </c>
    </row>
    <row r="4692">
      <c r="A4692" t="n" s="0">
        <v>-53.09</v>
      </c>
      <c r="B4692" t="n" s="0">
        <f>(-5-((((-5*(-5/((-5/(((-5*(-53.09--5))-(-5+((-5*-53.09)*(((-5--5)+(-53.09--5))+-53.09))))-(-5+-5)))*-5)))/-5)--5)+(-5*(((-53.09*(-53.09-(-5/-5)))*(-53.09-(-53.09/(-5*-53.09))))-(-5/-5)))))</f>
        <v>-753996.959345</v>
      </c>
      <c r="C4692" t="n" s="0">
        <v>-753996.9593450002</v>
      </c>
    </row>
    <row r="4693">
      <c r="A4693" t="n" s="0">
        <v>-53.08</v>
      </c>
      <c r="B4693" t="n" s="0">
        <f>(-5-((((-5*(-5/((-5/(((-5*(-53.08--5))-(-5+((-5*-53.08)*(((-5--5)+(-53.08--5))+-53.08))))-(-5+-5)))*-5)))/-5)--5)+(-5*(((-53.08*(-53.08-(-5/-5)))*(-53.08-(-53.08/(-5*-53.08))))-(-5/-5)))))</f>
        <v>-753572.10336</v>
      </c>
      <c r="C4693" t="n" s="0">
        <v>-753572.10336</v>
      </c>
    </row>
    <row r="4694">
      <c r="A4694" t="n" s="0">
        <v>-53.07</v>
      </c>
      <c r="B4694" t="n" s="0">
        <f>(-5-((((-5*(-5/((-5/(((-5*(-53.07--5))-(-5+((-5*-53.07)*(((-5--5)+(-53.07--5))+-53.07))))-(-5+-5)))*-5)))/-5)--5)+(-5*(((-53.07*(-53.07-(-5/-5)))*(-53.07-(-53.07/(-5*-53.07))))-(-5/-5)))))</f>
        <v>-753147.4070149999</v>
      </c>
      <c r="C4694" t="n" s="0">
        <v>-753147.4070149999</v>
      </c>
    </row>
    <row r="4695">
      <c r="A4695" t="n" s="0">
        <v>-53.06</v>
      </c>
      <c r="B4695" t="n" s="0">
        <f>(-5-((((-5*(-5/((-5/(((-5*(-53.06--5))-(-5+((-5*-53.06)*(((-5--5)+(-53.06--5))+-53.06))))-(-5+-5)))*-5)))/-5)--5)+(-5*(((-53.06*(-53.06-(-5/-5)))*(-53.06-(-53.06/(-5*-53.06))))-(-5/-5)))))</f>
        <v>-752722.87028</v>
      </c>
      <c r="C4695" t="n" s="0">
        <v>-752722.8702800001</v>
      </c>
    </row>
    <row r="4696">
      <c r="A4696" t="n" s="0">
        <v>-53.05</v>
      </c>
      <c r="B4696" t="n" s="0">
        <f>(-5-((((-5*(-5/((-5/(((-5*(-53.05--5))-(-5+((-5*-53.05)*(((-5--5)+(-53.05--5))+-53.05))))-(-5+-5)))*-5)))/-5)--5)+(-5*(((-53.05*(-53.05-(-5/-5)))*(-53.05-(-53.05/(-5*-53.05))))-(-5/-5)))))</f>
        <v>-752298.4931249999</v>
      </c>
      <c r="C4696" t="n" s="0">
        <v>-752298.4931249999</v>
      </c>
    </row>
    <row r="4697">
      <c r="A4697" t="n" s="0">
        <v>-53.04</v>
      </c>
      <c r="B4697" t="n" s="0">
        <f>(-5-((((-5*(-5/((-5/(((-5*(-53.04--5))-(-5+((-5*-53.04)*(((-5--5)+(-53.04--5))+-53.04))))-(-5+-5)))*-5)))/-5)--5)+(-5*(((-53.04*(-53.04-(-5/-5)))*(-53.04-(-53.04/(-5*-53.04))))-(-5/-5)))))</f>
        <v>-751874.27552</v>
      </c>
      <c r="C4697" t="n" s="0">
        <v>-751874.2755199999</v>
      </c>
    </row>
    <row r="4698">
      <c r="A4698" t="n" s="0">
        <v>-53.03</v>
      </c>
      <c r="B4698" t="n" s="0">
        <f>(-5-((((-5*(-5/((-5/(((-5*(-53.03--5))-(-5+((-5*-53.03)*(((-5--5)+(-53.03--5))+-53.03))))-(-5+-5)))*-5)))/-5)--5)+(-5*(((-53.03*(-53.03-(-5/-5)))*(-53.03-(-53.03/(-5*-53.03))))-(-5/-5)))))</f>
        <v>-751450.217435</v>
      </c>
      <c r="C4698" t="n" s="0">
        <v>-751450.217435</v>
      </c>
    </row>
    <row r="4699">
      <c r="A4699" t="n" s="0">
        <v>-53.02</v>
      </c>
      <c r="B4699" t="n" s="0">
        <f>(-5-((((-5*(-5/((-5/(((-5*(-53.02--5))-(-5+((-5*-53.02)*(((-5--5)+(-53.02--5))+-53.02))))-(-5+-5)))*-5)))/-5)--5)+(-5*(((-53.02*(-53.02-(-5/-5)))*(-53.02-(-53.02/(-5*-53.02))))-(-5/-5)))))</f>
        <v>-751026.3188400001</v>
      </c>
      <c r="C4699" t="n" s="0">
        <v>-751026.3188400003</v>
      </c>
    </row>
    <row r="4700">
      <c r="A4700" t="n" s="0">
        <v>-53.01</v>
      </c>
      <c r="B4700" t="n" s="0">
        <f>(-5-((((-5*(-5/((-5/(((-5*(-53.01--5))-(-5+((-5*-53.01)*(((-5--5)+(-53.01--5))+-53.01))))-(-5+-5)))*-5)))/-5)--5)+(-5*(((-53.01*(-53.01-(-5/-5)))*(-53.01-(-53.01/(-5*-53.01))))-(-5/-5)))))</f>
        <v>-750602.579705</v>
      </c>
      <c r="C4700" t="n" s="0">
        <v>-750602.579705</v>
      </c>
    </row>
    <row r="4701">
      <c r="A4701" t="n" s="0">
        <v>-53.0</v>
      </c>
      <c r="B4701" t="n" s="0">
        <f>(-5-((((-5*(-5/((-5/(((-5*(-53--5))-(-5+((-5*-53)*(((-5--5)+(-53--5))+-53))))-(-5+-5)))*-5)))/-5)--5)+(-5*(((-53*(-53-(-5/-5)))*(-53-(-53/(-5*-53))))-(-5/-5)))))</f>
        <v>-750179.0</v>
      </c>
      <c r="C4701" t="n" s="0">
        <v>-750179.0</v>
      </c>
    </row>
    <row r="4702">
      <c r="A4702" t="n" s="0">
        <v>-52.99</v>
      </c>
      <c r="B4702" t="n" s="0">
        <f>(-5-((((-5*(-5/((-5/(((-5*(-52.99--5))-(-5+((-5*-52.99)*(((-5--5)+(-52.99--5))+-52.99))))-(-5+-5)))*-5)))/-5)--5)+(-5*(((-52.99*(-52.99-(-5/-5)))*(-52.99-(-52.99/(-5*-52.99))))-(-5/-5)))))</f>
        <v>-749755.579695</v>
      </c>
      <c r="C4702" t="n" s="0">
        <v>-749755.5796950001</v>
      </c>
    </row>
    <row r="4703">
      <c r="A4703" t="n" s="0">
        <v>-52.98</v>
      </c>
      <c r="B4703" t="n" s="0">
        <f>(-5-((((-5*(-5/((-5/(((-5*(-52.98--5))-(-5+((-5*-52.98)*(((-5--5)+(-52.98--5))+-52.98))))-(-5+-5)))*-5)))/-5)--5)+(-5*(((-52.98*(-52.98-(-5/-5)))*(-52.98-(-52.98/(-5*-52.98))))-(-5/-5)))))</f>
        <v>-749332.3187599999</v>
      </c>
      <c r="C4703" t="n" s="0">
        <v>-749332.3187599999</v>
      </c>
    </row>
    <row r="4704">
      <c r="A4704" t="n" s="0">
        <v>-52.97</v>
      </c>
      <c r="B4704" t="n" s="0">
        <f>(-5-((((-5*(-5/((-5/(((-5*(-52.97--5))-(-5+((-5*-52.97)*(((-5--5)+(-52.97--5))+-52.97))))-(-5+-5)))*-5)))/-5)--5)+(-5*(((-52.97*(-52.97-(-5/-5)))*(-52.97-(-52.97/(-5*-52.97))))-(-5/-5)))))</f>
        <v>-748909.217165</v>
      </c>
      <c r="C4704" t="n" s="0">
        <v>-748909.2171649999</v>
      </c>
    </row>
    <row r="4705">
      <c r="A4705" t="n" s="0">
        <v>-52.96</v>
      </c>
      <c r="B4705" t="n" s="0">
        <f>(-5-((((-5*(-5/((-5/(((-5*(-52.96--5))-(-5+((-5*-52.96)*(((-5--5)+(-52.96--5))+-52.96))))-(-5+-5)))*-5)))/-5)--5)+(-5*(((-52.96*(-52.96-(-5/-5)))*(-52.96-(-52.96/(-5*-52.96))))-(-5/-5)))))</f>
        <v>-748486.27488</v>
      </c>
      <c r="C4705" t="n" s="0">
        <v>-748486.27488</v>
      </c>
    </row>
    <row r="4706">
      <c r="A4706" t="n" s="0">
        <v>-52.95</v>
      </c>
      <c r="B4706" t="n" s="0">
        <f>(-5-((((-5*(-5/((-5/(((-5*(-52.95--5))-(-5+((-5*-52.95)*(((-5--5)+(-52.95--5))+-52.95))))-(-5+-5)))*-5)))/-5)--5)+(-5*(((-52.95*(-52.95-(-5/-5)))*(-52.95-(-52.95/(-5*-52.95))))-(-5/-5)))))</f>
        <v>-748063.4918750001</v>
      </c>
      <c r="C4706" t="n" s="0">
        <v>-748063.4918750002</v>
      </c>
    </row>
    <row r="4707">
      <c r="A4707" t="n" s="0">
        <v>-52.94</v>
      </c>
      <c r="B4707" t="n" s="0">
        <f>(-5-((((-5*(-5/((-5/(((-5*(-52.94--5))-(-5+((-5*-52.94)*(((-5--5)+(-52.94--5))+-52.94))))-(-5+-5)))*-5)))/-5)--5)+(-5*(((-52.94*(-52.94-(-5/-5)))*(-52.94-(-52.94/(-5*-52.94))))-(-5/-5)))))</f>
        <v>-747640.86812</v>
      </c>
      <c r="C4707" t="n" s="0">
        <v>-747640.86812</v>
      </c>
    </row>
    <row r="4708">
      <c r="A4708" t="n" s="0">
        <v>-52.93</v>
      </c>
      <c r="B4708" t="n" s="0">
        <f>(-5-((((-5*(-5/((-5/(((-5*(-52.93--5))-(-5+((-5*-52.93)*(((-5--5)+(-52.93--5))+-52.93))))-(-5+-5)))*-5)))/-5)--5)+(-5*(((-52.93*(-52.93-(-5/-5)))*(-52.93-(-52.93/(-5*-52.93))))-(-5/-5)))))</f>
        <v>-747218.4035850001</v>
      </c>
      <c r="C4708" t="n" s="0">
        <v>-747218.4035850001</v>
      </c>
    </row>
    <row r="4709">
      <c r="A4709" t="n" s="0">
        <v>-52.92</v>
      </c>
      <c r="B4709" t="n" s="0">
        <f>(-5-((((-5*(-5/((-5/(((-5*(-52.92--5))-(-5+((-5*-52.92)*(((-5--5)+(-52.92--5))+-52.92))))-(-5+-5)))*-5)))/-5)--5)+(-5*(((-52.92*(-52.92-(-5/-5)))*(-52.92-(-52.92/(-5*-52.92))))-(-5/-5)))))</f>
        <v>-746796.09824</v>
      </c>
      <c r="C4709" t="n" s="0">
        <v>-746796.0982400001</v>
      </c>
    </row>
    <row r="4710">
      <c r="A4710" t="n" s="0">
        <v>-52.91</v>
      </c>
      <c r="B4710" t="n" s="0">
        <f>(-5-((((-5*(-5/((-5/(((-5*(-52.91--5))-(-5+((-5*-52.91)*(((-5--5)+(-52.91--5))+-52.91))))-(-5+-5)))*-5)))/-5)--5)+(-5*(((-52.91*(-52.91-(-5/-5)))*(-52.91-(-52.91/(-5*-52.91))))-(-5/-5)))))</f>
        <v>-746373.952055</v>
      </c>
      <c r="C4710" t="n" s="0">
        <v>-746373.9520549999</v>
      </c>
    </row>
    <row r="4711">
      <c r="A4711" t="n" s="0">
        <v>-52.9</v>
      </c>
      <c r="B4711" t="n" s="0">
        <f>(-5-((((-5*(-5/((-5/(((-5*(-52.9--5))-(-5+((-5*-52.9)*(((-5--5)+(-52.9--5))+-52.9))))-(-5+-5)))*-5)))/-5)--5)+(-5*(((-52.9*(-52.9-(-5/-5)))*(-52.9-(-52.9/(-5*-52.9))))-(-5/-5)))))</f>
        <v>-745951.9650000001</v>
      </c>
      <c r="C4711" t="n" s="0">
        <v>-745951.9649999999</v>
      </c>
    </row>
    <row r="4712">
      <c r="A4712" t="n" s="0">
        <v>-52.89</v>
      </c>
      <c r="B4712" t="n" s="0">
        <f>(-5-((((-5*(-5/((-5/(((-5*(-52.89--5))-(-5+((-5*-52.89)*(((-5--5)+(-52.89--5))+-52.89))))-(-5+-5)))*-5)))/-5)--5)+(-5*(((-52.89*(-52.89-(-5/-5)))*(-52.89-(-52.89/(-5*-52.89))))-(-5/-5)))))</f>
        <v>-745530.137045</v>
      </c>
      <c r="C4712" t="n" s="0">
        <v>-745530.1370450001</v>
      </c>
    </row>
    <row r="4713">
      <c r="A4713" t="n" s="0">
        <v>-52.88</v>
      </c>
      <c r="B4713" t="n" s="0">
        <f>(-5-((((-5*(-5/((-5/(((-5*(-52.88--5))-(-5+((-5*-52.88)*(((-5--5)+(-52.88--5))+-52.88))))-(-5+-5)))*-5)))/-5)--5)+(-5*(((-52.88*(-52.88-(-5/-5)))*(-52.88-(-52.88/(-5*-52.88))))-(-5/-5)))))</f>
        <v>-745108.46816</v>
      </c>
      <c r="C4713" t="n" s="0">
        <v>-745108.4681600002</v>
      </c>
    </row>
    <row r="4714">
      <c r="A4714" t="n" s="0">
        <v>-52.87</v>
      </c>
      <c r="B4714" t="n" s="0">
        <f>(-5-((((-5*(-5/((-5/(((-5*(-52.87--5))-(-5+((-5*-52.87)*(((-5--5)+(-52.87--5))+-52.87))))-(-5+-5)))*-5)))/-5)--5)+(-5*(((-52.87*(-52.87-(-5/-5)))*(-52.87-(-52.87/(-5*-52.87))))-(-5/-5)))))</f>
        <v>-744686.9583149999</v>
      </c>
      <c r="C4714" t="n" s="0">
        <v>-744686.9583149999</v>
      </c>
    </row>
    <row r="4715">
      <c r="A4715" t="n" s="0">
        <v>-52.86</v>
      </c>
      <c r="B4715" t="n" s="0">
        <f>(-5-((((-5*(-5/((-5/(((-5*(-52.86--5))-(-5+((-5*-52.86)*(((-5--5)+(-52.86--5))+-52.86))))-(-5+-5)))*-5)))/-5)--5)+(-5*(((-52.86*(-52.86-(-5/-5)))*(-52.86-(-52.86/(-5*-52.86))))-(-5/-5)))))</f>
        <v>-744265.60748</v>
      </c>
      <c r="C4715" t="n" s="0">
        <v>-744265.6074799999</v>
      </c>
    </row>
    <row r="4716">
      <c r="A4716" t="n" s="0">
        <v>-52.85</v>
      </c>
      <c r="B4716" t="n" s="0">
        <f>(-5-((((-5*(-5/((-5/(((-5*(-52.85--5))-(-5+((-5*-52.85)*(((-5--5)+(-52.85--5))+-52.85))))-(-5+-5)))*-5)))/-5)--5)+(-5*(((-52.85*(-52.85-(-5/-5)))*(-52.85-(-52.85/(-5*-52.85))))-(-5/-5)))))</f>
        <v>-743844.415625</v>
      </c>
      <c r="C4716" t="n" s="0">
        <v>-743844.4156250001</v>
      </c>
    </row>
    <row r="4717">
      <c r="A4717" t="n" s="0">
        <v>-52.84</v>
      </c>
      <c r="B4717" t="n" s="0">
        <f>(-5-((((-5*(-5/((-5/(((-5*(-52.84--5))-(-5+((-5*-52.84)*(((-5--5)+(-52.84--5))+-52.84))))-(-5+-5)))*-5)))/-5)--5)+(-5*(((-52.84*(-52.84-(-5/-5)))*(-52.84-(-52.84/(-5*-52.84))))-(-5/-5)))))</f>
        <v>-743423.3827199999</v>
      </c>
      <c r="C4717" t="n" s="0">
        <v>-743423.3827200001</v>
      </c>
    </row>
    <row r="4718">
      <c r="A4718" t="n" s="0">
        <v>-52.83</v>
      </c>
      <c r="B4718" t="n" s="0">
        <f>(-5-((((-5*(-5/((-5/(((-5*(-52.83--5))-(-5+((-5*-52.83)*(((-5--5)+(-52.83--5))+-52.83))))-(-5+-5)))*-5)))/-5)--5)+(-5*(((-52.83*(-52.83-(-5/-5)))*(-52.83-(-52.83/(-5*-52.83))))-(-5/-5)))))</f>
        <v>-743002.508735</v>
      </c>
      <c r="C4718" t="n" s="0">
        <v>-743002.508735</v>
      </c>
    </row>
    <row r="4719">
      <c r="A4719" t="n" s="0">
        <v>-52.82</v>
      </c>
      <c r="B4719" t="n" s="0">
        <f>(-5-((((-5*(-5/((-5/(((-5*(-52.82--5))-(-5+((-5*-52.82)*(((-5--5)+(-52.82--5))+-52.82))))-(-5+-5)))*-5)))/-5)--5)+(-5*(((-52.82*(-52.82-(-5/-5)))*(-52.82-(-52.82/(-5*-52.82))))-(-5/-5)))))</f>
        <v>-742581.79364</v>
      </c>
      <c r="C4719" t="n" s="0">
        <v>-742581.7936399999</v>
      </c>
    </row>
    <row r="4720">
      <c r="A4720" t="n" s="0">
        <v>-52.81</v>
      </c>
      <c r="B4720" t="n" s="0">
        <f>(-5-((((-5*(-5/((-5/(((-5*(-52.81--5))-(-5+((-5*-52.81)*(((-5--5)+(-52.81--5))+-52.81))))-(-5+-5)))*-5)))/-5)--5)+(-5*(((-52.81*(-52.81-(-5/-5)))*(-52.81-(-52.81/(-5*-52.81))))-(-5/-5)))))</f>
        <v>-742161.237405</v>
      </c>
      <c r="C4720" t="n" s="0">
        <v>-742161.2374050001</v>
      </c>
    </row>
    <row r="4721">
      <c r="A4721" t="n" s="0">
        <v>-52.8</v>
      </c>
      <c r="B4721" t="n" s="0">
        <f>(-5-((((-5*(-5/((-5/(((-5*(-52.8--5))-(-5+((-5*-52.8)*(((-5--5)+(-52.8--5))+-52.8))))-(-5+-5)))*-5)))/-5)--5)+(-5*(((-52.8*(-52.8-(-5/-5)))*(-52.8-(-52.8/(-5*-52.8))))-(-5/-5)))))</f>
        <v>-741740.84</v>
      </c>
      <c r="C4721" t="n" s="0">
        <v>-741740.8400000001</v>
      </c>
    </row>
    <row r="4722">
      <c r="A4722" t="n" s="0">
        <v>-52.79</v>
      </c>
      <c r="B4722" t="n" s="0">
        <f>(-5-((((-5*(-5/((-5/(((-5*(-52.79--5))-(-5+((-5*-52.79)*(((-5--5)+(-52.79--5))+-52.79))))-(-5+-5)))*-5)))/-5)--5)+(-5*(((-52.79*(-52.79-(-5/-5)))*(-52.79-(-52.79/(-5*-52.79))))-(-5/-5)))))</f>
        <v>-741320.601395</v>
      </c>
      <c r="C4722" t="n" s="0">
        <v>-741320.601395</v>
      </c>
    </row>
    <row r="4723">
      <c r="A4723" t="n" s="0">
        <v>-52.78</v>
      </c>
      <c r="B4723" t="n" s="0">
        <f>(-5-((((-5*(-5/((-5/(((-5*(-52.78--5))-(-5+((-5*-52.78)*(((-5--5)+(-52.78--5))+-52.78))))-(-5+-5)))*-5)))/-5)--5)+(-5*(((-52.78*(-52.78-(-5/-5)))*(-52.78-(-52.78/(-5*-52.78))))-(-5/-5)))))</f>
        <v>-740900.5215599999</v>
      </c>
      <c r="C4723" t="n" s="0">
        <v>-740900.52156</v>
      </c>
    </row>
    <row r="4724">
      <c r="A4724" t="n" s="0">
        <v>-52.77</v>
      </c>
      <c r="B4724" t="n" s="0">
        <f>(-5-((((-5*(-5/((-5/(((-5*(-52.77--5))-(-5+((-5*-52.77)*(((-5--5)+(-52.77--5))+-52.77))))-(-5+-5)))*-5)))/-5)--5)+(-5*(((-52.77*(-52.77-(-5/-5)))*(-52.77-(-52.77/(-5*-52.77))))-(-5/-5)))))</f>
        <v>-740480.6004649999</v>
      </c>
      <c r="C4724" t="n" s="0">
        <v>-740480.6004650001</v>
      </c>
    </row>
    <row r="4725">
      <c r="A4725" t="n" s="0">
        <v>-52.76</v>
      </c>
      <c r="B4725" t="n" s="0">
        <f>(-5-((((-5*(-5/((-5/(((-5*(-52.76--5))-(-5+((-5*-52.76)*(((-5--5)+(-52.76--5))+-52.76))))-(-5+-5)))*-5)))/-5)--5)+(-5*(((-52.76*(-52.76-(-5/-5)))*(-52.76-(-52.76/(-5*-52.76))))-(-5/-5)))))</f>
        <v>-740060.83808</v>
      </c>
      <c r="C4725" t="n" s="0">
        <v>-740060.8380799999</v>
      </c>
    </row>
    <row r="4726">
      <c r="A4726" t="n" s="0">
        <v>-52.75</v>
      </c>
      <c r="B4726" t="n" s="0">
        <f>(-5-((((-5*(-5/((-5/(((-5*(-52.75--5))-(-5+((-5*-52.75)*(((-5--5)+(-52.75--5))+-52.75))))-(-5+-5)))*-5)))/-5)--5)+(-5*(((-52.75*(-52.75-(-5/-5)))*(-52.75-(-52.75/(-5*-52.75))))-(-5/-5)))))</f>
        <v>-739641.234375</v>
      </c>
      <c r="C4726" t="n" s="0">
        <v>-739641.234375</v>
      </c>
    </row>
    <row r="4727">
      <c r="A4727" t="n" s="0">
        <v>-52.74</v>
      </c>
      <c r="B4727" t="n" s="0">
        <f>(-5-((((-5*(-5/((-5/(((-5*(-52.74--5))-(-5+((-5*-52.74)*(((-5--5)+(-52.74--5))+-52.74))))-(-5+-5)))*-5)))/-5)--5)+(-5*(((-52.74*(-52.74-(-5/-5)))*(-52.74-(-52.74/(-5*-52.74))))-(-5/-5)))))</f>
        <v>-739221.7893200001</v>
      </c>
      <c r="C4727" t="n" s="0">
        <v>-739221.78932</v>
      </c>
    </row>
    <row r="4728">
      <c r="A4728" t="n" s="0">
        <v>-52.73</v>
      </c>
      <c r="B4728" t="n" s="0">
        <f>(-5-((((-5*(-5/((-5/(((-5*(-52.73--5))-(-5+((-5*-52.73)*(((-5--5)+(-52.73--5))+-52.73))))-(-5+-5)))*-5)))/-5)--5)+(-5*(((-52.73*(-52.73-(-5/-5)))*(-52.73-(-52.73/(-5*-52.73))))-(-5/-5)))))</f>
        <v>-738802.502885</v>
      </c>
      <c r="C4728" t="n" s="0">
        <v>-738802.5028849997</v>
      </c>
    </row>
    <row r="4729">
      <c r="A4729" t="n" s="0">
        <v>-52.72</v>
      </c>
      <c r="B4729" t="n" s="0">
        <f>(-5-((((-5*(-5/((-5/(((-5*(-52.72--5))-(-5+((-5*-52.72)*(((-5--5)+(-52.72--5))+-52.72))))-(-5+-5)))*-5)))/-5)--5)+(-5*(((-52.72*(-52.72-(-5/-5)))*(-52.72-(-52.72/(-5*-52.72))))-(-5/-5)))))</f>
        <v>-738383.37504</v>
      </c>
      <c r="C4729" t="n" s="0">
        <v>-738383.37504</v>
      </c>
    </row>
    <row r="4730">
      <c r="A4730" t="n" s="0">
        <v>-52.71</v>
      </c>
      <c r="B4730" t="n" s="0">
        <f>(-5-((((-5*(-5/((-5/(((-5*(-52.71--5))-(-5+((-5*-52.71)*(((-5--5)+(-52.71--5))+-52.71))))-(-5+-5)))*-5)))/-5)--5)+(-5*(((-52.71*(-52.71-(-5/-5)))*(-52.71-(-52.71/(-5*-52.71))))-(-5/-5)))))</f>
        <v>-737964.405755</v>
      </c>
      <c r="C4730" t="n" s="0">
        <v>-737964.4057550001</v>
      </c>
    </row>
    <row r="4731">
      <c r="A4731" t="n" s="0">
        <v>-52.7</v>
      </c>
      <c r="B4731" t="n" s="0">
        <f>(-5-((((-5*(-5/((-5/(((-5*(-52.7--5))-(-5+((-5*-52.7)*(((-5--5)+(-52.7--5))+-52.7))))-(-5+-5)))*-5)))/-5)--5)+(-5*(((-52.7*(-52.7-(-5/-5)))*(-52.7-(-52.7/(-5*-52.7))))-(-5/-5)))))</f>
        <v>-737545.595</v>
      </c>
      <c r="C4731" t="n" s="0">
        <v>-737545.595</v>
      </c>
    </row>
    <row r="4732">
      <c r="A4732" t="n" s="0">
        <v>-52.69</v>
      </c>
      <c r="B4732" t="n" s="0">
        <f>(-5-((((-5*(-5/((-5/(((-5*(-52.69--5))-(-5+((-5*-52.69)*(((-5--5)+(-52.69--5))+-52.69))))-(-5+-5)))*-5)))/-5)--5)+(-5*(((-52.69*(-52.69-(-5/-5)))*(-52.69-(-52.69/(-5*-52.69))))-(-5/-5)))))</f>
        <v>-737126.942745</v>
      </c>
      <c r="C4732" t="n" s="0">
        <v>-737126.9427449999</v>
      </c>
    </row>
    <row r="4733">
      <c r="A4733" t="n" s="0">
        <v>-52.68</v>
      </c>
      <c r="B4733" t="n" s="0">
        <f>(-5-((((-5*(-5/((-5/(((-5*(-52.68--5))-(-5+((-5*-52.68)*(((-5--5)+(-52.68--5))+-52.68))))-(-5+-5)))*-5)))/-5)--5)+(-5*(((-52.68*(-52.68-(-5/-5)))*(-52.68-(-52.68/(-5*-52.68))))-(-5/-5)))))</f>
        <v>-736708.44896</v>
      </c>
      <c r="C4733" t="n" s="0">
        <v>-736708.4489600001</v>
      </c>
    </row>
    <row r="4734">
      <c r="A4734" t="n" s="0">
        <v>-52.67</v>
      </c>
      <c r="B4734" t="n" s="0">
        <f>(-5-((((-5*(-5/((-5/(((-5*(-52.67--5))-(-5+((-5*-52.67)*(((-5--5)+(-52.67--5))+-52.67))))-(-5+-5)))*-5)))/-5)--5)+(-5*(((-52.67*(-52.67-(-5/-5)))*(-52.67-(-52.67/(-5*-52.67))))-(-5/-5)))))</f>
        <v>-736290.113615</v>
      </c>
      <c r="C4734" t="n" s="0">
        <v>-736290.1136150002</v>
      </c>
    </row>
    <row r="4735">
      <c r="A4735" t="n" s="0">
        <v>-52.66</v>
      </c>
      <c r="B4735" t="n" s="0">
        <f>(-5-((((-5*(-5/((-5/(((-5*(-52.66--5))-(-5+((-5*-52.66)*(((-5--5)+(-52.66--5))+-52.66))))-(-5+-5)))*-5)))/-5)--5)+(-5*(((-52.66*(-52.66-(-5/-5)))*(-52.66-(-52.66/(-5*-52.66))))-(-5/-5)))))</f>
        <v>-735871.93668</v>
      </c>
      <c r="C4735" t="n" s="0">
        <v>-735871.9366799998</v>
      </c>
    </row>
    <row r="4736">
      <c r="A4736" t="n" s="0">
        <v>-52.65</v>
      </c>
      <c r="B4736" t="n" s="0">
        <f>(-5-((((-5*(-5/((-5/(((-5*(-52.65--5))-(-5+((-5*-52.65)*(((-5--5)+(-52.65--5))+-52.65))))-(-5+-5)))*-5)))/-5)--5)+(-5*(((-52.65*(-52.65-(-5/-5)))*(-52.65-(-52.65/(-5*-52.65))))-(-5/-5)))))</f>
        <v>-735453.9181250001</v>
      </c>
      <c r="C4736" t="n" s="0">
        <v>-735453.918125</v>
      </c>
    </row>
    <row r="4737">
      <c r="A4737" t="n" s="0">
        <v>-52.64</v>
      </c>
      <c r="B4737" t="n" s="0">
        <f>(-5-((((-5*(-5/((-5/(((-5*(-52.64--5))-(-5+((-5*-52.64)*(((-5--5)+(-52.64--5))+-52.64))))-(-5+-5)))*-5)))/-5)--5)+(-5*(((-52.64*(-52.64-(-5/-5)))*(-52.64-(-52.64/(-5*-52.64))))-(-5/-5)))))</f>
        <v>-735036.05792</v>
      </c>
      <c r="C4737" t="n" s="0">
        <v>-735036.05792</v>
      </c>
    </row>
    <row r="4738">
      <c r="A4738" t="n" s="0">
        <v>-52.63</v>
      </c>
      <c r="B4738" t="n" s="0">
        <f>(-5-((((-5*(-5/((-5/(((-5*(-52.63--5))-(-5+((-5*-52.63)*(((-5--5)+(-52.63--5))+-52.63))))-(-5+-5)))*-5)))/-5)--5)+(-5*(((-52.63*(-52.63-(-5/-5)))*(-52.63-(-52.63/(-5*-52.63))))-(-5/-5)))))</f>
        <v>-734618.356035</v>
      </c>
      <c r="C4738" t="n" s="0">
        <v>-734618.3560350002</v>
      </c>
    </row>
    <row r="4739">
      <c r="A4739" t="n" s="0">
        <v>-52.62</v>
      </c>
      <c r="B4739" t="n" s="0">
        <f>(-5-((((-5*(-5/((-5/(((-5*(-52.62--5))-(-5+((-5*-52.62)*(((-5--5)+(-52.62--5))+-52.62))))-(-5+-5)))*-5)))/-5)--5)+(-5*(((-52.62*(-52.62-(-5/-5)))*(-52.62-(-52.62/(-5*-52.62))))-(-5/-5)))))</f>
        <v>-734200.81244</v>
      </c>
      <c r="C4739" t="n" s="0">
        <v>-734200.81244</v>
      </c>
    </row>
    <row r="4740">
      <c r="A4740" t="n" s="0">
        <v>-52.61</v>
      </c>
      <c r="B4740" t="n" s="0">
        <f>(-5-((((-5*(-5/((-5/(((-5*(-52.61--5))-(-5+((-5*-52.61)*(((-5--5)+(-52.61--5))+-52.61))))-(-5+-5)))*-5)))/-5)--5)+(-5*(((-52.61*(-52.61-(-5/-5)))*(-52.61-(-52.61/(-5*-52.61))))-(-5/-5)))))</f>
        <v>-733783.427105</v>
      </c>
      <c r="C4740" t="n" s="0">
        <v>-733783.4271049999</v>
      </c>
    </row>
    <row r="4741">
      <c r="A4741" t="n" s="0">
        <v>-52.6</v>
      </c>
      <c r="B4741" t="n" s="0">
        <f>(-5-((((-5*(-5/((-5/(((-5*(-52.6--5))-(-5+((-5*-52.6)*(((-5--5)+(-52.6--5))+-52.6))))-(-5+-5)))*-5)))/-5)--5)+(-5*(((-52.6*(-52.6-(-5/-5)))*(-52.6-(-52.6/(-5*-52.6))))-(-5/-5)))))</f>
        <v>-733366.2</v>
      </c>
      <c r="C4741" t="n" s="0">
        <v>-733366.2000000001</v>
      </c>
    </row>
    <row r="4742">
      <c r="A4742" t="n" s="0">
        <v>-52.59</v>
      </c>
      <c r="B4742" t="n" s="0">
        <f>(-5-((((-5*(-5/((-5/(((-5*(-52.59--5))-(-5+((-5*-52.59)*(((-5--5)+(-52.59--5))+-52.59))))-(-5+-5)))*-5)))/-5)--5)+(-5*(((-52.59*(-52.59-(-5/-5)))*(-52.59-(-52.59/(-5*-52.59))))-(-5/-5)))))</f>
        <v>-732949.131095</v>
      </c>
      <c r="C4742" t="n" s="0">
        <v>-732949.1310950001</v>
      </c>
    </row>
    <row r="4743">
      <c r="A4743" t="n" s="0">
        <v>-52.58</v>
      </c>
      <c r="B4743" t="n" s="0">
        <f>(-5-((((-5*(-5/((-5/(((-5*(-52.58--5))-(-5+((-5*-52.58)*(((-5--5)+(-52.58--5))+-52.58))))-(-5+-5)))*-5)))/-5)--5)+(-5*(((-52.58*(-52.58-(-5/-5)))*(-52.58-(-52.58/(-5*-52.58))))-(-5/-5)))))</f>
        <v>-732532.22036</v>
      </c>
      <c r="C4743" t="n" s="0">
        <v>-732532.2203599999</v>
      </c>
    </row>
    <row r="4744">
      <c r="A4744" t="n" s="0">
        <v>-52.57</v>
      </c>
      <c r="B4744" t="n" s="0">
        <f>(-5-((((-5*(-5/((-5/(((-5*(-52.57--5))-(-5+((-5*-52.57)*(((-5--5)+(-52.57--5))+-52.57))))-(-5+-5)))*-5)))/-5)--5)+(-5*(((-52.57*(-52.57-(-5/-5)))*(-52.57-(-52.57/(-5*-52.57))))-(-5/-5)))))</f>
        <v>-732115.467765</v>
      </c>
      <c r="C4744" t="n" s="0">
        <v>-732115.467765</v>
      </c>
    </row>
    <row r="4745">
      <c r="A4745" t="n" s="0">
        <v>-52.56</v>
      </c>
      <c r="B4745" t="n" s="0">
        <f>(-5-((((-5*(-5/((-5/(((-5*(-52.56--5))-(-5+((-5*-52.56)*(((-5--5)+(-52.56--5))+-52.56))))-(-5+-5)))*-5)))/-5)--5)+(-5*(((-52.56*(-52.56-(-5/-5)))*(-52.56-(-52.56/(-5*-52.56))))-(-5/-5)))))</f>
        <v>-731698.87328</v>
      </c>
      <c r="C4745" t="n" s="0">
        <v>-731698.8732800002</v>
      </c>
    </row>
    <row r="4746">
      <c r="A4746" t="n" s="0">
        <v>-52.55</v>
      </c>
      <c r="B4746" t="n" s="0">
        <f>(-5-((((-5*(-5/((-5/(((-5*(-52.55--5))-(-5+((-5*-52.55)*(((-5--5)+(-52.55--5))+-52.55))))-(-5+-5)))*-5)))/-5)--5)+(-5*(((-52.55*(-52.55-(-5/-5)))*(-52.55-(-52.55/(-5*-52.55))))-(-5/-5)))))</f>
        <v>-731282.4368749999</v>
      </c>
      <c r="C4746" t="n" s="0">
        <v>-731282.4368749999</v>
      </c>
    </row>
    <row r="4747">
      <c r="A4747" t="n" s="0">
        <v>-52.54</v>
      </c>
      <c r="B4747" t="n" s="0">
        <f>(-5-((((-5*(-5/((-5/(((-5*(-52.54--5))-(-5+((-5*-52.54)*(((-5--5)+(-52.54--5))+-52.54))))-(-5+-5)))*-5)))/-5)--5)+(-5*(((-52.54*(-52.54-(-5/-5)))*(-52.54-(-52.54/(-5*-52.54))))-(-5/-5)))))</f>
        <v>-730866.1585199999</v>
      </c>
      <c r="C4747" t="n" s="0">
        <v>-730866.1585199999</v>
      </c>
    </row>
    <row r="4748">
      <c r="A4748" t="n" s="0">
        <v>-52.53</v>
      </c>
      <c r="B4748" t="n" s="0">
        <f>(-5-((((-5*(-5/((-5/(((-5*(-52.53--5))-(-5+((-5*-52.53)*(((-5--5)+(-52.53--5))+-52.53))))-(-5+-5)))*-5)))/-5)--5)+(-5*(((-52.53*(-52.53-(-5/-5)))*(-52.53-(-52.53/(-5*-52.53))))-(-5/-5)))))</f>
        <v>-730450.038185</v>
      </c>
      <c r="C4748" t="n" s="0">
        <v>-730450.0381850001</v>
      </c>
    </row>
    <row r="4749">
      <c r="A4749" t="n" s="0">
        <v>-52.52</v>
      </c>
      <c r="B4749" t="n" s="0">
        <f>(-5-((((-5*(-5/((-5/(((-5*(-52.52--5))-(-5+((-5*-52.52)*(((-5--5)+(-52.52--5))+-52.52))))-(-5+-5)))*-5)))/-5)--5)+(-5*(((-52.52*(-52.52-(-5/-5)))*(-52.52-(-52.52/(-5*-52.52))))-(-5/-5)))))</f>
        <v>-730034.07584</v>
      </c>
      <c r="C4749" t="n" s="0">
        <v>-730034.0758400002</v>
      </c>
    </row>
    <row r="4750">
      <c r="A4750" t="n" s="0">
        <v>-52.51</v>
      </c>
      <c r="B4750" t="n" s="0">
        <f>(-5-((((-5*(-5/((-5/(((-5*(-52.51--5))-(-5+((-5*-52.51)*(((-5--5)+(-52.51--5))+-52.51))))-(-5+-5)))*-5)))/-5)--5)+(-5*(((-52.51*(-52.51-(-5/-5)))*(-52.51-(-52.51/(-5*-52.51))))-(-5/-5)))))</f>
        <v>-729618.2714549999</v>
      </c>
      <c r="C4750" t="n" s="0">
        <v>-729618.2714549999</v>
      </c>
    </row>
    <row r="4751">
      <c r="A4751" t="n" s="0">
        <v>-52.5</v>
      </c>
      <c r="B4751" t="n" s="0">
        <f>(-5-((((-5*(-5/((-5/(((-5*(-52.5--5))-(-5+((-5*-52.5)*(((-5--5)+(-52.5--5))+-52.5))))-(-5+-5)))*-5)))/-5)--5)+(-5*(((-52.5*(-52.5-(-5/-5)))*(-52.5-(-52.5/(-5*-52.5))))-(-5/-5)))))</f>
        <v>-729202.625</v>
      </c>
      <c r="C4751" t="n" s="0">
        <v>-729202.625</v>
      </c>
    </row>
    <row r="4752">
      <c r="A4752" t="n" s="0">
        <v>-52.49</v>
      </c>
      <c r="B4752" t="n" s="0">
        <f>(-5-((((-5*(-5/((-5/(((-5*(-52.49--5))-(-5+((-5*-52.49)*(((-5--5)+(-52.49--5))+-52.49))))-(-5+-5)))*-5)))/-5)--5)+(-5*(((-52.49*(-52.49-(-5/-5)))*(-52.49-(-52.49/(-5*-52.49))))-(-5/-5)))))</f>
        <v>-728787.1364450001</v>
      </c>
      <c r="C4752" t="n" s="0">
        <v>-728787.1364450001</v>
      </c>
    </row>
    <row r="4753">
      <c r="A4753" t="n" s="0">
        <v>-52.48</v>
      </c>
      <c r="B4753" t="n" s="0">
        <f>(-5-((((-5*(-5/((-5/(((-5*(-52.48--5))-(-5+((-5*-52.48)*(((-5--5)+(-52.48--5))+-52.48))))-(-5+-5)))*-5)))/-5)--5)+(-5*(((-52.48*(-52.48-(-5/-5)))*(-52.48-(-52.48/(-5*-52.48))))-(-5/-5)))))</f>
        <v>-728371.8057599999</v>
      </c>
      <c r="C4753" t="n" s="0">
        <v>-728371.8057599998</v>
      </c>
    </row>
    <row r="4754">
      <c r="A4754" t="n" s="0">
        <v>-52.47</v>
      </c>
      <c r="B4754" t="n" s="0">
        <f>(-5-((((-5*(-5/((-5/(((-5*(-52.47--5))-(-5+((-5*-52.47)*(((-5--5)+(-52.47--5))+-52.47))))-(-5+-5)))*-5)))/-5)--5)+(-5*(((-52.47*(-52.47-(-5/-5)))*(-52.47-(-52.47/(-5*-52.47))))-(-5/-5)))))</f>
        <v>-727956.632915</v>
      </c>
      <c r="C4754" t="n" s="0">
        <v>-727956.632915</v>
      </c>
    </row>
    <row r="4755">
      <c r="A4755" t="n" s="0">
        <v>-52.46</v>
      </c>
      <c r="B4755" t="n" s="0">
        <f>(-5-((((-5*(-5/((-5/(((-5*(-52.46--5))-(-5+((-5*-52.46)*(((-5--5)+(-52.46--5))+-52.46))))-(-5+-5)))*-5)))/-5)--5)+(-5*(((-52.46*(-52.46-(-5/-5)))*(-52.46-(-52.46/(-5*-52.46))))-(-5/-5)))))</f>
        <v>-727541.6178799999</v>
      </c>
      <c r="C4755" t="n" s="0">
        <v>-727541.6178800002</v>
      </c>
    </row>
    <row r="4756">
      <c r="A4756" t="n" s="0">
        <v>-52.45</v>
      </c>
      <c r="B4756" t="n" s="0">
        <f>(-5-((((-5*(-5/((-5/(((-5*(-52.45--5))-(-5+((-5*-52.45)*(((-5--5)+(-52.45--5))+-52.45))))-(-5+-5)))*-5)))/-5)--5)+(-5*(((-52.45*(-52.45-(-5/-5)))*(-52.45-(-52.45/(-5*-52.45))))-(-5/-5)))))</f>
        <v>-727126.760625</v>
      </c>
      <c r="C4756" t="n" s="0">
        <v>-727126.7606250001</v>
      </c>
    </row>
    <row r="4757">
      <c r="A4757" t="n" s="0">
        <v>-52.44</v>
      </c>
      <c r="B4757" t="n" s="0">
        <f>(-5-((((-5*(-5/((-5/(((-5*(-52.44--5))-(-5+((-5*-52.44)*(((-5--5)+(-52.44--5))+-52.44))))-(-5+-5)))*-5)))/-5)--5)+(-5*(((-52.44*(-52.44-(-5/-5)))*(-52.44-(-52.44/(-5*-52.44))))-(-5/-5)))))</f>
        <v>-726712.06112</v>
      </c>
      <c r="C4757" t="n" s="0">
        <v>-726712.06112</v>
      </c>
    </row>
    <row r="4758">
      <c r="A4758" t="n" s="0">
        <v>-52.43</v>
      </c>
      <c r="B4758" t="n" s="0">
        <f>(-5-((((-5*(-5/((-5/(((-5*(-52.43--5))-(-5+((-5*-52.43)*(((-5--5)+(-52.43--5))+-52.43))))-(-5+-5)))*-5)))/-5)--5)+(-5*(((-52.43*(-52.43-(-5/-5)))*(-52.43-(-52.43/(-5*-52.43))))-(-5/-5)))))</f>
        <v>-726297.5193350001</v>
      </c>
      <c r="C4758" t="n" s="0">
        <v>-726297.5193350001</v>
      </c>
    </row>
    <row r="4759">
      <c r="A4759" t="n" s="0">
        <v>-52.42</v>
      </c>
      <c r="B4759" t="n" s="0">
        <f>(-5-((((-5*(-5/((-5/(((-5*(-52.42--5))-(-5+((-5*-52.42)*(((-5--5)+(-52.42--5))+-52.42))))-(-5+-5)))*-5)))/-5)--5)+(-5*(((-52.42*(-52.42-(-5/-5)))*(-52.42-(-52.42/(-5*-52.42))))-(-5/-5)))))</f>
        <v>-725883.13524</v>
      </c>
      <c r="C4759" t="n" s="0">
        <v>-725883.13524</v>
      </c>
    </row>
    <row r="4760">
      <c r="A4760" t="n" s="0">
        <v>-52.41</v>
      </c>
      <c r="B4760" t="n" s="0">
        <f>(-5-((((-5*(-5/((-5/(((-5*(-52.41--5))-(-5+((-5*-52.41)*(((-5--5)+(-52.41--5))+-52.41))))-(-5+-5)))*-5)))/-5)--5)+(-5*(((-52.41*(-52.41-(-5/-5)))*(-52.41-(-52.41/(-5*-52.41))))-(-5/-5)))))</f>
        <v>-725468.908805</v>
      </c>
      <c r="C4760" t="n" s="0">
        <v>-725468.9088049999</v>
      </c>
    </row>
    <row r="4761">
      <c r="A4761" t="n" s="0">
        <v>-52.4</v>
      </c>
      <c r="B4761" t="n" s="0">
        <f>(-5-((((-5*(-5/((-5/(((-5*(-52.4--5))-(-5+((-5*-52.4)*(((-5--5)+(-52.4--5))+-52.4))))-(-5+-5)))*-5)))/-5)--5)+(-5*(((-52.4*(-52.4-(-5/-5)))*(-52.4-(-52.4/(-5*-52.4))))-(-5/-5)))))</f>
        <v>-725054.84</v>
      </c>
      <c r="C4761" t="n" s="0">
        <v>-725054.84</v>
      </c>
    </row>
    <row r="4762">
      <c r="A4762" t="n" s="0">
        <v>-52.39</v>
      </c>
      <c r="B4762" t="n" s="0">
        <f>(-5-((((-5*(-5/((-5/(((-5*(-52.39--5))-(-5+((-5*-52.39)*(((-5--5)+(-52.39--5))+-52.39))))-(-5+-5)))*-5)))/-5)--5)+(-5*(((-52.39*(-52.39-(-5/-5)))*(-52.39-(-52.39/(-5*-52.39))))-(-5/-5)))))</f>
        <v>-724640.9287950001</v>
      </c>
      <c r="C4762" t="n" s="0">
        <v>-724640.9287950001</v>
      </c>
    </row>
    <row r="4763">
      <c r="A4763" t="n" s="0">
        <v>-52.38</v>
      </c>
      <c r="B4763" t="n" s="0">
        <f>(-5-((((-5*(-5/((-5/(((-5*(-52.38--5))-(-5+((-5*-52.38)*(((-5--5)+(-52.38--5))+-52.38))))-(-5+-5)))*-5)))/-5)--5)+(-5*(((-52.38*(-52.38-(-5/-5)))*(-52.38-(-52.38/(-5*-52.38))))-(-5/-5)))))</f>
        <v>-724227.17516</v>
      </c>
      <c r="C4763" t="n" s="0">
        <v>-724227.1751600001</v>
      </c>
    </row>
    <row r="4764">
      <c r="A4764" t="n" s="0">
        <v>-52.37</v>
      </c>
      <c r="B4764" t="n" s="0">
        <f>(-5-((((-5*(-5/((-5/(((-5*(-52.37--5))-(-5+((-5*-52.37)*(((-5--5)+(-52.37--5))+-52.37))))-(-5+-5)))*-5)))/-5)--5)+(-5*(((-52.37*(-52.37-(-5/-5)))*(-52.37-(-52.37/(-5*-52.37))))-(-5/-5)))))</f>
        <v>-723813.579065</v>
      </c>
      <c r="C4764" t="n" s="0">
        <v>-723813.5790649999</v>
      </c>
    </row>
    <row r="4765">
      <c r="A4765" t="n" s="0">
        <v>-52.36</v>
      </c>
      <c r="B4765" t="n" s="0">
        <f>(-5-((((-5*(-5/((-5/(((-5*(-52.36--5))-(-5+((-5*-52.36)*(((-5--5)+(-52.36--5))+-52.36))))-(-5+-5)))*-5)))/-5)--5)+(-5*(((-52.36*(-52.36-(-5/-5)))*(-52.36-(-52.36/(-5*-52.36))))-(-5/-5)))))</f>
        <v>-723400.14048</v>
      </c>
      <c r="C4765" t="n" s="0">
        <v>-723400.14048</v>
      </c>
    </row>
    <row r="4766">
      <c r="A4766" t="n" s="0">
        <v>-52.35</v>
      </c>
      <c r="B4766" t="n" s="0">
        <f>(-5-((((-5*(-5/((-5/(((-5*(-52.35--5))-(-5+((-5*-52.35)*(((-5--5)+(-52.35--5))+-52.35))))-(-5+-5)))*-5)))/-5)--5)+(-5*(((-52.35*(-52.35-(-5/-5)))*(-52.35-(-52.35/(-5*-52.35))))-(-5/-5)))))</f>
        <v>-722986.859375</v>
      </c>
      <c r="C4766" t="n" s="0">
        <v>-722986.8593750001</v>
      </c>
    </row>
    <row r="4767">
      <c r="A4767" t="n" s="0">
        <v>-52.34</v>
      </c>
      <c r="B4767" t="n" s="0">
        <f>(-5-((((-5*(-5/((-5/(((-5*(-52.34--5))-(-5+((-5*-52.34)*(((-5--5)+(-52.34--5))+-52.34))))-(-5+-5)))*-5)))/-5)--5)+(-5*(((-52.34*(-52.34-(-5/-5)))*(-52.34-(-52.34/(-5*-52.34))))-(-5/-5)))))</f>
        <v>-722573.73572</v>
      </c>
      <c r="C4767" t="n" s="0">
        <v>-722573.7357200001</v>
      </c>
    </row>
    <row r="4768">
      <c r="A4768" t="n" s="0">
        <v>-52.33</v>
      </c>
      <c r="B4768" t="n" s="0">
        <f>(-5-((((-5*(-5/((-5/(((-5*(-52.33--5))-(-5+((-5*-52.33)*(((-5--5)+(-52.33--5))+-52.33))))-(-5+-5)))*-5)))/-5)--5)+(-5*(((-52.33*(-52.33-(-5/-5)))*(-52.33-(-52.33/(-5*-52.33))))-(-5/-5)))))</f>
        <v>-722160.7694849999</v>
      </c>
      <c r="C4768" t="n" s="0">
        <v>-722160.7694849998</v>
      </c>
    </row>
    <row r="4769">
      <c r="A4769" t="n" s="0">
        <v>-52.32</v>
      </c>
      <c r="B4769" t="n" s="0">
        <f>(-5-((((-5*(-5/((-5/(((-5*(-52.32--5))-(-5+((-5*-52.32)*(((-5--5)+(-52.32--5))+-52.32))))-(-5+-5)))*-5)))/-5)--5)+(-5*(((-52.32*(-52.32-(-5/-5)))*(-52.32-(-52.32/(-5*-52.32))))-(-5/-5)))))</f>
        <v>-721747.9606400001</v>
      </c>
      <c r="C4769" t="n" s="0">
        <v>-721747.96064</v>
      </c>
    </row>
    <row r="4770">
      <c r="A4770" t="n" s="0">
        <v>-52.31</v>
      </c>
      <c r="B4770" t="n" s="0">
        <f>(-5-((((-5*(-5/((-5/(((-5*(-52.31--5))-(-5+((-5*-52.31)*(((-5--5)+(-52.31--5))+-52.31))))-(-5+-5)))*-5)))/-5)--5)+(-5*(((-52.31*(-52.31-(-5/-5)))*(-52.31-(-52.31/(-5*-52.31))))-(-5/-5)))))</f>
        <v>-721335.309155</v>
      </c>
      <c r="C4770" t="n" s="0">
        <v>-721335.3091550001</v>
      </c>
    </row>
    <row r="4771">
      <c r="A4771" t="n" s="0">
        <v>-52.3</v>
      </c>
      <c r="B4771" t="n" s="0">
        <f>(-5-((((-5*(-5/((-5/(((-5*(-52.3--5))-(-5+((-5*-52.3)*(((-5--5)+(-52.3--5))+-52.3))))-(-5+-5)))*-5)))/-5)--5)+(-5*(((-52.3*(-52.3-(-5/-5)))*(-52.3-(-52.3/(-5*-52.3))))-(-5/-5)))))</f>
        <v>-720922.815</v>
      </c>
      <c r="C4771" t="n" s="0">
        <v>-720922.815</v>
      </c>
    </row>
    <row r="4772">
      <c r="A4772" t="n" s="0">
        <v>-52.29</v>
      </c>
      <c r="B4772" t="n" s="0">
        <f>(-5-((((-5*(-5/((-5/(((-5*(-52.29--5))-(-5+((-5*-52.29)*(((-5--5)+(-52.29--5))+-52.29))))-(-5+-5)))*-5)))/-5)--5)+(-5*(((-52.29*(-52.29-(-5/-5)))*(-52.29-(-52.29/(-5*-52.29))))-(-5/-5)))))</f>
        <v>-720510.4781450001</v>
      </c>
      <c r="C4772" t="n" s="0">
        <v>-720510.478145</v>
      </c>
    </row>
    <row r="4773">
      <c r="A4773" t="n" s="0">
        <v>-52.28</v>
      </c>
      <c r="B4773" t="n" s="0">
        <f>(-5-((((-5*(-5/((-5/(((-5*(-52.28--5))-(-5+((-5*-52.28)*(((-5--5)+(-52.28--5))+-52.28))))-(-5+-5)))*-5)))/-5)--5)+(-5*(((-52.28*(-52.28-(-5/-5)))*(-52.28-(-52.28/(-5*-52.28))))-(-5/-5)))))</f>
        <v>-720098.29856</v>
      </c>
      <c r="C4773" t="n" s="0">
        <v>-720098.2985599999</v>
      </c>
    </row>
    <row r="4774">
      <c r="A4774" t="n" s="0">
        <v>-52.27</v>
      </c>
      <c r="B4774" t="n" s="0">
        <f>(-5-((((-5*(-5/((-5/(((-5*(-52.27--5))-(-5+((-5*-52.27)*(((-5--5)+(-52.27--5))+-52.27))))-(-5+-5)))*-5)))/-5)--5)+(-5*(((-52.27*(-52.27-(-5/-5)))*(-52.27-(-52.27/(-5*-52.27))))-(-5/-5)))))</f>
        <v>-719686.276215</v>
      </c>
      <c r="C4774" t="n" s="0">
        <v>-719686.2762150002</v>
      </c>
    </row>
    <row r="4775">
      <c r="A4775" t="n" s="0">
        <v>-52.26</v>
      </c>
      <c r="B4775" t="n" s="0">
        <f>(-5-((((-5*(-5/((-5/(((-5*(-52.26--5))-(-5+((-5*-52.26)*(((-5--5)+(-52.26--5))+-52.26))))-(-5+-5)))*-5)))/-5)--5)+(-5*(((-52.26*(-52.26-(-5/-5)))*(-52.26-(-52.26/(-5*-52.26))))-(-5/-5)))))</f>
        <v>-719274.4110800001</v>
      </c>
      <c r="C4775" t="n" s="0">
        <v>-719274.41108</v>
      </c>
    </row>
    <row r="4776">
      <c r="A4776" t="n" s="0">
        <v>-52.25</v>
      </c>
      <c r="B4776" t="n" s="0">
        <f>(-5-((((-5*(-5/((-5/(((-5*(-52.25--5))-(-5+((-5*-52.25)*(((-5--5)+(-52.25--5))+-52.25))))-(-5+-5)))*-5)))/-5)--5)+(-5*(((-52.25*(-52.25-(-5/-5)))*(-52.25-(-52.25/(-5*-52.25))))-(-5/-5)))))</f>
        <v>-718862.703125</v>
      </c>
      <c r="C4776" t="n" s="0">
        <v>-718862.703125</v>
      </c>
    </row>
    <row r="4777">
      <c r="A4777" t="n" s="0">
        <v>-52.24</v>
      </c>
      <c r="B4777" t="n" s="0">
        <f>(-5-((((-5*(-5/((-5/(((-5*(-52.24--5))-(-5+((-5*-52.24)*(((-5--5)+(-52.24--5))+-52.24))))-(-5+-5)))*-5)))/-5)--5)+(-5*(((-52.24*(-52.24-(-5/-5)))*(-52.24-(-52.24/(-5*-52.24))))-(-5/-5)))))</f>
        <v>-718451.15232</v>
      </c>
      <c r="C4777" t="n" s="0">
        <v>-718451.1523200001</v>
      </c>
    </row>
    <row r="4778">
      <c r="A4778" t="n" s="0">
        <v>-52.23</v>
      </c>
      <c r="B4778" t="n" s="0">
        <f>(-5-((((-5*(-5/((-5/(((-5*(-52.23--5))-(-5+((-5*-52.23)*(((-5--5)+(-52.23--5))+-52.23))))-(-5+-5)))*-5)))/-5)--5)+(-5*(((-52.23*(-52.23-(-5/-5)))*(-52.23-(-52.23/(-5*-52.23))))-(-5/-5)))))</f>
        <v>-718039.758635</v>
      </c>
      <c r="C4778" t="n" s="0">
        <v>-718039.7586349999</v>
      </c>
    </row>
    <row r="4779">
      <c r="A4779" t="n" s="0">
        <v>-52.22</v>
      </c>
      <c r="B4779" t="n" s="0">
        <f>(-5-((((-5*(-5/((-5/(((-5*(-52.22--5))-(-5+((-5*-52.22)*(((-5--5)+(-52.22--5))+-52.22))))-(-5+-5)))*-5)))/-5)--5)+(-5*(((-52.22*(-52.22-(-5/-5)))*(-52.22-(-52.22/(-5*-52.22))))-(-5/-5)))))</f>
        <v>-717628.5220400001</v>
      </c>
      <c r="C4779" t="n" s="0">
        <v>-717628.52204</v>
      </c>
    </row>
    <row r="4780">
      <c r="A4780" t="n" s="0">
        <v>-52.21</v>
      </c>
      <c r="B4780" t="n" s="0">
        <f>(-5-((((-5*(-5/((-5/(((-5*(-52.21--5))-(-5+((-5*-52.21)*(((-5--5)+(-52.21--5))+-52.21))))-(-5+-5)))*-5)))/-5)--5)+(-5*(((-52.21*(-52.21-(-5/-5)))*(-52.21-(-52.21/(-5*-52.21))))-(-5/-5)))))</f>
        <v>-717217.442505</v>
      </c>
      <c r="C4780" t="n" s="0">
        <v>-717217.442505</v>
      </c>
    </row>
    <row r="4781">
      <c r="A4781" t="n" s="0">
        <v>-52.2</v>
      </c>
      <c r="B4781" t="n" s="0">
        <f>(-5-((((-5*(-5/((-5/(((-5*(-52.2--5))-(-5+((-5*-52.2)*(((-5--5)+(-52.2--5))+-52.2))))-(-5+-5)))*-5)))/-5)--5)+(-5*(((-52.2*(-52.2-(-5/-5)))*(-52.2-(-52.2/(-5*-52.2))))-(-5/-5)))))</f>
        <v>-716806.52</v>
      </c>
      <c r="C4781" t="n" s="0">
        <v>-716806.5200000001</v>
      </c>
    </row>
    <row r="4782">
      <c r="A4782" t="n" s="0">
        <v>-52.19</v>
      </c>
      <c r="B4782" t="n" s="0">
        <f>(-5-((((-5*(-5/((-5/(((-5*(-52.19--5))-(-5+((-5*-52.19)*(((-5--5)+(-52.19--5))+-52.19))))-(-5+-5)))*-5)))/-5)--5)+(-5*(((-52.19*(-52.19-(-5/-5)))*(-52.19-(-52.19/(-5*-52.19))))-(-5/-5)))))</f>
        <v>-716395.7544949999</v>
      </c>
      <c r="C4782" t="n" s="0">
        <v>-716395.7544949998</v>
      </c>
    </row>
    <row r="4783">
      <c r="A4783" t="n" s="0">
        <v>-52.18</v>
      </c>
      <c r="B4783" t="n" s="0">
        <f>(-5-((((-5*(-5/((-5/(((-5*(-52.18--5))-(-5+((-5*-52.18)*(((-5--5)+(-52.18--5))+-52.18))))-(-5+-5)))*-5)))/-5)--5)+(-5*(((-52.18*(-52.18-(-5/-5)))*(-52.18-(-52.18/(-5*-52.18))))-(-5/-5)))))</f>
        <v>-715985.14596</v>
      </c>
      <c r="C4783" t="n" s="0">
        <v>-715985.14596</v>
      </c>
    </row>
    <row r="4784">
      <c r="A4784" t="n" s="0">
        <v>-52.17</v>
      </c>
      <c r="B4784" t="n" s="0">
        <f>(-5-((((-5*(-5/((-5/(((-5*(-52.17--5))-(-5+((-5*-52.17)*(((-5--5)+(-52.17--5))+-52.17))))-(-5+-5)))*-5)))/-5)--5)+(-5*(((-52.17*(-52.17-(-5/-5)))*(-52.17-(-52.17/(-5*-52.17))))-(-5/-5)))))</f>
        <v>-715574.694365</v>
      </c>
      <c r="C4784" t="n" s="0">
        <v>-715574.6943650001</v>
      </c>
    </row>
    <row r="4785">
      <c r="A4785" t="n" s="0">
        <v>-52.16</v>
      </c>
      <c r="B4785" t="n" s="0">
        <f>(-5-((((-5*(-5/((-5/(((-5*(-52.16--5))-(-5+((-5*-52.16)*(((-5--5)+(-52.16--5))+-52.16))))-(-5+-5)))*-5)))/-5)--5)+(-5*(((-52.16*(-52.16-(-5/-5)))*(-52.16-(-52.16/(-5*-52.16))))-(-5/-5)))))</f>
        <v>-715164.39968</v>
      </c>
      <c r="C4785" t="n" s="0">
        <v>-715164.3996799998</v>
      </c>
    </row>
    <row r="4786">
      <c r="A4786" t="n" s="0">
        <v>-52.15</v>
      </c>
      <c r="B4786" t="n" s="0">
        <f>(-5-((((-5*(-5/((-5/(((-5*(-52.15--5))-(-5+((-5*-52.15)*(((-5--5)+(-52.15--5))+-52.15))))-(-5+-5)))*-5)))/-5)--5)+(-5*(((-52.15*(-52.15-(-5/-5)))*(-52.15-(-52.15/(-5*-52.15))))-(-5/-5)))))</f>
        <v>-714754.261875</v>
      </c>
      <c r="C4786" t="n" s="0">
        <v>-714754.261875</v>
      </c>
    </row>
    <row r="4787">
      <c r="A4787" t="n" s="0">
        <v>-52.14</v>
      </c>
      <c r="B4787" t="n" s="0">
        <f>(-5-((((-5*(-5/((-5/(((-5*(-52.14--5))-(-5+((-5*-52.14)*(((-5--5)+(-52.14--5))+-52.14))))-(-5+-5)))*-5)))/-5)--5)+(-5*(((-52.14*(-52.14-(-5/-5)))*(-52.14-(-52.14/(-5*-52.14))))-(-5/-5)))))</f>
        <v>-714344.2809199999</v>
      </c>
      <c r="C4787" t="n" s="0">
        <v>-714344.28092</v>
      </c>
    </row>
    <row r="4788">
      <c r="A4788" t="n" s="0">
        <v>-52.13</v>
      </c>
      <c r="B4788" t="n" s="0">
        <f>(-5-((((-5*(-5/((-5/(((-5*(-52.13--5))-(-5+((-5*-52.13)*(((-5--5)+(-52.13--5))+-52.13))))-(-5+-5)))*-5)))/-5)--5)+(-5*(((-52.13*(-52.13-(-5/-5)))*(-52.13-(-52.13/(-5*-52.13))))-(-5/-5)))))</f>
        <v>-713934.456785</v>
      </c>
      <c r="C4788" t="n" s="0">
        <v>-713934.456785</v>
      </c>
    </row>
    <row r="4789">
      <c r="A4789" t="n" s="0">
        <v>-52.12</v>
      </c>
      <c r="B4789" t="n" s="0">
        <f>(-5-((((-5*(-5/((-5/(((-5*(-52.12--5))-(-5+((-5*-52.12)*(((-5--5)+(-52.12--5))+-52.12))))-(-5+-5)))*-5)))/-5)--5)+(-5*(((-52.12*(-52.12-(-5/-5)))*(-52.12-(-52.12/(-5*-52.12))))-(-5/-5)))))</f>
        <v>-713524.7894400001</v>
      </c>
      <c r="C4789" t="n" s="0">
        <v>-713524.78944</v>
      </c>
    </row>
    <row r="4790">
      <c r="A4790" t="n" s="0">
        <v>-52.11</v>
      </c>
      <c r="B4790" t="n" s="0">
        <f>(-5-((((-5*(-5/((-5/(((-5*(-52.11--5))-(-5+((-5*-52.11)*(((-5--5)+(-52.11--5))+-52.11))))-(-5+-5)))*-5)))/-5)--5)+(-5*(((-52.11*(-52.11-(-5/-5)))*(-52.11-(-52.11/(-5*-52.11))))-(-5/-5)))))</f>
        <v>-713115.2788549999</v>
      </c>
      <c r="C4790" t="n" s="0">
        <v>-713115.2788549999</v>
      </c>
    </row>
    <row r="4791">
      <c r="A4791" t="n" s="0">
        <v>-52.1</v>
      </c>
      <c r="B4791" t="n" s="0">
        <f>(-5-((((-5*(-5/((-5/(((-5*(-52.1--5))-(-5+((-5*-52.1)*(((-5--5)+(-52.1--5))+-52.1))))-(-5+-5)))*-5)))/-5)--5)+(-5*(((-52.1*(-52.1-(-5/-5)))*(-52.1-(-52.1/(-5*-52.1))))-(-5/-5)))))</f>
        <v>-712705.9249999999</v>
      </c>
      <c r="C4791" t="n" s="0">
        <v>-712705.9249999999</v>
      </c>
    </row>
    <row r="4792">
      <c r="A4792" t="n" s="0">
        <v>-52.09</v>
      </c>
      <c r="B4792" t="n" s="0">
        <f>(-5-((((-5*(-5/((-5/(((-5*(-52.09--5))-(-5+((-5*-52.09)*(((-5--5)+(-52.09--5))+-52.09))))-(-5+-5)))*-5)))/-5)--5)+(-5*(((-52.09*(-52.09-(-5/-5)))*(-52.09-(-52.09/(-5*-52.09))))-(-5/-5)))))</f>
        <v>-712296.727845</v>
      </c>
      <c r="C4792" t="n" s="0">
        <v>-712296.7278450001</v>
      </c>
    </row>
    <row r="4793">
      <c r="A4793" t="n" s="0">
        <v>-52.08</v>
      </c>
      <c r="B4793" t="n" s="0">
        <f>(-5-((((-5*(-5/((-5/(((-5*(-52.08--5))-(-5+((-5*-52.08)*(((-5--5)+(-52.08--5))+-52.08))))-(-5+-5)))*-5)))/-5)--5)+(-5*(((-52.08*(-52.08-(-5/-5)))*(-52.08-(-52.08/(-5*-52.08))))-(-5/-5)))))</f>
        <v>-711887.68736</v>
      </c>
      <c r="C4793" t="n" s="0">
        <v>-711887.6873599999</v>
      </c>
    </row>
    <row r="4794">
      <c r="A4794" t="n" s="0">
        <v>-52.07</v>
      </c>
      <c r="B4794" t="n" s="0">
        <f>(-5-((((-5*(-5/((-5/(((-5*(-52.07--5))-(-5+((-5*-52.07)*(((-5--5)+(-52.07--5))+-52.07))))-(-5+-5)))*-5)))/-5)--5)+(-5*(((-52.07*(-52.07-(-5/-5)))*(-52.07-(-52.07/(-5*-52.07))))-(-5/-5)))))</f>
        <v>-711478.8035149999</v>
      </c>
      <c r="C4794" t="n" s="0">
        <v>-711478.803515</v>
      </c>
    </row>
    <row r="4795">
      <c r="A4795" t="n" s="0">
        <v>-52.06</v>
      </c>
      <c r="B4795" t="n" s="0">
        <f>(-5-((((-5*(-5/((-5/(((-5*(-52.06--5))-(-5+((-5*-52.06)*(((-5--5)+(-52.06--5))+-52.06))))-(-5+-5)))*-5)))/-5)--5)+(-5*(((-52.06*(-52.06-(-5/-5)))*(-52.06-(-52.06/(-5*-52.06))))-(-5/-5)))))</f>
        <v>-711070.07628</v>
      </c>
      <c r="C4795" t="n" s="0">
        <v>-711070.0762800002</v>
      </c>
    </row>
    <row r="4796">
      <c r="A4796" t="n" s="0">
        <v>-52.05</v>
      </c>
      <c r="B4796" t="n" s="0">
        <f>(-5-((((-5*(-5/((-5/(((-5*(-52.05--5))-(-5+((-5*-52.05)*(((-5--5)+(-52.05--5))+-52.05))))-(-5+-5)))*-5)))/-5)--5)+(-5*(((-52.05*(-52.05-(-5/-5)))*(-52.05-(-52.05/(-5*-52.05))))-(-5/-5)))))</f>
        <v>-710661.505625</v>
      </c>
      <c r="C4796" t="n" s="0">
        <v>-710661.505625</v>
      </c>
    </row>
    <row r="4797">
      <c r="A4797" t="n" s="0">
        <v>-52.04</v>
      </c>
      <c r="B4797" t="n" s="0">
        <f>(-5-((((-5*(-5/((-5/(((-5*(-52.04--5))-(-5+((-5*-52.04)*(((-5--5)+(-52.04--5))+-52.04))))-(-5+-5)))*-5)))/-5)--5)+(-5*(((-52.04*(-52.04-(-5/-5)))*(-52.04-(-52.04/(-5*-52.04))))-(-5/-5)))))</f>
        <v>-710253.09152</v>
      </c>
      <c r="C4797" t="n" s="0">
        <v>-710253.0915199999</v>
      </c>
    </row>
    <row r="4798">
      <c r="A4798" t="n" s="0">
        <v>-52.03</v>
      </c>
      <c r="B4798" t="n" s="0">
        <f>(-5-((((-5*(-5/((-5/(((-5*(-52.03--5))-(-5+((-5*-52.03)*(((-5--5)+(-52.03--5))+-52.03))))-(-5+-5)))*-5)))/-5)--5)+(-5*(((-52.03*(-52.03-(-5/-5)))*(-52.03-(-52.03/(-5*-52.03))))-(-5/-5)))))</f>
        <v>-709844.833935</v>
      </c>
      <c r="C4798" t="n" s="0">
        <v>-709844.833935</v>
      </c>
    </row>
    <row r="4799">
      <c r="A4799" t="n" s="0">
        <v>-52.02</v>
      </c>
      <c r="B4799" t="n" s="0">
        <f>(-5-((((-5*(-5/((-5/(((-5*(-52.02--5))-(-5+((-5*-52.02)*(((-5--5)+(-52.02--5))+-52.02))))-(-5+-5)))*-5)))/-5)--5)+(-5*(((-52.02*(-52.02-(-5/-5)))*(-52.02-(-52.02/(-5*-52.02))))-(-5/-5)))))</f>
        <v>-709436.73284</v>
      </c>
      <c r="C4799" t="n" s="0">
        <v>-709436.7328400001</v>
      </c>
    </row>
    <row r="4800">
      <c r="A4800" t="n" s="0">
        <v>-52.01</v>
      </c>
      <c r="B4800" t="n" s="0">
        <f>(-5-((((-5*(-5/((-5/(((-5*(-52.01--5))-(-5+((-5*-52.01)*(((-5--5)+(-52.01--5))+-52.01))))-(-5+-5)))*-5)))/-5)--5)+(-5*(((-52.01*(-52.01-(-5/-5)))*(-52.01-(-52.01/(-5*-52.01))))-(-5/-5)))))</f>
        <v>-709028.788205</v>
      </c>
      <c r="C4800" t="n" s="0">
        <v>-709028.7882049999</v>
      </c>
    </row>
    <row r="4801">
      <c r="A4801" t="n" s="0">
        <v>-52.0</v>
      </c>
      <c r="B4801" t="n" s="0">
        <f>(-5-((((-5*(-5/((-5/(((-5*(-52--5))-(-5+((-5*-52)*(((-5--5)+(-52--5))+-52))))-(-5+-5)))*-5)))/-5)--5)+(-5*(((-52*(-52-(-5/-5)))*(-52-(-52/(-5*-52))))-(-5/-5)))))</f>
        <v>-708621.0</v>
      </c>
      <c r="C4801" t="n" s="0">
        <v>-708621.0</v>
      </c>
    </row>
    <row r="4802">
      <c r="A4802" t="n" s="0">
        <v>-51.99</v>
      </c>
      <c r="B4802" t="n" s="0">
        <f>(-5-((((-5*(-5/((-5/(((-5*(-51.99--5))-(-5+((-5*-51.99)*(((-5--5)+(-51.99--5))+-51.99))))-(-5+-5)))*-5)))/-5)--5)+(-5*(((-51.99*(-51.99-(-5/-5)))*(-51.99-(-51.99/(-5*-51.99))))-(-5/-5)))))</f>
        <v>-708213.368195</v>
      </c>
      <c r="C4802" t="n" s="0">
        <v>-708213.3681950001</v>
      </c>
    </row>
    <row r="4803">
      <c r="A4803" t="n" s="0">
        <v>-51.98</v>
      </c>
      <c r="B4803" t="n" s="0">
        <f>(-5-((((-5*(-5/((-5/(((-5*(-51.98--5))-(-5+((-5*-51.98)*(((-5--5)+(-51.98--5))+-51.98))))-(-5+-5)))*-5)))/-5)--5)+(-5*(((-51.98*(-51.98-(-5/-5)))*(-51.98-(-51.98/(-5*-51.98))))-(-5/-5)))))</f>
        <v>-707805.8927600001</v>
      </c>
      <c r="C4803" t="n" s="0">
        <v>-707805.8927599998</v>
      </c>
    </row>
    <row r="4804">
      <c r="A4804" t="n" s="0">
        <v>-51.97</v>
      </c>
      <c r="B4804" t="n" s="0">
        <f>(-5-((((-5*(-5/((-5/(((-5*(-51.97--5))-(-5+((-5*-51.97)*(((-5--5)+(-51.97--5))+-51.97))))-(-5+-5)))*-5)))/-5)--5)+(-5*(((-51.97*(-51.97-(-5/-5)))*(-51.97-(-51.97/(-5*-51.97))))-(-5/-5)))))</f>
        <v>-707398.573665</v>
      </c>
      <c r="C4804" t="n" s="0">
        <v>-707398.5736649999</v>
      </c>
    </row>
    <row r="4805">
      <c r="A4805" t="n" s="0">
        <v>-51.96</v>
      </c>
      <c r="B4805" t="n" s="0">
        <f>(-5-((((-5*(-5/((-5/(((-5*(-51.96--5))-(-5+((-5*-51.96)*(((-5--5)+(-51.96--5))+-51.96))))-(-5+-5)))*-5)))/-5)--5)+(-5*(((-51.96*(-51.96-(-5/-5)))*(-51.96-(-51.96/(-5*-51.96))))-(-5/-5)))))</f>
        <v>-706991.41088</v>
      </c>
      <c r="C4805" t="n" s="0">
        <v>-706991.41088</v>
      </c>
    </row>
    <row r="4806">
      <c r="A4806" t="n" s="0">
        <v>-51.95</v>
      </c>
      <c r="B4806" t="n" s="0">
        <f>(-5-((((-5*(-5/((-5/(((-5*(-51.95--5))-(-5+((-5*-51.95)*(((-5--5)+(-51.95--5))+-51.95))))-(-5+-5)))*-5)))/-5)--5)+(-5*(((-51.95*(-51.95-(-5/-5)))*(-51.95-(-51.95/(-5*-51.95))))-(-5/-5)))))</f>
        <v>-706584.4043749999</v>
      </c>
      <c r="C4806" t="n" s="0">
        <v>-706584.404375</v>
      </c>
    </row>
    <row r="4807">
      <c r="A4807" t="n" s="0">
        <v>-51.94</v>
      </c>
      <c r="B4807" t="n" s="0">
        <f>(-5-((((-5*(-5/((-5/(((-5*(-51.94--5))-(-5+((-5*-51.94)*(((-5--5)+(-51.94--5))+-51.94))))-(-5+-5)))*-5)))/-5)--5)+(-5*(((-51.94*(-51.94-(-5/-5)))*(-51.94-(-51.94/(-5*-51.94))))-(-5/-5)))))</f>
        <v>-706177.55412</v>
      </c>
      <c r="C4807" t="n" s="0">
        <v>-706177.5541199998</v>
      </c>
    </row>
    <row r="4808">
      <c r="A4808" t="n" s="0">
        <v>-51.93</v>
      </c>
      <c r="B4808" t="n" s="0">
        <f>(-5-((((-5*(-5/((-5/(((-5*(-51.93--5))-(-5+((-5*-51.93)*(((-5--5)+(-51.93--5))+-51.93))))-(-5+-5)))*-5)))/-5)--5)+(-5*(((-51.93*(-51.93-(-5/-5)))*(-51.93-(-51.93/(-5*-51.93))))-(-5/-5)))))</f>
        <v>-705770.860085</v>
      </c>
      <c r="C4808" t="n" s="0">
        <v>-705770.8600849999</v>
      </c>
    </row>
    <row r="4809">
      <c r="A4809" t="n" s="0">
        <v>-51.92</v>
      </c>
      <c r="B4809" t="n" s="0">
        <f>(-5-((((-5*(-5/((-5/(((-5*(-51.92--5))-(-5+((-5*-51.92)*(((-5--5)+(-51.92--5))+-51.92))))-(-5+-5)))*-5)))/-5)--5)+(-5*(((-51.92*(-51.92-(-5/-5)))*(-51.92-(-51.92/(-5*-51.92))))-(-5/-5)))))</f>
        <v>-705364.3222399999</v>
      </c>
      <c r="C4809" t="n" s="0">
        <v>-705364.3222400001</v>
      </c>
    </row>
    <row r="4810">
      <c r="A4810" t="n" s="0">
        <v>-51.91</v>
      </c>
      <c r="B4810" t="n" s="0">
        <f>(-5-((((-5*(-5/((-5/(((-5*(-51.91--5))-(-5+((-5*-51.91)*(((-5--5)+(-51.91--5))+-51.91))))-(-5+-5)))*-5)))/-5)--5)+(-5*(((-51.91*(-51.91-(-5/-5)))*(-51.91-(-51.91/(-5*-51.91))))-(-5/-5)))))</f>
        <v>-704957.940555</v>
      </c>
      <c r="C4810" t="n" s="0">
        <v>-704957.9405549997</v>
      </c>
    </row>
    <row r="4811">
      <c r="A4811" t="n" s="0">
        <v>-51.9</v>
      </c>
      <c r="B4811" t="n" s="0">
        <f>(-5-((((-5*(-5/((-5/(((-5*(-51.9--5))-(-5+((-5*-51.9)*(((-5--5)+(-51.9--5))+-51.9))))-(-5+-5)))*-5)))/-5)--5)+(-5*(((-51.9*(-51.9-(-5/-5)))*(-51.9-(-51.9/(-5*-51.9))))-(-5/-5)))))</f>
        <v>-704551.715</v>
      </c>
      <c r="C4811" t="n" s="0">
        <v>-704551.7149999999</v>
      </c>
    </row>
    <row r="4812">
      <c r="A4812" t="n" s="0">
        <v>-51.89</v>
      </c>
      <c r="B4812" t="n" s="0">
        <f>(-5-((((-5*(-5/((-5/(((-5*(-51.89--5))-(-5+((-5*-51.89)*(((-5--5)+(-51.89--5))+-51.89))))-(-5+-5)))*-5)))/-5)--5)+(-5*(((-51.89*(-51.89-(-5/-5)))*(-51.89-(-51.89/(-5*-51.89))))-(-5/-5)))))</f>
        <v>-704145.645545</v>
      </c>
      <c r="C4812" t="n" s="0">
        <v>-704145.6455450001</v>
      </c>
    </row>
    <row r="4813">
      <c r="A4813" t="n" s="0">
        <v>-51.88</v>
      </c>
      <c r="B4813" t="n" s="0">
        <f>(-5-((((-5*(-5/((-5/(((-5*(-51.88--5))-(-5+((-5*-51.88)*(((-5--5)+(-51.88--5))+-51.88))))-(-5+-5)))*-5)))/-5)--5)+(-5*(((-51.88*(-51.88-(-5/-5)))*(-51.88-(-51.88/(-5*-51.88))))-(-5/-5)))))</f>
        <v>-703739.73216</v>
      </c>
      <c r="C4813" t="n" s="0">
        <v>-703739.7321600001</v>
      </c>
    </row>
    <row r="4814">
      <c r="A4814" t="n" s="0">
        <v>-51.87</v>
      </c>
      <c r="B4814" t="n" s="0">
        <f>(-5-((((-5*(-5/((-5/(((-5*(-51.87--5))-(-5+((-5*-51.87)*(((-5--5)+(-51.87--5))+-51.87))))-(-5+-5)))*-5)))/-5)--5)+(-5*(((-51.87*(-51.87-(-5/-5)))*(-51.87-(-51.87/(-5*-51.87))))-(-5/-5)))))</f>
        <v>-703333.974815</v>
      </c>
      <c r="C4814" t="n" s="0">
        <v>-703333.9748149998</v>
      </c>
    </row>
    <row r="4815">
      <c r="A4815" t="n" s="0">
        <v>-51.86</v>
      </c>
      <c r="B4815" t="n" s="0">
        <f>(-5-((((-5*(-5/((-5/(((-5*(-51.86--5))-(-5+((-5*-51.86)*(((-5--5)+(-51.86--5))+-51.86))))-(-5+-5)))*-5)))/-5)--5)+(-5*(((-51.86*(-51.86-(-5/-5)))*(-51.86-(-51.86/(-5*-51.86))))-(-5/-5)))))</f>
        <v>-702928.37348</v>
      </c>
      <c r="C4815" t="n" s="0">
        <v>-702928.3734800001</v>
      </c>
    </row>
    <row r="4816">
      <c r="A4816" t="n" s="0">
        <v>-51.85</v>
      </c>
      <c r="B4816" t="n" s="0">
        <f>(-5-((((-5*(-5/((-5/(((-5*(-51.85--5))-(-5+((-5*-51.85)*(((-5--5)+(-51.85--5))+-51.85))))-(-5+-5)))*-5)))/-5)--5)+(-5*(((-51.85*(-51.85-(-5/-5)))*(-51.85-(-51.85/(-5*-51.85))))-(-5/-5)))))</f>
        <v>-702522.9281250001</v>
      </c>
      <c r="C4816" t="n" s="0">
        <v>-702522.9281250001</v>
      </c>
    </row>
    <row r="4817">
      <c r="A4817" t="n" s="0">
        <v>-51.84</v>
      </c>
      <c r="B4817" t="n" s="0">
        <f>(-5-((((-5*(-5/((-5/(((-5*(-51.84--5))-(-5+((-5*-51.84)*(((-5--5)+(-51.84--5))+-51.84))))-(-5+-5)))*-5)))/-5)--5)+(-5*(((-51.84*(-51.84-(-5/-5)))*(-51.84-(-51.84/(-5*-51.84))))-(-5/-5)))))</f>
        <v>-702117.63872</v>
      </c>
      <c r="C4817" t="n" s="0">
        <v>-702117.63872</v>
      </c>
    </row>
    <row r="4818">
      <c r="A4818" t="n" s="0">
        <v>-51.83</v>
      </c>
      <c r="B4818" t="n" s="0">
        <f>(-5-((((-5*(-5/((-5/(((-5*(-51.83--5))-(-5+((-5*-51.83)*(((-5--5)+(-51.83--5))+-51.83))))-(-5+-5)))*-5)))/-5)--5)+(-5*(((-51.83*(-51.83-(-5/-5)))*(-51.83-(-51.83/(-5*-51.83))))-(-5/-5)))))</f>
        <v>-701712.5052349999</v>
      </c>
      <c r="C4818" t="n" s="0">
        <v>-701712.5052349998</v>
      </c>
    </row>
    <row r="4819">
      <c r="A4819" t="n" s="0">
        <v>-51.82</v>
      </c>
      <c r="B4819" t="n" s="0">
        <f>(-5-((((-5*(-5/((-5/(((-5*(-51.82--5))-(-5+((-5*-51.82)*(((-5--5)+(-51.82--5))+-51.82))))-(-5+-5)))*-5)))/-5)--5)+(-5*(((-51.82*(-51.82-(-5/-5)))*(-51.82-(-51.82/(-5*-51.82))))-(-5/-5)))))</f>
        <v>-701307.52764</v>
      </c>
      <c r="C4819" t="n" s="0">
        <v>-701307.5276399999</v>
      </c>
    </row>
    <row r="4820">
      <c r="A4820" t="n" s="0">
        <v>-51.81</v>
      </c>
      <c r="B4820" t="n" s="0">
        <f>(-5-((((-5*(-5/((-5/(((-5*(-51.81--5))-(-5+((-5*-51.81)*(((-5--5)+(-51.81--5))+-51.81))))-(-5+-5)))*-5)))/-5)--5)+(-5*(((-51.81*(-51.81-(-5/-5)))*(-51.81-(-51.81/(-5*-51.81))))-(-5/-5)))))</f>
        <v>-700902.705905</v>
      </c>
      <c r="C4820" t="n" s="0">
        <v>-700902.7059050001</v>
      </c>
    </row>
    <row r="4821">
      <c r="A4821" t="n" s="0">
        <v>-51.8</v>
      </c>
      <c r="B4821" t="n" s="0">
        <f>(-5-((((-5*(-5/((-5/(((-5*(-51.8--5))-(-5+((-5*-51.8)*(((-5--5)+(-51.8--5))+-51.8))))-(-5+-5)))*-5)))/-5)--5)+(-5*(((-51.8*(-51.8-(-5/-5)))*(-51.8-(-51.8/(-5*-51.8))))-(-5/-5)))))</f>
        <v>-700498.0399999999</v>
      </c>
      <c r="C4821" t="n" s="0">
        <v>-700498.0399999998</v>
      </c>
    </row>
    <row r="4822">
      <c r="A4822" t="n" s="0">
        <v>-51.79</v>
      </c>
      <c r="B4822" t="n" s="0">
        <f>(-5-((((-5*(-5/((-5/(((-5*(-51.79--5))-(-5+((-5*-51.79)*(((-5--5)+(-51.79--5))+-51.79))))-(-5+-5)))*-5)))/-5)--5)+(-5*(((-51.79*(-51.79-(-5/-5)))*(-51.79-(-51.79/(-5*-51.79))))-(-5/-5)))))</f>
        <v>-700093.5298949999</v>
      </c>
      <c r="C4822" t="n" s="0">
        <v>-700093.5298949999</v>
      </c>
    </row>
    <row r="4823">
      <c r="A4823" t="n" s="0">
        <v>-51.78</v>
      </c>
      <c r="B4823" t="n" s="0">
        <f>(-5-((((-5*(-5/((-5/(((-5*(-51.78--5))-(-5+((-5*-51.78)*(((-5--5)+(-51.78--5))+-51.78))))-(-5+-5)))*-5)))/-5)--5)+(-5*(((-51.78*(-51.78-(-5/-5)))*(-51.78-(-51.78/(-5*-51.78))))-(-5/-5)))))</f>
        <v>-699689.17556</v>
      </c>
      <c r="C4823" t="n" s="0">
        <v>-699689.17556</v>
      </c>
    </row>
    <row r="4824">
      <c r="A4824" t="n" s="0">
        <v>-51.77</v>
      </c>
      <c r="B4824" t="n" s="0">
        <f>(-5-((((-5*(-5/((-5/(((-5*(-51.77--5))-(-5+((-5*-51.77)*(((-5--5)+(-51.77--5))+-51.77))))-(-5+-5)))*-5)))/-5)--5)+(-5*(((-51.77*(-51.77-(-5/-5)))*(-51.77-(-51.77/(-5*-51.77))))-(-5/-5)))))</f>
        <v>-699284.976965</v>
      </c>
      <c r="C4824" t="n" s="0">
        <v>-699284.9769650003</v>
      </c>
    </row>
    <row r="4825">
      <c r="A4825" t="n" s="0">
        <v>-51.76</v>
      </c>
      <c r="B4825" t="n" s="0">
        <f>(-5-((((-5*(-5/((-5/(((-5*(-51.76--5))-(-5+((-5*-51.76)*(((-5--5)+(-51.76--5))+-51.76))))-(-5+-5)))*-5)))/-5)--5)+(-5*(((-51.76*(-51.76-(-5/-5)))*(-51.76-(-51.76/(-5*-51.76))))-(-5/-5)))))</f>
        <v>-698880.9340799999</v>
      </c>
      <c r="C4825" t="n" s="0">
        <v>-698880.9340799999</v>
      </c>
    </row>
    <row r="4826">
      <c r="A4826" t="n" s="0">
        <v>-51.75</v>
      </c>
      <c r="B4826" t="n" s="0">
        <f>(-5-((((-5*(-5/((-5/(((-5*(-51.75--5))-(-5+((-5*-51.75)*(((-5--5)+(-51.75--5))+-51.75))))-(-5+-5)))*-5)))/-5)--5)+(-5*(((-51.75*(-51.75-(-5/-5)))*(-51.75-(-51.75/(-5*-51.75))))-(-5/-5)))))</f>
        <v>-698477.046875</v>
      </c>
      <c r="C4826" t="n" s="0">
        <v>-698477.046875</v>
      </c>
    </row>
    <row r="4827">
      <c r="A4827" t="n" s="0">
        <v>-51.74</v>
      </c>
      <c r="B4827" t="n" s="0">
        <f>(-5-((((-5*(-5/((-5/(((-5*(-51.74--5))-(-5+((-5*-51.74)*(((-5--5)+(-51.74--5))+-51.74))))-(-5+-5)))*-5)))/-5)--5)+(-5*(((-51.74*(-51.74-(-5/-5)))*(-51.74-(-51.74/(-5*-51.74))))-(-5/-5)))))</f>
        <v>-698073.31532</v>
      </c>
      <c r="C4827" t="n" s="0">
        <v>-698073.3153199999</v>
      </c>
    </row>
    <row r="4828">
      <c r="A4828" t="n" s="0">
        <v>-51.73</v>
      </c>
      <c r="B4828" t="n" s="0">
        <f>(-5-((((-5*(-5/((-5/(((-5*(-51.73--5))-(-5+((-5*-51.73)*(((-5--5)+(-51.73--5))+-51.73))))-(-5+-5)))*-5)))/-5)--5)+(-5*(((-51.73*(-51.73-(-5/-5)))*(-51.73-(-51.73/(-5*-51.73))))-(-5/-5)))))</f>
        <v>-697669.739385</v>
      </c>
      <c r="C4828" t="n" s="0">
        <v>-697669.7393849998</v>
      </c>
    </row>
    <row r="4829">
      <c r="A4829" t="n" s="0">
        <v>-51.72</v>
      </c>
      <c r="B4829" t="n" s="0">
        <f>(-5-((((-5*(-5/((-5/(((-5*(-51.72--5))-(-5+((-5*-51.72)*(((-5--5)+(-51.72--5))+-51.72))))-(-5+-5)))*-5)))/-5)--5)+(-5*(((-51.72*(-51.72-(-5/-5)))*(-51.72-(-51.72/(-5*-51.72))))-(-5/-5)))))</f>
        <v>-697266.31904</v>
      </c>
      <c r="C4829" t="n" s="0">
        <v>-697266.3190400001</v>
      </c>
    </row>
    <row r="4830">
      <c r="A4830" t="n" s="0">
        <v>-51.71</v>
      </c>
      <c r="B4830" t="n" s="0">
        <f>(-5-((((-5*(-5/((-5/(((-5*(-51.71--5))-(-5+((-5*-51.71)*(((-5--5)+(-51.71--5))+-51.71))))-(-5+-5)))*-5)))/-5)--5)+(-5*(((-51.71*(-51.71-(-5/-5)))*(-51.71-(-51.71/(-5*-51.71))))-(-5/-5)))))</f>
        <v>-696863.054255</v>
      </c>
      <c r="C4830" t="n" s="0">
        <v>-696863.054255</v>
      </c>
    </row>
    <row r="4831">
      <c r="A4831" t="n" s="0">
        <v>-51.7</v>
      </c>
      <c r="B4831" t="n" s="0">
        <f>(-5-((((-5*(-5/((-5/(((-5*(-51.7--5))-(-5+((-5*-51.7)*(((-5--5)+(-51.7--5))+-51.7))))-(-5+-5)))*-5)))/-5)--5)+(-5*(((-51.7*(-51.7-(-5/-5)))*(-51.7-(-51.7/(-5*-51.7))))-(-5/-5)))))</f>
        <v>-696459.9450000001</v>
      </c>
      <c r="C4831" t="n" s="0">
        <v>-696459.9450000002</v>
      </c>
    </row>
    <row r="4832">
      <c r="A4832" t="n" s="0">
        <v>-51.69</v>
      </c>
      <c r="B4832" t="n" s="0">
        <f>(-5-((((-5*(-5/((-5/(((-5*(-51.69--5))-(-5+((-5*-51.69)*(((-5--5)+(-51.69--5))+-51.69))))-(-5+-5)))*-5)))/-5)--5)+(-5*(((-51.69*(-51.69-(-5/-5)))*(-51.69-(-51.69/(-5*-51.69))))-(-5/-5)))))</f>
        <v>-696056.9912449999</v>
      </c>
      <c r="C4832" t="n" s="0">
        <v>-696056.9912449998</v>
      </c>
    </row>
    <row r="4833">
      <c r="A4833" t="n" s="0">
        <v>-51.68</v>
      </c>
      <c r="B4833" t="n" s="0">
        <f>(-5-((((-5*(-5/((-5/(((-5*(-51.68--5))-(-5+((-5*-51.68)*(((-5--5)+(-51.68--5))+-51.68))))-(-5+-5)))*-5)))/-5)--5)+(-5*(((-51.68*(-51.68-(-5/-5)))*(-51.68-(-51.68/(-5*-51.68))))-(-5/-5)))))</f>
        <v>-695654.19296</v>
      </c>
      <c r="C4833" t="n" s="0">
        <v>-695654.19296</v>
      </c>
    </row>
    <row r="4834">
      <c r="A4834" t="n" s="0">
        <v>-51.67</v>
      </c>
      <c r="B4834" t="n" s="0">
        <f>(-5-((((-5*(-5/((-5/(((-5*(-51.67--5))-(-5+((-5*-51.67)*(((-5--5)+(-51.67--5))+-51.67))))-(-5+-5)))*-5)))/-5)--5)+(-5*(((-51.67*(-51.67-(-5/-5)))*(-51.67-(-51.67/(-5*-51.67))))-(-5/-5)))))</f>
        <v>-695251.550115</v>
      </c>
      <c r="C4834" t="n" s="0">
        <v>-695251.550115</v>
      </c>
    </row>
    <row r="4835">
      <c r="A4835" t="n" s="0">
        <v>-51.66</v>
      </c>
      <c r="B4835" t="n" s="0">
        <f>(-5-((((-5*(-5/((-5/(((-5*(-51.66--5))-(-5+((-5*-51.66)*(((-5--5)+(-51.66--5))+-51.66))))-(-5+-5)))*-5)))/-5)--5)+(-5*(((-51.66*(-51.66-(-5/-5)))*(-51.66-(-51.66/(-5*-51.66))))-(-5/-5)))))</f>
        <v>-694849.06268</v>
      </c>
      <c r="C4835" t="n" s="0">
        <v>-694849.0626799999</v>
      </c>
    </row>
    <row r="4836">
      <c r="A4836" t="n" s="0">
        <v>-51.65</v>
      </c>
      <c r="B4836" t="n" s="0">
        <f>(-5-((((-5*(-5/((-5/(((-5*(-51.65--5))-(-5+((-5*-51.65)*(((-5--5)+(-51.65--5))+-51.65))))-(-5+-5)))*-5)))/-5)--5)+(-5*(((-51.65*(-51.65-(-5/-5)))*(-51.65-(-51.65/(-5*-51.65))))-(-5/-5)))))</f>
        <v>-694446.7306250001</v>
      </c>
      <c r="C4836" t="n" s="0">
        <v>-694446.7306249999</v>
      </c>
    </row>
    <row r="4837">
      <c r="A4837" t="n" s="0">
        <v>-51.64</v>
      </c>
      <c r="B4837" t="n" s="0">
        <f>(-5-((((-5*(-5/((-5/(((-5*(-51.64--5))-(-5+((-5*-51.64)*(((-5--5)+(-51.64--5))+-51.64))))-(-5+-5)))*-5)))/-5)--5)+(-5*(((-51.64*(-51.64-(-5/-5)))*(-51.64-(-51.64/(-5*-51.64))))-(-5/-5)))))</f>
        <v>-694044.55392</v>
      </c>
      <c r="C4837" t="n" s="0">
        <v>-694044.5539200001</v>
      </c>
    </row>
    <row r="4838">
      <c r="A4838" t="n" s="0">
        <v>-51.63</v>
      </c>
      <c r="B4838" t="n" s="0">
        <f>(-5-((((-5*(-5/((-5/(((-5*(-51.63--5))-(-5+((-5*-51.63)*(((-5--5)+(-51.63--5))+-51.63))))-(-5+-5)))*-5)))/-5)--5)+(-5*(((-51.63*(-51.63-(-5/-5)))*(-51.63-(-51.63/(-5*-51.63))))-(-5/-5)))))</f>
        <v>-693642.532535</v>
      </c>
      <c r="C4838" t="n" s="0">
        <v>-693642.5325350002</v>
      </c>
    </row>
    <row r="4839">
      <c r="A4839" t="n" s="0">
        <v>-51.62</v>
      </c>
      <c r="B4839" t="n" s="0">
        <f>(-5-((((-5*(-5/((-5/(((-5*(-51.62--5))-(-5+((-5*-51.62)*(((-5--5)+(-51.62--5))+-51.62))))-(-5+-5)))*-5)))/-5)--5)+(-5*(((-51.62*(-51.62-(-5/-5)))*(-51.62-(-51.62/(-5*-51.62))))-(-5/-5)))))</f>
        <v>-693240.6664400001</v>
      </c>
      <c r="C4839" t="n" s="0">
        <v>-693240.6664399997</v>
      </c>
    </row>
    <row r="4840">
      <c r="A4840" t="n" s="0">
        <v>-51.61</v>
      </c>
      <c r="B4840" t="n" s="0">
        <f>(-5-((((-5*(-5/((-5/(((-5*(-51.61--5))-(-5+((-5*-51.61)*(((-5--5)+(-51.61--5))+-51.61))))-(-5+-5)))*-5)))/-5)--5)+(-5*(((-51.61*(-51.61-(-5/-5)))*(-51.61-(-51.61/(-5*-51.61))))-(-5/-5)))))</f>
        <v>-692838.955605</v>
      </c>
      <c r="C4840" t="n" s="0">
        <v>-692838.9556049999</v>
      </c>
    </row>
    <row r="4841">
      <c r="A4841" t="n" s="0">
        <v>-51.6</v>
      </c>
      <c r="B4841" t="n" s="0">
        <f>(-5-((((-5*(-5/((-5/(((-5*(-51.6--5))-(-5+((-5*-51.6)*(((-5--5)+(-51.6--5))+-51.6))))-(-5+-5)))*-5)))/-5)--5)+(-5*(((-51.6*(-51.6-(-5/-5)))*(-51.6-(-51.6/(-5*-51.6))))-(-5/-5)))))</f>
        <v>-692437.4</v>
      </c>
      <c r="C4841" t="n" s="0">
        <v>-692437.4000000001</v>
      </c>
    </row>
    <row r="4842">
      <c r="A4842" t="n" s="0">
        <v>-51.59</v>
      </c>
      <c r="B4842" t="n" s="0">
        <f>(-5-((((-5*(-5/((-5/(((-5*(-51.59--5))-(-5+((-5*-51.59)*(((-5--5)+(-51.59--5))+-51.59))))-(-5+-5)))*-5)))/-5)--5)+(-5*(((-51.59*(-51.59-(-5/-5)))*(-51.59-(-51.59/(-5*-51.59))))-(-5/-5)))))</f>
        <v>-692035.999595</v>
      </c>
      <c r="C4842" t="n" s="0">
        <v>-692035.9995950001</v>
      </c>
    </row>
    <row r="4843">
      <c r="A4843" t="n" s="0">
        <v>-51.58</v>
      </c>
      <c r="B4843" t="n" s="0">
        <f>(-5-((((-5*(-5/((-5/(((-5*(-51.58--5))-(-5+((-5*-51.58)*(((-5--5)+(-51.58--5))+-51.58))))-(-5+-5)))*-5)))/-5)--5)+(-5*(((-51.58*(-51.58-(-5/-5)))*(-51.58-(-51.58/(-5*-51.58))))-(-5/-5)))))</f>
        <v>-691634.7543599999</v>
      </c>
      <c r="C4843" t="n" s="0">
        <v>-691634.75436</v>
      </c>
    </row>
    <row r="4844">
      <c r="A4844" t="n" s="0">
        <v>-51.57</v>
      </c>
      <c r="B4844" t="n" s="0">
        <f>(-5-((((-5*(-5/((-5/(((-5*(-51.57--5))-(-5+((-5*-51.57)*(((-5--5)+(-51.57--5))+-51.57))))-(-5+-5)))*-5)))/-5)--5)+(-5*(((-51.57*(-51.57-(-5/-5)))*(-51.57-(-51.57/(-5*-51.57))))-(-5/-5)))))</f>
        <v>-691233.664265</v>
      </c>
      <c r="C4844" t="n" s="0">
        <v>-691233.664265</v>
      </c>
    </row>
    <row r="4845">
      <c r="A4845" t="n" s="0">
        <v>-51.56</v>
      </c>
      <c r="B4845" t="n" s="0">
        <f>(-5-((((-5*(-5/((-5/(((-5*(-51.56--5))-(-5+((-5*-51.56)*(((-5--5)+(-51.56--5))+-51.56))))-(-5+-5)))*-5)))/-5)--5)+(-5*(((-51.56*(-51.56-(-5/-5)))*(-51.56-(-51.56/(-5*-51.56))))-(-5/-5)))))</f>
        <v>-690832.72928</v>
      </c>
      <c r="C4845" t="n" s="0">
        <v>-690832.7292800001</v>
      </c>
    </row>
    <row r="4846">
      <c r="A4846" t="n" s="0">
        <v>-51.55</v>
      </c>
      <c r="B4846" t="n" s="0">
        <f>(-5-((((-5*(-5/((-5/(((-5*(-51.55--5))-(-5+((-5*-51.55)*(((-5--5)+(-51.55--5))+-51.55))))-(-5+-5)))*-5)))/-5)--5)+(-5*(((-51.55*(-51.55-(-5/-5)))*(-51.55-(-51.55/(-5*-51.55))))-(-5/-5)))))</f>
        <v>-690431.949375</v>
      </c>
      <c r="C4846" t="n" s="0">
        <v>-690431.9493749999</v>
      </c>
    </row>
    <row r="4847">
      <c r="A4847" t="n" s="0">
        <v>-51.54</v>
      </c>
      <c r="B4847" t="n" s="0">
        <f>(-5-((((-5*(-5/((-5/(((-5*(-51.54--5))-(-5+((-5*-51.54)*(((-5--5)+(-51.54--5))+-51.54))))-(-5+-5)))*-5)))/-5)--5)+(-5*(((-51.54*(-51.54-(-5/-5)))*(-51.54-(-51.54/(-5*-51.54))))-(-5/-5)))))</f>
        <v>-690031.32452</v>
      </c>
      <c r="C4847" t="n" s="0">
        <v>-690031.32452</v>
      </c>
    </row>
    <row r="4848">
      <c r="A4848" t="n" s="0">
        <v>-51.53</v>
      </c>
      <c r="B4848" t="n" s="0">
        <f>(-5-((((-5*(-5/((-5/(((-5*(-51.53--5))-(-5+((-5*-51.53)*(((-5--5)+(-51.53--5))+-51.53))))-(-5+-5)))*-5)))/-5)--5)+(-5*(((-51.53*(-51.53-(-5/-5)))*(-51.53-(-51.53/(-5*-51.53))))-(-5/-5)))))</f>
        <v>-689630.854685</v>
      </c>
      <c r="C4848" t="n" s="0">
        <v>-689630.854685</v>
      </c>
    </row>
    <row r="4849">
      <c r="A4849" t="n" s="0">
        <v>-51.52</v>
      </c>
      <c r="B4849" t="n" s="0">
        <f>(-5-((((-5*(-5/((-5/(((-5*(-51.52--5))-(-5+((-5*-51.52)*(((-5--5)+(-51.52--5))+-51.52))))-(-5+-5)))*-5)))/-5)--5)+(-5*(((-51.52*(-51.52-(-5/-5)))*(-51.52-(-51.52/(-5*-51.52))))-(-5/-5)))))</f>
        <v>-689230.53984</v>
      </c>
      <c r="C4849" t="n" s="0">
        <v>-689230.5398400003</v>
      </c>
    </row>
    <row r="4850">
      <c r="A4850" t="n" s="0">
        <v>-51.51</v>
      </c>
      <c r="B4850" t="n" s="0">
        <f>(-5-((((-5*(-5/((-5/(((-5*(-51.51--5))-(-5+((-5*-51.51)*(((-5--5)+(-51.51--5))+-51.51))))-(-5+-5)))*-5)))/-5)--5)+(-5*(((-51.51*(-51.51-(-5/-5)))*(-51.51-(-51.51/(-5*-51.51))))-(-5/-5)))))</f>
        <v>-688830.379955</v>
      </c>
      <c r="C4850" t="n" s="0">
        <v>-688830.3799549999</v>
      </c>
    </row>
    <row r="4851">
      <c r="A4851" t="n" s="0">
        <v>-51.5</v>
      </c>
      <c r="B4851" t="n" s="0">
        <f>(-5-((((-5*(-5/((-5/(((-5*(-51.5--5))-(-5+((-5*-51.5)*(((-5--5)+(-51.5--5))+-51.5))))-(-5+-5)))*-5)))/-5)--5)+(-5*(((-51.5*(-51.5-(-5/-5)))*(-51.5-(-51.5/(-5*-51.5))))-(-5/-5)))))</f>
        <v>-688430.375</v>
      </c>
      <c r="C4851" t="n" s="0">
        <v>-688430.375</v>
      </c>
    </row>
    <row r="4852">
      <c r="A4852" t="n" s="0">
        <v>-51.49</v>
      </c>
      <c r="B4852" t="n" s="0">
        <f>(-5-((((-5*(-5/((-5/(((-5*(-51.49--5))-(-5+((-5*-51.49)*(((-5--5)+(-51.49--5))+-51.49))))-(-5+-5)))*-5)))/-5)--5)+(-5*(((-51.49*(-51.49-(-5/-5)))*(-51.49-(-51.49/(-5*-51.49))))-(-5/-5)))))</f>
        <v>-688030.524945</v>
      </c>
      <c r="C4852" t="n" s="0">
        <v>-688030.5249450001</v>
      </c>
    </row>
    <row r="4853">
      <c r="A4853" t="n" s="0">
        <v>-51.48</v>
      </c>
      <c r="B4853" t="n" s="0">
        <f>(-5-((((-5*(-5/((-5/(((-5*(-51.48--5))-(-5+((-5*-51.48)*(((-5--5)+(-51.48--5))+-51.48))))-(-5+-5)))*-5)))/-5)--5)+(-5*(((-51.48*(-51.48-(-5/-5)))*(-51.48-(-51.48/(-5*-51.48))))-(-5/-5)))))</f>
        <v>-687630.82976</v>
      </c>
      <c r="C4853" t="n" s="0">
        <v>-687630.8297599999</v>
      </c>
    </row>
    <row r="4854">
      <c r="A4854" t="n" s="0">
        <v>-51.47</v>
      </c>
      <c r="B4854" t="n" s="0">
        <f>(-5-((((-5*(-5/((-5/(((-5*(-51.47--5))-(-5+((-5*-51.47)*(((-5--5)+(-51.47--5))+-51.47))))-(-5+-5)))*-5)))/-5)--5)+(-5*(((-51.47*(-51.47-(-5/-5)))*(-51.47-(-51.47/(-5*-51.47))))-(-5/-5)))))</f>
        <v>-687231.289415</v>
      </c>
      <c r="C4854" t="n" s="0">
        <v>-687231.289415</v>
      </c>
    </row>
    <row r="4855">
      <c r="A4855" t="n" s="0">
        <v>-51.46</v>
      </c>
      <c r="B4855" t="n" s="0">
        <f>(-5-((((-5*(-5/((-5/(((-5*(-51.46--5))-(-5+((-5*-51.46)*(((-5--5)+(-51.46--5))+-51.46))))-(-5+-5)))*-5)))/-5)--5)+(-5*(((-51.46*(-51.46-(-5/-5)))*(-51.46-(-51.46/(-5*-51.46))))-(-5/-5)))))</f>
        <v>-686831.90388</v>
      </c>
      <c r="C4855" t="n" s="0">
        <v>-686831.9038800001</v>
      </c>
    </row>
    <row r="4856">
      <c r="A4856" t="n" s="0">
        <v>-51.45</v>
      </c>
      <c r="B4856" t="n" s="0">
        <f>(-5-((((-5*(-5/((-5/(((-5*(-51.45--5))-(-5+((-5*-51.45)*(((-5--5)+(-51.45--5))+-51.45))))-(-5+-5)))*-5)))/-5)--5)+(-5*(((-51.45*(-51.45-(-5/-5)))*(-51.45-(-51.45/(-5*-51.45))))-(-5/-5)))))</f>
        <v>-686432.673125</v>
      </c>
      <c r="C4856" t="n" s="0">
        <v>-686432.6731250001</v>
      </c>
    </row>
    <row r="4857">
      <c r="A4857" t="n" s="0">
        <v>-51.44</v>
      </c>
      <c r="B4857" t="n" s="0">
        <f>(-5-((((-5*(-5/((-5/(((-5*(-51.44--5))-(-5+((-5*-51.44)*(((-5--5)+(-51.44--5))+-51.44))))-(-5+-5)))*-5)))/-5)--5)+(-5*(((-51.44*(-51.44-(-5/-5)))*(-51.44-(-51.44/(-5*-51.44))))-(-5/-5)))))</f>
        <v>-686033.59712</v>
      </c>
      <c r="C4857" t="n" s="0">
        <v>-686033.5971199998</v>
      </c>
    </row>
    <row r="4858">
      <c r="A4858" t="n" s="0">
        <v>-51.43</v>
      </c>
      <c r="B4858" t="n" s="0">
        <f>(-5-((((-5*(-5/((-5/(((-5*(-51.43--5))-(-5+((-5*-51.43)*(((-5--5)+(-51.43--5))+-51.43))))-(-5+-5)))*-5)))/-5)--5)+(-5*(((-51.43*(-51.43-(-5/-5)))*(-51.43-(-51.43/(-5*-51.43))))-(-5/-5)))))</f>
        <v>-685634.675835</v>
      </c>
      <c r="C4858" t="n" s="0">
        <v>-685634.6758349999</v>
      </c>
    </row>
    <row r="4859">
      <c r="A4859" t="n" s="0">
        <v>-51.42</v>
      </c>
      <c r="B4859" t="n" s="0">
        <f>(-5-((((-5*(-5/((-5/(((-5*(-51.42--5))-(-5+((-5*-51.42)*(((-5--5)+(-51.42--5))+-51.42))))-(-5+-5)))*-5)))/-5)--5)+(-5*(((-51.42*(-51.42-(-5/-5)))*(-51.42-(-51.42/(-5*-51.42))))-(-5/-5)))))</f>
        <v>-685235.90924</v>
      </c>
      <c r="C4859" t="n" s="0">
        <v>-685235.9092400001</v>
      </c>
    </row>
    <row r="4860">
      <c r="A4860" t="n" s="0">
        <v>-51.41</v>
      </c>
      <c r="B4860" t="n" s="0">
        <f>(-5-((((-5*(-5/((-5/(((-5*(-51.41--5))-(-5+((-5*-51.41)*(((-5--5)+(-51.41--5))+-51.41))))-(-5+-5)))*-5)))/-5)--5)+(-5*(((-51.41*(-51.41-(-5/-5)))*(-51.41-(-51.41/(-5*-51.41))))-(-5/-5)))))</f>
        <v>-684837.297305</v>
      </c>
      <c r="C4860" t="n" s="0">
        <v>-684837.2973049999</v>
      </c>
    </row>
    <row r="4861">
      <c r="A4861" t="n" s="0">
        <v>-51.4</v>
      </c>
      <c r="B4861" t="n" s="0">
        <f>(-5-((((-5*(-5/((-5/(((-5*(-51.4--5))-(-5+((-5*-51.4)*(((-5--5)+(-51.4--5))+-51.4))))-(-5+-5)))*-5)))/-5)--5)+(-5*(((-51.4*(-51.4-(-5/-5)))*(-51.4-(-51.4/(-5*-51.4))))-(-5/-5)))))</f>
        <v>-684438.8400000001</v>
      </c>
      <c r="C4861" t="n" s="0">
        <v>-684438.8399999999</v>
      </c>
    </row>
    <row r="4862">
      <c r="A4862" t="n" s="0">
        <v>-51.39</v>
      </c>
      <c r="B4862" t="n" s="0">
        <f>(-5-((((-5*(-5/((-5/(((-5*(-51.39--5))-(-5+((-5*-51.39)*(((-5--5)+(-51.39--5))+-51.39))))-(-5+-5)))*-5)))/-5)--5)+(-5*(((-51.39*(-51.39-(-5/-5)))*(-51.39-(-51.39/(-5*-51.39))))-(-5/-5)))))</f>
        <v>-684040.5372949999</v>
      </c>
      <c r="C4862" t="n" s="0">
        <v>-684040.537295</v>
      </c>
    </row>
    <row r="4863">
      <c r="A4863" t="n" s="0">
        <v>-51.38</v>
      </c>
      <c r="B4863" t="n" s="0">
        <f>(-5-((((-5*(-5/((-5/(((-5*(-51.38--5))-(-5+((-5*-51.38)*(((-5--5)+(-51.38--5))+-51.38))))-(-5+-5)))*-5)))/-5)--5)+(-5*(((-51.38*(-51.38-(-5/-5)))*(-51.38-(-51.38/(-5*-51.38))))-(-5/-5)))))</f>
        <v>-683642.38916</v>
      </c>
      <c r="C4863" t="n" s="0">
        <v>-683642.3891600001</v>
      </c>
    </row>
    <row r="4864">
      <c r="A4864" t="n" s="0">
        <v>-51.37</v>
      </c>
      <c r="B4864" t="n" s="0">
        <f>(-5-((((-5*(-5/((-5/(((-5*(-51.37--5))-(-5+((-5*-51.37)*(((-5--5)+(-51.37--5))+-51.37))))-(-5+-5)))*-5)))/-5)--5)+(-5*(((-51.37*(-51.37-(-5/-5)))*(-51.37-(-51.37/(-5*-51.37))))-(-5/-5)))))</f>
        <v>-683244.395565</v>
      </c>
      <c r="C4864" t="n" s="0">
        <v>-683244.3955649999</v>
      </c>
    </row>
    <row r="4865">
      <c r="A4865" t="n" s="0">
        <v>-51.36</v>
      </c>
      <c r="B4865" t="n" s="0">
        <f>(-5-((((-5*(-5/((-5/(((-5*(-51.36--5))-(-5+((-5*-51.36)*(((-5--5)+(-51.36--5))+-51.36))))-(-5+-5)))*-5)))/-5)--5)+(-5*(((-51.36*(-51.36-(-5/-5)))*(-51.36-(-51.36/(-5*-51.36))))-(-5/-5)))))</f>
        <v>-682846.55648</v>
      </c>
      <c r="C4865" t="n" s="0">
        <v>-682846.55648</v>
      </c>
    </row>
    <row r="4866">
      <c r="A4866" t="n" s="0">
        <v>-51.35</v>
      </c>
      <c r="B4866" t="n" s="0">
        <f>(-5-((((-5*(-5/((-5/(((-5*(-51.35--5))-(-5+((-5*-51.35)*(((-5--5)+(-51.35--5))+-51.35))))-(-5+-5)))*-5)))/-5)--5)+(-5*(((-51.35*(-51.35-(-5/-5)))*(-51.35-(-51.35/(-5*-51.35))))-(-5/-5)))))</f>
        <v>-682448.871875</v>
      </c>
      <c r="C4866" t="n" s="0">
        <v>-682448.8718750002</v>
      </c>
    </row>
    <row r="4867">
      <c r="A4867" t="n" s="0">
        <v>-51.34</v>
      </c>
      <c r="B4867" t="n" s="0">
        <f>(-5-((((-5*(-5/((-5/(((-5*(-51.34--5))-(-5+((-5*-51.34)*(((-5--5)+(-51.34--5))+-51.34))))-(-5+-5)))*-5)))/-5)--5)+(-5*(((-51.34*(-51.34-(-5/-5)))*(-51.34-(-51.34/(-5*-51.34))))-(-5/-5)))))</f>
        <v>-682051.3417199999</v>
      </c>
      <c r="C4867" t="n" s="0">
        <v>-682051.3417200001</v>
      </c>
    </row>
    <row r="4868">
      <c r="A4868" t="n" s="0">
        <v>-51.33</v>
      </c>
      <c r="B4868" t="n" s="0">
        <f>(-5-((((-5*(-5/((-5/(((-5*(-51.33--5))-(-5+((-5*-51.33)*(((-5--5)+(-51.33--5))+-51.33))))-(-5+-5)))*-5)))/-5)--5)+(-5*(((-51.33*(-51.33-(-5/-5)))*(-51.33-(-51.33/(-5*-51.33))))-(-5/-5)))))</f>
        <v>-681653.965985</v>
      </c>
      <c r="C4868" t="n" s="0">
        <v>-681653.965985</v>
      </c>
    </row>
    <row r="4869">
      <c r="A4869" t="n" s="0">
        <v>-51.32</v>
      </c>
      <c r="B4869" t="n" s="0">
        <f>(-5-((((-5*(-5/((-5/(((-5*(-51.32--5))-(-5+((-5*-51.32)*(((-5--5)+(-51.32--5))+-51.32))))-(-5+-5)))*-5)))/-5)--5)+(-5*(((-51.32*(-51.32-(-5/-5)))*(-51.32-(-51.32/(-5*-51.32))))-(-5/-5)))))</f>
        <v>-681256.74464</v>
      </c>
      <c r="C4869" t="n" s="0">
        <v>-681256.7446399999</v>
      </c>
    </row>
    <row r="4870">
      <c r="A4870" t="n" s="0">
        <v>-51.31</v>
      </c>
      <c r="B4870" t="n" s="0">
        <f>(-5-((((-5*(-5/((-5/(((-5*(-51.31--5))-(-5+((-5*-51.31)*(((-5--5)+(-51.31--5))+-51.31))))-(-5+-5)))*-5)))/-5)--5)+(-5*(((-51.31*(-51.31-(-5/-5)))*(-51.31-(-51.31/(-5*-51.31))))-(-5/-5)))))</f>
        <v>-680859.6776550001</v>
      </c>
      <c r="C4870" t="n" s="0">
        <v>-680859.6776550002</v>
      </c>
    </row>
    <row r="4871">
      <c r="A4871" t="n" s="0">
        <v>-51.3</v>
      </c>
      <c r="B4871" t="n" s="0">
        <f>(-5-((((-5*(-5/((-5/(((-5*(-51.3--5))-(-5+((-5*-51.3)*(((-5--5)+(-51.3--5))+-51.3))))-(-5+-5)))*-5)))/-5)--5)+(-5*(((-51.3*(-51.3-(-5/-5)))*(-51.3-(-51.3/(-5*-51.3))))-(-5/-5)))))</f>
        <v>-680462.7649999999</v>
      </c>
      <c r="C4871" t="n" s="0">
        <v>-680462.7649999999</v>
      </c>
    </row>
    <row r="4872">
      <c r="A4872" t="n" s="0">
        <v>-51.29</v>
      </c>
      <c r="B4872" t="n" s="0">
        <f>(-5-((((-5*(-5/((-5/(((-5*(-51.29--5))-(-5+((-5*-51.29)*(((-5--5)+(-51.29--5))+-51.29))))-(-5+-5)))*-5)))/-5)--5)+(-5*(((-51.29*(-51.29-(-5/-5)))*(-51.29-(-51.29/(-5*-51.29))))-(-5/-5)))))</f>
        <v>-680066.006645</v>
      </c>
      <c r="C4872" t="n" s="0">
        <v>-680066.0066450001</v>
      </c>
    </row>
    <row r="4873">
      <c r="A4873" t="n" s="0">
        <v>-51.28</v>
      </c>
      <c r="B4873" t="n" s="0">
        <f>(-5-((((-5*(-5/((-5/(((-5*(-51.28--5))-(-5+((-5*-51.28)*(((-5--5)+(-51.28--5))+-51.28))))-(-5+-5)))*-5)))/-5)--5)+(-5*(((-51.28*(-51.28-(-5/-5)))*(-51.28-(-51.28/(-5*-51.28))))-(-5/-5)))))</f>
        <v>-679669.40256</v>
      </c>
      <c r="C4873" t="n" s="0">
        <v>-679669.4025600001</v>
      </c>
    </row>
    <row r="4874">
      <c r="A4874" t="n" s="0">
        <v>-51.27</v>
      </c>
      <c r="B4874" t="n" s="0">
        <f>(-5-((((-5*(-5/((-5/(((-5*(-51.27--5))-(-5+((-5*-51.27)*(((-5--5)+(-51.27--5))+-51.27))))-(-5+-5)))*-5)))/-5)--5)+(-5*(((-51.27*(-51.27-(-5/-5)))*(-51.27-(-51.27/(-5*-51.27))))-(-5/-5)))))</f>
        <v>-679272.952715</v>
      </c>
      <c r="C4874" t="n" s="0">
        <v>-679272.9527150001</v>
      </c>
    </row>
    <row r="4875">
      <c r="A4875" t="n" s="0">
        <v>-51.26</v>
      </c>
      <c r="B4875" t="n" s="0">
        <f>(-5-((((-5*(-5/((-5/(((-5*(-51.26--5))-(-5+((-5*-51.26)*(((-5--5)+(-51.26--5))+-51.26))))-(-5+-5)))*-5)))/-5)--5)+(-5*(((-51.26*(-51.26-(-5/-5)))*(-51.26-(-51.26/(-5*-51.26))))-(-5/-5)))))</f>
        <v>-678876.65708</v>
      </c>
      <c r="C4875" t="n" s="0">
        <v>-678876.65708</v>
      </c>
    </row>
    <row r="4876">
      <c r="A4876" t="n" s="0">
        <v>-51.25</v>
      </c>
      <c r="B4876" t="n" s="0">
        <f>(-5-((((-5*(-5/((-5/(((-5*(-51.25--5))-(-5+((-5*-51.25)*(((-5--5)+(-51.25--5))+-51.25))))-(-5+-5)))*-5)))/-5)--5)+(-5*(((-51.25*(-51.25-(-5/-5)))*(-51.25-(-51.25/(-5*-51.25))))-(-5/-5)))))</f>
        <v>-678480.515625</v>
      </c>
      <c r="C4876" t="n" s="0">
        <v>-678480.515625</v>
      </c>
    </row>
    <row r="4877">
      <c r="A4877" t="n" s="0">
        <v>-51.24</v>
      </c>
      <c r="B4877" t="n" s="0">
        <f>(-5-((((-5*(-5/((-5/(((-5*(-51.24--5))-(-5+((-5*-51.24)*(((-5--5)+(-51.24--5))+-51.24))))-(-5+-5)))*-5)))/-5)--5)+(-5*(((-51.24*(-51.24-(-5/-5)))*(-51.24-(-51.24/(-5*-51.24))))-(-5/-5)))))</f>
        <v>-678084.52832</v>
      </c>
      <c r="C4877" t="n" s="0">
        <v>-678084.5283199999</v>
      </c>
    </row>
    <row r="4878">
      <c r="A4878" t="n" s="0">
        <v>-51.23</v>
      </c>
      <c r="B4878" t="n" s="0">
        <f>(-5-((((-5*(-5/((-5/(((-5*(-51.23--5))-(-5+((-5*-51.23)*(((-5--5)+(-51.23--5))+-51.23))))-(-5+-5)))*-5)))/-5)--5)+(-5*(((-51.23*(-51.23-(-5/-5)))*(-51.23-(-51.23/(-5*-51.23))))-(-5/-5)))))</f>
        <v>-677688.6951349999</v>
      </c>
      <c r="C4878" t="n" s="0">
        <v>-677688.6951349998</v>
      </c>
    </row>
    <row r="4879">
      <c r="A4879" t="n" s="0">
        <v>-51.22</v>
      </c>
      <c r="B4879" t="n" s="0">
        <f>(-5-((((-5*(-5/((-5/(((-5*(-51.22--5))-(-5+((-5*-51.22)*(((-5--5)+(-51.22--5))+-51.22))))-(-5+-5)))*-5)))/-5)--5)+(-5*(((-51.22*(-51.22-(-5/-5)))*(-51.22-(-51.22/(-5*-51.22))))-(-5/-5)))))</f>
        <v>-677293.01604</v>
      </c>
      <c r="C4879" t="n" s="0">
        <v>-677293.0160399999</v>
      </c>
    </row>
    <row r="4880">
      <c r="A4880" t="n" s="0">
        <v>-51.21</v>
      </c>
      <c r="B4880" t="n" s="0">
        <f>(-5-((((-5*(-5/((-5/(((-5*(-51.21--5))-(-5+((-5*-51.21)*(((-5--5)+(-51.21--5))+-51.21))))-(-5+-5)))*-5)))/-5)--5)+(-5*(((-51.21*(-51.21-(-5/-5)))*(-51.21-(-51.21/(-5*-51.21))))-(-5/-5)))))</f>
        <v>-676897.491005</v>
      </c>
      <c r="C4880" t="n" s="0">
        <v>-676897.4910050001</v>
      </c>
    </row>
    <row r="4881">
      <c r="A4881" t="n" s="0">
        <v>-51.2</v>
      </c>
      <c r="B4881" t="n" s="0">
        <f>(-5-((((-5*(-5/((-5/(((-5*(-51.2--5))-(-5+((-5*-51.2)*(((-5--5)+(-51.2--5))+-51.2))))-(-5+-5)))*-5)))/-5)--5)+(-5*(((-51.2*(-51.2-(-5/-5)))*(-51.2-(-51.2/(-5*-51.2))))-(-5/-5)))))</f>
        <v>-676502.12</v>
      </c>
      <c r="C4881" t="n" s="0">
        <v>-676502.1200000001</v>
      </c>
    </row>
    <row r="4882">
      <c r="A4882" t="n" s="0">
        <v>-51.19</v>
      </c>
      <c r="B4882" t="n" s="0">
        <f>(-5-((((-5*(-5/((-5/(((-5*(-51.19--5))-(-5+((-5*-51.19)*(((-5--5)+(-51.19--5))+-51.19))))-(-5+-5)))*-5)))/-5)--5)+(-5*(((-51.19*(-51.19-(-5/-5)))*(-51.19-(-51.19/(-5*-51.19))))-(-5/-5)))))</f>
        <v>-676106.9029949999</v>
      </c>
      <c r="C4882" t="n" s="0">
        <v>-676106.9029949999</v>
      </c>
    </row>
    <row r="4883">
      <c r="A4883" t="n" s="0">
        <v>-51.18</v>
      </c>
      <c r="B4883" t="n" s="0">
        <f>(-5-((((-5*(-5/((-5/(((-5*(-51.18--5))-(-5+((-5*-51.18)*(((-5--5)+(-51.18--5))+-51.18))))-(-5+-5)))*-5)))/-5)--5)+(-5*(((-51.18*(-51.18-(-5/-5)))*(-51.18-(-51.18/(-5*-51.18))))-(-5/-5)))))</f>
        <v>-675711.8399599999</v>
      </c>
      <c r="C4883" t="n" s="0">
        <v>-675711.8399600001</v>
      </c>
    </row>
    <row r="4884">
      <c r="A4884" t="n" s="0">
        <v>-51.17</v>
      </c>
      <c r="B4884" t="n" s="0">
        <f>(-5-((((-5*(-5/((-5/(((-5*(-51.17--5))-(-5+((-5*-51.17)*(((-5--5)+(-51.17--5))+-51.17))))-(-5+-5)))*-5)))/-5)--5)+(-5*(((-51.17*(-51.17-(-5/-5)))*(-51.17-(-51.17/(-5*-51.17))))-(-5/-5)))))</f>
        <v>-675316.930865</v>
      </c>
      <c r="C4884" t="n" s="0">
        <v>-675316.9308650001</v>
      </c>
    </row>
    <row r="4885">
      <c r="A4885" t="n" s="0">
        <v>-51.16</v>
      </c>
      <c r="B4885" t="n" s="0">
        <f>(-5-((((-5*(-5/((-5/(((-5*(-51.16--5))-(-5+((-5*-51.16)*(((-5--5)+(-51.16--5))+-51.16))))-(-5+-5)))*-5)))/-5)--5)+(-5*(((-51.16*(-51.16-(-5/-5)))*(-51.16-(-51.16/(-5*-51.16))))-(-5/-5)))))</f>
        <v>-674922.17568</v>
      </c>
      <c r="C4885" t="n" s="0">
        <v>-674922.1756799999</v>
      </c>
    </row>
    <row r="4886">
      <c r="A4886" t="n" s="0">
        <v>-51.15</v>
      </c>
      <c r="B4886" t="n" s="0">
        <f>(-5-((((-5*(-5/((-5/(((-5*(-51.15--5))-(-5+((-5*-51.15)*(((-5--5)+(-51.15--5))+-51.15))))-(-5+-5)))*-5)))/-5)--5)+(-5*(((-51.15*(-51.15-(-5/-5)))*(-51.15-(-51.15/(-5*-51.15))))-(-5/-5)))))</f>
        <v>-674527.574375</v>
      </c>
      <c r="C4886" t="n" s="0">
        <v>-674527.5743749999</v>
      </c>
    </row>
    <row r="4887">
      <c r="A4887" t="n" s="0">
        <v>-51.14</v>
      </c>
      <c r="B4887" t="n" s="0">
        <f>(-5-((((-5*(-5/((-5/(((-5*(-51.14--5))-(-5+((-5*-51.14)*(((-5--5)+(-51.14--5))+-51.14))))-(-5+-5)))*-5)))/-5)--5)+(-5*(((-51.14*(-51.14-(-5/-5)))*(-51.14-(-51.14/(-5*-51.14))))-(-5/-5)))))</f>
        <v>-674133.12692</v>
      </c>
      <c r="C4887" t="n" s="0">
        <v>-674133.1269200002</v>
      </c>
    </row>
    <row r="4888">
      <c r="A4888" t="n" s="0">
        <v>-51.13</v>
      </c>
      <c r="B4888" t="n" s="0">
        <f>(-5-((((-5*(-5/((-5/(((-5*(-51.13--5))-(-5+((-5*-51.13)*(((-5--5)+(-51.13--5))+-51.13))))-(-5+-5)))*-5)))/-5)--5)+(-5*(((-51.13*(-51.13-(-5/-5)))*(-51.13-(-51.13/(-5*-51.13))))-(-5/-5)))))</f>
        <v>-673738.8332850001</v>
      </c>
      <c r="C4888" t="n" s="0">
        <v>-673738.8332850002</v>
      </c>
    </row>
    <row r="4889">
      <c r="A4889" t="n" s="0">
        <v>-51.12</v>
      </c>
      <c r="B4889" t="n" s="0">
        <f>(-5-((((-5*(-5/((-5/(((-5*(-51.12--5))-(-5+((-5*-51.12)*(((-5--5)+(-51.12--5))+-51.12))))-(-5+-5)))*-5)))/-5)--5)+(-5*(((-51.12*(-51.12-(-5/-5)))*(-51.12-(-51.12/(-5*-51.12))))-(-5/-5)))))</f>
        <v>-673344.6934400001</v>
      </c>
      <c r="C4889" t="n" s="0">
        <v>-673344.6934399998</v>
      </c>
    </row>
    <row r="4890">
      <c r="A4890" t="n" s="0">
        <v>-51.11</v>
      </c>
      <c r="B4890" t="n" s="0">
        <f>(-5-((((-5*(-5/((-5/(((-5*(-51.11--5))-(-5+((-5*-51.11)*(((-5--5)+(-51.11--5))+-51.11))))-(-5+-5)))*-5)))/-5)--5)+(-5*(((-51.11*(-51.11-(-5/-5)))*(-51.11-(-51.11/(-5*-51.11))))-(-5/-5)))))</f>
        <v>-672950.707355</v>
      </c>
      <c r="C4890" t="n" s="0">
        <v>-672950.707355</v>
      </c>
    </row>
    <row r="4891">
      <c r="A4891" t="n" s="0">
        <v>-51.1</v>
      </c>
      <c r="B4891" t="n" s="0">
        <f>(-5-((((-5*(-5/((-5/(((-5*(-51.1--5))-(-5+((-5*-51.1)*(((-5--5)+(-51.1--5))+-51.1))))-(-5+-5)))*-5)))/-5)--5)+(-5*(((-51.1*(-51.1-(-5/-5)))*(-51.1-(-51.1/(-5*-51.1))))-(-5/-5)))))</f>
        <v>-672556.875</v>
      </c>
      <c r="C4891" t="n" s="0">
        <v>-672556.8750000001</v>
      </c>
    </row>
    <row r="4892">
      <c r="A4892" t="n" s="0">
        <v>-51.09</v>
      </c>
      <c r="B4892" t="n" s="0">
        <f>(-5-((((-5*(-5/((-5/(((-5*(-51.09--5))-(-5+((-5*-51.09)*(((-5--5)+(-51.09--5))+-51.09))))-(-5+-5)))*-5)))/-5)--5)+(-5*(((-51.09*(-51.09-(-5/-5)))*(-51.09-(-51.09/(-5*-51.09))))-(-5/-5)))))</f>
        <v>-672163.1963450001</v>
      </c>
      <c r="C4892" t="n" s="0">
        <v>-672163.1963450002</v>
      </c>
    </row>
    <row r="4893">
      <c r="A4893" t="n" s="0">
        <v>-51.08</v>
      </c>
      <c r="B4893" t="n" s="0">
        <f>(-5-((((-5*(-5/((-5/(((-5*(-51.08--5))-(-5+((-5*-51.08)*(((-5--5)+(-51.08--5))+-51.08))))-(-5+-5)))*-5)))/-5)--5)+(-5*(((-51.08*(-51.08-(-5/-5)))*(-51.08-(-51.08/(-5*-51.08))))-(-5/-5)))))</f>
        <v>-671769.6713599999</v>
      </c>
      <c r="C4893" t="n" s="0">
        <v>-671769.6713599999</v>
      </c>
    </row>
    <row r="4894">
      <c r="A4894" t="n" s="0">
        <v>-51.07</v>
      </c>
      <c r="B4894" t="n" s="0">
        <f>(-5-((((-5*(-5/((-5/(((-5*(-51.07--5))-(-5+((-5*-51.07)*(((-5--5)+(-51.07--5))+-51.07))))-(-5+-5)))*-5)))/-5)--5)+(-5*(((-51.07*(-51.07-(-5/-5)))*(-51.07-(-51.07/(-5*-51.07))))-(-5/-5)))))</f>
        <v>-671376.300015</v>
      </c>
      <c r="C4894" t="n" s="0">
        <v>-671376.300015</v>
      </c>
    </row>
    <row r="4895">
      <c r="A4895" t="n" s="0">
        <v>-51.06</v>
      </c>
      <c r="B4895" t="n" s="0">
        <f>(-5-((((-5*(-5/((-5/(((-5*(-51.06--5))-(-5+((-5*-51.06)*(((-5--5)+(-51.06--5))+-51.06))))-(-5+-5)))*-5)))/-5)--5)+(-5*(((-51.06*(-51.06-(-5/-5)))*(-51.06-(-51.06/(-5*-51.06))))-(-5/-5)))))</f>
        <v>-670983.08228</v>
      </c>
      <c r="C4895" t="n" s="0">
        <v>-670983.0822800001</v>
      </c>
    </row>
    <row r="4896">
      <c r="A4896" t="n" s="0">
        <v>-51.05</v>
      </c>
      <c r="B4896" t="n" s="0">
        <f>(-5-((((-5*(-5/((-5/(((-5*(-51.05--5))-(-5+((-5*-51.05)*(((-5--5)+(-51.05--5))+-51.05))))-(-5+-5)))*-5)))/-5)--5)+(-5*(((-51.05*(-51.05-(-5/-5)))*(-51.05-(-51.05/(-5*-51.05))))-(-5/-5)))))</f>
        <v>-670590.018125</v>
      </c>
      <c r="C4896" t="n" s="0">
        <v>-670590.0181249998</v>
      </c>
    </row>
    <row r="4897">
      <c r="A4897" t="n" s="0">
        <v>-51.04</v>
      </c>
      <c r="B4897" t="n" s="0">
        <f>(-5-((((-5*(-5/((-5/(((-5*(-51.04--5))-(-5+((-5*-51.04)*(((-5--5)+(-51.04--5))+-51.04))))-(-5+-5)))*-5)))/-5)--5)+(-5*(((-51.04*(-51.04-(-5/-5)))*(-51.04-(-51.04/(-5*-51.04))))-(-5/-5)))))</f>
        <v>-670197.10752</v>
      </c>
      <c r="C4897" t="n" s="0">
        <v>-670197.10752</v>
      </c>
    </row>
    <row r="4898">
      <c r="A4898" t="n" s="0">
        <v>-51.03</v>
      </c>
      <c r="B4898" t="n" s="0">
        <f>(-5-((((-5*(-5/((-5/(((-5*(-51.03--5))-(-5+((-5*-51.03)*(((-5--5)+(-51.03--5))+-51.03))))-(-5+-5)))*-5)))/-5)--5)+(-5*(((-51.03*(-51.03-(-5/-5)))*(-51.03-(-51.03/(-5*-51.03))))-(-5/-5)))))</f>
        <v>-669804.350435</v>
      </c>
      <c r="C4898" t="n" s="0">
        <v>-669804.350435</v>
      </c>
    </row>
    <row r="4899">
      <c r="A4899" t="n" s="0">
        <v>-51.02</v>
      </c>
      <c r="B4899" t="n" s="0">
        <f>(-5-((((-5*(-5/((-5/(((-5*(-51.02--5))-(-5+((-5*-51.02)*(((-5--5)+(-51.02--5))+-51.02))))-(-5+-5)))*-5)))/-5)--5)+(-5*(((-51.02*(-51.02-(-5/-5)))*(-51.02-(-51.02/(-5*-51.02))))-(-5/-5)))))</f>
        <v>-669411.7468399999</v>
      </c>
      <c r="C4899" t="n" s="0">
        <v>-669411.7468400002</v>
      </c>
    </row>
    <row r="4900">
      <c r="A4900" t="n" s="0">
        <v>-51.01</v>
      </c>
      <c r="B4900" t="n" s="0">
        <f>(-5-((((-5*(-5/((-5/(((-5*(-51.01--5))-(-5+((-5*-51.01)*(((-5--5)+(-51.01--5))+-51.01))))-(-5+-5)))*-5)))/-5)--5)+(-5*(((-51.01*(-51.01-(-5/-5)))*(-51.01-(-51.01/(-5*-51.01))))-(-5/-5)))))</f>
        <v>-669019.296705</v>
      </c>
      <c r="C4900" t="n" s="0">
        <v>-669019.296705</v>
      </c>
    </row>
    <row r="4901">
      <c r="A4901" t="n" s="0">
        <v>-51.0</v>
      </c>
      <c r="B4901" t="n" s="0">
        <f>(-5-((((-5*(-5/((-5/(((-5*(-51--5))-(-5+((-5*-51)*(((-5--5)+(-51--5))+-51))))-(-5+-5)))*-5)))/-5)--5)+(-5*(((-51*(-51-(-5/-5)))*(-51-(-51/(-5*-51))))-(-5/-5)))))</f>
        <v>-668627.0</v>
      </c>
      <c r="C4901" t="n" s="0">
        <v>-668627.0</v>
      </c>
    </row>
    <row r="4902">
      <c r="A4902" t="n" s="0">
        <v>-50.99</v>
      </c>
      <c r="B4902" t="n" s="0">
        <f>(-5-((((-5*(-5/((-5/(((-5*(-50.99--5))-(-5+((-5*-50.99)*(((-5--5)+(-50.99--5))+-50.99))))-(-5+-5)))*-5)))/-5)--5)+(-5*(((-50.99*(-50.99-(-5/-5)))*(-50.99-(-50.99/(-5*-50.99))))-(-5/-5)))))</f>
        <v>-668234.856695</v>
      </c>
      <c r="C4902" t="n" s="0">
        <v>-668234.8566950001</v>
      </c>
    </row>
    <row r="4903">
      <c r="A4903" t="n" s="0">
        <v>-50.98</v>
      </c>
      <c r="B4903" t="n" s="0">
        <f>(-5-((((-5*(-5/((-5/(((-5*(-50.98--5))-(-5+((-5*-50.98)*(((-5--5)+(-50.98--5))+-50.98))))-(-5+-5)))*-5)))/-5)--5)+(-5*(((-50.98*(-50.98-(-5/-5)))*(-50.98-(-50.98/(-5*-50.98))))-(-5/-5)))))</f>
        <v>-667842.8667600001</v>
      </c>
      <c r="C4903" t="n" s="0">
        <v>-667842.8667599998</v>
      </c>
    </row>
    <row r="4904">
      <c r="A4904" t="n" s="0">
        <v>-50.97</v>
      </c>
      <c r="B4904" t="n" s="0">
        <f>(-5-((((-5*(-5/((-5/(((-5*(-50.97--5))-(-5+((-5*-50.97)*(((-5--5)+(-50.97--5))+-50.97))))-(-5+-5)))*-5)))/-5)--5)+(-5*(((-50.97*(-50.97-(-5/-5)))*(-50.97-(-50.97/(-5*-50.97))))-(-5/-5)))))</f>
        <v>-667451.030165</v>
      </c>
      <c r="C4904" t="n" s="0">
        <v>-667451.030165</v>
      </c>
    </row>
    <row r="4905">
      <c r="A4905" t="n" s="0">
        <v>-50.96</v>
      </c>
      <c r="B4905" t="n" s="0">
        <f>(-5-((((-5*(-5/((-5/(((-5*(-50.96--5))-(-5+((-5*-50.96)*(((-5--5)+(-50.96--5))+-50.96))))-(-5+-5)))*-5)))/-5)--5)+(-5*(((-50.96*(-50.96-(-5/-5)))*(-50.96-(-50.96/(-5*-50.96))))-(-5/-5)))))</f>
        <v>-667059.34688</v>
      </c>
      <c r="C4905" t="n" s="0">
        <v>-667059.34688</v>
      </c>
    </row>
    <row r="4906">
      <c r="A4906" t="n" s="0">
        <v>-50.95</v>
      </c>
      <c r="B4906" t="n" s="0">
        <f>(-5-((((-5*(-5/((-5/(((-5*(-50.95--5))-(-5+((-5*-50.95)*(((-5--5)+(-50.95--5))+-50.95))))-(-5+-5)))*-5)))/-5)--5)+(-5*(((-50.95*(-50.95-(-5/-5)))*(-50.95-(-50.95/(-5*-50.95))))-(-5/-5)))))</f>
        <v>-666667.816875</v>
      </c>
      <c r="C4906" t="n" s="0">
        <v>-666667.8168750001</v>
      </c>
    </row>
    <row r="4907">
      <c r="A4907" t="n" s="0">
        <v>-50.94</v>
      </c>
      <c r="B4907" t="n" s="0">
        <f>(-5-((((-5*(-5/((-5/(((-5*(-50.94--5))-(-5+((-5*-50.94)*(((-5--5)+(-50.94--5))+-50.94))))-(-5+-5)))*-5)))/-5)--5)+(-5*(((-50.94*(-50.94-(-5/-5)))*(-50.94-(-50.94/(-5*-50.94))))-(-5/-5)))))</f>
        <v>-666276.44012</v>
      </c>
      <c r="C4907" t="n" s="0">
        <v>-666276.4401199999</v>
      </c>
    </row>
    <row r="4908">
      <c r="A4908" t="n" s="0">
        <v>-50.93</v>
      </c>
      <c r="B4908" t="n" s="0">
        <f>(-5-((((-5*(-5/((-5/(((-5*(-50.93--5))-(-5+((-5*-50.93)*(((-5--5)+(-50.93--5))+-50.93))))-(-5+-5)))*-5)))/-5)--5)+(-5*(((-50.93*(-50.93-(-5/-5)))*(-50.93-(-50.93/(-5*-50.93))))-(-5/-5)))))</f>
        <v>-665885.216585</v>
      </c>
      <c r="C4908" t="n" s="0">
        <v>-665885.216585</v>
      </c>
    </row>
    <row r="4909">
      <c r="A4909" t="n" s="0">
        <v>-50.92</v>
      </c>
      <c r="B4909" t="n" s="0">
        <f>(-5-((((-5*(-5/((-5/(((-5*(-50.92--5))-(-5+((-5*-50.92)*(((-5--5)+(-50.92--5))+-50.92))))-(-5+-5)))*-5)))/-5)--5)+(-5*(((-50.92*(-50.92-(-5/-5)))*(-50.92-(-50.92/(-5*-50.92))))-(-5/-5)))))</f>
        <v>-665494.14624</v>
      </c>
      <c r="C4909" t="n" s="0">
        <v>-665494.14624</v>
      </c>
    </row>
    <row r="4910">
      <c r="A4910" t="n" s="0">
        <v>-50.91</v>
      </c>
      <c r="B4910" t="n" s="0">
        <f>(-5-((((-5*(-5/((-5/(((-5*(-50.91--5))-(-5+((-5*-50.91)*(((-5--5)+(-50.91--5))+-50.91))))-(-5+-5)))*-5)))/-5)--5)+(-5*(((-50.91*(-50.91-(-5/-5)))*(-50.91-(-50.91/(-5*-50.91))))-(-5/-5)))))</f>
        <v>-665103.2290549999</v>
      </c>
      <c r="C4910" t="n" s="0">
        <v>-665103.2290549999</v>
      </c>
    </row>
    <row r="4911">
      <c r="A4911" t="n" s="0">
        <v>-50.9</v>
      </c>
      <c r="B4911" t="n" s="0">
        <f>(-5-((((-5*(-5/((-5/(((-5*(-50.9--5))-(-5+((-5*-50.9)*(((-5--5)+(-50.9--5))+-50.9))))-(-5+-5)))*-5)))/-5)--5)+(-5*(((-50.9*(-50.9-(-5/-5)))*(-50.9-(-50.9/(-5*-50.9))))-(-5/-5)))))</f>
        <v>-664712.4650000001</v>
      </c>
      <c r="C4911" t="n" s="0">
        <v>-664712.465</v>
      </c>
    </row>
    <row r="4912">
      <c r="A4912" t="n" s="0">
        <v>-50.89</v>
      </c>
      <c r="B4912" t="n" s="0">
        <f>(-5-((((-5*(-5/((-5/(((-5*(-50.89--5))-(-5+((-5*-50.89)*(((-5--5)+(-50.89--5))+-50.89))))-(-5+-5)))*-5)))/-5)--5)+(-5*(((-50.89*(-50.89-(-5/-5)))*(-50.89-(-50.89/(-5*-50.89))))-(-5/-5)))))</f>
        <v>-664321.854045</v>
      </c>
      <c r="C4912" t="n" s="0">
        <v>-664321.8540450002</v>
      </c>
    </row>
    <row r="4913">
      <c r="A4913" t="n" s="0">
        <v>-50.88</v>
      </c>
      <c r="B4913" t="n" s="0">
        <f>(-5-((((-5*(-5/((-5/(((-5*(-50.88--5))-(-5+((-5*-50.88)*(((-5--5)+(-50.88--5))+-50.88))))-(-5+-5)))*-5)))/-5)--5)+(-5*(((-50.88*(-50.88-(-5/-5)))*(-50.88-(-50.88/(-5*-50.88))))-(-5/-5)))))</f>
        <v>-663931.39616</v>
      </c>
      <c r="C4913" t="n" s="0">
        <v>-663931.3961600001</v>
      </c>
    </row>
    <row r="4914">
      <c r="A4914" t="n" s="0">
        <v>-50.87</v>
      </c>
      <c r="B4914" t="n" s="0">
        <f>(-5-((((-5*(-5/((-5/(((-5*(-50.87--5))-(-5+((-5*-50.87)*(((-5--5)+(-50.87--5))+-50.87))))-(-5+-5)))*-5)))/-5)--5)+(-5*(((-50.87*(-50.87-(-5/-5)))*(-50.87-(-50.87/(-5*-50.87))))-(-5/-5)))))</f>
        <v>-663541.091315</v>
      </c>
      <c r="C4914" t="n" s="0">
        <v>-663541.0913149999</v>
      </c>
    </row>
    <row r="4915">
      <c r="A4915" t="n" s="0">
        <v>-50.86</v>
      </c>
      <c r="B4915" t="n" s="0">
        <f>(-5-((((-5*(-5/((-5/(((-5*(-50.86--5))-(-5+((-5*-50.86)*(((-5--5)+(-50.86--5))+-50.86))))-(-5+-5)))*-5)))/-5)--5)+(-5*(((-50.86*(-50.86-(-5/-5)))*(-50.86-(-50.86/(-5*-50.86))))-(-5/-5)))))</f>
        <v>-663150.93948</v>
      </c>
      <c r="C4915" t="n" s="0">
        <v>-663150.9394799998</v>
      </c>
    </row>
    <row r="4916">
      <c r="A4916" t="n" s="0">
        <v>-50.85</v>
      </c>
      <c r="B4916" t="n" s="0">
        <f>(-5-((((-5*(-5/((-5/(((-5*(-50.85--5))-(-5+((-5*-50.85)*(((-5--5)+(-50.85--5))+-50.85))))-(-5+-5)))*-5)))/-5)--5)+(-5*(((-50.85*(-50.85-(-5/-5)))*(-50.85-(-50.85/(-5*-50.85))))-(-5/-5)))))</f>
        <v>-662760.9406249999</v>
      </c>
      <c r="C4916" t="n" s="0">
        <v>-662760.9406250002</v>
      </c>
    </row>
    <row r="4917">
      <c r="A4917" t="n" s="0">
        <v>-50.84</v>
      </c>
      <c r="B4917" t="n" s="0">
        <f>(-5-((((-5*(-5/((-5/(((-5*(-50.84--5))-(-5+((-5*-50.84)*(((-5--5)+(-50.84--5))+-50.84))))-(-5+-5)))*-5)))/-5)--5)+(-5*(((-50.84*(-50.84-(-5/-5)))*(-50.84-(-50.84/(-5*-50.84))))-(-5/-5)))))</f>
        <v>-662371.09472</v>
      </c>
      <c r="C4917" t="n" s="0">
        <v>-662371.0947200002</v>
      </c>
    </row>
    <row r="4918">
      <c r="A4918" t="n" s="0">
        <v>-50.83</v>
      </c>
      <c r="B4918" t="n" s="0">
        <f>(-5-((((-5*(-5/((-5/(((-5*(-50.83--5))-(-5+((-5*-50.83)*(((-5--5)+(-50.83--5))+-50.83))))-(-5+-5)))*-5)))/-5)--5)+(-5*(((-50.83*(-50.83-(-5/-5)))*(-50.83-(-50.83/(-5*-50.83))))-(-5/-5)))))</f>
        <v>-661981.4017350001</v>
      </c>
      <c r="C4918" t="n" s="0">
        <v>-661981.401735</v>
      </c>
    </row>
    <row r="4919">
      <c r="A4919" t="n" s="0">
        <v>-50.82</v>
      </c>
      <c r="B4919" t="n" s="0">
        <f>(-5-((((-5*(-5/((-5/(((-5*(-50.82--5))-(-5+((-5*-50.82)*(((-5--5)+(-50.82--5))+-50.82))))-(-5+-5)))*-5)))/-5)--5)+(-5*(((-50.82*(-50.82-(-5/-5)))*(-50.82-(-50.82/(-5*-50.82))))-(-5/-5)))))</f>
        <v>-661591.86164</v>
      </c>
      <c r="C4919" t="n" s="0">
        <v>-661591.8616399999</v>
      </c>
    </row>
    <row r="4920">
      <c r="A4920" t="n" s="0">
        <v>-50.81</v>
      </c>
      <c r="B4920" t="n" s="0">
        <f>(-5-((((-5*(-5/((-5/(((-5*(-50.81--5))-(-5+((-5*-50.81)*(((-5--5)+(-50.81--5))+-50.81))))-(-5+-5)))*-5)))/-5)--5)+(-5*(((-50.81*(-50.81-(-5/-5)))*(-50.81-(-50.81/(-5*-50.81))))-(-5/-5)))))</f>
        <v>-661202.474405</v>
      </c>
      <c r="C4920" t="n" s="0">
        <v>-661202.4744050001</v>
      </c>
    </row>
    <row r="4921">
      <c r="A4921" t="n" s="0">
        <v>-50.8</v>
      </c>
      <c r="B4921" t="n" s="0">
        <f>(-5-((((-5*(-5/((-5/(((-5*(-50.8--5))-(-5+((-5*-50.8)*(((-5--5)+(-50.8--5))+-50.8))))-(-5+-5)))*-5)))/-5)--5)+(-5*(((-50.8*(-50.8-(-5/-5)))*(-50.8-(-50.8/(-5*-50.8))))-(-5/-5)))))</f>
        <v>-660813.24</v>
      </c>
      <c r="C4921" t="n" s="0">
        <v>-660813.24</v>
      </c>
    </row>
    <row r="4922">
      <c r="A4922" t="n" s="0">
        <v>-50.79</v>
      </c>
      <c r="B4922" t="n" s="0">
        <f>(-5-((((-5*(-5/((-5/(((-5*(-50.79--5))-(-5+((-5*-50.79)*(((-5--5)+(-50.79--5))+-50.79))))-(-5+-5)))*-5)))/-5)--5)+(-5*(((-50.79*(-50.79-(-5/-5)))*(-50.79-(-50.79/(-5*-50.79))))-(-5/-5)))))</f>
        <v>-660424.158395</v>
      </c>
      <c r="C4922" t="n" s="0">
        <v>-660424.158395</v>
      </c>
    </row>
    <row r="4923">
      <c r="A4923" t="n" s="0">
        <v>-50.78</v>
      </c>
      <c r="B4923" t="n" s="0">
        <f>(-5-((((-5*(-5/((-5/(((-5*(-50.78--5))-(-5+((-5*-50.78)*(((-5--5)+(-50.78--5))+-50.78))))-(-5+-5)))*-5)))/-5)--5)+(-5*(((-50.78*(-50.78-(-5/-5)))*(-50.78-(-50.78/(-5*-50.78))))-(-5/-5)))))</f>
        <v>-660035.2295599999</v>
      </c>
      <c r="C4923" t="n" s="0">
        <v>-660035.22956</v>
      </c>
    </row>
    <row r="4924">
      <c r="A4924" t="n" s="0">
        <v>-50.77</v>
      </c>
      <c r="B4924" t="n" s="0">
        <f>(-5-((((-5*(-5/((-5/(((-5*(-50.77--5))-(-5+((-5*-50.77)*(((-5--5)+(-50.77--5))+-50.77))))-(-5+-5)))*-5)))/-5)--5)+(-5*(((-50.77*(-50.77-(-5/-5)))*(-50.77-(-50.77/(-5*-50.77))))-(-5/-5)))))</f>
        <v>-659646.453465</v>
      </c>
      <c r="C4924" t="n" s="0">
        <v>-659646.4534650001</v>
      </c>
    </row>
    <row r="4925">
      <c r="A4925" t="n" s="0">
        <v>-50.76</v>
      </c>
      <c r="B4925" t="n" s="0">
        <f>(-5-((((-5*(-5/((-5/(((-5*(-50.76--5))-(-5+((-5*-50.76)*(((-5--5)+(-50.76--5))+-50.76))))-(-5+-5)))*-5)))/-5)--5)+(-5*(((-50.76*(-50.76-(-5/-5)))*(-50.76-(-50.76/(-5*-50.76))))-(-5/-5)))))</f>
        <v>-659257.83008</v>
      </c>
      <c r="C4925" t="n" s="0">
        <v>-659257.83008</v>
      </c>
    </row>
    <row r="4926">
      <c r="A4926" t="n" s="0">
        <v>-50.75</v>
      </c>
      <c r="B4926" t="n" s="0">
        <f>(-5-((((-5*(-5/((-5/(((-5*(-50.75--5))-(-5+((-5*-50.75)*(((-5--5)+(-50.75--5))+-50.75))))-(-5+-5)))*-5)))/-5)--5)+(-5*(((-50.75*(-50.75-(-5/-5)))*(-50.75-(-50.75/(-5*-50.75))))-(-5/-5)))))</f>
        <v>-658869.359375</v>
      </c>
      <c r="C4926" t="n" s="0">
        <v>-658869.359375</v>
      </c>
    </row>
    <row r="4927">
      <c r="A4927" t="n" s="0">
        <v>-50.74</v>
      </c>
      <c r="B4927" t="n" s="0">
        <f>(-5-((((-5*(-5/((-5/(((-5*(-50.74--5))-(-5+((-5*-50.74)*(((-5--5)+(-50.74--5))+-50.74))))-(-5+-5)))*-5)))/-5)--5)+(-5*(((-50.74*(-50.74-(-5/-5)))*(-50.74-(-50.74/(-5*-50.74))))-(-5/-5)))))</f>
        <v>-658481.04132</v>
      </c>
      <c r="C4927" t="n" s="0">
        <v>-658481.0413200001</v>
      </c>
    </row>
    <row r="4928">
      <c r="A4928" t="n" s="0">
        <v>-50.73</v>
      </c>
      <c r="B4928" t="n" s="0">
        <f>(-5-((((-5*(-5/((-5/(((-5*(-50.73--5))-(-5+((-5*-50.73)*(((-5--5)+(-50.73--5))+-50.73))))-(-5+-5)))*-5)))/-5)--5)+(-5*(((-50.73*(-50.73-(-5/-5)))*(-50.73-(-50.73/(-5*-50.73))))-(-5/-5)))))</f>
        <v>-658092.875885</v>
      </c>
      <c r="C4928" t="n" s="0">
        <v>-658092.8758849998</v>
      </c>
    </row>
    <row r="4929">
      <c r="A4929" t="n" s="0">
        <v>-50.72</v>
      </c>
      <c r="B4929" t="n" s="0">
        <f>(-5-((((-5*(-5/((-5/(((-5*(-50.72--5))-(-5+((-5*-50.72)*(((-5--5)+(-50.72--5))+-50.72))))-(-5+-5)))*-5)))/-5)--5)+(-5*(((-50.72*(-50.72-(-5/-5)))*(-50.72-(-50.72/(-5*-50.72))))-(-5/-5)))))</f>
        <v>-657704.86304</v>
      </c>
      <c r="C4929" t="n" s="0">
        <v>-657704.86304</v>
      </c>
    </row>
    <row r="4930">
      <c r="A4930" t="n" s="0">
        <v>-50.71</v>
      </c>
      <c r="B4930" t="n" s="0">
        <f>(-5-((((-5*(-5/((-5/(((-5*(-50.71--5))-(-5+((-5*-50.71)*(((-5--5)+(-50.71--5))+-50.71))))-(-5+-5)))*-5)))/-5)--5)+(-5*(((-50.71*(-50.71-(-5/-5)))*(-50.71-(-50.71/(-5*-50.71))))-(-5/-5)))))</f>
        <v>-657317.0027549999</v>
      </c>
      <c r="C4930" t="n" s="0">
        <v>-657317.002755</v>
      </c>
    </row>
    <row r="4931">
      <c r="A4931" t="n" s="0">
        <v>-50.7</v>
      </c>
      <c r="B4931" t="n" s="0">
        <f>(-5-((((-5*(-5/((-5/(((-5*(-50.7--5))-(-5+((-5*-50.7)*(((-5--5)+(-50.7--5))+-50.7))))-(-5+-5)))*-5)))/-5)--5)+(-5*(((-50.7*(-50.7-(-5/-5)))*(-50.7-(-50.7/(-5*-50.7))))-(-5/-5)))))</f>
        <v>-656929.2949999999</v>
      </c>
      <c r="C4931" t="n" s="0">
        <v>-656929.295</v>
      </c>
    </row>
    <row r="4932">
      <c r="A4932" t="n" s="0">
        <v>-50.69</v>
      </c>
      <c r="B4932" t="n" s="0">
        <f>(-5-((((-5*(-5/((-5/(((-5*(-50.69--5))-(-5+((-5*-50.69)*(((-5--5)+(-50.69--5))+-50.69))))-(-5+-5)))*-5)))/-5)--5)+(-5*(((-50.69*(-50.69-(-5/-5)))*(-50.69-(-50.69/(-5*-50.69))))-(-5/-5)))))</f>
        <v>-656541.7397449999</v>
      </c>
      <c r="C4932" t="n" s="0">
        <v>-656541.7397449998</v>
      </c>
    </row>
    <row r="4933">
      <c r="A4933" t="n" s="0">
        <v>-50.68</v>
      </c>
      <c r="B4933" t="n" s="0">
        <f>(-5-((((-5*(-5/((-5/(((-5*(-50.68--5))-(-5+((-5*-50.68)*(((-5--5)+(-50.68--5))+-50.68))))-(-5+-5)))*-5)))/-5)--5)+(-5*(((-50.68*(-50.68-(-5/-5)))*(-50.68-(-50.68/(-5*-50.68))))-(-5/-5)))))</f>
        <v>-656154.3369600001</v>
      </c>
      <c r="C4933" t="n" s="0">
        <v>-656154.3369600001</v>
      </c>
    </row>
    <row r="4934">
      <c r="A4934" t="n" s="0">
        <v>-50.67</v>
      </c>
      <c r="B4934" t="n" s="0">
        <f>(-5-((((-5*(-5/((-5/(((-5*(-50.67--5))-(-5+((-5*-50.67)*(((-5--5)+(-50.67--5))+-50.67))))-(-5+-5)))*-5)))/-5)--5)+(-5*(((-50.67*(-50.67-(-5/-5)))*(-50.67-(-50.67/(-5*-50.67))))-(-5/-5)))))</f>
        <v>-655767.086615</v>
      </c>
      <c r="C4934" t="n" s="0">
        <v>-655767.0866150002</v>
      </c>
    </row>
    <row r="4935">
      <c r="A4935" t="n" s="0">
        <v>-50.66</v>
      </c>
      <c r="B4935" t="n" s="0">
        <f>(-5-((((-5*(-5/((-5/(((-5*(-50.66--5))-(-5+((-5*-50.66)*(((-5--5)+(-50.66--5))+-50.66))))-(-5+-5)))*-5)))/-5)--5)+(-5*(((-50.66*(-50.66-(-5/-5)))*(-50.66-(-50.66/(-5*-50.66))))-(-5/-5)))))</f>
        <v>-655379.98868</v>
      </c>
      <c r="C4935" t="n" s="0">
        <v>-655379.9886799998</v>
      </c>
    </row>
    <row r="4936">
      <c r="A4936" t="n" s="0">
        <v>-50.65</v>
      </c>
      <c r="B4936" t="n" s="0">
        <f>(-5-((((-5*(-5/((-5/(((-5*(-50.65--5))-(-5+((-5*-50.65)*(((-5--5)+(-50.65--5))+-50.65))))-(-5+-5)))*-5)))/-5)--5)+(-5*(((-50.65*(-50.65-(-5/-5)))*(-50.65-(-50.65/(-5*-50.65))))-(-5/-5)))))</f>
        <v>-654993.043125</v>
      </c>
      <c r="C4936" t="n" s="0">
        <v>-654993.0431249999</v>
      </c>
    </row>
    <row r="4937">
      <c r="A4937" t="n" s="0">
        <v>-50.64</v>
      </c>
      <c r="B4937" t="n" s="0">
        <f>(-5-((((-5*(-5/((-5/(((-5*(-50.64--5))-(-5+((-5*-50.64)*(((-5--5)+(-50.64--5))+-50.64))))-(-5+-5)))*-5)))/-5)--5)+(-5*(((-50.64*(-50.64-(-5/-5)))*(-50.64-(-50.64/(-5*-50.64))))-(-5/-5)))))</f>
        <v>-654606.24992</v>
      </c>
      <c r="C4937" t="n" s="0">
        <v>-654606.2499200001</v>
      </c>
    </row>
    <row r="4938">
      <c r="A4938" t="n" s="0">
        <v>-50.63</v>
      </c>
      <c r="B4938" t="n" s="0">
        <f>(-5-((((-5*(-5/((-5/(((-5*(-50.63--5))-(-5+((-5*-50.63)*(((-5--5)+(-50.63--5))+-50.63))))-(-5+-5)))*-5)))/-5)--5)+(-5*(((-50.63*(-50.63-(-5/-5)))*(-50.63-(-50.63/(-5*-50.63))))-(-5/-5)))))</f>
        <v>-654219.6090350001</v>
      </c>
      <c r="C4938" t="n" s="0">
        <v>-654219.6090350001</v>
      </c>
    </row>
    <row r="4939">
      <c r="A4939" t="n" s="0">
        <v>-50.62</v>
      </c>
      <c r="B4939" t="n" s="0">
        <f>(-5-((((-5*(-5/((-5/(((-5*(-50.62--5))-(-5+((-5*-50.62)*(((-5--5)+(-50.62--5))+-50.62))))-(-5+-5)))*-5)))/-5)--5)+(-5*(((-50.62*(-50.62-(-5/-5)))*(-50.62-(-50.62/(-5*-50.62))))-(-5/-5)))))</f>
        <v>-653833.12044</v>
      </c>
      <c r="C4939" t="n" s="0">
        <v>-653833.1204399999</v>
      </c>
    </row>
    <row r="4940">
      <c r="A4940" t="n" s="0">
        <v>-50.61</v>
      </c>
      <c r="B4940" t="n" s="0">
        <f>(-5-((((-5*(-5/((-5/(((-5*(-50.61--5))-(-5+((-5*-50.61)*(((-5--5)+(-50.61--5))+-50.61))))-(-5+-5)))*-5)))/-5)--5)+(-5*(((-50.61*(-50.61-(-5/-5)))*(-50.61-(-50.61/(-5*-50.61))))-(-5/-5)))))</f>
        <v>-653446.784105</v>
      </c>
      <c r="C4940" t="n" s="0">
        <v>-653446.784105</v>
      </c>
    </row>
    <row r="4941">
      <c r="A4941" t="n" s="0">
        <v>-50.6</v>
      </c>
      <c r="B4941" t="n" s="0">
        <f>(-5-((((-5*(-5/((-5/(((-5*(-50.6--5))-(-5+((-5*-50.6)*(((-5--5)+(-50.6--5))+-50.6))))-(-5+-5)))*-5)))/-5)--5)+(-5*(((-50.6*(-50.6-(-5/-5)))*(-50.6-(-50.6/(-5*-50.6))))-(-5/-5)))))</f>
        <v>-653060.6</v>
      </c>
      <c r="C4941" t="n" s="0">
        <v>-653060.6000000001</v>
      </c>
    </row>
    <row r="4942">
      <c r="A4942" t="n" s="0">
        <v>-50.59</v>
      </c>
      <c r="B4942" t="n" s="0">
        <f>(-5-((((-5*(-5/((-5/(((-5*(-50.59--5))-(-5+((-5*-50.59)*(((-5--5)+(-50.59--5))+-50.59))))-(-5+-5)))*-5)))/-5)--5)+(-5*(((-50.59*(-50.59-(-5/-5)))*(-50.59-(-50.59/(-5*-50.59))))-(-5/-5)))))</f>
        <v>-652674.568095</v>
      </c>
      <c r="C4942" t="n" s="0">
        <v>-652674.5680950002</v>
      </c>
    </row>
    <row r="4943">
      <c r="A4943" t="n" s="0">
        <v>-50.58</v>
      </c>
      <c r="B4943" t="n" s="0">
        <f>(-5-((((-5*(-5/((-5/(((-5*(-50.58--5))-(-5+((-5*-50.58)*(((-5--5)+(-50.58--5))+-50.58))))-(-5+-5)))*-5)))/-5)--5)+(-5*(((-50.58*(-50.58-(-5/-5)))*(-50.58-(-50.58/(-5*-50.58))))-(-5/-5)))))</f>
        <v>-652288.68836</v>
      </c>
      <c r="C4943" t="n" s="0">
        <v>-652288.6883599999</v>
      </c>
    </row>
    <row r="4944">
      <c r="A4944" t="n" s="0">
        <v>-50.57</v>
      </c>
      <c r="B4944" t="n" s="0">
        <f>(-5-((((-5*(-5/((-5/(((-5*(-50.57--5))-(-5+((-5*-50.57)*(((-5--5)+(-50.57--5))+-50.57))))-(-5+-5)))*-5)))/-5)--5)+(-5*(((-50.57*(-50.57-(-5/-5)))*(-50.57-(-50.57/(-5*-50.57))))-(-5/-5)))))</f>
        <v>-651902.960765</v>
      </c>
      <c r="C4944" t="n" s="0">
        <v>-651902.960765</v>
      </c>
    </row>
    <row r="4945">
      <c r="A4945" t="n" s="0">
        <v>-50.56</v>
      </c>
      <c r="B4945" t="n" s="0">
        <f>(-5-((((-5*(-5/((-5/(((-5*(-50.56--5))-(-5+((-5*-50.56)*(((-5--5)+(-50.56--5))+-50.56))))-(-5+-5)))*-5)))/-5)--5)+(-5*(((-50.56*(-50.56-(-5/-5)))*(-50.56-(-50.56/(-5*-50.56))))-(-5/-5)))))</f>
        <v>-651517.38528</v>
      </c>
      <c r="C4945" t="n" s="0">
        <v>-651517.3852800002</v>
      </c>
    </row>
    <row r="4946">
      <c r="A4946" t="n" s="0">
        <v>-50.55</v>
      </c>
      <c r="B4946" t="n" s="0">
        <f>(-5-((((-5*(-5/((-5/(((-5*(-50.55--5))-(-5+((-5*-50.55)*(((-5--5)+(-50.55--5))+-50.55))))-(-5+-5)))*-5)))/-5)--5)+(-5*(((-50.55*(-50.55-(-5/-5)))*(-50.55-(-50.55/(-5*-50.55))))-(-5/-5)))))</f>
        <v>-651131.9618749999</v>
      </c>
      <c r="C4946" t="n" s="0">
        <v>-651131.9618749999</v>
      </c>
    </row>
    <row r="4947">
      <c r="A4947" t="n" s="0">
        <v>-50.54</v>
      </c>
      <c r="B4947" t="n" s="0">
        <f>(-5-((((-5*(-5/((-5/(((-5*(-50.54--5))-(-5+((-5*-50.54)*(((-5--5)+(-50.54--5))+-50.54))))-(-5+-5)))*-5)))/-5)--5)+(-5*(((-50.54*(-50.54-(-5/-5)))*(-50.54-(-50.54/(-5*-50.54))))-(-5/-5)))))</f>
        <v>-650746.6905200001</v>
      </c>
      <c r="C4947" t="n" s="0">
        <v>-650746.69052</v>
      </c>
    </row>
    <row r="4948">
      <c r="A4948" t="n" s="0">
        <v>-50.53</v>
      </c>
      <c r="B4948" t="n" s="0">
        <f>(-5-((((-5*(-5/((-5/(((-5*(-50.53--5))-(-5+((-5*-50.53)*(((-5--5)+(-50.53--5))+-50.53))))-(-5+-5)))*-5)))/-5)--5)+(-5*(((-50.53*(-50.53-(-5/-5)))*(-50.53-(-50.53/(-5*-50.53))))-(-5/-5)))))</f>
        <v>-650361.571185</v>
      </c>
      <c r="C4948" t="n" s="0">
        <v>-650361.571185</v>
      </c>
    </row>
    <row r="4949">
      <c r="A4949" t="n" s="0">
        <v>-50.52</v>
      </c>
      <c r="B4949" t="n" s="0">
        <f>(-5-((((-5*(-5/((-5/(((-5*(-50.52--5))-(-5+((-5*-50.52)*(((-5--5)+(-50.52--5))+-50.52))))-(-5+-5)))*-5)))/-5)--5)+(-5*(((-50.52*(-50.52-(-5/-5)))*(-50.52-(-50.52/(-5*-50.52))))-(-5/-5)))))</f>
        <v>-649976.60384</v>
      </c>
      <c r="C4949" t="n" s="0">
        <v>-649976.6038400001</v>
      </c>
    </row>
    <row r="4950">
      <c r="A4950" t="n" s="0">
        <v>-50.51</v>
      </c>
      <c r="B4950" t="n" s="0">
        <f>(-5-((((-5*(-5/((-5/(((-5*(-50.51--5))-(-5+((-5*-50.51)*(((-5--5)+(-50.51--5))+-50.51))))-(-5+-5)))*-5)))/-5)--5)+(-5*(((-50.51*(-50.51-(-5/-5)))*(-50.51-(-50.51/(-5*-50.51))))-(-5/-5)))))</f>
        <v>-649591.788455</v>
      </c>
      <c r="C4950" t="n" s="0">
        <v>-649591.7884549999</v>
      </c>
    </row>
    <row r="4951">
      <c r="A4951" t="n" s="0">
        <v>-50.5</v>
      </c>
      <c r="B4951" t="n" s="0">
        <f>(-5-((((-5*(-5/((-5/(((-5*(-50.5--5))-(-5+((-5*-50.5)*(((-5--5)+(-50.5--5))+-50.5))))-(-5+-5)))*-5)))/-5)--5)+(-5*(((-50.5*(-50.5-(-5/-5)))*(-50.5-(-50.5/(-5*-50.5))))-(-5/-5)))))</f>
        <v>-649207.125</v>
      </c>
      <c r="C4951" t="n" s="0">
        <v>-649207.125</v>
      </c>
    </row>
    <row r="4952">
      <c r="A4952" t="n" s="0">
        <v>-50.49</v>
      </c>
      <c r="B4952" t="n" s="0">
        <f>(-5-((((-5*(-5/((-5/(((-5*(-50.49--5))-(-5+((-5*-50.49)*(((-5--5)+(-50.49--5))+-50.49))))-(-5+-5)))*-5)))/-5)--5)+(-5*(((-50.49*(-50.49-(-5/-5)))*(-50.49-(-50.49/(-5*-50.49))))-(-5/-5)))))</f>
        <v>-648822.613445</v>
      </c>
      <c r="C4952" t="n" s="0">
        <v>-648822.613445</v>
      </c>
    </row>
    <row r="4953">
      <c r="A4953" t="n" s="0">
        <v>-50.48</v>
      </c>
      <c r="B4953" t="n" s="0">
        <f>(-5-((((-5*(-5/((-5/(((-5*(-50.48--5))-(-5+((-5*-50.48)*(((-5--5)+(-50.48--5))+-50.48))))-(-5+-5)))*-5)))/-5)--5)+(-5*(((-50.48*(-50.48-(-5/-5)))*(-50.48-(-50.48/(-5*-50.48))))-(-5/-5)))))</f>
        <v>-648438.25376</v>
      </c>
      <c r="C4953" t="n" s="0">
        <v>-648438.2537599999</v>
      </c>
    </row>
    <row r="4954">
      <c r="A4954" t="n" s="0">
        <v>-50.47</v>
      </c>
      <c r="B4954" t="n" s="0">
        <f>(-5-((((-5*(-5/((-5/(((-5*(-50.47--5))-(-5+((-5*-50.47)*(((-5--5)+(-50.47--5))+-50.47))))-(-5+-5)))*-5)))/-5)--5)+(-5*(((-50.47*(-50.47-(-5/-5)))*(-50.47-(-50.47/(-5*-50.47))))-(-5/-5)))))</f>
        <v>-648054.045915</v>
      </c>
      <c r="C4954" t="n" s="0">
        <v>-648054.045915</v>
      </c>
    </row>
    <row r="4955">
      <c r="A4955" t="n" s="0">
        <v>-50.46</v>
      </c>
      <c r="B4955" t="n" s="0">
        <f>(-5-((((-5*(-5/((-5/(((-5*(-50.46--5))-(-5+((-5*-50.46)*(((-5--5)+(-50.46--5))+-50.46))))-(-5+-5)))*-5)))/-5)--5)+(-5*(((-50.46*(-50.46-(-5/-5)))*(-50.46-(-50.46/(-5*-50.46))))-(-5/-5)))))</f>
        <v>-647669.98988</v>
      </c>
      <c r="C4955" t="n" s="0">
        <v>-647669.98988</v>
      </c>
    </row>
    <row r="4956">
      <c r="A4956" t="n" s="0">
        <v>-50.45</v>
      </c>
      <c r="B4956" t="n" s="0">
        <f>(-5-((((-5*(-5/((-5/(((-5*(-50.45--5))-(-5+((-5*-50.45)*(((-5--5)+(-50.45--5))+-50.45))))-(-5+-5)))*-5)))/-5)--5)+(-5*(((-50.45*(-50.45-(-5/-5)))*(-50.45-(-50.45/(-5*-50.45))))-(-5/-5)))))</f>
        <v>-647286.0856250001</v>
      </c>
      <c r="C4956" t="n" s="0">
        <v>-647286.0856250001</v>
      </c>
    </row>
    <row r="4957">
      <c r="A4957" t="n" s="0">
        <v>-50.44</v>
      </c>
      <c r="B4957" t="n" s="0">
        <f>(-5-((((-5*(-5/((-5/(((-5*(-50.44--5))-(-5+((-5*-50.44)*(((-5--5)+(-50.44--5))+-50.44))))-(-5+-5)))*-5)))/-5)--5)+(-5*(((-50.44*(-50.44-(-5/-5)))*(-50.44-(-50.44/(-5*-50.44))))-(-5/-5)))))</f>
        <v>-646902.33312</v>
      </c>
      <c r="C4957" t="n" s="0">
        <v>-646902.3331199999</v>
      </c>
    </row>
    <row r="4958">
      <c r="A4958" t="n" s="0">
        <v>-50.43</v>
      </c>
      <c r="B4958" t="n" s="0">
        <f>(-5-((((-5*(-5/((-5/(((-5*(-50.43--5))-(-5+((-5*-50.43)*(((-5--5)+(-50.43--5))+-50.43))))-(-5+-5)))*-5)))/-5)--5)+(-5*(((-50.43*(-50.43-(-5/-5)))*(-50.43-(-50.43/(-5*-50.43))))-(-5/-5)))))</f>
        <v>-646518.732335</v>
      </c>
      <c r="C4958" t="n" s="0">
        <v>-646518.7323350001</v>
      </c>
    </row>
    <row r="4959">
      <c r="A4959" t="n" s="0">
        <v>-50.42</v>
      </c>
      <c r="B4959" t="n" s="0">
        <f>(-5-((((-5*(-5/((-5/(((-5*(-50.42--5))-(-5+((-5*-50.42)*(((-5--5)+(-50.42--5))+-50.42))))-(-5+-5)))*-5)))/-5)--5)+(-5*(((-50.42*(-50.42-(-5/-5)))*(-50.42-(-50.42/(-5*-50.42))))-(-5/-5)))))</f>
        <v>-646135.28324</v>
      </c>
      <c r="C4959" t="n" s="0">
        <v>-646135.28324</v>
      </c>
    </row>
    <row r="4960">
      <c r="A4960" t="n" s="0">
        <v>-50.41</v>
      </c>
      <c r="B4960" t="n" s="0">
        <f>(-5-((((-5*(-5/((-5/(((-5*(-50.41--5))-(-5+((-5*-50.41)*(((-5--5)+(-50.41--5))+-50.41))))-(-5+-5)))*-5)))/-5)--5)+(-5*(((-50.41*(-50.41-(-5/-5)))*(-50.41-(-50.41/(-5*-50.41))))-(-5/-5)))))</f>
        <v>-645751.985805</v>
      </c>
      <c r="C4960" t="n" s="0">
        <v>-645751.985805</v>
      </c>
    </row>
    <row r="4961">
      <c r="A4961" t="n" s="0">
        <v>-50.4</v>
      </c>
      <c r="B4961" t="n" s="0">
        <f>(-5-((((-5*(-5/((-5/(((-5*(-50.4--5))-(-5+((-5*-50.4)*(((-5--5)+(-50.4--5))+-50.4))))-(-5+-5)))*-5)))/-5)--5)+(-5*(((-50.4*(-50.4-(-5/-5)))*(-50.4-(-50.4/(-5*-50.4))))-(-5/-5)))))</f>
        <v>-645368.84</v>
      </c>
      <c r="C4961" t="n" s="0">
        <v>-645368.8399999999</v>
      </c>
    </row>
    <row r="4962">
      <c r="A4962" t="n" s="0">
        <v>-50.39</v>
      </c>
      <c r="B4962" t="n" s="0">
        <f>(-5-((((-5*(-5/((-5/(((-5*(-50.39--5))-(-5+((-5*-50.39)*(((-5--5)+(-50.39--5))+-50.39))))-(-5+-5)))*-5)))/-5)--5)+(-5*(((-50.39*(-50.39-(-5/-5)))*(-50.39-(-50.39/(-5*-50.39))))-(-5/-5)))))</f>
        <v>-644985.8457950001</v>
      </c>
      <c r="C4962" t="n" s="0">
        <v>-644985.8457950001</v>
      </c>
    </row>
    <row r="4963">
      <c r="A4963" t="n" s="0">
        <v>-50.38</v>
      </c>
      <c r="B4963" t="n" s="0">
        <f>(-5-((((-5*(-5/((-5/(((-5*(-50.38--5))-(-5+((-5*-50.38)*(((-5--5)+(-50.38--5))+-50.38))))-(-5+-5)))*-5)))/-5)--5)+(-5*(((-50.38*(-50.38-(-5/-5)))*(-50.38-(-50.38/(-5*-50.38))))-(-5/-5)))))</f>
        <v>-644603.0031600001</v>
      </c>
      <c r="C4963" t="n" s="0">
        <v>-644603.0031600001</v>
      </c>
    </row>
    <row r="4964">
      <c r="A4964" t="n" s="0">
        <v>-50.37</v>
      </c>
      <c r="B4964" t="n" s="0">
        <f>(-5-((((-5*(-5/((-5/(((-5*(-50.37--5))-(-5+((-5*-50.37)*(((-5--5)+(-50.37--5))+-50.37))))-(-5+-5)))*-5)))/-5)--5)+(-5*(((-50.37*(-50.37-(-5/-5)))*(-50.37-(-50.37/(-5*-50.37))))-(-5/-5)))))</f>
        <v>-644220.3120650001</v>
      </c>
      <c r="C4964" t="n" s="0">
        <v>-644220.312065</v>
      </c>
    </row>
    <row r="4965">
      <c r="A4965" t="n" s="0">
        <v>-50.36</v>
      </c>
      <c r="B4965" t="n" s="0">
        <f>(-5-((((-5*(-5/((-5/(((-5*(-50.36--5))-(-5+((-5*-50.36)*(((-5--5)+(-50.36--5))+-50.36))))-(-5+-5)))*-5)))/-5)--5)+(-5*(((-50.36*(-50.36-(-5/-5)))*(-50.36-(-50.36/(-5*-50.36))))-(-5/-5)))))</f>
        <v>-643837.7724799999</v>
      </c>
      <c r="C4965" t="n" s="0">
        <v>-643837.7724799999</v>
      </c>
    </row>
    <row r="4966">
      <c r="A4966" t="n" s="0">
        <v>-50.35</v>
      </c>
      <c r="B4966" t="n" s="0">
        <f>(-5-((((-5*(-5/((-5/(((-5*(-50.35--5))-(-5+((-5*-50.35)*(((-5--5)+(-50.35--5))+-50.35))))-(-5+-5)))*-5)))/-5)--5)+(-5*(((-50.35*(-50.35-(-5/-5)))*(-50.35-(-50.35/(-5*-50.35))))-(-5/-5)))))</f>
        <v>-643455.384375</v>
      </c>
      <c r="C4966" t="n" s="0">
        <v>-643455.3843750001</v>
      </c>
    </row>
    <row r="4967">
      <c r="A4967" t="n" s="0">
        <v>-50.34</v>
      </c>
      <c r="B4967" t="n" s="0">
        <f>(-5-((((-5*(-5/((-5/(((-5*(-50.34--5))-(-5+((-5*-50.34)*(((-5--5)+(-50.34--5))+-50.34))))-(-5+-5)))*-5)))/-5)--5)+(-5*(((-50.34*(-50.34-(-5/-5)))*(-50.34-(-50.34/(-5*-50.34))))-(-5/-5)))))</f>
        <v>-643073.1477199999</v>
      </c>
      <c r="C4967" t="n" s="0">
        <v>-643073.1477200002</v>
      </c>
    </row>
    <row r="4968">
      <c r="A4968" t="n" s="0">
        <v>-50.33</v>
      </c>
      <c r="B4968" t="n" s="0">
        <f>(-5-((((-5*(-5/((-5/(((-5*(-50.33--5))-(-5+((-5*-50.33)*(((-5--5)+(-50.33--5))+-50.33))))-(-5+-5)))*-5)))/-5)--5)+(-5*(((-50.33*(-50.33-(-5/-5)))*(-50.33-(-50.33/(-5*-50.33))))-(-5/-5)))))</f>
        <v>-642691.062485</v>
      </c>
      <c r="C4968" t="n" s="0">
        <v>-642691.0624849999</v>
      </c>
    </row>
    <row r="4969">
      <c r="A4969" t="n" s="0">
        <v>-50.32</v>
      </c>
      <c r="B4969" t="n" s="0">
        <f>(-5-((((-5*(-5/((-5/(((-5*(-50.32--5))-(-5+((-5*-50.32)*(((-5--5)+(-50.32--5))+-50.32))))-(-5+-5)))*-5)))/-5)--5)+(-5*(((-50.32*(-50.32-(-5/-5)))*(-50.32-(-50.32/(-5*-50.32))))-(-5/-5)))))</f>
        <v>-642309.12864</v>
      </c>
      <c r="C4969" t="n" s="0">
        <v>-642309.1286399999</v>
      </c>
    </row>
    <row r="4970">
      <c r="A4970" t="n" s="0">
        <v>-50.31</v>
      </c>
      <c r="B4970" t="n" s="0">
        <f>(-5-((((-5*(-5/((-5/(((-5*(-50.31--5))-(-5+((-5*-50.31)*(((-5--5)+(-50.31--5))+-50.31))))-(-5+-5)))*-5)))/-5)--5)+(-5*(((-50.31*(-50.31-(-5/-5)))*(-50.31-(-50.31/(-5*-50.31))))-(-5/-5)))))</f>
        <v>-641927.3461549999</v>
      </c>
      <c r="C4970" t="n" s="0">
        <v>-641927.3461550002</v>
      </c>
    </row>
    <row r="4971">
      <c r="A4971" t="n" s="0">
        <v>-50.3</v>
      </c>
      <c r="B4971" t="n" s="0">
        <f>(-5-((((-5*(-5/((-5/(((-5*(-50.3--5))-(-5+((-5*-50.3)*(((-5--5)+(-50.3--5))+-50.3))))-(-5+-5)))*-5)))/-5)--5)+(-5*(((-50.3*(-50.3-(-5/-5)))*(-50.3-(-50.3/(-5*-50.3))))-(-5/-5)))))</f>
        <v>-641545.715</v>
      </c>
      <c r="C4971" t="n" s="0">
        <v>-641545.715</v>
      </c>
    </row>
    <row r="4972">
      <c r="A4972" t="n" s="0">
        <v>-50.29</v>
      </c>
      <c r="B4972" t="n" s="0">
        <f>(-5-((((-5*(-5/((-5/(((-5*(-50.29--5))-(-5+((-5*-50.29)*(((-5--5)+(-50.29--5))+-50.29))))-(-5+-5)))*-5)))/-5)--5)+(-5*(((-50.29*(-50.29-(-5/-5)))*(-50.29-(-50.29/(-5*-50.29))))-(-5/-5)))))</f>
        <v>-641164.235145</v>
      </c>
      <c r="C4972" t="n" s="0">
        <v>-641164.2351449999</v>
      </c>
    </row>
    <row r="4973">
      <c r="A4973" t="n" s="0">
        <v>-50.28</v>
      </c>
      <c r="B4973" t="n" s="0">
        <f>(-5-((((-5*(-5/((-5/(((-5*(-50.28--5))-(-5+((-5*-50.28)*(((-5--5)+(-50.28--5))+-50.28))))-(-5+-5)))*-5)))/-5)--5)+(-5*(((-50.28*(-50.28-(-5/-5)))*(-50.28-(-50.28/(-5*-50.28))))-(-5/-5)))))</f>
        <v>-640782.90656</v>
      </c>
      <c r="C4973" t="n" s="0">
        <v>-640782.90656</v>
      </c>
    </row>
    <row r="4974">
      <c r="A4974" t="n" s="0">
        <v>-50.27</v>
      </c>
      <c r="B4974" t="n" s="0">
        <f>(-5-((((-5*(-5/((-5/(((-5*(-50.27--5))-(-5+((-5*-50.27)*(((-5--5)+(-50.27--5))+-50.27))))-(-5+-5)))*-5)))/-5)--5)+(-5*(((-50.27*(-50.27-(-5/-5)))*(-50.27-(-50.27/(-5*-50.27))))-(-5/-5)))))</f>
        <v>-640401.729215</v>
      </c>
      <c r="C4974" t="n" s="0">
        <v>-640401.7292150002</v>
      </c>
    </row>
    <row r="4975">
      <c r="A4975" t="n" s="0">
        <v>-50.26</v>
      </c>
      <c r="B4975" t="n" s="0">
        <f>(-5-((((-5*(-5/((-5/(((-5*(-50.26--5))-(-5+((-5*-50.26)*(((-5--5)+(-50.26--5))+-50.26))))-(-5+-5)))*-5)))/-5)--5)+(-5*(((-50.26*(-50.26-(-5/-5)))*(-50.26-(-50.26/(-5*-50.26))))-(-5/-5)))))</f>
        <v>-640020.70308</v>
      </c>
      <c r="C4975" t="n" s="0">
        <v>-640020.70308</v>
      </c>
    </row>
    <row r="4976">
      <c r="A4976" t="n" s="0">
        <v>-50.25</v>
      </c>
      <c r="B4976" t="n" s="0">
        <f>(-5-((((-5*(-5/((-5/(((-5*(-50.25--5))-(-5+((-5*-50.25)*(((-5--5)+(-50.25--5))+-50.25))))-(-5+-5)))*-5)))/-5)--5)+(-5*(((-50.25*(-50.25-(-5/-5)))*(-50.25-(-50.25/(-5*-50.25))))-(-5/-5)))))</f>
        <v>-639639.828125</v>
      </c>
      <c r="C4976" t="n" s="0">
        <v>-639639.828125</v>
      </c>
    </row>
    <row r="4977">
      <c r="A4977" t="n" s="0">
        <v>-50.24</v>
      </c>
      <c r="B4977" t="n" s="0">
        <f>(-5-((((-5*(-5/((-5/(((-5*(-50.24--5))-(-5+((-5*-50.24)*(((-5--5)+(-50.24--5))+-50.24))))-(-5+-5)))*-5)))/-5)--5)+(-5*(((-50.24*(-50.24-(-5/-5)))*(-50.24-(-50.24/(-5*-50.24))))-(-5/-5)))))</f>
        <v>-639259.1043199999</v>
      </c>
      <c r="C4977" t="n" s="0">
        <v>-639259.10432</v>
      </c>
    </row>
    <row r="4978">
      <c r="A4978" t="n" s="0">
        <v>-50.23</v>
      </c>
      <c r="B4978" t="n" s="0">
        <f>(-5-((((-5*(-5/((-5/(((-5*(-50.23--5))-(-5+((-5*-50.23)*(((-5--5)+(-50.23--5))+-50.23))))-(-5+-5)))*-5)))/-5)--5)+(-5*(((-50.23*(-50.23-(-5/-5)))*(-50.23-(-50.23/(-5*-50.23))))-(-5/-5)))))</f>
        <v>-638878.531635</v>
      </c>
      <c r="C4978" t="n" s="0">
        <v>-638878.5316349999</v>
      </c>
    </row>
    <row r="4979">
      <c r="A4979" t="n" s="0">
        <v>-50.22</v>
      </c>
      <c r="B4979" t="n" s="0">
        <f>(-5-((((-5*(-5/((-5/(((-5*(-50.22--5))-(-5+((-5*-50.22)*(((-5--5)+(-50.22--5))+-50.22))))-(-5+-5)))*-5)))/-5)--5)+(-5*(((-50.22*(-50.22-(-5/-5)))*(-50.22-(-50.22/(-5*-50.22))))-(-5/-5)))))</f>
        <v>-638498.1100399999</v>
      </c>
      <c r="C4979" t="n" s="0">
        <v>-638498.11004</v>
      </c>
    </row>
    <row r="4980">
      <c r="A4980" t="n" s="0">
        <v>-50.21</v>
      </c>
      <c r="B4980" t="n" s="0">
        <f>(-5-((((-5*(-5/((-5/(((-5*(-50.21--5))-(-5+((-5*-50.21)*(((-5--5)+(-50.21--5))+-50.21))))-(-5+-5)))*-5)))/-5)--5)+(-5*(((-50.21*(-50.21-(-5/-5)))*(-50.21-(-50.21/(-5*-50.21))))-(-5/-5)))))</f>
        <v>-638117.8395049999</v>
      </c>
      <c r="C4980" t="n" s="0">
        <v>-638117.839505</v>
      </c>
    </row>
    <row r="4981">
      <c r="A4981" t="n" s="0">
        <v>-50.2</v>
      </c>
      <c r="B4981" t="n" s="0">
        <f>(-5-((((-5*(-5/((-5/(((-5*(-50.2--5))-(-5+((-5*-50.2)*(((-5--5)+(-50.2--5))+-50.2))))-(-5+-5)))*-5)))/-5)--5)+(-5*(((-50.2*(-50.2-(-5/-5)))*(-50.2-(-50.2/(-5*-50.2))))-(-5/-5)))))</f>
        <v>-637737.72</v>
      </c>
      <c r="C4981" t="n" s="0">
        <v>-637737.72</v>
      </c>
    </row>
    <row r="4982">
      <c r="A4982" t="n" s="0">
        <v>-50.19</v>
      </c>
      <c r="B4982" t="n" s="0">
        <f>(-5-((((-5*(-5/((-5/(((-5*(-50.19--5))-(-5+((-5*-50.19)*(((-5--5)+(-50.19--5))+-50.19))))-(-5+-5)))*-5)))/-5)--5)+(-5*(((-50.19*(-50.19-(-5/-5)))*(-50.19-(-50.19/(-5*-50.19))))-(-5/-5)))))</f>
        <v>-637357.7514950001</v>
      </c>
      <c r="C4982" t="n" s="0">
        <v>-637357.7514949999</v>
      </c>
    </row>
    <row r="4983">
      <c r="A4983" t="n" s="0">
        <v>-50.18</v>
      </c>
      <c r="B4983" t="n" s="0">
        <f>(-5-((((-5*(-5/((-5/(((-5*(-50.18--5))-(-5+((-5*-50.18)*(((-5--5)+(-50.18--5))+-50.18))))-(-5+-5)))*-5)))/-5)--5)+(-5*(((-50.18*(-50.18-(-5/-5)))*(-50.18-(-50.18/(-5*-50.18))))-(-5/-5)))))</f>
        <v>-636977.93396</v>
      </c>
      <c r="C4983" t="n" s="0">
        <v>-636977.93396</v>
      </c>
    </row>
    <row r="4984">
      <c r="A4984" t="n" s="0">
        <v>-50.17</v>
      </c>
      <c r="B4984" t="n" s="0">
        <f>(-5-((((-5*(-5/((-5/(((-5*(-50.17--5))-(-5+((-5*-50.17)*(((-5--5)+(-50.17--5))+-50.17))))-(-5+-5)))*-5)))/-5)--5)+(-5*(((-50.17*(-50.17-(-5/-5)))*(-50.17-(-50.17/(-5*-50.17))))-(-5/-5)))))</f>
        <v>-636598.267365</v>
      </c>
      <c r="C4984" t="n" s="0">
        <v>-636598.2673650001</v>
      </c>
    </row>
    <row r="4985">
      <c r="A4985" t="n" s="0">
        <v>-50.16</v>
      </c>
      <c r="B4985" t="n" s="0">
        <f>(-5-((((-5*(-5/((-5/(((-5*(-50.16--5))-(-5+((-5*-50.16)*(((-5--5)+(-50.16--5))+-50.16))))-(-5+-5)))*-5)))/-5)--5)+(-5*(((-50.16*(-50.16-(-5/-5)))*(-50.16-(-50.16/(-5*-50.16))))-(-5/-5)))))</f>
        <v>-636218.75168</v>
      </c>
      <c r="C4985" t="n" s="0">
        <v>-636218.7516799999</v>
      </c>
    </row>
    <row r="4986">
      <c r="A4986" t="n" s="0">
        <v>-50.15</v>
      </c>
      <c r="B4986" t="n" s="0">
        <f>(-5-((((-5*(-5/((-5/(((-5*(-50.15--5))-(-5+((-5*-50.15)*(((-5--5)+(-50.15--5))+-50.15))))-(-5+-5)))*-5)))/-5)--5)+(-5*(((-50.15*(-50.15-(-5/-5)))*(-50.15-(-50.15/(-5*-50.15))))-(-5/-5)))))</f>
        <v>-635839.386875</v>
      </c>
      <c r="C4986" t="n" s="0">
        <v>-635839.386875</v>
      </c>
    </row>
    <row r="4987">
      <c r="A4987" t="n" s="0">
        <v>-50.14</v>
      </c>
      <c r="B4987" t="n" s="0">
        <f>(-5-((((-5*(-5/((-5/(((-5*(-50.14--5))-(-5+((-5*-50.14)*(((-5--5)+(-50.14--5))+-50.14))))-(-5+-5)))*-5)))/-5)--5)+(-5*(((-50.14*(-50.14-(-5/-5)))*(-50.14-(-50.14/(-5*-50.14))))-(-5/-5)))))</f>
        <v>-635460.1729199999</v>
      </c>
      <c r="C4987" t="n" s="0">
        <v>-635460.17292</v>
      </c>
    </row>
    <row r="4988">
      <c r="A4988" t="n" s="0">
        <v>-50.13</v>
      </c>
      <c r="B4988" t="n" s="0">
        <f>(-5-((((-5*(-5/((-5/(((-5*(-50.13--5))-(-5+((-5*-50.13)*(((-5--5)+(-50.13--5))+-50.13))))-(-5+-5)))*-5)))/-5)--5)+(-5*(((-50.13*(-50.13-(-5/-5)))*(-50.13-(-50.13/(-5*-50.13))))-(-5/-5)))))</f>
        <v>-635081.109785</v>
      </c>
      <c r="C4988" t="n" s="0">
        <v>-635081.1097850001</v>
      </c>
    </row>
    <row r="4989">
      <c r="A4989" t="n" s="0">
        <v>-50.12</v>
      </c>
      <c r="B4989" t="n" s="0">
        <f>(-5-((((-5*(-5/((-5/(((-5*(-50.12--5))-(-5+((-5*-50.12)*(((-5--5)+(-50.12--5))+-50.12))))-(-5+-5)))*-5)))/-5)--5)+(-5*(((-50.12*(-50.12-(-5/-5)))*(-50.12-(-50.12/(-5*-50.12))))-(-5/-5)))))</f>
        <v>-634702.19744</v>
      </c>
      <c r="C4989" t="n" s="0">
        <v>-634702.1974399999</v>
      </c>
    </row>
    <row r="4990">
      <c r="A4990" t="n" s="0">
        <v>-50.11</v>
      </c>
      <c r="B4990" t="n" s="0">
        <f>(-5-((((-5*(-5/((-5/(((-5*(-50.11--5))-(-5+((-5*-50.11)*(((-5--5)+(-50.11--5))+-50.11))))-(-5+-5)))*-5)))/-5)--5)+(-5*(((-50.11*(-50.11-(-5/-5)))*(-50.11-(-50.11/(-5*-50.11))))-(-5/-5)))))</f>
        <v>-634323.4358549999</v>
      </c>
      <c r="C4990" t="n" s="0">
        <v>-634323.4358549999</v>
      </c>
    </row>
    <row r="4991">
      <c r="A4991" t="n" s="0">
        <v>-50.1</v>
      </c>
      <c r="B4991" t="n" s="0">
        <f>(-5-((((-5*(-5/((-5/(((-5*(-50.1--5))-(-5+((-5*-50.1)*(((-5--5)+(-50.1--5))+-50.1))))-(-5+-5)))*-5)))/-5)--5)+(-5*(((-50.1*(-50.1-(-5/-5)))*(-50.1-(-50.1/(-5*-50.1))))-(-5/-5)))))</f>
        <v>-633944.825</v>
      </c>
      <c r="C4991" t="n" s="0">
        <v>-633944.8250000001</v>
      </c>
    </row>
    <row r="4992">
      <c r="A4992" t="n" s="0">
        <v>-50.09</v>
      </c>
      <c r="B4992" t="n" s="0">
        <f>(-5-((((-5*(-5/((-5/(((-5*(-50.09--5))-(-5+((-5*-50.09)*(((-5--5)+(-50.09--5))+-50.09))))-(-5+-5)))*-5)))/-5)--5)+(-5*(((-50.09*(-50.09-(-5/-5)))*(-50.09-(-50.09/(-5*-50.09))))-(-5/-5)))))</f>
        <v>-633566.364845</v>
      </c>
      <c r="C4992" t="n" s="0">
        <v>-633566.3648450001</v>
      </c>
    </row>
    <row r="4993">
      <c r="A4993" t="n" s="0">
        <v>-50.08</v>
      </c>
      <c r="B4993" t="n" s="0">
        <f>(-5-((((-5*(-5/((-5/(((-5*(-50.08--5))-(-5+((-5*-50.08)*(((-5--5)+(-50.08--5))+-50.08))))-(-5+-5)))*-5)))/-5)--5)+(-5*(((-50.08*(-50.08-(-5/-5)))*(-50.08-(-50.08/(-5*-50.08))))-(-5/-5)))))</f>
        <v>-633188.0553599999</v>
      </c>
      <c r="C4993" t="n" s="0">
        <v>-633188.05536</v>
      </c>
    </row>
    <row r="4994">
      <c r="A4994" t="n" s="0">
        <v>-50.07</v>
      </c>
      <c r="B4994" t="n" s="0">
        <f>(-5-((((-5*(-5/((-5/(((-5*(-50.07--5))-(-5+((-5*-50.07)*(((-5--5)+(-50.07--5))+-50.07))))-(-5+-5)))*-5)))/-5)--5)+(-5*(((-50.07*(-50.07-(-5/-5)))*(-50.07-(-50.07/(-5*-50.07))))-(-5/-5)))))</f>
        <v>-632809.896515</v>
      </c>
      <c r="C4994" t="n" s="0">
        <v>-632809.896515</v>
      </c>
    </row>
    <row r="4995">
      <c r="A4995" t="n" s="0">
        <v>-50.06</v>
      </c>
      <c r="B4995" t="n" s="0">
        <f>(-5-((((-5*(-5/((-5/(((-5*(-50.06--5))-(-5+((-5*-50.06)*(((-5--5)+(-50.06--5))+-50.06))))-(-5+-5)))*-5)))/-5)--5)+(-5*(((-50.06*(-50.06-(-5/-5)))*(-50.06-(-50.06/(-5*-50.06))))-(-5/-5)))))</f>
        <v>-632431.88828</v>
      </c>
      <c r="C4995" t="n" s="0">
        <v>-632431.8882800002</v>
      </c>
    </row>
    <row r="4996">
      <c r="A4996" t="n" s="0">
        <v>-50.05</v>
      </c>
      <c r="B4996" t="n" s="0">
        <f>(-5-((((-5*(-5/((-5/(((-5*(-50.05--5))-(-5+((-5*-50.05)*(((-5--5)+(-50.05--5))+-50.05))))-(-5+-5)))*-5)))/-5)--5)+(-5*(((-50.05*(-50.05-(-5/-5)))*(-50.05-(-50.05/(-5*-50.05))))-(-5/-5)))))</f>
        <v>-632054.0306249999</v>
      </c>
      <c r="C4996" t="n" s="0">
        <v>-632054.0306249999</v>
      </c>
    </row>
    <row r="4997">
      <c r="A4997" t="n" s="0">
        <v>-50.04</v>
      </c>
      <c r="B4997" t="n" s="0">
        <f>(-5-((((-5*(-5/((-5/(((-5*(-50.04--5))-(-5+((-5*-50.04)*(((-5--5)+(-50.04--5))+-50.04))))-(-5+-5)))*-5)))/-5)--5)+(-5*(((-50.04*(-50.04-(-5/-5)))*(-50.04-(-50.04/(-5*-50.04))))-(-5/-5)))))</f>
        <v>-631676.32352</v>
      </c>
      <c r="C4997" t="n" s="0">
        <v>-631676.32352</v>
      </c>
    </row>
    <row r="4998">
      <c r="A4998" t="n" s="0">
        <v>-50.03</v>
      </c>
      <c r="B4998" t="n" s="0">
        <f>(-5-((((-5*(-5/((-5/(((-5*(-50.03--5))-(-5+((-5*-50.03)*(((-5--5)+(-50.03--5))+-50.03))))-(-5+-5)))*-5)))/-5)--5)+(-5*(((-50.03*(-50.03-(-5/-5)))*(-50.03-(-50.03/(-5*-50.03))))-(-5/-5)))))</f>
        <v>-631298.7669350001</v>
      </c>
      <c r="C4998" t="n" s="0">
        <v>-631298.766935</v>
      </c>
    </row>
    <row r="4999">
      <c r="A4999" t="n" s="0">
        <v>-50.02</v>
      </c>
      <c r="B4999" t="n" s="0">
        <f>(-5-((((-5*(-5/((-5/(((-5*(-50.02--5))-(-5+((-5*-50.02)*(((-5--5)+(-50.02--5))+-50.02))))-(-5+-5)))*-5)))/-5)--5)+(-5*(((-50.02*(-50.02-(-5/-5)))*(-50.02-(-50.02/(-5*-50.02))))-(-5/-5)))))</f>
        <v>-630921.36084</v>
      </c>
      <c r="C4999" t="n" s="0">
        <v>-630921.3608400002</v>
      </c>
    </row>
    <row r="5000">
      <c r="A5000" t="n" s="0">
        <v>-50.01</v>
      </c>
      <c r="B5000" t="n" s="0">
        <f>(-5-((((-5*(-5/((-5/(((-5*(-50.01--5))-(-5+((-5*-50.01)*(((-5--5)+(-50.01--5))+-50.01))))-(-5+-5)))*-5)))/-5)--5)+(-5*(((-50.01*(-50.01-(-5/-5)))*(-50.01-(-50.01/(-5*-50.01))))-(-5/-5)))))</f>
        <v>-630544.105205</v>
      </c>
      <c r="C5000" t="n" s="0">
        <v>-630544.1052049999</v>
      </c>
    </row>
    <row r="5001">
      <c r="A5001" t="n" s="0">
        <v>-50.0</v>
      </c>
      <c r="B5001" t="n" s="0">
        <f>(-5-((((-5*(-5/((-5/(((-5*(-50--5))-(-5+((-5*-50)*(((-5--5)+(-50--5))+-50))))-(-5+-5)))*-5)))/-5)--5)+(-5*(((-50*(-50-(-5/-5)))*(-50-(-50/(-5*-50))))-(-5/-5)))))</f>
        <v>-630167.0</v>
      </c>
      <c r="C5001" t="n" s="0">
        <v>-630167.0</v>
      </c>
    </row>
    <row r="5002">
      <c r="A5002" t="n" s="0">
        <v>-49.99</v>
      </c>
      <c r="B5002" t="n" s="0">
        <f>(-5-((((-5*(-5/((-5/(((-5*(-49.99--5))-(-5+((-5*-49.99)*(((-5--5)+(-49.99--5))+-49.99))))-(-5+-5)))*-5)))/-5)--5)+(-5*(((-49.99*(-49.99-(-5/-5)))*(-49.99-(-49.99/(-5*-49.99))))-(-5/-5)))))</f>
        <v>-629790.0451949999</v>
      </c>
      <c r="C5002" t="n" s="0">
        <v>-629790.0451950001</v>
      </c>
    </row>
    <row r="5003">
      <c r="A5003" t="n" s="0">
        <v>-49.98</v>
      </c>
      <c r="B5003" t="n" s="0">
        <f>(-5-((((-5*(-5/((-5/(((-5*(-49.98--5))-(-5+((-5*-49.98)*(((-5--5)+(-49.98--5))+-49.98))))-(-5+-5)))*-5)))/-5)--5)+(-5*(((-49.98*(-49.98-(-5/-5)))*(-49.98-(-49.98/(-5*-49.98))))-(-5/-5)))))</f>
        <v>-629413.24076</v>
      </c>
      <c r="C5003" t="n" s="0">
        <v>-629413.2407599998</v>
      </c>
    </row>
    <row r="5004">
      <c r="A5004" t="n" s="0">
        <v>-49.97</v>
      </c>
      <c r="B5004" t="n" s="0">
        <f>(-5-((((-5*(-5/((-5/(((-5*(-49.97--5))-(-5+((-5*-49.97)*(((-5--5)+(-49.97--5))+-49.97))))-(-5+-5)))*-5)))/-5)--5)+(-5*(((-49.97*(-49.97-(-5/-5)))*(-49.97-(-49.97/(-5*-49.97))))-(-5/-5)))))</f>
        <v>-629036.5866650001</v>
      </c>
      <c r="C5004" t="n" s="0">
        <v>-629036.586665</v>
      </c>
    </row>
    <row r="5005">
      <c r="A5005" t="n" s="0">
        <v>-49.96</v>
      </c>
      <c r="B5005" t="n" s="0">
        <f>(-5-((((-5*(-5/((-5/(((-5*(-49.96--5))-(-5+((-5*-49.96)*(((-5--5)+(-49.96--5))+-49.96))))-(-5+-5)))*-5)))/-5)--5)+(-5*(((-49.96*(-49.96-(-5/-5)))*(-49.96-(-49.96/(-5*-49.96))))-(-5/-5)))))</f>
        <v>-628660.08288</v>
      </c>
      <c r="C5005" t="n" s="0">
        <v>-628660.0828800001</v>
      </c>
    </row>
    <row r="5006">
      <c r="A5006" t="n" s="0">
        <v>-49.95</v>
      </c>
      <c r="B5006" t="n" s="0">
        <f>(-5-((((-5*(-5/((-5/(((-5*(-49.95--5))-(-5+((-5*-49.95)*(((-5--5)+(-49.95--5))+-49.95))))-(-5+-5)))*-5)))/-5)--5)+(-5*(((-49.95*(-49.95-(-5/-5)))*(-49.95-(-49.95/(-5*-49.95))))-(-5/-5)))))</f>
        <v>-628283.729375</v>
      </c>
      <c r="C5006" t="n" s="0">
        <v>-628283.7293750001</v>
      </c>
    </row>
    <row r="5007">
      <c r="A5007" t="n" s="0">
        <v>-49.94</v>
      </c>
      <c r="B5007" t="n" s="0">
        <f>(-5-((((-5*(-5/((-5/(((-5*(-49.94--5))-(-5+((-5*-49.94)*(((-5--5)+(-49.94--5))+-49.94))))-(-5+-5)))*-5)))/-5)--5)+(-5*(((-49.94*(-49.94-(-5/-5)))*(-49.94-(-49.94/(-5*-49.94))))-(-5/-5)))))</f>
        <v>-627907.52612</v>
      </c>
      <c r="C5007" t="n" s="0">
        <v>-627907.5261199998</v>
      </c>
    </row>
    <row r="5008">
      <c r="A5008" t="n" s="0">
        <v>-49.93</v>
      </c>
      <c r="B5008" t="n" s="0">
        <f>(-5-((((-5*(-5/((-5/(((-5*(-49.93--5))-(-5+((-5*-49.93)*(((-5--5)+(-49.93--5))+-49.93))))-(-5+-5)))*-5)))/-5)--5)+(-5*(((-49.93*(-49.93-(-5/-5)))*(-49.93-(-49.93/(-5*-49.93))))-(-5/-5)))))</f>
        <v>-627531.473085</v>
      </c>
      <c r="C5008" t="n" s="0">
        <v>-627531.4730850001</v>
      </c>
    </row>
    <row r="5009">
      <c r="A5009" t="n" s="0">
        <v>-49.92</v>
      </c>
      <c r="B5009" t="n" s="0">
        <f>(-5-((((-5*(-5/((-5/(((-5*(-49.92--5))-(-5+((-5*-49.92)*(((-5--5)+(-49.92--5))+-49.92))))-(-5+-5)))*-5)))/-5)--5)+(-5*(((-49.92*(-49.92-(-5/-5)))*(-49.92-(-49.92/(-5*-49.92))))-(-5/-5)))))</f>
        <v>-627155.57024</v>
      </c>
      <c r="C5009" t="n" s="0">
        <v>-627155.57024</v>
      </c>
    </row>
    <row r="5010">
      <c r="A5010" t="n" s="0">
        <v>-49.91</v>
      </c>
      <c r="B5010" t="n" s="0">
        <f>(-5-((((-5*(-5/((-5/(((-5*(-49.91--5))-(-5+((-5*-49.91)*(((-5--5)+(-49.91--5))+-49.91))))-(-5+-5)))*-5)))/-5)--5)+(-5*(((-49.91*(-49.91-(-5/-5)))*(-49.91-(-49.91/(-5*-49.91))))-(-5/-5)))))</f>
        <v>-626779.817555</v>
      </c>
      <c r="C5010" t="n" s="0">
        <v>-626779.8175549998</v>
      </c>
    </row>
    <row r="5011">
      <c r="A5011" t="n" s="0">
        <v>-49.9</v>
      </c>
      <c r="B5011" t="n" s="0">
        <f>(-5-((((-5*(-5/((-5/(((-5*(-49.9--5))-(-5+((-5*-49.9)*(((-5--5)+(-49.9--5))+-49.9))))-(-5+-5)))*-5)))/-5)--5)+(-5*(((-49.9*(-49.9-(-5/-5)))*(-49.9-(-49.9/(-5*-49.9))))-(-5/-5)))))</f>
        <v>-626404.215</v>
      </c>
      <c r="C5011" t="n" s="0">
        <v>-626404.215</v>
      </c>
    </row>
    <row r="5012">
      <c r="A5012" t="n" s="0">
        <v>-49.89</v>
      </c>
      <c r="B5012" t="n" s="0">
        <f>(-5-((((-5*(-5/((-5/(((-5*(-49.89--5))-(-5+((-5*-49.89)*(((-5--5)+(-49.89--5))+-49.89))))-(-5+-5)))*-5)))/-5)--5)+(-5*(((-49.89*(-49.89-(-5/-5)))*(-49.89-(-49.89/(-5*-49.89))))-(-5/-5)))))</f>
        <v>-626028.762545</v>
      </c>
      <c r="C5012" t="n" s="0">
        <v>-626028.7625450001</v>
      </c>
    </row>
    <row r="5013">
      <c r="A5013" t="n" s="0">
        <v>-49.88</v>
      </c>
      <c r="B5013" t="n" s="0">
        <f>(-5-((((-5*(-5/((-5/(((-5*(-49.88--5))-(-5+((-5*-49.88)*(((-5--5)+(-49.88--5))+-49.88))))-(-5+-5)))*-5)))/-5)--5)+(-5*(((-49.88*(-49.88-(-5/-5)))*(-49.88-(-49.88/(-5*-49.88))))-(-5/-5)))))</f>
        <v>-625653.46016</v>
      </c>
      <c r="C5013" t="n" s="0">
        <v>-625653.46016</v>
      </c>
    </row>
    <row r="5014">
      <c r="A5014" t="n" s="0">
        <v>-49.87</v>
      </c>
      <c r="B5014" t="n" s="0">
        <f>(-5-((((-5*(-5/((-5/(((-5*(-49.87--5))-(-5+((-5*-49.87)*(((-5--5)+(-49.87--5))+-49.87))))-(-5+-5)))*-5)))/-5)--5)+(-5*(((-49.87*(-49.87-(-5/-5)))*(-49.87-(-49.87/(-5*-49.87))))-(-5/-5)))))</f>
        <v>-625278.307815</v>
      </c>
      <c r="C5014" t="n" s="0">
        <v>-625278.3078149998</v>
      </c>
    </row>
    <row r="5015">
      <c r="A5015" t="n" s="0">
        <v>-49.86</v>
      </c>
      <c r="B5015" t="n" s="0">
        <f>(-5-((((-5*(-5/((-5/(((-5*(-49.86--5))-(-5+((-5*-49.86)*(((-5--5)+(-49.86--5))+-49.86))))-(-5+-5)))*-5)))/-5)--5)+(-5*(((-49.86*(-49.86-(-5/-5)))*(-49.86-(-49.86/(-5*-49.86))))-(-5/-5)))))</f>
        <v>-624903.30548</v>
      </c>
      <c r="C5015" t="n" s="0">
        <v>-624903.3054799999</v>
      </c>
    </row>
    <row r="5016">
      <c r="A5016" t="n" s="0">
        <v>-49.85</v>
      </c>
      <c r="B5016" t="n" s="0">
        <f>(-5-((((-5*(-5/((-5/(((-5*(-49.85--5))-(-5+((-5*-49.85)*(((-5--5)+(-49.85--5))+-49.85))))-(-5+-5)))*-5)))/-5)--5)+(-5*(((-49.85*(-49.85-(-5/-5)))*(-49.85-(-49.85/(-5*-49.85))))-(-5/-5)))))</f>
        <v>-624528.453125</v>
      </c>
      <c r="C5016" t="n" s="0">
        <v>-624528.4531250001</v>
      </c>
    </row>
    <row r="5017">
      <c r="A5017" t="n" s="0">
        <v>-49.84</v>
      </c>
      <c r="B5017" t="n" s="0">
        <f>(-5-((((-5*(-5/((-5/(((-5*(-49.84--5))-(-5+((-5*-49.84)*(((-5--5)+(-49.84--5))+-49.84))))-(-5+-5)))*-5)))/-5)--5)+(-5*(((-49.84*(-49.84-(-5/-5)))*(-49.84-(-49.84/(-5*-49.84))))-(-5/-5)))))</f>
        <v>-624153.75072</v>
      </c>
      <c r="C5017" t="n" s="0">
        <v>-624153.7507200001</v>
      </c>
    </row>
    <row r="5018">
      <c r="A5018" t="n" s="0">
        <v>-49.83</v>
      </c>
      <c r="B5018" t="n" s="0">
        <f>(-5-((((-5*(-5/((-5/(((-5*(-49.83--5))-(-5+((-5*-49.83)*(((-5--5)+(-49.83--5))+-49.83))))-(-5+-5)))*-5)))/-5)--5)+(-5*(((-49.83*(-49.83-(-5/-5)))*(-49.83-(-49.83/(-5*-49.83))))-(-5/-5)))))</f>
        <v>-623779.198235</v>
      </c>
      <c r="C5018" t="n" s="0">
        <v>-623779.1982349999</v>
      </c>
    </row>
    <row r="5019">
      <c r="A5019" t="n" s="0">
        <v>-49.82</v>
      </c>
      <c r="B5019" t="n" s="0">
        <f>(-5-((((-5*(-5/((-5/(((-5*(-49.82--5))-(-5+((-5*-49.82)*(((-5--5)+(-49.82--5))+-49.82))))-(-5+-5)))*-5)))/-5)--5)+(-5*(((-49.82*(-49.82-(-5/-5)))*(-49.82-(-49.82/(-5*-49.82))))-(-5/-5)))))</f>
        <v>-623404.79564</v>
      </c>
      <c r="C5019" t="n" s="0">
        <v>-623404.79564</v>
      </c>
    </row>
    <row r="5020">
      <c r="A5020" t="n" s="0">
        <v>-49.81</v>
      </c>
      <c r="B5020" t="n" s="0">
        <f>(-5-((((-5*(-5/((-5/(((-5*(-49.81--5))-(-5+((-5*-49.81)*(((-5--5)+(-49.81--5))+-49.81))))-(-5+-5)))*-5)))/-5)--5)+(-5*(((-49.81*(-49.81-(-5/-5)))*(-49.81-(-49.81/(-5*-49.81))))-(-5/-5)))))</f>
        <v>-623030.542905</v>
      </c>
      <c r="C5020" t="n" s="0">
        <v>-623030.5429050002</v>
      </c>
    </row>
    <row r="5021">
      <c r="A5021" t="n" s="0">
        <v>-49.8</v>
      </c>
      <c r="B5021" t="n" s="0">
        <f>(-5-((((-5*(-5/((-5/(((-5*(-49.8--5))-(-5+((-5*-49.8)*(((-5--5)+(-49.8--5))+-49.8))))-(-5+-5)))*-5)))/-5)--5)+(-5*(((-49.8*(-49.8-(-5/-5)))*(-49.8-(-49.8/(-5*-49.8))))-(-5/-5)))))</f>
        <v>-622656.44</v>
      </c>
      <c r="C5021" t="n" s="0">
        <v>-622656.44</v>
      </c>
    </row>
    <row r="5022">
      <c r="A5022" t="n" s="0">
        <v>-49.79</v>
      </c>
      <c r="B5022" t="n" s="0">
        <f>(-5-((((-5*(-5/((-5/(((-5*(-49.79--5))-(-5+((-5*-49.79)*(((-5--5)+(-49.79--5))+-49.79))))-(-5+-5)))*-5)))/-5)--5)+(-5*(((-49.79*(-49.79-(-5/-5)))*(-49.79-(-49.79/(-5*-49.79))))-(-5/-5)))))</f>
        <v>-622282.486895</v>
      </c>
      <c r="C5022" t="n" s="0">
        <v>-622282.486895</v>
      </c>
    </row>
    <row r="5023">
      <c r="A5023" t="n" s="0">
        <v>-49.78</v>
      </c>
      <c r="B5023" t="n" s="0">
        <f>(-5-((((-5*(-5/((-5/(((-5*(-49.78--5))-(-5+((-5*-49.78)*(((-5--5)+(-49.78--5))+-49.78))))-(-5+-5)))*-5)))/-5)--5)+(-5*(((-49.78*(-49.78-(-5/-5)))*(-49.78-(-49.78/(-5*-49.78))))-(-5/-5)))))</f>
        <v>-621908.6835599999</v>
      </c>
      <c r="C5023" t="n" s="0">
        <v>-621908.68356</v>
      </c>
    </row>
    <row r="5024">
      <c r="A5024" t="n" s="0">
        <v>-49.77</v>
      </c>
      <c r="B5024" t="n" s="0">
        <f>(-5-((((-5*(-5/((-5/(((-5*(-49.77--5))-(-5+((-5*-49.77)*(((-5--5)+(-49.77--5))+-49.77))))-(-5+-5)))*-5)))/-5)--5)+(-5*(((-49.77*(-49.77-(-5/-5)))*(-49.77-(-49.77/(-5*-49.77))))-(-5/-5)))))</f>
        <v>-621535.029965</v>
      </c>
      <c r="C5024" t="n" s="0">
        <v>-621535.0299650002</v>
      </c>
    </row>
    <row r="5025">
      <c r="A5025" t="n" s="0">
        <v>-49.76</v>
      </c>
      <c r="B5025" t="n" s="0">
        <f>(-5-((((-5*(-5/((-5/(((-5*(-49.76--5))-(-5+((-5*-49.76)*(((-5--5)+(-49.76--5))+-49.76))))-(-5+-5)))*-5)))/-5)--5)+(-5*(((-49.76*(-49.76-(-5/-5)))*(-49.76-(-49.76/(-5*-49.76))))-(-5/-5)))))</f>
        <v>-621161.52608</v>
      </c>
      <c r="C5025" t="n" s="0">
        <v>-621161.52608</v>
      </c>
    </row>
    <row r="5026">
      <c r="A5026" t="n" s="0">
        <v>-49.75</v>
      </c>
      <c r="B5026" t="n" s="0">
        <f>(-5-((((-5*(-5/((-5/(((-5*(-49.75--5))-(-5+((-5*-49.75)*(((-5--5)+(-49.75--5))+-49.75))))-(-5+-5)))*-5)))/-5)--5)+(-5*(((-49.75*(-49.75-(-5/-5)))*(-49.75-(-49.75/(-5*-49.75))))-(-5/-5)))))</f>
        <v>-620788.171875</v>
      </c>
      <c r="C5026" t="n" s="0">
        <v>-620788.171875</v>
      </c>
    </row>
    <row r="5027">
      <c r="A5027" t="n" s="0">
        <v>-49.74</v>
      </c>
      <c r="B5027" t="n" s="0">
        <f>(-5-((((-5*(-5/((-5/(((-5*(-49.74--5))-(-5+((-5*-49.74)*(((-5--5)+(-49.74--5))+-49.74))))-(-5+-5)))*-5)))/-5)--5)+(-5*(((-49.74*(-49.74-(-5/-5)))*(-49.74-(-49.74/(-5*-49.74))))-(-5/-5)))))</f>
        <v>-620414.96732</v>
      </c>
      <c r="C5027" t="n" s="0">
        <v>-620414.96732</v>
      </c>
    </row>
    <row r="5028">
      <c r="A5028" t="n" s="0">
        <v>-49.73</v>
      </c>
      <c r="B5028" t="n" s="0">
        <f>(-5-((((-5*(-5/((-5/(((-5*(-49.73--5))-(-5+((-5*-49.73)*(((-5--5)+(-49.73--5))+-49.73))))-(-5+-5)))*-5)))/-5)--5)+(-5*(((-49.73*(-49.73-(-5/-5)))*(-49.73-(-49.73/(-5*-49.73))))-(-5/-5)))))</f>
        <v>-620041.912385</v>
      </c>
      <c r="C5028" t="n" s="0">
        <v>-620041.9123849999</v>
      </c>
    </row>
    <row r="5029">
      <c r="A5029" t="n" s="0">
        <v>-49.72</v>
      </c>
      <c r="B5029" t="n" s="0">
        <f>(-5-((((-5*(-5/((-5/(((-5*(-49.72--5))-(-5+((-5*-49.72)*(((-5--5)+(-49.72--5))+-49.72))))-(-5+-5)))*-5)))/-5)--5)+(-5*(((-49.72*(-49.72-(-5/-5)))*(-49.72-(-49.72/(-5*-49.72))))-(-5/-5)))))</f>
        <v>-619669.00704</v>
      </c>
      <c r="C5029" t="n" s="0">
        <v>-619669.0070399999</v>
      </c>
    </row>
    <row r="5030">
      <c r="A5030" t="n" s="0">
        <v>-49.71</v>
      </c>
      <c r="B5030" t="n" s="0">
        <f>(-5-((((-5*(-5/((-5/(((-5*(-49.71--5))-(-5+((-5*-49.71)*(((-5--5)+(-49.71--5))+-49.71))))-(-5+-5)))*-5)))/-5)--5)+(-5*(((-49.71*(-49.71-(-5/-5)))*(-49.71-(-49.71/(-5*-49.71))))-(-5/-5)))))</f>
        <v>-619296.251255</v>
      </c>
      <c r="C5030" t="n" s="0">
        <v>-619296.251255</v>
      </c>
    </row>
    <row r="5031">
      <c r="A5031" t="n" s="0">
        <v>-49.7</v>
      </c>
      <c r="B5031" t="n" s="0">
        <f>(-5-((((-5*(-5/((-5/(((-5*(-49.7--5))-(-5+((-5*-49.7)*(((-5--5)+(-49.7--5))+-49.7))))-(-5+-5)))*-5)))/-5)--5)+(-5*(((-49.7*(-49.7-(-5/-5)))*(-49.7-(-49.7/(-5*-49.7))))-(-5/-5)))))</f>
        <v>-618923.645</v>
      </c>
      <c r="C5031" t="n" s="0">
        <v>-618923.6450000001</v>
      </c>
    </row>
    <row r="5032">
      <c r="A5032" t="n" s="0">
        <v>-49.69</v>
      </c>
      <c r="B5032" t="n" s="0">
        <f>(-5-((((-5*(-5/((-5/(((-5*(-49.69--5))-(-5+((-5*-49.69)*(((-5--5)+(-49.69--5))+-49.69))))-(-5+-5)))*-5)))/-5)--5)+(-5*(((-49.69*(-49.69-(-5/-5)))*(-49.69-(-49.69/(-5*-49.69))))-(-5/-5)))))</f>
        <v>-618551.188245</v>
      </c>
      <c r="C5032" t="n" s="0">
        <v>-618551.188245</v>
      </c>
    </row>
    <row r="5033">
      <c r="A5033" t="n" s="0">
        <v>-49.68</v>
      </c>
      <c r="B5033" t="n" s="0">
        <f>(-5-((((-5*(-5/((-5/(((-5*(-49.68--5))-(-5+((-5*-49.68)*(((-5--5)+(-49.68--5))+-49.68))))-(-5+-5)))*-5)))/-5)--5)+(-5*(((-49.68*(-49.68-(-5/-5)))*(-49.68-(-49.68/(-5*-49.68))))-(-5/-5)))))</f>
        <v>-618178.88096</v>
      </c>
      <c r="C5033" t="n" s="0">
        <v>-618178.88096</v>
      </c>
    </row>
    <row r="5034">
      <c r="A5034" t="n" s="0">
        <v>-49.67</v>
      </c>
      <c r="B5034" t="n" s="0">
        <f>(-5-((((-5*(-5/((-5/(((-5*(-49.67--5))-(-5+((-5*-49.67)*(((-5--5)+(-49.67--5))+-49.67))))-(-5+-5)))*-5)))/-5)--5)+(-5*(((-49.67*(-49.67-(-5/-5)))*(-49.67-(-49.67/(-5*-49.67))))-(-5/-5)))))</f>
        <v>-617806.7231150001</v>
      </c>
      <c r="C5034" t="n" s="0">
        <v>-617806.7231150001</v>
      </c>
    </row>
    <row r="5035">
      <c r="A5035" t="n" s="0">
        <v>-49.66</v>
      </c>
      <c r="B5035" t="n" s="0">
        <f>(-5-((((-5*(-5/((-5/(((-5*(-49.66--5))-(-5+((-5*-49.66)*(((-5--5)+(-49.66--5))+-49.66))))-(-5+-5)))*-5)))/-5)--5)+(-5*(((-49.66*(-49.66-(-5/-5)))*(-49.66-(-49.66/(-5*-49.66))))-(-5/-5)))))</f>
        <v>-617434.71468</v>
      </c>
      <c r="C5035" t="n" s="0">
        <v>-617434.7146799999</v>
      </c>
    </row>
    <row r="5036">
      <c r="A5036" t="n" s="0">
        <v>-49.65</v>
      </c>
      <c r="B5036" t="n" s="0">
        <f>(-5-((((-5*(-5/((-5/(((-5*(-49.65--5))-(-5+((-5*-49.65)*(((-5--5)+(-49.65--5))+-49.65))))-(-5+-5)))*-5)))/-5)--5)+(-5*(((-49.65*(-49.65-(-5/-5)))*(-49.65-(-49.65/(-5*-49.65))))-(-5/-5)))))</f>
        <v>-617062.855625</v>
      </c>
      <c r="C5036" t="n" s="0">
        <v>-617062.8556249999</v>
      </c>
    </row>
    <row r="5037">
      <c r="A5037" t="n" s="0">
        <v>-49.64</v>
      </c>
      <c r="B5037" t="n" s="0">
        <f>(-5-((((-5*(-5/((-5/(((-5*(-49.64--5))-(-5+((-5*-49.64)*(((-5--5)+(-49.64--5))+-49.64))))-(-5+-5)))*-5)))/-5)--5)+(-5*(((-49.64*(-49.64-(-5/-5)))*(-49.64-(-49.64/(-5*-49.64))))-(-5/-5)))))</f>
        <v>-616691.1459199999</v>
      </c>
      <c r="C5037" t="n" s="0">
        <v>-616691.14592</v>
      </c>
    </row>
    <row r="5038">
      <c r="A5038" t="n" s="0">
        <v>-49.63</v>
      </c>
      <c r="B5038" t="n" s="0">
        <f>(-5-((((-5*(-5/((-5/(((-5*(-49.63--5))-(-5+((-5*-49.63)*(((-5--5)+(-49.63--5))+-49.63))))-(-5+-5)))*-5)))/-5)--5)+(-5*(((-49.63*(-49.63-(-5/-5)))*(-49.63-(-49.63/(-5*-49.63))))-(-5/-5)))))</f>
        <v>-616319.5855350001</v>
      </c>
      <c r="C5038" t="n" s="0">
        <v>-616319.5855350001</v>
      </c>
    </row>
    <row r="5039">
      <c r="A5039" t="n" s="0">
        <v>-49.62</v>
      </c>
      <c r="B5039" t="n" s="0">
        <f>(-5-((((-5*(-5/((-5/(((-5*(-49.62--5))-(-5+((-5*-49.62)*(((-5--5)+(-49.62--5))+-49.62))))-(-5+-5)))*-5)))/-5)--5)+(-5*(((-49.62*(-49.62-(-5/-5)))*(-49.62-(-49.62/(-5*-49.62))))-(-5/-5)))))</f>
        <v>-615948.17444</v>
      </c>
      <c r="C5039" t="n" s="0">
        <v>-615948.1744399999</v>
      </c>
    </row>
    <row r="5040">
      <c r="A5040" t="n" s="0">
        <v>-49.61</v>
      </c>
      <c r="B5040" t="n" s="0">
        <f>(-5-((((-5*(-5/((-5/(((-5*(-49.61--5))-(-5+((-5*-49.61)*(((-5--5)+(-49.61--5))+-49.61))))-(-5+-5)))*-5)))/-5)--5)+(-5*(((-49.61*(-49.61-(-5/-5)))*(-49.61-(-49.61/(-5*-49.61))))-(-5/-5)))))</f>
        <v>-615576.9126050001</v>
      </c>
      <c r="C5040" t="n" s="0">
        <v>-615576.912605</v>
      </c>
    </row>
    <row r="5041">
      <c r="A5041" t="n" s="0">
        <v>-49.6</v>
      </c>
      <c r="B5041" t="n" s="0">
        <f>(-5-((((-5*(-5/((-5/(((-5*(-49.6--5))-(-5+((-5*-49.6)*(((-5--5)+(-49.6--5))+-49.6))))-(-5+-5)))*-5)))/-5)--5)+(-5*(((-49.6*(-49.6-(-5/-5)))*(-49.6-(-49.6/(-5*-49.6))))-(-5/-5)))))</f>
        <v>-615205.7999999999</v>
      </c>
      <c r="C5041" t="n" s="0">
        <v>-615205.8</v>
      </c>
    </row>
    <row r="5042">
      <c r="A5042" t="n" s="0">
        <v>-49.59</v>
      </c>
      <c r="B5042" t="n" s="0">
        <f>(-5-((((-5*(-5/((-5/(((-5*(-49.59--5))-(-5+((-5*-49.59)*(((-5--5)+(-49.59--5))+-49.59))))-(-5+-5)))*-5)))/-5)--5)+(-5*(((-49.59*(-49.59-(-5/-5)))*(-49.59-(-49.59/(-5*-49.59))))-(-5/-5)))))</f>
        <v>-614834.836595</v>
      </c>
      <c r="C5042" t="n" s="0">
        <v>-614834.8365950002</v>
      </c>
    </row>
    <row r="5043">
      <c r="A5043" t="n" s="0">
        <v>-49.58</v>
      </c>
      <c r="B5043" t="n" s="0">
        <f>(-5-((((-5*(-5/((-5/(((-5*(-49.58--5))-(-5+((-5*-49.58)*(((-5--5)+(-49.58--5))+-49.58))))-(-5+-5)))*-5)))/-5)--5)+(-5*(((-49.58*(-49.58-(-5/-5)))*(-49.58-(-49.58/(-5*-49.58))))-(-5/-5)))))</f>
        <v>-614464.02236</v>
      </c>
      <c r="C5043" t="n" s="0">
        <v>-614464.02236</v>
      </c>
    </row>
    <row r="5044">
      <c r="A5044" t="n" s="0">
        <v>-49.57</v>
      </c>
      <c r="B5044" t="n" s="0">
        <f>(-5-((((-5*(-5/((-5/(((-5*(-49.57--5))-(-5+((-5*-49.57)*(((-5--5)+(-49.57--5))+-49.57))))-(-5+-5)))*-5)))/-5)--5)+(-5*(((-49.57*(-49.57-(-5/-5)))*(-49.57-(-49.57/(-5*-49.57))))-(-5/-5)))))</f>
        <v>-614093.357265</v>
      </c>
      <c r="C5044" t="n" s="0">
        <v>-614093.357265</v>
      </c>
    </row>
    <row r="5045">
      <c r="A5045" t="n" s="0">
        <v>-49.56</v>
      </c>
      <c r="B5045" t="n" s="0">
        <f>(-5-((((-5*(-5/((-5/(((-5*(-49.56--5))-(-5+((-5*-49.56)*(((-5--5)+(-49.56--5))+-49.56))))-(-5+-5)))*-5)))/-5)--5)+(-5*(((-49.56*(-49.56-(-5/-5)))*(-49.56-(-49.56/(-5*-49.56))))-(-5/-5)))))</f>
        <v>-613722.84128</v>
      </c>
      <c r="C5045" t="n" s="0">
        <v>-613722.8412800002</v>
      </c>
    </row>
    <row r="5046">
      <c r="A5046" t="n" s="0">
        <v>-49.55</v>
      </c>
      <c r="B5046" t="n" s="0">
        <f>(-5-((((-5*(-5/((-5/(((-5*(-49.55--5))-(-5+((-5*-49.55)*(((-5--5)+(-49.55--5))+-49.55))))-(-5+-5)))*-5)))/-5)--5)+(-5*(((-49.55*(-49.55-(-5/-5)))*(-49.55-(-49.55/(-5*-49.55))))-(-5/-5)))))</f>
        <v>-613352.4743749999</v>
      </c>
      <c r="C5046" t="n" s="0">
        <v>-613352.474375</v>
      </c>
    </row>
    <row r="5047">
      <c r="A5047" t="n" s="0">
        <v>-49.54</v>
      </c>
      <c r="B5047" t="n" s="0">
        <f>(-5-((((-5*(-5/((-5/(((-5*(-49.54--5))-(-5+((-5*-49.54)*(((-5--5)+(-49.54--5))+-49.54))))-(-5+-5)))*-5)))/-5)--5)+(-5*(((-49.54*(-49.54-(-5/-5)))*(-49.54-(-49.54/(-5*-49.54))))-(-5/-5)))))</f>
        <v>-612982.25652</v>
      </c>
      <c r="C5047" t="n" s="0">
        <v>-612982.2565199999</v>
      </c>
    </row>
    <row r="5048">
      <c r="A5048" t="n" s="0">
        <v>-49.53</v>
      </c>
      <c r="B5048" t="n" s="0">
        <f>(-5-((((-5*(-5/((-5/(((-5*(-49.53--5))-(-5+((-5*-49.53)*(((-5--5)+(-49.53--5))+-49.53))))-(-5+-5)))*-5)))/-5)--5)+(-5*(((-49.53*(-49.53-(-5/-5)))*(-49.53-(-49.53/(-5*-49.53))))-(-5/-5)))))</f>
        <v>-612612.187685</v>
      </c>
      <c r="C5048" t="n" s="0">
        <v>-612612.187685</v>
      </c>
    </row>
    <row r="5049">
      <c r="A5049" t="n" s="0">
        <v>-49.52</v>
      </c>
      <c r="B5049" t="n" s="0">
        <f>(-5-((((-5*(-5/((-5/(((-5*(-49.52--5))-(-5+((-5*-49.52)*(((-5--5)+(-49.52--5))+-49.52))))-(-5+-5)))*-5)))/-5)--5)+(-5*(((-49.52*(-49.52-(-5/-5)))*(-49.52-(-49.52/(-5*-49.52))))-(-5/-5)))))</f>
        <v>-612242.26784</v>
      </c>
      <c r="C5049" t="n" s="0">
        <v>-612242.2678400002</v>
      </c>
    </row>
    <row r="5050">
      <c r="A5050" t="n" s="0">
        <v>-49.51</v>
      </c>
      <c r="B5050" t="n" s="0">
        <f>(-5-((((-5*(-5/((-5/(((-5*(-49.51--5))-(-5+((-5*-49.51)*(((-5--5)+(-49.51--5))+-49.51))))-(-5+-5)))*-5)))/-5)--5)+(-5*(((-49.51*(-49.51-(-5/-5)))*(-49.51-(-49.51/(-5*-49.51))))-(-5/-5)))))</f>
        <v>-611872.4969550001</v>
      </c>
      <c r="C5050" t="n" s="0">
        <v>-611872.496955</v>
      </c>
    </row>
    <row r="5051">
      <c r="A5051" t="n" s="0">
        <v>-49.5</v>
      </c>
      <c r="B5051" t="n" s="0">
        <f>(-5-((((-5*(-5/((-5/(((-5*(-49.5--5))-(-5+((-5*-49.5)*(((-5--5)+(-49.5--5))+-49.5))))-(-5+-5)))*-5)))/-5)--5)+(-5*(((-49.5*(-49.5-(-5/-5)))*(-49.5-(-49.5/(-5*-49.5))))-(-5/-5)))))</f>
        <v>-611502.875</v>
      </c>
      <c r="C5051" t="n" s="0">
        <v>-611502.875</v>
      </c>
    </row>
    <row r="5052">
      <c r="A5052" t="n" s="0">
        <v>-49.49</v>
      </c>
      <c r="B5052" t="n" s="0">
        <f>(-5-((((-5*(-5/((-5/(((-5*(-49.49--5))-(-5+((-5*-49.49)*(((-5--5)+(-49.49--5))+-49.49))))-(-5+-5)))*-5)))/-5)--5)+(-5*(((-49.49*(-49.49-(-5/-5)))*(-49.49-(-49.49/(-5*-49.49))))-(-5/-5)))))</f>
        <v>-611133.401945</v>
      </c>
      <c r="C5052" t="n" s="0">
        <v>-611133.4019450002</v>
      </c>
    </row>
    <row r="5053">
      <c r="A5053" t="n" s="0">
        <v>-49.48</v>
      </c>
      <c r="B5053" t="n" s="0">
        <f>(-5-((((-5*(-5/((-5/(((-5*(-49.48--5))-(-5+((-5*-49.48)*(((-5--5)+(-49.48--5))+-49.48))))-(-5+-5)))*-5)))/-5)--5)+(-5*(((-49.48*(-49.48-(-5/-5)))*(-49.48-(-49.48/(-5*-49.48))))-(-5/-5)))))</f>
        <v>-610764.07776</v>
      </c>
      <c r="C5053" t="n" s="0">
        <v>-610764.0777599998</v>
      </c>
    </row>
    <row r="5054">
      <c r="A5054" t="n" s="0">
        <v>-49.47</v>
      </c>
      <c r="B5054" t="n" s="0">
        <f>(-5-((((-5*(-5/((-5/(((-5*(-49.47--5))-(-5+((-5*-49.47)*(((-5--5)+(-49.47--5))+-49.47))))-(-5+-5)))*-5)))/-5)--5)+(-5*(((-49.47*(-49.47-(-5/-5)))*(-49.47-(-49.47/(-5*-49.47))))-(-5/-5)))))</f>
        <v>-610394.902415</v>
      </c>
      <c r="C5054" t="n" s="0">
        <v>-610394.902415</v>
      </c>
    </row>
    <row r="5055">
      <c r="A5055" t="n" s="0">
        <v>-49.46</v>
      </c>
      <c r="B5055" t="n" s="0">
        <f>(-5-((((-5*(-5/((-5/(((-5*(-49.46--5))-(-5+((-5*-49.46)*(((-5--5)+(-49.46--5))+-49.46))))-(-5+-5)))*-5)))/-5)--5)+(-5*(((-49.46*(-49.46-(-5/-5)))*(-49.46-(-49.46/(-5*-49.46))))-(-5/-5)))))</f>
        <v>-610025.87588</v>
      </c>
      <c r="C5055" t="n" s="0">
        <v>-610025.8758800001</v>
      </c>
    </row>
    <row r="5056">
      <c r="A5056" t="n" s="0">
        <v>-49.45</v>
      </c>
      <c r="B5056" t="n" s="0">
        <f>(-5-((((-5*(-5/((-5/(((-5*(-49.45--5))-(-5+((-5*-49.45)*(((-5--5)+(-49.45--5))+-49.45))))-(-5+-5)))*-5)))/-5)--5)+(-5*(((-49.45*(-49.45-(-5/-5)))*(-49.45-(-49.45/(-5*-49.45))))-(-5/-5)))))</f>
        <v>-609656.9981249999</v>
      </c>
      <c r="C5056" t="n" s="0">
        <v>-609656.998125</v>
      </c>
    </row>
    <row r="5057">
      <c r="A5057" t="n" s="0">
        <v>-49.44</v>
      </c>
      <c r="B5057" t="n" s="0">
        <f>(-5-((((-5*(-5/((-5/(((-5*(-49.44--5))-(-5+((-5*-49.44)*(((-5--5)+(-49.44--5))+-49.44))))-(-5+-5)))*-5)))/-5)--5)+(-5*(((-49.44*(-49.44-(-5/-5)))*(-49.44-(-49.44/(-5*-49.44))))-(-5/-5)))))</f>
        <v>-609288.2691200001</v>
      </c>
      <c r="C5057" t="n" s="0">
        <v>-609288.2691199998</v>
      </c>
    </row>
    <row r="5058">
      <c r="A5058" t="n" s="0">
        <v>-49.43</v>
      </c>
      <c r="B5058" t="n" s="0">
        <f>(-5-((((-5*(-5/((-5/(((-5*(-49.43--5))-(-5+((-5*-49.43)*(((-5--5)+(-49.43--5))+-49.43))))-(-5+-5)))*-5)))/-5)--5)+(-5*(((-49.43*(-49.43-(-5/-5)))*(-49.43-(-49.43/(-5*-49.43))))-(-5/-5)))))</f>
        <v>-608919.6888349999</v>
      </c>
      <c r="C5058" t="n" s="0">
        <v>-608919.688835</v>
      </c>
    </row>
    <row r="5059">
      <c r="A5059" t="n" s="0">
        <v>-49.42</v>
      </c>
      <c r="B5059" t="n" s="0">
        <f>(-5-((((-5*(-5/((-5/(((-5*(-49.42--5))-(-5+((-5*-49.42)*(((-5--5)+(-49.42--5))+-49.42))))-(-5+-5)))*-5)))/-5)--5)+(-5*(((-49.42*(-49.42-(-5/-5)))*(-49.42-(-49.42/(-5*-49.42))))-(-5/-5)))))</f>
        <v>-608551.25724</v>
      </c>
      <c r="C5059" t="n" s="0">
        <v>-608551.2572400002</v>
      </c>
    </row>
    <row r="5060">
      <c r="A5060" t="n" s="0">
        <v>-49.41</v>
      </c>
      <c r="B5060" t="n" s="0">
        <f>(-5-((((-5*(-5/((-5/(((-5*(-49.41--5))-(-5+((-5*-49.41)*(((-5--5)+(-49.41--5))+-49.41))))-(-5+-5)))*-5)))/-5)--5)+(-5*(((-49.41*(-49.41-(-5/-5)))*(-49.41-(-49.41/(-5*-49.41))))-(-5/-5)))))</f>
        <v>-608182.974305</v>
      </c>
      <c r="C5060" t="n" s="0">
        <v>-608182.9743049998</v>
      </c>
    </row>
    <row r="5061">
      <c r="A5061" t="n" s="0">
        <v>-49.4</v>
      </c>
      <c r="B5061" t="n" s="0">
        <f>(-5-((((-5*(-5/((-5/(((-5*(-49.4--5))-(-5+((-5*-49.4)*(((-5--5)+(-49.4--5))+-49.4))))-(-5+-5)))*-5)))/-5)--5)+(-5*(((-49.4*(-49.4-(-5/-5)))*(-49.4-(-49.4/(-5*-49.4))))-(-5/-5)))))</f>
        <v>-607814.84</v>
      </c>
      <c r="C5061" t="n" s="0">
        <v>-607814.8399999999</v>
      </c>
    </row>
    <row r="5062">
      <c r="A5062" t="n" s="0">
        <v>-49.39</v>
      </c>
      <c r="B5062" t="n" s="0">
        <f>(-5-((((-5*(-5/((-5/(((-5*(-49.39--5))-(-5+((-5*-49.39)*(((-5--5)+(-49.39--5))+-49.39))))-(-5+-5)))*-5)))/-5)--5)+(-5*(((-49.39*(-49.39-(-5/-5)))*(-49.39-(-49.39/(-5*-49.39))))-(-5/-5)))))</f>
        <v>-607446.854295</v>
      </c>
      <c r="C5062" t="n" s="0">
        <v>-607446.854295</v>
      </c>
    </row>
    <row r="5063">
      <c r="A5063" t="n" s="0">
        <v>-49.38</v>
      </c>
      <c r="B5063" t="n" s="0">
        <f>(-5-((((-5*(-5/((-5/(((-5*(-49.38--5))-(-5+((-5*-49.38)*(((-5--5)+(-49.38--5))+-49.38))))-(-5+-5)))*-5)))/-5)--5)+(-5*(((-49.38*(-49.38-(-5/-5)))*(-49.38-(-49.38/(-5*-49.38))))-(-5/-5)))))</f>
        <v>-607079.0171599999</v>
      </c>
      <c r="C5063" t="n" s="0">
        <v>-607079.0171600002</v>
      </c>
    </row>
    <row r="5064">
      <c r="A5064" t="n" s="0">
        <v>-49.37</v>
      </c>
      <c r="B5064" t="n" s="0">
        <f>(-5-((((-5*(-5/((-5/(((-5*(-49.37--5))-(-5+((-5*-49.37)*(((-5--5)+(-49.37--5))+-49.37))))-(-5+-5)))*-5)))/-5)--5)+(-5*(((-49.37*(-49.37-(-5/-5)))*(-49.37-(-49.37/(-5*-49.37))))-(-5/-5)))))</f>
        <v>-606711.328565</v>
      </c>
      <c r="C5064" t="n" s="0">
        <v>-606711.3285649999</v>
      </c>
    </row>
    <row r="5065">
      <c r="A5065" t="n" s="0">
        <v>-49.36</v>
      </c>
      <c r="B5065" t="n" s="0">
        <f>(-5-((((-5*(-5/((-5/(((-5*(-49.36--5))-(-5+((-5*-49.36)*(((-5--5)+(-49.36--5))+-49.36))))-(-5+-5)))*-5)))/-5)--5)+(-5*(((-49.36*(-49.36-(-5/-5)))*(-49.36-(-49.36/(-5*-49.36))))-(-5/-5)))))</f>
        <v>-606343.78848</v>
      </c>
      <c r="C5065" t="n" s="0">
        <v>-606343.78848</v>
      </c>
    </row>
    <row r="5066">
      <c r="A5066" t="n" s="0">
        <v>-49.35</v>
      </c>
      <c r="B5066" t="n" s="0">
        <f>(-5-((((-5*(-5/((-5/(((-5*(-49.35--5))-(-5+((-5*-49.35)*(((-5--5)+(-49.35--5))+-49.35))))-(-5+-5)))*-5)))/-5)--5)+(-5*(((-49.35*(-49.35-(-5/-5)))*(-49.35-(-49.35/(-5*-49.35))))-(-5/-5)))))</f>
        <v>-605976.396875</v>
      </c>
      <c r="C5066" t="n" s="0">
        <v>-605976.3968750001</v>
      </c>
    </row>
    <row r="5067">
      <c r="A5067" t="n" s="0">
        <v>-49.34</v>
      </c>
      <c r="B5067" t="n" s="0">
        <f>(-5-((((-5*(-5/((-5/(((-5*(-49.34--5))-(-5+((-5*-49.34)*(((-5--5)+(-49.34--5))+-49.34))))-(-5+-5)))*-5)))/-5)--5)+(-5*(((-49.34*(-49.34-(-5/-5)))*(-49.34-(-49.34/(-5*-49.34))))-(-5/-5)))))</f>
        <v>-605609.15372</v>
      </c>
      <c r="C5067" t="n" s="0">
        <v>-605609.1537200002</v>
      </c>
    </row>
    <row r="5068">
      <c r="A5068" t="n" s="0">
        <v>-49.33</v>
      </c>
      <c r="B5068" t="n" s="0">
        <f>(-5-((((-5*(-5/((-5/(((-5*(-49.33--5))-(-5+((-5*-49.33)*(((-5--5)+(-49.33--5))+-49.33))))-(-5+-5)))*-5)))/-5)--5)+(-5*(((-49.33*(-49.33-(-5/-5)))*(-49.33-(-49.33/(-5*-49.33))))-(-5/-5)))))</f>
        <v>-605242.058985</v>
      </c>
      <c r="C5068" t="n" s="0">
        <v>-605242.0589849999</v>
      </c>
    </row>
    <row r="5069">
      <c r="A5069" t="n" s="0">
        <v>-49.32</v>
      </c>
      <c r="B5069" t="n" s="0">
        <f>(-5-((((-5*(-5/((-5/(((-5*(-49.32--5))-(-5+((-5*-49.32)*(((-5--5)+(-49.32--5))+-49.32))))-(-5+-5)))*-5)))/-5)--5)+(-5*(((-49.32*(-49.32-(-5/-5)))*(-49.32-(-49.32/(-5*-49.32))))-(-5/-5)))))</f>
        <v>-604875.11264</v>
      </c>
      <c r="C5069" t="n" s="0">
        <v>-604875.1126400001</v>
      </c>
    </row>
    <row r="5070">
      <c r="A5070" t="n" s="0">
        <v>-49.31</v>
      </c>
      <c r="B5070" t="n" s="0">
        <f>(-5-((((-5*(-5/((-5/(((-5*(-49.31--5))-(-5+((-5*-49.31)*(((-5--5)+(-49.31--5))+-49.31))))-(-5+-5)))*-5)))/-5)--5)+(-5*(((-49.31*(-49.31-(-5/-5)))*(-49.31-(-49.31/(-5*-49.31))))-(-5/-5)))))</f>
        <v>-604508.314655</v>
      </c>
      <c r="C5070" t="n" s="0">
        <v>-604508.3146550002</v>
      </c>
    </row>
    <row r="5071">
      <c r="A5071" t="n" s="0">
        <v>-49.3</v>
      </c>
      <c r="B5071" t="n" s="0">
        <f>(-5-((((-5*(-5/((-5/(((-5*(-49.3--5))-(-5+((-5*-49.3)*(((-5--5)+(-49.3--5))+-49.3))))-(-5+-5)))*-5)))/-5)--5)+(-5*(((-49.3*(-49.3-(-5/-5)))*(-49.3-(-49.3/(-5*-49.3))))-(-5/-5)))))</f>
        <v>-604141.6649999999</v>
      </c>
      <c r="C5071" t="n" s="0">
        <v>-604141.6649999999</v>
      </c>
    </row>
    <row r="5072">
      <c r="A5072" t="n" s="0">
        <v>-49.29</v>
      </c>
      <c r="B5072" t="n" s="0">
        <f>(-5-((((-5*(-5/((-5/(((-5*(-49.29--5))-(-5+((-5*-49.29)*(((-5--5)+(-49.29--5))+-49.29))))-(-5+-5)))*-5)))/-5)--5)+(-5*(((-49.29*(-49.29-(-5/-5)))*(-49.29-(-49.29/(-5*-49.29))))-(-5/-5)))))</f>
        <v>-603775.163645</v>
      </c>
      <c r="C5072" t="n" s="0">
        <v>-603775.163645</v>
      </c>
    </row>
    <row r="5073">
      <c r="A5073" t="n" s="0">
        <v>-49.28</v>
      </c>
      <c r="B5073" t="n" s="0">
        <f>(-5-((((-5*(-5/((-5/(((-5*(-49.28--5))-(-5+((-5*-49.28)*(((-5--5)+(-49.28--5))+-49.28))))-(-5+-5)))*-5)))/-5)--5)+(-5*(((-49.28*(-49.28-(-5/-5)))*(-49.28-(-49.28/(-5*-49.28))))-(-5/-5)))))</f>
        <v>-603408.81056</v>
      </c>
      <c r="C5073" t="n" s="0">
        <v>-603408.81056</v>
      </c>
    </row>
    <row r="5074">
      <c r="A5074" t="n" s="0">
        <v>-49.27</v>
      </c>
      <c r="B5074" t="n" s="0">
        <f>(-5-((((-5*(-5/((-5/(((-5*(-49.27--5))-(-5+((-5*-49.27)*(((-5--5)+(-49.27--5))+-49.27))))-(-5+-5)))*-5)))/-5)--5)+(-5*(((-49.27*(-49.27-(-5/-5)))*(-49.27-(-49.27/(-5*-49.27))))-(-5/-5)))))</f>
        <v>-603042.605715</v>
      </c>
      <c r="C5074" t="n" s="0">
        <v>-603042.6057150001</v>
      </c>
    </row>
    <row r="5075">
      <c r="A5075" t="n" s="0">
        <v>-49.26</v>
      </c>
      <c r="B5075" t="n" s="0">
        <f>(-5-((((-5*(-5/((-5/(((-5*(-49.26--5))-(-5+((-5*-49.26)*(((-5--5)+(-49.26--5))+-49.26))))-(-5+-5)))*-5)))/-5)--5)+(-5*(((-49.26*(-49.26-(-5/-5)))*(-49.26-(-49.26/(-5*-49.26))))-(-5/-5)))))</f>
        <v>-602676.54908</v>
      </c>
      <c r="C5075" t="n" s="0">
        <v>-602676.5490799999</v>
      </c>
    </row>
    <row r="5076">
      <c r="A5076" t="n" s="0">
        <v>-49.25</v>
      </c>
      <c r="B5076" t="n" s="0">
        <f>(-5-((((-5*(-5/((-5/(((-5*(-49.25--5))-(-5+((-5*-49.25)*(((-5--5)+(-49.25--5))+-49.25))))-(-5+-5)))*-5)))/-5)--5)+(-5*(((-49.25*(-49.25-(-5/-5)))*(-49.25-(-49.25/(-5*-49.25))))-(-5/-5)))))</f>
        <v>-602310.640625</v>
      </c>
      <c r="C5076" t="n" s="0">
        <v>-602310.640625</v>
      </c>
    </row>
    <row r="5077">
      <c r="A5077" t="n" s="0">
        <v>-49.24</v>
      </c>
      <c r="B5077" t="n" s="0">
        <f>(-5-((((-5*(-5/((-5/(((-5*(-49.24--5))-(-5+((-5*-49.24)*(((-5--5)+(-49.24--5))+-49.24))))-(-5+-5)))*-5)))/-5)--5)+(-5*(((-49.24*(-49.24-(-5/-5)))*(-49.24-(-49.24/(-5*-49.24))))-(-5/-5)))))</f>
        <v>-601944.88032</v>
      </c>
      <c r="C5077" t="n" s="0">
        <v>-601944.8803200001</v>
      </c>
    </row>
    <row r="5078">
      <c r="A5078" t="n" s="0">
        <v>-49.23</v>
      </c>
      <c r="B5078" t="n" s="0">
        <f>(-5-((((-5*(-5/((-5/(((-5*(-49.23--5))-(-5+((-5*-49.23)*(((-5--5)+(-49.23--5))+-49.23))))-(-5+-5)))*-5)))/-5)--5)+(-5*(((-49.23*(-49.23-(-5/-5)))*(-49.23-(-49.23/(-5*-49.23))))-(-5/-5)))))</f>
        <v>-601579.2681349999</v>
      </c>
      <c r="C5078" t="n" s="0">
        <v>-601579.2681349998</v>
      </c>
    </row>
    <row r="5079">
      <c r="A5079" t="n" s="0">
        <v>-49.22</v>
      </c>
      <c r="B5079" t="n" s="0">
        <f>(-5-((((-5*(-5/((-5/(((-5*(-49.22--5))-(-5+((-5*-49.22)*(((-5--5)+(-49.22--5))+-49.22))))-(-5+-5)))*-5)))/-5)--5)+(-5*(((-49.22*(-49.22-(-5/-5)))*(-49.22-(-49.22/(-5*-49.22))))-(-5/-5)))))</f>
        <v>-601213.80404</v>
      </c>
      <c r="C5079" t="n" s="0">
        <v>-601213.8040400001</v>
      </c>
    </row>
    <row r="5080">
      <c r="A5080" t="n" s="0">
        <v>-49.21</v>
      </c>
      <c r="B5080" t="n" s="0">
        <f>(-5-((((-5*(-5/((-5/(((-5*(-49.21--5))-(-5+((-5*-49.21)*(((-5--5)+(-49.21--5))+-49.21))))-(-5+-5)))*-5)))/-5)--5)+(-5*(((-49.21*(-49.21-(-5/-5)))*(-49.21-(-49.21/(-5*-49.21))))-(-5/-5)))))</f>
        <v>-600848.488005</v>
      </c>
      <c r="C5080" t="n" s="0">
        <v>-600848.488005</v>
      </c>
    </row>
    <row r="5081">
      <c r="A5081" t="n" s="0">
        <v>-49.2</v>
      </c>
      <c r="B5081" t="n" s="0">
        <f>(-5-((((-5*(-5/((-5/(((-5*(-49.2--5))-(-5+((-5*-49.2)*(((-5--5)+(-49.2--5))+-49.2))))-(-5+-5)))*-5)))/-5)--5)+(-5*(((-49.2*(-49.2-(-5/-5)))*(-49.2-(-49.2/(-5*-49.2))))-(-5/-5)))))</f>
        <v>-600483.3200000001</v>
      </c>
      <c r="C5081" t="n" s="0">
        <v>-600483.3200000002</v>
      </c>
    </row>
    <row r="5082">
      <c r="A5082" t="n" s="0">
        <v>-49.19</v>
      </c>
      <c r="B5082" t="n" s="0">
        <f>(-5-((((-5*(-5/((-5/(((-5*(-49.19--5))-(-5+((-5*-49.19)*(((-5--5)+(-49.19--5))+-49.19))))-(-5+-5)))*-5)))/-5)--5)+(-5*(((-49.19*(-49.19-(-5/-5)))*(-49.19-(-49.19/(-5*-49.19))))-(-5/-5)))))</f>
        <v>-600118.299995</v>
      </c>
      <c r="C5082" t="n" s="0">
        <v>-600118.2999949999</v>
      </c>
    </row>
    <row r="5083">
      <c r="A5083" t="n" s="0">
        <v>-49.18</v>
      </c>
      <c r="B5083" t="n" s="0">
        <f>(-5-((((-5*(-5/((-5/(((-5*(-49.18--5))-(-5+((-5*-49.18)*(((-5--5)+(-49.18--5))+-49.18))))-(-5+-5)))*-5)))/-5)--5)+(-5*(((-49.18*(-49.18-(-5/-5)))*(-49.18-(-49.18/(-5*-49.18))))-(-5/-5)))))</f>
        <v>-599753.42796</v>
      </c>
      <c r="C5083" t="n" s="0">
        <v>-599753.42796</v>
      </c>
    </row>
    <row r="5084">
      <c r="A5084" t="n" s="0">
        <v>-49.17</v>
      </c>
      <c r="B5084" t="n" s="0">
        <f>(-5-((((-5*(-5/((-5/(((-5*(-49.17--5))-(-5+((-5*-49.17)*(((-5--5)+(-49.17--5))+-49.17))))-(-5+-5)))*-5)))/-5)--5)+(-5*(((-49.17*(-49.17-(-5/-5)))*(-49.17-(-49.17/(-5*-49.17))))-(-5/-5)))))</f>
        <v>-599388.7038649999</v>
      </c>
      <c r="C5084" t="n" s="0">
        <v>-599388.703865</v>
      </c>
    </row>
    <row r="5085">
      <c r="A5085" t="n" s="0">
        <v>-49.16</v>
      </c>
      <c r="B5085" t="n" s="0">
        <f>(-5-((((-5*(-5/((-5/(((-5*(-49.16--5))-(-5+((-5*-49.16)*(((-5--5)+(-49.16--5))+-49.16))))-(-5+-5)))*-5)))/-5)--5)+(-5*(((-49.16*(-49.16-(-5/-5)))*(-49.16-(-49.16/(-5*-49.16))))-(-5/-5)))))</f>
        <v>-599024.12768</v>
      </c>
      <c r="C5085" t="n" s="0">
        <v>-599024.1276799998</v>
      </c>
    </row>
    <row r="5086">
      <c r="A5086" t="n" s="0">
        <v>-49.15</v>
      </c>
      <c r="B5086" t="n" s="0">
        <f>(-5-((((-5*(-5/((-5/(((-5*(-49.15--5))-(-5+((-5*-49.15)*(((-5--5)+(-49.15--5))+-49.15))))-(-5+-5)))*-5)))/-5)--5)+(-5*(((-49.15*(-49.15-(-5/-5)))*(-49.15-(-49.15/(-5*-49.15))))-(-5/-5)))))</f>
        <v>-598659.6993750001</v>
      </c>
      <c r="C5086" t="n" s="0">
        <v>-598659.6993749999</v>
      </c>
    </row>
    <row r="5087">
      <c r="A5087" t="n" s="0">
        <v>-49.14</v>
      </c>
      <c r="B5087" t="n" s="0">
        <f>(-5-((((-5*(-5/((-5/(((-5*(-49.14--5))-(-5+((-5*-49.14)*(((-5--5)+(-49.14--5))+-49.14))))-(-5+-5)))*-5)))/-5)--5)+(-5*(((-49.14*(-49.14-(-5/-5)))*(-49.14-(-49.14/(-5*-49.14))))-(-5/-5)))))</f>
        <v>-598295.41892</v>
      </c>
      <c r="C5087" t="n" s="0">
        <v>-598295.41892</v>
      </c>
    </row>
    <row r="5088">
      <c r="A5088" t="n" s="0">
        <v>-49.13</v>
      </c>
      <c r="B5088" t="n" s="0">
        <f>(-5-((((-5*(-5/((-5/(((-5*(-49.13--5))-(-5+((-5*-49.13)*(((-5--5)+(-49.13--5))+-49.13))))-(-5+-5)))*-5)))/-5)--5)+(-5*(((-49.13*(-49.13-(-5/-5)))*(-49.13-(-49.13/(-5*-49.13))))-(-5/-5)))))</f>
        <v>-597931.2862849999</v>
      </c>
      <c r="C5088" t="n" s="0">
        <v>-597931.286285</v>
      </c>
    </row>
    <row r="5089">
      <c r="A5089" t="n" s="0">
        <v>-49.12</v>
      </c>
      <c r="B5089" t="n" s="0">
        <f>(-5-((((-5*(-5/((-5/(((-5*(-49.12--5))-(-5+((-5*-49.12)*(((-5--5)+(-49.12--5))+-49.12))))-(-5+-5)))*-5)))/-5)--5)+(-5*(((-49.12*(-49.12-(-5/-5)))*(-49.12-(-49.12/(-5*-49.12))))-(-5/-5)))))</f>
        <v>-597567.30144</v>
      </c>
      <c r="C5089" t="n" s="0">
        <v>-597567.3014399998</v>
      </c>
    </row>
    <row r="5090">
      <c r="A5090" t="n" s="0">
        <v>-49.11</v>
      </c>
      <c r="B5090" t="n" s="0">
        <f>(-5-((((-5*(-5/((-5/(((-5*(-49.11--5))-(-5+((-5*-49.11)*(((-5--5)+(-49.11--5))+-49.11))))-(-5+-5)))*-5)))/-5)--5)+(-5*(((-49.11*(-49.11-(-5/-5)))*(-49.11-(-49.11/(-5*-49.11))))-(-5/-5)))))</f>
        <v>-597203.4643550001</v>
      </c>
      <c r="C5090" t="n" s="0">
        <v>-597203.464355</v>
      </c>
    </row>
    <row r="5091">
      <c r="A5091" t="n" s="0">
        <v>-49.1</v>
      </c>
      <c r="B5091" t="n" s="0">
        <f>(-5-((((-5*(-5/((-5/(((-5*(-49.1--5))-(-5+((-5*-49.1)*(((-5--5)+(-49.1--5))+-49.1))))-(-5+-5)))*-5)))/-5)--5)+(-5*(((-49.1*(-49.1-(-5/-5)))*(-49.1-(-49.1/(-5*-49.1))))-(-5/-5)))))</f>
        <v>-596839.775</v>
      </c>
      <c r="C5091" t="n" s="0">
        <v>-596839.775</v>
      </c>
    </row>
    <row r="5092">
      <c r="A5092" t="n" s="0">
        <v>-49.09</v>
      </c>
      <c r="B5092" t="n" s="0">
        <f>(-5-((((-5*(-5/((-5/(((-5*(-49.09--5))-(-5+((-5*-49.09)*(((-5--5)+(-49.09--5))+-49.09))))-(-5+-5)))*-5)))/-5)--5)+(-5*(((-49.09*(-49.09-(-5/-5)))*(-49.09-(-49.09/(-5*-49.09))))-(-5/-5)))))</f>
        <v>-596476.2333450001</v>
      </c>
      <c r="C5092" t="n" s="0">
        <v>-596476.2333450002</v>
      </c>
    </row>
    <row r="5093">
      <c r="A5093" t="n" s="0">
        <v>-49.08</v>
      </c>
      <c r="B5093" t="n" s="0">
        <f>(-5-((((-5*(-5/((-5/(((-5*(-49.08--5))-(-5+((-5*-49.08)*(((-5--5)+(-49.08--5))+-49.08))))-(-5+-5)))*-5)))/-5)--5)+(-5*(((-49.08*(-49.08-(-5/-5)))*(-49.08-(-49.08/(-5*-49.08))))-(-5/-5)))))</f>
        <v>-596112.83936</v>
      </c>
      <c r="C5093" t="n" s="0">
        <v>-596112.8393599999</v>
      </c>
    </row>
    <row r="5094">
      <c r="A5094" t="n" s="0">
        <v>-49.07</v>
      </c>
      <c r="B5094" t="n" s="0">
        <f>(-5-((((-5*(-5/((-5/(((-5*(-49.07--5))-(-5+((-5*-49.07)*(((-5--5)+(-49.07--5))+-49.07))))-(-5+-5)))*-5)))/-5)--5)+(-5*(((-49.07*(-49.07-(-5/-5)))*(-49.07-(-49.07/(-5*-49.07))))-(-5/-5)))))</f>
        <v>-595749.5930150001</v>
      </c>
      <c r="C5094" t="n" s="0">
        <v>-595749.5930149999</v>
      </c>
    </row>
    <row r="5095">
      <c r="A5095" t="n" s="0">
        <v>-49.06</v>
      </c>
      <c r="B5095" t="n" s="0">
        <f>(-5-((((-5*(-5/((-5/(((-5*(-49.06--5))-(-5+((-5*-49.06)*(((-5--5)+(-49.06--5))+-49.06))))-(-5+-5)))*-5)))/-5)--5)+(-5*(((-49.06*(-49.06-(-5/-5)))*(-49.06-(-49.06/(-5*-49.06))))-(-5/-5)))))</f>
        <v>-595386.49428</v>
      </c>
      <c r="C5095" t="n" s="0">
        <v>-595386.4942800001</v>
      </c>
    </row>
    <row r="5096">
      <c r="A5096" t="n" s="0">
        <v>-49.05</v>
      </c>
      <c r="B5096" t="n" s="0">
        <f>(-5-((((-5*(-5/((-5/(((-5*(-49.05--5))-(-5+((-5*-49.05)*(((-5--5)+(-49.05--5))+-49.05))))-(-5+-5)))*-5)))/-5)--5)+(-5*(((-49.05*(-49.05-(-5/-5)))*(-49.05-(-49.05/(-5*-49.05))))-(-5/-5)))))</f>
        <v>-595023.543125</v>
      </c>
      <c r="C5096" t="n" s="0">
        <v>-595023.543125</v>
      </c>
    </row>
    <row r="5097">
      <c r="A5097" t="n" s="0">
        <v>-49.04</v>
      </c>
      <c r="B5097" t="n" s="0">
        <f>(-5-((((-5*(-5/((-5/(((-5*(-49.04--5))-(-5+((-5*-49.04)*(((-5--5)+(-49.04--5))+-49.04))))-(-5+-5)))*-5)))/-5)--5)+(-5*(((-49.04*(-49.04-(-5/-5)))*(-49.04-(-49.04/(-5*-49.04))))-(-5/-5)))))</f>
        <v>-594660.7395200001</v>
      </c>
      <c r="C5097" t="n" s="0">
        <v>-594660.73952</v>
      </c>
    </row>
    <row r="5098">
      <c r="A5098" t="n" s="0">
        <v>-49.03</v>
      </c>
      <c r="B5098" t="n" s="0">
        <f>(-5-((((-5*(-5/((-5/(((-5*(-49.03--5))-(-5+((-5*-49.03)*(((-5--5)+(-49.03--5))+-49.03))))-(-5+-5)))*-5)))/-5)--5)+(-5*(((-49.03*(-49.03-(-5/-5)))*(-49.03-(-49.03/(-5*-49.03))))-(-5/-5)))))</f>
        <v>-594298.083435</v>
      </c>
      <c r="C5098" t="n" s="0">
        <v>-594298.083435</v>
      </c>
    </row>
    <row r="5099">
      <c r="A5099" t="n" s="0">
        <v>-49.02</v>
      </c>
      <c r="B5099" t="n" s="0">
        <f>(-5-((((-5*(-5/((-5/(((-5*(-49.02--5))-(-5+((-5*-49.02)*(((-5--5)+(-49.02--5))+-49.02))))-(-5+-5)))*-5)))/-5)--5)+(-5*(((-49.02*(-49.02-(-5/-5)))*(-49.02-(-49.02/(-5*-49.02))))-(-5/-5)))))</f>
        <v>-593935.57484</v>
      </c>
      <c r="C5099" t="n" s="0">
        <v>-593935.5748400001</v>
      </c>
    </row>
    <row r="5100">
      <c r="A5100" t="n" s="0">
        <v>-49.01</v>
      </c>
      <c r="B5100" t="n" s="0">
        <f>(-5-((((-5*(-5/((-5/(((-5*(-49.01--5))-(-5+((-5*-49.01)*(((-5--5)+(-49.01--5))+-49.01))))-(-5+-5)))*-5)))/-5)--5)+(-5*(((-49.01*(-49.01-(-5/-5)))*(-49.01-(-49.01/(-5*-49.01))))-(-5/-5)))))</f>
        <v>-593573.213705</v>
      </c>
      <c r="C5100" t="n" s="0">
        <v>-593573.213705</v>
      </c>
    </row>
    <row r="5101">
      <c r="A5101" t="n" s="0">
        <v>-49.0</v>
      </c>
      <c r="B5101" t="n" s="0">
        <f>(-5-((((-5*(-5/((-5/(((-5*(-49--5))-(-5+((-5*-49)*(((-5--5)+(-49--5))+-49))))-(-5+-5)))*-5)))/-5)--5)+(-5*(((-49*(-49-(-5/-5)))*(-49-(-49/(-5*-49))))-(-5/-5)))))</f>
        <v>-593211.0</v>
      </c>
      <c r="C5101" t="n" s="0">
        <v>-593211.0</v>
      </c>
    </row>
    <row r="5102">
      <c r="A5102" t="n" s="0">
        <v>-48.99</v>
      </c>
      <c r="B5102" t="n" s="0">
        <f>(-5-((((-5*(-5/((-5/(((-5*(-48.99--5))-(-5+((-5*-48.99)*(((-5--5)+(-48.99--5))+-48.99))))-(-5+-5)))*-5)))/-5)--5)+(-5*(((-48.99*(-48.99-(-5/-5)))*(-48.99-(-48.99/(-5*-48.99))))-(-5/-5)))))</f>
        <v>-592848.933695</v>
      </c>
      <c r="C5102" t="n" s="0">
        <v>-592848.933695</v>
      </c>
    </row>
    <row r="5103">
      <c r="A5103" t="n" s="0">
        <v>-48.98</v>
      </c>
      <c r="B5103" t="n" s="0">
        <f>(-5-((((-5*(-5/((-5/(((-5*(-48.98--5))-(-5+((-5*-48.98)*(((-5--5)+(-48.98--5))+-48.98))))-(-5+-5)))*-5)))/-5)--5)+(-5*(((-48.98*(-48.98-(-5/-5)))*(-48.98-(-48.98/(-5*-48.98))))-(-5/-5)))))</f>
        <v>-592487.01476</v>
      </c>
      <c r="C5103" t="n" s="0">
        <v>-592487.0147599998</v>
      </c>
    </row>
    <row r="5104">
      <c r="A5104" t="n" s="0">
        <v>-48.97</v>
      </c>
      <c r="B5104" t="n" s="0">
        <f>(-5-((((-5*(-5/((-5/(((-5*(-48.97--5))-(-5+((-5*-48.97)*(((-5--5)+(-48.97--5))+-48.97))))-(-5+-5)))*-5)))/-5)--5)+(-5*(((-48.97*(-48.97-(-5/-5)))*(-48.97-(-48.97/(-5*-48.97))))-(-5/-5)))))</f>
        <v>-592125.243165</v>
      </c>
      <c r="C5104" t="n" s="0">
        <v>-592125.2431649999</v>
      </c>
    </row>
    <row r="5105">
      <c r="A5105" t="n" s="0">
        <v>-48.96</v>
      </c>
      <c r="B5105" t="n" s="0">
        <f>(-5-((((-5*(-5/((-5/(((-5*(-48.96--5))-(-5+((-5*-48.96)*(((-5--5)+(-48.96--5))+-48.96))))-(-5+-5)))*-5)))/-5)--5)+(-5*(((-48.96*(-48.96-(-5/-5)))*(-48.96-(-48.96/(-5*-48.96))))-(-5/-5)))))</f>
        <v>-591763.61888</v>
      </c>
      <c r="C5105" t="n" s="0">
        <v>-591763.61888</v>
      </c>
    </row>
    <row r="5106">
      <c r="A5106" t="n" s="0">
        <v>-48.95</v>
      </c>
      <c r="B5106" t="n" s="0">
        <f>(-5-((((-5*(-5/((-5/(((-5*(-48.95--5))-(-5+((-5*-48.95)*(((-5--5)+(-48.95--5))+-48.95))))-(-5+-5)))*-5)))/-5)--5)+(-5*(((-48.95*(-48.95-(-5/-5)))*(-48.95-(-48.95/(-5*-48.95))))-(-5/-5)))))</f>
        <v>-591402.141875</v>
      </c>
      <c r="C5106" t="n" s="0">
        <v>-591402.1418750001</v>
      </c>
    </row>
    <row r="5107">
      <c r="A5107" t="n" s="0">
        <v>-48.94</v>
      </c>
      <c r="B5107" t="n" s="0">
        <f>(-5-((((-5*(-5/((-5/(((-5*(-48.94--5))-(-5+((-5*-48.94)*(((-5--5)+(-48.94--5))+-48.94))))-(-5+-5)))*-5)))/-5)--5)+(-5*(((-48.94*(-48.94-(-5/-5)))*(-48.94-(-48.94/(-5*-48.94))))-(-5/-5)))))</f>
        <v>-591040.81212</v>
      </c>
      <c r="C5107" t="n" s="0">
        <v>-591040.8121199999</v>
      </c>
    </row>
    <row r="5108">
      <c r="A5108" t="n" s="0">
        <v>-48.93</v>
      </c>
      <c r="B5108" t="n" s="0">
        <f>(-5-((((-5*(-5/((-5/(((-5*(-48.93--5))-(-5+((-5*-48.93)*(((-5--5)+(-48.93--5))+-48.93))))-(-5+-5)))*-5)))/-5)--5)+(-5*(((-48.93*(-48.93-(-5/-5)))*(-48.93-(-48.93/(-5*-48.93))))-(-5/-5)))))</f>
        <v>-590679.629585</v>
      </c>
      <c r="C5108" t="n" s="0">
        <v>-590679.6295850001</v>
      </c>
    </row>
    <row r="5109">
      <c r="A5109" t="n" s="0">
        <v>-48.92</v>
      </c>
      <c r="B5109" t="n" s="0">
        <f>(-5-((((-5*(-5/((-5/(((-5*(-48.92--5))-(-5+((-5*-48.92)*(((-5--5)+(-48.92--5))+-48.92))))-(-5+-5)))*-5)))/-5)--5)+(-5*(((-48.92*(-48.92-(-5/-5)))*(-48.92-(-48.92/(-5*-48.92))))-(-5/-5)))))</f>
        <v>-590318.59424</v>
      </c>
      <c r="C5109" t="n" s="0">
        <v>-590318.59424</v>
      </c>
    </row>
    <row r="5110">
      <c r="A5110" t="n" s="0">
        <v>-48.91</v>
      </c>
      <c r="B5110" t="n" s="0">
        <f>(-5-((((-5*(-5/((-5/(((-5*(-48.91--5))-(-5+((-5*-48.91)*(((-5--5)+(-48.91--5))+-48.91))))-(-5+-5)))*-5)))/-5)--5)+(-5*(((-48.91*(-48.91-(-5/-5)))*(-48.91-(-48.91/(-5*-48.91))))-(-5/-5)))))</f>
        <v>-589957.7060550001</v>
      </c>
      <c r="C5110" t="n" s="0">
        <v>-589957.706055</v>
      </c>
    </row>
    <row r="5111">
      <c r="A5111" t="n" s="0">
        <v>-48.9</v>
      </c>
      <c r="B5111" t="n" s="0">
        <f>(-5-((((-5*(-5/((-5/(((-5*(-48.9--5))-(-5+((-5*-48.9)*(((-5--5)+(-48.9--5))+-48.9))))-(-5+-5)))*-5)))/-5)--5)+(-5*(((-48.9*(-48.9-(-5/-5)))*(-48.9-(-48.9/(-5*-48.9))))-(-5/-5)))))</f>
        <v>-589596.9650000001</v>
      </c>
      <c r="C5111" t="n" s="0">
        <v>-589596.965</v>
      </c>
    </row>
    <row r="5112">
      <c r="A5112" t="n" s="0">
        <v>-48.89</v>
      </c>
      <c r="B5112" t="n" s="0">
        <f>(-5-((((-5*(-5/((-5/(((-5*(-48.89--5))-(-5+((-5*-48.89)*(((-5--5)+(-48.89--5))+-48.89))))-(-5+-5)))*-5)))/-5)--5)+(-5*(((-48.89*(-48.89-(-5/-5)))*(-48.89-(-48.89/(-5*-48.89))))-(-5/-5)))))</f>
        <v>-589236.371045</v>
      </c>
      <c r="C5112" t="n" s="0">
        <v>-589236.371045</v>
      </c>
    </row>
    <row r="5113">
      <c r="A5113" t="n" s="0">
        <v>-48.88</v>
      </c>
      <c r="B5113" t="n" s="0">
        <f>(-5-((((-5*(-5/((-5/(((-5*(-48.88--5))-(-5+((-5*-48.88)*(((-5--5)+(-48.88--5))+-48.88))))-(-5+-5)))*-5)))/-5)--5)+(-5*(((-48.88*(-48.88-(-5/-5)))*(-48.88-(-48.88/(-5*-48.88))))-(-5/-5)))))</f>
        <v>-588875.9241599999</v>
      </c>
      <c r="C5113" t="n" s="0">
        <v>-588875.92416</v>
      </c>
    </row>
    <row r="5114">
      <c r="A5114" t="n" s="0">
        <v>-48.87</v>
      </c>
      <c r="B5114" t="n" s="0">
        <f>(-5-((((-5*(-5/((-5/(((-5*(-48.87--5))-(-5+((-5*-48.87)*(((-5--5)+(-48.87--5))+-48.87))))-(-5+-5)))*-5)))/-5)--5)+(-5*(((-48.87*(-48.87-(-5/-5)))*(-48.87-(-48.87/(-5*-48.87))))-(-5/-5)))))</f>
        <v>-588515.624315</v>
      </c>
      <c r="C5114" t="n" s="0">
        <v>-588515.6243149999</v>
      </c>
    </row>
    <row r="5115">
      <c r="A5115" t="n" s="0">
        <v>-48.86</v>
      </c>
      <c r="B5115" t="n" s="0">
        <f>(-5-((((-5*(-5/((-5/(((-5*(-48.86--5))-(-5+((-5*-48.86)*(((-5--5)+(-48.86--5))+-48.86))))-(-5+-5)))*-5)))/-5)--5)+(-5*(((-48.86*(-48.86-(-5/-5)))*(-48.86-(-48.86/(-5*-48.86))))-(-5/-5)))))</f>
        <v>-588155.47148</v>
      </c>
      <c r="C5115" t="n" s="0">
        <v>-588155.47148</v>
      </c>
    </row>
    <row r="5116">
      <c r="A5116" t="n" s="0">
        <v>-48.85</v>
      </c>
      <c r="B5116" t="n" s="0">
        <f>(-5-((((-5*(-5/((-5/(((-5*(-48.85--5))-(-5+((-5*-48.85)*(((-5--5)+(-48.85--5))+-48.85))))-(-5+-5)))*-5)))/-5)--5)+(-5*(((-48.85*(-48.85-(-5/-5)))*(-48.85-(-48.85/(-5*-48.85))))-(-5/-5)))))</f>
        <v>-587795.465625</v>
      </c>
      <c r="C5116" t="n" s="0">
        <v>-587795.4656250002</v>
      </c>
    </row>
    <row r="5117">
      <c r="A5117" t="n" s="0">
        <v>-48.84</v>
      </c>
      <c r="B5117" t="n" s="0">
        <f>(-5-((((-5*(-5/((-5/(((-5*(-48.84--5))-(-5+((-5*-48.84)*(((-5--5)+(-48.84--5))+-48.84))))-(-5+-5)))*-5)))/-5)--5)+(-5*(((-48.84*(-48.84-(-5/-5)))*(-48.84-(-48.84/(-5*-48.84))))-(-5/-5)))))</f>
        <v>-587435.60672</v>
      </c>
      <c r="C5117" t="n" s="0">
        <v>-587435.6067200002</v>
      </c>
    </row>
    <row r="5118">
      <c r="A5118" t="n" s="0">
        <v>-48.83</v>
      </c>
      <c r="B5118" t="n" s="0">
        <f>(-5-((((-5*(-5/((-5/(((-5*(-48.83--5))-(-5+((-5*-48.83)*(((-5--5)+(-48.83--5))+-48.83))))-(-5+-5)))*-5)))/-5)--5)+(-5*(((-48.83*(-48.83-(-5/-5)))*(-48.83-(-48.83/(-5*-48.83))))-(-5/-5)))))</f>
        <v>-587075.894735</v>
      </c>
      <c r="C5118" t="n" s="0">
        <v>-587075.8947349999</v>
      </c>
    </row>
    <row r="5119">
      <c r="A5119" t="n" s="0">
        <v>-48.82</v>
      </c>
      <c r="B5119" t="n" s="0">
        <f>(-5-((((-5*(-5/((-5/(((-5*(-48.82--5))-(-5+((-5*-48.82)*(((-5--5)+(-48.82--5))+-48.82))))-(-5+-5)))*-5)))/-5)--5)+(-5*(((-48.82*(-48.82-(-5/-5)))*(-48.82-(-48.82/(-5*-48.82))))-(-5/-5)))))</f>
        <v>-586716.32964</v>
      </c>
      <c r="C5119" t="n" s="0">
        <v>-586716.32964</v>
      </c>
    </row>
    <row r="5120">
      <c r="A5120" t="n" s="0">
        <v>-48.81</v>
      </c>
      <c r="B5120" t="n" s="0">
        <f>(-5-((((-5*(-5/((-5/(((-5*(-48.81--5))-(-5+((-5*-48.81)*(((-5--5)+(-48.81--5))+-48.81))))-(-5+-5)))*-5)))/-5)--5)+(-5*(((-48.81*(-48.81-(-5/-5)))*(-48.81-(-48.81/(-5*-48.81))))-(-5/-5)))))</f>
        <v>-586356.911405</v>
      </c>
      <c r="C5120" t="n" s="0">
        <v>-586356.9114050001</v>
      </c>
    </row>
    <row r="5121">
      <c r="A5121" t="n" s="0">
        <v>-48.8</v>
      </c>
      <c r="B5121" t="n" s="0">
        <f>(-5-((((-5*(-5/((-5/(((-5*(-48.8--5))-(-5+((-5*-48.8)*(((-5--5)+(-48.8--5))+-48.8))))-(-5+-5)))*-5)))/-5)--5)+(-5*(((-48.8*(-48.8-(-5/-5)))*(-48.8-(-48.8/(-5*-48.8))))-(-5/-5)))))</f>
        <v>-585997.64</v>
      </c>
      <c r="C5121" t="n" s="0">
        <v>-585997.6399999999</v>
      </c>
    </row>
    <row r="5122">
      <c r="A5122" t="n" s="0">
        <v>-48.79</v>
      </c>
      <c r="B5122" t="n" s="0">
        <f>(-5-((((-5*(-5/((-5/(((-5*(-48.79--5))-(-5+((-5*-48.79)*(((-5--5)+(-48.79--5))+-48.79))))-(-5+-5)))*-5)))/-5)--5)+(-5*(((-48.79*(-48.79-(-5/-5)))*(-48.79-(-48.79/(-5*-48.79))))-(-5/-5)))))</f>
        <v>-585638.5153950001</v>
      </c>
      <c r="C5122" t="n" s="0">
        <v>-585638.5153949999</v>
      </c>
    </row>
    <row r="5123">
      <c r="A5123" t="n" s="0">
        <v>-48.78</v>
      </c>
      <c r="B5123" t="n" s="0">
        <f>(-5-((((-5*(-5/((-5/(((-5*(-48.78--5))-(-5+((-5*-48.78)*(((-5--5)+(-48.78--5))+-48.78))))-(-5+-5)))*-5)))/-5)--5)+(-5*(((-48.78*(-48.78-(-5/-5)))*(-48.78-(-48.78/(-5*-48.78))))-(-5/-5)))))</f>
        <v>-585279.5375600001</v>
      </c>
      <c r="C5123" t="n" s="0">
        <v>-585279.53756</v>
      </c>
    </row>
    <row r="5124">
      <c r="A5124" t="n" s="0">
        <v>-48.77</v>
      </c>
      <c r="B5124" t="n" s="0">
        <f>(-5-((((-5*(-5/((-5/(((-5*(-48.77--5))-(-5+((-5*-48.77)*(((-5--5)+(-48.77--5))+-48.77))))-(-5+-5)))*-5)))/-5)--5)+(-5*(((-48.77*(-48.77-(-5/-5)))*(-48.77-(-48.77/(-5*-48.77))))-(-5/-5)))))</f>
        <v>-584920.706465</v>
      </c>
      <c r="C5124" t="n" s="0">
        <v>-584920.706465</v>
      </c>
    </row>
    <row r="5125">
      <c r="A5125" t="n" s="0">
        <v>-48.76</v>
      </c>
      <c r="B5125" t="n" s="0">
        <f>(-5-((((-5*(-5/((-5/(((-5*(-48.76--5))-(-5+((-5*-48.76)*(((-5--5)+(-48.76--5))+-48.76))))-(-5+-5)))*-5)))/-5)--5)+(-5*(((-48.76*(-48.76-(-5/-5)))*(-48.76-(-48.76/(-5*-48.76))))-(-5/-5)))))</f>
        <v>-584562.02208</v>
      </c>
      <c r="C5125" t="n" s="0">
        <v>-584562.0220799999</v>
      </c>
    </row>
    <row r="5126">
      <c r="A5126" t="n" s="0">
        <v>-48.75</v>
      </c>
      <c r="B5126" t="n" s="0">
        <f>(-5-((((-5*(-5/((-5/(((-5*(-48.75--5))-(-5+((-5*-48.75)*(((-5--5)+(-48.75--5))+-48.75))))-(-5+-5)))*-5)))/-5)--5)+(-5*(((-48.75*(-48.75-(-5/-5)))*(-48.75-(-48.75/(-5*-48.75))))-(-5/-5)))))</f>
        <v>-584203.484375</v>
      </c>
      <c r="C5126" t="n" s="0">
        <v>-584203.484375</v>
      </c>
    </row>
    <row r="5127">
      <c r="A5127" t="n" s="0">
        <v>-48.74</v>
      </c>
      <c r="B5127" t="n" s="0">
        <f>(-5-((((-5*(-5/((-5/(((-5*(-48.74--5))-(-5+((-5*-48.74)*(((-5--5)+(-48.74--5))+-48.74))))-(-5+-5)))*-5)))/-5)--5)+(-5*(((-48.74*(-48.74-(-5/-5)))*(-48.74-(-48.74/(-5*-48.74))))-(-5/-5)))))</f>
        <v>-583845.09332</v>
      </c>
      <c r="C5127" t="n" s="0">
        <v>-583845.0933200001</v>
      </c>
    </row>
    <row r="5128">
      <c r="A5128" t="n" s="0">
        <v>-48.73</v>
      </c>
      <c r="B5128" t="n" s="0">
        <f>(-5-((((-5*(-5/((-5/(((-5*(-48.73--5))-(-5+((-5*-48.73)*(((-5--5)+(-48.73--5))+-48.73))))-(-5+-5)))*-5)))/-5)--5)+(-5*(((-48.73*(-48.73-(-5/-5)))*(-48.73-(-48.73/(-5*-48.73))))-(-5/-5)))))</f>
        <v>-583486.848885</v>
      </c>
      <c r="C5128" t="n" s="0">
        <v>-583486.8488849999</v>
      </c>
    </row>
    <row r="5129">
      <c r="A5129" t="n" s="0">
        <v>-48.72</v>
      </c>
      <c r="B5129" t="n" s="0">
        <f>(-5-((((-5*(-5/((-5/(((-5*(-48.72--5))-(-5+((-5*-48.72)*(((-5--5)+(-48.72--5))+-48.72))))-(-5+-5)))*-5)))/-5)--5)+(-5*(((-48.72*(-48.72-(-5/-5)))*(-48.72-(-48.72/(-5*-48.72))))-(-5/-5)))))</f>
        <v>-583128.75104</v>
      </c>
      <c r="C5129" t="n" s="0">
        <v>-583128.75104</v>
      </c>
    </row>
    <row r="5130">
      <c r="A5130" t="n" s="0">
        <v>-48.71</v>
      </c>
      <c r="B5130" t="n" s="0">
        <f>(-5-((((-5*(-5/((-5/(((-5*(-48.71--5))-(-5+((-5*-48.71)*(((-5--5)+(-48.71--5))+-48.71))))-(-5+-5)))*-5)))/-5)--5)+(-5*(((-48.71*(-48.71-(-5/-5)))*(-48.71-(-48.71/(-5*-48.71))))-(-5/-5)))))</f>
        <v>-582770.7997549999</v>
      </c>
      <c r="C5130" t="n" s="0">
        <v>-582770.799755</v>
      </c>
    </row>
    <row r="5131">
      <c r="A5131" t="n" s="0">
        <v>-48.7</v>
      </c>
      <c r="B5131" t="n" s="0">
        <f>(-5-((((-5*(-5/((-5/(((-5*(-48.7--5))-(-5+((-5*-48.7)*(((-5--5)+(-48.7--5))+-48.7))))-(-5+-5)))*-5)))/-5)--5)+(-5*(((-48.7*(-48.7-(-5/-5)))*(-48.7-(-48.7/(-5*-48.7))))-(-5/-5)))))</f>
        <v>-582412.995</v>
      </c>
      <c r="C5131" t="n" s="0">
        <v>-582412.9950000001</v>
      </c>
    </row>
    <row r="5132">
      <c r="A5132" t="n" s="0">
        <v>-48.69</v>
      </c>
      <c r="B5132" t="n" s="0">
        <f>(-5-((((-5*(-5/((-5/(((-5*(-48.69--5))-(-5+((-5*-48.69)*(((-5--5)+(-48.69--5))+-48.69))))-(-5+-5)))*-5)))/-5)--5)+(-5*(((-48.69*(-48.69-(-5/-5)))*(-48.69-(-48.69/(-5*-48.69))))-(-5/-5)))))</f>
        <v>-582055.336745</v>
      </c>
      <c r="C5132" t="n" s="0">
        <v>-582055.3367449999</v>
      </c>
    </row>
    <row r="5133">
      <c r="A5133" t="n" s="0">
        <v>-48.68</v>
      </c>
      <c r="B5133" t="n" s="0">
        <f>(-5-((((-5*(-5/((-5/(((-5*(-48.68--5))-(-5+((-5*-48.68)*(((-5--5)+(-48.68--5))+-48.68))))-(-5+-5)))*-5)))/-5)--5)+(-5*(((-48.68*(-48.68-(-5/-5)))*(-48.68-(-48.68/(-5*-48.68))))-(-5/-5)))))</f>
        <v>-581697.82496</v>
      </c>
      <c r="C5133" t="n" s="0">
        <v>-581697.82496</v>
      </c>
    </row>
    <row r="5134">
      <c r="A5134" t="n" s="0">
        <v>-48.67</v>
      </c>
      <c r="B5134" t="n" s="0">
        <f>(-5-((((-5*(-5/((-5/(((-5*(-48.67--5))-(-5+((-5*-48.67)*(((-5--5)+(-48.67--5))+-48.67))))-(-5+-5)))*-5)))/-5)--5)+(-5*(((-48.67*(-48.67-(-5/-5)))*(-48.67-(-48.67/(-5*-48.67))))-(-5/-5)))))</f>
        <v>-581340.459615</v>
      </c>
      <c r="C5134" t="n" s="0">
        <v>-581340.4596150002</v>
      </c>
    </row>
    <row r="5135">
      <c r="A5135" t="n" s="0">
        <v>-48.66</v>
      </c>
      <c r="B5135" t="n" s="0">
        <f>(-5-((((-5*(-5/((-5/(((-5*(-48.66--5))-(-5+((-5*-48.66)*(((-5--5)+(-48.66--5))+-48.66))))-(-5+-5)))*-5)))/-5)--5)+(-5*(((-48.66*(-48.66-(-5/-5)))*(-48.66-(-48.66/(-5*-48.66))))-(-5/-5)))))</f>
        <v>-580983.24068</v>
      </c>
      <c r="C5135" t="n" s="0">
        <v>-580983.2406799999</v>
      </c>
    </row>
    <row r="5136">
      <c r="A5136" t="n" s="0">
        <v>-48.65</v>
      </c>
      <c r="B5136" t="n" s="0">
        <f>(-5-((((-5*(-5/((-5/(((-5*(-48.65--5))-(-5+((-5*-48.65)*(((-5--5)+(-48.65--5))+-48.65))))-(-5+-5)))*-5)))/-5)--5)+(-5*(((-48.65*(-48.65-(-5/-5)))*(-48.65-(-48.65/(-5*-48.65))))-(-5/-5)))))</f>
        <v>-580626.168125</v>
      </c>
      <c r="C5136" t="n" s="0">
        <v>-580626.168125</v>
      </c>
    </row>
    <row r="5137">
      <c r="A5137" t="n" s="0">
        <v>-48.64</v>
      </c>
      <c r="B5137" t="n" s="0">
        <f>(-5-((((-5*(-5/((-5/(((-5*(-48.64--5))-(-5+((-5*-48.64)*(((-5--5)+(-48.64--5))+-48.64))))-(-5+-5)))*-5)))/-5)--5)+(-5*(((-48.64*(-48.64-(-5/-5)))*(-48.64-(-48.64/(-5*-48.64))))-(-5/-5)))))</f>
        <v>-580269.2419200001</v>
      </c>
      <c r="C5137" t="n" s="0">
        <v>-580269.2419200002</v>
      </c>
    </row>
    <row r="5138">
      <c r="A5138" t="n" s="0">
        <v>-48.63</v>
      </c>
      <c r="B5138" t="n" s="0">
        <f>(-5-((((-5*(-5/((-5/(((-5*(-48.63--5))-(-5+((-5*-48.63)*(((-5--5)+(-48.63--5))+-48.63))))-(-5+-5)))*-5)))/-5)--5)+(-5*(((-48.63*(-48.63-(-5/-5)))*(-48.63-(-48.63/(-5*-48.63))))-(-5/-5)))))</f>
        <v>-579912.462035</v>
      </c>
      <c r="C5138" t="n" s="0">
        <v>-579912.462035</v>
      </c>
    </row>
    <row r="5139">
      <c r="A5139" t="n" s="0">
        <v>-48.62</v>
      </c>
      <c r="B5139" t="n" s="0">
        <f>(-5-((((-5*(-5/((-5/(((-5*(-48.62--5))-(-5+((-5*-48.62)*(((-5--5)+(-48.62--5))+-48.62))))-(-5+-5)))*-5)))/-5)--5)+(-5*(((-48.62*(-48.62-(-5/-5)))*(-48.62-(-48.62/(-5*-48.62))))-(-5/-5)))))</f>
        <v>-579555.82844</v>
      </c>
      <c r="C5139" t="n" s="0">
        <v>-579555.82844</v>
      </c>
    </row>
    <row r="5140">
      <c r="A5140" t="n" s="0">
        <v>-48.61</v>
      </c>
      <c r="B5140" t="n" s="0">
        <f>(-5-((((-5*(-5/((-5/(((-5*(-48.61--5))-(-5+((-5*-48.61)*(((-5--5)+(-48.61--5))+-48.61))))-(-5+-5)))*-5)))/-5)--5)+(-5*(((-48.61*(-48.61-(-5/-5)))*(-48.61-(-48.61/(-5*-48.61))))-(-5/-5)))))</f>
        <v>-579199.341105</v>
      </c>
      <c r="C5140" t="n" s="0">
        <v>-579199.3411049999</v>
      </c>
    </row>
    <row r="5141">
      <c r="A5141" t="n" s="0">
        <v>-48.6</v>
      </c>
      <c r="B5141" t="n" s="0">
        <f>(-5-((((-5*(-5/((-5/(((-5*(-48.6--5))-(-5+((-5*-48.6)*(((-5--5)+(-48.6--5))+-48.6))))-(-5+-5)))*-5)))/-5)--5)+(-5*(((-48.6*(-48.6-(-5/-5)))*(-48.6-(-48.6/(-5*-48.6))))-(-5/-5)))))</f>
        <v>-578843.0</v>
      </c>
      <c r="C5141" t="n" s="0">
        <v>-578843.0000000001</v>
      </c>
    </row>
    <row r="5142">
      <c r="A5142" t="n" s="0">
        <v>-48.59</v>
      </c>
      <c r="B5142" t="n" s="0">
        <f>(-5-((((-5*(-5/((-5/(((-5*(-48.59--5))-(-5+((-5*-48.59)*(((-5--5)+(-48.59--5))+-48.59))))-(-5+-5)))*-5)))/-5)--5)+(-5*(((-48.59*(-48.59-(-5/-5)))*(-48.59-(-48.59/(-5*-48.59))))-(-5/-5)))))</f>
        <v>-578486.805095</v>
      </c>
      <c r="C5142" t="n" s="0">
        <v>-578486.8050950002</v>
      </c>
    </row>
    <row r="5143">
      <c r="A5143" t="n" s="0">
        <v>-48.58</v>
      </c>
      <c r="B5143" t="n" s="0">
        <f>(-5-((((-5*(-5/((-5/(((-5*(-48.58--5))-(-5+((-5*-48.58)*(((-5--5)+(-48.58--5))+-48.58))))-(-5+-5)))*-5)))/-5)--5)+(-5*(((-48.58*(-48.58-(-5/-5)))*(-48.58-(-48.58/(-5*-48.58))))-(-5/-5)))))</f>
        <v>-578130.75636</v>
      </c>
      <c r="C5143" t="n" s="0">
        <v>-578130.75636</v>
      </c>
    </row>
    <row r="5144">
      <c r="A5144" t="n" s="0">
        <v>-48.57</v>
      </c>
      <c r="B5144" t="n" s="0">
        <f>(-5-((((-5*(-5/((-5/(((-5*(-48.57--5))-(-5+((-5*-48.57)*(((-5--5)+(-48.57--5))+-48.57))))-(-5+-5)))*-5)))/-5)--5)+(-5*(((-48.57*(-48.57-(-5/-5)))*(-48.57-(-48.57/(-5*-48.57))))-(-5/-5)))))</f>
        <v>-577774.853765</v>
      </c>
      <c r="C5144" t="n" s="0">
        <v>-577774.8537649999</v>
      </c>
    </row>
    <row r="5145">
      <c r="A5145" t="n" s="0">
        <v>-48.56</v>
      </c>
      <c r="B5145" t="n" s="0">
        <f>(-5-((((-5*(-5/((-5/(((-5*(-48.56--5))-(-5+((-5*-48.56)*(((-5--5)+(-48.56--5))+-48.56))))-(-5+-5)))*-5)))/-5)--5)+(-5*(((-48.56*(-48.56-(-5/-5)))*(-48.56-(-48.56/(-5*-48.56))))-(-5/-5)))))</f>
        <v>-577419.09728</v>
      </c>
      <c r="C5145" t="n" s="0">
        <v>-577419.0972800001</v>
      </c>
    </row>
    <row r="5146">
      <c r="A5146" t="n" s="0">
        <v>-48.55</v>
      </c>
      <c r="B5146" t="n" s="0">
        <f>(-5-((((-5*(-5/((-5/(((-5*(-48.55--5))-(-5+((-5*-48.55)*(((-5--5)+(-48.55--5))+-48.55))))-(-5+-5)))*-5)))/-5)--5)+(-5*(((-48.55*(-48.55-(-5/-5)))*(-48.55-(-48.55/(-5*-48.55))))-(-5/-5)))))</f>
        <v>-577063.486875</v>
      </c>
      <c r="C5146" t="n" s="0">
        <v>-577063.4868749998</v>
      </c>
    </row>
    <row r="5147">
      <c r="A5147" t="n" s="0">
        <v>-48.54</v>
      </c>
      <c r="B5147" t="n" s="0">
        <f>(-5-((((-5*(-5/((-5/(((-5*(-48.54--5))-(-5+((-5*-48.54)*(((-5--5)+(-48.54--5))+-48.54))))-(-5+-5)))*-5)))/-5)--5)+(-5*(((-48.54*(-48.54-(-5/-5)))*(-48.54-(-48.54/(-5*-48.54))))-(-5/-5)))))</f>
        <v>-576708.02252</v>
      </c>
      <c r="C5147" t="n" s="0">
        <v>-576708.02252</v>
      </c>
    </row>
    <row r="5148">
      <c r="A5148" t="n" s="0">
        <v>-48.53</v>
      </c>
      <c r="B5148" t="n" s="0">
        <f>(-5-((((-5*(-5/((-5/(((-5*(-48.53--5))-(-5+((-5*-48.53)*(((-5--5)+(-48.53--5))+-48.53))))-(-5+-5)))*-5)))/-5)--5)+(-5*(((-48.53*(-48.53-(-5/-5)))*(-48.53-(-48.53/(-5*-48.53))))-(-5/-5)))))</f>
        <v>-576352.704185</v>
      </c>
      <c r="C5148" t="n" s="0">
        <v>-576352.704185</v>
      </c>
    </row>
    <row r="5149">
      <c r="A5149" t="n" s="0">
        <v>-48.52</v>
      </c>
      <c r="B5149" t="n" s="0">
        <f>(-5-((((-5*(-5/((-5/(((-5*(-48.52--5))-(-5+((-5*-48.52)*(((-5--5)+(-48.52--5))+-48.52))))-(-5+-5)))*-5)))/-5)--5)+(-5*(((-48.52*(-48.52-(-5/-5)))*(-48.52-(-48.52/(-5*-48.52))))-(-5/-5)))))</f>
        <v>-575997.5318400001</v>
      </c>
      <c r="C5149" t="n" s="0">
        <v>-575997.5318400002</v>
      </c>
    </row>
    <row r="5150">
      <c r="A5150" t="n" s="0">
        <v>-48.51</v>
      </c>
      <c r="B5150" t="n" s="0">
        <f>(-5-((((-5*(-5/((-5/(((-5*(-48.51--5))-(-5+((-5*-48.51)*(((-5--5)+(-48.51--5))+-48.51))))-(-5+-5)))*-5)))/-5)--5)+(-5*(((-48.51*(-48.51-(-5/-5)))*(-48.51-(-48.51/(-5*-48.51))))-(-5/-5)))))</f>
        <v>-575642.505455</v>
      </c>
      <c r="C5150" t="n" s="0">
        <v>-575642.505455</v>
      </c>
    </row>
    <row r="5151">
      <c r="A5151" t="n" s="0">
        <v>-48.5</v>
      </c>
      <c r="B5151" t="n" s="0">
        <f>(-5-((((-5*(-5/((-5/(((-5*(-48.5--5))-(-5+((-5*-48.5)*(((-5--5)+(-48.5--5))+-48.5))))-(-5+-5)))*-5)))/-5)--5)+(-5*(((-48.5*(-48.5-(-5/-5)))*(-48.5-(-48.5/(-5*-48.5))))-(-5/-5)))))</f>
        <v>-575287.625</v>
      </c>
      <c r="C5151" t="n" s="0">
        <v>-575287.625</v>
      </c>
    </row>
    <row r="5152">
      <c r="A5152" t="n" s="0">
        <v>-48.49</v>
      </c>
      <c r="B5152" t="n" s="0">
        <f>(-5-((((-5*(-5/((-5/(((-5*(-48.49--5))-(-5+((-5*-48.49)*(((-5--5)+(-48.49--5))+-48.49))))-(-5+-5)))*-5)))/-5)--5)+(-5*(((-48.49*(-48.49-(-5/-5)))*(-48.49-(-48.49/(-5*-48.49))))-(-5/-5)))))</f>
        <v>-574932.890445</v>
      </c>
      <c r="C5152" t="n" s="0">
        <v>-574932.890445</v>
      </c>
    </row>
    <row r="5153">
      <c r="A5153" t="n" s="0">
        <v>-48.48</v>
      </c>
      <c r="B5153" t="n" s="0">
        <f>(-5-((((-5*(-5/((-5/(((-5*(-48.48--5))-(-5+((-5*-48.48)*(((-5--5)+(-48.48--5))+-48.48))))-(-5+-5)))*-5)))/-5)--5)+(-5*(((-48.48*(-48.48-(-5/-5)))*(-48.48-(-48.48/(-5*-48.48))))-(-5/-5)))))</f>
        <v>-574578.3017600001</v>
      </c>
      <c r="C5153" t="n" s="0">
        <v>-574578.3017599998</v>
      </c>
    </row>
    <row r="5154">
      <c r="A5154" t="n" s="0">
        <v>-48.47</v>
      </c>
      <c r="B5154" t="n" s="0">
        <f>(-5-((((-5*(-5/((-5/(((-5*(-48.47--5))-(-5+((-5*-48.47)*(((-5--5)+(-48.47--5))+-48.47))))-(-5+-5)))*-5)))/-5)--5)+(-5*(((-48.47*(-48.47-(-5/-5)))*(-48.47-(-48.47/(-5*-48.47))))-(-5/-5)))))</f>
        <v>-574223.858915</v>
      </c>
      <c r="C5154" t="n" s="0">
        <v>-574223.858915</v>
      </c>
    </row>
    <row r="5155">
      <c r="A5155" t="n" s="0">
        <v>-48.46</v>
      </c>
      <c r="B5155" t="n" s="0">
        <f>(-5-((((-5*(-5/((-5/(((-5*(-48.46--5))-(-5+((-5*-48.46)*(((-5--5)+(-48.46--5))+-48.46))))-(-5+-5)))*-5)))/-5)--5)+(-5*(((-48.46*(-48.46-(-5/-5)))*(-48.46-(-48.46/(-5*-48.46))))-(-5/-5)))))</f>
        <v>-573869.5618799999</v>
      </c>
      <c r="C5155" t="n" s="0">
        <v>-573869.56188</v>
      </c>
    </row>
    <row r="5156">
      <c r="A5156" t="n" s="0">
        <v>-48.45</v>
      </c>
      <c r="B5156" t="n" s="0">
        <f>(-5-((((-5*(-5/((-5/(((-5*(-48.45--5))-(-5+((-5*-48.45)*(((-5--5)+(-48.45--5))+-48.45))))-(-5+-5)))*-5)))/-5)--5)+(-5*(((-48.45*(-48.45-(-5/-5)))*(-48.45-(-48.45/(-5*-48.45))))-(-5/-5)))))</f>
        <v>-573515.410625</v>
      </c>
      <c r="C5156" t="n" s="0">
        <v>-573515.4106250001</v>
      </c>
    </row>
    <row r="5157">
      <c r="A5157" t="n" s="0">
        <v>-48.44</v>
      </c>
      <c r="B5157" t="n" s="0">
        <f>(-5-((((-5*(-5/((-5/(((-5*(-48.44--5))-(-5+((-5*-48.44)*(((-5--5)+(-48.44--5))+-48.44))))-(-5+-5)))*-5)))/-5)--5)+(-5*(((-48.44*(-48.44-(-5/-5)))*(-48.44-(-48.44/(-5*-48.44))))-(-5/-5)))))</f>
        <v>-573161.40512</v>
      </c>
      <c r="C5157" t="n" s="0">
        <v>-573161.4051199999</v>
      </c>
    </row>
    <row r="5158">
      <c r="A5158" t="n" s="0">
        <v>-48.43</v>
      </c>
      <c r="B5158" t="n" s="0">
        <f>(-5-((((-5*(-5/((-5/(((-5*(-48.43--5))-(-5+((-5*-48.43)*(((-5--5)+(-48.43--5))+-48.43))))-(-5+-5)))*-5)))/-5)--5)+(-5*(((-48.43*(-48.43-(-5/-5)))*(-48.43-(-48.43/(-5*-48.43))))-(-5/-5)))))</f>
        <v>-572807.545335</v>
      </c>
      <c r="C5158" t="n" s="0">
        <v>-572807.5453350001</v>
      </c>
    </row>
    <row r="5159">
      <c r="A5159" t="n" s="0">
        <v>-48.42</v>
      </c>
      <c r="B5159" t="n" s="0">
        <f>(-5-((((-5*(-5/((-5/(((-5*(-48.42--5))-(-5+((-5*-48.42)*(((-5--5)+(-48.42--5))+-48.42))))-(-5+-5)))*-5)))/-5)--5)+(-5*(((-48.42*(-48.42-(-5/-5)))*(-48.42-(-48.42/(-5*-48.42))))-(-5/-5)))))</f>
        <v>-572453.8312400001</v>
      </c>
      <c r="C5159" t="n" s="0">
        <v>-572453.8312400001</v>
      </c>
    </row>
    <row r="5160">
      <c r="A5160" t="n" s="0">
        <v>-48.41</v>
      </c>
      <c r="B5160" t="n" s="0">
        <f>(-5-((((-5*(-5/((-5/(((-5*(-48.41--5))-(-5+((-5*-48.41)*(((-5--5)+(-48.41--5))+-48.41))))-(-5+-5)))*-5)))/-5)--5)+(-5*(((-48.41*(-48.41-(-5/-5)))*(-48.41-(-48.41/(-5*-48.41))))-(-5/-5)))))</f>
        <v>-572100.2628050001</v>
      </c>
      <c r="C5160" t="n" s="0">
        <v>-572100.2628049998</v>
      </c>
    </row>
    <row r="5161">
      <c r="A5161" t="n" s="0">
        <v>-48.4</v>
      </c>
      <c r="B5161" t="n" s="0">
        <f>(-5-((((-5*(-5/((-5/(((-5*(-48.4--5))-(-5+((-5*-48.4)*(((-5--5)+(-48.4--5))+-48.4))))-(-5+-5)))*-5)))/-5)--5)+(-5*(((-48.4*(-48.4-(-5/-5)))*(-48.4-(-48.4/(-5*-48.4))))-(-5/-5)))))</f>
        <v>-571746.84</v>
      </c>
      <c r="C5161" t="n" s="0">
        <v>-571746.84</v>
      </c>
    </row>
    <row r="5162">
      <c r="A5162" t="n" s="0">
        <v>-48.39</v>
      </c>
      <c r="B5162" t="n" s="0">
        <f>(-5-((((-5*(-5/((-5/(((-5*(-48.39--5))-(-5+((-5*-48.39)*(((-5--5)+(-48.39--5))+-48.39))))-(-5+-5)))*-5)))/-5)--5)+(-5*(((-48.39*(-48.39-(-5/-5)))*(-48.39-(-48.39/(-5*-48.39))))-(-5/-5)))))</f>
        <v>-571393.5627949999</v>
      </c>
      <c r="C5162" t="n" s="0">
        <v>-571393.562795</v>
      </c>
    </row>
    <row r="5163">
      <c r="A5163" t="n" s="0">
        <v>-48.38</v>
      </c>
      <c r="B5163" t="n" s="0">
        <f>(-5-((((-5*(-5/((-5/(((-5*(-48.38--5))-(-5+((-5*-48.38)*(((-5--5)+(-48.38--5))+-48.38))))-(-5+-5)))*-5)))/-5)--5)+(-5*(((-48.38*(-48.38-(-5/-5)))*(-48.38-(-48.38/(-5*-48.38))))-(-5/-5)))))</f>
        <v>-571040.43116</v>
      </c>
      <c r="C5163" t="n" s="0">
        <v>-571040.43116</v>
      </c>
    </row>
    <row r="5164">
      <c r="A5164" t="n" s="0">
        <v>-48.37</v>
      </c>
      <c r="B5164" t="n" s="0">
        <f>(-5-((((-5*(-5/((-5/(((-5*(-48.37--5))-(-5+((-5*-48.37)*(((-5--5)+(-48.37--5))+-48.37))))-(-5+-5)))*-5)))/-5)--5)+(-5*(((-48.37*(-48.37-(-5/-5)))*(-48.37-(-48.37/(-5*-48.37))))-(-5/-5)))))</f>
        <v>-570687.445065</v>
      </c>
      <c r="C5164" t="n" s="0">
        <v>-570687.445065</v>
      </c>
    </row>
    <row r="5165">
      <c r="A5165" t="n" s="0">
        <v>-48.36</v>
      </c>
      <c r="B5165" t="n" s="0">
        <f>(-5-((((-5*(-5/((-5/(((-5*(-48.36--5))-(-5+((-5*-48.36)*(((-5--5)+(-48.36--5))+-48.36))))-(-5+-5)))*-5)))/-5)--5)+(-5*(((-48.36*(-48.36-(-5/-5)))*(-48.36-(-48.36/(-5*-48.36))))-(-5/-5)))))</f>
        <v>-570334.60448</v>
      </c>
      <c r="C5165" t="n" s="0">
        <v>-570334.60448</v>
      </c>
    </row>
    <row r="5166">
      <c r="A5166" t="n" s="0">
        <v>-48.35</v>
      </c>
      <c r="B5166" t="n" s="0">
        <f>(-5-((((-5*(-5/((-5/(((-5*(-48.35--5))-(-5+((-5*-48.35)*(((-5--5)+(-48.35--5))+-48.35))))-(-5+-5)))*-5)))/-5)--5)+(-5*(((-48.35*(-48.35-(-5/-5)))*(-48.35-(-48.35/(-5*-48.35))))-(-5/-5)))))</f>
        <v>-569981.9093749999</v>
      </c>
      <c r="C5166" t="n" s="0">
        <v>-569981.909375</v>
      </c>
    </row>
    <row r="5167">
      <c r="A5167" t="n" s="0">
        <v>-48.34</v>
      </c>
      <c r="B5167" t="n" s="0">
        <f>(-5-((((-5*(-5/((-5/(((-5*(-48.34--5))-(-5+((-5*-48.34)*(((-5--5)+(-48.34--5))+-48.34))))-(-5+-5)))*-5)))/-5)--5)+(-5*(((-48.34*(-48.34-(-5/-5)))*(-48.34-(-48.34/(-5*-48.34))))-(-5/-5)))))</f>
        <v>-569629.3597200001</v>
      </c>
      <c r="C5167" t="n" s="0">
        <v>-569629.3597200001</v>
      </c>
    </row>
    <row r="5168">
      <c r="A5168" t="n" s="0">
        <v>-48.33</v>
      </c>
      <c r="B5168" t="n" s="0">
        <f>(-5-((((-5*(-5/((-5/(((-5*(-48.33--5))-(-5+((-5*-48.33)*(((-5--5)+(-48.33--5))+-48.33))))-(-5+-5)))*-5)))/-5)--5)+(-5*(((-48.33*(-48.33-(-5/-5)))*(-48.33-(-48.33/(-5*-48.33))))-(-5/-5)))))</f>
        <v>-569276.9554849999</v>
      </c>
      <c r="C5168" t="n" s="0">
        <v>-569276.9554849999</v>
      </c>
    </row>
    <row r="5169">
      <c r="A5169" t="n" s="0">
        <v>-48.32</v>
      </c>
      <c r="B5169" t="n" s="0">
        <f>(-5-((((-5*(-5/((-5/(((-5*(-48.32--5))-(-5+((-5*-48.32)*(((-5--5)+(-48.32--5))+-48.32))))-(-5+-5)))*-5)))/-5)--5)+(-5*(((-48.32*(-48.32-(-5/-5)))*(-48.32-(-48.32/(-5*-48.32))))-(-5/-5)))))</f>
        <v>-568924.69664</v>
      </c>
      <c r="C5169" t="n" s="0">
        <v>-568924.69664</v>
      </c>
    </row>
    <row r="5170">
      <c r="A5170" t="n" s="0">
        <v>-48.31</v>
      </c>
      <c r="B5170" t="n" s="0">
        <f>(-5-((((-5*(-5/((-5/(((-5*(-48.31--5))-(-5+((-5*-48.31)*(((-5--5)+(-48.31--5))+-48.31))))-(-5+-5)))*-5)))/-5)--5)+(-5*(((-48.31*(-48.31-(-5/-5)))*(-48.31-(-48.31/(-5*-48.31))))-(-5/-5)))))</f>
        <v>-568572.583155</v>
      </c>
      <c r="C5170" t="n" s="0">
        <v>-568572.5831550001</v>
      </c>
    </row>
    <row r="5171">
      <c r="A5171" t="n" s="0">
        <v>-48.3</v>
      </c>
      <c r="B5171" t="n" s="0">
        <f>(-5-((((-5*(-5/((-5/(((-5*(-48.3--5))-(-5+((-5*-48.3)*(((-5--5)+(-48.3--5))+-48.3))))-(-5+-5)))*-5)))/-5)--5)+(-5*(((-48.3*(-48.3-(-5/-5)))*(-48.3-(-48.3/(-5*-48.3))))-(-5/-5)))))</f>
        <v>-568220.615</v>
      </c>
      <c r="C5171" t="n" s="0">
        <v>-568220.615</v>
      </c>
    </row>
    <row r="5172">
      <c r="A5172" t="n" s="0">
        <v>-48.29</v>
      </c>
      <c r="B5172" t="n" s="0">
        <f>(-5-((((-5*(-5/((-5/(((-5*(-48.29--5))-(-5+((-5*-48.29)*(((-5--5)+(-48.29--5))+-48.29))))-(-5+-5)))*-5)))/-5)--5)+(-5*(((-48.29*(-48.29-(-5/-5)))*(-48.29-(-48.29/(-5*-48.29))))-(-5/-5)))))</f>
        <v>-567868.7921450001</v>
      </c>
      <c r="C5172" t="n" s="0">
        <v>-567868.792145</v>
      </c>
    </row>
    <row r="5173">
      <c r="A5173" t="n" s="0">
        <v>-48.28</v>
      </c>
      <c r="B5173" t="n" s="0">
        <f>(-5-((((-5*(-5/((-5/(((-5*(-48.28--5))-(-5+((-5*-48.28)*(((-5--5)+(-48.28--5))+-48.28))))-(-5+-5)))*-5)))/-5)--5)+(-5*(((-48.28*(-48.28-(-5/-5)))*(-48.28-(-48.28/(-5*-48.28))))-(-5/-5)))))</f>
        <v>-567517.11456</v>
      </c>
      <c r="C5173" t="n" s="0">
        <v>-567517.11456</v>
      </c>
    </row>
    <row r="5174">
      <c r="A5174" t="n" s="0">
        <v>-48.27</v>
      </c>
      <c r="B5174" t="n" s="0">
        <f>(-5-((((-5*(-5/((-5/(((-5*(-48.27--5))-(-5+((-5*-48.27)*(((-5--5)+(-48.27--5))+-48.27))))-(-5+-5)))*-5)))/-5)--5)+(-5*(((-48.27*(-48.27-(-5/-5)))*(-48.27-(-48.27/(-5*-48.27))))-(-5/-5)))))</f>
        <v>-567165.5822150001</v>
      </c>
      <c r="C5174" t="n" s="0">
        <v>-567165.5822150002</v>
      </c>
    </row>
    <row r="5175">
      <c r="A5175" t="n" s="0">
        <v>-48.26</v>
      </c>
      <c r="B5175" t="n" s="0">
        <f>(-5-((((-5*(-5/((-5/(((-5*(-48.26--5))-(-5+((-5*-48.26)*(((-5--5)+(-48.26--5))+-48.26))))-(-5+-5)))*-5)))/-5)--5)+(-5*(((-48.26*(-48.26-(-5/-5)))*(-48.26-(-48.26/(-5*-48.26))))-(-5/-5)))))</f>
        <v>-566814.19508</v>
      </c>
      <c r="C5175" t="n" s="0">
        <v>-566814.1950799999</v>
      </c>
    </row>
    <row r="5176">
      <c r="A5176" t="n" s="0">
        <v>-48.25</v>
      </c>
      <c r="B5176" t="n" s="0">
        <f>(-5-((((-5*(-5/((-5/(((-5*(-48.25--5))-(-5+((-5*-48.25)*(((-5--5)+(-48.25--5))+-48.25))))-(-5+-5)))*-5)))/-5)--5)+(-5*(((-48.25*(-48.25-(-5/-5)))*(-48.25-(-48.25/(-5*-48.25))))-(-5/-5)))))</f>
        <v>-566462.953125</v>
      </c>
      <c r="C5176" t="n" s="0">
        <v>-566462.953125</v>
      </c>
    </row>
    <row r="5177">
      <c r="A5177" t="n" s="0">
        <v>-48.24</v>
      </c>
      <c r="B5177" t="n" s="0">
        <f>(-5-((((-5*(-5/((-5/(((-5*(-48.24--5))-(-5+((-5*-48.24)*(((-5--5)+(-48.24--5))+-48.24))))-(-5+-5)))*-5)))/-5)--5)+(-5*(((-48.24*(-48.24-(-5/-5)))*(-48.24-(-48.24/(-5*-48.24))))-(-5/-5)))))</f>
        <v>-566111.85632</v>
      </c>
      <c r="C5177" t="n" s="0">
        <v>-566111.85632</v>
      </c>
    </row>
    <row r="5178">
      <c r="A5178" t="n" s="0">
        <v>-48.23</v>
      </c>
      <c r="B5178" t="n" s="0">
        <f>(-5-((((-5*(-5/((-5/(((-5*(-48.23--5))-(-5+((-5*-48.23)*(((-5--5)+(-48.23--5))+-48.23))))-(-5+-5)))*-5)))/-5)--5)+(-5*(((-48.23*(-48.23-(-5/-5)))*(-48.23-(-48.23/(-5*-48.23))))-(-5/-5)))))</f>
        <v>-565760.904635</v>
      </c>
      <c r="C5178" t="n" s="0">
        <v>-565760.9046349998</v>
      </c>
    </row>
    <row r="5179">
      <c r="A5179" t="n" s="0">
        <v>-48.22</v>
      </c>
      <c r="B5179" t="n" s="0">
        <f>(-5-((((-5*(-5/((-5/(((-5*(-48.22--5))-(-5+((-5*-48.22)*(((-5--5)+(-48.22--5))+-48.22))))-(-5+-5)))*-5)))/-5)--5)+(-5*(((-48.22*(-48.22-(-5/-5)))*(-48.22-(-48.22/(-5*-48.22))))-(-5/-5)))))</f>
        <v>-565410.0980400001</v>
      </c>
      <c r="C5179" t="n" s="0">
        <v>-565410.0980400001</v>
      </c>
    </row>
    <row r="5180">
      <c r="A5180" t="n" s="0">
        <v>-48.21</v>
      </c>
      <c r="B5180" t="n" s="0">
        <f>(-5-((((-5*(-5/((-5/(((-5*(-48.21--5))-(-5+((-5*-48.21)*(((-5--5)+(-48.21--5))+-48.21))))-(-5+-5)))*-5)))/-5)--5)+(-5*(((-48.21*(-48.21-(-5/-5)))*(-48.21-(-48.21/(-5*-48.21))))-(-5/-5)))))</f>
        <v>-565059.436505</v>
      </c>
      <c r="C5180" t="n" s="0">
        <v>-565059.436505</v>
      </c>
    </row>
    <row r="5181">
      <c r="A5181" t="n" s="0">
        <v>-48.2</v>
      </c>
      <c r="B5181" t="n" s="0">
        <f>(-5-((((-5*(-5/((-5/(((-5*(-48.2--5))-(-5+((-5*-48.2)*(((-5--5)+(-48.2--5))+-48.2))))-(-5+-5)))*-5)))/-5)--5)+(-5*(((-48.2*(-48.2-(-5/-5)))*(-48.2-(-48.2/(-5*-48.2))))-(-5/-5)))))</f>
        <v>-564708.9199999999</v>
      </c>
      <c r="C5181" t="n" s="0">
        <v>-564708.92</v>
      </c>
    </row>
    <row r="5182">
      <c r="A5182" t="n" s="0">
        <v>-48.19</v>
      </c>
      <c r="B5182" t="n" s="0">
        <f>(-5-((((-5*(-5/((-5/(((-5*(-48.19--5))-(-5+((-5*-48.19)*(((-5--5)+(-48.19--5))+-48.19))))-(-5+-5)))*-5)))/-5)--5)+(-5*(((-48.19*(-48.19-(-5/-5)))*(-48.19-(-48.19/(-5*-48.19))))-(-5/-5)))))</f>
        <v>-564358.548495</v>
      </c>
      <c r="C5182" t="n" s="0">
        <v>-564358.5484949999</v>
      </c>
    </row>
    <row r="5183">
      <c r="A5183" t="n" s="0">
        <v>-48.18</v>
      </c>
      <c r="B5183" t="n" s="0">
        <f>(-5-((((-5*(-5/((-5/(((-5*(-48.18--5))-(-5+((-5*-48.18)*(((-5--5)+(-48.18--5))+-48.18))))-(-5+-5)))*-5)))/-5)--5)+(-5*(((-48.18*(-48.18-(-5/-5)))*(-48.18-(-48.18/(-5*-48.18))))-(-5/-5)))))</f>
        <v>-564008.32196</v>
      </c>
      <c r="C5183" t="n" s="0">
        <v>-564008.32196</v>
      </c>
    </row>
    <row r="5184">
      <c r="A5184" t="n" s="0">
        <v>-48.17</v>
      </c>
      <c r="B5184" t="n" s="0">
        <f>(-5-((((-5*(-5/((-5/(((-5*(-48.17--5))-(-5+((-5*-48.17)*(((-5--5)+(-48.17--5))+-48.17))))-(-5+-5)))*-5)))/-5)--5)+(-5*(((-48.17*(-48.17-(-5/-5)))*(-48.17-(-48.17/(-5*-48.17))))-(-5/-5)))))</f>
        <v>-563658.240365</v>
      </c>
      <c r="C5184" t="n" s="0">
        <v>-563658.240365</v>
      </c>
    </row>
    <row r="5185">
      <c r="A5185" t="n" s="0">
        <v>-48.16</v>
      </c>
      <c r="B5185" t="n" s="0">
        <f>(-5-((((-5*(-5/((-5/(((-5*(-48.16--5))-(-5+((-5*-48.16)*(((-5--5)+(-48.16--5))+-48.16))))-(-5+-5)))*-5)))/-5)--5)+(-5*(((-48.16*(-48.16-(-5/-5)))*(-48.16-(-48.16/(-5*-48.16))))-(-5/-5)))))</f>
        <v>-563308.30368</v>
      </c>
      <c r="C5185" t="n" s="0">
        <v>-563308.3036799998</v>
      </c>
    </row>
    <row r="5186">
      <c r="A5186" t="n" s="0">
        <v>-48.15</v>
      </c>
      <c r="B5186" t="n" s="0">
        <f>(-5-((((-5*(-5/((-5/(((-5*(-48.15--5))-(-5+((-5*-48.15)*(((-5--5)+(-48.15--5))+-48.15))))-(-5+-5)))*-5)))/-5)--5)+(-5*(((-48.15*(-48.15-(-5/-5)))*(-48.15-(-48.15/(-5*-48.15))))-(-5/-5)))))</f>
        <v>-562958.511875</v>
      </c>
      <c r="C5186" t="n" s="0">
        <v>-562958.5118749999</v>
      </c>
    </row>
    <row r="5187">
      <c r="A5187" t="n" s="0">
        <v>-48.14</v>
      </c>
      <c r="B5187" t="n" s="0">
        <f>(-5-((((-5*(-5/((-5/(((-5*(-48.14--5))-(-5+((-5*-48.14)*(((-5--5)+(-48.14--5))+-48.14))))-(-5+-5)))*-5)))/-5)--5)+(-5*(((-48.14*(-48.14-(-5/-5)))*(-48.14-(-48.14/(-5*-48.14))))-(-5/-5)))))</f>
        <v>-562608.8649200001</v>
      </c>
      <c r="C5187" t="n" s="0">
        <v>-562608.8649200001</v>
      </c>
    </row>
    <row r="5188">
      <c r="A5188" t="n" s="0">
        <v>-48.13</v>
      </c>
      <c r="B5188" t="n" s="0">
        <f>(-5-((((-5*(-5/((-5/(((-5*(-48.13--5))-(-5+((-5*-48.13)*(((-5--5)+(-48.13--5))+-48.13))))-(-5+-5)))*-5)))/-5)--5)+(-5*(((-48.13*(-48.13-(-5/-5)))*(-48.13-(-48.13/(-5*-48.13))))-(-5/-5)))))</f>
        <v>-562259.362785</v>
      </c>
      <c r="C5188" t="n" s="0">
        <v>-562259.3627850001</v>
      </c>
    </row>
    <row r="5189">
      <c r="A5189" t="n" s="0">
        <v>-48.12</v>
      </c>
      <c r="B5189" t="n" s="0">
        <f>(-5-((((-5*(-5/((-5/(((-5*(-48.12--5))-(-5+((-5*-48.12)*(((-5--5)+(-48.12--5))+-48.12))))-(-5+-5)))*-5)))/-5)--5)+(-5*(((-48.12*(-48.12-(-5/-5)))*(-48.12-(-48.12/(-5*-48.12))))-(-5/-5)))))</f>
        <v>-561910.00544</v>
      </c>
      <c r="C5189" t="n" s="0">
        <v>-561910.0054399999</v>
      </c>
    </row>
    <row r="5190">
      <c r="A5190" t="n" s="0">
        <v>-48.11</v>
      </c>
      <c r="B5190" t="n" s="0">
        <f>(-5-((((-5*(-5/((-5/(((-5*(-48.11--5))-(-5+((-5*-48.11)*(((-5--5)+(-48.11--5))+-48.11))))-(-5+-5)))*-5)))/-5)--5)+(-5*(((-48.11*(-48.11-(-5/-5)))*(-48.11-(-48.11/(-5*-48.11))))-(-5/-5)))))</f>
        <v>-561560.792855</v>
      </c>
      <c r="C5190" t="n" s="0">
        <v>-561560.792855</v>
      </c>
    </row>
    <row r="5191">
      <c r="A5191" t="n" s="0">
        <v>-48.1</v>
      </c>
      <c r="B5191" t="n" s="0">
        <f>(-5-((((-5*(-5/((-5/(((-5*(-48.1--5))-(-5+((-5*-48.1)*(((-5--5)+(-48.1--5))+-48.1))))-(-5+-5)))*-5)))/-5)--5)+(-5*(((-48.1*(-48.1-(-5/-5)))*(-48.1-(-48.1/(-5*-48.1))))-(-5/-5)))))</f>
        <v>-561211.7250000001</v>
      </c>
      <c r="C5191" t="n" s="0">
        <v>-561211.7250000001</v>
      </c>
    </row>
    <row r="5192">
      <c r="A5192" t="n" s="0">
        <v>-48.09</v>
      </c>
      <c r="B5192" t="n" s="0">
        <f>(-5-((((-5*(-5/((-5/(((-5*(-48.09--5))-(-5+((-5*-48.09)*(((-5--5)+(-48.09--5))+-48.09))))-(-5+-5)))*-5)))/-5)--5)+(-5*(((-48.09*(-48.09-(-5/-5)))*(-48.09-(-48.09/(-5*-48.09))))-(-5/-5)))))</f>
        <v>-560862.801845</v>
      </c>
      <c r="C5192" t="n" s="0">
        <v>-560862.8018450001</v>
      </c>
    </row>
    <row r="5193">
      <c r="A5193" t="n" s="0">
        <v>-48.08</v>
      </c>
      <c r="B5193" t="n" s="0">
        <f>(-5-((((-5*(-5/((-5/(((-5*(-48.08--5))-(-5+((-5*-48.08)*(((-5--5)+(-48.08--5))+-48.08))))-(-5+-5)))*-5)))/-5)--5)+(-5*(((-48.08*(-48.08-(-5/-5)))*(-48.08-(-48.08/(-5*-48.08))))-(-5/-5)))))</f>
        <v>-560514.0233600001</v>
      </c>
      <c r="C5193" t="n" s="0">
        <v>-560514.02336</v>
      </c>
    </row>
    <row r="5194">
      <c r="A5194" t="n" s="0">
        <v>-48.07</v>
      </c>
      <c r="B5194" t="n" s="0">
        <f>(-5-((((-5*(-5/((-5/(((-5*(-48.07--5))-(-5+((-5*-48.07)*(((-5--5)+(-48.07--5))+-48.07))))-(-5+-5)))*-5)))/-5)--5)+(-5*(((-48.07*(-48.07-(-5/-5)))*(-48.07-(-48.07/(-5*-48.07))))-(-5/-5)))))</f>
        <v>-560165.3895149999</v>
      </c>
      <c r="C5194" t="n" s="0">
        <v>-560165.3895149999</v>
      </c>
    </row>
    <row r="5195">
      <c r="A5195" t="n" s="0">
        <v>-48.06</v>
      </c>
      <c r="B5195" t="n" s="0">
        <f>(-5-((((-5*(-5/((-5/(((-5*(-48.06--5))-(-5+((-5*-48.06)*(((-5--5)+(-48.06--5))+-48.06))))-(-5+-5)))*-5)))/-5)--5)+(-5*(((-48.06*(-48.06-(-5/-5)))*(-48.06-(-48.06/(-5*-48.06))))-(-5/-5)))))</f>
        <v>-559816.90028</v>
      </c>
      <c r="C5195" t="n" s="0">
        <v>-559816.9002800002</v>
      </c>
    </row>
    <row r="5196">
      <c r="A5196" t="n" s="0">
        <v>-48.05</v>
      </c>
      <c r="B5196" t="n" s="0">
        <f>(-5-((((-5*(-5/((-5/(((-5*(-48.05--5))-(-5+((-5*-48.05)*(((-5--5)+(-48.05--5))+-48.05))))-(-5+-5)))*-5)))/-5)--5)+(-5*(((-48.05*(-48.05-(-5/-5)))*(-48.05-(-48.05/(-5*-48.05))))-(-5/-5)))))</f>
        <v>-559468.5556249999</v>
      </c>
      <c r="C5196" t="n" s="0">
        <v>-559468.5556249999</v>
      </c>
    </row>
    <row r="5197">
      <c r="A5197" t="n" s="0">
        <v>-48.04</v>
      </c>
      <c r="B5197" t="n" s="0">
        <f>(-5-((((-5*(-5/((-5/(((-5*(-48.04--5))-(-5+((-5*-48.04)*(((-5--5)+(-48.04--5))+-48.04))))-(-5+-5)))*-5)))/-5)--5)+(-5*(((-48.04*(-48.04-(-5/-5)))*(-48.04-(-48.04/(-5*-48.04))))-(-5/-5)))))</f>
        <v>-559120.35552</v>
      </c>
      <c r="C5197" t="n" s="0">
        <v>-559120.3555199999</v>
      </c>
    </row>
    <row r="5198">
      <c r="A5198" t="n" s="0">
        <v>-48.03</v>
      </c>
      <c r="B5198" t="n" s="0">
        <f>(-5-((((-5*(-5/((-5/(((-5*(-48.03--5))-(-5+((-5*-48.03)*(((-5--5)+(-48.03--5))+-48.03))))-(-5+-5)))*-5)))/-5)--5)+(-5*(((-48.03*(-48.03-(-5/-5)))*(-48.03-(-48.03/(-5*-48.03))))-(-5/-5)))))</f>
        <v>-558772.299935</v>
      </c>
      <c r="C5198" t="n" s="0">
        <v>-558772.2999349999</v>
      </c>
    </row>
    <row r="5199">
      <c r="A5199" t="n" s="0">
        <v>-48.02</v>
      </c>
      <c r="B5199" t="n" s="0">
        <f>(-5-((((-5*(-5/((-5/(((-5*(-48.02--5))-(-5+((-5*-48.02)*(((-5--5)+(-48.02--5))+-48.02))))-(-5+-5)))*-5)))/-5)--5)+(-5*(((-48.02*(-48.02-(-5/-5)))*(-48.02-(-48.02/(-5*-48.02))))-(-5/-5)))))</f>
        <v>-558424.38884</v>
      </c>
      <c r="C5199" t="n" s="0">
        <v>-558424.3888400001</v>
      </c>
    </row>
    <row r="5200">
      <c r="A5200" t="n" s="0">
        <v>-48.01</v>
      </c>
      <c r="B5200" t="n" s="0">
        <f>(-5-((((-5*(-5/((-5/(((-5*(-48.01--5))-(-5+((-5*-48.01)*(((-5--5)+(-48.01--5))+-48.01))))-(-5+-5)))*-5)))/-5)--5)+(-5*(((-48.01*(-48.01-(-5/-5)))*(-48.01-(-48.01/(-5*-48.01))))-(-5/-5)))))</f>
        <v>-558076.622205</v>
      </c>
      <c r="C5200" t="n" s="0">
        <v>-558076.622205</v>
      </c>
    </row>
    <row r="5201">
      <c r="A5201" t="n" s="0">
        <v>-48.0</v>
      </c>
      <c r="B5201" t="n" s="0">
        <f>(-5-((((-5*(-5/((-5/(((-5*(-48--5))-(-5+((-5*-48)*(((-5--5)+(-48--5))+-48))))-(-5+-5)))*-5)))/-5)--5)+(-5*(((-48*(-48-(-5/-5)))*(-48-(-48/(-5*-48))))-(-5/-5)))))</f>
        <v>-557729.0</v>
      </c>
      <c r="C5201" t="n" s="0">
        <v>-557729.0</v>
      </c>
    </row>
    <row r="5202">
      <c r="A5202" t="n" s="0">
        <v>-47.99</v>
      </c>
      <c r="B5202" t="n" s="0">
        <f>(-5-((((-5*(-5/((-5/(((-5*(-47.99--5))-(-5+((-5*-47.99)*(((-5--5)+(-47.99--5))+-47.99))))-(-5+-5)))*-5)))/-5)--5)+(-5*(((-47.99*(-47.99-(-5/-5)))*(-47.99-(-47.99/(-5*-47.99))))-(-5/-5)))))</f>
        <v>-557381.522195</v>
      </c>
      <c r="C5202" t="n" s="0">
        <v>-557381.522195</v>
      </c>
    </row>
    <row r="5203">
      <c r="A5203" t="n" s="0">
        <v>-47.98</v>
      </c>
      <c r="B5203" t="n" s="0">
        <f>(-5-((((-5*(-5/((-5/(((-5*(-47.98--5))-(-5+((-5*-47.98)*(((-5--5)+(-47.98--5))+-47.98))))-(-5+-5)))*-5)))/-5)--5)+(-5*(((-47.98*(-47.98-(-5/-5)))*(-47.98-(-47.98/(-5*-47.98))))-(-5/-5)))))</f>
        <v>-557034.1887599999</v>
      </c>
      <c r="C5203" t="n" s="0">
        <v>-557034.1887599998</v>
      </c>
    </row>
    <row r="5204">
      <c r="A5204" t="n" s="0">
        <v>-47.97</v>
      </c>
      <c r="B5204" t="n" s="0">
        <f>(-5-((((-5*(-5/((-5/(((-5*(-47.97--5))-(-5+((-5*-47.97)*(((-5--5)+(-47.97--5))+-47.97))))-(-5+-5)))*-5)))/-5)--5)+(-5*(((-47.97*(-47.97-(-5/-5)))*(-47.97-(-47.97/(-5*-47.97))))-(-5/-5)))))</f>
        <v>-556686.999665</v>
      </c>
      <c r="C5204" t="n" s="0">
        <v>-556686.999665</v>
      </c>
    </row>
    <row r="5205">
      <c r="A5205" t="n" s="0">
        <v>-47.96</v>
      </c>
      <c r="B5205" t="n" s="0">
        <f>(-5-((((-5*(-5/((-5/(((-5*(-47.96--5))-(-5+((-5*-47.96)*(((-5--5)+(-47.96--5))+-47.96))))-(-5+-5)))*-5)))/-5)--5)+(-5*(((-47.96*(-47.96-(-5/-5)))*(-47.96-(-47.96/(-5*-47.96))))-(-5/-5)))))</f>
        <v>-556339.95488</v>
      </c>
      <c r="C5205" t="n" s="0">
        <v>-556339.9548800001</v>
      </c>
    </row>
    <row r="5206">
      <c r="A5206" t="n" s="0">
        <v>-47.95</v>
      </c>
      <c r="B5206" t="n" s="0">
        <f>(-5-((((-5*(-5/((-5/(((-5*(-47.95--5))-(-5+((-5*-47.95)*(((-5--5)+(-47.95--5))+-47.95))))-(-5+-5)))*-5)))/-5)--5)+(-5*(((-47.95*(-47.95-(-5/-5)))*(-47.95-(-47.95/(-5*-47.95))))-(-5/-5)))))</f>
        <v>-555993.0543750001</v>
      </c>
      <c r="C5206" t="n" s="0">
        <v>-555993.0543750001</v>
      </c>
    </row>
    <row r="5207">
      <c r="A5207" t="n" s="0">
        <v>-47.94</v>
      </c>
      <c r="B5207" t="n" s="0">
        <f>(-5-((((-5*(-5/((-5/(((-5*(-47.94--5))-(-5+((-5*-47.94)*(((-5--5)+(-47.94--5))+-47.94))))-(-5+-5)))*-5)))/-5)--5)+(-5*(((-47.94*(-47.94-(-5/-5)))*(-47.94-(-47.94/(-5*-47.94))))-(-5/-5)))))</f>
        <v>-555646.29812</v>
      </c>
      <c r="C5207" t="n" s="0">
        <v>-555646.2981199998</v>
      </c>
    </row>
    <row r="5208">
      <c r="A5208" t="n" s="0">
        <v>-47.93</v>
      </c>
      <c r="B5208" t="n" s="0">
        <f>(-5-((((-5*(-5/((-5/(((-5*(-47.93--5))-(-5+((-5*-47.93)*(((-5--5)+(-47.93--5))+-47.93))))-(-5+-5)))*-5)))/-5)--5)+(-5*(((-47.93*(-47.93-(-5/-5)))*(-47.93-(-47.93/(-5*-47.93))))-(-5/-5)))))</f>
        <v>-555299.686085</v>
      </c>
      <c r="C5208" t="n" s="0">
        <v>-555299.686085</v>
      </c>
    </row>
    <row r="5209">
      <c r="A5209" t="n" s="0">
        <v>-47.92</v>
      </c>
      <c r="B5209" t="n" s="0">
        <f>(-5-((((-5*(-5/((-5/(((-5*(-47.92--5))-(-5+((-5*-47.92)*(((-5--5)+(-47.92--5))+-47.92))))-(-5+-5)))*-5)))/-5)--5)+(-5*(((-47.92*(-47.92-(-5/-5)))*(-47.92-(-47.92/(-5*-47.92))))-(-5/-5)))))</f>
        <v>-554953.21824</v>
      </c>
      <c r="C5209" t="n" s="0">
        <v>-554953.2182400001</v>
      </c>
    </row>
    <row r="5210">
      <c r="A5210" t="n" s="0">
        <v>-47.91</v>
      </c>
      <c r="B5210" t="n" s="0">
        <f>(-5-((((-5*(-5/((-5/(((-5*(-47.91--5))-(-5+((-5*-47.91)*(((-5--5)+(-47.91--5))+-47.91))))-(-5+-5)))*-5)))/-5)--5)+(-5*(((-47.91*(-47.91-(-5/-5)))*(-47.91-(-47.91/(-5*-47.91))))-(-5/-5)))))</f>
        <v>-554606.894555</v>
      </c>
      <c r="C5210" t="n" s="0">
        <v>-554606.8945549999</v>
      </c>
    </row>
    <row r="5211">
      <c r="A5211" t="n" s="0">
        <v>-47.9</v>
      </c>
      <c r="B5211" t="n" s="0">
        <f>(-5-((((-5*(-5/((-5/(((-5*(-47.9--5))-(-5+((-5*-47.9)*(((-5--5)+(-47.9--5))+-47.9))))-(-5+-5)))*-5)))/-5)--5)+(-5*(((-47.9*(-47.9-(-5/-5)))*(-47.9-(-47.9/(-5*-47.9))))-(-5/-5)))))</f>
        <v>-554260.7150000001</v>
      </c>
      <c r="C5211" t="n" s="0">
        <v>-554260.7149999999</v>
      </c>
    </row>
    <row r="5212">
      <c r="A5212" t="n" s="0">
        <v>-47.89</v>
      </c>
      <c r="B5212" t="n" s="0">
        <f>(-5-((((-5*(-5/((-5/(((-5*(-47.89--5))-(-5+((-5*-47.89)*(((-5--5)+(-47.89--5))+-47.89))))-(-5+-5)))*-5)))/-5)--5)+(-5*(((-47.89*(-47.89-(-5/-5)))*(-47.89-(-47.89/(-5*-47.89))))-(-5/-5)))))</f>
        <v>-553914.679545</v>
      </c>
      <c r="C5212" t="n" s="0">
        <v>-553914.6795450001</v>
      </c>
    </row>
    <row r="5213">
      <c r="A5213" t="n" s="0">
        <v>-47.88</v>
      </c>
      <c r="B5213" t="n" s="0">
        <f>(-5-((((-5*(-5/((-5/(((-5*(-47.88--5))-(-5+((-5*-47.88)*(((-5--5)+(-47.88--5))+-47.88))))-(-5+-5)))*-5)))/-5)--5)+(-5*(((-47.88*(-47.88-(-5/-5)))*(-47.88-(-47.88/(-5*-47.88))))-(-5/-5)))))</f>
        <v>-553568.78816</v>
      </c>
      <c r="C5213" t="n" s="0">
        <v>-553568.7881600001</v>
      </c>
    </row>
    <row r="5214">
      <c r="A5214" t="n" s="0">
        <v>-47.87</v>
      </c>
      <c r="B5214" t="n" s="0">
        <f>(-5-((((-5*(-5/((-5/(((-5*(-47.87--5))-(-5+((-5*-47.87)*(((-5--5)+(-47.87--5))+-47.87))))-(-5+-5)))*-5)))/-5)--5)+(-5*(((-47.87*(-47.87-(-5/-5)))*(-47.87-(-47.87/(-5*-47.87))))-(-5/-5)))))</f>
        <v>-553223.040815</v>
      </c>
      <c r="C5214" t="n" s="0">
        <v>-553223.040815</v>
      </c>
    </row>
    <row r="5215">
      <c r="A5215" t="n" s="0">
        <v>-47.86</v>
      </c>
      <c r="B5215" t="n" s="0">
        <f>(-5-((((-5*(-5/((-5/(((-5*(-47.86--5))-(-5+((-5*-47.86)*(((-5--5)+(-47.86--5))+-47.86))))-(-5+-5)))*-5)))/-5)--5)+(-5*(((-47.86*(-47.86-(-5/-5)))*(-47.86-(-47.86/(-5*-47.86))))-(-5/-5)))))</f>
        <v>-552877.43748</v>
      </c>
      <c r="C5215" t="n" s="0">
        <v>-552877.43748</v>
      </c>
    </row>
    <row r="5216">
      <c r="A5216" t="n" s="0">
        <v>-47.85</v>
      </c>
      <c r="B5216" t="n" s="0">
        <f>(-5-((((-5*(-5/((-5/(((-5*(-47.85--5))-(-5+((-5*-47.85)*(((-5--5)+(-47.85--5))+-47.85))))-(-5+-5)))*-5)))/-5)--5)+(-5*(((-47.85*(-47.85-(-5/-5)))*(-47.85-(-47.85/(-5*-47.85))))-(-5/-5)))))</f>
        <v>-552531.978125</v>
      </c>
      <c r="C5216" t="n" s="0">
        <v>-552531.9781250001</v>
      </c>
    </row>
    <row r="5217">
      <c r="A5217" t="n" s="0">
        <v>-47.84</v>
      </c>
      <c r="B5217" t="n" s="0">
        <f>(-5-((((-5*(-5/((-5/(((-5*(-47.84--5))-(-5+((-5*-47.84)*(((-5--5)+(-47.84--5))+-47.84))))-(-5+-5)))*-5)))/-5)--5)+(-5*(((-47.84*(-47.84-(-5/-5)))*(-47.84-(-47.84/(-5*-47.84))))-(-5/-5)))))</f>
        <v>-552186.66272</v>
      </c>
      <c r="C5217" t="n" s="0">
        <v>-552186.6627200001</v>
      </c>
    </row>
    <row r="5218">
      <c r="A5218" t="n" s="0">
        <v>-47.83</v>
      </c>
      <c r="B5218" t="n" s="0">
        <f>(-5-((((-5*(-5/((-5/(((-5*(-47.83--5))-(-5+((-5*-47.83)*(((-5--5)+(-47.83--5))+-47.83))))-(-5+-5)))*-5)))/-5)--5)+(-5*(((-47.83*(-47.83-(-5/-5)))*(-47.83-(-47.83/(-5*-47.83))))-(-5/-5)))))</f>
        <v>-551841.491235</v>
      </c>
      <c r="C5218" t="n" s="0">
        <v>-551841.491235</v>
      </c>
    </row>
    <row r="5219">
      <c r="A5219" t="n" s="0">
        <v>-47.82</v>
      </c>
      <c r="B5219" t="n" s="0">
        <f>(-5-((((-5*(-5/((-5/(((-5*(-47.82--5))-(-5+((-5*-47.82)*(((-5--5)+(-47.82--5))+-47.82))))-(-5+-5)))*-5)))/-5)--5)+(-5*(((-47.82*(-47.82-(-5/-5)))*(-47.82-(-47.82/(-5*-47.82))))-(-5/-5)))))</f>
        <v>-551496.4636400001</v>
      </c>
      <c r="C5219" t="n" s="0">
        <v>-551496.46364</v>
      </c>
    </row>
    <row r="5220">
      <c r="A5220" t="n" s="0">
        <v>-47.81</v>
      </c>
      <c r="B5220" t="n" s="0">
        <f>(-5-((((-5*(-5/((-5/(((-5*(-47.81--5))-(-5+((-5*-47.81)*(((-5--5)+(-47.81--5))+-47.81))))-(-5+-5)))*-5)))/-5)--5)+(-5*(((-47.81*(-47.81-(-5/-5)))*(-47.81-(-47.81/(-5*-47.81))))-(-5/-5)))))</f>
        <v>-551151.579905</v>
      </c>
      <c r="C5220" t="n" s="0">
        <v>-551151.579905</v>
      </c>
    </row>
    <row r="5221">
      <c r="A5221" t="n" s="0">
        <v>-47.8</v>
      </c>
      <c r="B5221" t="n" s="0">
        <f>(-5-((((-5*(-5/((-5/(((-5*(-47.8--5))-(-5+((-5*-47.8)*(((-5--5)+(-47.8--5))+-47.8))))-(-5+-5)))*-5)))/-5)--5)+(-5*(((-47.8*(-47.8-(-5/-5)))*(-47.8-(-47.8/(-5*-47.8))))-(-5/-5)))))</f>
        <v>-550806.8399999999</v>
      </c>
      <c r="C5221" t="n" s="0">
        <v>-550806.84</v>
      </c>
    </row>
    <row r="5222">
      <c r="A5222" t="n" s="0">
        <v>-47.79</v>
      </c>
      <c r="B5222" t="n" s="0">
        <f>(-5-((((-5*(-5/((-5/(((-5*(-47.79--5))-(-5+((-5*-47.79)*(((-5--5)+(-47.79--5))+-47.79))))-(-5+-5)))*-5)))/-5)--5)+(-5*(((-47.79*(-47.79-(-5/-5)))*(-47.79-(-47.79/(-5*-47.79))))-(-5/-5)))))</f>
        <v>-550462.243895</v>
      </c>
      <c r="C5222" t="n" s="0">
        <v>-550462.243895</v>
      </c>
    </row>
    <row r="5223">
      <c r="A5223" t="n" s="0">
        <v>-47.78</v>
      </c>
      <c r="B5223" t="n" s="0">
        <f>(-5-((((-5*(-5/((-5/(((-5*(-47.78--5))-(-5+((-5*-47.78)*(((-5--5)+(-47.78--5))+-47.78))))-(-5+-5)))*-5)))/-5)--5)+(-5*(((-47.78*(-47.78-(-5/-5)))*(-47.78-(-47.78/(-5*-47.78))))-(-5/-5)))))</f>
        <v>-550117.7915599999</v>
      </c>
      <c r="C5223" t="n" s="0">
        <v>-550117.7915599999</v>
      </c>
    </row>
    <row r="5224">
      <c r="A5224" t="n" s="0">
        <v>-47.77</v>
      </c>
      <c r="B5224" t="n" s="0">
        <f>(-5-((((-5*(-5/((-5/(((-5*(-47.77--5))-(-5+((-5*-47.77)*(((-5--5)+(-47.77--5))+-47.77))))-(-5+-5)))*-5)))/-5)--5)+(-5*(((-47.77*(-47.77-(-5/-5)))*(-47.77-(-47.77/(-5*-47.77))))-(-5/-5)))))</f>
        <v>-549773.482965</v>
      </c>
      <c r="C5224" t="n" s="0">
        <v>-549773.4829650002</v>
      </c>
    </row>
    <row r="5225">
      <c r="A5225" t="n" s="0">
        <v>-47.76</v>
      </c>
      <c r="B5225" t="n" s="0">
        <f>(-5-((((-5*(-5/((-5/(((-5*(-47.76--5))-(-5+((-5*-47.76)*(((-5--5)+(-47.76--5))+-47.76))))-(-5+-5)))*-5)))/-5)--5)+(-5*(((-47.76*(-47.76-(-5/-5)))*(-47.76-(-47.76/(-5*-47.76))))-(-5/-5)))))</f>
        <v>-549429.31808</v>
      </c>
      <c r="C5225" t="n" s="0">
        <v>-549429.31808</v>
      </c>
    </row>
    <row r="5226">
      <c r="A5226" t="n" s="0">
        <v>-47.75</v>
      </c>
      <c r="B5226" t="n" s="0">
        <f>(-5-((((-5*(-5/((-5/(((-5*(-47.75--5))-(-5+((-5*-47.75)*(((-5--5)+(-47.75--5))+-47.75))))-(-5+-5)))*-5)))/-5)--5)+(-5*(((-47.75*(-47.75-(-5/-5)))*(-47.75-(-47.75/(-5*-47.75))))-(-5/-5)))))</f>
        <v>-549085.296875</v>
      </c>
      <c r="C5226" t="n" s="0">
        <v>-549085.296875</v>
      </c>
    </row>
    <row r="5227">
      <c r="A5227" t="n" s="0">
        <v>-47.74</v>
      </c>
      <c r="B5227" t="n" s="0">
        <f>(-5-((((-5*(-5/((-5/(((-5*(-47.74--5))-(-5+((-5*-47.74)*(((-5--5)+(-47.74--5))+-47.74))))-(-5+-5)))*-5)))/-5)--5)+(-5*(((-47.74*(-47.74-(-5/-5)))*(-47.74-(-47.74/(-5*-47.74))))-(-5/-5)))))</f>
        <v>-548741.41932</v>
      </c>
      <c r="C5227" t="n" s="0">
        <v>-548741.41932</v>
      </c>
    </row>
    <row r="5228">
      <c r="A5228" t="n" s="0">
        <v>-47.73</v>
      </c>
      <c r="B5228" t="n" s="0">
        <f>(-5-((((-5*(-5/((-5/(((-5*(-47.73--5))-(-5+((-5*-47.73)*(((-5--5)+(-47.73--5))+-47.73))))-(-5+-5)))*-5)))/-5)--5)+(-5*(((-47.73*(-47.73-(-5/-5)))*(-47.73-(-47.73/(-5*-47.73))))-(-5/-5)))))</f>
        <v>-548397.6853850001</v>
      </c>
      <c r="C5228" t="n" s="0">
        <v>-548397.6853849998</v>
      </c>
    </row>
    <row r="5229">
      <c r="A5229" t="n" s="0">
        <v>-47.72</v>
      </c>
      <c r="B5229" t="n" s="0">
        <f>(-5-((((-5*(-5/((-5/(((-5*(-47.72--5))-(-5+((-5*-47.72)*(((-5--5)+(-47.72--5))+-47.72))))-(-5+-5)))*-5)))/-5)--5)+(-5*(((-47.72*(-47.72-(-5/-5)))*(-47.72-(-47.72/(-5*-47.72))))-(-5/-5)))))</f>
        <v>-548054.09504</v>
      </c>
      <c r="C5229" t="n" s="0">
        <v>-548054.0950399999</v>
      </c>
    </row>
    <row r="5230">
      <c r="A5230" t="n" s="0">
        <v>-47.71</v>
      </c>
      <c r="B5230" t="n" s="0">
        <f>(-5-((((-5*(-5/((-5/(((-5*(-47.71--5))-(-5+((-5*-47.71)*(((-5--5)+(-47.71--5))+-47.71))))-(-5+-5)))*-5)))/-5)--5)+(-5*(((-47.71*(-47.71-(-5/-5)))*(-47.71-(-47.71/(-5*-47.71))))-(-5/-5)))))</f>
        <v>-547710.648255</v>
      </c>
      <c r="C5230" t="n" s="0">
        <v>-547710.6482550001</v>
      </c>
    </row>
    <row r="5231">
      <c r="A5231" t="n" s="0">
        <v>-47.7</v>
      </c>
      <c r="B5231" t="n" s="0">
        <f>(-5-((((-5*(-5/((-5/(((-5*(-47.7--5))-(-5+((-5*-47.7)*(((-5--5)+(-47.7--5))+-47.7))))-(-5+-5)))*-5)))/-5)--5)+(-5*(((-47.7*(-47.7-(-5/-5)))*(-47.7-(-47.7/(-5*-47.7))))-(-5/-5)))))</f>
        <v>-547367.345</v>
      </c>
      <c r="C5231" t="n" s="0">
        <v>-547367.345</v>
      </c>
    </row>
    <row r="5232">
      <c r="A5232" t="n" s="0">
        <v>-47.69</v>
      </c>
      <c r="B5232" t="n" s="0">
        <f>(-5-((((-5*(-5/((-5/(((-5*(-47.69--5))-(-5+((-5*-47.69)*(((-5--5)+(-47.69--5))+-47.69))))-(-5+-5)))*-5)))/-5)--5)+(-5*(((-47.69*(-47.69-(-5/-5)))*(-47.69-(-47.69/(-5*-47.69))))-(-5/-5)))))</f>
        <v>-547024.185245</v>
      </c>
      <c r="C5232" t="n" s="0">
        <v>-547024.185245</v>
      </c>
    </row>
    <row r="5233">
      <c r="A5233" t="n" s="0">
        <v>-47.68</v>
      </c>
      <c r="B5233" t="n" s="0">
        <f>(-5-((((-5*(-5/((-5/(((-5*(-47.68--5))-(-5+((-5*-47.68)*(((-5--5)+(-47.68--5))+-47.68))))-(-5+-5)))*-5)))/-5)--5)+(-5*(((-47.68*(-47.68-(-5/-5)))*(-47.68-(-47.68/(-5*-47.68))))-(-5/-5)))))</f>
        <v>-546681.1689599999</v>
      </c>
      <c r="C5233" t="n" s="0">
        <v>-546681.16896</v>
      </c>
    </row>
    <row r="5234">
      <c r="A5234" t="n" s="0">
        <v>-47.67</v>
      </c>
      <c r="B5234" t="n" s="0">
        <f>(-5-((((-5*(-5/((-5/(((-5*(-47.67--5))-(-5+((-5*-47.67)*(((-5--5)+(-47.67--5))+-47.67))))-(-5+-5)))*-5)))/-5)--5)+(-5*(((-47.67*(-47.67-(-5/-5)))*(-47.67-(-47.67/(-5*-47.67))))-(-5/-5)))))</f>
        <v>-546338.2961149999</v>
      </c>
      <c r="C5234" t="n" s="0">
        <v>-546338.296115</v>
      </c>
    </row>
    <row r="5235">
      <c r="A5235" t="n" s="0">
        <v>-47.66</v>
      </c>
      <c r="B5235" t="n" s="0">
        <f>(-5-((((-5*(-5/((-5/(((-5*(-47.66--5))-(-5+((-5*-47.66)*(((-5--5)+(-47.66--5))+-47.66))))-(-5+-5)))*-5)))/-5)--5)+(-5*(((-47.66*(-47.66-(-5/-5)))*(-47.66-(-47.66/(-5*-47.66))))-(-5/-5)))))</f>
        <v>-545995.56668</v>
      </c>
      <c r="C5235" t="n" s="0">
        <v>-545995.5666799999</v>
      </c>
    </row>
    <row r="5236">
      <c r="A5236" t="n" s="0">
        <v>-47.65</v>
      </c>
      <c r="B5236" t="n" s="0">
        <f>(-5-((((-5*(-5/((-5/(((-5*(-47.65--5))-(-5+((-5*-47.65)*(((-5--5)+(-47.65--5))+-47.65))))-(-5+-5)))*-5)))/-5)--5)+(-5*(((-47.65*(-47.65-(-5/-5)))*(-47.65-(-47.65/(-5*-47.65))))-(-5/-5)))))</f>
        <v>-545652.9806250001</v>
      </c>
      <c r="C5236" t="n" s="0">
        <v>-545652.980625</v>
      </c>
    </row>
    <row r="5237">
      <c r="A5237" t="n" s="0">
        <v>-47.64</v>
      </c>
      <c r="B5237" t="n" s="0">
        <f>(-5-((((-5*(-5/((-5/(((-5*(-47.64--5))-(-5+((-5*-47.64)*(((-5--5)+(-47.64--5))+-47.64))))-(-5+-5)))*-5)))/-5)--5)+(-5*(((-47.64*(-47.64-(-5/-5)))*(-47.64-(-47.64/(-5*-47.64))))-(-5/-5)))))</f>
        <v>-545310.5379199999</v>
      </c>
      <c r="C5237" t="n" s="0">
        <v>-545310.53792</v>
      </c>
    </row>
    <row r="5238">
      <c r="A5238" t="n" s="0">
        <v>-47.63</v>
      </c>
      <c r="B5238" t="n" s="0">
        <f>(-5-((((-5*(-5/((-5/(((-5*(-47.63--5))-(-5+((-5*-47.63)*(((-5--5)+(-47.63--5))+-47.63))))-(-5+-5)))*-5)))/-5)--5)+(-5*(((-47.63*(-47.63-(-5/-5)))*(-47.63-(-47.63/(-5*-47.63))))-(-5/-5)))))</f>
        <v>-544968.238535</v>
      </c>
      <c r="C5238" t="n" s="0">
        <v>-544968.2385350001</v>
      </c>
    </row>
    <row r="5239">
      <c r="A5239" t="n" s="0">
        <v>-47.62</v>
      </c>
      <c r="B5239" t="n" s="0">
        <f>(-5-((((-5*(-5/((-5/(((-5*(-47.62--5))-(-5+((-5*-47.62)*(((-5--5)+(-47.62--5))+-47.62))))-(-5+-5)))*-5)))/-5)--5)+(-5*(((-47.62*(-47.62-(-5/-5)))*(-47.62-(-47.62/(-5*-47.62))))-(-5/-5)))))</f>
        <v>-544626.0824399999</v>
      </c>
      <c r="C5239" t="n" s="0">
        <v>-544626.0824399999</v>
      </c>
    </row>
    <row r="5240">
      <c r="A5240" t="n" s="0">
        <v>-47.61</v>
      </c>
      <c r="B5240" t="n" s="0">
        <f>(-5-((((-5*(-5/((-5/(((-5*(-47.61--5))-(-5+((-5*-47.61)*(((-5--5)+(-47.61--5))+-47.61))))-(-5+-5)))*-5)))/-5)--5)+(-5*(((-47.61*(-47.61-(-5/-5)))*(-47.61-(-47.61/(-5*-47.61))))-(-5/-5)))))</f>
        <v>-544284.0696050001</v>
      </c>
      <c r="C5240" t="n" s="0">
        <v>-544284.069605</v>
      </c>
    </row>
    <row r="5241">
      <c r="A5241" t="n" s="0">
        <v>-47.6</v>
      </c>
      <c r="B5241" t="n" s="0">
        <f>(-5-((((-5*(-5/((-5/(((-5*(-47.6--5))-(-5+((-5*-47.6)*(((-5--5)+(-47.6--5))+-47.6))))-(-5+-5)))*-5)))/-5)--5)+(-5*(((-47.6*(-47.6-(-5/-5)))*(-47.6-(-47.6/(-5*-47.6))))-(-5/-5)))))</f>
        <v>-543942.2</v>
      </c>
      <c r="C5241" t="n" s="0">
        <v>-543942.2000000001</v>
      </c>
    </row>
    <row r="5242">
      <c r="A5242" t="n" s="0">
        <v>-47.59</v>
      </c>
      <c r="B5242" t="n" s="0">
        <f>(-5-((((-5*(-5/((-5/(((-5*(-47.59--5))-(-5+((-5*-47.59)*(((-5--5)+(-47.59--5))+-47.59))))-(-5+-5)))*-5)))/-5)--5)+(-5*(((-47.59*(-47.59-(-5/-5)))*(-47.59-(-47.59/(-5*-47.59))))-(-5/-5)))))</f>
        <v>-543600.4735950001</v>
      </c>
      <c r="C5242" t="n" s="0">
        <v>-543600.4735950002</v>
      </c>
    </row>
    <row r="5243">
      <c r="A5243" t="n" s="0">
        <v>-47.58</v>
      </c>
      <c r="B5243" t="n" s="0">
        <f>(-5-((((-5*(-5/((-5/(((-5*(-47.58--5))-(-5+((-5*-47.58)*(((-5--5)+(-47.58--5))+-47.58))))-(-5+-5)))*-5)))/-5)--5)+(-5*(((-47.58*(-47.58-(-5/-5)))*(-47.58-(-47.58/(-5*-47.58))))-(-5/-5)))))</f>
        <v>-543258.89036</v>
      </c>
      <c r="C5243" t="n" s="0">
        <v>-543258.89036</v>
      </c>
    </row>
    <row r="5244">
      <c r="A5244" t="n" s="0">
        <v>-47.57</v>
      </c>
      <c r="B5244" t="n" s="0">
        <f>(-5-((((-5*(-5/((-5/(((-5*(-47.57--5))-(-5+((-5*-47.57)*(((-5--5)+(-47.57--5))+-47.57))))-(-5+-5)))*-5)))/-5)--5)+(-5*(((-47.57*(-47.57-(-5/-5)))*(-47.57-(-47.57/(-5*-47.57))))-(-5/-5)))))</f>
        <v>-542917.450265</v>
      </c>
      <c r="C5244" t="n" s="0">
        <v>-542917.450265</v>
      </c>
    </row>
    <row r="5245">
      <c r="A5245" t="n" s="0">
        <v>-47.56</v>
      </c>
      <c r="B5245" t="n" s="0">
        <f>(-5-((((-5*(-5/((-5/(((-5*(-47.56--5))-(-5+((-5*-47.56)*(((-5--5)+(-47.56--5))+-47.56))))-(-5+-5)))*-5)))/-5)--5)+(-5*(((-47.56*(-47.56-(-5/-5)))*(-47.56-(-47.56/(-5*-47.56))))-(-5/-5)))))</f>
        <v>-542576.15328</v>
      </c>
      <c r="C5245" t="n" s="0">
        <v>-542576.1532800002</v>
      </c>
    </row>
    <row r="5246">
      <c r="A5246" t="n" s="0">
        <v>-47.55</v>
      </c>
      <c r="B5246" t="n" s="0">
        <f>(-5-((((-5*(-5/((-5/(((-5*(-47.55--5))-(-5+((-5*-47.55)*(((-5--5)+(-47.55--5))+-47.55))))-(-5+-5)))*-5)))/-5)--5)+(-5*(((-47.55*(-47.55-(-5/-5)))*(-47.55-(-47.55/(-5*-47.55))))-(-5/-5)))))</f>
        <v>-542234.9993749999</v>
      </c>
      <c r="C5246" t="n" s="0">
        <v>-542234.9993749999</v>
      </c>
    </row>
    <row r="5247">
      <c r="A5247" t="n" s="0">
        <v>-47.54</v>
      </c>
      <c r="B5247" t="n" s="0">
        <f>(-5-((((-5*(-5/((-5/(((-5*(-47.54--5))-(-5+((-5*-47.54)*(((-5--5)+(-47.54--5))+-47.54))))-(-5+-5)))*-5)))/-5)--5)+(-5*(((-47.54*(-47.54-(-5/-5)))*(-47.54-(-47.54/(-5*-47.54))))-(-5/-5)))))</f>
        <v>-541893.98852</v>
      </c>
      <c r="C5247" t="n" s="0">
        <v>-541893.98852</v>
      </c>
    </row>
    <row r="5248">
      <c r="A5248" t="n" s="0">
        <v>-47.53</v>
      </c>
      <c r="B5248" t="n" s="0">
        <f>(-5-((((-5*(-5/((-5/(((-5*(-47.53--5))-(-5+((-5*-47.53)*(((-5--5)+(-47.53--5))+-47.53))))-(-5+-5)))*-5)))/-5)--5)+(-5*(((-47.53*(-47.53-(-5/-5)))*(-47.53-(-47.53/(-5*-47.53))))-(-5/-5)))))</f>
        <v>-541553.1206850001</v>
      </c>
      <c r="C5248" t="n" s="0">
        <v>-541553.1206850001</v>
      </c>
    </row>
    <row r="5249">
      <c r="A5249" t="n" s="0">
        <v>-47.52</v>
      </c>
      <c r="B5249" t="n" s="0">
        <f>(-5-((((-5*(-5/((-5/(((-5*(-47.52--5))-(-5+((-5*-47.52)*(((-5--5)+(-47.52--5))+-47.52))))-(-5+-5)))*-5)))/-5)--5)+(-5*(((-47.52*(-47.52-(-5/-5)))*(-47.52-(-47.52/(-5*-47.52))))-(-5/-5)))))</f>
        <v>-541212.39584</v>
      </c>
      <c r="C5249" t="n" s="0">
        <v>-541212.3958400001</v>
      </c>
    </row>
    <row r="5250">
      <c r="A5250" t="n" s="0">
        <v>-47.51</v>
      </c>
      <c r="B5250" t="n" s="0">
        <f>(-5-((((-5*(-5/((-5/(((-5*(-47.51--5))-(-5+((-5*-47.51)*(((-5--5)+(-47.51--5))+-47.51))))-(-5+-5)))*-5)))/-5)--5)+(-5*(((-47.51*(-47.51-(-5/-5)))*(-47.51-(-47.51/(-5*-47.51))))-(-5/-5)))))</f>
        <v>-540871.813955</v>
      </c>
      <c r="C5250" t="n" s="0">
        <v>-540871.813955</v>
      </c>
    </row>
    <row r="5251">
      <c r="A5251" t="n" s="0">
        <v>-47.5</v>
      </c>
      <c r="B5251" t="n" s="0">
        <f>(-5-((((-5*(-5/((-5/(((-5*(-47.5--5))-(-5+((-5*-47.5)*(((-5--5)+(-47.5--5))+-47.5))))-(-5+-5)))*-5)))/-5)--5)+(-5*(((-47.5*(-47.5-(-5/-5)))*(-47.5-(-47.5/(-5*-47.5))))-(-5/-5)))))</f>
        <v>-540531.375</v>
      </c>
      <c r="C5251" t="n" s="0">
        <v>-540531.375</v>
      </c>
    </row>
    <row r="5252">
      <c r="A5252" t="n" s="0">
        <v>-47.49</v>
      </c>
      <c r="B5252" t="n" s="0">
        <f>(-5-((((-5*(-5/((-5/(((-5*(-47.49--5))-(-5+((-5*-47.49)*(((-5--5)+(-47.49--5))+-47.49))))-(-5+-5)))*-5)))/-5)--5)+(-5*(((-47.49*(-47.49-(-5/-5)))*(-47.49-(-47.49/(-5*-47.49))))-(-5/-5)))))</f>
        <v>-540191.078945</v>
      </c>
      <c r="C5252" t="n" s="0">
        <v>-540191.0789450001</v>
      </c>
    </row>
    <row r="5253">
      <c r="A5253" t="n" s="0">
        <v>-47.48</v>
      </c>
      <c r="B5253" t="n" s="0">
        <f>(-5-((((-5*(-5/((-5/(((-5*(-47.48--5))-(-5+((-5*-47.48)*(((-5--5)+(-47.48--5))+-47.48))))-(-5+-5)))*-5)))/-5)--5)+(-5*(((-47.48*(-47.48-(-5/-5)))*(-47.48-(-47.48/(-5*-47.48))))-(-5/-5)))))</f>
        <v>-539850.92576</v>
      </c>
      <c r="C5253" t="n" s="0">
        <v>-539850.9257599999</v>
      </c>
    </row>
    <row r="5254">
      <c r="A5254" t="n" s="0">
        <v>-47.47</v>
      </c>
      <c r="B5254" t="n" s="0">
        <f>(-5-((((-5*(-5/((-5/(((-5*(-47.47--5))-(-5+((-5*-47.47)*(((-5--5)+(-47.47--5))+-47.47))))-(-5+-5)))*-5)))/-5)--5)+(-5*(((-47.47*(-47.47-(-5/-5)))*(-47.47-(-47.47/(-5*-47.47))))-(-5/-5)))))</f>
        <v>-539510.9154149999</v>
      </c>
      <c r="C5254" t="n" s="0">
        <v>-539510.915415</v>
      </c>
    </row>
    <row r="5255">
      <c r="A5255" t="n" s="0">
        <v>-47.46</v>
      </c>
      <c r="B5255" t="n" s="0">
        <f>(-5-((((-5*(-5/((-5/(((-5*(-47.46--5))-(-5+((-5*-47.46)*(((-5--5)+(-47.46--5))+-47.46))))-(-5+-5)))*-5)))/-5)--5)+(-5*(((-47.46*(-47.46-(-5/-5)))*(-47.46-(-47.46/(-5*-47.46))))-(-5/-5)))))</f>
        <v>-539171.04788</v>
      </c>
      <c r="C5255" t="n" s="0">
        <v>-539171.04788</v>
      </c>
    </row>
    <row r="5256">
      <c r="A5256" t="n" s="0">
        <v>-47.45</v>
      </c>
      <c r="B5256" t="n" s="0">
        <f>(-5-((((-5*(-5/((-5/(((-5*(-47.45--5))-(-5+((-5*-47.45)*(((-5--5)+(-47.45--5))+-47.45))))-(-5+-5)))*-5)))/-5)--5)+(-5*(((-47.45*(-47.45-(-5/-5)))*(-47.45-(-47.45/(-5*-47.45))))-(-5/-5)))))</f>
        <v>-538831.323125</v>
      </c>
      <c r="C5256" t="n" s="0">
        <v>-538831.3231250001</v>
      </c>
    </row>
    <row r="5257">
      <c r="A5257" t="n" s="0">
        <v>-47.44</v>
      </c>
      <c r="B5257" t="n" s="0">
        <f>(-5-((((-5*(-5/((-5/(((-5*(-47.44--5))-(-5+((-5*-47.44)*(((-5--5)+(-47.44--5))+-47.44))))-(-5+-5)))*-5)))/-5)--5)+(-5*(((-47.44*(-47.44-(-5/-5)))*(-47.44-(-47.44/(-5*-47.44))))-(-5/-5)))))</f>
        <v>-538491.74112</v>
      </c>
      <c r="C5257" t="n" s="0">
        <v>-538491.7411199999</v>
      </c>
    </row>
    <row r="5258">
      <c r="A5258" t="n" s="0">
        <v>-47.43</v>
      </c>
      <c r="B5258" t="n" s="0">
        <f>(-5-((((-5*(-5/((-5/(((-5*(-47.43--5))-(-5+((-5*-47.43)*(((-5--5)+(-47.43--5))+-47.43))))-(-5+-5)))*-5)))/-5)--5)+(-5*(((-47.43*(-47.43-(-5/-5)))*(-47.43-(-47.43/(-5*-47.43))))-(-5/-5)))))</f>
        <v>-538152.301835</v>
      </c>
      <c r="C5258" t="n" s="0">
        <v>-538152.3018349999</v>
      </c>
    </row>
    <row r="5259">
      <c r="A5259" t="n" s="0">
        <v>-47.42</v>
      </c>
      <c r="B5259" t="n" s="0">
        <f>(-5-((((-5*(-5/((-5/(((-5*(-47.42--5))-(-5+((-5*-47.42)*(((-5--5)+(-47.42--5))+-47.42))))-(-5+-5)))*-5)))/-5)--5)+(-5*(((-47.42*(-47.42-(-5/-5)))*(-47.42-(-47.42/(-5*-47.42))))-(-5/-5)))))</f>
        <v>-537813.00524</v>
      </c>
      <c r="C5259" t="n" s="0">
        <v>-537813.0052400001</v>
      </c>
    </row>
    <row r="5260">
      <c r="A5260" t="n" s="0">
        <v>-47.41</v>
      </c>
      <c r="B5260" t="n" s="0">
        <f>(-5-((((-5*(-5/((-5/(((-5*(-47.41--5))-(-5+((-5*-47.41)*(((-5--5)+(-47.41--5))+-47.41))))-(-5+-5)))*-5)))/-5)--5)+(-5*(((-47.41*(-47.41-(-5/-5)))*(-47.41-(-47.41/(-5*-47.41))))-(-5/-5)))))</f>
        <v>-537473.851305</v>
      </c>
      <c r="C5260" t="n" s="0">
        <v>-537473.8513049998</v>
      </c>
    </row>
    <row r="5261">
      <c r="A5261" t="n" s="0">
        <v>-47.4</v>
      </c>
      <c r="B5261" t="n" s="0">
        <f>(-5-((((-5*(-5/((-5/(((-5*(-47.4--5))-(-5+((-5*-47.4)*(((-5--5)+(-47.4--5))+-47.4))))-(-5+-5)))*-5)))/-5)--5)+(-5*(((-47.4*(-47.4-(-5/-5)))*(-47.4-(-47.4/(-5*-47.4))))-(-5/-5)))))</f>
        <v>-537134.84</v>
      </c>
      <c r="C5261" t="n" s="0">
        <v>-537134.8399999999</v>
      </c>
    </row>
    <row r="5262">
      <c r="A5262" t="n" s="0">
        <v>-47.39</v>
      </c>
      <c r="B5262" t="n" s="0">
        <f>(-5-((((-5*(-5/((-5/(((-5*(-47.39--5))-(-5+((-5*-47.39)*(((-5--5)+(-47.39--5))+-47.39))))-(-5+-5)))*-5)))/-5)--5)+(-5*(((-47.39*(-47.39-(-5/-5)))*(-47.39-(-47.39/(-5*-47.39))))-(-5/-5)))))</f>
        <v>-536795.9712949999</v>
      </c>
      <c r="C5262" t="n" s="0">
        <v>-536795.971295</v>
      </c>
    </row>
    <row r="5263">
      <c r="A5263" t="n" s="0">
        <v>-47.38</v>
      </c>
      <c r="B5263" t="n" s="0">
        <f>(-5-((((-5*(-5/((-5/(((-5*(-47.38--5))-(-5+((-5*-47.38)*(((-5--5)+(-47.38--5))+-47.38))))-(-5+-5)))*-5)))/-5)--5)+(-5*(((-47.38*(-47.38-(-5/-5)))*(-47.38-(-47.38/(-5*-47.38))))-(-5/-5)))))</f>
        <v>-536457.2451599999</v>
      </c>
      <c r="C5263" t="n" s="0">
        <v>-536457.2451600002</v>
      </c>
    </row>
    <row r="5264">
      <c r="A5264" t="n" s="0">
        <v>-47.37</v>
      </c>
      <c r="B5264" t="n" s="0">
        <f>(-5-((((-5*(-5/((-5/(((-5*(-47.37--5))-(-5+((-5*-47.37)*(((-5--5)+(-47.37--5))+-47.37))))-(-5+-5)))*-5)))/-5)--5)+(-5*(((-47.37*(-47.37-(-5/-5)))*(-47.37-(-47.37/(-5*-47.37))))-(-5/-5)))))</f>
        <v>-536118.661565</v>
      </c>
      <c r="C5264" t="n" s="0">
        <v>-536118.661565</v>
      </c>
    </row>
    <row r="5265">
      <c r="A5265" t="n" s="0">
        <v>-47.36</v>
      </c>
      <c r="B5265" t="n" s="0">
        <f>(-5-((((-5*(-5/((-5/(((-5*(-47.36--5))-(-5+((-5*-47.36)*(((-5--5)+(-47.36--5))+-47.36))))-(-5+-5)))*-5)))/-5)--5)+(-5*(((-47.36*(-47.36-(-5/-5)))*(-47.36-(-47.36/(-5*-47.36))))-(-5/-5)))))</f>
        <v>-535780.2204799999</v>
      </c>
      <c r="C5265" t="n" s="0">
        <v>-535780.2204799999</v>
      </c>
    </row>
    <row r="5266">
      <c r="A5266" t="n" s="0">
        <v>-47.35</v>
      </c>
      <c r="B5266" t="n" s="0">
        <f>(-5-((((-5*(-5/((-5/(((-5*(-47.35--5))-(-5+((-5*-47.35)*(((-5--5)+(-47.35--5))+-47.35))))-(-5+-5)))*-5)))/-5)--5)+(-5*(((-47.35*(-47.35-(-5/-5)))*(-47.35-(-47.35/(-5*-47.35))))-(-5/-5)))))</f>
        <v>-535441.921875</v>
      </c>
      <c r="C5266" t="n" s="0">
        <v>-535441.9218750001</v>
      </c>
    </row>
    <row r="5267">
      <c r="A5267" t="n" s="0">
        <v>-47.34</v>
      </c>
      <c r="B5267" t="n" s="0">
        <f>(-5-((((-5*(-5/((-5/(((-5*(-47.34--5))-(-5+((-5*-47.34)*(((-5--5)+(-47.34--5))+-47.34))))-(-5+-5)))*-5)))/-5)--5)+(-5*(((-47.34*(-47.34-(-5/-5)))*(-47.34-(-47.34/(-5*-47.34))))-(-5/-5)))))</f>
        <v>-535103.76572</v>
      </c>
      <c r="C5267" t="n" s="0">
        <v>-535103.7657200001</v>
      </c>
    </row>
    <row r="5268">
      <c r="A5268" t="n" s="0">
        <v>-47.33</v>
      </c>
      <c r="B5268" t="n" s="0">
        <f>(-5-((((-5*(-5/((-5/(((-5*(-47.33--5))-(-5+((-5*-47.33)*(((-5--5)+(-47.33--5))+-47.33))))-(-5+-5)))*-5)))/-5)--5)+(-5*(((-47.33*(-47.33-(-5/-5)))*(-47.33-(-47.33/(-5*-47.33))))-(-5/-5)))))</f>
        <v>-534765.7519850001</v>
      </c>
      <c r="C5268" t="n" s="0">
        <v>-534765.751985</v>
      </c>
    </row>
    <row r="5269">
      <c r="A5269" t="n" s="0">
        <v>-47.32</v>
      </c>
      <c r="B5269" t="n" s="0">
        <f>(-5-((((-5*(-5/((-5/(((-5*(-47.32--5))-(-5+((-5*-47.32)*(((-5--5)+(-47.32--5))+-47.32))))-(-5+-5)))*-5)))/-5)--5)+(-5*(((-47.32*(-47.32-(-5/-5)))*(-47.32-(-47.32/(-5*-47.32))))-(-5/-5)))))</f>
        <v>-534427.88064</v>
      </c>
      <c r="C5269" t="n" s="0">
        <v>-534427.88064</v>
      </c>
    </row>
    <row r="5270">
      <c r="A5270" t="n" s="0">
        <v>-47.31</v>
      </c>
      <c r="B5270" t="n" s="0">
        <f>(-5-((((-5*(-5/((-5/(((-5*(-47.31--5))-(-5+((-5*-47.31)*(((-5--5)+(-47.31--5))+-47.31))))-(-5+-5)))*-5)))/-5)--5)+(-5*(((-47.31*(-47.31-(-5/-5)))*(-47.31-(-47.31/(-5*-47.31))))-(-5/-5)))))</f>
        <v>-534090.151655</v>
      </c>
      <c r="C5270" t="n" s="0">
        <v>-534090.151655</v>
      </c>
    </row>
    <row r="5271">
      <c r="A5271" t="n" s="0">
        <v>-47.3</v>
      </c>
      <c r="B5271" t="n" s="0">
        <f>(-5-((((-5*(-5/((-5/(((-5*(-47.3--5))-(-5+((-5*-47.3)*(((-5--5)+(-47.3--5))+-47.3))))-(-5+-5)))*-5)))/-5)--5)+(-5*(((-47.3*(-47.3-(-5/-5)))*(-47.3-(-47.3/(-5*-47.3))))-(-5/-5)))))</f>
        <v>-533752.565</v>
      </c>
      <c r="C5271" t="n" s="0">
        <v>-533752.565</v>
      </c>
    </row>
    <row r="5272">
      <c r="A5272" t="n" s="0">
        <v>-47.29</v>
      </c>
      <c r="B5272" t="n" s="0">
        <f>(-5-((((-5*(-5/((-5/(((-5*(-47.29--5))-(-5+((-5*-47.29)*(((-5--5)+(-47.29--5))+-47.29))))-(-5+-5)))*-5)))/-5)--5)+(-5*(((-47.29*(-47.29-(-5/-5)))*(-47.29-(-47.29/(-5*-47.29))))-(-5/-5)))))</f>
        <v>-533415.1206449999</v>
      </c>
      <c r="C5272" t="n" s="0">
        <v>-533415.120645</v>
      </c>
    </row>
    <row r="5273">
      <c r="A5273" t="n" s="0">
        <v>-47.28</v>
      </c>
      <c r="B5273" t="n" s="0">
        <f>(-5-((((-5*(-5/((-5/(((-5*(-47.28--5))-(-5+((-5*-47.28)*(((-5--5)+(-47.28--5))+-47.28))))-(-5+-5)))*-5)))/-5)--5)+(-5*(((-47.28*(-47.28-(-5/-5)))*(-47.28-(-47.28/(-5*-47.28))))-(-5/-5)))))</f>
        <v>-533077.8185599999</v>
      </c>
      <c r="C5273" t="n" s="0">
        <v>-533077.81856</v>
      </c>
    </row>
    <row r="5274">
      <c r="A5274" t="n" s="0">
        <v>-47.27</v>
      </c>
      <c r="B5274" t="n" s="0">
        <f>(-5-((((-5*(-5/((-5/(((-5*(-47.27--5))-(-5+((-5*-47.27)*(((-5--5)+(-47.27--5))+-47.27))))-(-5+-5)))*-5)))/-5)--5)+(-5*(((-47.27*(-47.27-(-5/-5)))*(-47.27-(-47.27/(-5*-47.27))))-(-5/-5)))))</f>
        <v>-532740.658715</v>
      </c>
      <c r="C5274" t="n" s="0">
        <v>-532740.6587150001</v>
      </c>
    </row>
    <row r="5275">
      <c r="A5275" t="n" s="0">
        <v>-47.26</v>
      </c>
      <c r="B5275" t="n" s="0">
        <f>(-5-((((-5*(-5/((-5/(((-5*(-47.26--5))-(-5+((-5*-47.26)*(((-5--5)+(-47.26--5))+-47.26))))-(-5+-5)))*-5)))/-5)--5)+(-5*(((-47.26*(-47.26-(-5/-5)))*(-47.26-(-47.26/(-5*-47.26))))-(-5/-5)))))</f>
        <v>-532403.64108</v>
      </c>
      <c r="C5275" t="n" s="0">
        <v>-532403.64108</v>
      </c>
    </row>
    <row r="5276">
      <c r="A5276" t="n" s="0">
        <v>-47.25</v>
      </c>
      <c r="B5276" t="n" s="0">
        <f>(-5-((((-5*(-5/((-5/(((-5*(-47.25--5))-(-5+((-5*-47.25)*(((-5--5)+(-47.25--5))+-47.25))))-(-5+-5)))*-5)))/-5)--5)+(-5*(((-47.25*(-47.25-(-5/-5)))*(-47.25-(-47.25/(-5*-47.25))))-(-5/-5)))))</f>
        <v>-532066.765625</v>
      </c>
      <c r="C5276" t="n" s="0">
        <v>-532066.765625</v>
      </c>
    </row>
    <row r="5277">
      <c r="A5277" t="n" s="0">
        <v>-47.24</v>
      </c>
      <c r="B5277" t="n" s="0">
        <f>(-5-((((-5*(-5/((-5/(((-5*(-47.24--5))-(-5+((-5*-47.24)*(((-5--5)+(-47.24--5))+-47.24))))-(-5+-5)))*-5)))/-5)--5)+(-5*(((-47.24*(-47.24-(-5/-5)))*(-47.24-(-47.24/(-5*-47.24))))-(-5/-5)))))</f>
        <v>-531730.03232</v>
      </c>
      <c r="C5277" t="n" s="0">
        <v>-531730.03232</v>
      </c>
    </row>
    <row r="5278">
      <c r="A5278" t="n" s="0">
        <v>-47.23</v>
      </c>
      <c r="B5278" t="n" s="0">
        <f>(-5-((((-5*(-5/((-5/(((-5*(-47.23--5))-(-5+((-5*-47.23)*(((-5--5)+(-47.23--5))+-47.23))))-(-5+-5)))*-5)))/-5)--5)+(-5*(((-47.23*(-47.23-(-5/-5)))*(-47.23-(-47.23/(-5*-47.23))))-(-5/-5)))))</f>
        <v>-531393.4411350001</v>
      </c>
      <c r="C5278" t="n" s="0">
        <v>-531393.4411349999</v>
      </c>
    </row>
    <row r="5279">
      <c r="A5279" t="n" s="0">
        <v>-47.22</v>
      </c>
      <c r="B5279" t="n" s="0">
        <f>(-5-((((-5*(-5/((-5/(((-5*(-47.22--5))-(-5+((-5*-47.22)*(((-5--5)+(-47.22--5))+-47.22))))-(-5+-5)))*-5)))/-5)--5)+(-5*(((-47.22*(-47.22-(-5/-5)))*(-47.22-(-47.22/(-5*-47.22))))-(-5/-5)))))</f>
        <v>-531056.99204</v>
      </c>
      <c r="C5279" t="n" s="0">
        <v>-531056.99204</v>
      </c>
    </row>
    <row r="5280">
      <c r="A5280" t="n" s="0">
        <v>-47.21</v>
      </c>
      <c r="B5280" t="n" s="0">
        <f>(-5-((((-5*(-5/((-5/(((-5*(-47.21--5))-(-5+((-5*-47.21)*(((-5--5)+(-47.21--5))+-47.21))))-(-5+-5)))*-5)))/-5)--5)+(-5*(((-47.21*(-47.21-(-5/-5)))*(-47.21-(-47.21/(-5*-47.21))))-(-5/-5)))))</f>
        <v>-530720.685005</v>
      </c>
      <c r="C5280" t="n" s="0">
        <v>-530720.6850050001</v>
      </c>
    </row>
    <row r="5281">
      <c r="A5281" t="n" s="0">
        <v>-47.2</v>
      </c>
      <c r="B5281" t="n" s="0">
        <f>(-5-((((-5*(-5/((-5/(((-5*(-47.2--5))-(-5+((-5*-47.2)*(((-5--5)+(-47.2--5))+-47.2))))-(-5+-5)))*-5)))/-5)--5)+(-5*(((-47.2*(-47.2-(-5/-5)))*(-47.2-(-47.2/(-5*-47.2))))-(-5/-5)))))</f>
        <v>-530384.52</v>
      </c>
      <c r="C5281" t="n" s="0">
        <v>-530384.5200000001</v>
      </c>
    </row>
    <row r="5282">
      <c r="A5282" t="n" s="0">
        <v>-47.19</v>
      </c>
      <c r="B5282" t="n" s="0">
        <f>(-5-((((-5*(-5/((-5/(((-5*(-47.19--5))-(-5+((-5*-47.19)*(((-5--5)+(-47.19--5))+-47.19))))-(-5+-5)))*-5)))/-5)--5)+(-5*(((-47.19*(-47.19-(-5/-5)))*(-47.19-(-47.19/(-5*-47.19))))-(-5/-5)))))</f>
        <v>-530048.4969949999</v>
      </c>
      <c r="C5282" t="n" s="0">
        <v>-530048.4969949998</v>
      </c>
    </row>
    <row r="5283">
      <c r="A5283" t="n" s="0">
        <v>-47.18</v>
      </c>
      <c r="B5283" t="n" s="0">
        <f>(-5-((((-5*(-5/((-5/(((-5*(-47.18--5))-(-5+((-5*-47.18)*(((-5--5)+(-47.18--5))+-47.18))))-(-5+-5)))*-5)))/-5)--5)+(-5*(((-47.18*(-47.18-(-5/-5)))*(-47.18-(-47.18/(-5*-47.18))))-(-5/-5)))))</f>
        <v>-529712.61596</v>
      </c>
      <c r="C5283" t="n" s="0">
        <v>-529712.6159600001</v>
      </c>
    </row>
    <row r="5284">
      <c r="A5284" t="n" s="0">
        <v>-47.17</v>
      </c>
      <c r="B5284" t="n" s="0">
        <f>(-5-((((-5*(-5/((-5/(((-5*(-47.17--5))-(-5+((-5*-47.17)*(((-5--5)+(-47.17--5))+-47.17))))-(-5+-5)))*-5)))/-5)--5)+(-5*(((-47.17*(-47.17-(-5/-5)))*(-47.17-(-47.17/(-5*-47.17))))-(-5/-5)))))</f>
        <v>-529376.876865</v>
      </c>
      <c r="C5284" t="n" s="0">
        <v>-529376.8768650001</v>
      </c>
    </row>
    <row r="5285">
      <c r="A5285" t="n" s="0">
        <v>-47.16</v>
      </c>
      <c r="B5285" t="n" s="0">
        <f>(-5-((((-5*(-5/((-5/(((-5*(-47.16--5))-(-5+((-5*-47.16)*(((-5--5)+(-47.16--5))+-47.16))))-(-5+-5)))*-5)))/-5)--5)+(-5*(((-47.16*(-47.16-(-5/-5)))*(-47.16-(-47.16/(-5*-47.16))))-(-5/-5)))))</f>
        <v>-529041.2796799999</v>
      </c>
      <c r="C5285" t="n" s="0">
        <v>-529041.2796799998</v>
      </c>
    </row>
    <row r="5286">
      <c r="A5286" t="n" s="0">
        <v>-47.15</v>
      </c>
      <c r="B5286" t="n" s="0">
        <f>(-5-((((-5*(-5/((-5/(((-5*(-47.15--5))-(-5+((-5*-47.15)*(((-5--5)+(-47.15--5))+-47.15))))-(-5+-5)))*-5)))/-5)--5)+(-5*(((-47.15*(-47.15-(-5/-5)))*(-47.15-(-47.15/(-5*-47.15))))-(-5/-5)))))</f>
        <v>-528705.824375</v>
      </c>
      <c r="C5286" t="n" s="0">
        <v>-528705.824375</v>
      </c>
    </row>
    <row r="5287">
      <c r="A5287" t="n" s="0">
        <v>-47.14</v>
      </c>
      <c r="B5287" t="n" s="0">
        <f>(-5-((((-5*(-5/((-5/(((-5*(-47.14--5))-(-5+((-5*-47.14)*(((-5--5)+(-47.14--5))+-47.14))))-(-5+-5)))*-5)))/-5)--5)+(-5*(((-47.14*(-47.14-(-5/-5)))*(-47.14-(-47.14/(-5*-47.14))))-(-5/-5)))))</f>
        <v>-528370.51092</v>
      </c>
      <c r="C5287" t="n" s="0">
        <v>-528370.51092</v>
      </c>
    </row>
    <row r="5288">
      <c r="A5288" t="n" s="0">
        <v>-47.13</v>
      </c>
      <c r="B5288" t="n" s="0">
        <f>(-5-((((-5*(-5/((-5/(((-5*(-47.13--5))-(-5+((-5*-47.13)*(((-5--5)+(-47.13--5))+-47.13))))-(-5+-5)))*-5)))/-5)--5)+(-5*(((-47.13*(-47.13-(-5/-5)))*(-47.13-(-47.13/(-5*-47.13))))-(-5/-5)))))</f>
        <v>-528035.339285</v>
      </c>
      <c r="C5288" t="n" s="0">
        <v>-528035.3392850001</v>
      </c>
    </row>
    <row r="5289">
      <c r="A5289" t="n" s="0">
        <v>-47.12</v>
      </c>
      <c r="B5289" t="n" s="0">
        <f>(-5-((((-5*(-5/((-5/(((-5*(-47.12--5))-(-5+((-5*-47.12)*(((-5--5)+(-47.12--5))+-47.12))))-(-5+-5)))*-5)))/-5)--5)+(-5*(((-47.12*(-47.12-(-5/-5)))*(-47.12-(-47.12/(-5*-47.12))))-(-5/-5)))))</f>
        <v>-527700.30944</v>
      </c>
      <c r="C5289" t="n" s="0">
        <v>-527700.3094399999</v>
      </c>
    </row>
    <row r="5290">
      <c r="A5290" t="n" s="0">
        <v>-47.11</v>
      </c>
      <c r="B5290" t="n" s="0">
        <f>(-5-((((-5*(-5/((-5/(((-5*(-47.11--5))-(-5+((-5*-47.11)*(((-5--5)+(-47.11--5))+-47.11))))-(-5+-5)))*-5)))/-5)--5)+(-5*(((-47.11*(-47.11-(-5/-5)))*(-47.11-(-47.11/(-5*-47.11))))-(-5/-5)))))</f>
        <v>-527365.421355</v>
      </c>
      <c r="C5290" t="n" s="0">
        <v>-527365.4213549999</v>
      </c>
    </row>
    <row r="5291">
      <c r="A5291" t="n" s="0">
        <v>-47.1</v>
      </c>
      <c r="B5291" t="n" s="0">
        <f>(-5-((((-5*(-5/((-5/(((-5*(-47.1--5))-(-5+((-5*-47.1)*(((-5--5)+(-47.1--5))+-47.1))))-(-5+-5)))*-5)))/-5)--5)+(-5*(((-47.1*(-47.1-(-5/-5)))*(-47.1-(-47.1/(-5*-47.1))))-(-5/-5)))))</f>
        <v>-527030.6749999999</v>
      </c>
      <c r="C5291" t="n" s="0">
        <v>-527030.675</v>
      </c>
    </row>
    <row r="5292">
      <c r="A5292" t="n" s="0">
        <v>-47.09</v>
      </c>
      <c r="B5292" t="n" s="0">
        <f>(-5-((((-5*(-5/((-5/(((-5*(-47.09--5))-(-5+((-5*-47.09)*(((-5--5)+(-47.09--5))+-47.09))))-(-5+-5)))*-5)))/-5)--5)+(-5*(((-47.09*(-47.09-(-5/-5)))*(-47.09-(-47.09/(-5*-47.09))))-(-5/-5)))))</f>
        <v>-526696.070345</v>
      </c>
      <c r="C5292" t="n" s="0">
        <v>-526696.0703450001</v>
      </c>
    </row>
    <row r="5293">
      <c r="A5293" t="n" s="0">
        <v>-47.08</v>
      </c>
      <c r="B5293" t="n" s="0">
        <f>(-5-((((-5*(-5/((-5/(((-5*(-47.08--5))-(-5+((-5*-47.08)*(((-5--5)+(-47.08--5))+-47.08))))-(-5+-5)))*-5)))/-5)--5)+(-5*(((-47.08*(-47.08-(-5/-5)))*(-47.08-(-47.08/(-5*-47.08))))-(-5/-5)))))</f>
        <v>-526361.60736</v>
      </c>
      <c r="C5293" t="n" s="0">
        <v>-526361.6073599999</v>
      </c>
    </row>
    <row r="5294">
      <c r="A5294" t="n" s="0">
        <v>-47.07</v>
      </c>
      <c r="B5294" t="n" s="0">
        <f>(-5-((((-5*(-5/((-5/(((-5*(-47.07--5))-(-5+((-5*-47.07)*(((-5--5)+(-47.07--5))+-47.07))))-(-5+-5)))*-5)))/-5)--5)+(-5*(((-47.07*(-47.07-(-5/-5)))*(-47.07-(-47.07/(-5*-47.07))))-(-5/-5)))))</f>
        <v>-526027.286015</v>
      </c>
      <c r="C5294" t="n" s="0">
        <v>-526027.286015</v>
      </c>
    </row>
    <row r="5295">
      <c r="A5295" t="n" s="0">
        <v>-47.06</v>
      </c>
      <c r="B5295" t="n" s="0">
        <f>(-5-((((-5*(-5/((-5/(((-5*(-47.06--5))-(-5+((-5*-47.06)*(((-5--5)+(-47.06--5))+-47.06))))-(-5+-5)))*-5)))/-5)--5)+(-5*(((-47.06*(-47.06-(-5/-5)))*(-47.06-(-47.06/(-5*-47.06))))-(-5/-5)))))</f>
        <v>-525693.10628</v>
      </c>
      <c r="C5295" t="n" s="0">
        <v>-525693.1062800002</v>
      </c>
    </row>
    <row r="5296">
      <c r="A5296" t="n" s="0">
        <v>-47.05</v>
      </c>
      <c r="B5296" t="n" s="0">
        <f>(-5-((((-5*(-5/((-5/(((-5*(-47.05--5))-(-5+((-5*-47.05)*(((-5--5)+(-47.05--5))+-47.05))))-(-5+-5)))*-5)))/-5)--5)+(-5*(((-47.05*(-47.05-(-5/-5)))*(-47.05-(-47.05/(-5*-47.05))))-(-5/-5)))))</f>
        <v>-525359.068125</v>
      </c>
      <c r="C5296" t="n" s="0">
        <v>-525359.0681249999</v>
      </c>
    </row>
    <row r="5297">
      <c r="A5297" t="n" s="0">
        <v>-47.04</v>
      </c>
      <c r="B5297" t="n" s="0">
        <f>(-5-((((-5*(-5/((-5/(((-5*(-47.04--5))-(-5+((-5*-47.04)*(((-5--5)+(-47.04--5))+-47.04))))-(-5+-5)))*-5)))/-5)--5)+(-5*(((-47.04*(-47.04-(-5/-5)))*(-47.04-(-47.04/(-5*-47.04))))-(-5/-5)))))</f>
        <v>-525025.17152</v>
      </c>
      <c r="C5297" t="n" s="0">
        <v>-525025.17152</v>
      </c>
    </row>
    <row r="5298">
      <c r="A5298" t="n" s="0">
        <v>-47.03</v>
      </c>
      <c r="B5298" t="n" s="0">
        <f>(-5-((((-5*(-5/((-5/(((-5*(-47.03--5))-(-5+((-5*-47.03)*(((-5--5)+(-47.03--5))+-47.03))))-(-5+-5)))*-5)))/-5)--5)+(-5*(((-47.03*(-47.03-(-5/-5)))*(-47.03-(-47.03/(-5*-47.03))))-(-5/-5)))))</f>
        <v>-524691.416435</v>
      </c>
      <c r="C5298" t="n" s="0">
        <v>-524691.416435</v>
      </c>
    </row>
    <row r="5299">
      <c r="A5299" t="n" s="0">
        <v>-47.02</v>
      </c>
      <c r="B5299" t="n" s="0">
        <f>(-5-((((-5*(-5/((-5/(((-5*(-47.02--5))-(-5+((-5*-47.02)*(((-5--5)+(-47.02--5))+-47.02))))-(-5+-5)))*-5)))/-5)--5)+(-5*(((-47.02*(-47.02-(-5/-5)))*(-47.02-(-47.02/(-5*-47.02))))-(-5/-5)))))</f>
        <v>-524357.80284</v>
      </c>
      <c r="C5299" t="n" s="0">
        <v>-524357.8028400001</v>
      </c>
    </row>
    <row r="5300">
      <c r="A5300" t="n" s="0">
        <v>-47.01</v>
      </c>
      <c r="B5300" t="n" s="0">
        <f>(-5-((((-5*(-5/((-5/(((-5*(-47.01--5))-(-5+((-5*-47.01)*(((-5--5)+(-47.01--5))+-47.01))))-(-5+-5)))*-5)))/-5)--5)+(-5*(((-47.01*(-47.01-(-5/-5)))*(-47.01-(-47.01/(-5*-47.01))))-(-5/-5)))))</f>
        <v>-524024.330705</v>
      </c>
      <c r="C5300" t="n" s="0">
        <v>-524024.330705</v>
      </c>
    </row>
    <row r="5301">
      <c r="A5301" t="n" s="0">
        <v>-47.0</v>
      </c>
      <c r="B5301" t="n" s="0">
        <f>(-5-((((-5*(-5/((-5/(((-5*(-47--5))-(-5+((-5*-47)*(((-5--5)+(-47--5))+-47))))-(-5+-5)))*-5)))/-5)--5)+(-5*(((-47*(-47-(-5/-5)))*(-47-(-47/(-5*-47))))-(-5/-5)))))</f>
        <v>-523691.0</v>
      </c>
      <c r="C5301" t="n" s="0">
        <v>-523691.0</v>
      </c>
    </row>
    <row r="5302">
      <c r="A5302" t="n" s="0">
        <v>-46.99</v>
      </c>
      <c r="B5302" t="n" s="0">
        <f>(-5-((((-5*(-5/((-5/(((-5*(-46.99--5))-(-5+((-5*-46.99)*(((-5--5)+(-46.99--5))+-46.99))))-(-5+-5)))*-5)))/-5)--5)+(-5*(((-46.99*(-46.99-(-5/-5)))*(-46.99-(-46.99/(-5*-46.99))))-(-5/-5)))))</f>
        <v>-523357.810695</v>
      </c>
      <c r="C5302" t="n" s="0">
        <v>-523357.81069500005</v>
      </c>
    </row>
    <row r="5303">
      <c r="A5303" t="n" s="0">
        <v>-46.98</v>
      </c>
      <c r="B5303" t="n" s="0">
        <f>(-5-((((-5*(-5/((-5/(((-5*(-46.98--5))-(-5+((-5*-46.98)*(((-5--5)+(-46.98--5))+-46.98))))-(-5+-5)))*-5)))/-5)--5)+(-5*(((-46.98*(-46.98-(-5/-5)))*(-46.98-(-46.98/(-5*-46.98))))-(-5/-5)))))</f>
        <v>-523024.76276</v>
      </c>
      <c r="C5303" t="n" s="0">
        <v>-523024.7627599999</v>
      </c>
    </row>
    <row r="5304">
      <c r="A5304" t="n" s="0">
        <v>-46.97</v>
      </c>
      <c r="B5304" t="n" s="0">
        <f>(-5-((((-5*(-5/((-5/(((-5*(-46.97--5))-(-5+((-5*-46.97)*(((-5--5)+(-46.97--5))+-46.97))))-(-5+-5)))*-5)))/-5)--5)+(-5*(((-46.97*(-46.97-(-5/-5)))*(-46.97-(-46.97/(-5*-46.97))))-(-5/-5)))))</f>
        <v>-522691.856165</v>
      </c>
      <c r="C5304" t="n" s="0">
        <v>-522691.85616499995</v>
      </c>
    </row>
    <row r="5305">
      <c r="A5305" t="n" s="0">
        <v>-46.96</v>
      </c>
      <c r="B5305" t="n" s="0">
        <f>(-5-((((-5*(-5/((-5/(((-5*(-46.96--5))-(-5+((-5*-46.96)*(((-5--5)+(-46.96--5))+-46.96))))-(-5+-5)))*-5)))/-5)--5)+(-5*(((-46.96*(-46.96-(-5/-5)))*(-46.96-(-46.96/(-5*-46.96))))-(-5/-5)))))</f>
        <v>-522359.09088</v>
      </c>
      <c r="C5305" t="n" s="0">
        <v>-522359.0908800001</v>
      </c>
    </row>
    <row r="5306">
      <c r="A5306" t="n" s="0">
        <v>-46.95</v>
      </c>
      <c r="B5306" t="n" s="0">
        <f>(-5-((((-5*(-5/((-5/(((-5*(-46.95--5))-(-5+((-5*-46.95)*(((-5--5)+(-46.95--5))+-46.95))))-(-5+-5)))*-5)))/-5)--5)+(-5*(((-46.95*(-46.95-(-5/-5)))*(-46.95-(-46.95/(-5*-46.95))))-(-5/-5)))))</f>
        <v>-522026.466875</v>
      </c>
      <c r="C5306" t="n" s="0">
        <v>-522026.4668750001</v>
      </c>
    </row>
    <row r="5307">
      <c r="A5307" t="n" s="0">
        <v>-46.94</v>
      </c>
      <c r="B5307" t="n" s="0">
        <f>(-5-((((-5*(-5/((-5/(((-5*(-46.94--5))-(-5+((-5*-46.94)*(((-5--5)+(-46.94--5))+-46.94))))-(-5+-5)))*-5)))/-5)--5)+(-5*(((-46.94*(-46.94-(-5/-5)))*(-46.94-(-46.94/(-5*-46.94))))-(-5/-5)))))</f>
        <v>-521693.98412</v>
      </c>
      <c r="C5307" t="n" s="0">
        <v>-521693.98412</v>
      </c>
    </row>
    <row r="5308">
      <c r="A5308" t="n" s="0">
        <v>-46.93</v>
      </c>
      <c r="B5308" t="n" s="0">
        <f>(-5-((((-5*(-5/((-5/(((-5*(-46.93--5))-(-5+((-5*-46.93)*(((-5--5)+(-46.93--5))+-46.93))))-(-5+-5)))*-5)))/-5)--5)+(-5*(((-46.93*(-46.93-(-5/-5)))*(-46.93-(-46.93/(-5*-46.93))))-(-5/-5)))))</f>
        <v>-521361.642585</v>
      </c>
      <c r="C5308" t="n" s="0">
        <v>-521361.64258499997</v>
      </c>
    </row>
    <row r="5309">
      <c r="A5309" t="n" s="0">
        <v>-46.92</v>
      </c>
      <c r="B5309" t="n" s="0">
        <f>(-5-((((-5*(-5/((-5/(((-5*(-46.92--5))-(-5+((-5*-46.92)*(((-5--5)+(-46.92--5))+-46.92))))-(-5+-5)))*-5)))/-5)--5)+(-5*(((-46.92*(-46.92-(-5/-5)))*(-46.92-(-46.92/(-5*-46.92))))-(-5/-5)))))</f>
        <v>-521029.44224000006</v>
      </c>
      <c r="C5309" t="n" s="0">
        <v>-521029.44224</v>
      </c>
    </row>
    <row r="5310">
      <c r="A5310" t="n" s="0">
        <v>-46.91</v>
      </c>
      <c r="B5310" t="n" s="0">
        <f>(-5-((((-5*(-5/((-5/(((-5*(-46.91--5))-(-5+((-5*-46.91)*(((-5--5)+(-46.91--5))+-46.91))))-(-5+-5)))*-5)))/-5)--5)+(-5*(((-46.91*(-46.91-(-5/-5)))*(-46.91-(-46.91/(-5*-46.91))))-(-5/-5)))))</f>
        <v>-520697.383055</v>
      </c>
      <c r="C5310" t="n" s="0">
        <v>-520697.38305499987</v>
      </c>
    </row>
    <row r="5311">
      <c r="A5311" t="n" s="0">
        <v>-46.9</v>
      </c>
      <c r="B5311" t="n" s="0">
        <f>(-5-((((-5*(-5/((-5/(((-5*(-46.9--5))-(-5+((-5*-46.9)*(((-5--5)+(-46.9--5))+-46.9))))-(-5+-5)))*-5)))/-5)--5)+(-5*(((-46.9*(-46.9-(-5/-5)))*(-46.9-(-46.9/(-5*-46.9))))-(-5/-5)))))</f>
        <v>-520365.46499999997</v>
      </c>
      <c r="C5311" t="n" s="0">
        <v>-520365.4649999999</v>
      </c>
    </row>
    <row r="5312">
      <c r="A5312" t="n" s="0">
        <v>-46.89</v>
      </c>
      <c r="B5312" t="n" s="0">
        <f>(-5-((((-5*(-5/((-5/(((-5*(-46.89--5))-(-5+((-5*-46.89)*(((-5--5)+(-46.89--5))+-46.89))))-(-5+-5)))*-5)))/-5)--5)+(-5*(((-46.89*(-46.89-(-5/-5)))*(-46.89-(-46.89/(-5*-46.89))))-(-5/-5)))))</f>
        <v>-520033.688045</v>
      </c>
      <c r="C5312" t="n" s="0">
        <v>-520033.68804499996</v>
      </c>
    </row>
    <row r="5313">
      <c r="A5313" t="n" s="0">
        <v>-46.88</v>
      </c>
      <c r="B5313" t="n" s="0">
        <f>(-5-((((-5*(-5/((-5/(((-5*(-46.88--5))-(-5+((-5*-46.88)*(((-5--5)+(-46.88--5))+-46.88))))-(-5+-5)))*-5)))/-5)--5)+(-5*(((-46.88*(-46.88-(-5/-5)))*(-46.88-(-46.88/(-5*-46.88))))-(-5/-5)))))</f>
        <v>-519702.05215999996</v>
      </c>
      <c r="C5313" t="n" s="0">
        <v>-519702.05216</v>
      </c>
    </row>
    <row r="5314">
      <c r="A5314" t="n" s="0">
        <v>-46.87</v>
      </c>
      <c r="B5314" t="n" s="0">
        <f>(-5-((((-5*(-5/((-5/(((-5*(-46.87--5))-(-5+((-5*-46.87)*(((-5--5)+(-46.87--5))+-46.87))))-(-5+-5)))*-5)))/-5)--5)+(-5*(((-46.87*(-46.87-(-5/-5)))*(-46.87-(-46.87/(-5*-46.87))))-(-5/-5)))))</f>
        <v>-519370.557315</v>
      </c>
      <c r="C5314" t="n" s="0">
        <v>-519370.55731499987</v>
      </c>
    </row>
    <row r="5315">
      <c r="A5315" t="n" s="0">
        <v>-46.86</v>
      </c>
      <c r="B5315" t="n" s="0">
        <f>(-5-((((-5*(-5/((-5/(((-5*(-46.86--5))-(-5+((-5*-46.86)*(((-5--5)+(-46.86--5))+-46.86))))-(-5+-5)))*-5)))/-5)--5)+(-5*(((-46.86*(-46.86-(-5/-5)))*(-46.86-(-46.86/(-5*-46.86))))-(-5/-5)))))</f>
        <v>-519039.20348</v>
      </c>
      <c r="C5315" t="n" s="0">
        <v>-519039.20347999997</v>
      </c>
    </row>
    <row r="5316">
      <c r="A5316" t="n" s="0">
        <v>-46.85</v>
      </c>
      <c r="B5316" t="n" s="0">
        <f>(-5-((((-5*(-5/((-5/(((-5*(-46.85--5))-(-5+((-5*-46.85)*(((-5--5)+(-46.85--5))+-46.85))))-(-5+-5)))*-5)))/-5)--5)+(-5*(((-46.85*(-46.85-(-5/-5)))*(-46.85-(-46.85/(-5*-46.85))))-(-5/-5)))))</f>
        <v>-518707.990625</v>
      </c>
      <c r="C5316" t="n" s="0">
        <v>-518707.99062500003</v>
      </c>
    </row>
    <row r="5317">
      <c r="A5317" t="n" s="0">
        <v>-46.84</v>
      </c>
      <c r="B5317" t="n" s="0">
        <f>(-5-((((-5*(-5/((-5/(((-5*(-46.84--5))-(-5+((-5*-46.84)*(((-5--5)+(-46.84--5))+-46.84))))-(-5+-5)))*-5)))/-5)--5)+(-5*(((-46.84*(-46.84-(-5/-5)))*(-46.84-(-46.84/(-5*-46.84))))-(-5/-5)))))</f>
        <v>-518376.91871999996</v>
      </c>
      <c r="C5317" t="n" s="0">
        <v>-518376.9187200002</v>
      </c>
    </row>
    <row r="5318">
      <c r="A5318" t="n" s="0">
        <v>-46.83</v>
      </c>
      <c r="B5318" t="n" s="0">
        <f>(-5-((((-5*(-5/((-5/(((-5*(-46.83--5))-(-5+((-5*-46.83)*(((-5--5)+(-46.83--5))+-46.83))))-(-5+-5)))*-5)))/-5)--5)+(-5*(((-46.83*(-46.83-(-5/-5)))*(-46.83-(-46.83/(-5*-46.83))))-(-5/-5)))))</f>
        <v>-518045.98773500003</v>
      </c>
      <c r="C5318" t="n" s="0">
        <v>-518045.9877349999</v>
      </c>
    </row>
    <row r="5319">
      <c r="A5319" t="n" s="0">
        <v>-46.82</v>
      </c>
      <c r="B5319" t="n" s="0">
        <f>(-5-((((-5*(-5/((-5/(((-5*(-46.82--5))-(-5+((-5*-46.82)*(((-5--5)+(-46.82--5))+-46.82))))-(-5+-5)))*-5)))/-5)--5)+(-5*(((-46.82*(-46.82-(-5/-5)))*(-46.82-(-46.82/(-5*-46.82))))-(-5/-5)))))</f>
        <v>-517715.19764</v>
      </c>
      <c r="C5319" t="n" s="0">
        <v>-517715.1976400001</v>
      </c>
    </row>
    <row r="5320">
      <c r="A5320" t="n" s="0">
        <v>-46.81</v>
      </c>
      <c r="B5320" t="n" s="0">
        <f>(-5-((((-5*(-5/((-5/(((-5*(-46.81--5))-(-5+((-5*-46.81)*(((-5--5)+(-46.81--5))+-46.81))))-(-5+-5)))*-5)))/-5)--5)+(-5*(((-46.81*(-46.81-(-5/-5)))*(-46.81-(-46.81/(-5*-46.81))))-(-5/-5)))))</f>
        <v>-517384.548405</v>
      </c>
      <c r="C5320" t="n" s="0">
        <v>-517384.54840500007</v>
      </c>
    </row>
    <row r="5321">
      <c r="A5321" t="n" s="0">
        <v>-46.8</v>
      </c>
      <c r="B5321" t="n" s="0">
        <f>(-5-((((-5*(-5/((-5/(((-5*(-46.8--5))-(-5+((-5*-46.8)*(((-5--5)+(-46.8--5))+-46.8))))-(-5+-5)))*-5)))/-5)--5)+(-5*(((-46.8*(-46.8-(-5/-5)))*(-46.8-(-46.8/(-5*-46.8))))-(-5/-5)))))</f>
        <v>-517054.04</v>
      </c>
      <c r="C5321" t="n" s="0">
        <v>-517054.03999999986</v>
      </c>
    </row>
    <row r="5322">
      <c r="A5322" t="n" s="0">
        <v>-46.79</v>
      </c>
      <c r="B5322" t="n" s="0">
        <f>(-5-((((-5*(-5/((-5/(((-5*(-46.79--5))-(-5+((-5*-46.79)*(((-5--5)+(-46.79--5))+-46.79))))-(-5+-5)))*-5)))/-5)--5)+(-5*(((-46.79*(-46.79-(-5/-5)))*(-46.79-(-46.79/(-5*-46.79))))-(-5/-5)))))</f>
        <v>-516723.672395</v>
      </c>
      <c r="C5322" t="n" s="0">
        <v>-516723.672395</v>
      </c>
    </row>
    <row r="5323">
      <c r="A5323" t="n" s="0">
        <v>-46.78</v>
      </c>
      <c r="B5323" t="n" s="0">
        <f>(-5-((((-5*(-5/((-5/(((-5*(-46.78--5))-(-5+((-5*-46.78)*(((-5--5)+(-46.78--5))+-46.78))))-(-5+-5)))*-5)))/-5)--5)+(-5*(((-46.78*(-46.78-(-5/-5)))*(-46.78-(-46.78/(-5*-46.78))))-(-5/-5)))))</f>
        <v>-516393.44556</v>
      </c>
      <c r="C5323" t="n" s="0">
        <v>-516393.44556000014</v>
      </c>
    </row>
    <row r="5324">
      <c r="A5324" t="n" s="0">
        <v>-46.77</v>
      </c>
      <c r="B5324" t="n" s="0">
        <f>(-5-((((-5*(-5/((-5/(((-5*(-46.77--5))-(-5+((-5*-46.77)*(((-5--5)+(-46.77--5))+-46.77))))-(-5+-5)))*-5)))/-5)--5)+(-5*(((-46.77*(-46.77-(-5/-5)))*(-46.77-(-46.77/(-5*-46.77))))-(-5/-5)))))</f>
        <v>-516063.35946500005</v>
      </c>
      <c r="C5324" t="n" s="0">
        <v>-516063.35946500016</v>
      </c>
    </row>
    <row r="5325">
      <c r="A5325" t="n" s="0">
        <v>-46.76</v>
      </c>
      <c r="B5325" t="n" s="0">
        <f>(-5-((((-5*(-5/((-5/(((-5*(-46.76--5))-(-5+((-5*-46.76)*(((-5--5)+(-46.76--5))+-46.76))))-(-5+-5)))*-5)))/-5)--5)+(-5*(((-46.76*(-46.76-(-5/-5)))*(-46.76-(-46.76/(-5*-46.76))))-(-5/-5)))))</f>
        <v>-515733.41408</v>
      </c>
      <c r="C5325" t="n" s="0">
        <v>-515733.41408</v>
      </c>
    </row>
    <row r="5326">
      <c r="A5326" t="n" s="0">
        <v>-46.75</v>
      </c>
      <c r="B5326" t="n" s="0">
        <f>(-5-((((-5*(-5/((-5/(((-5*(-46.75--5))-(-5+((-5*-46.75)*(((-5--5)+(-46.75--5))+-46.75))))-(-5+-5)))*-5)))/-5)--5)+(-5*(((-46.75*(-46.75-(-5/-5)))*(-46.75-(-46.75/(-5*-46.75))))-(-5/-5)))))</f>
        <v>-515403.609375</v>
      </c>
      <c r="C5326" t="n" s="0">
        <v>-515403.609375</v>
      </c>
    </row>
    <row r="5327">
      <c r="A5327" t="n" s="0">
        <v>-46.74</v>
      </c>
      <c r="B5327" t="n" s="0">
        <f>(-5-((((-5*(-5/((-5/(((-5*(-46.74--5))-(-5+((-5*-46.74)*(((-5--5)+(-46.74--5))+-46.74))))-(-5+-5)))*-5)))/-5)--5)+(-5*(((-46.74*(-46.74-(-5/-5)))*(-46.74-(-46.74/(-5*-46.74))))-(-5/-5)))))</f>
        <v>-515073.94532</v>
      </c>
      <c r="C5327" t="n" s="0">
        <v>-515073.94532000006</v>
      </c>
    </row>
    <row r="5328">
      <c r="A5328" t="n" s="0">
        <v>-46.73</v>
      </c>
      <c r="B5328" t="n" s="0">
        <f>(-5-((((-5*(-5/((-5/(((-5*(-46.73--5))-(-5+((-5*-46.73)*(((-5--5)+(-46.73--5))+-46.73))))-(-5+-5)))*-5)))/-5)--5)+(-5*(((-46.73*(-46.73-(-5/-5)))*(-46.73-(-46.73/(-5*-46.73))))-(-5/-5)))))</f>
        <v>-514744.421885</v>
      </c>
      <c r="C5328" t="n" s="0">
        <v>-514744.42188499984</v>
      </c>
    </row>
    <row r="5329">
      <c r="A5329" t="n" s="0">
        <v>-46.72</v>
      </c>
      <c r="B5329" t="n" s="0">
        <f>(-5-((((-5*(-5/((-5/(((-5*(-46.72--5))-(-5+((-5*-46.72)*(((-5--5)+(-46.72--5))+-46.72))))-(-5+-5)))*-5)))/-5)--5)+(-5*(((-46.72*(-46.72-(-5/-5)))*(-46.72-(-46.72/(-5*-46.72))))-(-5/-5)))))</f>
        <v>-514415.03904</v>
      </c>
      <c r="C5329" t="n" s="0">
        <v>-514415.0390399999</v>
      </c>
    </row>
    <row r="5330">
      <c r="A5330" t="n" s="0">
        <v>-46.71</v>
      </c>
      <c r="B5330" t="n" s="0">
        <f>(-5-((((-5*(-5/((-5/(((-5*(-46.71--5))-(-5+((-5*-46.71)*(((-5--5)+(-46.71--5))+-46.71))))-(-5+-5)))*-5)))/-5)--5)+(-5*(((-46.71*(-46.71-(-5/-5)))*(-46.71-(-46.71/(-5*-46.71))))-(-5/-5)))))</f>
        <v>-514085.796755</v>
      </c>
      <c r="C5330" t="n" s="0">
        <v>-514085.7967550001</v>
      </c>
    </row>
    <row r="5331">
      <c r="A5331" t="n" s="0">
        <v>-46.7</v>
      </c>
      <c r="B5331" t="n" s="0">
        <f>(-5-((((-5*(-5/((-5/(((-5*(-46.7--5))-(-5+((-5*-46.7)*(((-5--5)+(-46.7--5))+-46.7))))-(-5+-5)))*-5)))/-5)--5)+(-5*(((-46.7*(-46.7-(-5/-5)))*(-46.7-(-46.7/(-5*-46.7))))-(-5/-5)))))</f>
        <v>-513756.695</v>
      </c>
      <c r="C5331" t="n" s="0">
        <v>-513756.6950000001</v>
      </c>
    </row>
    <row r="5332">
      <c r="A5332" t="n" s="0">
        <v>-46.69</v>
      </c>
      <c r="B5332" t="n" s="0">
        <f>(-5-((((-5*(-5/((-5/(((-5*(-46.69--5))-(-5+((-5*-46.69)*(((-5--5)+(-46.69--5))+-46.69))))-(-5+-5)))*-5)))/-5)--5)+(-5*(((-46.69*(-46.69-(-5/-5)))*(-46.69-(-46.69/(-5*-46.69))))-(-5/-5)))))</f>
        <v>-513427.733745</v>
      </c>
      <c r="C5332" t="n" s="0">
        <v>-513427.733745</v>
      </c>
    </row>
    <row r="5333">
      <c r="A5333" t="n" s="0">
        <v>-46.68</v>
      </c>
      <c r="B5333" t="n" s="0">
        <f>(-5-((((-5*(-5/((-5/(((-5*(-46.68--5))-(-5+((-5*-46.68)*(((-5--5)+(-46.68--5))+-46.68))))-(-5+-5)))*-5)))/-5)--5)+(-5*(((-46.68*(-46.68-(-5/-5)))*(-46.68-(-46.68/(-5*-46.68))))-(-5/-5)))))</f>
        <v>-513098.91296</v>
      </c>
      <c r="C5333" t="n" s="0">
        <v>-513098.9129599999</v>
      </c>
    </row>
    <row r="5334">
      <c r="A5334" t="n" s="0">
        <v>-46.67</v>
      </c>
      <c r="B5334" t="n" s="0">
        <f>(-5-((((-5*(-5/((-5/(((-5*(-46.67--5))-(-5+((-5*-46.67)*(((-5--5)+(-46.67--5))+-46.67))))-(-5+-5)))*-5)))/-5)--5)+(-5*(((-46.67*(-46.67-(-5/-5)))*(-46.67-(-46.67/(-5*-46.67))))-(-5/-5)))))</f>
        <v>-512770.232615</v>
      </c>
      <c r="C5334" t="n" s="0">
        <v>-512770.23261500004</v>
      </c>
    </row>
    <row r="5335">
      <c r="A5335" t="n" s="0">
        <v>-46.66</v>
      </c>
      <c r="B5335" t="n" s="0">
        <f>(-5-((((-5*(-5/((-5/(((-5*(-46.66--5))-(-5+((-5*-46.66)*(((-5--5)+(-46.66--5))+-46.66))))-(-5+-5)))*-5)))/-5)--5)+(-5*(((-46.66*(-46.66-(-5/-5)))*(-46.66-(-46.66/(-5*-46.66))))-(-5/-5)))))</f>
        <v>-512441.69268000004</v>
      </c>
      <c r="C5335" t="n" s="0">
        <v>-512441.69267999986</v>
      </c>
    </row>
    <row r="5336">
      <c r="A5336" t="n" s="0">
        <v>-46.65</v>
      </c>
      <c r="B5336" t="n" s="0">
        <f>(-5-((((-5*(-5/((-5/(((-5*(-46.65--5))-(-5+((-5*-46.65)*(((-5--5)+(-46.65--5))+-46.65))))-(-5+-5)))*-5)))/-5)--5)+(-5*(((-46.65*(-46.65-(-5/-5)))*(-46.65-(-46.65/(-5*-46.65))))-(-5/-5)))))</f>
        <v>-512113.293125</v>
      </c>
      <c r="C5336" t="n" s="0">
        <v>-512113.29312499997</v>
      </c>
    </row>
    <row r="5337">
      <c r="A5337" t="n" s="0">
        <v>-46.64</v>
      </c>
      <c r="B5337" t="n" s="0">
        <f>(-5-((((-5*(-5/((-5/(((-5*(-46.64--5))-(-5+((-5*-46.64)*(((-5--5)+(-46.64--5))+-46.64))))-(-5+-5)))*-5)))/-5)--5)+(-5*(((-46.64*(-46.64-(-5/-5)))*(-46.64-(-46.64/(-5*-46.64))))-(-5/-5)))))</f>
        <v>-511785.03392</v>
      </c>
      <c r="C5337" t="n" s="0">
        <v>-511785.03392</v>
      </c>
    </row>
    <row r="5338">
      <c r="A5338" t="n" s="0">
        <v>-46.63</v>
      </c>
      <c r="B5338" t="n" s="0">
        <f>(-5-((((-5*(-5/((-5/(((-5*(-46.63--5))-(-5+((-5*-46.63)*(((-5--5)+(-46.63--5))+-46.63))))-(-5+-5)))*-5)))/-5)--5)+(-5*(((-46.63*(-46.63-(-5/-5)))*(-46.63-(-46.63/(-5*-46.63))))-(-5/-5)))))</f>
        <v>-511456.915035</v>
      </c>
      <c r="C5338" t="n" s="0">
        <v>-511456.91503500013</v>
      </c>
    </row>
    <row r="5339">
      <c r="A5339" t="n" s="0">
        <v>-46.62</v>
      </c>
      <c r="B5339" t="n" s="0">
        <f>(-5-((((-5*(-5/((-5/(((-5*(-46.62--5))-(-5+((-5*-46.62)*(((-5--5)+(-46.62--5))+-46.62))))-(-5+-5)))*-5)))/-5)--5)+(-5*(((-46.62*(-46.62-(-5/-5)))*(-46.62-(-46.62/(-5*-46.62))))-(-5/-5)))))</f>
        <v>-511128.93644</v>
      </c>
      <c r="C5339" t="n" s="0">
        <v>-511128.9364399999</v>
      </c>
    </row>
    <row r="5340">
      <c r="A5340" t="n" s="0">
        <v>-46.61</v>
      </c>
      <c r="B5340" t="n" s="0">
        <f>(-5-((((-5*(-5/((-5/(((-5*(-46.61--5))-(-5+((-5*-46.61)*(((-5--5)+(-46.61--5))+-46.61))))-(-5+-5)))*-5)))/-5)--5)+(-5*(((-46.61*(-46.61-(-5/-5)))*(-46.61-(-46.61/(-5*-46.61))))-(-5/-5)))))</f>
        <v>-510801.098105</v>
      </c>
      <c r="C5340" t="n" s="0">
        <v>-510801.098105</v>
      </c>
    </row>
    <row r="5341">
      <c r="A5341" t="n" s="0">
        <v>-46.6</v>
      </c>
      <c r="B5341" t="n" s="0">
        <f>(-5-((((-5*(-5/((-5/(((-5*(-46.6--5))-(-5+((-5*-46.6)*(((-5--5)+(-46.6--5))+-46.6))))-(-5+-5)))*-5)))/-5)--5)+(-5*(((-46.6*(-46.6-(-5/-5)))*(-46.6-(-46.6/(-5*-46.6))))-(-5/-5)))))</f>
        <v>-510473.39999999997</v>
      </c>
      <c r="C5341" t="n" s="0">
        <v>-510473.4</v>
      </c>
    </row>
    <row r="5342">
      <c r="A5342" t="n" s="0">
        <v>-46.59</v>
      </c>
      <c r="B5342" t="n" s="0">
        <f>(-5-((((-5*(-5/((-5/(((-5*(-46.59--5))-(-5+((-5*-46.59)*(((-5--5)+(-46.59--5))+-46.59))))-(-5+-5)))*-5)))/-5)--5)+(-5*(((-46.59*(-46.59-(-5/-5)))*(-46.59-(-46.59/(-5*-46.59))))-(-5/-5)))))</f>
        <v>-510145.842095</v>
      </c>
      <c r="C5342" t="n" s="0">
        <v>-510145.84209500015</v>
      </c>
    </row>
    <row r="5343">
      <c r="A5343" t="n" s="0">
        <v>-46.58</v>
      </c>
      <c r="B5343" t="n" s="0">
        <f>(-5-((((-5*(-5/((-5/(((-5*(-46.58--5))-(-5+((-5*-46.58)*(((-5--5)+(-46.58--5))+-46.58))))-(-5+-5)))*-5)))/-5)--5)+(-5*(((-46.58*(-46.58-(-5/-5)))*(-46.58-(-46.58/(-5*-46.58))))-(-5/-5)))))</f>
        <v>-509818.42436</v>
      </c>
      <c r="C5343" t="n" s="0">
        <v>-509818.4243599999</v>
      </c>
    </row>
    <row r="5344">
      <c r="A5344" t="n" s="0">
        <v>-46.57</v>
      </c>
      <c r="B5344" t="n" s="0">
        <f>(-5-((((-5*(-5/((-5/(((-5*(-46.57--5))-(-5+((-5*-46.57)*(((-5--5)+(-46.57--5))+-46.57))))-(-5+-5)))*-5)))/-5)--5)+(-5*(((-46.57*(-46.57-(-5/-5)))*(-46.57-(-46.57/(-5*-46.57))))-(-5/-5)))))</f>
        <v>-509491.146765</v>
      </c>
      <c r="C5344" t="n" s="0">
        <v>-509491.14676500007</v>
      </c>
    </row>
    <row r="5345">
      <c r="A5345" t="n" s="0">
        <v>-46.56</v>
      </c>
      <c r="B5345" t="n" s="0">
        <f>(-5-((((-5*(-5/((-5/(((-5*(-46.56--5))-(-5+((-5*-46.56)*(((-5--5)+(-46.56--5))+-46.56))))-(-5+-5)))*-5)))/-5)--5)+(-5*(((-46.56*(-46.56-(-5/-5)))*(-46.56-(-46.56/(-5*-46.56))))-(-5/-5)))))</f>
        <v>-509164.00928</v>
      </c>
      <c r="C5345" t="n" s="0">
        <v>-509164.0092800001</v>
      </c>
    </row>
    <row r="5346">
      <c r="A5346" t="n" s="0">
        <v>-46.55</v>
      </c>
      <c r="B5346" t="n" s="0">
        <f>(-5-((((-5*(-5/((-5/(((-5*(-46.55--5))-(-5+((-5*-46.55)*(((-5--5)+(-46.55--5))+-46.55))))-(-5+-5)))*-5)))/-5)--5)+(-5*(((-46.55*(-46.55-(-5/-5)))*(-46.55-(-46.55/(-5*-46.55))))-(-5/-5)))))</f>
        <v>-508837.01187499997</v>
      </c>
      <c r="C5346" t="n" s="0">
        <v>-508837.0118749999</v>
      </c>
    </row>
    <row r="5347">
      <c r="A5347" t="n" s="0">
        <v>-46.54</v>
      </c>
      <c r="B5347" t="n" s="0">
        <f>(-5-((((-5*(-5/((-5/(((-5*(-46.54--5))-(-5+((-5*-46.54)*(((-5--5)+(-46.54--5))+-46.54))))-(-5+-5)))*-5)))/-5)--5)+(-5*(((-46.54*(-46.54-(-5/-5)))*(-46.54-(-46.54/(-5*-46.54))))-(-5/-5)))))</f>
        <v>-508510.15452000004</v>
      </c>
      <c r="C5347" t="n" s="0">
        <v>-508510.15452</v>
      </c>
    </row>
    <row r="5348">
      <c r="A5348" t="n" s="0">
        <v>-46.53</v>
      </c>
      <c r="B5348" t="n" s="0">
        <f>(-5-((((-5*(-5/((-5/(((-5*(-46.53--5))-(-5+((-5*-46.53)*(((-5--5)+(-46.53--5))+-46.53))))-(-5+-5)))*-5)))/-5)--5)+(-5*(((-46.53*(-46.53-(-5/-5)))*(-46.53-(-46.53/(-5*-46.53))))-(-5/-5)))))</f>
        <v>-508183.437185</v>
      </c>
      <c r="C5348" t="n" s="0">
        <v>-508183.43718500005</v>
      </c>
    </row>
    <row r="5349">
      <c r="A5349" t="n" s="0">
        <v>-46.52</v>
      </c>
      <c r="B5349" t="n" s="0">
        <f>(-5-((((-5*(-5/((-5/(((-5*(-46.52--5))-(-5+((-5*-46.52)*(((-5--5)+(-46.52--5))+-46.52))))-(-5+-5)))*-5)))/-5)--5)+(-5*(((-46.52*(-46.52-(-5/-5)))*(-46.52-(-46.52/(-5*-46.52))))-(-5/-5)))))</f>
        <v>-507856.85984</v>
      </c>
      <c r="C5349" t="n" s="0">
        <v>-507856.8598400001</v>
      </c>
    </row>
    <row r="5350">
      <c r="A5350" t="n" s="0">
        <v>-46.51</v>
      </c>
      <c r="B5350" t="n" s="0">
        <f>(-5-((((-5*(-5/((-5/(((-5*(-46.51--5))-(-5+((-5*-46.51)*(((-5--5)+(-46.51--5))+-46.51))))-(-5+-5)))*-5)))/-5)--5)+(-5*(((-46.51*(-46.51-(-5/-5)))*(-46.51-(-46.51/(-5*-46.51))))-(-5/-5)))))</f>
        <v>-507530.422455</v>
      </c>
      <c r="C5350" t="n" s="0">
        <v>-507530.422455</v>
      </c>
    </row>
    <row r="5351">
      <c r="A5351" t="n" s="0">
        <v>-46.5</v>
      </c>
      <c r="B5351" t="n" s="0">
        <f>(-5-((((-5*(-5/((-5/(((-5*(-46.5--5))-(-5+((-5*-46.5)*(((-5--5)+(-46.5--5))+-46.5))))-(-5+-5)))*-5)))/-5)--5)+(-5*(((-46.5*(-46.5-(-5/-5)))*(-46.5-(-46.5/(-5*-46.5))))-(-5/-5)))))</f>
        <v>-507204.125</v>
      </c>
      <c r="C5351" t="n" s="0">
        <v>-507204.125</v>
      </c>
    </row>
    <row r="5352">
      <c r="A5352" t="n" s="0">
        <v>-46.49</v>
      </c>
      <c r="B5352" t="n" s="0">
        <f>(-5-((((-5*(-5/((-5/(((-5*(-46.49--5))-(-5+((-5*-46.49)*(((-5--5)+(-46.49--5))+-46.49))))-(-5+-5)))*-5)))/-5)--5)+(-5*(((-46.49*(-46.49-(-5/-5)))*(-46.49-(-46.49/(-5*-46.49))))-(-5/-5)))))</f>
        <v>-506877.967445</v>
      </c>
      <c r="C5352" t="n" s="0">
        <v>-506877.967445</v>
      </c>
    </row>
    <row r="5353">
      <c r="A5353" t="n" s="0">
        <v>-46.48</v>
      </c>
      <c r="B5353" t="n" s="0">
        <f>(-5-((((-5*(-5/((-5/(((-5*(-46.48--5))-(-5+((-5*-46.48)*(((-5--5)+(-46.48--5))+-46.48))))-(-5+-5)))*-5)))/-5)--5)+(-5*(((-46.48*(-46.48-(-5/-5)))*(-46.48-(-46.48/(-5*-46.48))))-(-5/-5)))))</f>
        <v>-506551.94976000005</v>
      </c>
      <c r="C5353" t="n" s="0">
        <v>-506551.94975999993</v>
      </c>
    </row>
    <row r="5354">
      <c r="A5354" t="n" s="0">
        <v>-46.47</v>
      </c>
      <c r="B5354" t="n" s="0">
        <f>(-5-((((-5*(-5/((-5/(((-5*(-46.47--5))-(-5+((-5*-46.47)*(((-5--5)+(-46.47--5))+-46.47))))-(-5+-5)))*-5)))/-5)--5)+(-5*(((-46.47*(-46.47-(-5/-5)))*(-46.47-(-46.47/(-5*-46.47))))-(-5/-5)))))</f>
        <v>-506226.071915</v>
      </c>
      <c r="C5354" t="n" s="0">
        <v>-506226.0719149999</v>
      </c>
    </row>
    <row r="5355">
      <c r="A5355" t="n" s="0">
        <v>-46.46</v>
      </c>
      <c r="B5355" t="n" s="0">
        <f>(-5-((((-5*(-5/((-5/(((-5*(-46.46--5))-(-5+((-5*-46.46)*(((-5--5)+(-46.46--5))+-46.46))))-(-5+-5)))*-5)))/-5)--5)+(-5*(((-46.46*(-46.46-(-5/-5)))*(-46.46-(-46.46/(-5*-46.46))))-(-5/-5)))))</f>
        <v>-505900.33388</v>
      </c>
      <c r="C5355" t="n" s="0">
        <v>-505900.33388</v>
      </c>
    </row>
    <row r="5356">
      <c r="A5356" t="n" s="0">
        <v>-46.45</v>
      </c>
      <c r="B5356" t="n" s="0">
        <f>(-5-((((-5*(-5/((-5/(((-5*(-46.45--5))-(-5+((-5*-46.45)*(((-5--5)+(-46.45--5))+-46.45))))-(-5+-5)))*-5)))/-5)--5)+(-5*(((-46.45*(-46.45-(-5/-5)))*(-46.45-(-46.45/(-5*-46.45))))-(-5/-5)))))</f>
        <v>-505574.735625</v>
      </c>
      <c r="C5356" t="n" s="0">
        <v>-505574.7356250001</v>
      </c>
    </row>
    <row r="5357">
      <c r="A5357" t="n" s="0">
        <v>-46.44</v>
      </c>
      <c r="B5357" t="n" s="0">
        <f>(-5-((((-5*(-5/((-5/(((-5*(-46.44--5))-(-5+((-5*-46.44)*(((-5--5)+(-46.44--5))+-46.44))))-(-5+-5)))*-5)))/-5)--5)+(-5*(((-46.44*(-46.44-(-5/-5)))*(-46.44-(-46.44/(-5*-46.44))))-(-5/-5)))))</f>
        <v>-505249.27712</v>
      </c>
      <c r="C5357" t="n" s="0">
        <v>-505249.27712</v>
      </c>
    </row>
    <row r="5358">
      <c r="A5358" t="n" s="0">
        <v>-46.43</v>
      </c>
      <c r="B5358" t="n" s="0">
        <f>(-5-((((-5*(-5/((-5/(((-5*(-46.43--5))-(-5+((-5*-46.43)*(((-5--5)+(-46.43--5))+-46.43))))-(-5+-5)))*-5)))/-5)--5)+(-5*(((-46.43*(-46.43-(-5/-5)))*(-46.43-(-46.43/(-5*-46.43))))-(-5/-5)))))</f>
        <v>-504923.958335</v>
      </c>
      <c r="C5358" t="n" s="0">
        <v>-504923.958335</v>
      </c>
    </row>
    <row r="5359">
      <c r="A5359" t="n" s="0">
        <v>-46.42</v>
      </c>
      <c r="B5359" t="n" s="0">
        <f>(-5-((((-5*(-5/((-5/(((-5*(-46.42--5))-(-5+((-5*-46.42)*(((-5--5)+(-46.42--5))+-46.42))))-(-5+-5)))*-5)))/-5)--5)+(-5*(((-46.42*(-46.42-(-5/-5)))*(-46.42-(-46.42/(-5*-46.42))))-(-5/-5)))))</f>
        <v>-504598.77923999995</v>
      </c>
      <c r="C5359" t="n" s="0">
        <v>-504598.7792400001</v>
      </c>
    </row>
    <row r="5360">
      <c r="A5360" t="n" s="0">
        <v>-46.41</v>
      </c>
      <c r="B5360" t="n" s="0">
        <f>(-5-((((-5*(-5/((-5/(((-5*(-46.41--5))-(-5+((-5*-46.41)*(((-5--5)+(-46.41--5))+-46.41))))-(-5+-5)))*-5)))/-5)--5)+(-5*(((-46.41*(-46.41-(-5/-5)))*(-46.41-(-46.41/(-5*-46.41))))-(-5/-5)))))</f>
        <v>-504273.739805</v>
      </c>
      <c r="C5360" t="n" s="0">
        <v>-504273.73980499984</v>
      </c>
    </row>
    <row r="5361">
      <c r="A5361" t="n" s="0">
        <v>-46.4</v>
      </c>
      <c r="B5361" t="n" s="0">
        <f>(-5-((((-5*(-5/((-5/(((-5*(-46.4--5))-(-5+((-5*-46.4)*(((-5--5)+(-46.4--5))+-46.4))))-(-5+-5)))*-5)))/-5)--5)+(-5*(((-46.4*(-46.4-(-5/-5)))*(-46.4-(-46.4/(-5*-46.4))))-(-5/-5)))))</f>
        <v>-503948.83999999997</v>
      </c>
      <c r="C5361" t="n" s="0">
        <v>-503948.83999999997</v>
      </c>
    </row>
    <row r="5362">
      <c r="A5362" t="n" s="0">
        <v>-46.39</v>
      </c>
      <c r="B5362" t="n" s="0">
        <f>(-5-((((-5*(-5/((-5/(((-5*(-46.39--5))-(-5+((-5*-46.39)*(((-5--5)+(-46.39--5))+-46.39))))-(-5+-5)))*-5)))/-5)--5)+(-5*(((-46.39*(-46.39-(-5/-5)))*(-46.39-(-46.39/(-5*-46.39))))-(-5/-5)))))</f>
        <v>-503624.07979499997</v>
      </c>
      <c r="C5362" t="n" s="0">
        <v>-503624.079795</v>
      </c>
    </row>
    <row r="5363">
      <c r="A5363" t="n" s="0">
        <v>-46.38</v>
      </c>
      <c r="B5363" t="n" s="0">
        <f>(-5-((((-5*(-5/((-5/(((-5*(-46.38--5))-(-5+((-5*-46.38)*(((-5--5)+(-46.38--5))+-46.38))))-(-5+-5)))*-5)))/-5)--5)+(-5*(((-46.38*(-46.38-(-5/-5)))*(-46.38-(-46.38/(-5*-46.38))))-(-5/-5)))))</f>
        <v>-503299.45915999997</v>
      </c>
      <c r="C5363" t="n" s="0">
        <v>-503299.45916000014</v>
      </c>
    </row>
    <row r="5364">
      <c r="A5364" t="n" s="0">
        <v>-46.37</v>
      </c>
      <c r="B5364" t="n" s="0">
        <f>(-5-((((-5*(-5/((-5/(((-5*(-46.37--5))-(-5+((-5*-46.37)*(((-5--5)+(-46.37--5))+-46.37))))-(-5+-5)))*-5)))/-5)--5)+(-5*(((-46.37*(-46.37-(-5/-5)))*(-46.37-(-46.37/(-5*-46.37))))-(-5/-5)))))</f>
        <v>-502974.978065</v>
      </c>
      <c r="C5364" t="n" s="0">
        <v>-502974.97806499986</v>
      </c>
    </row>
    <row r="5365">
      <c r="A5365" t="n" s="0">
        <v>-46.36</v>
      </c>
      <c r="B5365" t="n" s="0">
        <f>(-5-((((-5*(-5/((-5/(((-5*(-46.36--5))-(-5+((-5*-46.36)*(((-5--5)+(-46.36--5))+-46.36))))-(-5+-5)))*-5)))/-5)--5)+(-5*(((-46.36*(-46.36-(-5/-5)))*(-46.36-(-46.36/(-5*-46.36))))-(-5/-5)))))</f>
        <v>-502650.63648</v>
      </c>
      <c r="C5365" t="n" s="0">
        <v>-502650.63648</v>
      </c>
    </row>
    <row r="5366">
      <c r="A5366" t="n" s="0">
        <v>-46.35</v>
      </c>
      <c r="B5366" t="n" s="0">
        <f>(-5-((((-5*(-5/((-5/(((-5*(-46.35--5))-(-5+((-5*-46.35)*(((-5--5)+(-46.35--5))+-46.35))))-(-5+-5)))*-5)))/-5)--5)+(-5*(((-46.35*(-46.35-(-5/-5)))*(-46.35-(-46.35/(-5*-46.35))))-(-5/-5)))))</f>
        <v>-502326.434375</v>
      </c>
      <c r="C5366" t="n" s="0">
        <v>-502326.43437500007</v>
      </c>
    </row>
    <row r="5367">
      <c r="A5367" t="n" s="0">
        <v>-46.34</v>
      </c>
      <c r="B5367" t="n" s="0">
        <f>(-5-((((-5*(-5/((-5/(((-5*(-46.34--5))-(-5+((-5*-46.34)*(((-5--5)+(-46.34--5))+-46.34))))-(-5+-5)))*-5)))/-5)--5)+(-5*(((-46.34*(-46.34-(-5/-5)))*(-46.34-(-46.34/(-5*-46.34))))-(-5/-5)))))</f>
        <v>-502002.37172</v>
      </c>
      <c r="C5367" t="n" s="0">
        <v>-502002.3717200001</v>
      </c>
    </row>
    <row r="5368">
      <c r="A5368" t="n" s="0">
        <v>-46.33</v>
      </c>
      <c r="B5368" t="n" s="0">
        <f>(-5-((((-5*(-5/((-5/(((-5*(-46.33--5))-(-5+((-5*-46.33)*(((-5--5)+(-46.33--5))+-46.33))))-(-5+-5)))*-5)))/-5)--5)+(-5*(((-46.33*(-46.33-(-5/-5)))*(-46.33-(-46.33/(-5*-46.33))))-(-5/-5)))))</f>
        <v>-501678.448485</v>
      </c>
      <c r="C5368" t="n" s="0">
        <v>-501678.44848499994</v>
      </c>
    </row>
    <row r="5369">
      <c r="A5369" t="n" s="0">
        <v>-46.32</v>
      </c>
      <c r="B5369" t="n" s="0">
        <f>(-5-((((-5*(-5/((-5/(((-5*(-46.32--5))-(-5+((-5*-46.32)*(((-5--5)+(-46.32--5))+-46.32))))-(-5+-5)))*-5)))/-5)--5)+(-5*(((-46.32*(-46.32-(-5/-5)))*(-46.32-(-46.32/(-5*-46.32))))-(-5/-5)))))</f>
        <v>-501354.66464000003</v>
      </c>
      <c r="C5369" t="n" s="0">
        <v>-501354.6646400001</v>
      </c>
    </row>
    <row r="5370">
      <c r="A5370" t="n" s="0">
        <v>-46.31</v>
      </c>
      <c r="B5370" t="n" s="0">
        <f>(-5-((((-5*(-5/((-5/(((-5*(-46.31--5))-(-5+((-5*-46.31)*(((-5--5)+(-46.31--5))+-46.31))))-(-5+-5)))*-5)))/-5)--5)+(-5*(((-46.31*(-46.31-(-5/-5)))*(-46.31-(-46.31/(-5*-46.31))))-(-5/-5)))))</f>
        <v>-501031.02015500003</v>
      </c>
      <c r="C5370" t="n" s="0">
        <v>-501031.02015500015</v>
      </c>
    </row>
    <row r="5371">
      <c r="A5371" t="n" s="0">
        <v>-46.3</v>
      </c>
      <c r="B5371" t="n" s="0">
        <f>(-5-((((-5*(-5/((-5/(((-5*(-46.3--5))-(-5+((-5*-46.3)*(((-5--5)+(-46.3--5))+-46.3))))-(-5+-5)))*-5)))/-5)--5)+(-5*(((-46.3*(-46.3-(-5/-5)))*(-46.3-(-46.3/(-5*-46.3))))-(-5/-5)))))</f>
        <v>-500707.515</v>
      </c>
      <c r="C5371" t="n" s="0">
        <v>-500707.5149999999</v>
      </c>
    </row>
    <row r="5372">
      <c r="A5372" t="n" s="0">
        <v>-46.29</v>
      </c>
      <c r="B5372" t="n" s="0">
        <f>(-5-((((-5*(-5/((-5/(((-5*(-46.29--5))-(-5+((-5*-46.29)*(((-5--5)+(-46.29--5))+-46.29))))-(-5+-5)))*-5)))/-5)--5)+(-5*(((-46.29*(-46.29-(-5/-5)))*(-46.29-(-46.29/(-5*-46.29))))-(-5/-5)))))</f>
        <v>-500384.14914500003</v>
      </c>
      <c r="C5372" t="n" s="0">
        <v>-500384.149145</v>
      </c>
    </row>
    <row r="5373">
      <c r="A5373" t="n" s="0">
        <v>-46.28</v>
      </c>
      <c r="B5373" t="n" s="0">
        <f>(-5-((((-5*(-5/((-5/(((-5*(-46.28--5))-(-5+((-5*-46.28)*(((-5--5)+(-46.28--5))+-46.28))))-(-5+-5)))*-5)))/-5)--5)+(-5*(((-46.28*(-46.28-(-5/-5)))*(-46.28-(-46.28/(-5*-46.28))))-(-5/-5)))))</f>
        <v>-500060.92256000004</v>
      </c>
      <c r="C5373" t="n" s="0">
        <v>-500060.9225600001</v>
      </c>
    </row>
    <row r="5374">
      <c r="A5374" t="n" s="0">
        <v>-46.27</v>
      </c>
      <c r="B5374" t="n" s="0">
        <f>(-5-((((-5*(-5/((-5/(((-5*(-46.27--5))-(-5+((-5*-46.27)*(((-5--5)+(-46.27--5))+-46.27))))-(-5+-5)))*-5)))/-5)--5)+(-5*(((-46.27*(-46.27-(-5/-5)))*(-46.27-(-46.27/(-5*-46.27))))-(-5/-5)))))</f>
        <v>-499737.835215</v>
      </c>
      <c r="C5374" t="n" s="0">
        <v>-499737.8352150001</v>
      </c>
    </row>
    <row r="5375">
      <c r="A5375" t="n" s="0">
        <v>-46.26</v>
      </c>
      <c r="B5375" t="n" s="0">
        <f>(-5-((((-5*(-5/((-5/(((-5*(-46.26--5))-(-5+((-5*-46.26)*(((-5--5)+(-46.26--5))+-46.26))))-(-5+-5)))*-5)))/-5)--5)+(-5*(((-46.26*(-46.26-(-5/-5)))*(-46.26-(-46.26/(-5*-46.26))))-(-5/-5)))))</f>
        <v>-499414.88708</v>
      </c>
      <c r="C5375" t="n" s="0">
        <v>-499414.8870799999</v>
      </c>
    </row>
    <row r="5376">
      <c r="A5376" t="n" s="0">
        <v>-46.25</v>
      </c>
      <c r="B5376" t="n" s="0">
        <f>(-5-((((-5*(-5/((-5/(((-5*(-46.25--5))-(-5+((-5*-46.25)*(((-5--5)+(-46.25--5))+-46.25))))-(-5+-5)))*-5)))/-5)--5)+(-5*(((-46.25*(-46.25-(-5/-5)))*(-46.25-(-46.25/(-5*-46.25))))-(-5/-5)))))</f>
        <v>-499092.078125</v>
      </c>
      <c r="C5376" t="n" s="0">
        <v>-499092.078125</v>
      </c>
    </row>
    <row r="5377">
      <c r="A5377" t="n" s="0">
        <v>-46.24</v>
      </c>
      <c r="B5377" t="n" s="0">
        <f>(-5-((((-5*(-5/((-5/(((-5*(-46.24--5))-(-5+((-5*-46.24)*(((-5--5)+(-46.24--5))+-46.24))))-(-5+-5)))*-5)))/-5)--5)+(-5*(((-46.24*(-46.24-(-5/-5)))*(-46.24-(-46.24/(-5*-46.24))))-(-5/-5)))))</f>
        <v>-498769.40832000005</v>
      </c>
      <c r="C5377" t="n" s="0">
        <v>-498769.40832</v>
      </c>
    </row>
    <row r="5378">
      <c r="A5378" t="n" s="0">
        <v>-46.23</v>
      </c>
      <c r="B5378" t="n" s="0">
        <f>(-5-((((-5*(-5/((-5/(((-5*(-46.23--5))-(-5+((-5*-46.23)*(((-5--5)+(-46.23--5))+-46.23))))-(-5+-5)))*-5)))/-5)--5)+(-5*(((-46.23*(-46.23-(-5/-5)))*(-46.23-(-46.23/(-5*-46.23))))-(-5/-5)))))</f>
        <v>-498446.87763500004</v>
      </c>
      <c r="C5378" t="n" s="0">
        <v>-498446.8776349999</v>
      </c>
    </row>
    <row r="5379">
      <c r="A5379" t="n" s="0">
        <v>-46.22</v>
      </c>
      <c r="B5379" t="n" s="0">
        <f>(-5-((((-5*(-5/((-5/(((-5*(-46.22--5))-(-5+((-5*-46.22)*(((-5--5)+(-46.22--5))+-46.22))))-(-5+-5)))*-5)))/-5)--5)+(-5*(((-46.22*(-46.22-(-5/-5)))*(-46.22-(-46.22/(-5*-46.22))))-(-5/-5)))))</f>
        <v>-498124.48604000005</v>
      </c>
      <c r="C5379" t="n" s="0">
        <v>-498124.48603999993</v>
      </c>
    </row>
    <row r="5380">
      <c r="A5380" t="n" s="0">
        <v>-46.21</v>
      </c>
      <c r="B5380" t="n" s="0">
        <f>(-5-((((-5*(-5/((-5/(((-5*(-46.21--5))-(-5+((-5*-46.21)*(((-5--5)+(-46.21--5))+-46.21))))-(-5+-5)))*-5)))/-5)--5)+(-5*(((-46.21*(-46.21-(-5/-5)))*(-46.21-(-46.21/(-5*-46.21))))-(-5/-5)))))</f>
        <v>-497802.233505</v>
      </c>
      <c r="C5380" t="n" s="0">
        <v>-497802.233505</v>
      </c>
    </row>
    <row r="5381">
      <c r="A5381" t="n" s="0">
        <v>-46.2</v>
      </c>
      <c r="B5381" t="n" s="0">
        <f>(-5-((((-5*(-5/((-5/(((-5*(-46.2--5))-(-5+((-5*-46.2)*(((-5--5)+(-46.2--5))+-46.2))))-(-5+-5)))*-5)))/-5)--5)+(-5*(((-46.2*(-46.2-(-5/-5)))*(-46.2-(-46.2/(-5*-46.2))))-(-5/-5)))))</f>
        <v>-497480.12000000005</v>
      </c>
      <c r="C5381" t="n" s="0">
        <v>-497480.12000000005</v>
      </c>
    </row>
    <row r="5382">
      <c r="A5382" t="n" s="0">
        <v>-46.19</v>
      </c>
      <c r="B5382" t="n" s="0">
        <f>(-5-((((-5*(-5/((-5/(((-5*(-46.19--5))-(-5+((-5*-46.19)*(((-5--5)+(-46.19--5))+-46.19))))-(-5+-5)))*-5)))/-5)--5)+(-5*(((-46.19*(-46.19-(-5/-5)))*(-46.19-(-46.19/(-5*-46.19))))-(-5/-5)))))</f>
        <v>-497158.145495</v>
      </c>
      <c r="C5382" t="n" s="0">
        <v>-497158.145495</v>
      </c>
    </row>
    <row r="5383">
      <c r="A5383" t="n" s="0">
        <v>-46.18</v>
      </c>
      <c r="B5383" t="n" s="0">
        <f>(-5-((((-5*(-5/((-5/(((-5*(-46.18--5))-(-5+((-5*-46.18)*(((-5--5)+(-46.18--5))+-46.18))))-(-5+-5)))*-5)))/-5)--5)+(-5*(((-46.18*(-46.18-(-5/-5)))*(-46.18-(-46.18/(-5*-46.18))))-(-5/-5)))))</f>
        <v>-496836.30996</v>
      </c>
      <c r="C5383" t="n" s="0">
        <v>-496836.3099599999</v>
      </c>
    </row>
    <row r="5384">
      <c r="A5384" t="n" s="0">
        <v>-46.17</v>
      </c>
      <c r="B5384" t="n" s="0">
        <f>(-5-((((-5*(-5/((-5/(((-5*(-46.17--5))-(-5+((-5*-46.17)*(((-5--5)+(-46.17--5))+-46.17))))-(-5+-5)))*-5)))/-5)--5)+(-5*(((-46.17*(-46.17-(-5/-5)))*(-46.17-(-46.17/(-5*-46.17))))-(-5/-5)))))</f>
        <v>-496514.613365</v>
      </c>
      <c r="C5384" t="n" s="0">
        <v>-496514.613365</v>
      </c>
    </row>
    <row r="5385">
      <c r="A5385" t="n" s="0">
        <v>-46.16</v>
      </c>
      <c r="B5385" t="n" s="0">
        <f>(-5-((((-5*(-5/((-5/(((-5*(-46.16--5))-(-5+((-5*-46.16)*(((-5--5)+(-46.16--5))+-46.16))))-(-5+-5)))*-5)))/-5)--5)+(-5*(((-46.16*(-46.16-(-5/-5)))*(-46.16-(-46.16/(-5*-46.16))))-(-5/-5)))))</f>
        <v>-496193.05568000005</v>
      </c>
      <c r="C5385" t="n" s="0">
        <v>-496193.0556799999</v>
      </c>
    </row>
    <row r="5386">
      <c r="A5386" t="n" s="0">
        <v>-46.15</v>
      </c>
      <c r="B5386" t="n" s="0">
        <f>(-5-((((-5*(-5/((-5/(((-5*(-46.15--5))-(-5+((-5*-46.15)*(((-5--5)+(-46.15--5))+-46.15))))-(-5+-5)))*-5)))/-5)--5)+(-5*(((-46.15*(-46.15-(-5/-5)))*(-46.15-(-46.15/(-5*-46.15))))-(-5/-5)))))</f>
        <v>-495871.63687499997</v>
      </c>
      <c r="C5386" t="n" s="0">
        <v>-495871.636875</v>
      </c>
    </row>
    <row r="5387">
      <c r="A5387" t="n" s="0">
        <v>-46.14</v>
      </c>
      <c r="B5387" t="n" s="0">
        <f>(-5-((((-5*(-5/((-5/(((-5*(-46.14--5))-(-5+((-5*-46.14)*(((-5--5)+(-46.14--5))+-46.14))))-(-5+-5)))*-5)))/-5)--5)+(-5*(((-46.14*(-46.14-(-5/-5)))*(-46.14-(-46.14/(-5*-46.14))))-(-5/-5)))))</f>
        <v>-495550.35692</v>
      </c>
      <c r="C5387" t="n" s="0">
        <v>-495550.35692</v>
      </c>
    </row>
    <row r="5388">
      <c r="A5388" t="n" s="0">
        <v>-46.13</v>
      </c>
      <c r="B5388" t="n" s="0">
        <f>(-5-((((-5*(-5/((-5/(((-5*(-46.13--5))-(-5+((-5*-46.13)*(((-5--5)+(-46.13--5))+-46.13))))-(-5+-5)))*-5)))/-5)--5)+(-5*(((-46.13*(-46.13-(-5/-5)))*(-46.13-(-46.13/(-5*-46.13))))-(-5/-5)))))</f>
        <v>-495229.215785</v>
      </c>
      <c r="C5388" t="n" s="0">
        <v>-495229.2157850001</v>
      </c>
    </row>
    <row r="5389">
      <c r="A5389" t="n" s="0">
        <v>-46.12</v>
      </c>
      <c r="B5389" t="n" s="0">
        <f>(-5-((((-5*(-5/((-5/(((-5*(-46.12--5))-(-5+((-5*-46.12)*(((-5--5)+(-46.12--5))+-46.12))))-(-5+-5)))*-5)))/-5)--5)+(-5*(((-46.12*(-46.12-(-5/-5)))*(-46.12-(-46.12/(-5*-46.12))))-(-5/-5)))))</f>
        <v>-494908.21344</v>
      </c>
      <c r="C5389" t="n" s="0">
        <v>-494908.2134399999</v>
      </c>
    </row>
    <row r="5390">
      <c r="A5390" t="n" s="0">
        <v>-46.11</v>
      </c>
      <c r="B5390" t="n" s="0">
        <f>(-5-((((-5*(-5/((-5/(((-5*(-46.11--5))-(-5+((-5*-46.11)*(((-5--5)+(-46.11--5))+-46.11))))-(-5+-5)))*-5)))/-5)--5)+(-5*(((-46.11*(-46.11-(-5/-5)))*(-46.11-(-46.11/(-5*-46.11))))-(-5/-5)))))</f>
        <v>-494587.349855</v>
      </c>
      <c r="C5390" t="n" s="0">
        <v>-494587.349855</v>
      </c>
    </row>
    <row r="5391">
      <c r="A5391" t="n" s="0">
        <v>-46.1</v>
      </c>
      <c r="B5391" t="n" s="0">
        <f>(-5-((((-5*(-5/((-5/(((-5*(-46.1--5))-(-5+((-5*-46.1)*(((-5--5)+(-46.1--5))+-46.1))))-(-5+-5)))*-5)))/-5)--5)+(-5*(((-46.1*(-46.1-(-5/-5)))*(-46.1-(-46.1/(-5*-46.1))))-(-5/-5)))))</f>
        <v>-494266.625</v>
      </c>
      <c r="C5391" t="n" s="0">
        <v>-494266.625</v>
      </c>
    </row>
    <row r="5392">
      <c r="A5392" t="n" s="0">
        <v>-46.09</v>
      </c>
      <c r="B5392" t="n" s="0">
        <f>(-5-((((-5*(-5/((-5/(((-5*(-46.09--5))-(-5+((-5*-46.09)*(((-5--5)+(-46.09--5))+-46.09))))-(-5+-5)))*-5)))/-5)--5)+(-5*(((-46.09*(-46.09-(-5/-5)))*(-46.09-(-46.09/(-5*-46.09))))-(-5/-5)))))</f>
        <v>-493946.038845</v>
      </c>
      <c r="C5392" t="n" s="0">
        <v>-493946.03884500015</v>
      </c>
    </row>
    <row r="5393">
      <c r="A5393" t="n" s="0">
        <v>-46.08</v>
      </c>
      <c r="B5393" t="n" s="0">
        <f>(-5-((((-5*(-5/((-5/(((-5*(-46.08--5))-(-5+((-5*-46.08)*(((-5--5)+(-46.08--5))+-46.08))))-(-5+-5)))*-5)))/-5)--5)+(-5*(((-46.08*(-46.08-(-5/-5)))*(-46.08-(-46.08/(-5*-46.08))))-(-5/-5)))))</f>
        <v>-493625.59135999996</v>
      </c>
      <c r="C5393" t="n" s="0">
        <v>-493625.59135999996</v>
      </c>
    </row>
    <row r="5394">
      <c r="A5394" t="n" s="0">
        <v>-46.07</v>
      </c>
      <c r="B5394" t="n" s="0">
        <f>(-5-((((-5*(-5/((-5/(((-5*(-46.07--5))-(-5+((-5*-46.07)*(((-5--5)+(-46.07--5))+-46.07))))-(-5+-5)))*-5)))/-5)--5)+(-5*(((-46.07*(-46.07-(-5/-5)))*(-46.07-(-46.07/(-5*-46.07))))-(-5/-5)))))</f>
        <v>-493305.28251499997</v>
      </c>
      <c r="C5394" t="n" s="0">
        <v>-493305.282515</v>
      </c>
    </row>
    <row r="5395">
      <c r="A5395" t="n" s="0">
        <v>-46.06</v>
      </c>
      <c r="B5395" t="n" s="0">
        <f>(-5-((((-5*(-5/((-5/(((-5*(-46.06--5))-(-5+((-5*-46.06)*(((-5--5)+(-46.06--5))+-46.06))))-(-5+-5)))*-5)))/-5)--5)+(-5*(((-46.06*(-46.06-(-5/-5)))*(-46.06-(-46.06/(-5*-46.06))))-(-5/-5)))))</f>
        <v>-492985.11228</v>
      </c>
      <c r="C5395" t="n" s="0">
        <v>-492985.11228</v>
      </c>
    </row>
    <row r="5396">
      <c r="A5396" t="n" s="0">
        <v>-46.05</v>
      </c>
      <c r="B5396" t="n" s="0">
        <f>(-5-((((-5*(-5/((-5/(((-5*(-46.05--5))-(-5+((-5*-46.05)*(((-5--5)+(-46.05--5))+-46.05))))-(-5+-5)))*-5)))/-5)--5)+(-5*(((-46.05*(-46.05-(-5/-5)))*(-46.05-(-46.05/(-5*-46.05))))-(-5/-5)))))</f>
        <v>-492665.080625</v>
      </c>
      <c r="C5396" t="n" s="0">
        <v>-492665.080625</v>
      </c>
    </row>
    <row r="5397">
      <c r="A5397" t="n" s="0">
        <v>-46.04</v>
      </c>
      <c r="B5397" t="n" s="0">
        <f>(-5-((((-5*(-5/((-5/(((-5*(-46.04--5))-(-5+((-5*-46.04)*(((-5--5)+(-46.04--5))+-46.04))))-(-5+-5)))*-5)))/-5)--5)+(-5*(((-46.04*(-46.04-(-5/-5)))*(-46.04-(-46.04/(-5*-46.04))))-(-5/-5)))))</f>
        <v>-492345.18752000004</v>
      </c>
      <c r="C5397" t="n" s="0">
        <v>-492345.18752000004</v>
      </c>
    </row>
    <row r="5398">
      <c r="A5398" t="n" s="0">
        <v>-46.03</v>
      </c>
      <c r="B5398" t="n" s="0">
        <f>(-5-((((-5*(-5/((-5/(((-5*(-46.03--5))-(-5+((-5*-46.03)*(((-5--5)+(-46.03--5))+-46.03))))-(-5+-5)))*-5)))/-5)--5)+(-5*(((-46.03*(-46.03-(-5/-5)))*(-46.03-(-46.03/(-5*-46.03))))-(-5/-5)))))</f>
        <v>-492025.432935</v>
      </c>
      <c r="C5398" t="n" s="0">
        <v>-492025.43293500005</v>
      </c>
    </row>
    <row r="5399">
      <c r="A5399" t="n" s="0">
        <v>-46.02</v>
      </c>
      <c r="B5399" t="n" s="0">
        <f>(-5-((((-5*(-5/((-5/(((-5*(-46.02--5))-(-5+((-5*-46.02)*(((-5--5)+(-46.02--5))+-46.02))))-(-5+-5)))*-5)))/-5)--5)+(-5*(((-46.02*(-46.02-(-5/-5)))*(-46.02-(-46.02/(-5*-46.02))))-(-5/-5)))))</f>
        <v>-491705.81684000004</v>
      </c>
      <c r="C5399" t="n" s="0">
        <v>-491705.8168400001</v>
      </c>
    </row>
    <row r="5400">
      <c r="A5400" t="n" s="0">
        <v>-46.01</v>
      </c>
      <c r="B5400" t="n" s="0">
        <f>(-5-((((-5*(-5/((-5/(((-5*(-46.01--5))-(-5+((-5*-46.01)*(((-5--5)+(-46.01--5))+-46.01))))-(-5+-5)))*-5)))/-5)--5)+(-5*(((-46.01*(-46.01-(-5/-5)))*(-46.01-(-46.01/(-5*-46.01))))-(-5/-5)))))</f>
        <v>-491386.339205</v>
      </c>
      <c r="C5400" t="n" s="0">
        <v>-491386.33920499997</v>
      </c>
    </row>
    <row r="5401">
      <c r="A5401" t="n" s="0">
        <v>-46.0</v>
      </c>
      <c r="B5401" t="n" s="0">
        <f>(-5-((((-5*(-5/((-5/(((-5*(-46--5))-(-5+((-5*-46)*(((-5--5)+(-46--5))+-46))))-(-5+-5)))*-5)))/-5)--5)+(-5*(((-46*(-46-(-5/-5)))*(-46-(-46/(-5*-46))))-(-5/-5)))))</f>
        <v>-491067.0</v>
      </c>
      <c r="C5401" t="n" s="0">
        <v>-491067.0</v>
      </c>
    </row>
    <row r="5402">
      <c r="A5402" t="n" s="0">
        <v>-45.99</v>
      </c>
      <c r="B5402" t="n" s="0">
        <f>(-5-((((-5*(-5/((-5/(((-5*(-45.99--5))-(-5+((-5*-45.99)*(((-5--5)+(-45.99--5))+-45.99))))-(-5+-5)))*-5)))/-5)--5)+(-5*(((-45.99*(-45.99-(-5/-5)))*(-45.99-(-45.99/(-5*-45.99))))-(-5/-5)))))</f>
        <v>-490747.79919499997</v>
      </c>
      <c r="C5402" t="n" s="0">
        <v>-490747.799195</v>
      </c>
    </row>
    <row r="5403">
      <c r="A5403" t="n" s="0">
        <v>-45.98</v>
      </c>
      <c r="B5403" t="n" s="0">
        <f>(-5-((((-5*(-5/((-5/(((-5*(-45.98--5))-(-5+((-5*-45.98)*(((-5--5)+(-45.98--5))+-45.98))))-(-5+-5)))*-5)))/-5)--5)+(-5*(((-45.98*(-45.98-(-5/-5)))*(-45.98-(-45.98/(-5*-45.98))))-(-5/-5)))))</f>
        <v>-490428.73676</v>
      </c>
      <c r="C5403" t="n" s="0">
        <v>-490428.7367599999</v>
      </c>
    </row>
    <row r="5404">
      <c r="A5404" t="n" s="0">
        <v>-45.97</v>
      </c>
      <c r="B5404" t="n" s="0">
        <f>(-5-((((-5*(-5/((-5/(((-5*(-45.97--5))-(-5+((-5*-45.97)*(((-5--5)+(-45.97--5))+-45.97))))-(-5+-5)))*-5)))/-5)--5)+(-5*(((-45.97*(-45.97-(-5/-5)))*(-45.97-(-45.97/(-5*-45.97))))-(-5/-5)))))</f>
        <v>-490109.812665</v>
      </c>
      <c r="C5404" t="n" s="0">
        <v>-490109.8126649999</v>
      </c>
    </row>
    <row r="5405">
      <c r="A5405" t="n" s="0">
        <v>-45.96</v>
      </c>
      <c r="B5405" t="n" s="0">
        <f>(-5-((((-5*(-5/((-5/(((-5*(-45.96--5))-(-5+((-5*-45.96)*(((-5--5)+(-45.96--5))+-45.96))))-(-5+-5)))*-5)))/-5)--5)+(-5*(((-45.96*(-45.96-(-5/-5)))*(-45.96-(-45.96/(-5*-45.96))))-(-5/-5)))))</f>
        <v>-489791.02687999996</v>
      </c>
      <c r="C5405" t="n" s="0">
        <v>-489791.02688</v>
      </c>
    </row>
    <row r="5406">
      <c r="A5406" t="n" s="0">
        <v>-45.95</v>
      </c>
      <c r="B5406" t="n" s="0">
        <f>(-5-((((-5*(-5/((-5/(((-5*(-45.95--5))-(-5+((-5*-45.95)*(((-5--5)+(-45.95--5))+-45.95))))-(-5+-5)))*-5)))/-5)--5)+(-5*(((-45.95*(-45.95-(-5/-5)))*(-45.95-(-45.95/(-5*-45.95))))-(-5/-5)))))</f>
        <v>-489472.379375</v>
      </c>
      <c r="C5406" t="n" s="0">
        <v>-489472.3793750001</v>
      </c>
    </row>
    <row r="5407">
      <c r="A5407" t="n" s="0">
        <v>-45.94</v>
      </c>
      <c r="B5407" t="n" s="0">
        <f>(-5-((((-5*(-5/((-5/(((-5*(-45.94--5))-(-5+((-5*-45.94)*(((-5--5)+(-45.94--5))+-45.94))))-(-5+-5)))*-5)))/-5)--5)+(-5*(((-45.94*(-45.94-(-5/-5)))*(-45.94-(-45.94/(-5*-45.94))))-(-5/-5)))))</f>
        <v>-489153.87012</v>
      </c>
      <c r="C5407" t="n" s="0">
        <v>-489153.87012</v>
      </c>
    </row>
    <row r="5408">
      <c r="A5408" t="n" s="0">
        <v>-45.93</v>
      </c>
      <c r="B5408" t="n" s="0">
        <f>(-5-((((-5*(-5/((-5/(((-5*(-45.93--5))-(-5+((-5*-45.93)*(((-5--5)+(-45.93--5))+-45.93))))-(-5+-5)))*-5)))/-5)--5)+(-5*(((-45.93*(-45.93-(-5/-5)))*(-45.93-(-45.93/(-5*-45.93))))-(-5/-5)))))</f>
        <v>-488835.49908499996</v>
      </c>
      <c r="C5408" t="n" s="0">
        <v>-488835.49908499996</v>
      </c>
    </row>
    <row r="5409">
      <c r="A5409" t="n" s="0">
        <v>-45.92</v>
      </c>
      <c r="B5409" t="n" s="0">
        <f>(-5-((((-5*(-5/((-5/(((-5*(-45.92--5))-(-5+((-5*-45.92)*(((-5--5)+(-45.92--5))+-45.92))))-(-5+-5)))*-5)))/-5)--5)+(-5*(((-45.92*(-45.92-(-5/-5)))*(-45.92-(-45.92/(-5*-45.92))))-(-5/-5)))))</f>
        <v>-488517.26624</v>
      </c>
      <c r="C5409" t="n" s="0">
        <v>-488517.2662400001</v>
      </c>
    </row>
    <row r="5410">
      <c r="A5410" t="n" s="0">
        <v>-45.91</v>
      </c>
      <c r="B5410" t="n" s="0">
        <f>(-5-((((-5*(-5/((-5/(((-5*(-45.91--5))-(-5+((-5*-45.91)*(((-5--5)+(-45.91--5))+-45.91))))-(-5+-5)))*-5)))/-5)--5)+(-5*(((-45.91*(-45.91-(-5/-5)))*(-45.91-(-45.91/(-5*-45.91))))-(-5/-5)))))</f>
        <v>-488199.171555</v>
      </c>
      <c r="C5410" t="n" s="0">
        <v>-488199.1715549999</v>
      </c>
    </row>
    <row r="5411">
      <c r="A5411" t="n" s="0">
        <v>-45.9</v>
      </c>
      <c r="B5411" t="n" s="0">
        <f>(-5-((((-5*(-5/((-5/(((-5*(-45.9--5))-(-5+((-5*-45.9)*(((-5--5)+(-45.9--5))+-45.9))))-(-5+-5)))*-5)))/-5)--5)+(-5*(((-45.9*(-45.9-(-5/-5)))*(-45.9-(-45.9/(-5*-45.9))))-(-5/-5)))))</f>
        <v>-487881.21499999997</v>
      </c>
      <c r="C5411" t="n" s="0">
        <v>-487881.215</v>
      </c>
    </row>
    <row r="5412">
      <c r="A5412" t="n" s="0">
        <v>-45.89</v>
      </c>
      <c r="B5412" t="n" s="0">
        <f>(-5-((((-5*(-5/((-5/(((-5*(-45.89--5))-(-5+((-5*-45.89)*(((-5--5)+(-45.89--5))+-45.89))))-(-5+-5)))*-5)))/-5)--5)+(-5*(((-45.89*(-45.89-(-5/-5)))*(-45.89-(-45.89/(-5*-45.89))))-(-5/-5)))))</f>
        <v>-487563.396545</v>
      </c>
      <c r="C5412" t="n" s="0">
        <v>-487563.39654499997</v>
      </c>
    </row>
    <row r="5413">
      <c r="A5413" t="n" s="0">
        <v>-45.88</v>
      </c>
      <c r="B5413" t="n" s="0">
        <f>(-5-((((-5*(-5/((-5/(((-5*(-45.88--5))-(-5+((-5*-45.88)*(((-5--5)+(-45.88--5))+-45.88))))-(-5+-5)))*-5)))/-5)--5)+(-5*(((-45.88*(-45.88-(-5/-5)))*(-45.88-(-45.88/(-5*-45.88))))-(-5/-5)))))</f>
        <v>-487245.71616</v>
      </c>
      <c r="C5413" t="n" s="0">
        <v>-487245.7161600001</v>
      </c>
    </row>
    <row r="5414">
      <c r="A5414" t="n" s="0">
        <v>-45.87</v>
      </c>
      <c r="B5414" t="n" s="0">
        <f>(-5-((((-5*(-5/((-5/(((-5*(-45.87--5))-(-5+((-5*-45.87)*(((-5--5)+(-45.87--5))+-45.87))))-(-5+-5)))*-5)))/-5)--5)+(-5*(((-45.87*(-45.87-(-5/-5)))*(-45.87-(-45.87/(-5*-45.87))))-(-5/-5)))))</f>
        <v>-486928.173815</v>
      </c>
      <c r="C5414" t="n" s="0">
        <v>-486928.17381499993</v>
      </c>
    </row>
    <row r="5415">
      <c r="A5415" t="n" s="0">
        <v>-45.86</v>
      </c>
      <c r="B5415" t="n" s="0">
        <f>(-5-((((-5*(-5/((-5/(((-5*(-45.86--5))-(-5+((-5*-45.86)*(((-5--5)+(-45.86--5))+-45.86))))-(-5+-5)))*-5)))/-5)--5)+(-5*(((-45.86*(-45.86-(-5/-5)))*(-45.86-(-45.86/(-5*-45.86))))-(-5/-5)))))</f>
        <v>-486610.76948</v>
      </c>
      <c r="C5415" t="n" s="0">
        <v>-486610.76947999996</v>
      </c>
    </row>
    <row r="5416">
      <c r="A5416" t="n" s="0">
        <v>-45.85</v>
      </c>
      <c r="B5416" t="n" s="0">
        <f>(-5-((((-5*(-5/((-5/(((-5*(-45.85--5))-(-5+((-5*-45.85)*(((-5--5)+(-45.85--5))+-45.85))))-(-5+-5)))*-5)))/-5)--5)+(-5*(((-45.85*(-45.85-(-5/-5)))*(-45.85-(-45.85/(-5*-45.85))))-(-5/-5)))))</f>
        <v>-486293.50312499993</v>
      </c>
      <c r="C5416" t="n" s="0">
        <v>-486293.50312500005</v>
      </c>
    </row>
    <row r="5417">
      <c r="A5417" t="n" s="0">
        <v>-45.84</v>
      </c>
      <c r="B5417" t="n" s="0">
        <f>(-5-((((-5*(-5/((-5/(((-5*(-45.84--5))-(-5+((-5*-45.84)*(((-5--5)+(-45.84--5))+-45.84))))-(-5+-5)))*-5)))/-5)--5)+(-5*(((-45.84*(-45.84-(-5/-5)))*(-45.84-(-45.84/(-5*-45.84))))-(-5/-5)))))</f>
        <v>-485976.37472</v>
      </c>
      <c r="C5417" t="n" s="0">
        <v>-485976.3747200001</v>
      </c>
    </row>
    <row r="5418">
      <c r="A5418" t="n" s="0">
        <v>-45.83</v>
      </c>
      <c r="B5418" t="n" s="0">
        <f>(-5-((((-5*(-5/((-5/(((-5*(-45.83--5))-(-5+((-5*-45.83)*(((-5--5)+(-45.83--5))+-45.83))))-(-5+-5)))*-5)))/-5)--5)+(-5*(((-45.83*(-45.83-(-5/-5)))*(-45.83-(-45.83/(-5*-45.83))))-(-5/-5)))))</f>
        <v>-485659.38423499995</v>
      </c>
      <c r="C5418" t="n" s="0">
        <v>-485659.38423499995</v>
      </c>
    </row>
    <row r="5419">
      <c r="A5419" t="n" s="0">
        <v>-45.82</v>
      </c>
      <c r="B5419" t="n" s="0">
        <f>(-5-((((-5*(-5/((-5/(((-5*(-45.82--5))-(-5+((-5*-45.82)*(((-5--5)+(-45.82--5))+-45.82))))-(-5+-5)))*-5)))/-5)--5)+(-5*(((-45.82*(-45.82-(-5/-5)))*(-45.82-(-45.82/(-5*-45.82))))-(-5/-5)))))</f>
        <v>-485342.53164000006</v>
      </c>
      <c r="C5419" t="n" s="0">
        <v>-485342.53164000006</v>
      </c>
    </row>
    <row r="5420">
      <c r="A5420" t="n" s="0">
        <v>-45.81</v>
      </c>
      <c r="B5420" t="n" s="0">
        <f>(-5-((((-5*(-5/((-5/(((-5*(-45.81--5))-(-5+((-5*-45.81)*(((-5--5)+(-45.81--5))+-45.81))))-(-5+-5)))*-5)))/-5)--5)+(-5*(((-45.81*(-45.81-(-5/-5)))*(-45.81-(-45.81/(-5*-45.81))))-(-5/-5)))))</f>
        <v>-485025.816905</v>
      </c>
      <c r="C5420" t="n" s="0">
        <v>-485025.816905</v>
      </c>
    </row>
    <row r="5421">
      <c r="A5421" t="n" s="0">
        <v>-45.8</v>
      </c>
      <c r="B5421" t="n" s="0">
        <f>(-5-((((-5*(-5/((-5/(((-5*(-45.8--5))-(-5+((-5*-45.8)*(((-5--5)+(-45.8--5))+-45.8))))-(-5+-5)))*-5)))/-5)--5)+(-5*(((-45.8*(-45.8-(-5/-5)))*(-45.8-(-45.8/(-5*-45.8))))-(-5/-5)))))</f>
        <v>-484709.24</v>
      </c>
      <c r="C5421" t="n" s="0">
        <v>-484709.24</v>
      </c>
    </row>
    <row r="5422">
      <c r="A5422" t="n" s="0">
        <v>-45.79</v>
      </c>
      <c r="B5422" t="n" s="0">
        <f>(-5-((((-5*(-5/((-5/(((-5*(-45.79--5))-(-5+((-5*-45.79)*(((-5--5)+(-45.79--5))+-45.79))))-(-5+-5)))*-5)))/-5)--5)+(-5*(((-45.79*(-45.79-(-5/-5)))*(-45.79-(-45.79/(-5*-45.79))))-(-5/-5)))))</f>
        <v>-484392.800895</v>
      </c>
      <c r="C5422" t="n" s="0">
        <v>-484392.800895</v>
      </c>
    </row>
    <row r="5423">
      <c r="A5423" t="n" s="0">
        <v>-45.78</v>
      </c>
      <c r="B5423" t="n" s="0">
        <f>(-5-((((-5*(-5/((-5/(((-5*(-45.78--5))-(-5+((-5*-45.78)*(((-5--5)+(-45.78--5))+-45.78))))-(-5+-5)))*-5)))/-5)--5)+(-5*(((-45.78*(-45.78-(-5/-5)))*(-45.78-(-45.78/(-5*-45.78))))-(-5/-5)))))</f>
        <v>-484076.49956</v>
      </c>
      <c r="C5423" t="n" s="0">
        <v>-484076.4995600001</v>
      </c>
    </row>
    <row r="5424">
      <c r="A5424" t="n" s="0">
        <v>-45.77</v>
      </c>
      <c r="B5424" t="n" s="0">
        <f>(-5-((((-5*(-5/((-5/(((-5*(-45.77--5))-(-5+((-5*-45.77)*(((-5--5)+(-45.77--5))+-45.77))))-(-5+-5)))*-5)))/-5)--5)+(-5*(((-45.77*(-45.77-(-5/-5)))*(-45.77-(-45.77/(-5*-45.77))))-(-5/-5)))))</f>
        <v>-483760.335965</v>
      </c>
      <c r="C5424" t="n" s="0">
        <v>-483760.33596500015</v>
      </c>
    </row>
    <row r="5425">
      <c r="A5425" t="n" s="0">
        <v>-45.76</v>
      </c>
      <c r="B5425" t="n" s="0">
        <f>(-5-((((-5*(-5/((-5/(((-5*(-45.76--5))-(-5+((-5*-45.76)*(((-5--5)+(-45.76--5))+-45.76))))-(-5+-5)))*-5)))/-5)--5)+(-5*(((-45.76*(-45.76-(-5/-5)))*(-45.76-(-45.76/(-5*-45.76))))-(-5/-5)))))</f>
        <v>-483444.31008</v>
      </c>
      <c r="C5425" t="n" s="0">
        <v>-483444.31007999997</v>
      </c>
    </row>
    <row r="5426">
      <c r="A5426" t="n" s="0">
        <v>-45.75</v>
      </c>
      <c r="B5426" t="n" s="0">
        <f>(-5-((((-5*(-5/((-5/(((-5*(-45.75--5))-(-5+((-5*-45.75)*(((-5--5)+(-45.75--5))+-45.75))))-(-5+-5)))*-5)))/-5)--5)+(-5*(((-45.75*(-45.75-(-5/-5)))*(-45.75-(-45.75/(-5*-45.75))))-(-5/-5)))))</f>
        <v>-483128.421875</v>
      </c>
      <c r="C5426" t="n" s="0">
        <v>-483128.421875</v>
      </c>
    </row>
    <row r="5427">
      <c r="A5427" t="n" s="0">
        <v>-45.74</v>
      </c>
      <c r="B5427" t="n" s="0">
        <f>(-5-((((-5*(-5/((-5/(((-5*(-45.74--5))-(-5+((-5*-45.74)*(((-5--5)+(-45.74--5))+-45.74))))-(-5+-5)))*-5)))/-5)--5)+(-5*(((-45.74*(-45.74-(-5/-5)))*(-45.74-(-45.74/(-5*-45.74))))-(-5/-5)))))</f>
        <v>-482812.67132</v>
      </c>
      <c r="C5427" t="n" s="0">
        <v>-482812.67132</v>
      </c>
    </row>
    <row r="5428">
      <c r="A5428" t="n" s="0">
        <v>-45.73</v>
      </c>
      <c r="B5428" t="n" s="0">
        <f>(-5-((((-5*(-5/((-5/(((-5*(-45.73--5))-(-5+((-5*-45.73)*(((-5--5)+(-45.73--5))+-45.73))))-(-5+-5)))*-5)))/-5)--5)+(-5*(((-45.73*(-45.73-(-5/-5)))*(-45.73-(-45.73/(-5*-45.73))))-(-5/-5)))))</f>
        <v>-482497.058385</v>
      </c>
      <c r="C5428" t="n" s="0">
        <v>-482497.0583849999</v>
      </c>
    </row>
    <row r="5429">
      <c r="A5429" t="n" s="0">
        <v>-45.72</v>
      </c>
      <c r="B5429" t="n" s="0">
        <f>(-5-((((-5*(-5/((-5/(((-5*(-45.72--5))-(-5+((-5*-45.72)*(((-5--5)+(-45.72--5))+-45.72))))-(-5+-5)))*-5)))/-5)--5)+(-5*(((-45.72*(-45.72-(-5/-5)))*(-45.72-(-45.72/(-5*-45.72))))-(-5/-5)))))</f>
        <v>-482181.58304</v>
      </c>
      <c r="C5429" t="n" s="0">
        <v>-482181.5830399999</v>
      </c>
    </row>
    <row r="5430">
      <c r="A5430" t="n" s="0">
        <v>-45.71</v>
      </c>
      <c r="B5430" t="n" s="0">
        <f>(-5-((((-5*(-5/((-5/(((-5*(-45.71--5))-(-5+((-5*-45.71)*(((-5--5)+(-45.71--5))+-45.71))))-(-5+-5)))*-5)))/-5)--5)+(-5*(((-45.71*(-45.71-(-5/-5)))*(-45.71-(-45.71/(-5*-45.71))))-(-5/-5)))))</f>
        <v>-481866.245255</v>
      </c>
      <c r="C5430" t="n" s="0">
        <v>-481866.2452550001</v>
      </c>
    </row>
    <row r="5431">
      <c r="A5431" t="n" s="0">
        <v>-45.7</v>
      </c>
      <c r="B5431" t="n" s="0">
        <f>(-5-((((-5*(-5/((-5/(((-5*(-45.7--5))-(-5+((-5*-45.7)*(((-5--5)+(-45.7--5))+-45.7))))-(-5+-5)))*-5)))/-5)--5)+(-5*(((-45.7*(-45.7-(-5/-5)))*(-45.7-(-45.7/(-5*-45.7))))-(-5/-5)))))</f>
        <v>-481551.045</v>
      </c>
      <c r="C5431" t="n" s="0">
        <v>-481551.04500000004</v>
      </c>
    </row>
    <row r="5432">
      <c r="A5432" t="n" s="0">
        <v>-45.69</v>
      </c>
      <c r="B5432" t="n" s="0">
        <f>(-5-((((-5*(-5/((-5/(((-5*(-45.69--5))-(-5+((-5*-45.69)*(((-5--5)+(-45.69--5))+-45.69))))-(-5+-5)))*-5)))/-5)--5)+(-5*(((-45.69*(-45.69-(-5/-5)))*(-45.69-(-45.69/(-5*-45.69))))-(-5/-5)))))</f>
        <v>-481235.982245</v>
      </c>
      <c r="C5432" t="n" s="0">
        <v>-481235.9822449999</v>
      </c>
    </row>
    <row r="5433">
      <c r="A5433" t="n" s="0">
        <v>-45.68</v>
      </c>
      <c r="B5433" t="n" s="0">
        <f>(-5-((((-5*(-5/((-5/(((-5*(-45.68--5))-(-5+((-5*-45.68)*(((-5--5)+(-45.68--5))+-45.68))))-(-5+-5)))*-5)))/-5)--5)+(-5*(((-45.68*(-45.68-(-5/-5)))*(-45.68-(-45.68/(-5*-45.68))))-(-5/-5)))))</f>
        <v>-480921.05696</v>
      </c>
      <c r="C5433" t="n" s="0">
        <v>-480921.05695999996</v>
      </c>
    </row>
    <row r="5434">
      <c r="A5434" t="n" s="0">
        <v>-45.67</v>
      </c>
      <c r="B5434" t="n" s="0">
        <f>(-5-((((-5*(-5/((-5/(((-5*(-45.67--5))-(-5+((-5*-45.67)*(((-5--5)+(-45.67--5))+-45.67))))-(-5+-5)))*-5)))/-5)--5)+(-5*(((-45.67*(-45.67-(-5/-5)))*(-45.67-(-45.67/(-5*-45.67))))-(-5/-5)))))</f>
        <v>-480606.269115</v>
      </c>
      <c r="C5434" t="n" s="0">
        <v>-480606.2691150001</v>
      </c>
    </row>
    <row r="5435">
      <c r="A5435" t="n" s="0">
        <v>-45.66</v>
      </c>
      <c r="B5435" t="n" s="0">
        <f>(-5-((((-5*(-5/((-5/(((-5*(-45.66--5))-(-5+((-5*-45.66)*(((-5--5)+(-45.66--5))+-45.66))))-(-5+-5)))*-5)))/-5)--5)+(-5*(((-45.66*(-45.66-(-5/-5)))*(-45.66-(-45.66/(-5*-45.66))))-(-5/-5)))))</f>
        <v>-480291.61867999996</v>
      </c>
      <c r="C5435" t="n" s="0">
        <v>-480291.61867999984</v>
      </c>
    </row>
    <row r="5436">
      <c r="A5436" t="n" s="0">
        <v>-45.65</v>
      </c>
      <c r="B5436" t="n" s="0">
        <f>(-5-((((-5*(-5/((-5/(((-5*(-45.65--5))-(-5+((-5*-45.65)*(((-5--5)+(-45.65--5))+-45.65))))-(-5+-5)))*-5)))/-5)--5)+(-5*(((-45.65*(-45.65-(-5/-5)))*(-45.65-(-45.65/(-5*-45.65))))-(-5/-5)))))</f>
        <v>-479977.105625</v>
      </c>
      <c r="C5436" t="n" s="0">
        <v>-479977.10562499997</v>
      </c>
    </row>
    <row r="5437">
      <c r="A5437" t="n" s="0">
        <v>-45.64</v>
      </c>
      <c r="B5437" t="n" s="0">
        <f>(-5-((((-5*(-5/((-5/(((-5*(-45.64--5))-(-5+((-5*-45.64)*(((-5--5)+(-45.64--5))+-45.64))))-(-5+-5)))*-5)))/-5)--5)+(-5*(((-45.64*(-45.64-(-5/-5)))*(-45.64-(-45.64/(-5*-45.64))))-(-5/-5)))))</f>
        <v>-479662.72991999995</v>
      </c>
      <c r="C5437" t="n" s="0">
        <v>-479662.72992</v>
      </c>
    </row>
    <row r="5438">
      <c r="A5438" t="n" s="0">
        <v>-45.63</v>
      </c>
      <c r="B5438" t="n" s="0">
        <f>(-5-((((-5*(-5/((-5/(((-5*(-45.63--5))-(-5+((-5*-45.63)*(((-5--5)+(-45.63--5))+-45.63))))-(-5+-5)))*-5)))/-5)--5)+(-5*(((-45.63*(-45.63-(-5/-5)))*(-45.63-(-45.63/(-5*-45.63))))-(-5/-5)))))</f>
        <v>-479348.49153500004</v>
      </c>
      <c r="C5438" t="n" s="0">
        <v>-479348.49153500004</v>
      </c>
    </row>
    <row r="5439">
      <c r="A5439" t="n" s="0">
        <v>-45.62</v>
      </c>
      <c r="B5439" t="n" s="0">
        <f>(-5-((((-5*(-5/((-5/(((-5*(-45.62--5))-(-5+((-5*-45.62)*(((-5--5)+(-45.62--5))+-45.62))))-(-5+-5)))*-5)))/-5)--5)+(-5*(((-45.62*(-45.62-(-5/-5)))*(-45.62-(-45.62/(-5*-45.62))))-(-5/-5)))))</f>
        <v>-479034.39044000005</v>
      </c>
      <c r="C5439" t="n" s="0">
        <v>-479034.3904399999</v>
      </c>
    </row>
    <row r="5440">
      <c r="A5440" t="n" s="0">
        <v>-45.61</v>
      </c>
      <c r="B5440" t="n" s="0">
        <f>(-5-((((-5*(-5/((-5/(((-5*(-45.61--5))-(-5+((-5*-45.61)*(((-5--5)+(-45.61--5))+-45.61))))-(-5+-5)))*-5)))/-5)--5)+(-5*(((-45.61*(-45.61-(-5/-5)))*(-45.61-(-45.61/(-5*-45.61))))-(-5/-5)))))</f>
        <v>-478720.426605</v>
      </c>
      <c r="C5440" t="n" s="0">
        <v>-478720.42660500004</v>
      </c>
    </row>
    <row r="5441">
      <c r="A5441" t="n" s="0">
        <v>-45.6</v>
      </c>
      <c r="B5441" t="n" s="0">
        <f>(-5-((((-5*(-5/((-5/(((-5*(-45.6--5))-(-5+((-5*-45.6)*(((-5--5)+(-45.6--5))+-45.6))))-(-5+-5)))*-5)))/-5)--5)+(-5*(((-45.6*(-45.6-(-5/-5)))*(-45.6-(-45.6/(-5*-45.6))))-(-5/-5)))))</f>
        <v>-478406.6</v>
      </c>
      <c r="C5441" t="n" s="0">
        <v>-478406.6</v>
      </c>
    </row>
    <row r="5442">
      <c r="A5442" t="n" s="0">
        <v>-45.59</v>
      </c>
      <c r="B5442" t="n" s="0">
        <f>(-5-((((-5*(-5/((-5/(((-5*(-45.59--5))-(-5+((-5*-45.59)*(((-5--5)+(-45.59--5))+-45.59))))-(-5+-5)))*-5)))/-5)--5)+(-5*(((-45.59*(-45.59-(-5/-5)))*(-45.59-(-45.59/(-5*-45.59))))-(-5/-5)))))</f>
        <v>-478092.910595</v>
      </c>
      <c r="C5442" t="n" s="0">
        <v>-478092.91059500014</v>
      </c>
    </row>
    <row r="5443">
      <c r="A5443" t="n" s="0">
        <v>-45.58</v>
      </c>
      <c r="B5443" t="n" s="0">
        <f>(-5-((((-5*(-5/((-5/(((-5*(-45.58--5))-(-5+((-5*-45.58)*(((-5--5)+(-45.58--5))+-45.58))))-(-5+-5)))*-5)))/-5)--5)+(-5*(((-45.58*(-45.58-(-5/-5)))*(-45.58-(-45.58/(-5*-45.58))))-(-5/-5)))))</f>
        <v>-477779.35835999995</v>
      </c>
      <c r="C5443" t="n" s="0">
        <v>-477779.35835999995</v>
      </c>
    </row>
    <row r="5444">
      <c r="A5444" t="n" s="0">
        <v>-45.57</v>
      </c>
      <c r="B5444" t="n" s="0">
        <f>(-5-((((-5*(-5/((-5/(((-5*(-45.57--5))-(-5+((-5*-45.57)*(((-5--5)+(-45.57--5))+-45.57))))-(-5+-5)))*-5)))/-5)--5)+(-5*(((-45.57*(-45.57-(-5/-5)))*(-45.57-(-45.57/(-5*-45.57))))-(-5/-5)))))</f>
        <v>-477465.94326499995</v>
      </c>
      <c r="C5444" t="n" s="0">
        <v>-477465.943265</v>
      </c>
    </row>
    <row r="5445">
      <c r="A5445" t="n" s="0">
        <v>-45.56</v>
      </c>
      <c r="B5445" t="n" s="0">
        <f>(-5-((((-5*(-5/((-5/(((-5*(-45.56--5))-(-5+((-5*-45.56)*(((-5--5)+(-45.56--5))+-45.56))))-(-5+-5)))*-5)))/-5)--5)+(-5*(((-45.56*(-45.56-(-5/-5)))*(-45.56-(-45.56/(-5*-45.56))))-(-5/-5)))))</f>
        <v>-477152.66528</v>
      </c>
      <c r="C5445" t="n" s="0">
        <v>-477152.6652800001</v>
      </c>
    </row>
    <row r="5446">
      <c r="A5446" t="n" s="0">
        <v>-45.55</v>
      </c>
      <c r="B5446" t="n" s="0">
        <f>(-5-((((-5*(-5/((-5/(((-5*(-45.55--5))-(-5+((-5*-45.55)*(((-5--5)+(-45.55--5))+-45.55))))-(-5+-5)))*-5)))/-5)--5)+(-5*(((-45.55*(-45.55-(-5/-5)))*(-45.55-(-45.55/(-5*-45.55))))-(-5/-5)))))</f>
        <v>-476839.524375</v>
      </c>
      <c r="C5446" t="n" s="0">
        <v>-476839.5243749999</v>
      </c>
    </row>
    <row r="5447">
      <c r="A5447" t="n" s="0">
        <v>-45.54</v>
      </c>
      <c r="B5447" t="n" s="0">
        <f>(-5-((((-5*(-5/((-5/(((-5*(-45.54--5))-(-5+((-5*-45.54)*(((-5--5)+(-45.54--5))+-45.54))))-(-5+-5)))*-5)))/-5)--5)+(-5*(((-45.54*(-45.54-(-5/-5)))*(-45.54-(-45.54/(-5*-45.54))))-(-5/-5)))))</f>
        <v>-476526.52052</v>
      </c>
      <c r="C5447" t="n" s="0">
        <v>-476526.52051999996</v>
      </c>
    </row>
    <row r="5448">
      <c r="A5448" t="n" s="0">
        <v>-45.53</v>
      </c>
      <c r="B5448" t="n" s="0">
        <f>(-5-((((-5*(-5/((-5/(((-5*(-45.53--5))-(-5+((-5*-45.53)*(((-5--5)+(-45.53--5))+-45.53))))-(-5+-5)))*-5)))/-5)--5)+(-5*(((-45.53*(-45.53-(-5/-5)))*(-45.53-(-45.53/(-5*-45.53))))-(-5/-5)))))</f>
        <v>-476213.653685</v>
      </c>
      <c r="C5448" t="n" s="0">
        <v>-476213.6536850001</v>
      </c>
    </row>
    <row r="5449">
      <c r="A5449" t="n" s="0">
        <v>-45.52</v>
      </c>
      <c r="B5449" t="n" s="0">
        <f>(-5-((((-5*(-5/((-5/(((-5*(-45.52--5))-(-5+((-5*-45.52)*(((-5--5)+(-45.52--5))+-45.52))))-(-5+-5)))*-5)))/-5)--5)+(-5*(((-45.52*(-45.52-(-5/-5)))*(-45.52-(-45.52/(-5*-45.52))))-(-5/-5)))))</f>
        <v>-475900.92384</v>
      </c>
      <c r="C5449" t="n" s="0">
        <v>-475900.92384000006</v>
      </c>
    </row>
    <row r="5450">
      <c r="A5450" t="n" s="0">
        <v>-45.51</v>
      </c>
      <c r="B5450" t="n" s="0">
        <f>(-5-((((-5*(-5/((-5/(((-5*(-45.51--5))-(-5+((-5*-45.51)*(((-5--5)+(-45.51--5))+-45.51))))-(-5+-5)))*-5)))/-5)--5)+(-5*(((-45.51*(-45.51-(-5/-5)))*(-45.51-(-45.51/(-5*-45.51))))-(-5/-5)))))</f>
        <v>-475588.330955</v>
      </c>
      <c r="C5450" t="n" s="0">
        <v>-475588.33095499995</v>
      </c>
    </row>
    <row r="5451">
      <c r="A5451" t="n" s="0">
        <v>-45.5</v>
      </c>
      <c r="B5451" t="n" s="0">
        <f>(-5-((((-5*(-5/((-5/(((-5*(-45.5--5))-(-5+((-5*-45.5)*(((-5--5)+(-45.5--5))+-45.5))))-(-5+-5)))*-5)))/-5)--5)+(-5*(((-45.5*(-45.5-(-5/-5)))*(-45.5-(-45.5/(-5*-45.5))))-(-5/-5)))))</f>
        <v>-475275.875</v>
      </c>
      <c r="C5451" t="n" s="0">
        <v>-475275.875</v>
      </c>
    </row>
    <row r="5452">
      <c r="A5452" t="n" s="0">
        <v>-45.49</v>
      </c>
      <c r="B5452" t="n" s="0">
        <f>(-5-((((-5*(-5/((-5/(((-5*(-45.49--5))-(-5+((-5*-45.49)*(((-5--5)+(-45.49--5))+-45.49))))-(-5+-5)))*-5)))/-5)--5)+(-5*(((-45.49*(-45.49-(-5/-5)))*(-45.49-(-45.49/(-5*-45.49))))-(-5/-5)))))</f>
        <v>-474963.55594500003</v>
      </c>
      <c r="C5452" t="n" s="0">
        <v>-474963.5559450001</v>
      </c>
    </row>
    <row r="5453">
      <c r="A5453" t="n" s="0">
        <v>-45.48</v>
      </c>
      <c r="B5453" t="n" s="0">
        <f>(-5-((((-5*(-5/((-5/(((-5*(-45.48--5))-(-5+((-5*-45.48)*(((-5--5)+(-45.48--5))+-45.48))))-(-5+-5)))*-5)))/-5)--5)+(-5*(((-45.48*(-45.48-(-5/-5)))*(-45.48-(-45.48/(-5*-45.48))))-(-5/-5)))))</f>
        <v>-474651.37376</v>
      </c>
      <c r="C5453" t="n" s="0">
        <v>-474651.37375999993</v>
      </c>
    </row>
    <row r="5454">
      <c r="A5454" t="n" s="0">
        <v>-45.47</v>
      </c>
      <c r="B5454" t="n" s="0">
        <f>(-5-((((-5*(-5/((-5/(((-5*(-45.47--5))-(-5+((-5*-45.47)*(((-5--5)+(-45.47--5))+-45.47))))-(-5+-5)))*-5)))/-5)--5)+(-5*(((-45.47*(-45.47-(-5/-5)))*(-45.47-(-45.47/(-5*-45.47))))-(-5/-5)))))</f>
        <v>-474339.328415</v>
      </c>
      <c r="C5454" t="n" s="0">
        <v>-474339.32841499994</v>
      </c>
    </row>
    <row r="5455">
      <c r="A5455" t="n" s="0">
        <v>-45.46</v>
      </c>
      <c r="B5455" t="n" s="0">
        <f>(-5-((((-5*(-5/((-5/(((-5*(-45.46--5))-(-5+((-5*-45.46)*(((-5--5)+(-45.46--5))+-45.46))))-(-5+-5)))*-5)))/-5)--5)+(-5*(((-45.46*(-45.46-(-5/-5)))*(-45.46-(-45.46/(-5*-45.46))))-(-5/-5)))))</f>
        <v>-474027.41988</v>
      </c>
      <c r="C5455" t="n" s="0">
        <v>-474027.41988000006</v>
      </c>
    </row>
    <row r="5456">
      <c r="A5456" t="n" s="0">
        <v>-45.45</v>
      </c>
      <c r="B5456" t="n" s="0">
        <f>(-5-((((-5*(-5/((-5/(((-5*(-45.45--5))-(-5+((-5*-45.45)*(((-5--5)+(-45.45--5))+-45.45))))-(-5+-5)))*-5)))/-5)--5)+(-5*(((-45.45*(-45.45-(-5/-5)))*(-45.45-(-45.45/(-5*-45.45))))-(-5/-5)))))</f>
        <v>-473715.648125</v>
      </c>
      <c r="C5456" t="n" s="0">
        <v>-473715.64812500007</v>
      </c>
    </row>
    <row r="5457">
      <c r="A5457" t="n" s="0">
        <v>-45.44</v>
      </c>
      <c r="B5457" t="n" s="0">
        <f>(-5-((((-5*(-5/((-5/(((-5*(-45.44--5))-(-5+((-5*-45.44)*(((-5--5)+(-45.44--5))+-45.44))))-(-5+-5)))*-5)))/-5)--5)+(-5*(((-45.44*(-45.44-(-5/-5)))*(-45.44-(-45.44/(-5*-45.44))))-(-5/-5)))))</f>
        <v>-473404.01312</v>
      </c>
      <c r="C5457" t="n" s="0">
        <v>-473404.0131199999</v>
      </c>
    </row>
    <row r="5458">
      <c r="A5458" t="n" s="0">
        <v>-45.43</v>
      </c>
      <c r="B5458" t="n" s="0">
        <f>(-5-((((-5*(-5/((-5/(((-5*(-45.43--5))-(-5+((-5*-45.43)*(((-5--5)+(-45.43--5))+-45.43))))-(-5+-5)))*-5)))/-5)--5)+(-5*(((-45.43*(-45.43-(-5/-5)))*(-45.43-(-45.43/(-5*-45.43))))-(-5/-5)))))</f>
        <v>-473092.51483500004</v>
      </c>
      <c r="C5458" t="n" s="0">
        <v>-473092.514835</v>
      </c>
    </row>
    <row r="5459">
      <c r="A5459" t="n" s="0">
        <v>-45.42</v>
      </c>
      <c r="B5459" t="n" s="0">
        <f>(-5-((((-5*(-5/((-5/(((-5*(-45.42--5))-(-5+((-5*-45.42)*(((-5--5)+(-45.42--5))+-45.42))))-(-5+-5)))*-5)))/-5)--5)+(-5*(((-45.42*(-45.42-(-5/-5)))*(-45.42-(-45.42/(-5*-45.42))))-(-5/-5)))))</f>
        <v>-472781.15323999996</v>
      </c>
      <c r="C5459" t="n" s="0">
        <v>-472781.1532400001</v>
      </c>
    </row>
    <row r="5460">
      <c r="A5460" t="n" s="0">
        <v>-45.41</v>
      </c>
      <c r="B5460" t="n" s="0">
        <f>(-5-((((-5*(-5/((-5/(((-5*(-45.41--5))-(-5+((-5*-45.41)*(((-5--5)+(-45.41--5))+-45.41))))-(-5+-5)))*-5)))/-5)--5)+(-5*(((-45.41*(-45.41-(-5/-5)))*(-45.41-(-45.41/(-5*-45.41))))-(-5/-5)))))</f>
        <v>-472469.928305</v>
      </c>
      <c r="C5460" t="n" s="0">
        <v>-472469.9283049999</v>
      </c>
    </row>
    <row r="5461">
      <c r="A5461" t="n" s="0">
        <v>-45.4</v>
      </c>
      <c r="B5461" t="n" s="0">
        <f>(-5-((((-5*(-5/((-5/(((-5*(-45.4--5))-(-5+((-5*-45.4)*(((-5--5)+(-45.4--5))+-45.4))))-(-5+-5)))*-5)))/-5)--5)+(-5*(((-45.4*(-45.4-(-5/-5)))*(-45.4-(-45.4/(-5*-45.4))))-(-5/-5)))))</f>
        <v>-472158.84</v>
      </c>
      <c r="C5461" t="n" s="0">
        <v>-472158.83999999997</v>
      </c>
    </row>
    <row r="5462">
      <c r="A5462" t="n" s="0">
        <v>-45.39</v>
      </c>
      <c r="B5462" t="n" s="0">
        <f>(-5-((((-5*(-5/((-5/(((-5*(-45.39--5))-(-5+((-5*-45.39)*(((-5--5)+(-45.39--5))+-45.39))))-(-5+-5)))*-5)))/-5)--5)+(-5*(((-45.39*(-45.39-(-5/-5)))*(-45.39-(-45.39/(-5*-45.39))))-(-5/-5)))))</f>
        <v>-471847.88829499995</v>
      </c>
      <c r="C5462" t="n" s="0">
        <v>-471847.888295</v>
      </c>
    </row>
    <row r="5463">
      <c r="A5463" t="n" s="0">
        <v>-45.38</v>
      </c>
      <c r="B5463" t="n" s="0">
        <f>(-5-((((-5*(-5/((-5/(((-5*(-45.38--5))-(-5+((-5*-45.38)*(((-5--5)+(-45.38--5))+-45.38))))-(-5+-5)))*-5)))/-5)--5)+(-5*(((-45.38*(-45.38-(-5/-5)))*(-45.38-(-45.38/(-5*-45.38))))-(-5/-5)))))</f>
        <v>-471537.07315999997</v>
      </c>
      <c r="C5463" t="n" s="0">
        <v>-471537.0731600001</v>
      </c>
    </row>
    <row r="5464">
      <c r="A5464" t="n" s="0">
        <v>-45.37</v>
      </c>
      <c r="B5464" t="n" s="0">
        <f>(-5-((((-5*(-5/((-5/(((-5*(-45.37--5))-(-5+((-5*-45.37)*(((-5--5)+(-45.37--5))+-45.37))))-(-5+-5)))*-5)))/-5)--5)+(-5*(((-45.37*(-45.37-(-5/-5)))*(-45.37-(-45.37/(-5*-45.37))))-(-5/-5)))))</f>
        <v>-471226.39456499997</v>
      </c>
      <c r="C5464" t="n" s="0">
        <v>-471226.3945649999</v>
      </c>
    </row>
    <row r="5465">
      <c r="A5465" t="n" s="0">
        <v>-45.36</v>
      </c>
      <c r="B5465" t="n" s="0">
        <f>(-5-((((-5*(-5/((-5/(((-5*(-45.36--5))-(-5+((-5*-45.36)*(((-5--5)+(-45.36--5))+-45.36))))-(-5+-5)))*-5)))/-5)--5)+(-5*(((-45.36*(-45.36-(-5/-5)))*(-45.36-(-45.36/(-5*-45.36))))-(-5/-5)))))</f>
        <v>-470915.85248</v>
      </c>
      <c r="C5465" t="n" s="0">
        <v>-470915.85248</v>
      </c>
    </row>
    <row r="5466">
      <c r="A5466" t="n" s="0">
        <v>-45.35</v>
      </c>
      <c r="B5466" t="n" s="0">
        <f>(-5-((((-5*(-5/((-5/(((-5*(-45.35--5))-(-5+((-5*-45.35)*(((-5--5)+(-45.35--5))+-45.35))))-(-5+-5)))*-5)))/-5)--5)+(-5*(((-45.35*(-45.35-(-5/-5)))*(-45.35-(-45.35/(-5*-45.35))))-(-5/-5)))))</f>
        <v>-470605.446875</v>
      </c>
      <c r="C5466" t="n" s="0">
        <v>-470605.446875</v>
      </c>
    </row>
    <row r="5467">
      <c r="A5467" t="n" s="0">
        <v>-45.34</v>
      </c>
      <c r="B5467" t="n" s="0">
        <f>(-5-((((-5*(-5/((-5/(((-5*(-45.34--5))-(-5+((-5*-45.34)*(((-5--5)+(-45.34--5))+-45.34))))-(-5+-5)))*-5)))/-5)--5)+(-5*(((-45.34*(-45.34-(-5/-5)))*(-45.34-(-45.34/(-5*-45.34))))-(-5/-5)))))</f>
        <v>-470295.17772</v>
      </c>
      <c r="C5467" t="n" s="0">
        <v>-470295.1777200001</v>
      </c>
    </row>
    <row r="5468">
      <c r="A5468" t="n" s="0">
        <v>-45.33</v>
      </c>
      <c r="B5468" t="n" s="0">
        <f>(-5-((((-5*(-5/((-5/(((-5*(-45.33--5))-(-5+((-5*-45.33)*(((-5--5)+(-45.33--5))+-45.33))))-(-5+-5)))*-5)))/-5)--5)+(-5*(((-45.33*(-45.33-(-5/-5)))*(-45.33-(-45.33/(-5*-45.33))))-(-5/-5)))))</f>
        <v>-469985.044985</v>
      </c>
      <c r="C5468" t="n" s="0">
        <v>-469985.0449849999</v>
      </c>
    </row>
    <row r="5469">
      <c r="A5469" t="n" s="0">
        <v>-45.32</v>
      </c>
      <c r="B5469" t="n" s="0">
        <f>(-5-((((-5*(-5/((-5/(((-5*(-45.32--5))-(-5+((-5*-45.32)*(((-5--5)+(-45.32--5))+-45.32))))-(-5+-5)))*-5)))/-5)--5)+(-5*(((-45.32*(-45.32-(-5/-5)))*(-45.32-(-45.32/(-5*-45.32))))-(-5/-5)))))</f>
        <v>-469675.04864</v>
      </c>
      <c r="C5469" t="n" s="0">
        <v>-469675.04864</v>
      </c>
    </row>
    <row r="5470">
      <c r="A5470" t="n" s="0">
        <v>-45.31</v>
      </c>
      <c r="B5470" t="n" s="0">
        <f>(-5-((((-5*(-5/((-5/(((-5*(-45.31--5))-(-5+((-5*-45.31)*(((-5--5)+(-45.31--5))+-45.31))))-(-5+-5)))*-5)))/-5)--5)+(-5*(((-45.31*(-45.31-(-5/-5)))*(-45.31-(-45.31/(-5*-45.31))))-(-5/-5)))))</f>
        <v>-469365.18865499995</v>
      </c>
      <c r="C5470" t="n" s="0">
        <v>-469365.18865500006</v>
      </c>
    </row>
    <row r="5471">
      <c r="A5471" t="n" s="0">
        <v>-45.3</v>
      </c>
      <c r="B5471" t="n" s="0">
        <f>(-5-((((-5*(-5/((-5/(((-5*(-45.3--5))-(-5+((-5*-45.3)*(((-5--5)+(-45.3--5))+-45.3))))-(-5+-5)))*-5)))/-5)--5)+(-5*(((-45.3*(-45.3-(-5/-5)))*(-45.3-(-45.3/(-5*-45.3))))-(-5/-5)))))</f>
        <v>-469055.46499999997</v>
      </c>
      <c r="C5471" t="n" s="0">
        <v>-469055.4649999999</v>
      </c>
    </row>
    <row r="5472">
      <c r="A5472" t="n" s="0">
        <v>-45.29</v>
      </c>
      <c r="B5472" t="n" s="0">
        <f>(-5-((((-5*(-5/((-5/(((-5*(-45.29--5))-(-5+((-5*-45.29)*(((-5--5)+(-45.29--5))+-45.29))))-(-5+-5)))*-5)))/-5)--5)+(-5*(((-45.29*(-45.29-(-5/-5)))*(-45.29-(-45.29/(-5*-45.29))))-(-5/-5)))))</f>
        <v>-468745.877645</v>
      </c>
      <c r="C5472" t="n" s="0">
        <v>-468745.877645</v>
      </c>
    </row>
    <row r="5473">
      <c r="A5473" t="n" s="0">
        <v>-45.28</v>
      </c>
      <c r="B5473" t="n" s="0">
        <f>(-5-((((-5*(-5/((-5/(((-5*(-45.28--5))-(-5+((-5*-45.28)*(((-5--5)+(-45.28--5))+-45.28))))-(-5+-5)))*-5)))/-5)--5)+(-5*(((-45.28*(-45.28-(-5/-5)))*(-45.28-(-45.28/(-5*-45.28))))-(-5/-5)))))</f>
        <v>-468436.42656</v>
      </c>
      <c r="C5473" t="n" s="0">
        <v>-468436.4265600001</v>
      </c>
    </row>
    <row r="5474">
      <c r="A5474" t="n" s="0">
        <v>-45.27</v>
      </c>
      <c r="B5474" t="n" s="0">
        <f>(-5-((((-5*(-5/((-5/(((-5*(-45.27--5))-(-5+((-5*-45.27)*(((-5--5)+(-45.27--5))+-45.27))))-(-5+-5)))*-5)))/-5)--5)+(-5*(((-45.27*(-45.27-(-5/-5)))*(-45.27-(-45.27/(-5*-45.27))))-(-5/-5)))))</f>
        <v>-468127.111715</v>
      </c>
      <c r="C5474" t="n" s="0">
        <v>-468127.11171500006</v>
      </c>
    </row>
    <row r="5475">
      <c r="A5475" t="n" s="0">
        <v>-45.26</v>
      </c>
      <c r="B5475" t="n" s="0">
        <f>(-5-((((-5*(-5/((-5/(((-5*(-45.26--5))-(-5+((-5*-45.26)*(((-5--5)+(-45.26--5))+-45.26))))-(-5+-5)))*-5)))/-5)--5)+(-5*(((-45.26*(-45.26-(-5/-5)))*(-45.26-(-45.26/(-5*-45.26))))-(-5/-5)))))</f>
        <v>-467817.93308</v>
      </c>
      <c r="C5475" t="n" s="0">
        <v>-467817.93308</v>
      </c>
    </row>
    <row r="5476">
      <c r="A5476" t="n" s="0">
        <v>-45.25</v>
      </c>
      <c r="B5476" t="n" s="0">
        <f>(-5-((((-5*(-5/((-5/(((-5*(-45.25--5))-(-5+((-5*-45.25)*(((-5--5)+(-45.25--5))+-45.25))))-(-5+-5)))*-5)))/-5)--5)+(-5*(((-45.25*(-45.25-(-5/-5)))*(-45.25-(-45.25/(-5*-45.25))))-(-5/-5)))))</f>
        <v>-467508.890625</v>
      </c>
      <c r="C5476" t="n" s="0">
        <v>-467508.890625</v>
      </c>
    </row>
    <row r="5477">
      <c r="A5477" t="n" s="0">
        <v>-45.24</v>
      </c>
      <c r="B5477" t="n" s="0">
        <f>(-5-((((-5*(-5/((-5/(((-5*(-45.24--5))-(-5+((-5*-45.24)*(((-5--5)+(-45.24--5))+-45.24))))-(-5+-5)))*-5)))/-5)--5)+(-5*(((-45.24*(-45.24-(-5/-5)))*(-45.24-(-45.24/(-5*-45.24))))-(-5/-5)))))</f>
        <v>-467199.98432</v>
      </c>
      <c r="C5477" t="n" s="0">
        <v>-467199.98432</v>
      </c>
    </row>
    <row r="5478">
      <c r="A5478" t="n" s="0">
        <v>-45.23</v>
      </c>
      <c r="B5478" t="n" s="0">
        <f>(-5-((((-5*(-5/((-5/(((-5*(-45.23--5))-(-5+((-5*-45.23)*(((-5--5)+(-45.23--5))+-45.23))))-(-5+-5)))*-5)))/-5)--5)+(-5*(((-45.23*(-45.23-(-5/-5)))*(-45.23-(-45.23/(-5*-45.23))))-(-5/-5)))))</f>
        <v>-466891.214135</v>
      </c>
      <c r="C5478" t="n" s="0">
        <v>-466891.2141349999</v>
      </c>
    </row>
    <row r="5479">
      <c r="A5479" t="n" s="0">
        <v>-45.22</v>
      </c>
      <c r="B5479" t="n" s="0">
        <f>(-5-((((-5*(-5/((-5/(((-5*(-45.22--5))-(-5+((-5*-45.22)*(((-5--5)+(-45.22--5))+-45.22))))-(-5+-5)))*-5)))/-5)--5)+(-5*(((-45.22*(-45.22-(-5/-5)))*(-45.22-(-45.22/(-5*-45.22))))-(-5/-5)))))</f>
        <v>-466582.58004000003</v>
      </c>
      <c r="C5479" t="n" s="0">
        <v>-466582.5800399999</v>
      </c>
    </row>
    <row r="5480">
      <c r="A5480" t="n" s="0">
        <v>-45.21</v>
      </c>
      <c r="B5480" t="n" s="0">
        <f>(-5-((((-5*(-5/((-5/(((-5*(-45.21--5))-(-5+((-5*-45.21)*(((-5--5)+(-45.21--5))+-45.21))))-(-5+-5)))*-5)))/-5)--5)+(-5*(((-45.21*(-45.21-(-5/-5)))*(-45.21-(-45.21/(-5*-45.21))))-(-5/-5)))))</f>
        <v>-466274.082005</v>
      </c>
      <c r="C5480" t="n" s="0">
        <v>-466274.08200500003</v>
      </c>
    </row>
    <row r="5481">
      <c r="A5481" t="n" s="0">
        <v>-45.2</v>
      </c>
      <c r="B5481" t="n" s="0">
        <f>(-5-((((-5*(-5/((-5/(((-5*(-45.2--5))-(-5+((-5*-45.2)*(((-5--5)+(-45.2--5))+-45.2))))-(-5+-5)))*-5)))/-5)--5)+(-5*(((-45.2*(-45.2-(-5/-5)))*(-45.2-(-45.2/(-5*-45.2))))-(-5/-5)))))</f>
        <v>-465965.72</v>
      </c>
      <c r="C5481" t="n" s="0">
        <v>-465965.72000000003</v>
      </c>
    </row>
    <row r="5482">
      <c r="A5482" t="n" s="0">
        <v>-45.19</v>
      </c>
      <c r="B5482" t="n" s="0">
        <f>(-5-((((-5*(-5/((-5/(((-5*(-45.19--5))-(-5+((-5*-45.19)*(((-5--5)+(-45.19--5))+-45.19))))-(-5+-5)))*-5)))/-5)--5)+(-5*(((-45.19*(-45.19-(-5/-5)))*(-45.19-(-45.19/(-5*-45.19))))-(-5/-5)))))</f>
        <v>-465657.493995</v>
      </c>
      <c r="C5482" t="n" s="0">
        <v>-465657.49399499997</v>
      </c>
    </row>
    <row r="5483">
      <c r="A5483" t="n" s="0">
        <v>-45.18</v>
      </c>
      <c r="B5483" t="n" s="0">
        <f>(-5-((((-5*(-5/((-5/(((-5*(-45.18--5))-(-5+((-5*-45.18)*(((-5--5)+(-45.18--5))+-45.18))))-(-5+-5)))*-5)))/-5)--5)+(-5*(((-45.18*(-45.18-(-5/-5)))*(-45.18-(-45.18/(-5*-45.18))))-(-5/-5)))))</f>
        <v>-465349.40396</v>
      </c>
      <c r="C5483" t="n" s="0">
        <v>-465349.40395999997</v>
      </c>
    </row>
    <row r="5484">
      <c r="A5484" t="n" s="0">
        <v>-45.17</v>
      </c>
      <c r="B5484" t="n" s="0">
        <f>(-5-((((-5*(-5/((-5/(((-5*(-45.17--5))-(-5+((-5*-45.17)*(((-5--5)+(-45.17--5))+-45.17))))-(-5+-5)))*-5)))/-5)--5)+(-5*(((-45.17*(-45.17-(-5/-5)))*(-45.17-(-45.17/(-5*-45.17))))-(-5/-5)))))</f>
        <v>-465041.44986500003</v>
      </c>
      <c r="C5484" t="n" s="0">
        <v>-465041.44986500003</v>
      </c>
    </row>
    <row r="5485">
      <c r="A5485" t="n" s="0">
        <v>-45.16</v>
      </c>
      <c r="B5485" t="n" s="0">
        <f>(-5-((((-5*(-5/((-5/(((-5*(-45.16--5))-(-5+((-5*-45.16)*(((-5--5)+(-45.16--5))+-45.16))))-(-5+-5)))*-5)))/-5)--5)+(-5*(((-45.16*(-45.16-(-5/-5)))*(-45.16-(-45.16/(-5*-45.16))))-(-5/-5)))))</f>
        <v>-464733.63168</v>
      </c>
      <c r="C5485" t="n" s="0">
        <v>-464733.6316799999</v>
      </c>
    </row>
    <row r="5486">
      <c r="A5486" t="n" s="0">
        <v>-45.15</v>
      </c>
      <c r="B5486" t="n" s="0">
        <f>(-5-((((-5*(-5/((-5/(((-5*(-45.15--5))-(-5+((-5*-45.15)*(((-5--5)+(-45.15--5))+-45.15))))-(-5+-5)))*-5)))/-5)--5)+(-5*(((-45.15*(-45.15-(-5/-5)))*(-45.15-(-45.15/(-5*-45.15))))-(-5/-5)))))</f>
        <v>-464425.94937499997</v>
      </c>
      <c r="C5486" t="n" s="0">
        <v>-464425.94937499997</v>
      </c>
    </row>
    <row r="5487">
      <c r="A5487" t="n" s="0">
        <v>-45.14</v>
      </c>
      <c r="B5487" t="n" s="0">
        <f>(-5-((((-5*(-5/((-5/(((-5*(-45.14--5))-(-5+((-5*-45.14)*(((-5--5)+(-45.14--5))+-45.14))))-(-5+-5)))*-5)))/-5)--5)+(-5*(((-45.14*(-45.14-(-5/-5)))*(-45.14-(-45.14/(-5*-45.14))))-(-5/-5)))))</f>
        <v>-464118.40291999996</v>
      </c>
      <c r="C5487" t="n" s="0">
        <v>-464118.40292</v>
      </c>
    </row>
    <row r="5488">
      <c r="A5488" t="n" s="0">
        <v>-45.13</v>
      </c>
      <c r="B5488" t="n" s="0">
        <f>(-5-((((-5*(-5/((-5/(((-5*(-45.13--5))-(-5+((-5*-45.13)*(((-5--5)+(-45.13--5))+-45.13))))-(-5+-5)))*-5)))/-5)--5)+(-5*(((-45.13*(-45.13-(-5/-5)))*(-45.13-(-45.13/(-5*-45.13))))-(-5/-5)))))</f>
        <v>-463810.99228500004</v>
      </c>
      <c r="C5488" t="n" s="0">
        <v>-463810.9922850001</v>
      </c>
    </row>
    <row r="5489">
      <c r="A5489" t="n" s="0">
        <v>-45.12</v>
      </c>
      <c r="B5489" t="n" s="0">
        <f>(-5-((((-5*(-5/((-5/(((-5*(-45.12--5))-(-5+((-5*-45.12)*(((-5--5)+(-45.12--5))+-45.12))))-(-5+-5)))*-5)))/-5)--5)+(-5*(((-45.12*(-45.12-(-5/-5)))*(-45.12-(-45.12/(-5*-45.12))))-(-5/-5)))))</f>
        <v>-463503.71744</v>
      </c>
      <c r="C5489" t="n" s="0">
        <v>-463503.71744</v>
      </c>
    </row>
    <row r="5490">
      <c r="A5490" t="n" s="0">
        <v>-45.11</v>
      </c>
      <c r="B5490" t="n" s="0">
        <f>(-5-((((-5*(-5/((-5/(((-5*(-45.11--5))-(-5+((-5*-45.11)*(((-5--5)+(-45.11--5))+-45.11))))-(-5+-5)))*-5)))/-5)--5)+(-5*(((-45.11*(-45.11-(-5/-5)))*(-45.11-(-45.11/(-5*-45.11))))-(-5/-5)))))</f>
        <v>-463196.578355</v>
      </c>
      <c r="C5490" t="n" s="0">
        <v>-463196.578355</v>
      </c>
    </row>
    <row r="5491">
      <c r="A5491" t="n" s="0">
        <v>-45.1</v>
      </c>
      <c r="B5491" t="n" s="0">
        <f>(-5-((((-5*(-5/((-5/(((-5*(-45.1--5))-(-5+((-5*-45.1)*(((-5--5)+(-45.1--5))+-45.1))))-(-5+-5)))*-5)))/-5)--5)+(-5*(((-45.1*(-45.1-(-5/-5)))*(-45.1-(-45.1/(-5*-45.1))))-(-5/-5)))))</f>
        <v>-462889.575</v>
      </c>
      <c r="C5491" t="n" s="0">
        <v>-462889.57500000007</v>
      </c>
    </row>
    <row r="5492">
      <c r="A5492" t="n" s="0">
        <v>-45.09</v>
      </c>
      <c r="B5492" t="n" s="0">
        <f>(-5-((((-5*(-5/((-5/(((-5*(-45.09--5))-(-5+((-5*-45.09)*(((-5--5)+(-45.09--5))+-45.09))))-(-5+-5)))*-5)))/-5)--5)+(-5*(((-45.09*(-45.09-(-5/-5)))*(-45.09-(-45.09/(-5*-45.09))))-(-5/-5)))))</f>
        <v>-462582.707345</v>
      </c>
      <c r="C5492" t="n" s="0">
        <v>-462582.7073450002</v>
      </c>
    </row>
    <row r="5493">
      <c r="A5493" t="n" s="0">
        <v>-45.08</v>
      </c>
      <c r="B5493" t="n" s="0">
        <f>(-5-((((-5*(-5/((-5/(((-5*(-45.08--5))-(-5+((-5*-45.08)*(((-5--5)+(-45.08--5))+-45.08))))-(-5+-5)))*-5)))/-5)--5)+(-5*(((-45.08*(-45.08-(-5/-5)))*(-45.08-(-45.08/(-5*-45.08))))-(-5/-5)))))</f>
        <v>-462275.97536</v>
      </c>
      <c r="C5493" t="n" s="0">
        <v>-462275.9753599999</v>
      </c>
    </row>
    <row r="5494">
      <c r="A5494" t="n" s="0">
        <v>-45.07</v>
      </c>
      <c r="B5494" t="n" s="0">
        <f>(-5-((((-5*(-5/((-5/(((-5*(-45.07--5))-(-5+((-5*-45.07)*(((-5--5)+(-45.07--5))+-45.07))))-(-5+-5)))*-5)))/-5)--5)+(-5*(((-45.07*(-45.07-(-5/-5)))*(-45.07-(-45.07/(-5*-45.07))))-(-5/-5)))))</f>
        <v>-461969.379015</v>
      </c>
      <c r="C5494" t="n" s="0">
        <v>-461969.379015</v>
      </c>
    </row>
    <row r="5495">
      <c r="A5495" t="n" s="0">
        <v>-45.06</v>
      </c>
      <c r="B5495" t="n" s="0">
        <f>(-5-((((-5*(-5/((-5/(((-5*(-45.06--5))-(-5+((-5*-45.06)*(((-5--5)+(-45.06--5))+-45.06))))-(-5+-5)))*-5)))/-5)--5)+(-5*(((-45.06*(-45.06-(-5/-5)))*(-45.06-(-45.06/(-5*-45.06))))-(-5/-5)))))</f>
        <v>-461662.91828</v>
      </c>
      <c r="C5495" t="n" s="0">
        <v>-461662.9182800001</v>
      </c>
    </row>
    <row r="5496">
      <c r="A5496" t="n" s="0">
        <v>-45.05</v>
      </c>
      <c r="B5496" t="n" s="0">
        <f>(-5-((((-5*(-5/((-5/(((-5*(-45.05--5))-(-5+((-5*-45.05)*(((-5--5)+(-45.05--5))+-45.05))))-(-5+-5)))*-5)))/-5)--5)+(-5*(((-45.05*(-45.05-(-5/-5)))*(-45.05-(-45.05/(-5*-45.05))))-(-5/-5)))))</f>
        <v>-461356.593125</v>
      </c>
      <c r="C5496" t="n" s="0">
        <v>-461356.59312499996</v>
      </c>
    </row>
    <row r="5497">
      <c r="A5497" t="n" s="0">
        <v>-45.04</v>
      </c>
      <c r="B5497" t="n" s="0">
        <f>(-5-((((-5*(-5/((-5/(((-5*(-45.04--5))-(-5+((-5*-45.04)*(((-5--5)+(-45.04--5))+-45.04))))-(-5+-5)))*-5)))/-5)--5)+(-5*(((-45.04*(-45.04-(-5/-5)))*(-45.04-(-45.04/(-5*-45.04))))-(-5/-5)))))</f>
        <v>-461050.40352</v>
      </c>
      <c r="C5497" t="n" s="0">
        <v>-461050.40351999993</v>
      </c>
    </row>
    <row r="5498">
      <c r="A5498" t="n" s="0">
        <v>-45.03</v>
      </c>
      <c r="B5498" t="n" s="0">
        <f>(-5-((((-5*(-5/((-5/(((-5*(-45.03--5))-(-5+((-5*-45.03)*(((-5--5)+(-45.03--5))+-45.03))))-(-5+-5)))*-5)))/-5)--5)+(-5*(((-45.03*(-45.03-(-5/-5)))*(-45.03-(-45.03/(-5*-45.03))))-(-5/-5)))))</f>
        <v>-460744.349435</v>
      </c>
      <c r="C5498" t="n" s="0">
        <v>-460744.34943500004</v>
      </c>
    </row>
    <row r="5499">
      <c r="A5499" t="n" s="0">
        <v>-45.02</v>
      </c>
      <c r="B5499" t="n" s="0">
        <f>(-5-((((-5*(-5/((-5/(((-5*(-45.02--5))-(-5+((-5*-45.02)*(((-5--5)+(-45.02--5))+-45.02))))-(-5+-5)))*-5)))/-5)--5)+(-5*(((-45.02*(-45.02-(-5/-5)))*(-45.02-(-45.02/(-5*-45.02))))-(-5/-5)))))</f>
        <v>-460438.43084</v>
      </c>
      <c r="C5499" t="n" s="0">
        <v>-460438.4308400001</v>
      </c>
    </row>
    <row r="5500">
      <c r="A5500" t="n" s="0">
        <v>-45.01</v>
      </c>
      <c r="B5500" t="n" s="0">
        <f>(-5-((((-5*(-5/((-5/(((-5*(-45.01--5))-(-5+((-5*-45.01)*(((-5--5)+(-45.01--5))+-45.01))))-(-5+-5)))*-5)))/-5)--5)+(-5*(((-45.01*(-45.01-(-5/-5)))*(-45.01-(-45.01/(-5*-45.01))))-(-5/-5)))))</f>
        <v>-460132.647705</v>
      </c>
      <c r="C5500" t="n" s="0">
        <v>-460132.647705</v>
      </c>
    </row>
    <row r="5501">
      <c r="A5501" t="n" s="0">
        <v>-45.0</v>
      </c>
      <c r="B5501" t="n" s="0">
        <f>(-5-((((-5*(-5/((-5/(((-5*(-45--5))-(-5+((-5*-45)*(((-5--5)+(-45--5))+-45))))-(-5+-5)))*-5)))/-5)--5)+(-5*(((-45*(-45-(-5/-5)))*(-45-(-45/(-5*-45))))-(-5/-5)))))</f>
        <v>-459827.0</v>
      </c>
      <c r="C5501" t="n" s="0">
        <v>-459827.0</v>
      </c>
    </row>
    <row r="5502">
      <c r="A5502" t="n" s="0">
        <v>-44.99</v>
      </c>
      <c r="B5502" t="n" s="0">
        <f>(-5-((((-5*(-5/((-5/(((-5*(-44.99--5))-(-5+((-5*-44.99)*(((-5--5)+(-44.99--5))+-44.99))))-(-5+-5)))*-5)))/-5)--5)+(-5*(((-44.99*(-44.99-(-5/-5)))*(-44.99-(-44.99/(-5*-44.99))))-(-5/-5)))))</f>
        <v>-459521.487695</v>
      </c>
      <c r="C5502" t="n" s="0">
        <v>-459521.487695</v>
      </c>
    </row>
    <row r="5503">
      <c r="A5503" t="n" s="0">
        <v>-44.98</v>
      </c>
      <c r="B5503" t="n" s="0">
        <f>(-5-((((-5*(-5/((-5/(((-5*(-44.98--5))-(-5+((-5*-44.98)*(((-5--5)+(-44.98--5))+-44.98))))-(-5+-5)))*-5)))/-5)--5)+(-5*(((-44.98*(-44.98-(-5/-5)))*(-44.98-(-44.98/(-5*-44.98))))-(-5/-5)))))</f>
        <v>-459216.11075999995</v>
      </c>
      <c r="C5503" t="n" s="0">
        <v>-459216.11075999995</v>
      </c>
    </row>
    <row r="5504">
      <c r="A5504" t="n" s="0">
        <v>-44.97</v>
      </c>
      <c r="B5504" t="n" s="0">
        <f>(-5-((((-5*(-5/((-5/(((-5*(-44.97--5))-(-5+((-5*-44.97)*(((-5--5)+(-44.97--5))+-44.97))))-(-5+-5)))*-5)))/-5)--5)+(-5*(((-44.97*(-44.97-(-5/-5)))*(-44.97-(-44.97/(-5*-44.97))))-(-5/-5)))))</f>
        <v>-458910.869165</v>
      </c>
      <c r="C5504" t="n" s="0">
        <v>-458910.8691649999</v>
      </c>
    </row>
    <row r="5505">
      <c r="A5505" t="n" s="0">
        <v>-44.96</v>
      </c>
      <c r="B5505" t="n" s="0">
        <f>(-5-((((-5*(-5/((-5/(((-5*(-44.96--5))-(-5+((-5*-44.96)*(((-5--5)+(-44.96--5))+-44.96))))-(-5+-5)))*-5)))/-5)--5)+(-5*(((-44.96*(-44.96-(-5/-5)))*(-44.96-(-44.96/(-5*-44.96))))-(-5/-5)))))</f>
        <v>-458605.76288</v>
      </c>
      <c r="C5505" t="n" s="0">
        <v>-458605.76288000005</v>
      </c>
    </row>
    <row r="5506">
      <c r="A5506" t="n" s="0">
        <v>-44.95</v>
      </c>
      <c r="B5506" t="n" s="0">
        <f>(-5-((((-5*(-5/((-5/(((-5*(-44.95--5))-(-5+((-5*-44.95)*(((-5--5)+(-44.95--5))+-44.95))))-(-5+-5)))*-5)))/-5)--5)+(-5*(((-44.95*(-44.95-(-5/-5)))*(-44.95-(-44.95/(-5*-44.95))))-(-5/-5)))))</f>
        <v>-458300.791875</v>
      </c>
      <c r="C5506" t="n" s="0">
        <v>-458300.79187500005</v>
      </c>
    </row>
    <row r="5507">
      <c r="A5507" t="n" s="0">
        <v>-44.94</v>
      </c>
      <c r="B5507" t="n" s="0">
        <f>(-5-((((-5*(-5/((-5/(((-5*(-44.94--5))-(-5+((-5*-44.94)*(((-5--5)+(-44.94--5))+-44.94))))-(-5+-5)))*-5)))/-5)--5)+(-5*(((-44.94*(-44.94-(-5/-5)))*(-44.94-(-44.94/(-5*-44.94))))-(-5/-5)))))</f>
        <v>-457995.95612</v>
      </c>
      <c r="C5507" t="n" s="0">
        <v>-457995.95612</v>
      </c>
    </row>
    <row r="5508">
      <c r="A5508" t="n" s="0">
        <v>-44.93</v>
      </c>
      <c r="B5508" t="n" s="0">
        <f>(-5-((((-5*(-5/((-5/(((-5*(-44.93--5))-(-5+((-5*-44.93)*(((-5--5)+(-44.93--5))+-44.93))))-(-5+-5)))*-5)))/-5)--5)+(-5*(((-44.93*(-44.93-(-5/-5)))*(-44.93-(-44.93/(-5*-44.93))))-(-5/-5)))))</f>
        <v>-457691.25558500004</v>
      </c>
      <c r="C5508" t="n" s="0">
        <v>-457691.255585</v>
      </c>
    </row>
    <row r="5509">
      <c r="A5509" t="n" s="0">
        <v>-44.92</v>
      </c>
      <c r="B5509" t="n" s="0">
        <f>(-5-((((-5*(-5/((-5/(((-5*(-44.92--5))-(-5+((-5*-44.92)*(((-5--5)+(-44.92--5))+-44.92))))-(-5+-5)))*-5)))/-5)--5)+(-5*(((-44.92*(-44.92-(-5/-5)))*(-44.92-(-44.92/(-5*-44.92))))-(-5/-5)))))</f>
        <v>-457386.69023999997</v>
      </c>
      <c r="C5509" t="n" s="0">
        <v>-457386.6902400001</v>
      </c>
    </row>
    <row r="5510">
      <c r="A5510" t="n" s="0">
        <v>-44.91</v>
      </c>
      <c r="B5510" t="n" s="0">
        <f>(-5-((((-5*(-5/((-5/(((-5*(-44.91--5))-(-5+((-5*-44.91)*(((-5--5)+(-44.91--5))+-44.91))))-(-5+-5)))*-5)))/-5)--5)+(-5*(((-44.91*(-44.91-(-5/-5)))*(-44.91-(-44.91/(-5*-44.91))))-(-5/-5)))))</f>
        <v>-457082.260055</v>
      </c>
      <c r="C5510" t="n" s="0">
        <v>-457082.2600549999</v>
      </c>
    </row>
    <row r="5511">
      <c r="A5511" t="n" s="0">
        <v>-44.9</v>
      </c>
      <c r="B5511" t="n" s="0">
        <f>(-5-((((-5*(-5/((-5/(((-5*(-44.9--5))-(-5+((-5*-44.9)*(((-5--5)+(-44.9--5))+-44.9))))-(-5+-5)))*-5)))/-5)--5)+(-5*(((-44.9*(-44.9-(-5/-5)))*(-44.9-(-44.9/(-5*-44.9))))-(-5/-5)))))</f>
        <v>-456777.965</v>
      </c>
      <c r="C5511" t="n" s="0">
        <v>-456777.96499999997</v>
      </c>
    </row>
    <row r="5512">
      <c r="A5512" t="n" s="0">
        <v>-44.89</v>
      </c>
      <c r="B5512" t="n" s="0">
        <f>(-5-((((-5*(-5/((-5/(((-5*(-44.89--5))-(-5+((-5*-44.89)*(((-5--5)+(-44.89--5))+-44.89))))-(-5+-5)))*-5)))/-5)--5)+(-5*(((-44.89*(-44.89-(-5/-5)))*(-44.89-(-44.89/(-5*-44.89))))-(-5/-5)))))</f>
        <v>-456473.805045</v>
      </c>
      <c r="C5512" t="n" s="0">
        <v>-456473.805045</v>
      </c>
    </row>
    <row r="5513">
      <c r="A5513" t="n" s="0">
        <v>-44.88</v>
      </c>
      <c r="B5513" t="n" s="0">
        <f>(-5-((((-5*(-5/((-5/(((-5*(-44.88--5))-(-5+((-5*-44.88)*(((-5--5)+(-44.88--5))+-44.88))))-(-5+-5)))*-5)))/-5)--5)+(-5*(((-44.88*(-44.88-(-5/-5)))*(-44.88-(-44.88/(-5*-44.88))))-(-5/-5)))))</f>
        <v>-456169.78016</v>
      </c>
      <c r="C5513" t="n" s="0">
        <v>-456169.7801600001</v>
      </c>
    </row>
    <row r="5514">
      <c r="A5514" t="n" s="0">
        <v>-44.87</v>
      </c>
      <c r="B5514" t="n" s="0">
        <f>(-5-((((-5*(-5/((-5/(((-5*(-44.87--5))-(-5+((-5*-44.87)*(((-5--5)+(-44.87--5))+-44.87))))-(-5+-5)))*-5)))/-5)--5)+(-5*(((-44.87*(-44.87-(-5/-5)))*(-44.87-(-44.87/(-5*-44.87))))-(-5/-5)))))</f>
        <v>-455865.89031499997</v>
      </c>
      <c r="C5514" t="n" s="0">
        <v>-455865.8903149999</v>
      </c>
    </row>
    <row r="5515">
      <c r="A5515" t="n" s="0">
        <v>-44.86</v>
      </c>
      <c r="B5515" t="n" s="0">
        <f>(-5-((((-5*(-5/((-5/(((-5*(-44.86--5))-(-5+((-5*-44.86)*(((-5--5)+(-44.86--5))+-44.86))))-(-5+-5)))*-5)))/-5)--5)+(-5*(((-44.86*(-44.86-(-5/-5)))*(-44.86-(-44.86/(-5*-44.86))))-(-5/-5)))))</f>
        <v>-455562.13548</v>
      </c>
      <c r="C5515" t="n" s="0">
        <v>-455562.13548</v>
      </c>
    </row>
    <row r="5516">
      <c r="A5516" t="n" s="0">
        <v>-44.85</v>
      </c>
      <c r="B5516" t="n" s="0">
        <f>(-5-((((-5*(-5/((-5/(((-5*(-44.85--5))-(-5+((-5*-44.85)*(((-5--5)+(-44.85--5))+-44.85))))-(-5+-5)))*-5)))/-5)--5)+(-5*(((-44.85*(-44.85-(-5/-5)))*(-44.85-(-44.85/(-5*-44.85))))-(-5/-5)))))</f>
        <v>-455258.515625</v>
      </c>
      <c r="C5516" t="n" s="0">
        <v>-455258.515625</v>
      </c>
    </row>
    <row r="5517">
      <c r="A5517" t="n" s="0">
        <v>-44.84</v>
      </c>
      <c r="B5517" t="n" s="0">
        <f>(-5-((((-5*(-5/((-5/(((-5*(-44.84--5))-(-5+((-5*-44.84)*(((-5--5)+(-44.84--5))+-44.84))))-(-5+-5)))*-5)))/-5)--5)+(-5*(((-44.84*(-44.84-(-5/-5)))*(-44.84-(-44.84/(-5*-44.84))))-(-5/-5)))))</f>
        <v>-454955.03072</v>
      </c>
      <c r="C5517" t="n" s="0">
        <v>-454955.0307200001</v>
      </c>
    </row>
    <row r="5518">
      <c r="A5518" t="n" s="0">
        <v>-44.83</v>
      </c>
      <c r="B5518" t="n" s="0">
        <f>(-5-((((-5*(-5/((-5/(((-5*(-44.83--5))-(-5+((-5*-44.83)*(((-5--5)+(-44.83--5))+-44.83))))-(-5+-5)))*-5)))/-5)--5)+(-5*(((-44.83*(-44.83-(-5/-5)))*(-44.83-(-44.83/(-5*-44.83))))-(-5/-5)))))</f>
        <v>-454651.680735</v>
      </c>
      <c r="C5518" t="n" s="0">
        <v>-454651.68073499994</v>
      </c>
    </row>
    <row r="5519">
      <c r="A5519" t="n" s="0">
        <v>-44.82</v>
      </c>
      <c r="B5519" t="n" s="0">
        <f>(-5-((((-5*(-5/((-5/(((-5*(-44.82--5))-(-5+((-5*-44.82)*(((-5--5)+(-44.82--5))+-44.82))))-(-5+-5)))*-5)))/-5)--5)+(-5*(((-44.82*(-44.82-(-5/-5)))*(-44.82-(-44.82/(-5*-44.82))))-(-5/-5)))))</f>
        <v>-454348.46564</v>
      </c>
      <c r="C5519" t="n" s="0">
        <v>-454348.46564000007</v>
      </c>
    </row>
    <row r="5520">
      <c r="A5520" t="n" s="0">
        <v>-44.81</v>
      </c>
      <c r="B5520" t="n" s="0">
        <f>(-5-((((-5*(-5/((-5/(((-5*(-44.81--5))-(-5+((-5*-44.81)*(((-5--5)+(-44.81--5))+-44.81))))-(-5+-5)))*-5)))/-5)--5)+(-5*(((-44.81*(-44.81-(-5/-5)))*(-44.81-(-44.81/(-5*-44.81))))-(-5/-5)))))</f>
        <v>-454045.385405</v>
      </c>
      <c r="C5520" t="n" s="0">
        <v>-454045.38540500007</v>
      </c>
    </row>
    <row r="5521">
      <c r="A5521" t="n" s="0">
        <v>-44.8</v>
      </c>
      <c r="B5521" t="n" s="0">
        <f>(-5-((((-5*(-5/((-5/(((-5*(-44.8--5))-(-5+((-5*-44.8)*(((-5--5)+(-44.8--5))+-44.8))))-(-5+-5)))*-5)))/-5)--5)+(-5*(((-44.8*(-44.8-(-5/-5)))*(-44.8-(-44.8/(-5*-44.8))))-(-5/-5)))))</f>
        <v>-453742.44</v>
      </c>
      <c r="C5521" t="n" s="0">
        <v>-453742.43999999994</v>
      </c>
    </row>
    <row r="5522">
      <c r="A5522" t="n" s="0">
        <v>-44.79</v>
      </c>
      <c r="B5522" t="n" s="0">
        <f>(-5-((((-5*(-5/((-5/(((-5*(-44.79--5))-(-5+((-5*-44.79)*(((-5--5)+(-44.79--5))+-44.79))))-(-5+-5)))*-5)))/-5)--5)+(-5*(((-44.79*(-44.79-(-5/-5)))*(-44.79-(-44.79/(-5*-44.79))))-(-5/-5)))))</f>
        <v>-453439.62939499994</v>
      </c>
      <c r="C5522" t="n" s="0">
        <v>-453439.62939499994</v>
      </c>
    </row>
    <row r="5523">
      <c r="A5523" t="n" s="0">
        <v>-44.78</v>
      </c>
      <c r="B5523" t="n" s="0">
        <f>(-5-((((-5*(-5/((-5/(((-5*(-44.78--5))-(-5+((-5*-44.78)*(((-5--5)+(-44.78--5))+-44.78))))-(-5+-5)))*-5)))/-5)--5)+(-5*(((-44.78*(-44.78-(-5/-5)))*(-44.78-(-44.78/(-5*-44.78))))-(-5/-5)))))</f>
        <v>-453136.95356000005</v>
      </c>
      <c r="C5523" t="n" s="0">
        <v>-453136.95356000005</v>
      </c>
    </row>
    <row r="5524">
      <c r="A5524" t="n" s="0">
        <v>-44.77</v>
      </c>
      <c r="B5524" t="n" s="0">
        <f>(-5-((((-5*(-5/((-5/(((-5*(-44.77--5))-(-5+((-5*-44.77)*(((-5--5)+(-44.77--5))+-44.77))))-(-5+-5)))*-5)))/-5)--5)+(-5*(((-44.77*(-44.77-(-5/-5)))*(-44.77-(-44.77/(-5*-44.77))))-(-5/-5)))))</f>
        <v>-452834.41246499994</v>
      </c>
      <c r="C5524" t="n" s="0">
        <v>-452834.4124650001</v>
      </c>
    </row>
    <row r="5525">
      <c r="A5525" t="n" s="0">
        <v>-44.76</v>
      </c>
      <c r="B5525" t="n" s="0">
        <f>(-5-((((-5*(-5/((-5/(((-5*(-44.76--5))-(-5+((-5*-44.76)*(((-5--5)+(-44.76--5))+-44.76))))-(-5+-5)))*-5)))/-5)--5)+(-5*(((-44.76*(-44.76-(-5/-5)))*(-44.76-(-44.76/(-5*-44.76))))-(-5/-5)))))</f>
        <v>-452532.00608</v>
      </c>
      <c r="C5525" t="n" s="0">
        <v>-452532.00607999996</v>
      </c>
    </row>
    <row r="5526">
      <c r="A5526" t="n" s="0">
        <v>-44.75</v>
      </c>
      <c r="B5526" t="n" s="0">
        <f>(-5-((((-5*(-5/((-5/(((-5*(-44.75--5))-(-5+((-5*-44.75)*(((-5--5)+(-44.75--5))+-44.75))))-(-5+-5)))*-5)))/-5)--5)+(-5*(((-44.75*(-44.75-(-5/-5)))*(-44.75-(-44.75/(-5*-44.75))))-(-5/-5)))))</f>
        <v>-452229.734375</v>
      </c>
      <c r="C5526" t="n" s="0">
        <v>-452229.734375</v>
      </c>
    </row>
    <row r="5527">
      <c r="A5527" t="n" s="0">
        <v>-44.74</v>
      </c>
      <c r="B5527" t="n" s="0">
        <f>(-5-((((-5*(-5/((-5/(((-5*(-44.74--5))-(-5+((-5*-44.74)*(((-5--5)+(-44.74--5))+-44.74))))-(-5+-5)))*-5)))/-5)--5)+(-5*(((-44.74*(-44.74-(-5/-5)))*(-44.74-(-44.74/(-5*-44.74))))-(-5/-5)))))</f>
        <v>-451927.59732</v>
      </c>
      <c r="C5527" t="n" s="0">
        <v>-451927.59731999994</v>
      </c>
    </row>
    <row r="5528">
      <c r="A5528" t="n" s="0">
        <v>-44.73</v>
      </c>
      <c r="B5528" t="n" s="0">
        <f>(-5-((((-5*(-5/((-5/(((-5*(-44.73--5))-(-5+((-5*-44.73)*(((-5--5)+(-44.73--5))+-44.73))))-(-5+-5)))*-5)))/-5)--5)+(-5*(((-44.73*(-44.73-(-5/-5)))*(-44.73-(-44.73/(-5*-44.73))))-(-5/-5)))))</f>
        <v>-451625.59488499997</v>
      </c>
      <c r="C5528" t="n" s="0">
        <v>-451625.5948849999</v>
      </c>
    </row>
    <row r="5529">
      <c r="A5529" t="n" s="0">
        <v>-44.72</v>
      </c>
      <c r="B5529" t="n" s="0">
        <f>(-5-((((-5*(-5/((-5/(((-5*(-44.72--5))-(-5+((-5*-44.72)*(((-5--5)+(-44.72--5))+-44.72))))-(-5+-5)))*-5)))/-5)--5)+(-5*(((-44.72*(-44.72-(-5/-5)))*(-44.72-(-44.72/(-5*-44.72))))-(-5/-5)))))</f>
        <v>-451323.72703999997</v>
      </c>
      <c r="C5529" t="n" s="0">
        <v>-451323.7270399999</v>
      </c>
    </row>
    <row r="5530">
      <c r="A5530" t="n" s="0">
        <v>-44.71</v>
      </c>
      <c r="B5530" t="n" s="0">
        <f>(-5-((((-5*(-5/((-5/(((-5*(-44.71--5))-(-5+((-5*-44.71)*(((-5--5)+(-44.71--5))+-44.71))))-(-5+-5)))*-5)))/-5)--5)+(-5*(((-44.71*(-44.71-(-5/-5)))*(-44.71-(-44.71/(-5*-44.71))))-(-5/-5)))))</f>
        <v>-451021.99375499994</v>
      </c>
      <c r="C5530" t="n" s="0">
        <v>-451021.993755</v>
      </c>
    </row>
    <row r="5531">
      <c r="A5531" t="n" s="0">
        <v>-44.7</v>
      </c>
      <c r="B5531" t="n" s="0">
        <f>(-5-((((-5*(-5/((-5/(((-5*(-44.7--5))-(-5+((-5*-44.7)*(((-5--5)+(-44.7--5))+-44.7))))-(-5+-5)))*-5)))/-5)--5)+(-5*(((-44.7*(-44.7-(-5/-5)))*(-44.7-(-44.7/(-5*-44.7))))-(-5/-5)))))</f>
        <v>-450720.395</v>
      </c>
      <c r="C5531" t="n" s="0">
        <v>-450720.3950000001</v>
      </c>
    </row>
    <row r="5532">
      <c r="A5532" t="n" s="0">
        <v>-44.69</v>
      </c>
      <c r="B5532" t="n" s="0">
        <f>(-5-((((-5*(-5/((-5/(((-5*(-44.69--5))-(-5+((-5*-44.69)*(((-5--5)+(-44.69--5))+-44.69))))-(-5+-5)))*-5)))/-5)--5)+(-5*(((-44.69*(-44.69-(-5/-5)))*(-44.69-(-44.69/(-5*-44.69))))-(-5/-5)))))</f>
        <v>-450418.930745</v>
      </c>
      <c r="C5532" t="n" s="0">
        <v>-450418.93074499996</v>
      </c>
    </row>
    <row r="5533">
      <c r="A5533" t="n" s="0">
        <v>-44.68</v>
      </c>
      <c r="B5533" t="n" s="0">
        <f>(-5-((((-5*(-5/((-5/(((-5*(-44.68--5))-(-5+((-5*-44.68)*(((-5--5)+(-44.68--5))+-44.68))))-(-5+-5)))*-5)))/-5)--5)+(-5*(((-44.68*(-44.68-(-5/-5)))*(-44.68-(-44.68/(-5*-44.68))))-(-5/-5)))))</f>
        <v>-450117.60096</v>
      </c>
      <c r="C5533" t="n" s="0">
        <v>-450117.60095999995</v>
      </c>
    </row>
    <row r="5534">
      <c r="A5534" t="n" s="0">
        <v>-44.67</v>
      </c>
      <c r="B5534" t="n" s="0">
        <f>(-5-((((-5*(-5/((-5/(((-5*(-44.67--5))-(-5+((-5*-44.67)*(((-5--5)+(-44.67--5))+-44.67))))-(-5+-5)))*-5)))/-5)--5)+(-5*(((-44.67*(-44.67-(-5/-5)))*(-44.67-(-44.67/(-5*-44.67))))-(-5/-5)))))</f>
        <v>-449816.405615</v>
      </c>
      <c r="C5534" t="n" s="0">
        <v>-449816.4056150001</v>
      </c>
    </row>
    <row r="5535">
      <c r="A5535" t="n" s="0">
        <v>-44.66</v>
      </c>
      <c r="B5535" t="n" s="0">
        <f>(-5-((((-5*(-5/((-5/(((-5*(-44.66--5))-(-5+((-5*-44.66)*(((-5--5)+(-44.66--5))+-44.66))))-(-5+-5)))*-5)))/-5)--5)+(-5*(((-44.66*(-44.66-(-5/-5)))*(-44.66-(-44.66/(-5*-44.66))))-(-5/-5)))))</f>
        <v>-449515.34468</v>
      </c>
      <c r="C5535" t="n" s="0">
        <v>-449515.3446799999</v>
      </c>
    </row>
    <row r="5536">
      <c r="A5536" t="n" s="0">
        <v>-44.65</v>
      </c>
      <c r="B5536" t="n" s="0">
        <f>(-5-((((-5*(-5/((-5/(((-5*(-44.65--5))-(-5+((-5*-44.65)*(((-5--5)+(-44.65--5))+-44.65))))-(-5+-5)))*-5)))/-5)--5)+(-5*(((-44.65*(-44.65-(-5/-5)))*(-44.65-(-44.65/(-5*-44.65))))-(-5/-5)))))</f>
        <v>-449214.418125</v>
      </c>
      <c r="C5536" t="n" s="0">
        <v>-449214.41812499997</v>
      </c>
    </row>
    <row r="5537">
      <c r="A5537" t="n" s="0">
        <v>-44.64</v>
      </c>
      <c r="B5537" t="n" s="0">
        <f>(-5-((((-5*(-5/((-5/(((-5*(-44.64--5))-(-5+((-5*-44.64)*(((-5--5)+(-44.64--5))+-44.64))))-(-5+-5)))*-5)))/-5)--5)+(-5*(((-44.64*(-44.64-(-5/-5)))*(-44.64-(-44.64/(-5*-44.64))))-(-5/-5)))))</f>
        <v>-448913.62591999996</v>
      </c>
      <c r="C5537" t="n" s="0">
        <v>-448913.62592</v>
      </c>
    </row>
    <row r="5538">
      <c r="A5538" t="n" s="0">
        <v>-44.63</v>
      </c>
      <c r="B5538" t="n" s="0">
        <f>(-5-((((-5*(-5/((-5/(((-5*(-44.63--5))-(-5+((-5*-44.63)*(((-5--5)+(-44.63--5))+-44.63))))-(-5+-5)))*-5)))/-5)--5)+(-5*(((-44.63*(-44.63-(-5/-5)))*(-44.63-(-44.63/(-5*-44.63))))-(-5/-5)))))</f>
        <v>-448612.968035</v>
      </c>
      <c r="C5538" t="n" s="0">
        <v>-448612.968035</v>
      </c>
    </row>
    <row r="5539">
      <c r="A5539" t="n" s="0">
        <v>-44.62</v>
      </c>
      <c r="B5539" t="n" s="0">
        <f>(-5-((((-5*(-5/((-5/(((-5*(-44.62--5))-(-5+((-5*-44.62)*(((-5--5)+(-44.62--5))+-44.62))))-(-5+-5)))*-5)))/-5)--5)+(-5*(((-44.62*(-44.62-(-5/-5)))*(-44.62-(-44.62/(-5*-44.62))))-(-5/-5)))))</f>
        <v>-448312.44444000005</v>
      </c>
      <c r="C5539" t="n" s="0">
        <v>-448312.44443999993</v>
      </c>
    </row>
    <row r="5540">
      <c r="A5540" t="n" s="0">
        <v>-44.61</v>
      </c>
      <c r="B5540" t="n" s="0">
        <f>(-5-((((-5*(-5/((-5/(((-5*(-44.61--5))-(-5+((-5*-44.61)*(((-5--5)+(-44.61--5))+-44.61))))-(-5+-5)))*-5)))/-5)--5)+(-5*(((-44.61*(-44.61-(-5/-5)))*(-44.61-(-44.61/(-5*-44.61))))-(-5/-5)))))</f>
        <v>-448012.055105</v>
      </c>
      <c r="C5540" t="n" s="0">
        <v>-448012.05510500004</v>
      </c>
    </row>
    <row r="5541">
      <c r="A5541" t="n" s="0">
        <v>-44.6</v>
      </c>
      <c r="B5541" t="n" s="0">
        <f>(-5-((((-5*(-5/((-5/(((-5*(-44.6--5))-(-5+((-5*-44.6)*(((-5--5)+(-44.6--5))+-44.6))))-(-5+-5)))*-5)))/-5)--5)+(-5*(((-44.6*(-44.6-(-5/-5)))*(-44.6-(-44.6/(-5*-44.6))))-(-5/-5)))))</f>
        <v>-447711.8</v>
      </c>
      <c r="C5541" t="n" s="0">
        <v>-447711.80000000005</v>
      </c>
    </row>
    <row r="5542">
      <c r="A5542" t="n" s="0">
        <v>-44.59</v>
      </c>
      <c r="B5542" t="n" s="0">
        <f>(-5-((((-5*(-5/((-5/(((-5*(-44.59--5))-(-5+((-5*-44.59)*(((-5--5)+(-44.59--5))+-44.59))))-(-5+-5)))*-5)))/-5)--5)+(-5*(((-44.59*(-44.59-(-5/-5)))*(-44.59-(-44.59/(-5*-44.59))))-(-5/-5)))))</f>
        <v>-447411.67909499997</v>
      </c>
      <c r="C5542" t="n" s="0">
        <v>-447411.67909500015</v>
      </c>
    </row>
    <row r="5543">
      <c r="A5543" t="n" s="0">
        <v>-44.58</v>
      </c>
      <c r="B5543" t="n" s="0">
        <f>(-5-((((-5*(-5/((-5/(((-5*(-44.58--5))-(-5+((-5*-44.58)*(((-5--5)+(-44.58--5))+-44.58))))-(-5+-5)))*-5)))/-5)--5)+(-5*(((-44.58*(-44.58-(-5/-5)))*(-44.58-(-44.58/(-5*-44.58))))-(-5/-5)))))</f>
        <v>-447111.69236</v>
      </c>
      <c r="C5543" t="n" s="0">
        <v>-447111.69236</v>
      </c>
    </row>
    <row r="5544">
      <c r="A5544" t="n" s="0">
        <v>-44.57</v>
      </c>
      <c r="B5544" t="n" s="0">
        <f>(-5-((((-5*(-5/((-5/(((-5*(-44.57--5))-(-5+((-5*-44.57)*(((-5--5)+(-44.57--5))+-44.57))))-(-5+-5)))*-5)))/-5)--5)+(-5*(((-44.57*(-44.57-(-5/-5)))*(-44.57-(-44.57/(-5*-44.57))))-(-5/-5)))))</f>
        <v>-446811.839765</v>
      </c>
      <c r="C5544" t="n" s="0">
        <v>-446811.83976500004</v>
      </c>
    </row>
    <row r="5545">
      <c r="A5545" t="n" s="0">
        <v>-44.56</v>
      </c>
      <c r="B5545" t="n" s="0">
        <f>(-5-((((-5*(-5/((-5/(((-5*(-44.56--5))-(-5+((-5*-44.56)*(((-5--5)+(-44.56--5))+-44.56))))-(-5+-5)))*-5)))/-5)--5)+(-5*(((-44.56*(-44.56-(-5/-5)))*(-44.56-(-44.56/(-5*-44.56))))-(-5/-5)))))</f>
        <v>-446512.12128</v>
      </c>
      <c r="C5545" t="n" s="0">
        <v>-446512.1212800001</v>
      </c>
    </row>
    <row r="5546">
      <c r="A5546" t="n" s="0">
        <v>-44.55</v>
      </c>
      <c r="B5546" t="n" s="0">
        <f>(-5-((((-5*(-5/((-5/(((-5*(-44.55--5))-(-5+((-5*-44.55)*(((-5--5)+(-44.55--5))+-44.55))))-(-5+-5)))*-5)))/-5)--5)+(-5*(((-44.55*(-44.55-(-5/-5)))*(-44.55-(-44.55/(-5*-44.55))))-(-5/-5)))))</f>
        <v>-446212.536875</v>
      </c>
      <c r="C5546" t="n" s="0">
        <v>-446212.536875</v>
      </c>
    </row>
    <row r="5547">
      <c r="A5547" t="n" s="0">
        <v>-44.54</v>
      </c>
      <c r="B5547" t="n" s="0">
        <f>(-5-((((-5*(-5/((-5/(((-5*(-44.54--5))-(-5+((-5*-44.54)*(((-5--5)+(-44.54--5))+-44.54))))-(-5+-5)))*-5)))/-5)--5)+(-5*(((-44.54*(-44.54-(-5/-5)))*(-44.54-(-44.54/(-5*-44.54))))-(-5/-5)))))</f>
        <v>-445913.08652</v>
      </c>
      <c r="C5547" t="n" s="0">
        <v>-445913.08651999995</v>
      </c>
    </row>
    <row r="5548">
      <c r="A5548" t="n" s="0">
        <v>-44.53</v>
      </c>
      <c r="B5548" t="n" s="0">
        <f>(-5-((((-5*(-5/((-5/(((-5*(-44.53--5))-(-5+((-5*-44.53)*(((-5--5)+(-44.53--5))+-44.53))))-(-5+-5)))*-5)))/-5)--5)+(-5*(((-44.53*(-44.53-(-5/-5)))*(-44.53-(-44.53/(-5*-44.53))))-(-5/-5)))))</f>
        <v>-445613.770185</v>
      </c>
      <c r="C5548" t="n" s="0">
        <v>-445613.77018500003</v>
      </c>
    </row>
    <row r="5549">
      <c r="A5549" t="n" s="0">
        <v>-44.52</v>
      </c>
      <c r="B5549" t="n" s="0">
        <f>(-5-((((-5*(-5/((-5/(((-5*(-44.52--5))-(-5+((-5*-44.52)*(((-5--5)+(-44.52--5))+-44.52))))-(-5+-5)))*-5)))/-5)--5)+(-5*(((-44.52*(-44.52-(-5/-5)))*(-44.52-(-44.52/(-5*-44.52))))-(-5/-5)))))</f>
        <v>-445314.58784</v>
      </c>
      <c r="C5549" t="n" s="0">
        <v>-445314.5878400001</v>
      </c>
    </row>
    <row r="5550">
      <c r="A5550" t="n" s="0">
        <v>-44.51</v>
      </c>
      <c r="B5550" t="n" s="0">
        <f>(-5-((((-5*(-5/((-5/(((-5*(-44.51--5))-(-5+((-5*-44.51)*(((-5--5)+(-44.51--5))+-44.51))))-(-5+-5)))*-5)))/-5)--5)+(-5*(((-44.51*(-44.51-(-5/-5)))*(-44.51-(-44.51/(-5*-44.51))))-(-5/-5)))))</f>
        <v>-445015.539455</v>
      </c>
      <c r="C5550" t="n" s="0">
        <v>-445015.53945499996</v>
      </c>
    </row>
    <row r="5551">
      <c r="A5551" t="n" s="0">
        <v>-44.5</v>
      </c>
      <c r="B5551" t="n" s="0">
        <f>(-5-((((-5*(-5/((-5/(((-5*(-44.5--5))-(-5+((-5*-44.5)*(((-5--5)+(-44.5--5))+-44.5))))-(-5+-5)))*-5)))/-5)--5)+(-5*(((-44.5*(-44.5-(-5/-5)))*(-44.5-(-44.5/(-5*-44.5))))-(-5/-5)))))</f>
        <v>-444716.625</v>
      </c>
      <c r="C5551" t="n" s="0">
        <v>-444716.625</v>
      </c>
    </row>
    <row r="5552">
      <c r="A5552" t="n" s="0">
        <v>-44.49</v>
      </c>
      <c r="B5552" t="n" s="0">
        <f>(-5-((((-5*(-5/((-5/(((-5*(-44.49--5))-(-5+((-5*-44.49)*(((-5--5)+(-44.49--5))+-44.49))))-(-5+-5)))*-5)))/-5)--5)+(-5*(((-44.49*(-44.49-(-5/-5)))*(-44.49-(-44.49/(-5*-44.49))))-(-5/-5)))))</f>
        <v>-444417.844445</v>
      </c>
      <c r="C5552" t="n" s="0">
        <v>-444417.84444500005</v>
      </c>
    </row>
    <row r="5553">
      <c r="A5553" t="n" s="0">
        <v>-44.48</v>
      </c>
      <c r="B5553" t="n" s="0">
        <f>(-5-((((-5*(-5/((-5/(((-5*(-44.48--5))-(-5+((-5*-44.48)*(((-5--5)+(-44.48--5))+-44.48))))-(-5+-5)))*-5)))/-5)--5)+(-5*(((-44.48*(-44.48-(-5/-5)))*(-44.48-(-44.48/(-5*-44.48))))-(-5/-5)))))</f>
        <v>-444119.19776</v>
      </c>
      <c r="C5553" t="n" s="0">
        <v>-444119.1977599999</v>
      </c>
    </row>
    <row r="5554">
      <c r="A5554" t="n" s="0">
        <v>-44.47</v>
      </c>
      <c r="B5554" t="n" s="0">
        <f>(-5-((((-5*(-5/((-5/(((-5*(-44.47--5))-(-5+((-5*-44.47)*(((-5--5)+(-44.47--5))+-44.47))))-(-5+-5)))*-5)))/-5)--5)+(-5*(((-44.47*(-44.47-(-5/-5)))*(-44.47-(-44.47/(-5*-44.47))))-(-5/-5)))))</f>
        <v>-443820.684915</v>
      </c>
      <c r="C5554" t="n" s="0">
        <v>-443820.68491499993</v>
      </c>
    </row>
    <row r="5555">
      <c r="A5555" t="n" s="0">
        <v>-44.46</v>
      </c>
      <c r="B5555" t="n" s="0">
        <f>(-5-((((-5*(-5/((-5/(((-5*(-44.46--5))-(-5+((-5*-44.46)*(((-5--5)+(-44.46--5))+-44.46))))-(-5+-5)))*-5)))/-5)--5)+(-5*(((-44.46*(-44.46-(-5/-5)))*(-44.46-(-44.46/(-5*-44.46))))-(-5/-5)))))</f>
        <v>-443522.30588000006</v>
      </c>
      <c r="C5555" t="n" s="0">
        <v>-443522.30588</v>
      </c>
    </row>
    <row r="5556">
      <c r="A5556" t="n" s="0">
        <v>-44.45</v>
      </c>
      <c r="B5556" t="n" s="0">
        <f>(-5-((((-5*(-5/((-5/(((-5*(-44.45--5))-(-5+((-5*-44.45)*(((-5--5)+(-44.45--5))+-44.45))))-(-5+-5)))*-5)))/-5)--5)+(-5*(((-44.45*(-44.45-(-5/-5)))*(-44.45-(-44.45/(-5*-44.45))))-(-5/-5)))))</f>
        <v>-443224.060625</v>
      </c>
      <c r="C5556" t="n" s="0">
        <v>-443224.06062500004</v>
      </c>
    </row>
    <row r="5557">
      <c r="A5557" t="n" s="0">
        <v>-44.44</v>
      </c>
      <c r="B5557" t="n" s="0">
        <f>(-5-((((-5*(-5/((-5/(((-5*(-44.44--5))-(-5+((-5*-44.44)*(((-5--5)+(-44.44--5))+-44.44))))-(-5+-5)))*-5)))/-5)--5)+(-5*(((-44.44*(-44.44-(-5/-5)))*(-44.44-(-44.44/(-5*-44.44))))-(-5/-5)))))</f>
        <v>-442925.94912</v>
      </c>
      <c r="C5557" t="n" s="0">
        <v>-442925.94911999995</v>
      </c>
    </row>
    <row r="5558">
      <c r="A5558" t="n" s="0">
        <v>-44.43</v>
      </c>
      <c r="B5558" t="n" s="0">
        <f>(-5-((((-5*(-5/((-5/(((-5*(-44.43--5))-(-5+((-5*-44.43)*(((-5--5)+(-44.43--5))+-44.43))))-(-5+-5)))*-5)))/-5)--5)+(-5*(((-44.43*(-44.43-(-5/-5)))*(-44.43-(-44.43/(-5*-44.43))))-(-5/-5)))))</f>
        <v>-442627.971335</v>
      </c>
      <c r="C5558" t="n" s="0">
        <v>-442627.97133499995</v>
      </c>
    </row>
    <row r="5559">
      <c r="A5559" t="n" s="0">
        <v>-44.42</v>
      </c>
      <c r="B5559" t="n" s="0">
        <f>(-5-((((-5*(-5/((-5/(((-5*(-44.42--5))-(-5+((-5*-44.42)*(((-5--5)+(-44.42--5))+-44.42))))-(-5+-5)))*-5)))/-5)--5)+(-5*(((-44.42*(-44.42-(-5/-5)))*(-44.42-(-44.42/(-5*-44.42))))-(-5/-5)))))</f>
        <v>-442330.12724</v>
      </c>
      <c r="C5559" t="n" s="0">
        <v>-442330.12724</v>
      </c>
    </row>
    <row r="5560">
      <c r="A5560" t="n" s="0">
        <v>-44.41</v>
      </c>
      <c r="B5560" t="n" s="0">
        <f>(-5-((((-5*(-5/((-5/(((-5*(-44.41--5))-(-5+((-5*-44.41)*(((-5--5)+(-44.41--5))+-44.41))))-(-5+-5)))*-5)))/-5)--5)+(-5*(((-44.41*(-44.41-(-5/-5)))*(-44.41-(-44.41/(-5*-44.41))))-(-5/-5)))))</f>
        <v>-442032.41680500004</v>
      </c>
      <c r="C5560" t="n" s="0">
        <v>-442032.41680499987</v>
      </c>
    </row>
    <row r="5561">
      <c r="A5561" t="n" s="0">
        <v>-44.4</v>
      </c>
      <c r="B5561" t="n" s="0">
        <f>(-5-((((-5*(-5/((-5/(((-5*(-44.4--5))-(-5+((-5*-44.4)*(((-5--5)+(-44.4--5))+-44.4))))-(-5+-5)))*-5)))/-5)--5)+(-5*(((-44.4*(-44.4-(-5/-5)))*(-44.4-(-44.4/(-5*-44.4))))-(-5/-5)))))</f>
        <v>-441734.84</v>
      </c>
      <c r="C5561" t="n" s="0">
        <v>-441734.8399999999</v>
      </c>
    </row>
    <row r="5562">
      <c r="A5562" t="n" s="0">
        <v>-44.39</v>
      </c>
      <c r="B5562" t="n" s="0">
        <f>(-5-((((-5*(-5/((-5/(((-5*(-44.39--5))-(-5+((-5*-44.39)*(((-5--5)+(-44.39--5))+-44.39))))-(-5+-5)))*-5)))/-5)--5)+(-5*(((-44.39*(-44.39-(-5/-5)))*(-44.39-(-44.39/(-5*-44.39))))-(-5/-5)))))</f>
        <v>-441437.39679499995</v>
      </c>
      <c r="C5562" t="n" s="0">
        <v>-441437.396795</v>
      </c>
    </row>
    <row r="5563">
      <c r="A5563" t="n" s="0">
        <v>-44.38</v>
      </c>
      <c r="B5563" t="n" s="0">
        <f>(-5-((((-5*(-5/((-5/(((-5*(-44.38--5))-(-5+((-5*-44.38)*(((-5--5)+(-44.38--5))+-44.38))))-(-5+-5)))*-5)))/-5)--5)+(-5*(((-44.38*(-44.38-(-5/-5)))*(-44.38-(-44.38/(-5*-44.38))))-(-5/-5)))))</f>
        <v>-441140.08716</v>
      </c>
      <c r="C5563" t="n" s="0">
        <v>-441140.08716000005</v>
      </c>
    </row>
    <row r="5564">
      <c r="A5564" t="n" s="0">
        <v>-44.37</v>
      </c>
      <c r="B5564" t="n" s="0">
        <f>(-5-((((-5*(-5/((-5/(((-5*(-44.37--5))-(-5+((-5*-44.37)*(((-5--5)+(-44.37--5))+-44.37))))-(-5+-5)))*-5)))/-5)--5)+(-5*(((-44.37*(-44.37-(-5/-5)))*(-44.37-(-44.37/(-5*-44.37))))-(-5/-5)))))</f>
        <v>-440842.911065</v>
      </c>
      <c r="C5564" t="n" s="0">
        <v>-440842.91106499993</v>
      </c>
    </row>
    <row r="5565">
      <c r="A5565" t="n" s="0">
        <v>-44.36</v>
      </c>
      <c r="B5565" t="n" s="0">
        <f>(-5-((((-5*(-5/((-5/(((-5*(-44.36--5))-(-5+((-5*-44.36)*(((-5--5)+(-44.36--5))+-44.36))))-(-5+-5)))*-5)))/-5)--5)+(-5*(((-44.36*(-44.36-(-5/-5)))*(-44.36-(-44.36/(-5*-44.36))))-(-5/-5)))))</f>
        <v>-440545.86848</v>
      </c>
      <c r="C5565" t="n" s="0">
        <v>-440545.86848</v>
      </c>
    </row>
    <row r="5566">
      <c r="A5566" t="n" s="0">
        <v>-44.35</v>
      </c>
      <c r="B5566" t="n" s="0">
        <f>(-5-((((-5*(-5/((-5/(((-5*(-44.35--5))-(-5+((-5*-44.35)*(((-5--5)+(-44.35--5))+-44.35))))-(-5+-5)))*-5)))/-5)--5)+(-5*(((-44.35*(-44.35-(-5/-5)))*(-44.35-(-44.35/(-5*-44.35))))-(-5/-5)))))</f>
        <v>-440248.959375</v>
      </c>
      <c r="C5566" t="n" s="0">
        <v>-440248.95937500003</v>
      </c>
    </row>
    <row r="5567">
      <c r="A5567" t="n" s="0">
        <v>-44.34</v>
      </c>
      <c r="B5567" t="n" s="0">
        <f>(-5-((((-5*(-5/((-5/(((-5*(-44.34--5))-(-5+((-5*-44.34)*(((-5--5)+(-44.34--5))+-44.34))))-(-5+-5)))*-5)))/-5)--5)+(-5*(((-44.34*(-44.34-(-5/-5)))*(-44.34-(-44.34/(-5*-44.34))))-(-5/-5)))))</f>
        <v>-439952.18372</v>
      </c>
      <c r="C5567" t="n" s="0">
        <v>-439952.18372000015</v>
      </c>
    </row>
    <row r="5568">
      <c r="A5568" t="n" s="0">
        <v>-44.33</v>
      </c>
      <c r="B5568" t="n" s="0">
        <f>(-5-((((-5*(-5/((-5/(((-5*(-44.33--5))-(-5+((-5*-44.33)*(((-5--5)+(-44.33--5))+-44.33))))-(-5+-5)))*-5)))/-5)--5)+(-5*(((-44.33*(-44.33-(-5/-5)))*(-44.33-(-44.33/(-5*-44.33))))-(-5/-5)))))</f>
        <v>-439655.541485</v>
      </c>
      <c r="C5568" t="n" s="0">
        <v>-439655.5414849999</v>
      </c>
    </row>
    <row r="5569">
      <c r="A5569" t="n" s="0">
        <v>-44.32</v>
      </c>
      <c r="B5569" t="n" s="0">
        <f>(-5-((((-5*(-5/((-5/(((-5*(-44.32--5))-(-5+((-5*-44.32)*(((-5--5)+(-44.32--5))+-44.32))))-(-5+-5)))*-5)))/-5)--5)+(-5*(((-44.32*(-44.32-(-5/-5)))*(-44.32-(-44.32/(-5*-44.32))))-(-5/-5)))))</f>
        <v>-439359.03264</v>
      </c>
      <c r="C5569" t="n" s="0">
        <v>-439359.03264000005</v>
      </c>
    </row>
    <row r="5570">
      <c r="A5570" t="n" s="0">
        <v>-44.31</v>
      </c>
      <c r="B5570" t="n" s="0">
        <f>(-5-((((-5*(-5/((-5/(((-5*(-44.31--5))-(-5+((-5*-44.31)*(((-5--5)+(-44.31--5))+-44.31))))-(-5+-5)))*-5)))/-5)--5)+(-5*(((-44.31*(-44.31-(-5/-5)))*(-44.31-(-44.31/(-5*-44.31))))-(-5/-5)))))</f>
        <v>-439062.657155</v>
      </c>
      <c r="C5570" t="n" s="0">
        <v>-439062.657155</v>
      </c>
    </row>
    <row r="5571">
      <c r="A5571" t="n" s="0">
        <v>-44.3</v>
      </c>
      <c r="B5571" t="n" s="0">
        <f>(-5-((((-5*(-5/((-5/(((-5*(-44.3--5))-(-5+((-5*-44.3)*(((-5--5)+(-44.3--5))+-44.3))))-(-5+-5)))*-5)))/-5)--5)+(-5*(((-44.3*(-44.3-(-5/-5)))*(-44.3-(-44.3/(-5*-44.3))))-(-5/-5)))))</f>
        <v>-438766.415</v>
      </c>
      <c r="C5571" t="n" s="0">
        <v>-438766.4149999999</v>
      </c>
    </row>
    <row r="5572">
      <c r="A5572" t="n" s="0">
        <v>-44.29</v>
      </c>
      <c r="B5572" t="n" s="0">
        <f>(-5-((((-5*(-5/((-5/(((-5*(-44.29--5))-(-5+((-5*-44.29)*(((-5--5)+(-44.29--5))+-44.29))))-(-5+-5)))*-5)))/-5)--5)+(-5*(((-44.29*(-44.29-(-5/-5)))*(-44.29-(-44.29/(-5*-44.29))))-(-5/-5)))))</f>
        <v>-438470.306145</v>
      </c>
      <c r="C5572" t="n" s="0">
        <v>-438470.306145</v>
      </c>
    </row>
    <row r="5573">
      <c r="A5573" t="n" s="0">
        <v>-44.28</v>
      </c>
      <c r="B5573" t="n" s="0">
        <f>(-5-((((-5*(-5/((-5/(((-5*(-44.28--5))-(-5+((-5*-44.28)*(((-5--5)+(-44.28--5))+-44.28))))-(-5+-5)))*-5)))/-5)--5)+(-5*(((-44.28*(-44.28-(-5/-5)))*(-44.28-(-44.28/(-5*-44.28))))-(-5/-5)))))</f>
        <v>-438174.33056000003</v>
      </c>
      <c r="C5573" t="n" s="0">
        <v>-438174.3305600001</v>
      </c>
    </row>
    <row r="5574">
      <c r="A5574" t="n" s="0">
        <v>-44.27</v>
      </c>
      <c r="B5574" t="n" s="0">
        <f>(-5-((((-5*(-5/((-5/(((-5*(-44.27--5))-(-5+((-5*-44.27)*(((-5--5)+(-44.27--5))+-44.27))))-(-5+-5)))*-5)))/-5)--5)+(-5*(((-44.27*(-44.27-(-5/-5)))*(-44.27-(-44.27/(-5*-44.27))))-(-5/-5)))))</f>
        <v>-437878.488215</v>
      </c>
      <c r="C5574" t="n" s="0">
        <v>-437878.48821500014</v>
      </c>
    </row>
    <row r="5575">
      <c r="A5575" t="n" s="0">
        <v>-44.26</v>
      </c>
      <c r="B5575" t="n" s="0">
        <f>(-5-((((-5*(-5/((-5/(((-5*(-44.26--5))-(-5+((-5*-44.26)*(((-5--5)+(-44.26--5))+-44.26))))-(-5+-5)))*-5)))/-5)--5)+(-5*(((-44.26*(-44.26-(-5/-5)))*(-44.26-(-44.26/(-5*-44.26))))-(-5/-5)))))</f>
        <v>-437582.77908</v>
      </c>
      <c r="C5575" t="n" s="0">
        <v>-437582.77908</v>
      </c>
    </row>
    <row r="5576">
      <c r="A5576" t="n" s="0">
        <v>-44.25</v>
      </c>
      <c r="B5576" t="n" s="0">
        <f>(-5-((((-5*(-5/((-5/(((-5*(-44.25--5))-(-5+((-5*-44.25)*(((-5--5)+(-44.25--5))+-44.25))))-(-5+-5)))*-5)))/-5)--5)+(-5*(((-44.25*(-44.25-(-5/-5)))*(-44.25-(-44.25/(-5*-44.25))))-(-5/-5)))))</f>
        <v>-437287.203125</v>
      </c>
      <c r="C5576" t="n" s="0">
        <v>-437287.203125</v>
      </c>
    </row>
    <row r="5577">
      <c r="A5577" t="n" s="0">
        <v>-44.24</v>
      </c>
      <c r="B5577" t="n" s="0">
        <f>(-5-((((-5*(-5/((-5/(((-5*(-44.24--5))-(-5+((-5*-44.24)*(((-5--5)+(-44.24--5))+-44.24))))-(-5+-5)))*-5)))/-5)--5)+(-5*(((-44.24*(-44.24-(-5/-5)))*(-44.24-(-44.24/(-5*-44.24))))-(-5/-5)))))</f>
        <v>-436991.76031999994</v>
      </c>
      <c r="C5577" t="n" s="0">
        <v>-436991.76032</v>
      </c>
    </row>
    <row r="5578">
      <c r="A5578" t="n" s="0">
        <v>-44.23</v>
      </c>
      <c r="B5578" t="n" s="0">
        <f>(-5-((((-5*(-5/((-5/(((-5*(-44.23--5))-(-5+((-5*-44.23)*(((-5--5)+(-44.23--5))+-44.23))))-(-5+-5)))*-5)))/-5)--5)+(-5*(((-44.23*(-44.23-(-5/-5)))*(-44.23-(-44.23/(-5*-44.23))))-(-5/-5)))))</f>
        <v>-436696.45063499996</v>
      </c>
      <c r="C5578" t="n" s="0">
        <v>-436696.45063499996</v>
      </c>
    </row>
    <row r="5579">
      <c r="A5579" t="n" s="0">
        <v>-44.22</v>
      </c>
      <c r="B5579" t="n" s="0">
        <f>(-5-((((-5*(-5/((-5/(((-5*(-44.22--5))-(-5+((-5*-44.22)*(((-5--5)+(-44.22--5))+-44.22))))-(-5+-5)))*-5)))/-5)--5)+(-5*(((-44.22*(-44.22-(-5/-5)))*(-44.22-(-44.22/(-5*-44.22))))-(-5/-5)))))</f>
        <v>-436401.27404</v>
      </c>
      <c r="C5579" t="n" s="0">
        <v>-436401.27403999993</v>
      </c>
    </row>
    <row r="5580">
      <c r="A5580" t="n" s="0">
        <v>-44.21</v>
      </c>
      <c r="B5580" t="n" s="0">
        <f>(-5-((((-5*(-5/((-5/(((-5*(-44.21--5))-(-5+((-5*-44.21)*(((-5--5)+(-44.21--5))+-44.21))))-(-5+-5)))*-5)))/-5)--5)+(-5*(((-44.21*(-44.21-(-5/-5)))*(-44.21-(-44.21/(-5*-44.21))))-(-5/-5)))))</f>
        <v>-436106.230505</v>
      </c>
      <c r="C5580" t="n" s="0">
        <v>-436106.23050500004</v>
      </c>
    </row>
    <row r="5581">
      <c r="A5581" t="n" s="0">
        <v>-44.2</v>
      </c>
      <c r="B5581" t="n" s="0">
        <f>(-5-((((-5*(-5/((-5/(((-5*(-44.2--5))-(-5+((-5*-44.2)*(((-5--5)+(-44.2--5))+-44.2))))-(-5+-5)))*-5)))/-5)--5)+(-5*(((-44.2*(-44.2-(-5/-5)))*(-44.2-(-44.2/(-5*-44.2))))-(-5/-5)))))</f>
        <v>-435811.32</v>
      </c>
      <c r="C5581" t="n" s="0">
        <v>-435811.3200000001</v>
      </c>
    </row>
    <row r="5582">
      <c r="A5582" t="n" s="0">
        <v>-44.19</v>
      </c>
      <c r="B5582" t="n" s="0">
        <f>(-5-((((-5*(-5/((-5/(((-5*(-44.19--5))-(-5+((-5*-44.19)*(((-5--5)+(-44.19--5))+-44.19))))-(-5+-5)))*-5)))/-5)--5)+(-5*(((-44.19*(-44.19-(-5/-5)))*(-44.19-(-44.19/(-5*-44.19))))-(-5/-5)))))</f>
        <v>-435516.542495</v>
      </c>
      <c r="C5582" t="n" s="0">
        <v>-435516.54249499994</v>
      </c>
    </row>
    <row r="5583">
      <c r="A5583" t="n" s="0">
        <v>-44.18</v>
      </c>
      <c r="B5583" t="n" s="0">
        <f>(-5-((((-5*(-5/((-5/(((-5*(-44.18--5))-(-5+((-5*-44.18)*(((-5--5)+(-44.18--5))+-44.18))))-(-5+-5)))*-5)))/-5)--5)+(-5*(((-44.18*(-44.18-(-5/-5)))*(-44.18-(-44.18/(-5*-44.18))))-(-5/-5)))))</f>
        <v>-435221.89796</v>
      </c>
      <c r="C5583" t="n" s="0">
        <v>-435221.89796</v>
      </c>
    </row>
    <row r="5584">
      <c r="A5584" t="n" s="0">
        <v>-44.17</v>
      </c>
      <c r="B5584" t="n" s="0">
        <f>(-5-((((-5*(-5/((-5/(((-5*(-44.17--5))-(-5+((-5*-44.17)*(((-5--5)+(-44.17--5))+-44.17))))-(-5+-5)))*-5)))/-5)--5)+(-5*(((-44.17*(-44.17-(-5/-5)))*(-44.17-(-44.17/(-5*-44.17))))-(-5/-5)))))</f>
        <v>-434927.386365</v>
      </c>
      <c r="C5584" t="n" s="0">
        <v>-434927.38636500004</v>
      </c>
    </row>
    <row r="5585">
      <c r="A5585" t="n" s="0">
        <v>-44.16</v>
      </c>
      <c r="B5585" t="n" s="0">
        <f>(-5-((((-5*(-5/((-5/(((-5*(-44.16--5))-(-5+((-5*-44.16)*(((-5--5)+(-44.16--5))+-44.16))))-(-5+-5)))*-5)))/-5)--5)+(-5*(((-44.16*(-44.16-(-5/-5)))*(-44.16-(-44.16/(-5*-44.16))))-(-5/-5)))))</f>
        <v>-434633.00768</v>
      </c>
      <c r="C5585" t="n" s="0">
        <v>-434633.0076799999</v>
      </c>
    </row>
    <row r="5586">
      <c r="A5586" t="n" s="0">
        <v>-44.15</v>
      </c>
      <c r="B5586" t="n" s="0">
        <f>(-5-((((-5*(-5/((-5/(((-5*(-44.15--5))-(-5+((-5*-44.15)*(((-5--5)+(-44.15--5))+-44.15))))-(-5+-5)))*-5)))/-5)--5)+(-5*(((-44.15*(-44.15-(-5/-5)))*(-44.15-(-44.15/(-5*-44.15))))-(-5/-5)))))</f>
        <v>-434338.761875</v>
      </c>
      <c r="C5586" t="n" s="0">
        <v>-434338.761875</v>
      </c>
    </row>
    <row r="5587">
      <c r="A5587" t="n" s="0">
        <v>-44.14</v>
      </c>
      <c r="B5587" t="n" s="0">
        <f>(-5-((((-5*(-5/((-5/(((-5*(-44.14--5))-(-5+((-5*-44.14)*(((-5--5)+(-44.14--5))+-44.14))))-(-5+-5)))*-5)))/-5)--5)+(-5*(((-44.14*(-44.14-(-5/-5)))*(-44.14-(-44.14/(-5*-44.14))))-(-5/-5)))))</f>
        <v>-434044.64892</v>
      </c>
      <c r="C5587" t="n" s="0">
        <v>-434044.64892</v>
      </c>
    </row>
    <row r="5588">
      <c r="A5588" t="n" s="0">
        <v>-44.13</v>
      </c>
      <c r="B5588" t="n" s="0">
        <f>(-5-((((-5*(-5/((-5/(((-5*(-44.13--5))-(-5+((-5*-44.13)*(((-5--5)+(-44.13--5))+-44.13))))-(-5+-5)))*-5)))/-5)--5)+(-5*(((-44.13*(-44.13-(-5/-5)))*(-44.13-(-44.13/(-5*-44.13))))-(-5/-5)))))</f>
        <v>-433750.668785</v>
      </c>
      <c r="C5588" t="n" s="0">
        <v>-433750.6687850001</v>
      </c>
    </row>
    <row r="5589">
      <c r="A5589" t="n" s="0">
        <v>-44.12</v>
      </c>
      <c r="B5589" t="n" s="0">
        <f>(-5-((((-5*(-5/((-5/(((-5*(-44.12--5))-(-5+((-5*-44.12)*(((-5--5)+(-44.12--5))+-44.12))))-(-5+-5)))*-5)))/-5)--5)+(-5*(((-44.12*(-44.12-(-5/-5)))*(-44.12-(-44.12/(-5*-44.12))))-(-5/-5)))))</f>
        <v>-433456.82144</v>
      </c>
      <c r="C5589" t="n" s="0">
        <v>-433456.8214399999</v>
      </c>
    </row>
    <row r="5590">
      <c r="A5590" t="n" s="0">
        <v>-44.11</v>
      </c>
      <c r="B5590" t="n" s="0">
        <f>(-5-((((-5*(-5/((-5/(((-5*(-44.11--5))-(-5+((-5*-44.11)*(((-5--5)+(-44.11--5))+-44.11))))-(-5+-5)))*-5)))/-5)--5)+(-5*(((-44.11*(-44.11-(-5/-5)))*(-44.11-(-44.11/(-5*-44.11))))-(-5/-5)))))</f>
        <v>-433163.10685499996</v>
      </c>
      <c r="C5590" t="n" s="0">
        <v>-433163.10685499996</v>
      </c>
    </row>
    <row r="5591">
      <c r="A5591" t="n" s="0">
        <v>-44.1</v>
      </c>
      <c r="B5591" t="n" s="0">
        <f>(-5-((((-5*(-5/((-5/(((-5*(-44.1--5))-(-5+((-5*-44.1)*(((-5--5)+(-44.1--5))+-44.1))))-(-5+-5)))*-5)))/-5)--5)+(-5*(((-44.1*(-44.1-(-5/-5)))*(-44.1-(-44.1/(-5*-44.1))))-(-5/-5)))))</f>
        <v>-432869.525</v>
      </c>
      <c r="C5591" t="n" s="0">
        <v>-432869.5250000001</v>
      </c>
    </row>
    <row r="5592">
      <c r="A5592" t="n" s="0">
        <v>-44.09</v>
      </c>
      <c r="B5592" t="n" s="0">
        <f>(-5-((((-5*(-5/((-5/(((-5*(-44.09--5))-(-5+((-5*-44.09)*(((-5--5)+(-44.09--5))+-44.09))))-(-5+-5)))*-5)))/-5)--5)+(-5*(((-44.09*(-44.09-(-5/-5)))*(-44.09-(-44.09/(-5*-44.09))))-(-5/-5)))))</f>
        <v>-432576.075845</v>
      </c>
      <c r="C5592" t="n" s="0">
        <v>-432576.0758450001</v>
      </c>
    </row>
    <row r="5593">
      <c r="A5593" t="n" s="0">
        <v>-44.08</v>
      </c>
      <c r="B5593" t="n" s="0">
        <f>(-5-((((-5*(-5/((-5/(((-5*(-44.08--5))-(-5+((-5*-44.08)*(((-5--5)+(-44.08--5))+-44.08))))-(-5+-5)))*-5)))/-5)--5)+(-5*(((-44.08*(-44.08-(-5/-5)))*(-44.08-(-44.08/(-5*-44.08))))-(-5/-5)))))</f>
        <v>-432282.75936</v>
      </c>
      <c r="C5593" t="n" s="0">
        <v>-432282.7593599999</v>
      </c>
    </row>
    <row r="5594">
      <c r="A5594" t="n" s="0">
        <v>-44.07</v>
      </c>
      <c r="B5594" t="n" s="0">
        <f>(-5-((((-5*(-5/((-5/(((-5*(-44.07--5))-(-5+((-5*-44.07)*(((-5--5)+(-44.07--5))+-44.07))))-(-5+-5)))*-5)))/-5)--5)+(-5*(((-44.07*(-44.07-(-5/-5)))*(-44.07-(-44.07/(-5*-44.07))))-(-5/-5)))))</f>
        <v>-431989.57551500003</v>
      </c>
      <c r="C5594" t="n" s="0">
        <v>-431989.57551500003</v>
      </c>
    </row>
    <row r="5595">
      <c r="A5595" t="n" s="0">
        <v>-44.06</v>
      </c>
      <c r="B5595" t="n" s="0">
        <f>(-5-((((-5*(-5/((-5/(((-5*(-44.06--5))-(-5+((-5*-44.06)*(((-5--5)+(-44.06--5))+-44.06))))-(-5+-5)))*-5)))/-5)--5)+(-5*(((-44.06*(-44.06-(-5/-5)))*(-44.06-(-44.06/(-5*-44.06))))-(-5/-5)))))</f>
        <v>-431696.52428</v>
      </c>
      <c r="C5595" t="n" s="0">
        <v>-431696.52428</v>
      </c>
    </row>
    <row r="5596">
      <c r="A5596" t="n" s="0">
        <v>-44.05</v>
      </c>
      <c r="B5596" t="n" s="0">
        <f>(-5-((((-5*(-5/((-5/(((-5*(-44.05--5))-(-5+((-5*-44.05)*(((-5--5)+(-44.05--5))+-44.05))))-(-5+-5)))*-5)))/-5)--5)+(-5*(((-44.05*(-44.05-(-5/-5)))*(-44.05-(-44.05/(-5*-44.05))))-(-5/-5)))))</f>
        <v>-431403.605625</v>
      </c>
      <c r="C5596" t="n" s="0">
        <v>-431403.60562499997</v>
      </c>
    </row>
    <row r="5597">
      <c r="A5597" t="n" s="0">
        <v>-44.04</v>
      </c>
      <c r="B5597" t="n" s="0">
        <f>(-5-((((-5*(-5/((-5/(((-5*(-44.04--5))-(-5+((-5*-44.04)*(((-5--5)+(-44.04--5))+-44.04))))-(-5+-5)))*-5)))/-5)--5)+(-5*(((-44.04*(-44.04-(-5/-5)))*(-44.04-(-44.04/(-5*-44.04))))-(-5/-5)))))</f>
        <v>-431110.81952</v>
      </c>
      <c r="C5597" t="n" s="0">
        <v>-431110.81951999996</v>
      </c>
    </row>
    <row r="5598">
      <c r="A5598" t="n" s="0">
        <v>-44.03</v>
      </c>
      <c r="B5598" t="n" s="0">
        <f>(-5-((((-5*(-5/((-5/(((-5*(-44.03--5))-(-5+((-5*-44.03)*(((-5--5)+(-44.03--5))+-44.03))))-(-5+-5)))*-5)))/-5)--5)+(-5*(((-44.03*(-44.03-(-5/-5)))*(-44.03-(-44.03/(-5*-44.03))))-(-5/-5)))))</f>
        <v>-430818.165935</v>
      </c>
      <c r="C5598" t="n" s="0">
        <v>-430818.16593500006</v>
      </c>
    </row>
    <row r="5599">
      <c r="A5599" t="n" s="0">
        <v>-44.02</v>
      </c>
      <c r="B5599" t="n" s="0">
        <f>(-5-((((-5*(-5/((-5/(((-5*(-44.02--5))-(-5+((-5*-44.02)*(((-5--5)+(-44.02--5))+-44.02))))-(-5+-5)))*-5)))/-5)--5)+(-5*(((-44.02*(-44.02-(-5/-5)))*(-44.02-(-44.02/(-5*-44.02))))-(-5/-5)))))</f>
        <v>-430525.64484</v>
      </c>
      <c r="C5599" t="n" s="0">
        <v>-430525.6448400001</v>
      </c>
    </row>
    <row r="5600">
      <c r="A5600" t="n" s="0">
        <v>-44.01</v>
      </c>
      <c r="B5600" t="n" s="0">
        <f>(-5-((((-5*(-5/((-5/(((-5*(-44.01--5))-(-5+((-5*-44.01)*(((-5--5)+(-44.01--5))+-44.01))))-(-5+-5)))*-5)))/-5)--5)+(-5*(((-44.01*(-44.01-(-5/-5)))*(-44.01-(-44.01/(-5*-44.01))))-(-5/-5)))))</f>
        <v>-430233.25620500004</v>
      </c>
      <c r="C5600" t="n" s="0">
        <v>-430233.256205</v>
      </c>
    </row>
    <row r="5601">
      <c r="A5601" t="n" s="0">
        <v>-44.0</v>
      </c>
      <c r="B5601" t="n" s="0">
        <f>(-5-((((-5*(-5/((-5/(((-5*(-44--5))-(-5+((-5*-44)*(((-5--5)+(-44--5))+-44))))-(-5+-5)))*-5)))/-5)--5)+(-5*(((-44*(-44-(-5/-5)))*(-44-(-44/(-5*-44))))-(-5/-5)))))</f>
        <v>-429941.0</v>
      </c>
      <c r="C5601" t="n" s="0">
        <v>-429941.0</v>
      </c>
    </row>
    <row r="5602">
      <c r="A5602" t="n" s="0">
        <v>-43.99</v>
      </c>
      <c r="B5602" t="n" s="0">
        <f>(-5-((((-5*(-5/((-5/(((-5*(-43.99--5))-(-5+((-5*-43.99)*(((-5--5)+(-43.99--5))+-43.99))))-(-5+-5)))*-5)))/-5)--5)+(-5*(((-43.99*(-43.99-(-5/-5)))*(-43.99-(-43.99/(-5*-43.99))))-(-5/-5)))))</f>
        <v>-429648.876195</v>
      </c>
      <c r="C5602" t="n" s="0">
        <v>-429648.876195</v>
      </c>
    </row>
    <row r="5603">
      <c r="A5603" t="n" s="0">
        <v>-43.98</v>
      </c>
      <c r="B5603" t="n" s="0">
        <f>(-5-((((-5*(-5/((-5/(((-5*(-43.98--5))-(-5+((-5*-43.98)*(((-5--5)+(-43.98--5))+-43.98))))-(-5+-5)))*-5)))/-5)--5)+(-5*(((-43.98*(-43.98-(-5/-5)))*(-43.98-(-43.98/(-5*-43.98))))-(-5/-5)))))</f>
        <v>-429356.88476000004</v>
      </c>
      <c r="C5603" t="n" s="0">
        <v>-429356.8847599999</v>
      </c>
    </row>
    <row r="5604">
      <c r="A5604" t="n" s="0">
        <v>-43.97</v>
      </c>
      <c r="B5604" t="n" s="0">
        <f>(-5-((((-5*(-5/((-5/(((-5*(-43.97--5))-(-5+((-5*-43.97)*(((-5--5)+(-43.97--5))+-43.97))))-(-5+-5)))*-5)))/-5)--5)+(-5*(((-43.97*(-43.97-(-5/-5)))*(-43.97-(-43.97/(-5*-43.97))))-(-5/-5)))))</f>
        <v>-429065.025665</v>
      </c>
      <c r="C5604" t="n" s="0">
        <v>-429065.0256649999</v>
      </c>
    </row>
    <row r="5605">
      <c r="A5605" t="n" s="0">
        <v>-43.96</v>
      </c>
      <c r="B5605" t="n" s="0">
        <f>(-5-((((-5*(-5/((-5/(((-5*(-43.96--5))-(-5+((-5*-43.96)*(((-5--5)+(-43.96--5))+-43.96))))-(-5+-5)))*-5)))/-5)--5)+(-5*(((-43.96*(-43.96-(-5/-5)))*(-43.96-(-43.96/(-5*-43.96))))-(-5/-5)))))</f>
        <v>-428773.29888</v>
      </c>
      <c r="C5605" t="n" s="0">
        <v>-428773.29888</v>
      </c>
    </row>
    <row r="5606">
      <c r="A5606" t="n" s="0">
        <v>-43.95</v>
      </c>
      <c r="B5606" t="n" s="0">
        <f>(-5-((((-5*(-5/((-5/(((-5*(-43.95--5))-(-5+((-5*-43.95)*(((-5--5)+(-43.95--5))+-43.95))))-(-5+-5)))*-5)))/-5)--5)+(-5*(((-43.95*(-43.95-(-5/-5)))*(-43.95-(-43.95/(-5*-43.95))))-(-5/-5)))))</f>
        <v>-428481.704375</v>
      </c>
      <c r="C5606" t="n" s="0">
        <v>-428481.7043750001</v>
      </c>
    </row>
    <row r="5607">
      <c r="A5607" t="n" s="0">
        <v>-43.94</v>
      </c>
      <c r="B5607" t="n" s="0">
        <f>(-5-((((-5*(-5/((-5/(((-5*(-43.94--5))-(-5+((-5*-43.94)*(((-5--5)+(-43.94--5))+-43.94))))-(-5+-5)))*-5)))/-5)--5)+(-5*(((-43.94*(-43.94-(-5/-5)))*(-43.94-(-43.94/(-5*-43.94))))-(-5/-5)))))</f>
        <v>-428190.24212</v>
      </c>
      <c r="C5607" t="n" s="0">
        <v>-428190.24211999995</v>
      </c>
    </row>
    <row r="5608">
      <c r="A5608" t="n" s="0">
        <v>-43.93</v>
      </c>
      <c r="B5608" t="n" s="0">
        <f>(-5-((((-5*(-5/((-5/(((-5*(-43.93--5))-(-5+((-5*-43.93)*(((-5--5)+(-43.93--5))+-43.93))))-(-5+-5)))*-5)))/-5)--5)+(-5*(((-43.93*(-43.93-(-5/-5)))*(-43.93-(-43.93/(-5*-43.93))))-(-5/-5)))))</f>
        <v>-427898.91208499996</v>
      </c>
      <c r="C5608" t="n" s="0">
        <v>-427898.91208499996</v>
      </c>
    </row>
    <row r="5609">
      <c r="A5609" t="n" s="0">
        <v>-43.92</v>
      </c>
      <c r="B5609" t="n" s="0">
        <f>(-5-((((-5*(-5/((-5/(((-5*(-43.92--5))-(-5+((-5*-43.92)*(((-5--5)+(-43.92--5))+-43.92))))-(-5+-5)))*-5)))/-5)--5)+(-5*(((-43.92*(-43.92-(-5/-5)))*(-43.92-(-43.92/(-5*-43.92))))-(-5/-5)))))</f>
        <v>-427607.71424</v>
      </c>
      <c r="C5609" t="n" s="0">
        <v>-427607.71424000006</v>
      </c>
    </row>
    <row r="5610">
      <c r="A5610" t="n" s="0">
        <v>-43.91</v>
      </c>
      <c r="B5610" t="n" s="0">
        <f>(-5-((((-5*(-5/((-5/(((-5*(-43.91--5))-(-5+((-5*-43.91)*(((-5--5)+(-43.91--5))+-43.91))))-(-5+-5)))*-5)))/-5)--5)+(-5*(((-43.91*(-43.91-(-5/-5)))*(-43.91-(-43.91/(-5*-43.91))))-(-5/-5)))))</f>
        <v>-427316.648555</v>
      </c>
      <c r="C5610" t="n" s="0">
        <v>-427316.64855499985</v>
      </c>
    </row>
    <row r="5611">
      <c r="A5611" t="n" s="0">
        <v>-43.9</v>
      </c>
      <c r="B5611" t="n" s="0">
        <f>(-5-((((-5*(-5/((-5/(((-5*(-43.9--5))-(-5+((-5*-43.9)*(((-5--5)+(-43.9--5))+-43.9))))-(-5+-5)))*-5)))/-5)--5)+(-5*(((-43.9*(-43.9-(-5/-5)))*(-43.9-(-43.9/(-5*-43.9))))-(-5/-5)))))</f>
        <v>-427025.71499999997</v>
      </c>
      <c r="C5611" t="n" s="0">
        <v>-427025.7149999999</v>
      </c>
    </row>
    <row r="5612">
      <c r="A5612" t="n" s="0">
        <v>-43.89</v>
      </c>
      <c r="B5612" t="n" s="0">
        <f>(-5-((((-5*(-5/((-5/(((-5*(-43.89--5))-(-5+((-5*-43.89)*(((-5--5)+(-43.89--5))+-43.89))))-(-5+-5)))*-5)))/-5)--5)+(-5*(((-43.89*(-43.89-(-5/-5)))*(-43.89-(-43.89/(-5*-43.89))))-(-5/-5)))))</f>
        <v>-426734.913545</v>
      </c>
      <c r="C5612" t="n" s="0">
        <v>-426734.913545</v>
      </c>
    </row>
    <row r="5613">
      <c r="A5613" t="n" s="0">
        <v>-43.88</v>
      </c>
      <c r="B5613" t="n" s="0">
        <f>(-5-((((-5*(-5/((-5/(((-5*(-43.88--5))-(-5+((-5*-43.88)*(((-5--5)+(-43.88--5))+-43.88))))-(-5+-5)))*-5)))/-5)--5)+(-5*(((-43.88*(-43.88-(-5/-5)))*(-43.88-(-43.88/(-5*-43.88))))-(-5/-5)))))</f>
        <v>-426444.24416</v>
      </c>
      <c r="C5613" t="n" s="0">
        <v>-426444.24416</v>
      </c>
    </row>
    <row r="5614">
      <c r="A5614" t="n" s="0">
        <v>-43.87</v>
      </c>
      <c r="B5614" t="n" s="0">
        <f>(-5-((((-5*(-5/((-5/(((-5*(-43.87--5))-(-5+((-5*-43.87)*(((-5--5)+(-43.87--5))+-43.87))))-(-5+-5)))*-5)))/-5)--5)+(-5*(((-43.87*(-43.87-(-5/-5)))*(-43.87-(-43.87/(-5*-43.87))))-(-5/-5)))))</f>
        <v>-426153.706815</v>
      </c>
      <c r="C5614" t="n" s="0">
        <v>-426153.7068149999</v>
      </c>
    </row>
    <row r="5615">
      <c r="A5615" t="n" s="0">
        <v>-43.86</v>
      </c>
      <c r="B5615" t="n" s="0">
        <f>(-5-((((-5*(-5/((-5/(((-5*(-43.86--5))-(-5+((-5*-43.86)*(((-5--5)+(-43.86--5))+-43.86))))-(-5+-5)))*-5)))/-5)--5)+(-5*(((-43.86*(-43.86-(-5/-5)))*(-43.86-(-43.86/(-5*-43.86))))-(-5/-5)))))</f>
        <v>-425863.30148</v>
      </c>
      <c r="C5615" t="n" s="0">
        <v>-425863.30148</v>
      </c>
    </row>
    <row r="5616">
      <c r="A5616" t="n" s="0">
        <v>-43.85</v>
      </c>
      <c r="B5616" t="n" s="0">
        <f>(-5-((((-5*(-5/((-5/(((-5*(-43.85--5))-(-5+((-5*-43.85)*(((-5--5)+(-43.85--5))+-43.85))))-(-5+-5)))*-5)))/-5)--5)+(-5*(((-43.85*(-43.85-(-5/-5)))*(-43.85-(-43.85/(-5*-43.85))))-(-5/-5)))))</f>
        <v>-425573.028125</v>
      </c>
      <c r="C5616" t="n" s="0">
        <v>-425573.028125</v>
      </c>
    </row>
    <row r="5617">
      <c r="A5617" t="n" s="0">
        <v>-43.84</v>
      </c>
      <c r="B5617" t="n" s="0">
        <f>(-5-((((-5*(-5/((-5/(((-5*(-43.84--5))-(-5+((-5*-43.84)*(((-5--5)+(-43.84--5))+-43.84))))-(-5+-5)))*-5)))/-5)--5)+(-5*(((-43.84*(-43.84-(-5/-5)))*(-43.84-(-43.84/(-5*-43.84))))-(-5/-5)))))</f>
        <v>-425282.88671999995</v>
      </c>
      <c r="C5617" t="n" s="0">
        <v>-425282.8867200001</v>
      </c>
    </row>
    <row r="5618">
      <c r="A5618" t="n" s="0">
        <v>-43.83</v>
      </c>
      <c r="B5618" t="n" s="0">
        <f>(-5-((((-5*(-5/((-5/(((-5*(-43.83--5))-(-5+((-5*-43.83)*(((-5--5)+(-43.83--5))+-43.83))))-(-5+-5)))*-5)))/-5)--5)+(-5*(((-43.83*(-43.83-(-5/-5)))*(-43.83-(-43.83/(-5*-43.83))))-(-5/-5)))))</f>
        <v>-424992.87723499996</v>
      </c>
      <c r="C5618" t="n" s="0">
        <v>-424992.877235</v>
      </c>
    </row>
    <row r="5619">
      <c r="A5619" t="n" s="0">
        <v>-43.82</v>
      </c>
      <c r="B5619" t="n" s="0">
        <f>(-5-((((-5*(-5/((-5/(((-5*(-43.82--5))-(-5+((-5*-43.82)*(((-5--5)+(-43.82--5))+-43.82))))-(-5+-5)))*-5)))/-5)--5)+(-5*(((-43.82*(-43.82-(-5/-5)))*(-43.82-(-43.82/(-5*-43.82))))-(-5/-5)))))</f>
        <v>-424702.99964000005</v>
      </c>
      <c r="C5619" t="n" s="0">
        <v>-424702.99964</v>
      </c>
    </row>
    <row r="5620">
      <c r="A5620" t="n" s="0">
        <v>-43.81</v>
      </c>
      <c r="B5620" t="n" s="0">
        <f>(-5-((((-5*(-5/((-5/(((-5*(-43.81--5))-(-5+((-5*-43.81)*(((-5--5)+(-43.81--5))+-43.81))))-(-5+-5)))*-5)))/-5)--5)+(-5*(((-43.81*(-43.81-(-5/-5)))*(-43.81-(-43.81/(-5*-43.81))))-(-5/-5)))))</f>
        <v>-424413.253905</v>
      </c>
      <c r="C5620" t="n" s="0">
        <v>-424413.2539050001</v>
      </c>
    </row>
    <row r="5621">
      <c r="A5621" t="n" s="0">
        <v>-43.8</v>
      </c>
      <c r="B5621" t="n" s="0">
        <f>(-5-((((-5*(-5/((-5/(((-5*(-43.8--5))-(-5+((-5*-43.8)*(((-5--5)+(-43.8--5))+-43.8))))-(-5+-5)))*-5)))/-5)--5)+(-5*(((-43.8*(-43.8-(-5/-5)))*(-43.8-(-43.8/(-5*-43.8))))-(-5/-5)))))</f>
        <v>-424123.64</v>
      </c>
      <c r="C5621" t="n" s="0">
        <v>-424123.6399999999</v>
      </c>
    </row>
    <row r="5622">
      <c r="A5622" t="n" s="0">
        <v>-43.79</v>
      </c>
      <c r="B5622" t="n" s="0">
        <f>(-5-((((-5*(-5/((-5/(((-5*(-43.79--5))-(-5+((-5*-43.79)*(((-5--5)+(-43.79--5))+-43.79))))-(-5+-5)))*-5)))/-5)--5)+(-5*(((-43.79*(-43.79-(-5/-5)))*(-43.79-(-43.79/(-5*-43.79))))-(-5/-5)))))</f>
        <v>-423834.157895</v>
      </c>
      <c r="C5622" t="n" s="0">
        <v>-423834.15789499995</v>
      </c>
    </row>
    <row r="5623">
      <c r="A5623" t="n" s="0">
        <v>-43.78</v>
      </c>
      <c r="B5623" t="n" s="0">
        <f>(-5-((((-5*(-5/((-5/(((-5*(-43.78--5))-(-5+((-5*-43.78)*(((-5--5)+(-43.78--5))+-43.78))))-(-5+-5)))*-5)))/-5)--5)+(-5*(((-43.78*(-43.78-(-5/-5)))*(-43.78-(-43.78/(-5*-43.78))))-(-5/-5)))))</f>
        <v>-423544.80756000004</v>
      </c>
      <c r="C5623" t="n" s="0">
        <v>-423544.8075600001</v>
      </c>
    </row>
    <row r="5624">
      <c r="A5624" t="n" s="0">
        <v>-43.77</v>
      </c>
      <c r="B5624" t="n" s="0">
        <f>(-5-((((-5*(-5/((-5/(((-5*(-43.77--5))-(-5+((-5*-43.77)*(((-5--5)+(-43.77--5))+-43.77))))-(-5+-5)))*-5)))/-5)--5)+(-5*(((-43.77*(-43.77-(-5/-5)))*(-43.77-(-43.77/(-5*-43.77))))-(-5/-5)))))</f>
        <v>-423255.588965</v>
      </c>
      <c r="C5624" t="n" s="0">
        <v>-423255.5889650001</v>
      </c>
    </row>
    <row r="5625">
      <c r="A5625" t="n" s="0">
        <v>-43.76</v>
      </c>
      <c r="B5625" t="n" s="0">
        <f>(-5-((((-5*(-5/((-5/(((-5*(-43.76--5))-(-5+((-5*-43.76)*(((-5--5)+(-43.76--5))+-43.76))))-(-5+-5)))*-5)))/-5)--5)+(-5*(((-43.76*(-43.76-(-5/-5)))*(-43.76-(-43.76/(-5*-43.76))))-(-5/-5)))))</f>
        <v>-422966.50208</v>
      </c>
      <c r="C5625" t="n" s="0">
        <v>-422966.50208</v>
      </c>
    </row>
    <row r="5626">
      <c r="A5626" t="n" s="0">
        <v>-43.75</v>
      </c>
      <c r="B5626" t="n" s="0">
        <f>(-5-((((-5*(-5/((-5/(((-5*(-43.75--5))-(-5+((-5*-43.75)*(((-5--5)+(-43.75--5))+-43.75))))-(-5+-5)))*-5)))/-5)--5)+(-5*(((-43.75*(-43.75-(-5/-5)))*(-43.75-(-43.75/(-5*-43.75))))-(-5/-5)))))</f>
        <v>-422677.546875</v>
      </c>
      <c r="C5626" t="n" s="0">
        <v>-422677.546875</v>
      </c>
    </row>
    <row r="5627">
      <c r="A5627" t="n" s="0">
        <v>-43.74</v>
      </c>
      <c r="B5627" t="n" s="0">
        <f>(-5-((((-5*(-5/((-5/(((-5*(-43.74--5))-(-5+((-5*-43.74)*(((-5--5)+(-43.74--5))+-43.74))))-(-5+-5)))*-5)))/-5)--5)+(-5*(((-43.74*(-43.74-(-5/-5)))*(-43.74-(-43.74/(-5*-43.74))))-(-5/-5)))))</f>
        <v>-422388.72332</v>
      </c>
      <c r="C5627" t="n" s="0">
        <v>-422388.72332</v>
      </c>
    </row>
    <row r="5628">
      <c r="A5628" t="n" s="0">
        <v>-43.73</v>
      </c>
      <c r="B5628" t="n" s="0">
        <f>(-5-((((-5*(-5/((-5/(((-5*(-43.73--5))-(-5+((-5*-43.73)*(((-5--5)+(-43.73--5))+-43.73))))-(-5+-5)))*-5)))/-5)--5)+(-5*(((-43.73*(-43.73-(-5/-5)))*(-43.73-(-43.73/(-5*-43.73))))-(-5/-5)))))</f>
        <v>-422100.031385</v>
      </c>
      <c r="C5628" t="n" s="0">
        <v>-422100.0313849999</v>
      </c>
    </row>
    <row r="5629">
      <c r="A5629" t="n" s="0">
        <v>-43.72</v>
      </c>
      <c r="B5629" t="n" s="0">
        <f>(-5-((((-5*(-5/((-5/(((-5*(-43.72--5))-(-5+((-5*-43.72)*(((-5--5)+(-43.72--5))+-43.72))))-(-5+-5)))*-5)))/-5)--5)+(-5*(((-43.72*(-43.72-(-5/-5)))*(-43.72-(-43.72/(-5*-43.72))))-(-5/-5)))))</f>
        <v>-421811.47104000003</v>
      </c>
      <c r="C5629" t="n" s="0">
        <v>-421811.47104</v>
      </c>
    </row>
    <row r="5630">
      <c r="A5630" t="n" s="0">
        <v>-43.71</v>
      </c>
      <c r="B5630" t="n" s="0">
        <f>(-5-((((-5*(-5/((-5/(((-5*(-43.71--5))-(-5+((-5*-43.71)*(((-5--5)+(-43.71--5))+-43.71))))-(-5+-5)))*-5)))/-5)--5)+(-5*(((-43.71*(-43.71-(-5/-5)))*(-43.71-(-43.71/(-5*-43.71))))-(-5/-5)))))</f>
        <v>-421523.042255</v>
      </c>
      <c r="C5630" t="n" s="0">
        <v>-421523.042255</v>
      </c>
    </row>
    <row r="5631">
      <c r="A5631" t="n" s="0">
        <v>-43.7</v>
      </c>
      <c r="B5631" t="n" s="0">
        <f>(-5-((((-5*(-5/((-5/(((-5*(-43.7--5))-(-5+((-5*-43.7)*(((-5--5)+(-43.7--5))+-43.7))))-(-5+-5)))*-5)))/-5)--5)+(-5*(((-43.7*(-43.7-(-5/-5)))*(-43.7-(-43.7/(-5*-43.7))))-(-5/-5)))))</f>
        <v>-421234.745</v>
      </c>
      <c r="C5631" t="n" s="0">
        <v>-421234.7450000001</v>
      </c>
    </row>
    <row r="5632">
      <c r="A5632" t="n" s="0">
        <v>-43.69</v>
      </c>
      <c r="B5632" t="n" s="0">
        <f>(-5-((((-5*(-5/((-5/(((-5*(-43.69--5))-(-5+((-5*-43.69)*(((-5--5)+(-43.69--5))+-43.69))))-(-5+-5)))*-5)))/-5)--5)+(-5*(((-43.69*(-43.69-(-5/-5)))*(-43.69-(-43.69/(-5*-43.69))))-(-5/-5)))))</f>
        <v>-420946.579245</v>
      </c>
      <c r="C5632" t="n" s="0">
        <v>-420946.579245</v>
      </c>
    </row>
    <row r="5633">
      <c r="A5633" t="n" s="0">
        <v>-43.68</v>
      </c>
      <c r="B5633" t="n" s="0">
        <f>(-5-((((-5*(-5/((-5/(((-5*(-43.68--5))-(-5+((-5*-43.68)*(((-5--5)+(-43.68--5))+-43.68))))-(-5+-5)))*-5)))/-5)--5)+(-5*(((-43.68*(-43.68-(-5/-5)))*(-43.68-(-43.68/(-5*-43.68))))-(-5/-5)))))</f>
        <v>-420658.54495999997</v>
      </c>
      <c r="C5633" t="n" s="0">
        <v>-420658.54495999997</v>
      </c>
    </row>
    <row r="5634">
      <c r="A5634" t="n" s="0">
        <v>-43.67</v>
      </c>
      <c r="B5634" t="n" s="0">
        <f>(-5-((((-5*(-5/((-5/(((-5*(-43.67--5))-(-5+((-5*-43.67)*(((-5--5)+(-43.67--5))+-43.67))))-(-5+-5)))*-5)))/-5)--5)+(-5*(((-43.67*(-43.67-(-5/-5)))*(-43.67-(-43.67/(-5*-43.67))))-(-5/-5)))))</f>
        <v>-420370.64211500005</v>
      </c>
      <c r="C5634" t="n" s="0">
        <v>-420370.6421150001</v>
      </c>
    </row>
    <row r="5635">
      <c r="A5635" t="n" s="0">
        <v>-43.66</v>
      </c>
      <c r="B5635" t="n" s="0">
        <f>(-5-((((-5*(-5/((-5/(((-5*(-43.66--5))-(-5+((-5*-43.66)*(((-5--5)+(-43.66--5))+-43.66))))-(-5+-5)))*-5)))/-5)--5)+(-5*(((-43.66*(-43.66-(-5/-5)))*(-43.66-(-43.66/(-5*-43.66))))-(-5/-5)))))</f>
        <v>-420082.87068</v>
      </c>
      <c r="C5635" t="n" s="0">
        <v>-420082.8706799999</v>
      </c>
    </row>
    <row r="5636">
      <c r="A5636" t="n" s="0">
        <v>-43.65</v>
      </c>
      <c r="B5636" t="n" s="0">
        <f>(-5-((((-5*(-5/((-5/(((-5*(-43.65--5))-(-5+((-5*-43.65)*(((-5--5)+(-43.65--5))+-43.65))))-(-5+-5)))*-5)))/-5)--5)+(-5*(((-43.65*(-43.65-(-5/-5)))*(-43.65-(-43.65/(-5*-43.65))))-(-5/-5)))))</f>
        <v>-419795.230625</v>
      </c>
      <c r="C5636" t="n" s="0">
        <v>-419795.230625</v>
      </c>
    </row>
    <row r="5637">
      <c r="A5637" t="n" s="0">
        <v>-43.64</v>
      </c>
      <c r="B5637" t="n" s="0">
        <f>(-5-((((-5*(-5/((-5/(((-5*(-43.64--5))-(-5+((-5*-43.64)*(((-5--5)+(-43.64--5))+-43.64))))-(-5+-5)))*-5)))/-5)--5)+(-5*(((-43.64*(-43.64-(-5/-5)))*(-43.64-(-43.64/(-5*-43.64))))-(-5/-5)))))</f>
        <v>-419507.72192000004</v>
      </c>
      <c r="C5637" t="n" s="0">
        <v>-419507.72192</v>
      </c>
    </row>
    <row r="5638">
      <c r="A5638" t="n" s="0">
        <v>-43.63</v>
      </c>
      <c r="B5638" t="n" s="0">
        <f>(-5-((((-5*(-5/((-5/(((-5*(-43.63--5))-(-5+((-5*-43.63)*(((-5--5)+(-43.63--5))+-43.63))))-(-5+-5)))*-5)))/-5)--5)+(-5*(((-43.63*(-43.63-(-5/-5)))*(-43.63-(-43.63/(-5*-43.63))))-(-5/-5)))))</f>
        <v>-419220.344535</v>
      </c>
      <c r="C5638" t="n" s="0">
        <v>-419220.3445350001</v>
      </c>
    </row>
    <row r="5639">
      <c r="A5639" t="n" s="0">
        <v>-43.62</v>
      </c>
      <c r="B5639" t="n" s="0">
        <f>(-5-((((-5*(-5/((-5/(((-5*(-43.62--5))-(-5+((-5*-43.62)*(((-5--5)+(-43.62--5))+-43.62))))-(-5+-5)))*-5)))/-5)--5)+(-5*(((-43.62*(-43.62-(-5/-5)))*(-43.62-(-43.62/(-5*-43.62))))-(-5/-5)))))</f>
        <v>-418933.09844000003</v>
      </c>
      <c r="C5639" t="n" s="0">
        <v>-418933.0984399999</v>
      </c>
    </row>
    <row r="5640">
      <c r="A5640" t="n" s="0">
        <v>-43.61</v>
      </c>
      <c r="B5640" t="n" s="0">
        <f>(-5-((((-5*(-5/((-5/(((-5*(-43.61--5))-(-5+((-5*-43.61)*(((-5--5)+(-43.61--5))+-43.61))))-(-5+-5)))*-5)))/-5)--5)+(-5*(((-43.61*(-43.61-(-5/-5)))*(-43.61-(-43.61/(-5*-43.61))))-(-5/-5)))))</f>
        <v>-418645.983605</v>
      </c>
      <c r="C5640" t="n" s="0">
        <v>-418645.983605</v>
      </c>
    </row>
    <row r="5641">
      <c r="A5641" t="n" s="0">
        <v>-43.6</v>
      </c>
      <c r="B5641" t="n" s="0">
        <f>(-5-((((-5*(-5/((-5/(((-5*(-43.6--5))-(-5+((-5*-43.6)*(((-5--5)+(-43.6--5))+-43.6))))-(-5+-5)))*-5)))/-5)--5)+(-5*(((-43.6*(-43.6-(-5/-5)))*(-43.6-(-43.6/(-5*-43.6))))-(-5/-5)))))</f>
        <v>-418359.0</v>
      </c>
      <c r="C5641" t="n" s="0">
        <v>-418359.00000000006</v>
      </c>
    </row>
    <row r="5642">
      <c r="A5642" t="n" s="0">
        <v>-43.59</v>
      </c>
      <c r="B5642" t="n" s="0">
        <f>(-5-((((-5*(-5/((-5/(((-5*(-43.59--5))-(-5+((-5*-43.59)*(((-5--5)+(-43.59--5))+-43.59))))-(-5+-5)))*-5)))/-5)--5)+(-5*(((-43.59*(-43.59-(-5/-5)))*(-43.59-(-43.59/(-5*-43.59))))-(-5/-5)))))</f>
        <v>-418072.147595</v>
      </c>
      <c r="C5642" t="n" s="0">
        <v>-418072.1475950001</v>
      </c>
    </row>
    <row r="5643">
      <c r="A5643" t="n" s="0">
        <v>-43.58</v>
      </c>
      <c r="B5643" t="n" s="0">
        <f>(-5-((((-5*(-5/((-5/(((-5*(-43.58--5))-(-5+((-5*-43.58)*(((-5--5)+(-43.58--5))+-43.58))))-(-5+-5)))*-5)))/-5)--5)+(-5*(((-43.58*(-43.58-(-5/-5)))*(-43.58-(-43.58/(-5*-43.58))))-(-5/-5)))))</f>
        <v>-417785.42636</v>
      </c>
      <c r="C5643" t="n" s="0">
        <v>-417785.4263599999</v>
      </c>
    </row>
    <row r="5644">
      <c r="A5644" t="n" s="0">
        <v>-43.57</v>
      </c>
      <c r="B5644" t="n" s="0">
        <f>(-5-((((-5*(-5/((-5/(((-5*(-43.57--5))-(-5+((-5*-43.57)*(((-5--5)+(-43.57--5))+-43.57))))-(-5+-5)))*-5)))/-5)--5)+(-5*(((-43.57*(-43.57-(-5/-5)))*(-43.57-(-43.57/(-5*-43.57))))-(-5/-5)))))</f>
        <v>-417498.836265</v>
      </c>
      <c r="C5644" t="n" s="0">
        <v>-417498.83626500005</v>
      </c>
    </row>
    <row r="5645">
      <c r="A5645" t="n" s="0">
        <v>-43.56</v>
      </c>
      <c r="B5645" t="n" s="0">
        <f>(-5-((((-5*(-5/((-5/(((-5*(-43.56--5))-(-5+((-5*-43.56)*(((-5--5)+(-43.56--5))+-43.56))))-(-5+-5)))*-5)))/-5)--5)+(-5*(((-43.56*(-43.56-(-5/-5)))*(-43.56-(-43.56/(-5*-43.56))))-(-5/-5)))))</f>
        <v>-417212.37728</v>
      </c>
      <c r="C5645" t="n" s="0">
        <v>-417212.3772800001</v>
      </c>
    </row>
    <row r="5646">
      <c r="A5646" t="n" s="0">
        <v>-43.55</v>
      </c>
      <c r="B5646" t="n" s="0">
        <f>(-5-((((-5*(-5/((-5/(((-5*(-43.55--5))-(-5+((-5*-43.55)*(((-5--5)+(-43.55--5))+-43.55))))-(-5+-5)))*-5)))/-5)--5)+(-5*(((-43.55*(-43.55-(-5/-5)))*(-43.55-(-43.55/(-5*-43.55))))-(-5/-5)))))</f>
        <v>-416926.049375</v>
      </c>
      <c r="C5646" t="n" s="0">
        <v>-416926.04937499994</v>
      </c>
    </row>
    <row r="5647">
      <c r="A5647" t="n" s="0">
        <v>-43.54</v>
      </c>
      <c r="B5647" t="n" s="0">
        <f>(-5-((((-5*(-5/((-5/(((-5*(-43.54--5))-(-5+((-5*-43.54)*(((-5--5)+(-43.54--5))+-43.54))))-(-5+-5)))*-5)))/-5)--5)+(-5*(((-43.54*(-43.54-(-5/-5)))*(-43.54-(-43.54/(-5*-43.54))))-(-5/-5)))))</f>
        <v>-416639.85251999996</v>
      </c>
      <c r="C5647" t="n" s="0">
        <v>-416639.85251999996</v>
      </c>
    </row>
    <row r="5648">
      <c r="A5648" t="n" s="0">
        <v>-43.53</v>
      </c>
      <c r="B5648" t="n" s="0">
        <f>(-5-((((-5*(-5/((-5/(((-5*(-43.53--5))-(-5+((-5*-43.53)*(((-5--5)+(-43.53--5))+-43.53))))-(-5+-5)))*-5)))/-5)--5)+(-5*(((-43.53*(-43.53-(-5/-5)))*(-43.53-(-43.53/(-5*-43.53))))-(-5/-5)))))</f>
        <v>-416353.786685</v>
      </c>
      <c r="C5648" t="n" s="0">
        <v>-416353.78668500006</v>
      </c>
    </row>
    <row r="5649">
      <c r="A5649" t="n" s="0">
        <v>-43.52</v>
      </c>
      <c r="B5649" t="n" s="0">
        <f>(-5-((((-5*(-5/((-5/(((-5*(-43.52--5))-(-5+((-5*-43.52)*(((-5--5)+(-43.52--5))+-43.52))))-(-5+-5)))*-5)))/-5)--5)+(-5*(((-43.52*(-43.52-(-5/-5)))*(-43.52-(-43.52/(-5*-43.52))))-(-5/-5)))))</f>
        <v>-416067.85184</v>
      </c>
      <c r="C5649" t="n" s="0">
        <v>-416067.8518400001</v>
      </c>
    </row>
    <row r="5650">
      <c r="A5650" t="n" s="0">
        <v>-43.51</v>
      </c>
      <c r="B5650" t="n" s="0">
        <f>(-5-((((-5*(-5/((-5/(((-5*(-43.51--5))-(-5+((-5*-43.51)*(((-5--5)+(-43.51--5))+-43.51))))-(-5+-5)))*-5)))/-5)--5)+(-5*(((-43.51*(-43.51-(-5/-5)))*(-43.51-(-43.51/(-5*-43.51))))-(-5/-5)))))</f>
        <v>-415782.047955</v>
      </c>
      <c r="C5650" t="n" s="0">
        <v>-415782.04795499996</v>
      </c>
    </row>
    <row r="5651">
      <c r="A5651" t="n" s="0">
        <v>-43.5</v>
      </c>
      <c r="B5651" t="n" s="0">
        <f>(-5-((((-5*(-5/((-5/(((-5*(-43.5--5))-(-5+((-5*-43.5)*(((-5--5)+(-43.5--5))+-43.5))))-(-5+-5)))*-5)))/-5)--5)+(-5*(((-43.5*(-43.5-(-5/-5)))*(-43.5-(-43.5/(-5*-43.5))))-(-5/-5)))))</f>
        <v>-415496.375</v>
      </c>
      <c r="C5651" t="n" s="0">
        <v>-415496.375</v>
      </c>
    </row>
    <row r="5652">
      <c r="A5652" t="n" s="0">
        <v>-43.49</v>
      </c>
      <c r="B5652" t="n" s="0">
        <f>(-5-((((-5*(-5/((-5/(((-5*(-43.49--5))-(-5+((-5*-43.49)*(((-5--5)+(-43.49--5))+-43.49))))-(-5+-5)))*-5)))/-5)--5)+(-5*(((-43.49*(-43.49-(-5/-5)))*(-43.49-(-43.49/(-5*-43.49))))-(-5/-5)))))</f>
        <v>-415210.83294500003</v>
      </c>
      <c r="C5652" t="n" s="0">
        <v>-415210.83294500003</v>
      </c>
    </row>
    <row r="5653">
      <c r="A5653" t="n" s="0">
        <v>-43.48</v>
      </c>
      <c r="B5653" t="n" s="0">
        <f>(-5-((((-5*(-5/((-5/(((-5*(-43.48--5))-(-5+((-5*-43.48)*(((-5--5)+(-43.48--5))+-43.48))))-(-5+-5)))*-5)))/-5)--5)+(-5*(((-43.48*(-43.48-(-5/-5)))*(-43.48-(-43.48/(-5*-43.48))))-(-5/-5)))))</f>
        <v>-414925.42176</v>
      </c>
      <c r="C5653" t="n" s="0">
        <v>-414925.42175999994</v>
      </c>
    </row>
    <row r="5654">
      <c r="A5654" t="n" s="0">
        <v>-43.47</v>
      </c>
      <c r="B5654" t="n" s="0">
        <f>(-5-((((-5*(-5/((-5/(((-5*(-43.47--5))-(-5+((-5*-43.47)*(((-5--5)+(-43.47--5))+-43.47))))-(-5+-5)))*-5)))/-5)--5)+(-5*(((-43.47*(-43.47-(-5/-5)))*(-43.47-(-43.47/(-5*-43.47))))-(-5/-5)))))</f>
        <v>-414640.141415</v>
      </c>
      <c r="C5654" t="n" s="0">
        <v>-414640.14141499996</v>
      </c>
    </row>
    <row r="5655">
      <c r="A5655" t="n" s="0">
        <v>-43.46</v>
      </c>
      <c r="B5655" t="n" s="0">
        <f>(-5-((((-5*(-5/((-5/(((-5*(-43.46--5))-(-5+((-5*-43.46)*(((-5--5)+(-43.46--5))+-43.46))))-(-5+-5)))*-5)))/-5)--5)+(-5*(((-43.46*(-43.46-(-5/-5)))*(-43.46-(-43.46/(-5*-43.46))))-(-5/-5)))))</f>
        <v>-414354.9918799999</v>
      </c>
      <c r="C5655" t="n" s="0">
        <v>-414354.99188000005</v>
      </c>
    </row>
    <row r="5656">
      <c r="A5656" t="n" s="0">
        <v>-43.45</v>
      </c>
      <c r="B5656" t="n" s="0">
        <f>(-5-((((-5*(-5/((-5/(((-5*(-43.45--5))-(-5+((-5*-43.45)*(((-5--5)+(-43.45--5))+-43.45))))-(-5+-5)))*-5)))/-5)--5)+(-5*(((-43.45*(-43.45-(-5/-5)))*(-43.45-(-43.45/(-5*-43.45))))-(-5/-5)))))</f>
        <v>-414069.973125</v>
      </c>
      <c r="C5656" t="n" s="0">
        <v>-414069.973125</v>
      </c>
    </row>
    <row r="5657">
      <c r="A5657" t="n" s="0">
        <v>-43.44</v>
      </c>
      <c r="B5657" t="n" s="0">
        <f>(-5-((((-5*(-5/((-5/(((-5*(-43.44--5))-(-5+((-5*-43.44)*(((-5--5)+(-43.44--5))+-43.44))))-(-5+-5)))*-5)))/-5)--5)+(-5*(((-43.44*(-43.44-(-5/-5)))*(-43.44-(-43.44/(-5*-43.44))))-(-5/-5)))))</f>
        <v>-413785.08512</v>
      </c>
      <c r="C5657" t="n" s="0">
        <v>-413785.0851199999</v>
      </c>
    </row>
    <row r="5658">
      <c r="A5658" t="n" s="0">
        <v>-43.43</v>
      </c>
      <c r="B5658" t="n" s="0">
        <f>(-5-((((-5*(-5/((-5/(((-5*(-43.43--5))-(-5+((-5*-43.43)*(((-5--5)+(-43.43--5))+-43.43))))-(-5+-5)))*-5)))/-5)--5)+(-5*(((-43.43*(-43.43-(-5/-5)))*(-43.43-(-43.43/(-5*-43.43))))-(-5/-5)))))</f>
        <v>-413500.32783499995</v>
      </c>
      <c r="C5658" t="n" s="0">
        <v>-413500.327835</v>
      </c>
    </row>
    <row r="5659">
      <c r="A5659" t="n" s="0">
        <v>-43.42</v>
      </c>
      <c r="B5659" t="n" s="0">
        <f>(-5-((((-5*(-5/((-5/(((-5*(-43.42--5))-(-5+((-5*-43.42)*(((-5--5)+(-43.42--5))+-43.42))))-(-5+-5)))*-5)))/-5)--5)+(-5*(((-43.42*(-43.42-(-5/-5)))*(-43.42-(-43.42/(-5*-43.42))))-(-5/-5)))))</f>
        <v>-413215.70124</v>
      </c>
      <c r="C5659" t="n" s="0">
        <v>-413215.70124</v>
      </c>
    </row>
    <row r="5660">
      <c r="A5660" t="n" s="0">
        <v>-43.41</v>
      </c>
      <c r="B5660" t="n" s="0">
        <f>(-5-((((-5*(-5/((-5/(((-5*(-43.41--5))-(-5+((-5*-43.41)*(((-5--5)+(-43.41--5))+-43.41))))-(-5+-5)))*-5)))/-5)--5)+(-5*(((-43.41*(-43.41-(-5/-5)))*(-43.41-(-43.41/(-5*-43.41))))-(-5/-5)))))</f>
        <v>-412931.20530499995</v>
      </c>
      <c r="C5660" t="n" s="0">
        <v>-412931.2053049999</v>
      </c>
    </row>
    <row r="5661">
      <c r="A5661" t="n" s="0">
        <v>-43.4</v>
      </c>
      <c r="B5661" t="n" s="0">
        <f>(-5-((((-5*(-5/((-5/(((-5*(-43.4--5))-(-5+((-5*-43.4)*(((-5--5)+(-43.4--5))+-43.4))))-(-5+-5)))*-5)))/-5)--5)+(-5*(((-43.4*(-43.4-(-5/-5)))*(-43.4-(-43.4/(-5*-43.4))))-(-5/-5)))))</f>
        <v>-412646.83999999997</v>
      </c>
      <c r="C5661" t="n" s="0">
        <v>-412646.8399999999</v>
      </c>
    </row>
    <row r="5662">
      <c r="A5662" t="n" s="0">
        <v>-43.39</v>
      </c>
      <c r="B5662" t="n" s="0">
        <f>(-5-((((-5*(-5/((-5/(((-5*(-43.39--5))-(-5+((-5*-43.39)*(((-5--5)+(-43.39--5))+-43.39))))-(-5+-5)))*-5)))/-5)--5)+(-5*(((-43.39*(-43.39-(-5/-5)))*(-43.39-(-43.39/(-5*-43.39))))-(-5/-5)))))</f>
        <v>-412362.60529499996</v>
      </c>
      <c r="C5662" t="n" s="0">
        <v>-412362.60529499996</v>
      </c>
    </row>
    <row r="5663">
      <c r="A5663" t="n" s="0">
        <v>-43.38</v>
      </c>
      <c r="B5663" t="n" s="0">
        <f>(-5-((((-5*(-5/((-5/(((-5*(-43.38--5))-(-5+((-5*-43.38)*(((-5--5)+(-43.38--5))+-43.38))))-(-5+-5)))*-5)))/-5)--5)+(-5*(((-43.38*(-43.38-(-5/-5)))*(-43.38-(-43.38/(-5*-43.38))))-(-5/-5)))))</f>
        <v>-412078.50116</v>
      </c>
      <c r="C5663" t="n" s="0">
        <v>-412078.5011600001</v>
      </c>
    </row>
    <row r="5664">
      <c r="A5664" t="n" s="0">
        <v>-43.37</v>
      </c>
      <c r="B5664" t="n" s="0">
        <f>(-5-((((-5*(-5/((-5/(((-5*(-43.37--5))-(-5+((-5*-43.37)*(((-5--5)+(-43.37--5))+-43.37))))-(-5+-5)))*-5)))/-5)--5)+(-5*(((-43.37*(-43.37-(-5/-5)))*(-43.37-(-43.37/(-5*-43.37))))-(-5/-5)))))</f>
        <v>-411794.527565</v>
      </c>
      <c r="C5664" t="n" s="0">
        <v>-411794.52756499994</v>
      </c>
    </row>
    <row r="5665">
      <c r="A5665" t="n" s="0">
        <v>-43.36</v>
      </c>
      <c r="B5665" t="n" s="0">
        <f>(-5-((((-5*(-5/((-5/(((-5*(-43.36--5))-(-5+((-5*-43.36)*(((-5--5)+(-43.36--5))+-43.36))))-(-5+-5)))*-5)))/-5)--5)+(-5*(((-43.36*(-43.36-(-5/-5)))*(-43.36-(-43.36/(-5*-43.36))))-(-5/-5)))))</f>
        <v>-411510.68448</v>
      </c>
      <c r="C5665" t="n" s="0">
        <v>-411510.68448000005</v>
      </c>
    </row>
    <row r="5666">
      <c r="A5666" t="n" s="0">
        <v>-43.35</v>
      </c>
      <c r="B5666" t="n" s="0">
        <f>(-5-((((-5*(-5/((-5/(((-5*(-43.35--5))-(-5+((-5*-43.35)*(((-5--5)+(-43.35--5))+-43.35))))-(-5+-5)))*-5)))/-5)--5)+(-5*(((-43.35*(-43.35-(-5/-5)))*(-43.35-(-43.35/(-5*-43.35))))-(-5/-5)))))</f>
        <v>-411226.971875</v>
      </c>
      <c r="C5666" t="n" s="0">
        <v>-411226.971875</v>
      </c>
    </row>
    <row r="5667">
      <c r="A5667" t="n" s="0">
        <v>-43.34</v>
      </c>
      <c r="B5667" t="n" s="0">
        <f>(-5-((((-5*(-5/((-5/(((-5*(-43.34--5))-(-5+((-5*-43.34)*(((-5--5)+(-43.34--5))+-43.34))))-(-5+-5)))*-5)))/-5)--5)+(-5*(((-43.34*(-43.34-(-5/-5)))*(-43.34-(-43.34/(-5*-43.34))))-(-5/-5)))))</f>
        <v>-410943.38972</v>
      </c>
      <c r="C5667" t="n" s="0">
        <v>-410943.3897200001</v>
      </c>
    </row>
    <row r="5668">
      <c r="A5668" t="n" s="0">
        <v>-43.33</v>
      </c>
      <c r="B5668" t="n" s="0">
        <f>(-5-((((-5*(-5/((-5/(((-5*(-43.33--5))-(-5+((-5*-43.33)*(((-5--5)+(-43.33--5))+-43.33))))-(-5+-5)))*-5)))/-5)--5)+(-5*(((-43.33*(-43.33-(-5/-5)))*(-43.33-(-43.33/(-5*-43.33))))-(-5/-5)))))</f>
        <v>-410659.937985</v>
      </c>
      <c r="C5668" t="n" s="0">
        <v>-410659.9379849999</v>
      </c>
    </row>
    <row r="5669">
      <c r="A5669" t="n" s="0">
        <v>-43.32</v>
      </c>
      <c r="B5669" t="n" s="0">
        <f>(-5-((((-5*(-5/((-5/(((-5*(-43.32--5))-(-5+((-5*-43.32)*(((-5--5)+(-43.32--5))+-43.32))))-(-5+-5)))*-5)))/-5)--5)+(-5*(((-43.32*(-43.32-(-5/-5)))*(-43.32-(-43.32/(-5*-43.32))))-(-5/-5)))))</f>
        <v>-410376.61664</v>
      </c>
      <c r="C5669" t="n" s="0">
        <v>-410376.61664</v>
      </c>
    </row>
    <row r="5670">
      <c r="A5670" t="n" s="0">
        <v>-43.31</v>
      </c>
      <c r="B5670" t="n" s="0">
        <f>(-5-((((-5*(-5/((-5/(((-5*(-43.31--5))-(-5+((-5*-43.31)*(((-5--5)+(-43.31--5))+-43.31))))-(-5+-5)))*-5)))/-5)--5)+(-5*(((-43.31*(-43.31-(-5/-5)))*(-43.31-(-43.31/(-5*-43.31))))-(-5/-5)))))</f>
        <v>-410093.42565499997</v>
      </c>
      <c r="C5670" t="n" s="0">
        <v>-410093.425655</v>
      </c>
    </row>
    <row r="5671">
      <c r="A5671" t="n" s="0">
        <v>-43.3</v>
      </c>
      <c r="B5671" t="n" s="0">
        <f>(-5-((((-5*(-5/((-5/(((-5*(-43.3--5))-(-5+((-5*-43.3)*(((-5--5)+(-43.3--5))+-43.3))))-(-5+-5)))*-5)))/-5)--5)+(-5*(((-43.3*(-43.3-(-5/-5)))*(-43.3-(-43.3/(-5*-43.3))))-(-5/-5)))))</f>
        <v>-409810.365</v>
      </c>
      <c r="C5671" t="n" s="0">
        <v>-409810.36499999993</v>
      </c>
    </row>
    <row r="5672">
      <c r="A5672" t="n" s="0">
        <v>-43.29</v>
      </c>
      <c r="B5672" t="n" s="0">
        <f>(-5-((((-5*(-5/((-5/(((-5*(-43.29--5))-(-5+((-5*-43.29)*(((-5--5)+(-43.29--5))+-43.29))))-(-5+-5)))*-5)))/-5)--5)+(-5*(((-43.29*(-43.29-(-5/-5)))*(-43.29-(-43.29/(-5*-43.29))))-(-5/-5)))))</f>
        <v>-409527.434645</v>
      </c>
      <c r="C5672" t="n" s="0">
        <v>-409527.43464500003</v>
      </c>
    </row>
    <row r="5673">
      <c r="A5673" t="n" s="0">
        <v>-43.28</v>
      </c>
      <c r="B5673" t="n" s="0">
        <f>(-5-((((-5*(-5/((-5/(((-5*(-43.28--5))-(-5+((-5*-43.28)*(((-5--5)+(-43.28--5))+-43.28))))-(-5+-5)))*-5)))/-5)--5)+(-5*(((-43.28*(-43.28-(-5/-5)))*(-43.28-(-43.28/(-5*-43.28))))-(-5/-5)))))</f>
        <v>-409244.63456000003</v>
      </c>
      <c r="C5673" t="n" s="0">
        <v>-409244.63456000003</v>
      </c>
    </row>
    <row r="5674">
      <c r="A5674" t="n" s="0">
        <v>-43.27</v>
      </c>
      <c r="B5674" t="n" s="0">
        <f>(-5-((((-5*(-5/((-5/(((-5*(-43.27--5))-(-5+((-5*-43.27)*(((-5--5)+(-43.27--5))+-43.27))))-(-5+-5)))*-5)))/-5)--5)+(-5*(((-43.27*(-43.27-(-5/-5)))*(-43.27-(-43.27/(-5*-43.27))))-(-5/-5)))))</f>
        <v>-408961.964715</v>
      </c>
      <c r="C5674" t="n" s="0">
        <v>-408961.9647150001</v>
      </c>
    </row>
    <row r="5675">
      <c r="A5675" t="n" s="0">
        <v>-43.26</v>
      </c>
      <c r="B5675" t="n" s="0">
        <f>(-5-((((-5*(-5/((-5/(((-5*(-43.26--5))-(-5+((-5*-43.26)*(((-5--5)+(-43.26--5))+-43.26))))-(-5+-5)))*-5)))/-5)--5)+(-5*(((-43.26*(-43.26-(-5/-5)))*(-43.26-(-43.26/(-5*-43.26))))-(-5/-5)))))</f>
        <v>-408679.42508</v>
      </c>
      <c r="C5675" t="n" s="0">
        <v>-408679.42507999996</v>
      </c>
    </row>
    <row r="5676">
      <c r="A5676" t="n" s="0">
        <v>-43.25</v>
      </c>
      <c r="B5676" t="n" s="0">
        <f>(-5-((((-5*(-5/((-5/(((-5*(-43.25--5))-(-5+((-5*-43.25)*(((-5--5)+(-43.25--5))+-43.25))))-(-5+-5)))*-5)))/-5)--5)+(-5*(((-43.25*(-43.25-(-5/-5)))*(-43.25-(-43.25/(-5*-43.25))))-(-5/-5)))))</f>
        <v>-408397.015625</v>
      </c>
      <c r="C5676" t="n" s="0">
        <v>-408397.015625</v>
      </c>
    </row>
    <row r="5677">
      <c r="A5677" t="n" s="0">
        <v>-43.24</v>
      </c>
      <c r="B5677" t="n" s="0">
        <f>(-5-((((-5*(-5/((-5/(((-5*(-43.24--5))-(-5+((-5*-43.24)*(((-5--5)+(-43.24--5))+-43.24))))-(-5+-5)))*-5)))/-5)--5)+(-5*(((-43.24*(-43.24-(-5/-5)))*(-43.24-(-43.24/(-5*-43.24))))-(-5/-5)))))</f>
        <v>-408114.73631999997</v>
      </c>
      <c r="C5677" t="n" s="0">
        <v>-408114.73632</v>
      </c>
    </row>
    <row r="5678">
      <c r="A5678" t="n" s="0">
        <v>-43.23</v>
      </c>
      <c r="B5678" t="n" s="0">
        <f>(-5-((((-5*(-5/((-5/(((-5*(-43.23--5))-(-5+((-5*-43.23)*(((-5--5)+(-43.23--5))+-43.23))))-(-5+-5)))*-5)))/-5)--5)+(-5*(((-43.23*(-43.23-(-5/-5)))*(-43.23-(-43.23/(-5*-43.23))))-(-5/-5)))))</f>
        <v>-407832.58713500004</v>
      </c>
      <c r="C5678" t="n" s="0">
        <v>-407832.587135</v>
      </c>
    </row>
    <row r="5679">
      <c r="A5679" t="n" s="0">
        <v>-43.22</v>
      </c>
      <c r="B5679" t="n" s="0">
        <f>(-5-((((-5*(-5/((-5/(((-5*(-43.22--5))-(-5+((-5*-43.22)*(((-5--5)+(-43.22--5))+-43.22))))-(-5+-5)))*-5)))/-5)--5)+(-5*(((-43.22*(-43.22-(-5/-5)))*(-43.22-(-43.22/(-5*-43.22))))-(-5/-5)))))</f>
        <v>-407550.56804</v>
      </c>
      <c r="C5679" t="n" s="0">
        <v>-407550.56804</v>
      </c>
    </row>
    <row r="5680">
      <c r="A5680" t="n" s="0">
        <v>-43.21</v>
      </c>
      <c r="B5680" t="n" s="0">
        <f>(-5-((((-5*(-5/((-5/(((-5*(-43.21--5))-(-5+((-5*-43.21)*(((-5--5)+(-43.21--5))+-43.21))))-(-5+-5)))*-5)))/-5)--5)+(-5*(((-43.21*(-43.21-(-5/-5)))*(-43.21-(-43.21/(-5*-43.21))))-(-5/-5)))))</f>
        <v>-407268.679005</v>
      </c>
      <c r="C5680" t="n" s="0">
        <v>-407268.67900500004</v>
      </c>
    </row>
    <row r="5681">
      <c r="A5681" t="n" s="0">
        <v>-43.2</v>
      </c>
      <c r="B5681" t="n" s="0">
        <f>(-5-((((-5*(-5/((-5/(((-5*(-43.2--5))-(-5+((-5*-43.2)*(((-5--5)+(-43.2--5))+-43.2))))-(-5+-5)))*-5)))/-5)--5)+(-5*(((-43.2*(-43.2-(-5/-5)))*(-43.2-(-43.2/(-5*-43.2))))-(-5/-5)))))</f>
        <v>-406986.92</v>
      </c>
      <c r="C5681" t="n" s="0">
        <v>-406986.92000000004</v>
      </c>
    </row>
    <row r="5682">
      <c r="A5682" t="n" s="0">
        <v>-43.19</v>
      </c>
      <c r="B5682" t="n" s="0">
        <f>(-5-((((-5*(-5/((-5/(((-5*(-43.19--5))-(-5+((-5*-43.19)*(((-5--5)+(-43.19--5))+-43.19))))-(-5+-5)))*-5)))/-5)--5)+(-5*(((-43.19*(-43.19-(-5/-5)))*(-43.19-(-43.19/(-5*-43.19))))-(-5/-5)))))</f>
        <v>-406705.29099500005</v>
      </c>
      <c r="C5682" t="n" s="0">
        <v>-406705.2909949999</v>
      </c>
    </row>
    <row r="5683">
      <c r="A5683" t="n" s="0">
        <v>-43.18</v>
      </c>
      <c r="B5683" t="n" s="0">
        <f>(-5-((((-5*(-5/((-5/(((-5*(-43.18--5))-(-5+((-5*-43.18)*(((-5--5)+(-43.18--5))+-43.18))))-(-5+-5)))*-5)))/-5)--5)+(-5*(((-43.18*(-43.18-(-5/-5)))*(-43.18-(-43.18/(-5*-43.18))))-(-5/-5)))))</f>
        <v>-406423.79196</v>
      </c>
      <c r="C5683" t="n" s="0">
        <v>-406423.79196</v>
      </c>
    </row>
    <row r="5684">
      <c r="A5684" t="n" s="0">
        <v>-43.17</v>
      </c>
      <c r="B5684" t="n" s="0">
        <f>(-5-((((-5*(-5/((-5/(((-5*(-43.17--5))-(-5+((-5*-43.17)*(((-5--5)+(-43.17--5))+-43.17))))-(-5+-5)))*-5)))/-5)--5)+(-5*(((-43.17*(-43.17-(-5/-5)))*(-43.17-(-43.17/(-5*-43.17))))-(-5/-5)))))</f>
        <v>-406142.422865</v>
      </c>
      <c r="C5684" t="n" s="0">
        <v>-406142.42286500003</v>
      </c>
    </row>
    <row r="5685">
      <c r="A5685" t="n" s="0">
        <v>-43.16</v>
      </c>
      <c r="B5685" t="n" s="0">
        <f>(-5-((((-5*(-5/((-5/(((-5*(-43.16--5))-(-5+((-5*-43.16)*(((-5--5)+(-43.16--5))+-43.16))))-(-5+-5)))*-5)))/-5)--5)+(-5*(((-43.16*(-43.16-(-5/-5)))*(-43.16-(-43.16/(-5*-43.16))))-(-5/-5)))))</f>
        <v>-405861.18368</v>
      </c>
      <c r="C5685" t="n" s="0">
        <v>-405861.1836799999</v>
      </c>
    </row>
    <row r="5686">
      <c r="A5686" t="n" s="0">
        <v>-43.15</v>
      </c>
      <c r="B5686" t="n" s="0">
        <f>(-5-((((-5*(-5/((-5/(((-5*(-43.15--5))-(-5+((-5*-43.15)*(((-5--5)+(-43.15--5))+-43.15))))-(-5+-5)))*-5)))/-5)--5)+(-5*(((-43.15*(-43.15-(-5/-5)))*(-43.15-(-43.15/(-5*-43.15))))-(-5/-5)))))</f>
        <v>-405580.074375</v>
      </c>
      <c r="C5686" t="n" s="0">
        <v>-405580.0743749999</v>
      </c>
    </row>
    <row r="5687">
      <c r="A5687" t="n" s="0">
        <v>-43.14</v>
      </c>
      <c r="B5687" t="n" s="0">
        <f>(-5-((((-5*(-5/((-5/(((-5*(-43.14--5))-(-5+((-5*-43.14)*(((-5--5)+(-43.14--5))+-43.14))))-(-5+-5)))*-5)))/-5)--5)+(-5*(((-43.14*(-43.14-(-5/-5)))*(-43.14-(-43.14/(-5*-43.14))))-(-5/-5)))))</f>
        <v>-405299.09492</v>
      </c>
      <c r="C5687" t="n" s="0">
        <v>-405299.09492000006</v>
      </c>
    </row>
    <row r="5688">
      <c r="A5688" t="n" s="0">
        <v>-43.13</v>
      </c>
      <c r="B5688" t="n" s="0">
        <f>(-5-((((-5*(-5/((-5/(((-5*(-43.13--5))-(-5+((-5*-43.13)*(((-5--5)+(-43.13--5))+-43.13))))-(-5+-5)))*-5)))/-5)--5)+(-5*(((-43.13*(-43.13-(-5/-5)))*(-43.13-(-43.13/(-5*-43.13))))-(-5/-5)))))</f>
        <v>-405018.245285</v>
      </c>
      <c r="C5688" t="n" s="0">
        <v>-405018.24528500007</v>
      </c>
    </row>
    <row r="5689">
      <c r="A5689" t="n" s="0">
        <v>-43.12</v>
      </c>
      <c r="B5689" t="n" s="0">
        <f>(-5-((((-5*(-5/((-5/(((-5*(-43.12--5))-(-5+((-5*-43.12)*(((-5--5)+(-43.12--5))+-43.12))))-(-5+-5)))*-5)))/-5)--5)+(-5*(((-43.12*(-43.12-(-5/-5)))*(-43.12-(-43.12/(-5*-43.12))))-(-5/-5)))))</f>
        <v>-404737.52544</v>
      </c>
      <c r="C5689" t="n" s="0">
        <v>-404737.52543999994</v>
      </c>
    </row>
    <row r="5690">
      <c r="A5690" t="n" s="0">
        <v>-43.11</v>
      </c>
      <c r="B5690" t="n" s="0">
        <f>(-5-((((-5*(-5/((-5/(((-5*(-43.11--5))-(-5+((-5*-43.11)*(((-5--5)+(-43.11--5))+-43.11))))-(-5+-5)))*-5)))/-5)--5)+(-5*(((-43.11*(-43.11-(-5/-5)))*(-43.11-(-43.11/(-5*-43.11))))-(-5/-5)))))</f>
        <v>-404456.93535499997</v>
      </c>
      <c r="C5690" t="n" s="0">
        <v>-404456.935355</v>
      </c>
    </row>
    <row r="5691">
      <c r="A5691" t="n" s="0">
        <v>-43.1</v>
      </c>
      <c r="B5691" t="n" s="0">
        <f>(-5-((((-5*(-5/((-5/(((-5*(-43.1--5))-(-5+((-5*-43.1)*(((-5--5)+(-43.1--5))+-43.1))))-(-5+-5)))*-5)))/-5)--5)+(-5*(((-43.1*(-43.1-(-5/-5)))*(-43.1-(-43.1/(-5*-43.1))))-(-5/-5)))))</f>
        <v>-404176.475</v>
      </c>
      <c r="C5691" t="n" s="0">
        <v>-404176.47500000003</v>
      </c>
    </row>
    <row r="5692">
      <c r="A5692" t="n" s="0">
        <v>-43.09</v>
      </c>
      <c r="B5692" t="n" s="0">
        <f>(-5-((((-5*(-5/((-5/(((-5*(-43.09--5))-(-5+((-5*-43.09)*(((-5--5)+(-43.09--5))+-43.09))))-(-5+-5)))*-5)))/-5)--5)+(-5*(((-43.09*(-43.09-(-5/-5)))*(-43.09-(-43.09/(-5*-43.09))))-(-5/-5)))))</f>
        <v>-403896.144345</v>
      </c>
      <c r="C5692" t="n" s="0">
        <v>-403896.14434500015</v>
      </c>
    </row>
    <row r="5693">
      <c r="A5693" t="n" s="0">
        <v>-43.08</v>
      </c>
      <c r="B5693" t="n" s="0">
        <f>(-5-((((-5*(-5/((-5/(((-5*(-43.08--5))-(-5+((-5*-43.08)*(((-5--5)+(-43.08--5))+-43.08))))-(-5+-5)))*-5)))/-5)--5)+(-5*(((-43.08*(-43.08-(-5/-5)))*(-43.08-(-43.08/(-5*-43.08))))-(-5/-5)))))</f>
        <v>-403615.94336</v>
      </c>
      <c r="C5693" t="n" s="0">
        <v>-403615.9433599999</v>
      </c>
    </row>
    <row r="5694">
      <c r="A5694" t="n" s="0">
        <v>-43.07</v>
      </c>
      <c r="B5694" t="n" s="0">
        <f>(-5-((((-5*(-5/((-5/(((-5*(-43.07--5))-(-5+((-5*-43.07)*(((-5--5)+(-43.07--5))+-43.07))))-(-5+-5)))*-5)))/-5)--5)+(-5*(((-43.07*(-43.07-(-5/-5)))*(-43.07-(-43.07/(-5*-43.07))))-(-5/-5)))))</f>
        <v>-403335.872015</v>
      </c>
      <c r="C5694" t="n" s="0">
        <v>-403335.87201500003</v>
      </c>
    </row>
    <row r="5695">
      <c r="A5695" t="n" s="0">
        <v>-43.06</v>
      </c>
      <c r="B5695" t="n" s="0">
        <f>(-5-((((-5*(-5/((-5/(((-5*(-43.06--5))-(-5+((-5*-43.06)*(((-5--5)+(-43.06--5))+-43.06))))-(-5+-5)))*-5)))/-5)--5)+(-5*(((-43.06*(-43.06-(-5/-5)))*(-43.06-(-43.06/(-5*-43.06))))-(-5/-5)))))</f>
        <v>-403055.93028</v>
      </c>
      <c r="C5695" t="n" s="0">
        <v>-403055.9302800001</v>
      </c>
    </row>
    <row r="5696">
      <c r="A5696" t="n" s="0">
        <v>-43.05</v>
      </c>
      <c r="B5696" t="n" s="0">
        <f>(-5-((((-5*(-5/((-5/(((-5*(-43.05--5))-(-5+((-5*-43.05)*(((-5--5)+(-43.05--5))+-43.05))))-(-5+-5)))*-5)))/-5)--5)+(-5*(((-43.05*(-43.05-(-5/-5)))*(-43.05-(-43.05/(-5*-43.05))))-(-5/-5)))))</f>
        <v>-402776.118125</v>
      </c>
      <c r="C5696" t="n" s="0">
        <v>-402776.1181249999</v>
      </c>
    </row>
    <row r="5697">
      <c r="A5697" t="n" s="0">
        <v>-43.04</v>
      </c>
      <c r="B5697" t="n" s="0">
        <f>(-5-((((-5*(-5/((-5/(((-5*(-43.04--5))-(-5+((-5*-43.04)*(((-5--5)+(-43.04--5))+-43.04))))-(-5+-5)))*-5)))/-5)--5)+(-5*(((-43.04*(-43.04-(-5/-5)))*(-43.04-(-43.04/(-5*-43.04))))-(-5/-5)))))</f>
        <v>-402496.43552</v>
      </c>
      <c r="C5697" t="n" s="0">
        <v>-402496.43551999994</v>
      </c>
    </row>
    <row r="5698">
      <c r="A5698" t="n" s="0">
        <v>-43.03</v>
      </c>
      <c r="B5698" t="n" s="0">
        <f>(-5-((((-5*(-5/((-5/(((-5*(-43.03--5))-(-5+((-5*-43.03)*(((-5--5)+(-43.03--5))+-43.03))))-(-5+-5)))*-5)))/-5)--5)+(-5*(((-43.03*(-43.03-(-5/-5)))*(-43.03-(-43.03/(-5*-43.03))))-(-5/-5)))))</f>
        <v>-402216.882435</v>
      </c>
      <c r="C5698" t="n" s="0">
        <v>-402216.88243500004</v>
      </c>
    </row>
    <row r="5699">
      <c r="A5699" t="n" s="0">
        <v>-43.02</v>
      </c>
      <c r="B5699" t="n" s="0">
        <f>(-5-((((-5*(-5/((-5/(((-5*(-43.02--5))-(-5+((-5*-43.02)*(((-5--5)+(-43.02--5))+-43.02))))-(-5+-5)))*-5)))/-5)--5)+(-5*(((-43.02*(-43.02-(-5/-5)))*(-43.02-(-43.02/(-5*-43.02))))-(-5/-5)))))</f>
        <v>-401937.45884</v>
      </c>
      <c r="C5699" t="n" s="0">
        <v>-401937.45884000004</v>
      </c>
    </row>
    <row r="5700">
      <c r="A5700" t="n" s="0">
        <v>-43.01</v>
      </c>
      <c r="B5700" t="n" s="0">
        <f>(-5-((((-5*(-5/((-5/(((-5*(-43.01--5))-(-5+((-5*-43.01)*(((-5--5)+(-43.01--5))+-43.01))))-(-5+-5)))*-5)))/-5)--5)+(-5*(((-43.01*(-43.01-(-5/-5)))*(-43.01-(-43.01/(-5*-43.01))))-(-5/-5)))))</f>
        <v>-401658.164705</v>
      </c>
      <c r="C5700" t="n" s="0">
        <v>-401658.164705</v>
      </c>
    </row>
    <row r="5701">
      <c r="A5701" t="n" s="0">
        <v>-43.0</v>
      </c>
      <c r="B5701" t="n" s="0">
        <f>(-5-((((-5*(-5/((-5/(((-5*(-43--5))-(-5+((-5*-43)*(((-5--5)+(-43--5))+-43))))-(-5+-5)))*-5)))/-5)--5)+(-5*(((-43*(-43-(-5/-5)))*(-43-(-43/(-5*-43))))-(-5/-5)))))</f>
        <v>-401379.0</v>
      </c>
      <c r="C5701" t="n" s="0">
        <v>-401379.0</v>
      </c>
    </row>
    <row r="5702">
      <c r="A5702" t="n" s="0">
        <v>-42.99</v>
      </c>
      <c r="B5702" t="n" s="0">
        <f>(-5-((((-5*(-5/((-5/(((-5*(-42.99--5))-(-5+((-5*-42.99)*(((-5--5)+(-42.99--5))+-42.99))))-(-5+-5)))*-5)))/-5)--5)+(-5*(((-42.99*(-42.99-(-5/-5)))*(-42.99-(-42.99/(-5*-42.99))))-(-5/-5)))))</f>
        <v>-401099.964695</v>
      </c>
      <c r="C5702" t="n" s="0">
        <v>-401099.964695</v>
      </c>
    </row>
    <row r="5703">
      <c r="A5703" t="n" s="0">
        <v>-42.98</v>
      </c>
      <c r="B5703" t="n" s="0">
        <f>(-5-((((-5*(-5/((-5/(((-5*(-42.98--5))-(-5+((-5*-42.98)*(((-5--5)+(-42.98--5))+-42.98))))-(-5+-5)))*-5)))/-5)--5)+(-5*(((-42.98*(-42.98-(-5/-5)))*(-42.98-(-42.98/(-5*-42.98))))-(-5/-5)))))</f>
        <v>-400821.05876</v>
      </c>
      <c r="C5703" t="n" s="0">
        <v>-400821.0587599999</v>
      </c>
    </row>
    <row r="5704">
      <c r="A5704" t="n" s="0">
        <v>-42.97</v>
      </c>
      <c r="B5704" t="n" s="0">
        <f>(-5-((((-5*(-5/((-5/(((-5*(-42.97--5))-(-5+((-5*-42.97)*(((-5--5)+(-42.97--5))+-42.97))))-(-5+-5)))*-5)))/-5)--5)+(-5*(((-42.97*(-42.97-(-5/-5)))*(-42.97-(-42.97/(-5*-42.97))))-(-5/-5)))))</f>
        <v>-400542.282165</v>
      </c>
      <c r="C5704" t="n" s="0">
        <v>-400542.2821649999</v>
      </c>
    </row>
    <row r="5705">
      <c r="A5705" t="n" s="0">
        <v>-42.96</v>
      </c>
      <c r="B5705" t="n" s="0">
        <f>(-5-((((-5*(-5/((-5/(((-5*(-42.96--5))-(-5+((-5*-42.96)*(((-5--5)+(-42.96--5))+-42.96))))-(-5+-5)))*-5)))/-5)--5)+(-5*(((-42.96*(-42.96-(-5/-5)))*(-42.96-(-42.96/(-5*-42.96))))-(-5/-5)))))</f>
        <v>-400263.63487999997</v>
      </c>
      <c r="C5705" t="n" s="0">
        <v>-400263.63487999997</v>
      </c>
    </row>
    <row r="5706">
      <c r="A5706" t="n" s="0">
        <v>-42.95</v>
      </c>
      <c r="B5706" t="n" s="0">
        <f>(-5-((((-5*(-5/((-5/(((-5*(-42.95--5))-(-5+((-5*-42.95)*(((-5--5)+(-42.95--5))+-42.95))))-(-5+-5)))*-5)))/-5)--5)+(-5*(((-42.95*(-42.95-(-5/-5)))*(-42.95-(-42.95/(-5*-42.95))))-(-5/-5)))))</f>
        <v>-399985.116875</v>
      </c>
      <c r="C5706" t="n" s="0">
        <v>-399985.11687500007</v>
      </c>
    </row>
    <row r="5707">
      <c r="A5707" t="n" s="0">
        <v>-42.94</v>
      </c>
      <c r="B5707" t="n" s="0">
        <f>(-5-((((-5*(-5/((-5/(((-5*(-42.94--5))-(-5+((-5*-42.94)*(((-5--5)+(-42.94--5))+-42.94))))-(-5+-5)))*-5)))/-5)--5)+(-5*(((-42.94*(-42.94-(-5/-5)))*(-42.94-(-42.94/(-5*-42.94))))-(-5/-5)))))</f>
        <v>-399706.72812000004</v>
      </c>
      <c r="C5707" t="n" s="0">
        <v>-399706.7281199999</v>
      </c>
    </row>
    <row r="5708">
      <c r="A5708" t="n" s="0">
        <v>-42.93</v>
      </c>
      <c r="B5708" t="n" s="0">
        <f>(-5-((((-5*(-5/((-5/(((-5*(-42.93--5))-(-5+((-5*-42.93)*(((-5--5)+(-42.93--5))+-42.93))))-(-5+-5)))*-5)))/-5)--5)+(-5*(((-42.93*(-42.93-(-5/-5)))*(-42.93-(-42.93/(-5*-42.93))))-(-5/-5)))))</f>
        <v>-399428.468585</v>
      </c>
      <c r="C5708" t="n" s="0">
        <v>-399428.468585</v>
      </c>
    </row>
    <row r="5709">
      <c r="A5709" t="n" s="0">
        <v>-42.92</v>
      </c>
      <c r="B5709" t="n" s="0">
        <f>(-5-((((-5*(-5/((-5/(((-5*(-42.92--5))-(-5+((-5*-42.92)*(((-5--5)+(-42.92--5))+-42.92))))-(-5+-5)))*-5)))/-5)--5)+(-5*(((-42.92*(-42.92-(-5/-5)))*(-42.92-(-42.92/(-5*-42.92))))-(-5/-5)))))</f>
        <v>-399150.33823999995</v>
      </c>
      <c r="C5709" t="n" s="0">
        <v>-399150.33824000007</v>
      </c>
    </row>
    <row r="5710">
      <c r="A5710" t="n" s="0">
        <v>-42.91</v>
      </c>
      <c r="B5710" t="n" s="0">
        <f>(-5-((((-5*(-5/((-5/(((-5*(-42.91--5))-(-5+((-5*-42.91)*(((-5--5)+(-42.91--5))+-42.91))))-(-5+-5)))*-5)))/-5)--5)+(-5*(((-42.91*(-42.91-(-5/-5)))*(-42.91-(-42.91/(-5*-42.91))))-(-5/-5)))))</f>
        <v>-398872.337055</v>
      </c>
      <c r="C5710" t="n" s="0">
        <v>-398872.33705499984</v>
      </c>
    </row>
    <row r="5711">
      <c r="A5711" t="n" s="0">
        <v>-42.9</v>
      </c>
      <c r="B5711" t="n" s="0">
        <f>(-5-((((-5*(-5/((-5/(((-5*(-42.9--5))-(-5+((-5*-42.9)*(((-5--5)+(-42.9--5))+-42.9))))-(-5+-5)))*-5)))/-5)--5)+(-5*(((-42.9*(-42.9-(-5/-5)))*(-42.9-(-42.9/(-5*-42.9))))-(-5/-5)))))</f>
        <v>-398594.465</v>
      </c>
      <c r="C5711" t="n" s="0">
        <v>-398594.46499999997</v>
      </c>
    </row>
    <row r="5712">
      <c r="A5712" t="n" s="0">
        <v>-42.89</v>
      </c>
      <c r="B5712" t="n" s="0">
        <f>(-5-((((-5*(-5/((-5/(((-5*(-42.89--5))-(-5+((-5*-42.89)*(((-5--5)+(-42.89--5))+-42.89))))-(-5+-5)))*-5)))/-5)--5)+(-5*(((-42.89*(-42.89-(-5/-5)))*(-42.89-(-42.89/(-5*-42.89))))-(-5/-5)))))</f>
        <v>-398316.722045</v>
      </c>
      <c r="C5712" t="n" s="0">
        <v>-398316.722045</v>
      </c>
    </row>
    <row r="5713">
      <c r="A5713" t="n" s="0">
        <v>-42.88</v>
      </c>
      <c r="B5713" t="n" s="0">
        <f>(-5-((((-5*(-5/((-5/(((-5*(-42.88--5))-(-5+((-5*-42.88)*(((-5--5)+(-42.88--5))+-42.88))))-(-5+-5)))*-5)))/-5)--5)+(-5*(((-42.88*(-42.88-(-5/-5)))*(-42.88-(-42.88/(-5*-42.88))))-(-5/-5)))))</f>
        <v>-398039.10816</v>
      </c>
      <c r="C5713" t="n" s="0">
        <v>-398039.1081600001</v>
      </c>
    </row>
    <row r="5714">
      <c r="A5714" t="n" s="0">
        <v>-42.87</v>
      </c>
      <c r="B5714" t="n" s="0">
        <f>(-5-((((-5*(-5/((-5/(((-5*(-42.87--5))-(-5+((-5*-42.87)*(((-5--5)+(-42.87--5))+-42.87))))-(-5+-5)))*-5)))/-5)--5)+(-5*(((-42.87*(-42.87-(-5/-5)))*(-42.87-(-42.87/(-5*-42.87))))-(-5/-5)))))</f>
        <v>-397761.623315</v>
      </c>
      <c r="C5714" t="n" s="0">
        <v>-397761.6233149999</v>
      </c>
    </row>
    <row r="5715">
      <c r="A5715" t="n" s="0">
        <v>-42.86</v>
      </c>
      <c r="B5715" t="n" s="0">
        <f>(-5-((((-5*(-5/((-5/(((-5*(-42.86--5))-(-5+((-5*-42.86)*(((-5--5)+(-42.86--5))+-42.86))))-(-5+-5)))*-5)))/-5)--5)+(-5*(((-42.86*(-42.86-(-5/-5)))*(-42.86-(-42.86/(-5*-42.86))))-(-5/-5)))))</f>
        <v>-397484.26748000004</v>
      </c>
      <c r="C5715" t="n" s="0">
        <v>-397484.26748</v>
      </c>
    </row>
    <row r="5716">
      <c r="A5716" t="n" s="0">
        <v>-42.85</v>
      </c>
      <c r="B5716" t="n" s="0">
        <f>(-5-((((-5*(-5/((-5/(((-5*(-42.85--5))-(-5+((-5*-42.85)*(((-5--5)+(-42.85--5))+-42.85))))-(-5+-5)))*-5)))/-5)--5)+(-5*(((-42.85*(-42.85-(-5/-5)))*(-42.85-(-42.85/(-5*-42.85))))-(-5/-5)))))</f>
        <v>-397207.040625</v>
      </c>
      <c r="C5716" t="n" s="0">
        <v>-397207.040625</v>
      </c>
    </row>
    <row r="5717">
      <c r="A5717" t="n" s="0">
        <v>-42.84</v>
      </c>
      <c r="B5717" t="n" s="0">
        <f>(-5-((((-5*(-5/((-5/(((-5*(-42.84--5))-(-5+((-5*-42.84)*(((-5--5)+(-42.84--5))+-42.84))))-(-5+-5)))*-5)))/-5)--5)+(-5*(((-42.84*(-42.84-(-5/-5)))*(-42.84-(-42.84/(-5*-42.84))))-(-5/-5)))))</f>
        <v>-396929.94272</v>
      </c>
      <c r="C5717" t="n" s="0">
        <v>-396929.94272000017</v>
      </c>
    </row>
    <row r="5718">
      <c r="A5718" t="n" s="0">
        <v>-42.83</v>
      </c>
      <c r="B5718" t="n" s="0">
        <f>(-5-((((-5*(-5/((-5/(((-5*(-42.83--5))-(-5+((-5*-42.83)*(((-5--5)+(-42.83--5))+-42.83))))-(-5+-5)))*-5)))/-5)--5)+(-5*(((-42.83*(-42.83-(-5/-5)))*(-42.83-(-42.83/(-5*-42.83))))-(-5/-5)))))</f>
        <v>-396652.973735</v>
      </c>
      <c r="C5718" t="n" s="0">
        <v>-396652.97373499995</v>
      </c>
    </row>
    <row r="5719">
      <c r="A5719" t="n" s="0">
        <v>-42.82</v>
      </c>
      <c r="B5719" t="n" s="0">
        <f>(-5-((((-5*(-5/((-5/(((-5*(-42.82--5))-(-5+((-5*-42.82)*(((-5--5)+(-42.82--5))+-42.82))))-(-5+-5)))*-5)))/-5)--5)+(-5*(((-42.82*(-42.82-(-5/-5)))*(-42.82-(-42.82/(-5*-42.82))))-(-5/-5)))))</f>
        <v>-396376.13364</v>
      </c>
      <c r="C5719" t="n" s="0">
        <v>-396376.13364</v>
      </c>
    </row>
    <row r="5720">
      <c r="A5720" t="n" s="0">
        <v>-42.81</v>
      </c>
      <c r="B5720" t="n" s="0">
        <f>(-5-((((-5*(-5/((-5/(((-5*(-42.81--5))-(-5+((-5*-42.81)*(((-5--5)+(-42.81--5))+-42.81))))-(-5+-5)))*-5)))/-5)--5)+(-5*(((-42.81*(-42.81-(-5/-5)))*(-42.81-(-42.81/(-5*-42.81))))-(-5/-5)))))</f>
        <v>-396099.42240499996</v>
      </c>
      <c r="C5720" t="n" s="0">
        <v>-396099.422405</v>
      </c>
    </row>
    <row r="5721">
      <c r="A5721" t="n" s="0">
        <v>-42.8</v>
      </c>
      <c r="B5721" t="n" s="0">
        <f>(-5-((((-5*(-5/((-5/(((-5*(-42.8--5))-(-5+((-5*-42.8)*(((-5--5)+(-42.8--5))+-42.8))))-(-5+-5)))*-5)))/-5)--5)+(-5*(((-42.8*(-42.8-(-5/-5)))*(-42.8-(-42.8/(-5*-42.8))))-(-5/-5)))))</f>
        <v>-395822.84</v>
      </c>
      <c r="C5721" t="n" s="0">
        <v>-395822.8399999999</v>
      </c>
    </row>
    <row r="5722">
      <c r="A5722" t="n" s="0">
        <v>-42.79</v>
      </c>
      <c r="B5722" t="n" s="0">
        <f>(-5-((((-5*(-5/((-5/(((-5*(-42.79--5))-(-5+((-5*-42.79)*(((-5--5)+(-42.79--5))+-42.79))))-(-5+-5)))*-5)))/-5)--5)+(-5*(((-42.79*(-42.79-(-5/-5)))*(-42.79-(-42.79/(-5*-42.79))))-(-5/-5)))))</f>
        <v>-395546.386395</v>
      </c>
      <c r="C5722" t="n" s="0">
        <v>-395546.386395</v>
      </c>
    </row>
    <row r="5723">
      <c r="A5723" t="n" s="0">
        <v>-42.78</v>
      </c>
      <c r="B5723" t="n" s="0">
        <f>(-5-((((-5*(-5/((-5/(((-5*(-42.78--5))-(-5+((-5*-42.78)*(((-5--5)+(-42.78--5))+-42.78))))-(-5+-5)))*-5)))/-5)--5)+(-5*(((-42.78*(-42.78-(-5/-5)))*(-42.78-(-42.78/(-5*-42.78))))-(-5/-5)))))</f>
        <v>-395270.06156</v>
      </c>
      <c r="C5723" t="n" s="0">
        <v>-395270.06156000006</v>
      </c>
    </row>
    <row r="5724">
      <c r="A5724" t="n" s="0">
        <v>-42.77</v>
      </c>
      <c r="B5724" t="n" s="0">
        <f>(-5-((((-5*(-5/((-5/(((-5*(-42.77--5))-(-5+((-5*-42.77)*(((-5--5)+(-42.77--5))+-42.77))))-(-5+-5)))*-5)))/-5)--5)+(-5*(((-42.77*(-42.77-(-5/-5)))*(-42.77-(-42.77/(-5*-42.77))))-(-5/-5)))))</f>
        <v>-394993.865465</v>
      </c>
      <c r="C5724" t="n" s="0">
        <v>-394993.86546500016</v>
      </c>
    </row>
    <row r="5725">
      <c r="A5725" t="n" s="0">
        <v>-42.76</v>
      </c>
      <c r="B5725" t="n" s="0">
        <f>(-5-((((-5*(-5/((-5/(((-5*(-42.76--5))-(-5+((-5*-42.76)*(((-5--5)+(-42.76--5))+-42.76))))-(-5+-5)))*-5)))/-5)--5)+(-5*(((-42.76*(-42.76-(-5/-5)))*(-42.76-(-42.76/(-5*-42.76))))-(-5/-5)))))</f>
        <v>-394717.79808</v>
      </c>
      <c r="C5725" t="n" s="0">
        <v>-394717.79808</v>
      </c>
    </row>
    <row r="5726">
      <c r="A5726" t="n" s="0">
        <v>-42.75</v>
      </c>
      <c r="B5726" t="n" s="0">
        <f>(-5-((((-5*(-5/((-5/(((-5*(-42.75--5))-(-5+((-5*-42.75)*(((-5--5)+(-42.75--5))+-42.75))))-(-5+-5)))*-5)))/-5)--5)+(-5*(((-42.75*(-42.75-(-5/-5)))*(-42.75-(-42.75/(-5*-42.75))))-(-5/-5)))))</f>
        <v>-394441.859375</v>
      </c>
      <c r="C5726" t="n" s="0">
        <v>-394441.859375</v>
      </c>
    </row>
    <row r="5727">
      <c r="A5727" t="n" s="0">
        <v>-42.74</v>
      </c>
      <c r="B5727" t="n" s="0">
        <f>(-5-((((-5*(-5/((-5/(((-5*(-42.74--5))-(-5+((-5*-42.74)*(((-5--5)+(-42.74--5))+-42.74))))-(-5+-5)))*-5)))/-5)--5)+(-5*(((-42.74*(-42.74-(-5/-5)))*(-42.74-(-42.74/(-5*-42.74))))-(-5/-5)))))</f>
        <v>-394166.04932</v>
      </c>
      <c r="C5727" t="n" s="0">
        <v>-394166.04932</v>
      </c>
    </row>
    <row r="5728">
      <c r="A5728" t="n" s="0">
        <v>-42.73</v>
      </c>
      <c r="B5728" t="n" s="0">
        <f>(-5-((((-5*(-5/((-5/(((-5*(-42.73--5))-(-5+((-5*-42.73)*(((-5--5)+(-42.73--5))+-42.73))))-(-5+-5)))*-5)))/-5)--5)+(-5*(((-42.73*(-42.73-(-5/-5)))*(-42.73-(-42.73/(-5*-42.73))))-(-5/-5)))))</f>
        <v>-393890.367885</v>
      </c>
      <c r="C5728" t="n" s="0">
        <v>-393890.3678849999</v>
      </c>
    </row>
    <row r="5729">
      <c r="A5729" t="n" s="0">
        <v>-42.72</v>
      </c>
      <c r="B5729" t="n" s="0">
        <f>(-5-((((-5*(-5/((-5/(((-5*(-42.72--5))-(-5+((-5*-42.72)*(((-5--5)+(-42.72--5))+-42.72))))-(-5+-5)))*-5)))/-5)--5)+(-5*(((-42.72*(-42.72-(-5/-5)))*(-42.72-(-42.72/(-5*-42.72))))-(-5/-5)))))</f>
        <v>-393614.81503999996</v>
      </c>
      <c r="C5729" t="n" s="0">
        <v>-393614.81504</v>
      </c>
    </row>
    <row r="5730">
      <c r="A5730" t="n" s="0">
        <v>-42.71</v>
      </c>
      <c r="B5730" t="n" s="0">
        <f>(-5-((((-5*(-5/((-5/(((-5*(-42.71--5))-(-5+((-5*-42.71)*(((-5--5)+(-42.71--5))+-42.71))))-(-5+-5)))*-5)))/-5)--5)+(-5*(((-42.71*(-42.71-(-5/-5)))*(-42.71-(-42.71/(-5*-42.71))))-(-5/-5)))))</f>
        <v>-393339.390755</v>
      </c>
      <c r="C5730" t="n" s="0">
        <v>-393339.39075500006</v>
      </c>
    </row>
    <row r="5731">
      <c r="A5731" t="n" s="0">
        <v>-42.7</v>
      </c>
      <c r="B5731" t="n" s="0">
        <f>(-5-((((-5*(-5/((-5/(((-5*(-42.7--5))-(-5+((-5*-42.7)*(((-5--5)+(-42.7--5))+-42.7))))-(-5+-5)))*-5)))/-5)--5)+(-5*(((-42.7*(-42.7-(-5/-5)))*(-42.7-(-42.7/(-5*-42.7))))-(-5/-5)))))</f>
        <v>-393064.095</v>
      </c>
      <c r="C5731" t="n" s="0">
        <v>-393064.0950000001</v>
      </c>
    </row>
    <row r="5732">
      <c r="A5732" t="n" s="0">
        <v>-42.69</v>
      </c>
      <c r="B5732" t="n" s="0">
        <f>(-5-((((-5*(-5/((-5/(((-5*(-42.69--5))-(-5+((-5*-42.69)*(((-5--5)+(-42.69--5))+-42.69))))-(-5+-5)))*-5)))/-5)--5)+(-5*(((-42.69*(-42.69-(-5/-5)))*(-42.69-(-42.69/(-5*-42.69))))-(-5/-5)))))</f>
        <v>-392788.92774500005</v>
      </c>
      <c r="C5732" t="n" s="0">
        <v>-392788.92774499994</v>
      </c>
    </row>
    <row r="5733">
      <c r="A5733" t="n" s="0">
        <v>-42.68</v>
      </c>
      <c r="B5733" t="n" s="0">
        <f>(-5-((((-5*(-5/((-5/(((-5*(-42.68--5))-(-5+((-5*-42.68)*(((-5--5)+(-42.68--5))+-42.68))))-(-5+-5)))*-5)))/-5)--5)+(-5*(((-42.68*(-42.68-(-5/-5)))*(-42.68-(-42.68/(-5*-42.68))))-(-5/-5)))))</f>
        <v>-392513.88896</v>
      </c>
      <c r="C5733" t="n" s="0">
        <v>-392513.88896</v>
      </c>
    </row>
    <row r="5734">
      <c r="A5734" t="n" s="0">
        <v>-42.67</v>
      </c>
      <c r="B5734" t="n" s="0">
        <f>(-5-((((-5*(-5/((-5/(((-5*(-42.67--5))-(-5+((-5*-42.67)*(((-5--5)+(-42.67--5))+-42.67))))-(-5+-5)))*-5)))/-5)--5)+(-5*(((-42.67*(-42.67-(-5/-5)))*(-42.67-(-42.67/(-5*-42.67))))-(-5/-5)))))</f>
        <v>-392238.978615</v>
      </c>
      <c r="C5734" t="n" s="0">
        <v>-392238.978615</v>
      </c>
    </row>
    <row r="5735">
      <c r="A5735" t="n" s="0">
        <v>-42.66</v>
      </c>
      <c r="B5735" t="n" s="0">
        <f>(-5-((((-5*(-5/((-5/(((-5*(-42.66--5))-(-5+((-5*-42.66)*(((-5--5)+(-42.66--5))+-42.66))))-(-5+-5)))*-5)))/-5)--5)+(-5*(((-42.66*(-42.66-(-5/-5)))*(-42.66-(-42.66/(-5*-42.66))))-(-5/-5)))))</f>
        <v>-391964.19667999994</v>
      </c>
      <c r="C5735" t="n" s="0">
        <v>-391964.1966799999</v>
      </c>
    </row>
    <row r="5736">
      <c r="A5736" t="n" s="0">
        <v>-42.65</v>
      </c>
      <c r="B5736" t="n" s="0">
        <f>(-5-((((-5*(-5/((-5/(((-5*(-42.65--5))-(-5+((-5*-42.65)*(((-5--5)+(-42.65--5))+-42.65))))-(-5+-5)))*-5)))/-5)--5)+(-5*(((-42.65*(-42.65-(-5/-5)))*(-42.65-(-42.65/(-5*-42.65))))-(-5/-5)))))</f>
        <v>-391689.54312499997</v>
      </c>
      <c r="C5736" t="n" s="0">
        <v>-391689.54312499997</v>
      </c>
    </row>
    <row r="5737">
      <c r="A5737" t="n" s="0">
        <v>-42.64</v>
      </c>
      <c r="B5737" t="n" s="0">
        <f>(-5-((((-5*(-5/((-5/(((-5*(-42.64--5))-(-5+((-5*-42.64)*(((-5--5)+(-42.64--5))+-42.64))))-(-5+-5)))*-5)))/-5)--5)+(-5*(((-42.64*(-42.64-(-5/-5)))*(-42.64-(-42.64/(-5*-42.64))))-(-5/-5)))))</f>
        <v>-391415.01791999995</v>
      </c>
      <c r="C5737" t="n" s="0">
        <v>-391415.01792</v>
      </c>
    </row>
    <row r="5738">
      <c r="A5738" t="n" s="0">
        <v>-42.63</v>
      </c>
      <c r="B5738" t="n" s="0">
        <f>(-5-((((-5*(-5/((-5/(((-5*(-42.63--5))-(-5+((-5*-42.63)*(((-5--5)+(-42.63--5))+-42.63))))-(-5+-5)))*-5)))/-5)--5)+(-5*(((-42.63*(-42.63-(-5/-5)))*(-42.63-(-42.63/(-5*-42.63))))-(-5/-5)))))</f>
        <v>-391140.621035</v>
      </c>
      <c r="C5738" t="n" s="0">
        <v>-391140.6210350001</v>
      </c>
    </row>
    <row r="5739">
      <c r="A5739" t="n" s="0">
        <v>-42.62</v>
      </c>
      <c r="B5739" t="n" s="0">
        <f>(-5-((((-5*(-5/((-5/(((-5*(-42.62--5))-(-5+((-5*-42.62)*(((-5--5)+(-42.62--5))+-42.62))))-(-5+-5)))*-5)))/-5)--5)+(-5*(((-42.62*(-42.62-(-5/-5)))*(-42.62-(-42.62/(-5*-42.62))))-(-5/-5)))))</f>
        <v>-390866.35244</v>
      </c>
      <c r="C5739" t="n" s="0">
        <v>-390866.35243999993</v>
      </c>
    </row>
    <row r="5740">
      <c r="A5740" t="n" s="0">
        <v>-42.61</v>
      </c>
      <c r="B5740" t="n" s="0">
        <f>(-5-((((-5*(-5/((-5/(((-5*(-42.61--5))-(-5+((-5*-42.61)*(((-5--5)+(-42.61--5))+-42.61))))-(-5+-5)))*-5)))/-5)--5)+(-5*(((-42.61*(-42.61-(-5/-5)))*(-42.61-(-42.61/(-5*-42.61))))-(-5/-5)))))</f>
        <v>-390592.212105</v>
      </c>
      <c r="C5740" t="n" s="0">
        <v>-390592.21210500004</v>
      </c>
    </row>
    <row r="5741">
      <c r="A5741" t="n" s="0">
        <v>-42.6</v>
      </c>
      <c r="B5741" t="n" s="0">
        <f>(-5-((((-5*(-5/((-5/(((-5*(-42.6--5))-(-5+((-5*-42.6)*(((-5--5)+(-42.6--5))+-42.6))))-(-5+-5)))*-5)))/-5)--5)+(-5*(((-42.6*(-42.6-(-5/-5)))*(-42.6-(-42.6/(-5*-42.6))))-(-5/-5)))))</f>
        <v>-390318.2</v>
      </c>
      <c r="C5741" t="n" s="0">
        <v>-390318.20000000007</v>
      </c>
    </row>
    <row r="5742">
      <c r="A5742" t="n" s="0">
        <v>-42.59</v>
      </c>
      <c r="B5742" t="n" s="0">
        <f>(-5-((((-5*(-5/((-5/(((-5*(-42.59--5))-(-5+((-5*-42.59)*(((-5--5)+(-42.59--5))+-42.59))))-(-5+-5)))*-5)))/-5)--5)+(-5*(((-42.59*(-42.59-(-5/-5)))*(-42.59-(-42.59/(-5*-42.59))))-(-5/-5)))))</f>
        <v>-390044.31609499996</v>
      </c>
      <c r="C5742" t="n" s="0">
        <v>-390044.31609500013</v>
      </c>
    </row>
    <row r="5743">
      <c r="A5743" t="n" s="0">
        <v>-42.58</v>
      </c>
      <c r="B5743" t="n" s="0">
        <f>(-5-((((-5*(-5/((-5/(((-5*(-42.58--5))-(-5+((-5*-42.58)*(((-5--5)+(-42.58--5))+-42.58))))-(-5+-5)))*-5)))/-5)--5)+(-5*(((-42.58*(-42.58-(-5/-5)))*(-42.58-(-42.58/(-5*-42.58))))-(-5/-5)))))</f>
        <v>-389770.56036</v>
      </c>
      <c r="C5743" t="n" s="0">
        <v>-389770.56035999994</v>
      </c>
    </row>
    <row r="5744">
      <c r="A5744" t="n" s="0">
        <v>-42.57</v>
      </c>
      <c r="B5744" t="n" s="0">
        <f>(-5-((((-5*(-5/((-5/(((-5*(-42.57--5))-(-5+((-5*-42.57)*(((-5--5)+(-42.57--5))+-42.57))))-(-5+-5)))*-5)))/-5)--5)+(-5*(((-42.57*(-42.57-(-5/-5)))*(-42.57-(-42.57/(-5*-42.57))))-(-5/-5)))))</f>
        <v>-389496.932765</v>
      </c>
      <c r="C5744" t="n" s="0">
        <v>-389496.93276500003</v>
      </c>
    </row>
    <row r="5745">
      <c r="A5745" t="n" s="0">
        <v>-42.56</v>
      </c>
      <c r="B5745" t="n" s="0">
        <f>(-5-((((-5*(-5/((-5/(((-5*(-42.56--5))-(-5+((-5*-42.56)*(((-5--5)+(-42.56--5))+-42.56))))-(-5+-5)))*-5)))/-5)--5)+(-5*(((-42.56*(-42.56-(-5/-5)))*(-42.56-(-42.56/(-5*-42.56))))-(-5/-5)))))</f>
        <v>-389223.43328000006</v>
      </c>
      <c r="C5745" t="n" s="0">
        <v>-389223.4332800001</v>
      </c>
    </row>
    <row r="5746">
      <c r="A5746" t="n" s="0">
        <v>-42.55</v>
      </c>
      <c r="B5746" t="n" s="0">
        <f>(-5-((((-5*(-5/((-5/(((-5*(-42.55--5))-(-5+((-5*-42.55)*(((-5--5)+(-42.55--5))+-42.55))))-(-5+-5)))*-5)))/-5)--5)+(-5*(((-42.55*(-42.55-(-5/-5)))*(-42.55-(-42.55/(-5*-42.55))))-(-5/-5)))))</f>
        <v>-388950.061875</v>
      </c>
      <c r="C5746" t="n" s="0">
        <v>-388950.06187499996</v>
      </c>
    </row>
    <row r="5747">
      <c r="A5747" t="n" s="0">
        <v>-42.54</v>
      </c>
      <c r="B5747" t="n" s="0">
        <f>(-5-((((-5*(-5/((-5/(((-5*(-42.54--5))-(-5+((-5*-42.54)*(((-5--5)+(-42.54--5))+-42.54))))-(-5+-5)))*-5)))/-5)--5)+(-5*(((-42.54*(-42.54-(-5/-5)))*(-42.54-(-42.54/(-5*-42.54))))-(-5/-5)))))</f>
        <v>-388676.81852000003</v>
      </c>
      <c r="C5747" t="n" s="0">
        <v>-388676.81852</v>
      </c>
    </row>
    <row r="5748">
      <c r="A5748" t="n" s="0">
        <v>-42.53</v>
      </c>
      <c r="B5748" t="n" s="0">
        <f>(-5-((((-5*(-5/((-5/(((-5*(-42.53--5))-(-5+((-5*-42.53)*(((-5--5)+(-42.53--5))+-42.53))))-(-5+-5)))*-5)))/-5)--5)+(-5*(((-42.53*(-42.53-(-5/-5)))*(-42.53-(-42.53/(-5*-42.53))))-(-5/-5)))))</f>
        <v>-388403.703185</v>
      </c>
      <c r="C5748" t="n" s="0">
        <v>-388403.7031850001</v>
      </c>
    </row>
    <row r="5749">
      <c r="A5749" t="n" s="0">
        <v>-42.52</v>
      </c>
      <c r="B5749" t="n" s="0">
        <f>(-5-((((-5*(-5/((-5/(((-5*(-42.52--5))-(-5+((-5*-42.52)*(((-5--5)+(-42.52--5))+-42.52))))-(-5+-5)))*-5)))/-5)--5)+(-5*(((-42.52*(-42.52-(-5/-5)))*(-42.52-(-42.52/(-5*-42.52))))-(-5/-5)))))</f>
        <v>-388130.71583999996</v>
      </c>
      <c r="C5749" t="n" s="0">
        <v>-388130.71584000014</v>
      </c>
    </row>
    <row r="5750">
      <c r="A5750" t="n" s="0">
        <v>-42.51</v>
      </c>
      <c r="B5750" t="n" s="0">
        <f>(-5-((((-5*(-5/((-5/(((-5*(-42.51--5))-(-5+((-5*-42.51)*(((-5--5)+(-42.51--5))+-42.51))))-(-5+-5)))*-5)))/-5)--5)+(-5*(((-42.51*(-42.51-(-5/-5)))*(-42.51-(-42.51/(-5*-42.51))))-(-5/-5)))))</f>
        <v>-387857.85645499994</v>
      </c>
      <c r="C5750" t="n" s="0">
        <v>-387857.856455</v>
      </c>
    </row>
    <row r="5751">
      <c r="A5751" t="n" s="0">
        <v>-42.5</v>
      </c>
      <c r="B5751" t="n" s="0">
        <f>(-5-((((-5*(-5/((-5/(((-5*(-42.5--5))-(-5+((-5*-42.5)*(((-5--5)+(-42.5--5))+-42.5))))-(-5+-5)))*-5)))/-5)--5)+(-5*(((-42.5*(-42.5-(-5/-5)))*(-42.5-(-42.5/(-5*-42.5))))-(-5/-5)))))</f>
        <v>-387585.125</v>
      </c>
      <c r="C5751" t="n" s="0">
        <v>-387585.125</v>
      </c>
    </row>
    <row r="5752">
      <c r="A5752" t="n" s="0">
        <v>-42.49</v>
      </c>
      <c r="B5752" t="n" s="0">
        <f>(-5-((((-5*(-5/((-5/(((-5*(-42.49--5))-(-5+((-5*-42.49)*(((-5--5)+(-42.49--5))+-42.49))))-(-5+-5)))*-5)))/-5)--5)+(-5*(((-42.49*(-42.49-(-5/-5)))*(-42.49-(-42.49/(-5*-42.49))))-(-5/-5)))))</f>
        <v>-387312.521445</v>
      </c>
      <c r="C5752" t="n" s="0">
        <v>-387312.521445</v>
      </c>
    </row>
    <row r="5753">
      <c r="A5753" t="n" s="0">
        <v>-42.48</v>
      </c>
      <c r="B5753" t="n" s="0">
        <f>(-5-((((-5*(-5/((-5/(((-5*(-42.48--5))-(-5+((-5*-42.48)*(((-5--5)+(-42.48--5))+-42.48))))-(-5+-5)))*-5)))/-5)--5)+(-5*(((-42.48*(-42.48-(-5/-5)))*(-42.48-(-42.48/(-5*-42.48))))-(-5/-5)))))</f>
        <v>-387040.04576</v>
      </c>
      <c r="C5753" t="n" s="0">
        <v>-387040.04575999995</v>
      </c>
    </row>
    <row r="5754">
      <c r="A5754" t="n" s="0">
        <v>-42.47</v>
      </c>
      <c r="B5754" t="n" s="0">
        <f>(-5-((((-5*(-5/((-5/(((-5*(-42.47--5))-(-5+((-5*-42.47)*(((-5--5)+(-42.47--5))+-42.47))))-(-5+-5)))*-5)))/-5)--5)+(-5*(((-42.47*(-42.47-(-5/-5)))*(-42.47-(-42.47/(-5*-42.47))))-(-5/-5)))))</f>
        <v>-386767.697915</v>
      </c>
      <c r="C5754" t="n" s="0">
        <v>-386767.6979149999</v>
      </c>
    </row>
    <row r="5755">
      <c r="A5755" t="n" s="0">
        <v>-42.46</v>
      </c>
      <c r="B5755" t="n" s="0">
        <f>(-5-((((-5*(-5/((-5/(((-5*(-42.46--5))-(-5+((-5*-42.46)*(((-5--5)+(-42.46--5))+-42.46))))-(-5+-5)))*-5)))/-5)--5)+(-5*(((-42.46*(-42.46-(-5/-5)))*(-42.46-(-42.46/(-5*-42.46))))-(-5/-5)))))</f>
        <v>-386495.47787999996</v>
      </c>
      <c r="C5755" t="n" s="0">
        <v>-386495.47788</v>
      </c>
    </row>
    <row r="5756">
      <c r="A5756" t="n" s="0">
        <v>-42.45</v>
      </c>
      <c r="B5756" t="n" s="0">
        <f>(-5-((((-5*(-5/((-5/(((-5*(-42.45--5))-(-5+((-5*-42.45)*(((-5--5)+(-42.45--5))+-42.45))))-(-5+-5)))*-5)))/-5)--5)+(-5*(((-42.45*(-42.45-(-5/-5)))*(-42.45-(-42.45/(-5*-42.45))))-(-5/-5)))))</f>
        <v>-386223.385625</v>
      </c>
      <c r="C5756" t="n" s="0">
        <v>-386223.38562500005</v>
      </c>
    </row>
    <row r="5757">
      <c r="A5757" t="n" s="0">
        <v>-42.44</v>
      </c>
      <c r="B5757" t="n" s="0">
        <f>(-5-((((-5*(-5/((-5/(((-5*(-42.44--5))-(-5+((-5*-42.44)*(((-5--5)+(-42.44--5))+-42.44))))-(-5+-5)))*-5)))/-5)--5)+(-5*(((-42.44*(-42.44-(-5/-5)))*(-42.44-(-42.44/(-5*-42.44))))-(-5/-5)))))</f>
        <v>-385951.42112</v>
      </c>
      <c r="C5757" t="n" s="0">
        <v>-385951.42111999996</v>
      </c>
    </row>
    <row r="5758">
      <c r="A5758" t="n" s="0">
        <v>-42.43</v>
      </c>
      <c r="B5758" t="n" s="0">
        <f>(-5-((((-5*(-5/((-5/(((-5*(-42.43--5))-(-5+((-5*-42.43)*(((-5--5)+(-42.43--5))+-42.43))))-(-5+-5)))*-5)))/-5)--5)+(-5*(((-42.43*(-42.43-(-5/-5)))*(-42.43-(-42.43/(-5*-42.43))))-(-5/-5)))))</f>
        <v>-385679.584335</v>
      </c>
      <c r="C5758" t="n" s="0">
        <v>-385679.58433499996</v>
      </c>
    </row>
    <row r="5759">
      <c r="A5759" t="n" s="0">
        <v>-42.42</v>
      </c>
      <c r="B5759" t="n" s="0">
        <f>(-5-((((-5*(-5/((-5/(((-5*(-42.42--5))-(-5+((-5*-42.42)*(((-5--5)+(-42.42--5))+-42.42))))-(-5+-5)))*-5)))/-5)--5)+(-5*(((-42.42*(-42.42-(-5/-5)))*(-42.42-(-42.42/(-5*-42.42))))-(-5/-5)))))</f>
        <v>-385407.87524</v>
      </c>
      <c r="C5759" t="n" s="0">
        <v>-385407.87524</v>
      </c>
    </row>
    <row r="5760">
      <c r="A5760" t="n" s="0">
        <v>-42.41</v>
      </c>
      <c r="B5760" t="n" s="0">
        <f>(-5-((((-5*(-5/((-5/(((-5*(-42.41--5))-(-5+((-5*-42.41)*(((-5--5)+(-42.41--5))+-42.41))))-(-5+-5)))*-5)))/-5)--5)+(-5*(((-42.41*(-42.41-(-5/-5)))*(-42.41-(-42.41/(-5*-42.41))))-(-5/-5)))))</f>
        <v>-385136.29380499996</v>
      </c>
      <c r="C5760" t="n" s="0">
        <v>-385136.2938049999</v>
      </c>
    </row>
    <row r="5761">
      <c r="A5761" t="n" s="0">
        <v>-42.4</v>
      </c>
      <c r="B5761" t="n" s="0">
        <f>(-5-((((-5*(-5/((-5/(((-5*(-42.4--5))-(-5+((-5*-42.4)*(((-5--5)+(-42.4--5))+-42.4))))-(-5+-5)))*-5)))/-5)--5)+(-5*(((-42.4*(-42.4-(-5/-5)))*(-42.4-(-42.4/(-5*-42.4))))-(-5/-5)))))</f>
        <v>-384864.84</v>
      </c>
      <c r="C5761" t="n" s="0">
        <v>-384864.83999999997</v>
      </c>
    </row>
    <row r="5762">
      <c r="A5762" t="n" s="0">
        <v>-42.39</v>
      </c>
      <c r="B5762" t="n" s="0">
        <f>(-5-((((-5*(-5/((-5/(((-5*(-42.39--5))-(-5+((-5*-42.39)*(((-5--5)+(-42.39--5))+-42.39))))-(-5+-5)))*-5)))/-5)--5)+(-5*(((-42.39*(-42.39-(-5/-5)))*(-42.39-(-42.39/(-5*-42.39))))-(-5/-5)))))</f>
        <v>-384593.51379500004</v>
      </c>
      <c r="C5762" t="n" s="0">
        <v>-384593.513795</v>
      </c>
    </row>
    <row r="5763">
      <c r="A5763" t="n" s="0">
        <v>-42.38</v>
      </c>
      <c r="B5763" t="n" s="0">
        <f>(-5-((((-5*(-5/((-5/(((-5*(-42.38--5))-(-5+((-5*-42.38)*(((-5--5)+(-42.38--5))+-42.38))))-(-5+-5)))*-5)))/-5)--5)+(-5*(((-42.38*(-42.38-(-5/-5)))*(-42.38-(-42.38/(-5*-42.38))))-(-5/-5)))))</f>
        <v>-384322.31516</v>
      </c>
      <c r="C5763" t="n" s="0">
        <v>-384322.31516000006</v>
      </c>
    </row>
    <row r="5764">
      <c r="A5764" t="n" s="0">
        <v>-42.37</v>
      </c>
      <c r="B5764" t="n" s="0">
        <f>(-5-((((-5*(-5/((-5/(((-5*(-42.37--5))-(-5+((-5*-42.37)*(((-5--5)+(-42.37--5))+-42.37))))-(-5+-5)))*-5)))/-5)--5)+(-5*(((-42.37*(-42.37-(-5/-5)))*(-42.37-(-42.37/(-5*-42.37))))-(-5/-5)))))</f>
        <v>-384051.244065</v>
      </c>
      <c r="C5764" t="n" s="0">
        <v>-384051.244065</v>
      </c>
    </row>
    <row r="5765">
      <c r="A5765" t="n" s="0">
        <v>-42.36</v>
      </c>
      <c r="B5765" t="n" s="0">
        <f>(-5-((((-5*(-5/((-5/(((-5*(-42.36--5))-(-5+((-5*-42.36)*(((-5--5)+(-42.36--5))+-42.36))))-(-5+-5)))*-5)))/-5)--5)+(-5*(((-42.36*(-42.36-(-5/-5)))*(-42.36-(-42.36/(-5*-42.36))))-(-5/-5)))))</f>
        <v>-383780.30048</v>
      </c>
      <c r="C5765" t="n" s="0">
        <v>-383780.30048000003</v>
      </c>
    </row>
    <row r="5766">
      <c r="A5766" t="n" s="0">
        <v>-42.35</v>
      </c>
      <c r="B5766" t="n" s="0">
        <f>(-5-((((-5*(-5/((-5/(((-5*(-42.35--5))-(-5+((-5*-42.35)*(((-5--5)+(-42.35--5))+-42.35))))-(-5+-5)))*-5)))/-5)--5)+(-5*(((-42.35*(-42.35-(-5/-5)))*(-42.35-(-42.35/(-5*-42.35))))-(-5/-5)))))</f>
        <v>-383509.484375</v>
      </c>
      <c r="C5766" t="n" s="0">
        <v>-383509.484375</v>
      </c>
    </row>
    <row r="5767">
      <c r="A5767" t="n" s="0">
        <v>-42.34</v>
      </c>
      <c r="B5767" t="n" s="0">
        <f>(-5-((((-5*(-5/((-5/(((-5*(-42.34--5))-(-5+((-5*-42.34)*(((-5--5)+(-42.34--5))+-42.34))))-(-5+-5)))*-5)))/-5)--5)+(-5*(((-42.34*(-42.34-(-5/-5)))*(-42.34-(-42.34/(-5*-42.34))))-(-5/-5)))))</f>
        <v>-383238.79572</v>
      </c>
      <c r="C5767" t="n" s="0">
        <v>-383238.7957200001</v>
      </c>
    </row>
    <row r="5768">
      <c r="A5768" t="n" s="0">
        <v>-42.33</v>
      </c>
      <c r="B5768" t="n" s="0">
        <f>(-5-((((-5*(-5/((-5/(((-5*(-42.33--5))-(-5+((-5*-42.33)*(((-5--5)+(-42.33--5))+-42.33))))-(-5+-5)))*-5)))/-5)--5)+(-5*(((-42.33*(-42.33-(-5/-5)))*(-42.33-(-42.33/(-5*-42.33))))-(-5/-5)))))</f>
        <v>-382968.234485</v>
      </c>
      <c r="C5768" t="n" s="0">
        <v>-382968.2344849999</v>
      </c>
    </row>
    <row r="5769">
      <c r="A5769" t="n" s="0">
        <v>-42.32</v>
      </c>
      <c r="B5769" t="n" s="0">
        <f>(-5-((((-5*(-5/((-5/(((-5*(-42.32--5))-(-5+((-5*-42.32)*(((-5--5)+(-42.32--5))+-42.32))))-(-5+-5)))*-5)))/-5)--5)+(-5*(((-42.32*(-42.32-(-5/-5)))*(-42.32-(-42.32/(-5*-42.32))))-(-5/-5)))))</f>
        <v>-382697.80064</v>
      </c>
      <c r="C5769" t="n" s="0">
        <v>-382697.80064000003</v>
      </c>
    </row>
    <row r="5770">
      <c r="A5770" t="n" s="0">
        <v>-42.31</v>
      </c>
      <c r="B5770" t="n" s="0">
        <f>(-5-((((-5*(-5/((-5/(((-5*(-42.31--5))-(-5+((-5*-42.31)*(((-5--5)+(-42.31--5))+-42.31))))-(-5+-5)))*-5)))/-5)--5)+(-5*(((-42.31*(-42.31-(-5/-5)))*(-42.31-(-42.31/(-5*-42.31))))-(-5/-5)))))</f>
        <v>-382427.494155</v>
      </c>
      <c r="C5770" t="n" s="0">
        <v>-382427.4941550001</v>
      </c>
    </row>
    <row r="5771">
      <c r="A5771" t="n" s="0">
        <v>-42.3</v>
      </c>
      <c r="B5771" t="n" s="0">
        <f>(-5-((((-5*(-5/((-5/(((-5*(-42.3--5))-(-5+((-5*-42.3)*(((-5--5)+(-42.3--5))+-42.3))))-(-5+-5)))*-5)))/-5)--5)+(-5*(((-42.3*(-42.3-(-5/-5)))*(-42.3-(-42.3/(-5*-42.3))))-(-5/-5)))))</f>
        <v>-382157.315</v>
      </c>
      <c r="C5771" t="n" s="0">
        <v>-382157.315</v>
      </c>
    </row>
    <row r="5772">
      <c r="A5772" t="n" s="0">
        <v>-42.29</v>
      </c>
      <c r="B5772" t="n" s="0">
        <f>(-5-((((-5*(-5/((-5/(((-5*(-42.29--5))-(-5+((-5*-42.29)*(((-5--5)+(-42.29--5))+-42.29))))-(-5+-5)))*-5)))/-5)--5)+(-5*(((-42.29*(-42.29-(-5/-5)))*(-42.29-(-42.29/(-5*-42.29))))-(-5/-5)))))</f>
        <v>-381887.26314500003</v>
      </c>
      <c r="C5772" t="n" s="0">
        <v>-381887.263145</v>
      </c>
    </row>
    <row r="5773">
      <c r="A5773" t="n" s="0">
        <v>-42.28</v>
      </c>
      <c r="B5773" t="n" s="0">
        <f>(-5-((((-5*(-5/((-5/(((-5*(-42.28--5))-(-5+((-5*-42.28)*(((-5--5)+(-42.28--5))+-42.28))))-(-5+-5)))*-5)))/-5)--5)+(-5*(((-42.28*(-42.28-(-5/-5)))*(-42.28-(-42.28/(-5*-42.28))))-(-5/-5)))))</f>
        <v>-381617.33856</v>
      </c>
      <c r="C5773" t="n" s="0">
        <v>-381617.33856000006</v>
      </c>
    </row>
    <row r="5774">
      <c r="A5774" t="n" s="0">
        <v>-42.27</v>
      </c>
      <c r="B5774" t="n" s="0">
        <f>(-5-((((-5*(-5/((-5/(((-5*(-42.27--5))-(-5+((-5*-42.27)*(((-5--5)+(-42.27--5))+-42.27))))-(-5+-5)))*-5)))/-5)--5)+(-5*(((-42.27*(-42.27-(-5/-5)))*(-42.27-(-42.27/(-5*-42.27))))-(-5/-5)))))</f>
        <v>-381347.541215</v>
      </c>
      <c r="C5774" t="n" s="0">
        <v>-381347.5412150001</v>
      </c>
    </row>
    <row r="5775">
      <c r="A5775" t="n" s="0">
        <v>-42.26</v>
      </c>
      <c r="B5775" t="n" s="0">
        <f>(-5-((((-5*(-5/((-5/(((-5*(-42.26--5))-(-5+((-5*-42.26)*(((-5--5)+(-42.26--5))+-42.26))))-(-5+-5)))*-5)))/-5)--5)+(-5*(((-42.26*(-42.26-(-5/-5)))*(-42.26-(-42.26/(-5*-42.26))))-(-5/-5)))))</f>
        <v>-381077.87108</v>
      </c>
      <c r="C5775" t="n" s="0">
        <v>-381077.87108</v>
      </c>
    </row>
    <row r="5776">
      <c r="A5776" t="n" s="0">
        <v>-42.25</v>
      </c>
      <c r="B5776" t="n" s="0">
        <f>(-5-((((-5*(-5/((-5/(((-5*(-42.25--5))-(-5+((-5*-42.25)*(((-5--5)+(-42.25--5))+-42.25))))-(-5+-5)))*-5)))/-5)--5)+(-5*(((-42.25*(-42.25-(-5/-5)))*(-42.25-(-42.25/(-5*-42.25))))-(-5/-5)))))</f>
        <v>-380808.328125</v>
      </c>
      <c r="C5776" t="n" s="0">
        <v>-380808.328125</v>
      </c>
    </row>
    <row r="5777">
      <c r="A5777" t="n" s="0">
        <v>-42.24</v>
      </c>
      <c r="B5777" t="n" s="0">
        <f>(-5-((((-5*(-5/((-5/(((-5*(-42.24--5))-(-5+((-5*-42.24)*(((-5--5)+(-42.24--5))+-42.24))))-(-5+-5)))*-5)))/-5)--5)+(-5*(((-42.24*(-42.24-(-5/-5)))*(-42.24-(-42.24/(-5*-42.24))))-(-5/-5)))))</f>
        <v>-380538.91232</v>
      </c>
      <c r="C5777" t="n" s="0">
        <v>-380538.91232</v>
      </c>
    </row>
    <row r="5778">
      <c r="A5778" t="n" s="0">
        <v>-42.23</v>
      </c>
      <c r="B5778" t="n" s="0">
        <f>(-5-((((-5*(-5/((-5/(((-5*(-42.23--5))-(-5+((-5*-42.23)*(((-5--5)+(-42.23--5))+-42.23))))-(-5+-5)))*-5)))/-5)--5)+(-5*(((-42.23*(-42.23-(-5/-5)))*(-42.23-(-42.23/(-5*-42.23))))-(-5/-5)))))</f>
        <v>-380269.623635</v>
      </c>
      <c r="C5778" t="n" s="0">
        <v>-380269.62363499985</v>
      </c>
    </row>
    <row r="5779">
      <c r="A5779" t="n" s="0">
        <v>-42.22</v>
      </c>
      <c r="B5779" t="n" s="0">
        <f>(-5-((((-5*(-5/((-5/(((-5*(-42.22--5))-(-5+((-5*-42.22)*(((-5--5)+(-42.22--5))+-42.22))))-(-5+-5)))*-5)))/-5)--5)+(-5*(((-42.22*(-42.22-(-5/-5)))*(-42.22-(-42.22/(-5*-42.22))))-(-5/-5)))))</f>
        <v>-380000.46204</v>
      </c>
      <c r="C5779" t="n" s="0">
        <v>-380000.46203999995</v>
      </c>
    </row>
    <row r="5780">
      <c r="A5780" t="n" s="0">
        <v>-42.21</v>
      </c>
      <c r="B5780" t="n" s="0">
        <f>(-5-((((-5*(-5/((-5/(((-5*(-42.21--5))-(-5+((-5*-42.21)*(((-5--5)+(-42.21--5))+-42.21))))-(-5+-5)))*-5)))/-5)--5)+(-5*(((-42.21*(-42.21-(-5/-5)))*(-42.21-(-42.21/(-5*-42.21))))-(-5/-5)))))</f>
        <v>-379731.42750499997</v>
      </c>
      <c r="C5780" t="n" s="0">
        <v>-379731.427505</v>
      </c>
    </row>
    <row r="5781">
      <c r="A5781" t="n" s="0">
        <v>-42.2</v>
      </c>
      <c r="B5781" t="n" s="0">
        <f>(-5-((((-5*(-5/((-5/(((-5*(-42.2--5))-(-5+((-5*-42.2)*(((-5--5)+(-42.2--5))+-42.2))))-(-5+-5)))*-5)))/-5)--5)+(-5*(((-42.2*(-42.2-(-5/-5)))*(-42.2-(-42.2/(-5*-42.2))))-(-5/-5)))))</f>
        <v>-379462.52</v>
      </c>
      <c r="C5781" t="n" s="0">
        <v>-379462.5200000001</v>
      </c>
    </row>
    <row r="5782">
      <c r="A5782" t="n" s="0">
        <v>-42.19</v>
      </c>
      <c r="B5782" t="n" s="0">
        <f>(-5-((((-5*(-5/((-5/(((-5*(-42.19--5))-(-5+((-5*-42.19)*(((-5--5)+(-42.19--5))+-42.19))))-(-5+-5)))*-5)))/-5)--5)+(-5*(((-42.19*(-42.19-(-5/-5)))*(-42.19-(-42.19/(-5*-42.19))))-(-5/-5)))))</f>
        <v>-379193.739495</v>
      </c>
      <c r="C5782" t="n" s="0">
        <v>-379193.7394949999</v>
      </c>
    </row>
    <row r="5783">
      <c r="A5783" t="n" s="0">
        <v>-42.18</v>
      </c>
      <c r="B5783" t="n" s="0">
        <f>(-5-((((-5*(-5/((-5/(((-5*(-42.18--5))-(-5+((-5*-42.18)*(((-5--5)+(-42.18--5))+-42.18))))-(-5+-5)))*-5)))/-5)--5)+(-5*(((-42.18*(-42.18-(-5/-5)))*(-42.18-(-42.18/(-5*-42.18))))-(-5/-5)))))</f>
        <v>-378925.08596</v>
      </c>
      <c r="C5783" t="n" s="0">
        <v>-378925.08595999994</v>
      </c>
    </row>
    <row r="5784">
      <c r="A5784" t="n" s="0">
        <v>-42.17</v>
      </c>
      <c r="B5784" t="n" s="0">
        <f>(-5-((((-5*(-5/((-5/(((-5*(-42.17--5))-(-5+((-5*-42.17)*(((-5--5)+(-42.17--5))+-42.17))))-(-5+-5)))*-5)))/-5)--5)+(-5*(((-42.17*(-42.17-(-5/-5)))*(-42.17-(-42.17/(-5*-42.17))))-(-5/-5)))))</f>
        <v>-378656.559365</v>
      </c>
      <c r="C5784" t="n" s="0">
        <v>-378656.55936500005</v>
      </c>
    </row>
    <row r="5785">
      <c r="A5785" t="n" s="0">
        <v>-42.16</v>
      </c>
      <c r="B5785" t="n" s="0">
        <f>(-5-((((-5*(-5/((-5/(((-5*(-42.16--5))-(-5+((-5*-42.16)*(((-5--5)+(-42.16--5))+-42.16))))-(-5+-5)))*-5)))/-5)--5)+(-5*(((-42.16*(-42.16-(-5/-5)))*(-42.16-(-42.16/(-5*-42.16))))-(-5/-5)))))</f>
        <v>-378388.15968000004</v>
      </c>
      <c r="C5785" t="n" s="0">
        <v>-378388.15967999987</v>
      </c>
    </row>
    <row r="5786">
      <c r="A5786" t="n" s="0">
        <v>-42.15</v>
      </c>
      <c r="B5786" t="n" s="0">
        <f>(-5-((((-5*(-5/((-5/(((-5*(-42.15--5))-(-5+((-5*-42.15)*(((-5--5)+(-42.15--5))+-42.15))))-(-5+-5)))*-5)))/-5)--5)+(-5*(((-42.15*(-42.15-(-5/-5)))*(-42.15-(-42.15/(-5*-42.15))))-(-5/-5)))))</f>
        <v>-378119.88687499997</v>
      </c>
      <c r="C5786" t="n" s="0">
        <v>-378119.88687499997</v>
      </c>
    </row>
    <row r="5787">
      <c r="A5787" t="n" s="0">
        <v>-42.14</v>
      </c>
      <c r="B5787" t="n" s="0">
        <f>(-5-((((-5*(-5/((-5/(((-5*(-42.14--5))-(-5+((-5*-42.14)*(((-5--5)+(-42.14--5))+-42.14))))-(-5+-5)))*-5)))/-5)--5)+(-5*(((-42.14*(-42.14-(-5/-5)))*(-42.14-(-42.14/(-5*-42.14))))-(-5/-5)))))</f>
        <v>-377851.74092</v>
      </c>
      <c r="C5787" t="n" s="0">
        <v>-377851.74092</v>
      </c>
    </row>
    <row r="5788">
      <c r="A5788" t="n" s="0">
        <v>-42.13</v>
      </c>
      <c r="B5788" t="n" s="0">
        <f>(-5-((((-5*(-5/((-5/(((-5*(-42.13--5))-(-5+((-5*-42.13)*(((-5--5)+(-42.13--5))+-42.13))))-(-5+-5)))*-5)))/-5)--5)+(-5*(((-42.13*(-42.13-(-5/-5)))*(-42.13-(-42.13/(-5*-42.13))))-(-5/-5)))))</f>
        <v>-377583.72178499994</v>
      </c>
      <c r="C5788" t="n" s="0">
        <v>-377583.7217850001</v>
      </c>
    </row>
    <row r="5789">
      <c r="A5789" t="n" s="0">
        <v>-42.12</v>
      </c>
      <c r="B5789" t="n" s="0">
        <f>(-5-((((-5*(-5/((-5/(((-5*(-42.12--5))-(-5+((-5*-42.12)*(((-5--5)+(-42.12--5))+-42.12))))-(-5+-5)))*-5)))/-5)--5)+(-5*(((-42.12*(-42.12-(-5/-5)))*(-42.12-(-42.12/(-5*-42.12))))-(-5/-5)))))</f>
        <v>-377315.82944</v>
      </c>
      <c r="C5789" t="n" s="0">
        <v>-377315.8294399999</v>
      </c>
    </row>
    <row r="5790">
      <c r="A5790" t="n" s="0">
        <v>-42.11</v>
      </c>
      <c r="B5790" t="n" s="0">
        <f>(-5-((((-5*(-5/((-5/(((-5*(-42.11--5))-(-5+((-5*-42.11)*(((-5--5)+(-42.11--5))+-42.11))))-(-5+-5)))*-5)))/-5)--5)+(-5*(((-42.11*(-42.11-(-5/-5)))*(-42.11-(-42.11/(-5*-42.11))))-(-5/-5)))))</f>
        <v>-377048.06385499996</v>
      </c>
      <c r="C5790" t="n" s="0">
        <v>-377048.063855</v>
      </c>
    </row>
    <row r="5791">
      <c r="A5791" t="n" s="0">
        <v>-42.1</v>
      </c>
      <c r="B5791" t="n" s="0">
        <f>(-5-((((-5*(-5/((-5/(((-5*(-42.1--5))-(-5+((-5*-42.1)*(((-5--5)+(-42.1--5))+-42.1))))-(-5+-5)))*-5)))/-5)--5)+(-5*(((-42.1*(-42.1-(-5/-5)))*(-42.1-(-42.1/(-5*-42.1))))-(-5/-5)))))</f>
        <v>-376780.425</v>
      </c>
      <c r="C5791" t="n" s="0">
        <v>-376780.42500000005</v>
      </c>
    </row>
    <row r="5792">
      <c r="A5792" t="n" s="0">
        <v>-42.09</v>
      </c>
      <c r="B5792" t="n" s="0">
        <f>(-5-((((-5*(-5/((-5/(((-5*(-42.09--5))-(-5+((-5*-42.09)*(((-5--5)+(-42.09--5))+-42.09))))-(-5+-5)))*-5)))/-5)--5)+(-5*(((-42.09*(-42.09-(-5/-5)))*(-42.09-(-42.09/(-5*-42.09))))-(-5/-5)))))</f>
        <v>-376512.912845</v>
      </c>
      <c r="C5792" t="n" s="0">
        <v>-376512.91284500016</v>
      </c>
    </row>
    <row r="5793">
      <c r="A5793" t="n" s="0">
        <v>-42.08</v>
      </c>
      <c r="B5793" t="n" s="0">
        <f>(-5-((((-5*(-5/((-5/(((-5*(-42.08--5))-(-5+((-5*-42.08)*(((-5--5)+(-42.08--5))+-42.08))))-(-5+-5)))*-5)))/-5)--5)+(-5*(((-42.08*(-42.08-(-5/-5)))*(-42.08-(-42.08/(-5*-42.08))))-(-5/-5)))))</f>
        <v>-376245.52736</v>
      </c>
      <c r="C5793" t="n" s="0">
        <v>-376245.52735999995</v>
      </c>
    </row>
    <row r="5794">
      <c r="A5794" t="n" s="0">
        <v>-42.07</v>
      </c>
      <c r="B5794" t="n" s="0">
        <f>(-5-((((-5*(-5/((-5/(((-5*(-42.07--5))-(-5+((-5*-42.07)*(((-5--5)+(-42.07--5))+-42.07))))-(-5+-5)))*-5)))/-5)--5)+(-5*(((-42.07*(-42.07-(-5/-5)))*(-42.07-(-42.07/(-5*-42.07))))-(-5/-5)))))</f>
        <v>-375978.26851499995</v>
      </c>
      <c r="C5794" t="n" s="0">
        <v>-375978.268515</v>
      </c>
    </row>
    <row r="5795">
      <c r="A5795" t="n" s="0">
        <v>-42.06</v>
      </c>
      <c r="B5795" t="n" s="0">
        <f>(-5-((((-5*(-5/((-5/(((-5*(-42.06--5))-(-5+((-5*-42.06)*(((-5--5)+(-42.06--5))+-42.06))))-(-5+-5)))*-5)))/-5)--5)+(-5*(((-42.06*(-42.06-(-5/-5)))*(-42.06-(-42.06/(-5*-42.06))))-(-5/-5)))))</f>
        <v>-375711.13628</v>
      </c>
      <c r="C5795" t="n" s="0">
        <v>-375711.1362800001</v>
      </c>
    </row>
    <row r="5796">
      <c r="A5796" t="n" s="0">
        <v>-42.05</v>
      </c>
      <c r="B5796" t="n" s="0">
        <f>(-5-((((-5*(-5/((-5/(((-5*(-42.05--5))-(-5+((-5*-42.05)*(((-5--5)+(-42.05--5))+-42.05))))-(-5+-5)))*-5)))/-5)--5)+(-5*(((-42.05*(-42.05-(-5/-5)))*(-42.05-(-42.05/(-5*-42.05))))-(-5/-5)))))</f>
        <v>-375444.130625</v>
      </c>
      <c r="C5796" t="n" s="0">
        <v>-375444.130625</v>
      </c>
    </row>
    <row r="5797">
      <c r="A5797" t="n" s="0">
        <v>-42.04</v>
      </c>
      <c r="B5797" t="n" s="0">
        <f>(-5-((((-5*(-5/((-5/(((-5*(-42.04--5))-(-5+((-5*-42.04)*(((-5--5)+(-42.04--5))+-42.04))))-(-5+-5)))*-5)))/-5)--5)+(-5*(((-42.04*(-42.04-(-5/-5)))*(-42.04-(-42.04/(-5*-42.04))))-(-5/-5)))))</f>
        <v>-375177.25152000005</v>
      </c>
      <c r="C5797" t="n" s="0">
        <v>-375177.25152</v>
      </c>
    </row>
    <row r="5798">
      <c r="A5798" t="n" s="0">
        <v>-42.03</v>
      </c>
      <c r="B5798" t="n" s="0">
        <f>(-5-((((-5*(-5/((-5/(((-5*(-42.03--5))-(-5+((-5*-42.03)*(((-5--5)+(-42.03--5))+-42.03))))-(-5+-5)))*-5)))/-5)--5)+(-5*(((-42.03*(-42.03-(-5/-5)))*(-42.03-(-42.03/(-5*-42.03))))-(-5/-5)))))</f>
        <v>-374910.49893500004</v>
      </c>
      <c r="C5798" t="n" s="0">
        <v>-374910.4989350001</v>
      </c>
    </row>
    <row r="5799">
      <c r="A5799" t="n" s="0">
        <v>-42.02</v>
      </c>
      <c r="B5799" t="n" s="0">
        <f>(-5-((((-5*(-5/((-5/(((-5*(-42.02--5))-(-5+((-5*-42.02)*(((-5--5)+(-42.02--5))+-42.02))))-(-5+-5)))*-5)))/-5)--5)+(-5*(((-42.02*(-42.02-(-5/-5)))*(-42.02-(-42.02/(-5*-42.02))))-(-5/-5)))))</f>
        <v>-374643.87283999997</v>
      </c>
      <c r="C5799" t="n" s="0">
        <v>-374643.87284000014</v>
      </c>
    </row>
    <row r="5800">
      <c r="A5800" t="n" s="0">
        <v>-42.01</v>
      </c>
      <c r="B5800" t="n" s="0">
        <f>(-5-((((-5*(-5/((-5/(((-5*(-42.01--5))-(-5+((-5*-42.01)*(((-5--5)+(-42.01--5))+-42.01))))-(-5+-5)))*-5)))/-5)--5)+(-5*(((-42.01*(-42.01-(-5/-5)))*(-42.01-(-42.01/(-5*-42.01))))-(-5/-5)))))</f>
        <v>-374377.37320499995</v>
      </c>
      <c r="C5800" t="n" s="0">
        <v>-374377.373205</v>
      </c>
    </row>
    <row r="5801">
      <c r="A5801" t="n" s="0">
        <v>-42.0</v>
      </c>
      <c r="B5801" t="n" s="0">
        <f>(-5-((((-5*(-5/((-5/(((-5*(-42--5))-(-5+((-5*-42)*(((-5--5)+(-42--5))+-42))))-(-5+-5)))*-5)))/-5)--5)+(-5*(((-42*(-42-(-5/-5)))*(-42-(-42/(-5*-42))))-(-5/-5)))))</f>
        <v>-374111.0</v>
      </c>
      <c r="C5801" t="n" s="0">
        <v>-374111.0</v>
      </c>
    </row>
    <row r="5802">
      <c r="A5802" t="n" s="0">
        <v>-41.99</v>
      </c>
      <c r="B5802" t="n" s="0">
        <f>(-5-((((-5*(-5/((-5/(((-5*(-41.99--5))-(-5+((-5*-41.99)*(((-5--5)+(-41.99--5))+-41.99))))-(-5+-5)))*-5)))/-5)--5)+(-5*(((-41.99*(-41.99-(-5/-5)))*(-41.99-(-41.99/(-5*-41.99))))-(-5/-5)))))</f>
        <v>-373844.753195</v>
      </c>
      <c r="C5802" t="n" s="0">
        <v>-373844.75319500006</v>
      </c>
    </row>
    <row r="5803">
      <c r="A5803" t="n" s="0">
        <v>-41.98</v>
      </c>
      <c r="B5803" t="n" s="0">
        <f>(-5-((((-5*(-5/((-5/(((-5*(-41.98--5))-(-5+((-5*-41.98)*(((-5--5)+(-41.98--5))+-41.98))))-(-5+-5)))*-5)))/-5)--5)+(-5*(((-41.98*(-41.98-(-5/-5)))*(-41.98-(-41.98/(-5*-41.98))))-(-5/-5)))))</f>
        <v>-373578.63276000007</v>
      </c>
      <c r="C5803" t="n" s="0">
        <v>-373578.6327599999</v>
      </c>
    </row>
    <row r="5804">
      <c r="A5804" t="n" s="0">
        <v>-41.97</v>
      </c>
      <c r="B5804" t="n" s="0">
        <f>(-5-((((-5*(-5/((-5/(((-5*(-41.97--5))-(-5+((-5*-41.97)*(((-5--5)+(-41.97--5))+-41.97))))-(-5+-5)))*-5)))/-5)--5)+(-5*(((-41.97*(-41.97-(-5/-5)))*(-41.97-(-41.97/(-5*-41.97))))-(-5/-5)))))</f>
        <v>-373312.63866500003</v>
      </c>
      <c r="C5804" t="n" s="0">
        <v>-373312.6386649999</v>
      </c>
    </row>
    <row r="5805">
      <c r="A5805" t="n" s="0">
        <v>-41.96</v>
      </c>
      <c r="B5805" t="n" s="0">
        <f>(-5-((((-5*(-5/((-5/(((-5*(-41.96--5))-(-5+((-5*-41.96)*(((-5--5)+(-41.96--5))+-41.96))))-(-5+-5)))*-5)))/-5)--5)+(-5*(((-41.96*(-41.96-(-5/-5)))*(-41.96-(-41.96/(-5*-41.96))))-(-5/-5)))))</f>
        <v>-373046.77088</v>
      </c>
      <c r="C5805" t="n" s="0">
        <v>-373046.77088</v>
      </c>
    </row>
    <row r="5806">
      <c r="A5806" t="n" s="0">
        <v>-41.95</v>
      </c>
      <c r="B5806" t="n" s="0">
        <f>(-5-((((-5*(-5/((-5/(((-5*(-41.95--5))-(-5+((-5*-41.95)*(((-5--5)+(-41.95--5))+-41.95))))-(-5+-5)))*-5)))/-5)--5)+(-5*(((-41.95*(-41.95-(-5/-5)))*(-41.95-(-41.95/(-5*-41.95))))-(-5/-5)))))</f>
        <v>-372781.029375</v>
      </c>
      <c r="C5806" t="n" s="0">
        <v>-372781.02937500004</v>
      </c>
    </row>
    <row r="5807">
      <c r="A5807" t="n" s="0">
        <v>-41.94</v>
      </c>
      <c r="B5807" t="n" s="0">
        <f>(-5-((((-5*(-5/((-5/(((-5*(-41.94--5))-(-5+((-5*-41.94)*(((-5--5)+(-41.94--5))+-41.94))))-(-5+-5)))*-5)))/-5)--5)+(-5*(((-41.94*(-41.94-(-5/-5)))*(-41.94-(-41.94/(-5*-41.94))))-(-5/-5)))))</f>
        <v>-372515.41412</v>
      </c>
      <c r="C5807" t="n" s="0">
        <v>-372515.4141199999</v>
      </c>
    </row>
    <row r="5808">
      <c r="A5808" t="n" s="0">
        <v>-41.93</v>
      </c>
      <c r="B5808" t="n" s="0">
        <f>(-5-((((-5*(-5/((-5/(((-5*(-41.93--5))-(-5+((-5*-41.93)*(((-5--5)+(-41.93--5))+-41.93))))-(-5+-5)))*-5)))/-5)--5)+(-5*(((-41.93*(-41.93-(-5/-5)))*(-41.93-(-41.93/(-5*-41.93))))-(-5/-5)))))</f>
        <v>-372249.925085</v>
      </c>
      <c r="C5808" t="n" s="0">
        <v>-372249.92508499994</v>
      </c>
    </row>
    <row r="5809">
      <c r="A5809" t="n" s="0">
        <v>-41.92</v>
      </c>
      <c r="B5809" t="n" s="0">
        <f>(-5-((((-5*(-5/((-5/(((-5*(-41.92--5))-(-5+((-5*-41.92)*(((-5--5)+(-41.92--5))+-41.92))))-(-5+-5)))*-5)))/-5)--5)+(-5*(((-41.92*(-41.92-(-5/-5)))*(-41.92-(-41.92/(-5*-41.92))))-(-5/-5)))))</f>
        <v>-371984.56223999994</v>
      </c>
      <c r="C5809" t="n" s="0">
        <v>-371984.56224000006</v>
      </c>
    </row>
    <row r="5810">
      <c r="A5810" t="n" s="0">
        <v>-41.91</v>
      </c>
      <c r="B5810" t="n" s="0">
        <f>(-5-((((-5*(-5/((-5/(((-5*(-41.91--5))-(-5+((-5*-41.91)*(((-5--5)+(-41.91--5))+-41.91))))-(-5+-5)))*-5)))/-5)--5)+(-5*(((-41.91*(-41.91-(-5/-5)))*(-41.91-(-41.91/(-5*-41.91))))-(-5/-5)))))</f>
        <v>-371719.325555</v>
      </c>
      <c r="C5810" t="n" s="0">
        <v>-371719.32555499993</v>
      </c>
    </row>
    <row r="5811">
      <c r="A5811" t="n" s="0">
        <v>-41.9</v>
      </c>
      <c r="B5811" t="n" s="0">
        <f>(-5-((((-5*(-5/((-5/(((-5*(-41.9--5))-(-5+((-5*-41.9)*(((-5--5)+(-41.9--5))+-41.9))))-(-5+-5)))*-5)))/-5)--5)+(-5*(((-41.9*(-41.9-(-5/-5)))*(-41.9-(-41.9/(-5*-41.9))))-(-5/-5)))))</f>
        <v>-371454.215</v>
      </c>
      <c r="C5811" t="n" s="0">
        <v>-371454.21499999997</v>
      </c>
    </row>
    <row r="5812">
      <c r="A5812" t="n" s="0">
        <v>-41.89</v>
      </c>
      <c r="B5812" t="n" s="0">
        <f>(-5-((((-5*(-5/((-5/(((-5*(-41.89--5))-(-5+((-5*-41.89)*(((-5--5)+(-41.89--5))+-41.89))))-(-5+-5)))*-5)))/-5)--5)+(-5*(((-41.89*(-41.89-(-5/-5)))*(-41.89-(-41.89/(-5*-41.89))))-(-5/-5)))))</f>
        <v>-371189.230545</v>
      </c>
      <c r="C5812" t="n" s="0">
        <v>-371189.230545</v>
      </c>
    </row>
    <row r="5813">
      <c r="A5813" t="n" s="0">
        <v>-41.88</v>
      </c>
      <c r="B5813" t="n" s="0">
        <f>(-5-((((-5*(-5/((-5/(((-5*(-41.88--5))-(-5+((-5*-41.88)*(((-5--5)+(-41.88--5))+-41.88))))-(-5+-5)))*-5)))/-5)--5)+(-5*(((-41.88*(-41.88-(-5/-5)))*(-41.88-(-41.88/(-5*-41.88))))-(-5/-5)))))</f>
        <v>-370924.37216</v>
      </c>
      <c r="C5813" t="n" s="0">
        <v>-370924.37216</v>
      </c>
    </row>
    <row r="5814">
      <c r="A5814" t="n" s="0">
        <v>-41.87</v>
      </c>
      <c r="B5814" t="n" s="0">
        <f>(-5-((((-5*(-5/((-5/(((-5*(-41.87--5))-(-5+((-5*-41.87)*(((-5--5)+(-41.87--5))+-41.87))))-(-5+-5)))*-5)))/-5)--5)+(-5*(((-41.87*(-41.87-(-5/-5)))*(-41.87-(-41.87/(-5*-41.87))))-(-5/-5)))))</f>
        <v>-370659.639815</v>
      </c>
      <c r="C5814" t="n" s="0">
        <v>-370659.63981499994</v>
      </c>
    </row>
    <row r="5815">
      <c r="A5815" t="n" s="0">
        <v>-41.86</v>
      </c>
      <c r="B5815" t="n" s="0">
        <f>(-5-((((-5*(-5/((-5/(((-5*(-41.86--5))-(-5+((-5*-41.86)*(((-5--5)+(-41.86--5))+-41.86))))-(-5+-5)))*-5)))/-5)--5)+(-5*(((-41.86*(-41.86-(-5/-5)))*(-41.86-(-41.86/(-5*-41.86))))-(-5/-5)))))</f>
        <v>-370395.03348000004</v>
      </c>
      <c r="C5815" t="n" s="0">
        <v>-370395.03348</v>
      </c>
    </row>
    <row r="5816">
      <c r="A5816" t="n" s="0">
        <v>-41.85</v>
      </c>
      <c r="B5816" t="n" s="0">
        <f>(-5-((((-5*(-5/((-5/(((-5*(-41.85--5))-(-5+((-5*-41.85)*(((-5--5)+(-41.85--5))+-41.85))))-(-5+-5)))*-5)))/-5)--5)+(-5*(((-41.85*(-41.85-(-5/-5)))*(-41.85-(-41.85/(-5*-41.85))))-(-5/-5)))))</f>
        <v>-370130.553125</v>
      </c>
      <c r="C5816" t="n" s="0">
        <v>-370130.553125</v>
      </c>
    </row>
    <row r="5817">
      <c r="A5817" t="n" s="0">
        <v>-41.84</v>
      </c>
      <c r="B5817" t="n" s="0">
        <f>(-5-((((-5*(-5/((-5/(((-5*(-41.84--5))-(-5+((-5*-41.84)*(((-5--5)+(-41.84--5))+-41.84))))-(-5+-5)))*-5)))/-5)--5)+(-5*(((-41.84*(-41.84-(-5/-5)))*(-41.84-(-41.84/(-5*-41.84))))-(-5/-5)))))</f>
        <v>-369866.19872</v>
      </c>
      <c r="C5817" t="n" s="0">
        <v>-369866.1987200001</v>
      </c>
    </row>
    <row r="5818">
      <c r="A5818" t="n" s="0">
        <v>-41.83</v>
      </c>
      <c r="B5818" t="n" s="0">
        <f>(-5-((((-5*(-5/((-5/(((-5*(-41.83--5))-(-5+((-5*-41.83)*(((-5--5)+(-41.83--5))+-41.83))))-(-5+-5)))*-5)))/-5)--5)+(-5*(((-41.83*(-41.83-(-5/-5)))*(-41.83-(-41.83/(-5*-41.83))))-(-5/-5)))))</f>
        <v>-369601.970235</v>
      </c>
      <c r="C5818" t="n" s="0">
        <v>-369601.970235</v>
      </c>
    </row>
    <row r="5819">
      <c r="A5819" t="n" s="0">
        <v>-41.82</v>
      </c>
      <c r="B5819" t="n" s="0">
        <f>(-5-((((-5*(-5/((-5/(((-5*(-41.82--5))-(-5+((-5*-41.82)*(((-5--5)+(-41.82--5))+-41.82))))-(-5+-5)))*-5)))/-5)--5)+(-5*(((-41.82*(-41.82-(-5/-5)))*(-41.82-(-41.82/(-5*-41.82))))-(-5/-5)))))</f>
        <v>-369337.86764</v>
      </c>
      <c r="C5819" t="n" s="0">
        <v>-369337.86764000007</v>
      </c>
    </row>
    <row r="5820">
      <c r="A5820" t="n" s="0">
        <v>-41.81</v>
      </c>
      <c r="B5820" t="n" s="0">
        <f>(-5-((((-5*(-5/((-5/(((-5*(-41.81--5))-(-5+((-5*-41.81)*(((-5--5)+(-41.81--5))+-41.81))))-(-5+-5)))*-5)))/-5)--5)+(-5*(((-41.81*(-41.81-(-5/-5)))*(-41.81-(-41.81/(-5*-41.81))))-(-5/-5)))))</f>
        <v>-369073.890905</v>
      </c>
      <c r="C5820" t="n" s="0">
        <v>-369073.8909050001</v>
      </c>
    </row>
    <row r="5821">
      <c r="A5821" t="n" s="0">
        <v>-41.8</v>
      </c>
      <c r="B5821" t="n" s="0">
        <f>(-5-((((-5*(-5/((-5/(((-5*(-41.8--5))-(-5+((-5*-41.8)*(((-5--5)+(-41.8--5))+-41.8))))-(-5+-5)))*-5)))/-5)--5)+(-5*(((-41.8*(-41.8-(-5/-5)))*(-41.8-(-41.8/(-5*-41.8))))-(-5/-5)))))</f>
        <v>-368810.04</v>
      </c>
      <c r="C5821" t="n" s="0">
        <v>-368810.0399999999</v>
      </c>
    </row>
    <row r="5822">
      <c r="A5822" t="n" s="0">
        <v>-41.79</v>
      </c>
      <c r="B5822" t="n" s="0">
        <f>(-5-((((-5*(-5/((-5/(((-5*(-41.79--5))-(-5+((-5*-41.79)*(((-5--5)+(-41.79--5))+-41.79))))-(-5+-5)))*-5)))/-5)--5)+(-5*(((-41.79*(-41.79-(-5/-5)))*(-41.79-(-41.79/(-5*-41.79))))-(-5/-5)))))</f>
        <v>-368546.314895</v>
      </c>
      <c r="C5822" t="n" s="0">
        <v>-368546.31489499996</v>
      </c>
    </row>
    <row r="5823">
      <c r="A5823" t="n" s="0">
        <v>-41.78</v>
      </c>
      <c r="B5823" t="n" s="0">
        <f>(-5-((((-5*(-5/((-5/(((-5*(-41.78--5))-(-5+((-5*-41.78)*(((-5--5)+(-41.78--5))+-41.78))))-(-5+-5)))*-5)))/-5)--5)+(-5*(((-41.78*(-41.78-(-5/-5)))*(-41.78-(-41.78/(-5*-41.78))))-(-5/-5)))))</f>
        <v>-368282.71556000004</v>
      </c>
      <c r="C5823" t="n" s="0">
        <v>-368282.71556</v>
      </c>
    </row>
    <row r="5824">
      <c r="A5824" t="n" s="0">
        <v>-41.77</v>
      </c>
      <c r="B5824" t="n" s="0">
        <f>(-5-((((-5*(-5/((-5/(((-5*(-41.77--5))-(-5+((-5*-41.77)*(((-5--5)+(-41.77--5))+-41.77))))-(-5+-5)))*-5)))/-5)--5)+(-5*(((-41.77*(-41.77-(-5/-5)))*(-41.77-(-41.77/(-5*-41.77))))-(-5/-5)))))</f>
        <v>-368019.241965</v>
      </c>
      <c r="C5824" t="n" s="0">
        <v>-368019.2419650001</v>
      </c>
    </row>
    <row r="5825">
      <c r="A5825" t="n" s="0">
        <v>-41.76</v>
      </c>
      <c r="B5825" t="n" s="0">
        <f>(-5-((((-5*(-5/((-5/(((-5*(-41.76--5))-(-5+((-5*-41.76)*(((-5--5)+(-41.76--5))+-41.76))))-(-5+-5)))*-5)))/-5)--5)+(-5*(((-41.76*(-41.76-(-5/-5)))*(-41.76-(-41.76/(-5*-41.76))))-(-5/-5)))))</f>
        <v>-367755.89408</v>
      </c>
      <c r="C5825" t="n" s="0">
        <v>-367755.89407999994</v>
      </c>
    </row>
    <row r="5826">
      <c r="A5826" t="n" s="0">
        <v>-41.75</v>
      </c>
      <c r="B5826" t="n" s="0">
        <f>(-5-((((-5*(-5/((-5/(((-5*(-41.75--5))-(-5+((-5*-41.75)*(((-5--5)+(-41.75--5))+-41.75))))-(-5+-5)))*-5)))/-5)--5)+(-5*(((-41.75*(-41.75-(-5/-5)))*(-41.75-(-41.75/(-5*-41.75))))-(-5/-5)))))</f>
        <v>-367492.671875</v>
      </c>
      <c r="C5826" t="n" s="0">
        <v>-367492.671875</v>
      </c>
    </row>
    <row r="5827">
      <c r="A5827" t="n" s="0">
        <v>-41.74</v>
      </c>
      <c r="B5827" t="n" s="0">
        <f>(-5-((((-5*(-5/((-5/(((-5*(-41.74--5))-(-5+((-5*-41.74)*(((-5--5)+(-41.74--5))+-41.74))))-(-5+-5)))*-5)))/-5)--5)+(-5*(((-41.74*(-41.74-(-5/-5)))*(-41.74-(-41.74/(-5*-41.74))))-(-5/-5)))))</f>
        <v>-367229.57532</v>
      </c>
      <c r="C5827" t="n" s="0">
        <v>-367229.57532000006</v>
      </c>
    </row>
    <row r="5828">
      <c r="A5828" t="n" s="0">
        <v>-41.73</v>
      </c>
      <c r="B5828" t="n" s="0">
        <f>(-5-((((-5*(-5/((-5/(((-5*(-41.73--5))-(-5+((-5*-41.73)*(((-5--5)+(-41.73--5))+-41.73))))-(-5+-5)))*-5)))/-5)--5)+(-5*(((-41.73*(-41.73-(-5/-5)))*(-41.73-(-41.73/(-5*-41.73))))-(-5/-5)))))</f>
        <v>-366966.60438499996</v>
      </c>
      <c r="C5828" t="n" s="0">
        <v>-366966.60438499996</v>
      </c>
    </row>
    <row r="5829">
      <c r="A5829" t="n" s="0">
        <v>-41.72</v>
      </c>
      <c r="B5829" t="n" s="0">
        <f>(-5-((((-5*(-5/((-5/(((-5*(-41.72--5))-(-5+((-5*-41.72)*(((-5--5)+(-41.72--5))+-41.72))))-(-5+-5)))*-5)))/-5)--5)+(-5*(((-41.72*(-41.72-(-5/-5)))*(-41.72-(-41.72/(-5*-41.72))))-(-5/-5)))))</f>
        <v>-366703.75904</v>
      </c>
      <c r="C5829" t="n" s="0">
        <v>-366703.75904</v>
      </c>
    </row>
    <row r="5830">
      <c r="A5830" t="n" s="0">
        <v>-41.71</v>
      </c>
      <c r="B5830" t="n" s="0">
        <f>(-5-((((-5*(-5/((-5/(((-5*(-41.71--5))-(-5+((-5*-41.71)*(((-5--5)+(-41.71--5))+-41.71))))-(-5+-5)))*-5)))/-5)--5)+(-5*(((-41.71*(-41.71-(-5/-5)))*(-41.71-(-41.71/(-5*-41.71))))-(-5/-5)))))</f>
        <v>-366441.039255</v>
      </c>
      <c r="C5830" t="n" s="0">
        <v>-366441.03925499995</v>
      </c>
    </row>
    <row r="5831">
      <c r="A5831" t="n" s="0">
        <v>-41.7</v>
      </c>
      <c r="B5831" t="n" s="0">
        <f>(-5-((((-5*(-5/((-5/(((-5*(-41.7--5))-(-5+((-5*-41.7)*(((-5--5)+(-41.7--5))+-41.7))))-(-5+-5)))*-5)))/-5)--5)+(-5*(((-41.7*(-41.7-(-5/-5)))*(-41.7-(-41.7/(-5*-41.7))))-(-5/-5)))))</f>
        <v>-366178.445</v>
      </c>
      <c r="C5831" t="n" s="0">
        <v>-366178.44500000007</v>
      </c>
    </row>
    <row r="5832">
      <c r="A5832" t="n" s="0">
        <v>-41.69</v>
      </c>
      <c r="B5832" t="n" s="0">
        <f>(-5-((((-5*(-5/((-5/(((-5*(-41.69--5))-(-5+((-5*-41.69)*(((-5--5)+(-41.69--5))+-41.69))))-(-5+-5)))*-5)))/-5)--5)+(-5*(((-41.69*(-41.69-(-5/-5)))*(-41.69-(-41.69/(-5*-41.69))))-(-5/-5)))))</f>
        <v>-365915.976245</v>
      </c>
      <c r="C5832" t="n" s="0">
        <v>-365915.97624499997</v>
      </c>
    </row>
    <row r="5833">
      <c r="A5833" t="n" s="0">
        <v>-41.68</v>
      </c>
      <c r="B5833" t="n" s="0">
        <f>(-5-((((-5*(-5/((-5/(((-5*(-41.68--5))-(-5+((-5*-41.68)*(((-5--5)+(-41.68--5))+-41.68))))-(-5+-5)))*-5)))/-5)--5)+(-5*(((-41.68*(-41.68-(-5/-5)))*(-41.68-(-41.68/(-5*-41.68))))-(-5/-5)))))</f>
        <v>-365653.63295999996</v>
      </c>
      <c r="C5833" t="n" s="0">
        <v>-365653.63295999996</v>
      </c>
    </row>
    <row r="5834">
      <c r="A5834" t="n" s="0">
        <v>-41.67</v>
      </c>
      <c r="B5834" t="n" s="0">
        <f>(-5-((((-5*(-5/((-5/(((-5*(-41.67--5))-(-5+((-5*-41.67)*(((-5--5)+(-41.67--5))+-41.67))))-(-5+-5)))*-5)))/-5)--5)+(-5*(((-41.67*(-41.67-(-5/-5)))*(-41.67-(-41.67/(-5*-41.67))))-(-5/-5)))))</f>
        <v>-365391.41511500004</v>
      </c>
      <c r="C5834" t="n" s="0">
        <v>-365391.41511500004</v>
      </c>
    </row>
    <row r="5835">
      <c r="A5835" t="n" s="0">
        <v>-41.66</v>
      </c>
      <c r="B5835" t="n" s="0">
        <f>(-5-((((-5*(-5/((-5/(((-5*(-41.66--5))-(-5+((-5*-41.66)*(((-5--5)+(-41.66--5))+-41.66))))-(-5+-5)))*-5)))/-5)--5)+(-5*(((-41.66*(-41.66-(-5/-5)))*(-41.66-(-41.66/(-5*-41.66))))-(-5/-5)))))</f>
        <v>-365129.32268000004</v>
      </c>
      <c r="C5835" t="n" s="0">
        <v>-365129.32267999987</v>
      </c>
    </row>
    <row r="5836">
      <c r="A5836" t="n" s="0">
        <v>-41.65</v>
      </c>
      <c r="B5836" t="n" s="0">
        <f>(-5-((((-5*(-5/((-5/(((-5*(-41.65--5))-(-5+((-5*-41.65)*(((-5--5)+(-41.65--5))+-41.65))))-(-5+-5)))*-5)))/-5)--5)+(-5*(((-41.65*(-41.65-(-5/-5)))*(-41.65-(-41.65/(-5*-41.65))))-(-5/-5)))))</f>
        <v>-364867.355625</v>
      </c>
      <c r="C5836" t="n" s="0">
        <v>-364867.35562499997</v>
      </c>
    </row>
    <row r="5837">
      <c r="A5837" t="n" s="0">
        <v>-41.64</v>
      </c>
      <c r="B5837" t="n" s="0">
        <f>(-5-((((-5*(-5/((-5/(((-5*(-41.64--5))-(-5+((-5*-41.64)*(((-5--5)+(-41.64--5))+-41.64))))-(-5+-5)))*-5)))/-5)--5)+(-5*(((-41.64*(-41.64-(-5/-5)))*(-41.64-(-41.64/(-5*-41.64))))-(-5/-5)))))</f>
        <v>-364605.51392</v>
      </c>
      <c r="C5837" t="n" s="0">
        <v>-364605.51391999994</v>
      </c>
    </row>
    <row r="5838">
      <c r="A5838" t="n" s="0">
        <v>-41.63</v>
      </c>
      <c r="B5838" t="n" s="0">
        <f>(-5-((((-5*(-5/((-5/(((-5*(-41.63--5))-(-5+((-5*-41.63)*(((-5--5)+(-41.63--5))+-41.63))))-(-5+-5)))*-5)))/-5)--5)+(-5*(((-41.63*(-41.63-(-5/-5)))*(-41.63-(-41.63/(-5*-41.63))))-(-5/-5)))))</f>
        <v>-364343.797535</v>
      </c>
      <c r="C5838" t="n" s="0">
        <v>-364343.7975350001</v>
      </c>
    </row>
    <row r="5839">
      <c r="A5839" t="n" s="0">
        <v>-41.62</v>
      </c>
      <c r="B5839" t="n" s="0">
        <f>(-5-((((-5*(-5/((-5/(((-5*(-41.62--5))-(-5+((-5*-41.62)*(((-5--5)+(-41.62--5))+-41.62))))-(-5+-5)))*-5)))/-5)--5)+(-5*(((-41.62*(-41.62-(-5/-5)))*(-41.62-(-41.62/(-5*-41.62))))-(-5/-5)))))</f>
        <v>-364082.20644000004</v>
      </c>
      <c r="C5839" t="n" s="0">
        <v>-364082.20644</v>
      </c>
    </row>
    <row r="5840">
      <c r="A5840" t="n" s="0">
        <v>-41.61</v>
      </c>
      <c r="B5840" t="n" s="0">
        <f>(-5-((((-5*(-5/((-5/(((-5*(-41.61--5))-(-5+((-5*-41.61)*(((-5--5)+(-41.61--5))+-41.61))))-(-5+-5)))*-5)))/-5)--5)+(-5*(((-41.61*(-41.61-(-5/-5)))*(-41.61-(-41.61/(-5*-41.61))))-(-5/-5)))))</f>
        <v>-363820.740605</v>
      </c>
      <c r="C5840" t="n" s="0">
        <v>-363820.740605</v>
      </c>
    </row>
    <row r="5841">
      <c r="A5841" t="n" s="0">
        <v>-41.6</v>
      </c>
      <c r="B5841" t="n" s="0">
        <f>(-5-((((-5*(-5/((-5/(((-5*(-41.6--5))-(-5+((-5*-41.6)*(((-5--5)+(-41.6--5))+-41.6))))-(-5+-5)))*-5)))/-5)--5)+(-5*(((-41.6*(-41.6-(-5/-5)))*(-41.6-(-41.6/(-5*-41.6))))-(-5/-5)))))</f>
        <v>-363559.4</v>
      </c>
      <c r="C5841" t="n" s="0">
        <v>-363559.39999999997</v>
      </c>
    </row>
    <row r="5842">
      <c r="A5842" t="n" s="0">
        <v>-41.59</v>
      </c>
      <c r="B5842" t="n" s="0">
        <f>(-5-((((-5*(-5/((-5/(((-5*(-41.59--5))-(-5+((-5*-41.59)*(((-5--5)+(-41.59--5))+-41.59))))-(-5+-5)))*-5)))/-5)--5)+(-5*(((-41.59*(-41.59-(-5/-5)))*(-41.59-(-41.59/(-5*-41.59))))-(-5/-5)))))</f>
        <v>-363298.184595</v>
      </c>
      <c r="C5842" t="n" s="0">
        <v>-363298.1845950001</v>
      </c>
    </row>
    <row r="5843">
      <c r="A5843" t="n" s="0">
        <v>-41.58</v>
      </c>
      <c r="B5843" t="n" s="0">
        <f>(-5-((((-5*(-5/((-5/(((-5*(-41.58--5))-(-5+((-5*-41.58)*(((-5--5)+(-41.58--5))+-41.58))))-(-5+-5)))*-5)))/-5)--5)+(-5*(((-41.58*(-41.58-(-5/-5)))*(-41.58-(-41.58/(-5*-41.58))))-(-5/-5)))))</f>
        <v>-363037.09436</v>
      </c>
      <c r="C5843" t="n" s="0">
        <v>-363037.09435999993</v>
      </c>
    </row>
    <row r="5844">
      <c r="A5844" t="n" s="0">
        <v>-41.57</v>
      </c>
      <c r="B5844" t="n" s="0">
        <f>(-5-((((-5*(-5/((-5/(((-5*(-41.57--5))-(-5+((-5*-41.57)*(((-5--5)+(-41.57--5))+-41.57))))-(-5+-5)))*-5)))/-5)--5)+(-5*(((-41.57*(-41.57-(-5/-5)))*(-41.57-(-41.57/(-5*-41.57))))-(-5/-5)))))</f>
        <v>-362776.129265</v>
      </c>
      <c r="C5844" t="n" s="0">
        <v>-362776.129265</v>
      </c>
    </row>
    <row r="5845">
      <c r="A5845" t="n" s="0">
        <v>-41.56</v>
      </c>
      <c r="B5845" t="n" s="0">
        <f>(-5-((((-5*(-5/((-5/(((-5*(-41.56--5))-(-5+((-5*-41.56)*(((-5--5)+(-41.56--5))+-41.56))))-(-5+-5)))*-5)))/-5)--5)+(-5*(((-41.56*(-41.56-(-5/-5)))*(-41.56-(-41.56/(-5*-41.56))))-(-5/-5)))))</f>
        <v>-362515.28927999997</v>
      </c>
      <c r="C5845" t="n" s="0">
        <v>-362515.2892800001</v>
      </c>
    </row>
    <row r="5846">
      <c r="A5846" t="n" s="0">
        <v>-41.55</v>
      </c>
      <c r="B5846" t="n" s="0">
        <f>(-5-((((-5*(-5/((-5/(((-5*(-41.55--5))-(-5+((-5*-41.55)*(((-5--5)+(-41.55--5))+-41.55))))-(-5+-5)))*-5)))/-5)--5)+(-5*(((-41.55*(-41.55-(-5/-5)))*(-41.55-(-41.55/(-5*-41.55))))-(-5/-5)))))</f>
        <v>-362254.574375</v>
      </c>
      <c r="C5846" t="n" s="0">
        <v>-362254.5743749999</v>
      </c>
    </row>
    <row r="5847">
      <c r="A5847" t="n" s="0">
        <v>-41.54</v>
      </c>
      <c r="B5847" t="n" s="0">
        <f>(-5-((((-5*(-5/((-5/(((-5*(-41.54--5))-(-5+((-5*-41.54)*(((-5--5)+(-41.54--5))+-41.54))))-(-5+-5)))*-5)))/-5)--5)+(-5*(((-41.54*(-41.54-(-5/-5)))*(-41.54-(-41.54/(-5*-41.54))))-(-5/-5)))))</f>
        <v>-361993.98452</v>
      </c>
      <c r="C5847" t="n" s="0">
        <v>-361993.98451999994</v>
      </c>
    </row>
    <row r="5848">
      <c r="A5848" t="n" s="0">
        <v>-41.53</v>
      </c>
      <c r="B5848" t="n" s="0">
        <f>(-5-((((-5*(-5/((-5/(((-5*(-41.53--5))-(-5+((-5*-41.53)*(((-5--5)+(-41.53--5))+-41.53))))-(-5+-5)))*-5)))/-5)--5)+(-5*(((-41.53*(-41.53-(-5/-5)))*(-41.53-(-41.53/(-5*-41.53))))-(-5/-5)))))</f>
        <v>-361733.519685</v>
      </c>
      <c r="C5848" t="n" s="0">
        <v>-361733.51968500006</v>
      </c>
    </row>
    <row r="5849">
      <c r="A5849" t="n" s="0">
        <v>-41.52</v>
      </c>
      <c r="B5849" t="n" s="0">
        <f>(-5-((((-5*(-5/((-5/(((-5*(-41.52--5))-(-5+((-5*-41.52)*(((-5--5)+(-41.52--5))+-41.52))))-(-5+-5)))*-5)))/-5)--5)+(-5*(((-41.52*(-41.52-(-5/-5)))*(-41.52-(-41.52/(-5*-41.52))))-(-5/-5)))))</f>
        <v>-361473.17984</v>
      </c>
      <c r="C5849" t="n" s="0">
        <v>-361473.17984000006</v>
      </c>
    </row>
    <row r="5850">
      <c r="A5850" t="n" s="0">
        <v>-41.51</v>
      </c>
      <c r="B5850" t="n" s="0">
        <f>(-5-((((-5*(-5/((-5/(((-5*(-41.51--5))-(-5+((-5*-41.51)*(((-5--5)+(-41.51--5))+-41.51))))-(-5+-5)))*-5)))/-5)--5)+(-5*(((-41.51*(-41.51-(-5/-5)))*(-41.51-(-41.51/(-5*-41.51))))-(-5/-5)))))</f>
        <v>-361212.964955</v>
      </c>
      <c r="C5850" t="n" s="0">
        <v>-361212.9649549999</v>
      </c>
    </row>
    <row r="5851">
      <c r="A5851" t="n" s="0">
        <v>-41.5</v>
      </c>
      <c r="B5851" t="n" s="0">
        <f>(-5-((((-5*(-5/((-5/(((-5*(-41.5--5))-(-5+((-5*-41.5)*(((-5--5)+(-41.5--5))+-41.5))))-(-5+-5)))*-5)))/-5)--5)+(-5*(((-41.5*(-41.5-(-5/-5)))*(-41.5-(-41.5/(-5*-41.5))))-(-5/-5)))))</f>
        <v>-360952.875</v>
      </c>
      <c r="C5851" t="n" s="0">
        <v>-360952.875</v>
      </c>
    </row>
    <row r="5852">
      <c r="A5852" t="n" s="0">
        <v>-41.49</v>
      </c>
      <c r="B5852" t="n" s="0">
        <f>(-5-((((-5*(-5/((-5/(((-5*(-41.49--5))-(-5+((-5*-41.49)*(((-5--5)+(-41.49--5))+-41.49))))-(-5+-5)))*-5)))/-5)--5)+(-5*(((-41.49*(-41.49-(-5/-5)))*(-41.49-(-41.49/(-5*-41.49))))-(-5/-5)))))</f>
        <v>-360692.90994499996</v>
      </c>
      <c r="C5852" t="n" s="0">
        <v>-360692.90994499996</v>
      </c>
    </row>
    <row r="5853">
      <c r="A5853" t="n" s="0">
        <v>-41.48</v>
      </c>
      <c r="B5853" t="n" s="0">
        <f>(-5-((((-5*(-5/((-5/(((-5*(-41.48--5))-(-5+((-5*-41.48)*(((-5--5)+(-41.48--5))+-41.48))))-(-5+-5)))*-5)))/-5)--5)+(-5*(((-41.48*(-41.48-(-5/-5)))*(-41.48-(-41.48/(-5*-41.48))))-(-5/-5)))))</f>
        <v>-360433.06976</v>
      </c>
      <c r="C5853" t="n" s="0">
        <v>-360433.0697599999</v>
      </c>
    </row>
    <row r="5854">
      <c r="A5854" t="n" s="0">
        <v>-41.47</v>
      </c>
      <c r="B5854" t="n" s="0">
        <f>(-5-((((-5*(-5/((-5/(((-5*(-41.47--5))-(-5+((-5*-41.47)*(((-5--5)+(-41.47--5))+-41.47))))-(-5+-5)))*-5)))/-5)--5)+(-5*(((-41.47*(-41.47-(-5/-5)))*(-41.47-(-41.47/(-5*-41.47))))-(-5/-5)))))</f>
        <v>-360173.354415</v>
      </c>
      <c r="C5854" t="n" s="0">
        <v>-360173.3544149999</v>
      </c>
    </row>
    <row r="5855">
      <c r="A5855" t="n" s="0">
        <v>-41.46</v>
      </c>
      <c r="B5855" t="n" s="0">
        <f>(-5-((((-5*(-5/((-5/(((-5*(-41.46--5))-(-5+((-5*-41.46)*(((-5--5)+(-41.46--5))+-41.46))))-(-5+-5)))*-5)))/-5)--5)+(-5*(((-41.46*(-41.46-(-5/-5)))*(-41.46-(-41.46/(-5*-41.46))))-(-5/-5)))))</f>
        <v>-359913.76388</v>
      </c>
      <c r="C5855" t="n" s="0">
        <v>-359913.76388</v>
      </c>
    </row>
    <row r="5856">
      <c r="A5856" t="n" s="0">
        <v>-41.45</v>
      </c>
      <c r="B5856" t="n" s="0">
        <f>(-5-((((-5*(-5/((-5/(((-5*(-41.45--5))-(-5+((-5*-41.45)*(((-5--5)+(-41.45--5))+-41.45))))-(-5+-5)))*-5)))/-5)--5)+(-5*(((-41.45*(-41.45-(-5/-5)))*(-41.45-(-41.45/(-5*-41.45))))-(-5/-5)))))</f>
        <v>-359654.298125</v>
      </c>
      <c r="C5856" t="n" s="0">
        <v>-359654.29812500003</v>
      </c>
    </row>
    <row r="5857">
      <c r="A5857" t="n" s="0">
        <v>-41.44</v>
      </c>
      <c r="B5857" t="n" s="0">
        <f>(-5-((((-5*(-5/((-5/(((-5*(-41.44--5))-(-5+((-5*-41.44)*(((-5--5)+(-41.44--5))+-41.44))))-(-5+-5)))*-5)))/-5)--5)+(-5*(((-41.44*(-41.44-(-5/-5)))*(-41.44-(-41.44/(-5*-41.44))))-(-5/-5)))))</f>
        <v>-359394.95712</v>
      </c>
      <c r="C5857" t="n" s="0">
        <v>-359394.9571199999</v>
      </c>
    </row>
    <row r="5858">
      <c r="A5858" t="n" s="0">
        <v>-41.43</v>
      </c>
      <c r="B5858" t="n" s="0">
        <f>(-5-((((-5*(-5/((-5/(((-5*(-41.43--5))-(-5+((-5*-41.43)*(((-5--5)+(-41.43--5))+-41.43))))-(-5+-5)))*-5)))/-5)--5)+(-5*(((-41.43*(-41.43-(-5/-5)))*(-41.43-(-41.43/(-5*-41.43))))-(-5/-5)))))</f>
        <v>-359135.740835</v>
      </c>
      <c r="C5858" t="n" s="0">
        <v>-359135.74083499995</v>
      </c>
    </row>
    <row r="5859">
      <c r="A5859" t="n" s="0">
        <v>-41.42</v>
      </c>
      <c r="B5859" t="n" s="0">
        <f>(-5-((((-5*(-5/((-5/(((-5*(-41.42--5))-(-5+((-5*-41.42)*(((-5--5)+(-41.42--5))+-41.42))))-(-5+-5)))*-5)))/-5)--5)+(-5*(((-41.42*(-41.42-(-5/-5)))*(-41.42-(-41.42/(-5*-41.42))))-(-5/-5)))))</f>
        <v>-358876.64924</v>
      </c>
      <c r="C5859" t="n" s="0">
        <v>-358876.64924000006</v>
      </c>
    </row>
    <row r="5860">
      <c r="A5860" t="n" s="0">
        <v>-41.41</v>
      </c>
      <c r="B5860" t="n" s="0">
        <f>(-5-((((-5*(-5/((-5/(((-5*(-41.41--5))-(-5+((-5*-41.41)*(((-5--5)+(-41.41--5))+-41.41))))-(-5+-5)))*-5)))/-5)--5)+(-5*(((-41.41*(-41.41-(-5/-5)))*(-41.41-(-41.41/(-5*-41.41))))-(-5/-5)))))</f>
        <v>-358617.682305</v>
      </c>
      <c r="C5860" t="n" s="0">
        <v>-358617.6823049999</v>
      </c>
    </row>
    <row r="5861">
      <c r="A5861" t="n" s="0">
        <v>-41.4</v>
      </c>
      <c r="B5861" t="n" s="0">
        <f>(-5-((((-5*(-5/((-5/(((-5*(-41.4--5))-(-5+((-5*-41.4)*(((-5--5)+(-41.4--5))+-41.4))))-(-5+-5)))*-5)))/-5)--5)+(-5*(((-41.4*(-41.4-(-5/-5)))*(-41.4-(-41.4/(-5*-41.4))))-(-5/-5)))))</f>
        <v>-358358.83999999997</v>
      </c>
      <c r="C5861" t="n" s="0">
        <v>-358358.83999999997</v>
      </c>
    </row>
    <row r="5862">
      <c r="A5862" t="n" s="0">
        <v>-41.39</v>
      </c>
      <c r="B5862" t="n" s="0">
        <f>(-5-((((-5*(-5/((-5/(((-5*(-41.39--5))-(-5+((-5*-41.39)*(((-5--5)+(-41.39--5))+-41.39))))-(-5+-5)))*-5)))/-5)--5)+(-5*(((-41.39*(-41.39-(-5/-5)))*(-41.39-(-41.39/(-5*-41.39))))-(-5/-5)))))</f>
        <v>-358100.122295</v>
      </c>
      <c r="C5862" t="n" s="0">
        <v>-358100.122295</v>
      </c>
    </row>
    <row r="5863">
      <c r="A5863" t="n" s="0">
        <v>-41.38</v>
      </c>
      <c r="B5863" t="n" s="0">
        <f>(-5-((((-5*(-5/((-5/(((-5*(-41.38--5))-(-5+((-5*-41.38)*(((-5--5)+(-41.38--5))+-41.38))))-(-5+-5)))*-5)))/-5)--5)+(-5*(((-41.38*(-41.38-(-5/-5)))*(-41.38-(-41.38/(-5*-41.38))))-(-5/-5)))))</f>
        <v>-357841.52916</v>
      </c>
      <c r="C5863" t="n" s="0">
        <v>-357841.5291600001</v>
      </c>
    </row>
    <row r="5864">
      <c r="A5864" t="n" s="0">
        <v>-41.37</v>
      </c>
      <c r="B5864" t="n" s="0">
        <f>(-5-((((-5*(-5/((-5/(((-5*(-41.37--5))-(-5+((-5*-41.37)*(((-5--5)+(-41.37--5))+-41.37))))-(-5+-5)))*-5)))/-5)--5)+(-5*(((-41.37*(-41.37-(-5/-5)))*(-41.37-(-41.37/(-5*-41.37))))-(-5/-5)))))</f>
        <v>-357583.06056500005</v>
      </c>
      <c r="C5864" t="n" s="0">
        <v>-357583.06056499993</v>
      </c>
    </row>
    <row r="5865">
      <c r="A5865" t="n" s="0">
        <v>-41.36</v>
      </c>
      <c r="B5865" t="n" s="0">
        <f>(-5-((((-5*(-5/((-5/(((-5*(-41.36--5))-(-5+((-5*-41.36)*(((-5--5)+(-41.36--5))+-41.36))))-(-5+-5)))*-5)))/-5)--5)+(-5*(((-41.36*(-41.36-(-5/-5)))*(-41.36-(-41.36/(-5*-41.36))))-(-5/-5)))))</f>
        <v>-357324.71648</v>
      </c>
      <c r="C5865" t="n" s="0">
        <v>-357324.71648</v>
      </c>
    </row>
    <row r="5866">
      <c r="A5866" t="n" s="0">
        <v>-41.35</v>
      </c>
      <c r="B5866" t="n" s="0">
        <f>(-5-((((-5*(-5/((-5/(((-5*(-41.35--5))-(-5+((-5*-41.35)*(((-5--5)+(-41.35--5))+-41.35))))-(-5+-5)))*-5)))/-5)--5)+(-5*(((-41.35*(-41.35-(-5/-5)))*(-41.35-(-41.35/(-5*-41.35))))-(-5/-5)))))</f>
        <v>-357066.496875</v>
      </c>
      <c r="C5866" t="n" s="0">
        <v>-357066.496875</v>
      </c>
    </row>
    <row r="5867">
      <c r="A5867" t="n" s="0">
        <v>-41.34</v>
      </c>
      <c r="B5867" t="n" s="0">
        <f>(-5-((((-5*(-5/((-5/(((-5*(-41.34--5))-(-5+((-5*-41.34)*(((-5--5)+(-41.34--5))+-41.34))))-(-5+-5)))*-5)))/-5)--5)+(-5*(((-41.34*(-41.34-(-5/-5)))*(-41.34-(-41.34/(-5*-41.34))))-(-5/-5)))))</f>
        <v>-356808.40172</v>
      </c>
      <c r="C5867" t="n" s="0">
        <v>-356808.4017200001</v>
      </c>
    </row>
    <row r="5868">
      <c r="A5868" t="n" s="0">
        <v>-41.33</v>
      </c>
      <c r="B5868" t="n" s="0">
        <f>(-5-((((-5*(-5/((-5/(((-5*(-41.33--5))-(-5+((-5*-41.33)*(((-5--5)+(-41.33--5))+-41.33))))-(-5+-5)))*-5)))/-5)--5)+(-5*(((-41.33*(-41.33-(-5/-5)))*(-41.33-(-41.33/(-5*-41.33))))-(-5/-5)))))</f>
        <v>-356550.43098500004</v>
      </c>
      <c r="C5868" t="n" s="0">
        <v>-356550.43098499987</v>
      </c>
    </row>
    <row r="5869">
      <c r="A5869" t="n" s="0">
        <v>-41.32</v>
      </c>
      <c r="B5869" t="n" s="0">
        <f>(-5-((((-5*(-5/((-5/(((-5*(-41.32--5))-(-5+((-5*-41.32)*(((-5--5)+(-41.32--5))+-41.32))))-(-5+-5)))*-5)))/-5)--5)+(-5*(((-41.32*(-41.32-(-5/-5)))*(-41.32-(-41.32/(-5*-41.32))))-(-5/-5)))))</f>
        <v>-356292.58463999996</v>
      </c>
      <c r="C5869" t="n" s="0">
        <v>-356292.58464</v>
      </c>
    </row>
    <row r="5870">
      <c r="A5870" t="n" s="0">
        <v>-41.31</v>
      </c>
      <c r="B5870" t="n" s="0">
        <f>(-5-((((-5*(-5/((-5/(((-5*(-41.31--5))-(-5+((-5*-41.31)*(((-5--5)+(-41.31--5))+-41.31))))-(-5+-5)))*-5)))/-5)--5)+(-5*(((-41.31*(-41.31-(-5/-5)))*(-41.31-(-41.31/(-5*-41.31))))-(-5/-5)))))</f>
        <v>-356034.86265499995</v>
      </c>
      <c r="C5870" t="n" s="0">
        <v>-356034.8626550001</v>
      </c>
    </row>
    <row r="5871">
      <c r="A5871" t="n" s="0">
        <v>-41.3</v>
      </c>
      <c r="B5871" t="n" s="0">
        <f>(-5-((((-5*(-5/((-5/(((-5*(-41.3--5))-(-5+((-5*-41.3)*(((-5--5)+(-41.3--5))+-41.3))))-(-5+-5)))*-5)))/-5)--5)+(-5*(((-41.3*(-41.3-(-5/-5)))*(-41.3-(-41.3/(-5*-41.3))))-(-5/-5)))))</f>
        <v>-355777.265</v>
      </c>
      <c r="C5871" t="n" s="0">
        <v>-355777.26499999996</v>
      </c>
    </row>
    <row r="5872">
      <c r="A5872" t="n" s="0">
        <v>-41.29</v>
      </c>
      <c r="B5872" t="n" s="0">
        <f>(-5-((((-5*(-5/((-5/(((-5*(-41.29--5))-(-5+((-5*-41.29)*(((-5--5)+(-41.29--5))+-41.29))))-(-5+-5)))*-5)))/-5)--5)+(-5*(((-41.29*(-41.29-(-5/-5)))*(-41.29-(-41.29/(-5*-41.29))))-(-5/-5)))))</f>
        <v>-355519.79164500005</v>
      </c>
      <c r="C5872" t="n" s="0">
        <v>-355519.791645</v>
      </c>
    </row>
    <row r="5873">
      <c r="A5873" t="n" s="0">
        <v>-41.28</v>
      </c>
      <c r="B5873" t="n" s="0">
        <f>(-5-((((-5*(-5/((-5/(((-5*(-41.28--5))-(-5+((-5*-41.28)*(((-5--5)+(-41.28--5))+-41.28))))-(-5+-5)))*-5)))/-5)--5)+(-5*(((-41.28*(-41.28-(-5/-5)))*(-41.28-(-41.28/(-5*-41.28))))-(-5/-5)))))</f>
        <v>-355262.44256</v>
      </c>
      <c r="C5873" t="n" s="0">
        <v>-355262.44256000005</v>
      </c>
    </row>
    <row r="5874">
      <c r="A5874" t="n" s="0">
        <v>-41.27</v>
      </c>
      <c r="B5874" t="n" s="0">
        <f>(-5-((((-5*(-5/((-5/(((-5*(-41.27--5))-(-5+((-5*-41.27)*(((-5--5)+(-41.27--5))+-41.27))))-(-5+-5)))*-5)))/-5)--5)+(-5*(((-41.27*(-41.27-(-5/-5)))*(-41.27-(-41.27/(-5*-41.27))))-(-5/-5)))))</f>
        <v>-355005.217715</v>
      </c>
      <c r="C5874" t="n" s="0">
        <v>-355005.2177150001</v>
      </c>
    </row>
    <row r="5875">
      <c r="A5875" t="n" s="0">
        <v>-41.26</v>
      </c>
      <c r="B5875" t="n" s="0">
        <f>(-5-((((-5*(-5/((-5/(((-5*(-41.26--5))-(-5+((-5*-41.26)*(((-5--5)+(-41.26--5))+-41.26))))-(-5+-5)))*-5)))/-5)--5)+(-5*(((-41.26*(-41.26-(-5/-5)))*(-41.26-(-41.26/(-5*-41.26))))-(-5/-5)))))</f>
        <v>-354748.11708</v>
      </c>
      <c r="C5875" t="n" s="0">
        <v>-354748.11707999994</v>
      </c>
    </row>
    <row r="5876">
      <c r="A5876" t="n" s="0">
        <v>-41.25</v>
      </c>
      <c r="B5876" t="n" s="0">
        <f>(-5-((((-5*(-5/((-5/(((-5*(-41.25--5))-(-5+((-5*-41.25)*(((-5--5)+(-41.25--5))+-41.25))))-(-5+-5)))*-5)))/-5)--5)+(-5*(((-41.25*(-41.25-(-5/-5)))*(-41.25-(-41.25/(-5*-41.25))))-(-5/-5)))))</f>
        <v>-354491.140625</v>
      </c>
      <c r="C5876" t="n" s="0">
        <v>-354491.140625</v>
      </c>
    </row>
    <row r="5877">
      <c r="A5877" t="n" s="0">
        <v>-41.24</v>
      </c>
      <c r="B5877" t="n" s="0">
        <f>(-5-((((-5*(-5/((-5/(((-5*(-41.24--5))-(-5+((-5*-41.24)*(((-5--5)+(-41.24--5))+-41.24))))-(-5+-5)))*-5)))/-5)--5)+(-5*(((-41.24*(-41.24-(-5/-5)))*(-41.24-(-41.24/(-5*-41.24))))-(-5/-5)))))</f>
        <v>-354234.28832</v>
      </c>
      <c r="C5877" t="n" s="0">
        <v>-354234.28832000005</v>
      </c>
    </row>
    <row r="5878">
      <c r="A5878" t="n" s="0">
        <v>-41.23</v>
      </c>
      <c r="B5878" t="n" s="0">
        <f>(-5-((((-5*(-5/((-5/(((-5*(-41.23--5))-(-5+((-5*-41.23)*(((-5--5)+(-41.23--5))+-41.23))))-(-5+-5)))*-5)))/-5)--5)+(-5*(((-41.23*(-41.23-(-5/-5)))*(-41.23-(-41.23/(-5*-41.23))))-(-5/-5)))))</f>
        <v>-353977.560135</v>
      </c>
      <c r="C5878" t="n" s="0">
        <v>-353977.560135</v>
      </c>
    </row>
    <row r="5879">
      <c r="A5879" t="n" s="0">
        <v>-41.22</v>
      </c>
      <c r="B5879" t="n" s="0">
        <f>(-5-((((-5*(-5/((-5/(((-5*(-41.22--5))-(-5+((-5*-41.22)*(((-5--5)+(-41.22--5))+-41.22))))-(-5+-5)))*-5)))/-5)--5)+(-5*(((-41.22*(-41.22-(-5/-5)))*(-41.22-(-41.22/(-5*-41.22))))-(-5/-5)))))</f>
        <v>-353720.95603999996</v>
      </c>
      <c r="C5879" t="n" s="0">
        <v>-353720.95603999996</v>
      </c>
    </row>
    <row r="5880">
      <c r="A5880" t="n" s="0">
        <v>-41.21</v>
      </c>
      <c r="B5880" t="n" s="0">
        <f>(-5-((((-5*(-5/((-5/(((-5*(-41.21--5))-(-5+((-5*-41.21)*(((-5--5)+(-41.21--5))+-41.21))))-(-5+-5)))*-5)))/-5)--5)+(-5*(((-41.21*(-41.21-(-5/-5)))*(-41.21-(-41.21/(-5*-41.21))))-(-5/-5)))))</f>
        <v>-353464.476005</v>
      </c>
      <c r="C5880" t="n" s="0">
        <v>-353464.47600500006</v>
      </c>
    </row>
    <row r="5881">
      <c r="A5881" t="n" s="0">
        <v>-41.2</v>
      </c>
      <c r="B5881" t="n" s="0">
        <f>(-5-((((-5*(-5/((-5/(((-5*(-41.2--5))-(-5+((-5*-41.2)*(((-5--5)+(-41.2--5))+-41.2))))-(-5+-5)))*-5)))/-5)--5)+(-5*(((-41.2*(-41.2-(-5/-5)))*(-41.2-(-41.2/(-5*-41.2))))-(-5/-5)))))</f>
        <v>-353208.12</v>
      </c>
      <c r="C5881" t="n" s="0">
        <v>-353208.1200000001</v>
      </c>
    </row>
    <row r="5882">
      <c r="A5882" t="n" s="0">
        <v>-41.19</v>
      </c>
      <c r="B5882" t="n" s="0">
        <f>(-5-((((-5*(-5/((-5/(((-5*(-41.19--5))-(-5+((-5*-41.19)*(((-5--5)+(-41.19--5))+-41.19))))-(-5+-5)))*-5)))/-5)--5)+(-5*(((-41.19*(-41.19-(-5/-5)))*(-41.19-(-41.19/(-5*-41.19))))-(-5/-5)))))</f>
        <v>-352951.887995</v>
      </c>
      <c r="C5882" t="n" s="0">
        <v>-352951.887995</v>
      </c>
    </row>
    <row r="5883">
      <c r="A5883" t="n" s="0">
        <v>-41.18</v>
      </c>
      <c r="B5883" t="n" s="0">
        <f>(-5-((((-5*(-5/((-5/(((-5*(-41.18--5))-(-5+((-5*-41.18)*(((-5--5)+(-41.18--5))+-41.18))))-(-5+-5)))*-5)))/-5)--5)+(-5*(((-41.18*(-41.18-(-5/-5)))*(-41.18-(-41.18/(-5*-41.18))))-(-5/-5)))))</f>
        <v>-352695.77996</v>
      </c>
      <c r="C5883" t="n" s="0">
        <v>-352695.77995999996</v>
      </c>
    </row>
    <row r="5884">
      <c r="A5884" t="n" s="0">
        <v>-41.17</v>
      </c>
      <c r="B5884" t="n" s="0">
        <f>(-5-((((-5*(-5/((-5/(((-5*(-41.17--5))-(-5+((-5*-41.17)*(((-5--5)+(-41.17--5))+-41.17))))-(-5+-5)))*-5)))/-5)--5)+(-5*(((-41.17*(-41.17-(-5/-5)))*(-41.17-(-41.17/(-5*-41.17))))-(-5/-5)))))</f>
        <v>-352439.795865</v>
      </c>
      <c r="C5884" t="n" s="0">
        <v>-352439.79586500005</v>
      </c>
    </row>
    <row r="5885">
      <c r="A5885" t="n" s="0">
        <v>-41.16</v>
      </c>
      <c r="B5885" t="n" s="0">
        <f>(-5-((((-5*(-5/((-5/(((-5*(-41.16--5))-(-5+((-5*-41.16)*(((-5--5)+(-41.16--5))+-41.16))))-(-5+-5)))*-5)))/-5)--5)+(-5*(((-41.16*(-41.16-(-5/-5)))*(-41.16-(-41.16/(-5*-41.16))))-(-5/-5)))))</f>
        <v>-352183.93568</v>
      </c>
      <c r="C5885" t="n" s="0">
        <v>-352183.9356799999</v>
      </c>
    </row>
    <row r="5886">
      <c r="A5886" t="n" s="0">
        <v>-41.15</v>
      </c>
      <c r="B5886" t="n" s="0">
        <f>(-5-((((-5*(-5/((-5/(((-5*(-41.15--5))-(-5+((-5*-41.15)*(((-5--5)+(-41.15--5))+-41.15))))-(-5+-5)))*-5)))/-5)--5)+(-5*(((-41.15*(-41.15-(-5/-5)))*(-41.15-(-41.15/(-5*-41.15))))-(-5/-5)))))</f>
        <v>-351928.199375</v>
      </c>
      <c r="C5886" t="n" s="0">
        <v>-351928.199375</v>
      </c>
    </row>
    <row r="5887">
      <c r="A5887" t="n" s="0">
        <v>-41.14</v>
      </c>
      <c r="B5887" t="n" s="0">
        <f>(-5-((((-5*(-5/((-5/(((-5*(-41.14--5))-(-5+((-5*-41.14)*(((-5--5)+(-41.14--5))+-41.14))))-(-5+-5)))*-5)))/-5)--5)+(-5*(((-41.14*(-41.14-(-5/-5)))*(-41.14-(-41.14/(-5*-41.14))))-(-5/-5)))))</f>
        <v>-351672.58692</v>
      </c>
      <c r="C5887" t="n" s="0">
        <v>-351672.58692000003</v>
      </c>
    </row>
    <row r="5888">
      <c r="A5888" t="n" s="0">
        <v>-41.13</v>
      </c>
      <c r="B5888" t="n" s="0">
        <f>(-5-((((-5*(-5/((-5/(((-5*(-41.13--5))-(-5+((-5*-41.13)*(((-5--5)+(-41.13--5))+-41.13))))-(-5+-5)))*-5)))/-5)--5)+(-5*(((-41.13*(-41.13-(-5/-5)))*(-41.13-(-41.13/(-5*-41.13))))-(-5/-5)))))</f>
        <v>-351417.09828499996</v>
      </c>
      <c r="C5888" t="n" s="0">
        <v>-351417.0982850001</v>
      </c>
    </row>
    <row r="5889">
      <c r="A5889" t="n" s="0">
        <v>-41.12</v>
      </c>
      <c r="B5889" t="n" s="0">
        <f>(-5-((((-5*(-5/((-5/(((-5*(-41.12--5))-(-5+((-5*-41.12)*(((-5--5)+(-41.12--5))+-41.12))))-(-5+-5)))*-5)))/-5)--5)+(-5*(((-41.12*(-41.12-(-5/-5)))*(-41.12-(-41.12/(-5*-41.12))))-(-5/-5)))))</f>
        <v>-351161.73344000004</v>
      </c>
      <c r="C5889" t="n" s="0">
        <v>-351161.7334399999</v>
      </c>
    </row>
    <row r="5890">
      <c r="A5890" t="n" s="0">
        <v>-41.11</v>
      </c>
      <c r="B5890" t="n" s="0">
        <f>(-5-((((-5*(-5/((-5/(((-5*(-41.11--5))-(-5+((-5*-41.11)*(((-5--5)+(-41.11--5))+-41.11))))-(-5+-5)))*-5)))/-5)--5)+(-5*(((-41.11*(-41.11-(-5/-5)))*(-41.11-(-41.11/(-5*-41.11))))-(-5/-5)))))</f>
        <v>-350906.492355</v>
      </c>
      <c r="C5890" t="n" s="0">
        <v>-350906.49235500005</v>
      </c>
    </row>
    <row r="5891">
      <c r="A5891" t="n" s="0">
        <v>-41.1</v>
      </c>
      <c r="B5891" t="n" s="0">
        <f>(-5-((((-5*(-5/((-5/(((-5*(-41.1--5))-(-5+((-5*-41.1)*(((-5--5)+(-41.1--5))+-41.1))))-(-5+-5)))*-5)))/-5)--5)+(-5*(((-41.1*(-41.1-(-5/-5)))*(-41.1-(-41.1/(-5*-41.1))))-(-5/-5)))))</f>
        <v>-350651.375</v>
      </c>
      <c r="C5891" t="n" s="0">
        <v>-350651.375</v>
      </c>
    </row>
    <row r="5892">
      <c r="A5892" t="n" s="0">
        <v>-41.09</v>
      </c>
      <c r="B5892" t="n" s="0">
        <f>(-5-((((-5*(-5/((-5/(((-5*(-41.09--5))-(-5+((-5*-41.09)*(((-5--5)+(-41.09--5))+-41.09))))-(-5+-5)))*-5)))/-5)--5)+(-5*(((-41.09*(-41.09-(-5/-5)))*(-41.09-(-41.09/(-5*-41.09))))-(-5/-5)))))</f>
        <v>-350396.381345</v>
      </c>
      <c r="C5892" t="n" s="0">
        <v>-350396.3813450001</v>
      </c>
    </row>
    <row r="5893">
      <c r="A5893" t="n" s="0">
        <v>-41.08</v>
      </c>
      <c r="B5893" t="n" s="0">
        <f>(-5-((((-5*(-5/((-5/(((-5*(-41.08--5))-(-5+((-5*-41.08)*(((-5--5)+(-41.08--5))+-41.08))))-(-5+-5)))*-5)))/-5)--5)+(-5*(((-41.08*(-41.08-(-5/-5)))*(-41.08-(-41.08/(-5*-41.08))))-(-5/-5)))))</f>
        <v>-350141.51136000006</v>
      </c>
      <c r="C5893" t="n" s="0">
        <v>-350141.51136</v>
      </c>
    </row>
    <row r="5894">
      <c r="A5894" t="n" s="0">
        <v>-41.07</v>
      </c>
      <c r="B5894" t="n" s="0">
        <f>(-5-((((-5*(-5/((-5/(((-5*(-41.07--5))-(-5+((-5*-41.07)*(((-5--5)+(-41.07--5))+-41.07))))-(-5+-5)))*-5)))/-5)--5)+(-5*(((-41.07*(-41.07-(-5/-5)))*(-41.07-(-41.07/(-5*-41.07))))-(-5/-5)))))</f>
        <v>-349886.765015</v>
      </c>
      <c r="C5894" t="n" s="0">
        <v>-349886.765015</v>
      </c>
    </row>
    <row r="5895">
      <c r="A5895" t="n" s="0">
        <v>-41.06</v>
      </c>
      <c r="B5895" t="n" s="0">
        <f>(-5-((((-5*(-5/((-5/(((-5*(-41.06--5))-(-5+((-5*-41.06)*(((-5--5)+(-41.06--5))+-41.06))))-(-5+-5)))*-5)))/-5)--5)+(-5*(((-41.06*(-41.06-(-5/-5)))*(-41.06-(-41.06/(-5*-41.06))))-(-5/-5)))))</f>
        <v>-349632.14228000003</v>
      </c>
      <c r="C5895" t="n" s="0">
        <v>-349632.14228000003</v>
      </c>
    </row>
    <row r="5896">
      <c r="A5896" t="n" s="0">
        <v>-41.05</v>
      </c>
      <c r="B5896" t="n" s="0">
        <f>(-5-((((-5*(-5/((-5/(((-5*(-41.05--5))-(-5+((-5*-41.05)*(((-5--5)+(-41.05--5))+-41.05))))-(-5+-5)))*-5)))/-5)--5)+(-5*(((-41.05*(-41.05-(-5/-5)))*(-41.05-(-41.05/(-5*-41.05))))-(-5/-5)))))</f>
        <v>-349377.643125</v>
      </c>
      <c r="C5896" t="n" s="0">
        <v>-349377.64312499994</v>
      </c>
    </row>
    <row r="5897">
      <c r="A5897" t="n" s="0">
        <v>-41.04</v>
      </c>
      <c r="B5897" t="n" s="0">
        <f>(-5-((((-5*(-5/((-5/(((-5*(-41.04--5))-(-5+((-5*-41.04)*(((-5--5)+(-41.04--5))+-41.04))))-(-5+-5)))*-5)))/-5)--5)+(-5*(((-41.04*(-41.04-(-5/-5)))*(-41.04-(-41.04/(-5*-41.04))))-(-5/-5)))))</f>
        <v>-349123.26752</v>
      </c>
      <c r="C5897" t="n" s="0">
        <v>-349123.26752</v>
      </c>
    </row>
    <row r="5898">
      <c r="A5898" t="n" s="0">
        <v>-41.03</v>
      </c>
      <c r="B5898" t="n" s="0">
        <f>(-5-((((-5*(-5/((-5/(((-5*(-41.03--5))-(-5+((-5*-41.03)*(((-5--5)+(-41.03--5))+-41.03))))-(-5+-5)))*-5)))/-5)--5)+(-5*(((-41.03*(-41.03-(-5/-5)))*(-41.03-(-41.03/(-5*-41.03))))-(-5/-5)))))</f>
        <v>-348869.015435</v>
      </c>
      <c r="C5898" t="n" s="0">
        <v>-348869.015435</v>
      </c>
    </row>
    <row r="5899">
      <c r="A5899" t="n" s="0">
        <v>-41.02</v>
      </c>
      <c r="B5899" t="n" s="0">
        <f>(-5-((((-5*(-5/((-5/(((-5*(-41.02--5))-(-5+((-5*-41.02)*(((-5--5)+(-41.02--5))+-41.02))))-(-5+-5)))*-5)))/-5)--5)+(-5*(((-41.02*(-41.02-(-5/-5)))*(-41.02-(-41.02/(-5*-41.02))))-(-5/-5)))))</f>
        <v>-348614.88684</v>
      </c>
      <c r="C5899" t="n" s="0">
        <v>-348614.88684000005</v>
      </c>
    </row>
    <row r="5900">
      <c r="A5900" t="n" s="0">
        <v>-41.01</v>
      </c>
      <c r="B5900" t="n" s="0">
        <f>(-5-((((-5*(-5/((-5/(((-5*(-41.01--5))-(-5+((-5*-41.01)*(((-5--5)+(-41.01--5))+-41.01))))-(-5+-5)))*-5)))/-5)--5)+(-5*(((-41.01*(-41.01-(-5/-5)))*(-41.01-(-41.01/(-5*-41.01))))-(-5/-5)))))</f>
        <v>-348360.881705</v>
      </c>
      <c r="C5900" t="n" s="0">
        <v>-348360.881705</v>
      </c>
    </row>
    <row r="5901">
      <c r="A5901" t="n" s="0">
        <v>-41.0</v>
      </c>
      <c r="B5901" t="n" s="0">
        <f>(-5-((((-5*(-5/((-5/(((-5*(-41--5))-(-5+((-5*-41)*(((-5--5)+(-41--5))+-41))))-(-5+-5)))*-5)))/-5)--5)+(-5*(((-41*(-41-(-5/-5)))*(-41-(-41/(-5*-41))))-(-5/-5)))))</f>
        <v>-348107.0</v>
      </c>
      <c r="C5901" t="n" s="0">
        <v>-348107.0</v>
      </c>
    </row>
    <row r="5902">
      <c r="A5902" t="n" s="0">
        <v>-40.99</v>
      </c>
      <c r="B5902" t="n" s="0">
        <f>(-5-((((-5*(-5/((-5/(((-5*(-40.99--5))-(-5+((-5*-40.99)*(((-5--5)+(-40.99--5))+-40.99))))-(-5+-5)))*-5)))/-5)--5)+(-5*(((-40.99*(-40.99-(-5/-5)))*(-40.99-(-40.99/(-5*-40.99))))-(-5/-5)))))</f>
        <v>-347853.24169500003</v>
      </c>
      <c r="C5902" t="n" s="0">
        <v>-347853.24169500003</v>
      </c>
    </row>
    <row r="5903">
      <c r="A5903" t="n" s="0">
        <v>-40.98</v>
      </c>
      <c r="B5903" t="n" s="0">
        <f>(-5-((((-5*(-5/((-5/(((-5*(-40.98--5))-(-5+((-5*-40.98)*(((-5--5)+(-40.98--5))+-40.98))))-(-5+-5)))*-5)))/-5)--5)+(-5*(((-40.98*(-40.98-(-5/-5)))*(-40.98-(-40.98/(-5*-40.98))))-(-5/-5)))))</f>
        <v>-347599.60676</v>
      </c>
      <c r="C5903" t="n" s="0">
        <v>-347599.60675999994</v>
      </c>
    </row>
    <row r="5904">
      <c r="A5904" t="n" s="0">
        <v>-40.97</v>
      </c>
      <c r="B5904" t="n" s="0">
        <f>(-5-((((-5*(-5/((-5/(((-5*(-40.97--5))-(-5+((-5*-40.97)*(((-5--5)+(-40.97--5))+-40.97))))-(-5+-5)))*-5)))/-5)--5)+(-5*(((-40.97*(-40.97-(-5/-5)))*(-40.97-(-40.97/(-5*-40.97))))-(-5/-5)))))</f>
        <v>-347346.095165</v>
      </c>
      <c r="C5904" t="n" s="0">
        <v>-347346.09516499995</v>
      </c>
    </row>
    <row r="5905">
      <c r="A5905" t="n" s="0">
        <v>-40.96</v>
      </c>
      <c r="B5905" t="n" s="0">
        <f>(-5-((((-5*(-5/((-5/(((-5*(-40.96--5))-(-5+((-5*-40.96)*(((-5--5)+(-40.96--5))+-40.96))))-(-5+-5)))*-5)))/-5)--5)+(-5*(((-40.96*(-40.96-(-5/-5)))*(-40.96-(-40.96/(-5*-40.96))))-(-5/-5)))))</f>
        <v>-347092.70688</v>
      </c>
      <c r="C5905" t="n" s="0">
        <v>-347092.70688000007</v>
      </c>
    </row>
    <row r="5906">
      <c r="A5906" t="n" s="0">
        <v>-40.95</v>
      </c>
      <c r="B5906" t="n" s="0">
        <f>(-5-((((-5*(-5/((-5/(((-5*(-40.95--5))-(-5+((-5*-40.95)*(((-5--5)+(-40.95--5))+-40.95))))-(-5+-5)))*-5)))/-5)--5)+(-5*(((-40.95*(-40.95-(-5/-5)))*(-40.95-(-40.95/(-5*-40.95))))-(-5/-5)))))</f>
        <v>-346839.441875</v>
      </c>
      <c r="C5906" t="n" s="0">
        <v>-346839.441875</v>
      </c>
    </row>
    <row r="5907">
      <c r="A5907" t="n" s="0">
        <v>-40.94</v>
      </c>
      <c r="B5907" t="n" s="0">
        <f>(-5-((((-5*(-5/((-5/(((-5*(-40.94--5))-(-5+((-5*-40.94)*(((-5--5)+(-40.94--5))+-40.94))))-(-5+-5)))*-5)))/-5)--5)+(-5*(((-40.94*(-40.94-(-5/-5)))*(-40.94-(-40.94/(-5*-40.94))))-(-5/-5)))))</f>
        <v>-346586.30011999997</v>
      </c>
      <c r="C5907" t="n" s="0">
        <v>-346586.30011999997</v>
      </c>
    </row>
    <row r="5908">
      <c r="A5908" t="n" s="0">
        <v>-40.93</v>
      </c>
      <c r="B5908" t="n" s="0">
        <f>(-5-((((-5*(-5/((-5/(((-5*(-40.93--5))-(-5+((-5*-40.93)*(((-5--5)+(-40.93--5))+-40.93))))-(-5+-5)))*-5)))/-5)--5)+(-5*(((-40.93*(-40.93-(-5/-5)))*(-40.93-(-40.93/(-5*-40.93))))-(-5/-5)))))</f>
        <v>-346333.281585</v>
      </c>
      <c r="C5908" t="n" s="0">
        <v>-346333.281585</v>
      </c>
    </row>
    <row r="5909">
      <c r="A5909" t="n" s="0">
        <v>-40.92</v>
      </c>
      <c r="B5909" t="n" s="0">
        <f>(-5-((((-5*(-5/((-5/(((-5*(-40.92--5))-(-5+((-5*-40.92)*(((-5--5)+(-40.92--5))+-40.92))))-(-5+-5)))*-5)))/-5)--5)+(-5*(((-40.92*(-40.92-(-5/-5)))*(-40.92-(-40.92/(-5*-40.92))))-(-5/-5)))))</f>
        <v>-346080.38624</v>
      </c>
      <c r="C5909" t="n" s="0">
        <v>-346080.38624</v>
      </c>
    </row>
    <row r="5910">
      <c r="A5910" t="n" s="0">
        <v>-40.91</v>
      </c>
      <c r="B5910" t="n" s="0">
        <f>(-5-((((-5*(-5/((-5/(((-5*(-40.91--5))-(-5+((-5*-40.91)*(((-5--5)+(-40.91--5))+-40.91))))-(-5+-5)))*-5)))/-5)--5)+(-5*(((-40.91*(-40.91-(-5/-5)))*(-40.91-(-40.91/(-5*-40.91))))-(-5/-5)))))</f>
        <v>-345827.614055</v>
      </c>
      <c r="C5910" t="n" s="0">
        <v>-345827.6140549999</v>
      </c>
    </row>
    <row r="5911">
      <c r="A5911" t="n" s="0">
        <v>-40.9</v>
      </c>
      <c r="B5911" t="n" s="0">
        <f>(-5-((((-5*(-5/((-5/(((-5*(-40.9--5))-(-5+((-5*-40.9)*(((-5--5)+(-40.9--5))+-40.9))))-(-5+-5)))*-5)))/-5)--5)+(-5*(((-40.9*(-40.9-(-5/-5)))*(-40.9-(-40.9/(-5*-40.9))))-(-5/-5)))))</f>
        <v>-345574.965</v>
      </c>
      <c r="C5911" t="n" s="0">
        <v>-345574.96499999997</v>
      </c>
    </row>
    <row r="5912">
      <c r="A5912" t="n" s="0">
        <v>-40.89</v>
      </c>
      <c r="B5912" t="n" s="0">
        <f>(-5-((((-5*(-5/((-5/(((-5*(-40.89--5))-(-5+((-5*-40.89)*(((-5--5)+(-40.89--5))+-40.89))))-(-5+-5)))*-5)))/-5)--5)+(-5*(((-40.89*(-40.89-(-5/-5)))*(-40.89-(-40.89/(-5*-40.89))))-(-5/-5)))))</f>
        <v>-345322.439045</v>
      </c>
      <c r="C5912" t="n" s="0">
        <v>-345322.439045</v>
      </c>
    </row>
    <row r="5913">
      <c r="A5913" t="n" s="0">
        <v>-40.88</v>
      </c>
      <c r="B5913" t="n" s="0">
        <f>(-5-((((-5*(-5/((-5/(((-5*(-40.88--5))-(-5+((-5*-40.88)*(((-5--5)+(-40.88--5))+-40.88))))-(-5+-5)))*-5)))/-5)--5)+(-5*(((-40.88*(-40.88-(-5/-5)))*(-40.88-(-40.88/(-5*-40.88))))-(-5/-5)))))</f>
        <v>-345070.03615999996</v>
      </c>
      <c r="C5913" t="n" s="0">
        <v>-345070.0361600001</v>
      </c>
    </row>
    <row r="5914">
      <c r="A5914" t="n" s="0">
        <v>-40.87</v>
      </c>
      <c r="B5914" t="n" s="0">
        <f>(-5-((((-5*(-5/((-5/(((-5*(-40.87--5))-(-5+((-5*-40.87)*(((-5--5)+(-40.87--5))+-40.87))))-(-5+-5)))*-5)))/-5)--5)+(-5*(((-40.87*(-40.87-(-5/-5)))*(-40.87-(-40.87/(-5*-40.87))))-(-5/-5)))))</f>
        <v>-344817.756315</v>
      </c>
      <c r="C5914" t="n" s="0">
        <v>-344817.756315</v>
      </c>
    </row>
    <row r="5915">
      <c r="A5915" t="n" s="0">
        <v>-40.86</v>
      </c>
      <c r="B5915" t="n" s="0">
        <f>(-5-((((-5*(-5/((-5/(((-5*(-40.86--5))-(-5+((-5*-40.86)*(((-5--5)+(-40.86--5))+-40.86))))-(-5+-5)))*-5)))/-5)--5)+(-5*(((-40.86*(-40.86-(-5/-5)))*(-40.86-(-40.86/(-5*-40.86))))-(-5/-5)))))</f>
        <v>-344565.59948</v>
      </c>
      <c r="C5915" t="n" s="0">
        <v>-344565.59948</v>
      </c>
    </row>
    <row r="5916">
      <c r="A5916" t="n" s="0">
        <v>-40.85</v>
      </c>
      <c r="B5916" t="n" s="0">
        <f>(-5-((((-5*(-5/((-5/(((-5*(-40.85--5))-(-5+((-5*-40.85)*(((-5--5)+(-40.85--5))+-40.85))))-(-5+-5)))*-5)))/-5)--5)+(-5*(((-40.85*(-40.85-(-5/-5)))*(-40.85-(-40.85/(-5*-40.85))))-(-5/-5)))))</f>
        <v>-344313.565625</v>
      </c>
      <c r="C5916" t="n" s="0">
        <v>-344313.56562500005</v>
      </c>
    </row>
    <row r="5917">
      <c r="A5917" t="n" s="0">
        <v>-40.84</v>
      </c>
      <c r="B5917" t="n" s="0">
        <f>(-5-((((-5*(-5/((-5/(((-5*(-40.84--5))-(-5+((-5*-40.84)*(((-5--5)+(-40.84--5))+-40.84))))-(-5+-5)))*-5)))/-5)--5)+(-5*(((-40.84*(-40.84-(-5/-5)))*(-40.84-(-40.84/(-5*-40.84))))-(-5/-5)))))</f>
        <v>-344061.65472</v>
      </c>
      <c r="C5917" t="n" s="0">
        <v>-344061.6547200001</v>
      </c>
    </row>
    <row r="5918">
      <c r="A5918" t="n" s="0">
        <v>-40.83</v>
      </c>
      <c r="B5918" t="n" s="0">
        <f>(-5-((((-5*(-5/((-5/(((-5*(-40.83--5))-(-5+((-5*-40.83)*(((-5--5)+(-40.83--5))+-40.83))))-(-5+-5)))*-5)))/-5)--5)+(-5*(((-40.83*(-40.83-(-5/-5)))*(-40.83-(-40.83/(-5*-40.83))))-(-5/-5)))))</f>
        <v>-343809.866735</v>
      </c>
      <c r="C5918" t="n" s="0">
        <v>-343809.866735</v>
      </c>
    </row>
    <row r="5919">
      <c r="A5919" t="n" s="0">
        <v>-40.82</v>
      </c>
      <c r="B5919" t="n" s="0">
        <f>(-5-((((-5*(-5/((-5/(((-5*(-40.82--5))-(-5+((-5*-40.82)*(((-5--5)+(-40.82--5))+-40.82))))-(-5+-5)))*-5)))/-5)--5)+(-5*(((-40.82*(-40.82-(-5/-5)))*(-40.82-(-40.82/(-5*-40.82))))-(-5/-5)))))</f>
        <v>-343558.20164</v>
      </c>
      <c r="C5919" t="n" s="0">
        <v>-343558.20164</v>
      </c>
    </row>
    <row r="5920">
      <c r="A5920" t="n" s="0">
        <v>-40.81</v>
      </c>
      <c r="B5920" t="n" s="0">
        <f>(-5-((((-5*(-5/((-5/(((-5*(-40.81--5))-(-5+((-5*-40.81)*(((-5--5)+(-40.81--5))+-40.81))))-(-5+-5)))*-5)))/-5)--5)+(-5*(((-40.81*(-40.81-(-5/-5)))*(-40.81-(-40.81/(-5*-40.81))))-(-5/-5)))))</f>
        <v>-343306.65940500004</v>
      </c>
      <c r="C5920" t="n" s="0">
        <v>-343306.6594050001</v>
      </c>
    </row>
    <row r="5921">
      <c r="A5921" t="n" s="0">
        <v>-40.8</v>
      </c>
      <c r="B5921" t="n" s="0">
        <f>(-5-((((-5*(-5/((-5/(((-5*(-40.8--5))-(-5+((-5*-40.8)*(((-5--5)+(-40.8--5))+-40.8))))-(-5+-5)))*-5)))/-5)--5)+(-5*(((-40.8*(-40.8-(-5/-5)))*(-40.8-(-40.8/(-5*-40.8))))-(-5/-5)))))</f>
        <v>-343055.24</v>
      </c>
      <c r="C5921" t="n" s="0">
        <v>-343055.24</v>
      </c>
    </row>
    <row r="5922">
      <c r="A5922" t="n" s="0">
        <v>-40.79</v>
      </c>
      <c r="B5922" t="n" s="0">
        <f>(-5-((((-5*(-5/((-5/(((-5*(-40.79--5))-(-5+((-5*-40.79)*(((-5--5)+(-40.79--5))+-40.79))))-(-5+-5)))*-5)))/-5)--5)+(-5*(((-40.79*(-40.79-(-5/-5)))*(-40.79-(-40.79/(-5*-40.79))))-(-5/-5)))))</f>
        <v>-342803.94339499995</v>
      </c>
      <c r="C5922" t="n" s="0">
        <v>-342803.943395</v>
      </c>
    </row>
    <row r="5923">
      <c r="A5923" t="n" s="0">
        <v>-40.78</v>
      </c>
      <c r="B5923" t="n" s="0">
        <f>(-5-((((-5*(-5/((-5/(((-5*(-40.78--5))-(-5+((-5*-40.78)*(((-5--5)+(-40.78--5))+-40.78))))-(-5+-5)))*-5)))/-5)--5)+(-5*(((-40.78*(-40.78-(-5/-5)))*(-40.78-(-40.78/(-5*-40.78))))-(-5/-5)))))</f>
        <v>-342552.76956</v>
      </c>
      <c r="C5923" t="n" s="0">
        <v>-342552.76956</v>
      </c>
    </row>
    <row r="5924">
      <c r="A5924" t="n" s="0">
        <v>-40.77</v>
      </c>
      <c r="B5924" t="n" s="0">
        <f>(-5-((((-5*(-5/((-5/(((-5*(-40.77--5))-(-5+((-5*-40.77)*(((-5--5)+(-40.77--5))+-40.77))))-(-5+-5)))*-5)))/-5)--5)+(-5*(((-40.77*(-40.77-(-5/-5)))*(-40.77-(-40.77/(-5*-40.77))))-(-5/-5)))))</f>
        <v>-342301.71846500004</v>
      </c>
      <c r="C5924" t="n" s="0">
        <v>-342301.7184650001</v>
      </c>
    </row>
    <row r="5925">
      <c r="A5925" t="n" s="0">
        <v>-40.76</v>
      </c>
      <c r="B5925" t="n" s="0">
        <f>(-5-((((-5*(-5/((-5/(((-5*(-40.76--5))-(-5+((-5*-40.76)*(((-5--5)+(-40.76--5))+-40.76))))-(-5+-5)))*-5)))/-5)--5)+(-5*(((-40.76*(-40.76-(-5/-5)))*(-40.76-(-40.76/(-5*-40.76))))-(-5/-5)))))</f>
        <v>-342050.79007999995</v>
      </c>
      <c r="C5925" t="n" s="0">
        <v>-342050.79008</v>
      </c>
    </row>
    <row r="5926">
      <c r="A5926" t="n" s="0">
        <v>-40.75</v>
      </c>
      <c r="B5926" t="n" s="0">
        <f>(-5-((((-5*(-5/((-5/(((-5*(-40.75--5))-(-5+((-5*-40.75)*(((-5--5)+(-40.75--5))+-40.75))))-(-5+-5)))*-5)))/-5)--5)+(-5*(((-40.75*(-40.75-(-5/-5)))*(-40.75-(-40.75/(-5*-40.75))))-(-5/-5)))))</f>
        <v>-341799.984375</v>
      </c>
      <c r="C5926" t="n" s="0">
        <v>-341799.984375</v>
      </c>
    </row>
    <row r="5927">
      <c r="A5927" t="n" s="0">
        <v>-40.74</v>
      </c>
      <c r="B5927" t="n" s="0">
        <f>(-5-((((-5*(-5/((-5/(((-5*(-40.74--5))-(-5+((-5*-40.74)*(((-5--5)+(-40.74--5))+-40.74))))-(-5+-5)))*-5)))/-5)--5)+(-5*(((-40.74*(-40.74-(-5/-5)))*(-40.74-(-40.74/(-5*-40.74))))-(-5/-5)))))</f>
        <v>-341549.30132</v>
      </c>
      <c r="C5927" t="n" s="0">
        <v>-341549.3013200001</v>
      </c>
    </row>
    <row r="5928">
      <c r="A5928" t="n" s="0">
        <v>-40.73</v>
      </c>
      <c r="B5928" t="n" s="0">
        <f>(-5-((((-5*(-5/((-5/(((-5*(-40.73--5))-(-5+((-5*-40.73)*(((-5--5)+(-40.73--5))+-40.73))))-(-5+-5)))*-5)))/-5)--5)+(-5*(((-40.73*(-40.73-(-5/-5)))*(-40.73-(-40.73/(-5*-40.73))))-(-5/-5)))))</f>
        <v>-341298.74088500004</v>
      </c>
      <c r="C5928" t="n" s="0">
        <v>-341298.7408849999</v>
      </c>
    </row>
    <row r="5929">
      <c r="A5929" t="n" s="0">
        <v>-40.72</v>
      </c>
      <c r="B5929" t="n" s="0">
        <f>(-5-((((-5*(-5/((-5/(((-5*(-40.72--5))-(-5+((-5*-40.72)*(((-5--5)+(-40.72--5))+-40.72))))-(-5+-5)))*-5)))/-5)--5)+(-5*(((-40.72*(-40.72-(-5/-5)))*(-40.72-(-40.72/(-5*-40.72))))-(-5/-5)))))</f>
        <v>-341048.30303999997</v>
      </c>
      <c r="C5929" t="n" s="0">
        <v>-341048.3030399999</v>
      </c>
    </row>
    <row r="5930">
      <c r="A5930" t="n" s="0">
        <v>-40.71</v>
      </c>
      <c r="B5930" t="n" s="0">
        <f>(-5-((((-5*(-5/((-5/(((-5*(-40.71--5))-(-5+((-5*-40.71)*(((-5--5)+(-40.71--5))+-40.71))))-(-5+-5)))*-5)))/-5)--5)+(-5*(((-40.71*(-40.71-(-5/-5)))*(-40.71-(-40.71/(-5*-40.71))))-(-5/-5)))))</f>
        <v>-340797.987755</v>
      </c>
      <c r="C5930" t="n" s="0">
        <v>-340797.987755</v>
      </c>
    </row>
    <row r="5931">
      <c r="A5931" t="n" s="0">
        <v>-40.7</v>
      </c>
      <c r="B5931" t="n" s="0">
        <f>(-5-((((-5*(-5/((-5/(((-5*(-40.7--5))-(-5+((-5*-40.7)*(((-5--5)+(-40.7--5))+-40.7))))-(-5+-5)))*-5)))/-5)--5)+(-5*(((-40.7*(-40.7-(-5/-5)))*(-40.7-(-40.7/(-5*-40.7))))-(-5/-5)))))</f>
        <v>-340547.795</v>
      </c>
      <c r="C5931" t="n" s="0">
        <v>-340547.79500000004</v>
      </c>
    </row>
    <row r="5932">
      <c r="A5932" t="n" s="0">
        <v>-40.69</v>
      </c>
      <c r="B5932" t="n" s="0">
        <f>(-5-((((-5*(-5/((-5/(((-5*(-40.69--5))-(-5+((-5*-40.69)*(((-5--5)+(-40.69--5))+-40.69))))-(-5+-5)))*-5)))/-5)--5)+(-5*(((-40.69*(-40.69-(-5/-5)))*(-40.69-(-40.69/(-5*-40.69))))-(-5/-5)))))</f>
        <v>-340297.724745</v>
      </c>
      <c r="C5932" t="n" s="0">
        <v>-340297.72474499996</v>
      </c>
    </row>
    <row r="5933">
      <c r="A5933" t="n" s="0">
        <v>-40.68</v>
      </c>
      <c r="B5933" t="n" s="0">
        <f>(-5-((((-5*(-5/((-5/(((-5*(-40.68--5))-(-5+((-5*-40.68)*(((-5--5)+(-40.68--5))+-40.68))))-(-5+-5)))*-5)))/-5)--5)+(-5*(((-40.68*(-40.68-(-5/-5)))*(-40.68-(-40.68/(-5*-40.68))))-(-5/-5)))))</f>
        <v>-340047.77696</v>
      </c>
      <c r="C5933" t="n" s="0">
        <v>-340047.77696</v>
      </c>
    </row>
    <row r="5934">
      <c r="A5934" t="n" s="0">
        <v>-40.67</v>
      </c>
      <c r="B5934" t="n" s="0">
        <f>(-5-((((-5*(-5/((-5/(((-5*(-40.67--5))-(-5+((-5*-40.67)*(((-5--5)+(-40.67--5))+-40.67))))-(-5+-5)))*-5)))/-5)--5)+(-5*(((-40.67*(-40.67-(-5/-5)))*(-40.67-(-40.67/(-5*-40.67))))-(-5/-5)))))</f>
        <v>-339797.951615</v>
      </c>
      <c r="C5934" t="n" s="0">
        <v>-339797.951615</v>
      </c>
    </row>
    <row r="5935">
      <c r="A5935" t="n" s="0">
        <v>-40.66</v>
      </c>
      <c r="B5935" t="n" s="0">
        <f>(-5-((((-5*(-5/((-5/(((-5*(-40.66--5))-(-5+((-5*-40.66)*(((-5--5)+(-40.66--5))+-40.66))))-(-5+-5)))*-5)))/-5)--5)+(-5*(((-40.66*(-40.66-(-5/-5)))*(-40.66-(-40.66/(-5*-40.66))))-(-5/-5)))))</f>
        <v>-339548.24868</v>
      </c>
      <c r="C5935" t="n" s="0">
        <v>-339548.2486799999</v>
      </c>
    </row>
    <row r="5936">
      <c r="A5936" t="n" s="0">
        <v>-40.65</v>
      </c>
      <c r="B5936" t="n" s="0">
        <f>(-5-((((-5*(-5/((-5/(((-5*(-40.65--5))-(-5+((-5*-40.65)*(((-5--5)+(-40.65--5))+-40.65))))-(-5+-5)))*-5)))/-5)--5)+(-5*(((-40.65*(-40.65-(-5/-5)))*(-40.65-(-40.65/(-5*-40.65))))-(-5/-5)))))</f>
        <v>-339298.668125</v>
      </c>
      <c r="C5936" t="n" s="0">
        <v>-339298.6681249999</v>
      </c>
    </row>
    <row r="5937">
      <c r="A5937" t="n" s="0">
        <v>-40.64</v>
      </c>
      <c r="B5937" t="n" s="0">
        <f>(-5-((((-5*(-5/((-5/(((-5*(-40.64--5))-(-5+((-5*-40.64)*(((-5--5)+(-40.64--5))+-40.64))))-(-5+-5)))*-5)))/-5)--5)+(-5*(((-40.64*(-40.64-(-5/-5)))*(-40.64-(-40.64/(-5*-40.64))))-(-5/-5)))))</f>
        <v>-339049.20992</v>
      </c>
      <c r="C5937" t="n" s="0">
        <v>-339049.20992000005</v>
      </c>
    </row>
    <row r="5938">
      <c r="A5938" t="n" s="0">
        <v>-40.63</v>
      </c>
      <c r="B5938" t="n" s="0">
        <f>(-5-((((-5*(-5/((-5/(((-5*(-40.63--5))-(-5+((-5*-40.63)*(((-5--5)+(-40.63--5))+-40.63))))-(-5+-5)))*-5)))/-5)--5)+(-5*(((-40.63*(-40.63-(-5/-5)))*(-40.63-(-40.63/(-5*-40.63))))-(-5/-5)))))</f>
        <v>-338799.874035</v>
      </c>
      <c r="C5938" t="n" s="0">
        <v>-338799.87403500004</v>
      </c>
    </row>
    <row r="5939">
      <c r="A5939" t="n" s="0">
        <v>-40.62</v>
      </c>
      <c r="B5939" t="n" s="0">
        <f>(-5-((((-5*(-5/((-5/(((-5*(-40.62--5))-(-5+((-5*-40.62)*(((-5--5)+(-40.62--5))+-40.62))))-(-5+-5)))*-5)))/-5)--5)+(-5*(((-40.62*(-40.62-(-5/-5)))*(-40.62-(-40.62/(-5*-40.62))))-(-5/-5)))))</f>
        <v>-338550.66044</v>
      </c>
      <c r="C5939" t="n" s="0">
        <v>-338550.6604399999</v>
      </c>
    </row>
    <row r="5940">
      <c r="A5940" t="n" s="0">
        <v>-40.61</v>
      </c>
      <c r="B5940" t="n" s="0">
        <f>(-5-((((-5*(-5/((-5/(((-5*(-40.61--5))-(-5+((-5*-40.61)*(((-5--5)+(-40.61--5))+-40.61))))-(-5+-5)))*-5)))/-5)--5)+(-5*(((-40.61*(-40.61-(-5/-5)))*(-40.61-(-40.61/(-5*-40.61))))-(-5/-5)))))</f>
        <v>-338301.569105</v>
      </c>
      <c r="C5940" t="n" s="0">
        <v>-338301.569105</v>
      </c>
    </row>
    <row r="5941">
      <c r="A5941" t="n" s="0">
        <v>-40.6</v>
      </c>
      <c r="B5941" t="n" s="0">
        <f>(-5-((((-5*(-5/((-5/(((-5*(-40.6--5))-(-5+((-5*-40.6)*(((-5--5)+(-40.6--5))+-40.6))))-(-5+-5)))*-5)))/-5)--5)+(-5*(((-40.6*(-40.6-(-5/-5)))*(-40.6-(-40.6/(-5*-40.6))))-(-5/-5)))))</f>
        <v>-338052.6</v>
      </c>
      <c r="C5941" t="n" s="0">
        <v>-338052.60000000003</v>
      </c>
    </row>
    <row r="5942">
      <c r="A5942" t="n" s="0">
        <v>-40.59</v>
      </c>
      <c r="B5942" t="n" s="0">
        <f>(-5-((((-5*(-5/((-5/(((-5*(-40.59--5))-(-5+((-5*-40.59)*(((-5--5)+(-40.59--5))+-40.59))))-(-5+-5)))*-5)))/-5)--5)+(-5*(((-40.59*(-40.59-(-5/-5)))*(-40.59-(-40.59/(-5*-40.59))))-(-5/-5)))))</f>
        <v>-337803.753095</v>
      </c>
      <c r="C5942" t="n" s="0">
        <v>-337803.75309500017</v>
      </c>
    </row>
    <row r="5943">
      <c r="A5943" t="n" s="0">
        <v>-40.58</v>
      </c>
      <c r="B5943" t="n" s="0">
        <f>(-5-((((-5*(-5/((-5/(((-5*(-40.58--5))-(-5+((-5*-40.58)*(((-5--5)+(-40.58--5))+-40.58))))-(-5+-5)))*-5)))/-5)--5)+(-5*(((-40.58*(-40.58-(-5/-5)))*(-40.58-(-40.58/(-5*-40.58))))-(-5/-5)))))</f>
        <v>-337555.02835999994</v>
      </c>
      <c r="C5943" t="n" s="0">
        <v>-337555.02835999994</v>
      </c>
    </row>
    <row r="5944">
      <c r="A5944" t="n" s="0">
        <v>-40.57</v>
      </c>
      <c r="B5944" t="n" s="0">
        <f>(-5-((((-5*(-5/((-5/(((-5*(-40.57--5))-(-5+((-5*-40.57)*(((-5--5)+(-40.57--5))+-40.57))))-(-5+-5)))*-5)))/-5)--5)+(-5*(((-40.57*(-40.57-(-5/-5)))*(-40.57-(-40.57/(-5*-40.57))))-(-5/-5)))))</f>
        <v>-337306.425765</v>
      </c>
      <c r="C5944" t="n" s="0">
        <v>-337306.42576500005</v>
      </c>
    </row>
    <row r="5945">
      <c r="A5945" t="n" s="0">
        <v>-40.56</v>
      </c>
      <c r="B5945" t="n" s="0">
        <f>(-5-((((-5*(-5/((-5/(((-5*(-40.56--5))-(-5+((-5*-40.56)*(((-5--5)+(-40.56--5))+-40.56))))-(-5+-5)))*-5)))/-5)--5)+(-5*(((-40.56*(-40.56-(-5/-5)))*(-40.56-(-40.56/(-5*-40.56))))-(-5/-5)))))</f>
        <v>-337057.94528</v>
      </c>
      <c r="C5945" t="n" s="0">
        <v>-337057.94528000004</v>
      </c>
    </row>
    <row r="5946">
      <c r="A5946" t="n" s="0">
        <v>-40.55</v>
      </c>
      <c r="B5946" t="n" s="0">
        <f>(-5-((((-5*(-5/((-5/(((-5*(-40.55--5))-(-5+((-5*-40.55)*(((-5--5)+(-40.55--5))+-40.55))))-(-5+-5)))*-5)))/-5)--5)+(-5*(((-40.55*(-40.55-(-5/-5)))*(-40.55-(-40.55/(-5*-40.55))))-(-5/-5)))))</f>
        <v>-336809.586875</v>
      </c>
      <c r="C5946" t="n" s="0">
        <v>-336809.5868749999</v>
      </c>
    </row>
    <row r="5947">
      <c r="A5947" t="n" s="0">
        <v>-40.54</v>
      </c>
      <c r="B5947" t="n" s="0">
        <f>(-5-((((-5*(-5/((-5/(((-5*(-40.54--5))-(-5+((-5*-40.54)*(((-5--5)+(-40.54--5))+-40.54))))-(-5+-5)))*-5)))/-5)--5)+(-5*(((-40.54*(-40.54-(-5/-5)))*(-40.54-(-40.54/(-5*-40.54))))-(-5/-5)))))</f>
        <v>-336561.35052000004</v>
      </c>
      <c r="C5947" t="n" s="0">
        <v>-336561.35052000004</v>
      </c>
    </row>
    <row r="5948">
      <c r="A5948" t="n" s="0">
        <v>-40.53</v>
      </c>
      <c r="B5948" t="n" s="0">
        <f>(-5-((((-5*(-5/((-5/(((-5*(-40.53--5))-(-5+((-5*-40.53)*(((-5--5)+(-40.53--5))+-40.53))))-(-5+-5)))*-5)))/-5)--5)+(-5*(((-40.53*(-40.53-(-5/-5)))*(-40.53-(-40.53/(-5*-40.53))))-(-5/-5)))))</f>
        <v>-336313.236185</v>
      </c>
      <c r="C5948" t="n" s="0">
        <v>-336313.23618500005</v>
      </c>
    </row>
    <row r="5949">
      <c r="A5949" t="n" s="0">
        <v>-40.52</v>
      </c>
      <c r="B5949" t="n" s="0">
        <f>(-5-((((-5*(-5/((-5/(((-5*(-40.52--5))-(-5+((-5*-40.52)*(((-5--5)+(-40.52--5))+-40.52))))-(-5+-5)))*-5)))/-5)--5)+(-5*(((-40.52*(-40.52-(-5/-5)))*(-40.52-(-40.52/(-5*-40.52))))-(-5/-5)))))</f>
        <v>-336065.24384</v>
      </c>
      <c r="C5949" t="n" s="0">
        <v>-336065.2438400001</v>
      </c>
    </row>
    <row r="5950">
      <c r="A5950" t="n" s="0">
        <v>-40.51</v>
      </c>
      <c r="B5950" t="n" s="0">
        <f>(-5-((((-5*(-5/((-5/(((-5*(-40.51--5))-(-5+((-5*-40.51)*(((-5--5)+(-40.51--5))+-40.51))))-(-5+-5)))*-5)))/-5)--5)+(-5*(((-40.51*(-40.51-(-5/-5)))*(-40.51-(-40.51/(-5*-40.51))))-(-5/-5)))))</f>
        <v>-335817.373455</v>
      </c>
      <c r="C5950" t="n" s="0">
        <v>-335817.373455</v>
      </c>
    </row>
    <row r="5951">
      <c r="A5951" t="n" s="0">
        <v>-40.5</v>
      </c>
      <c r="B5951" t="n" s="0">
        <f>(-5-((((-5*(-5/((-5/(((-5*(-40.5--5))-(-5+((-5*-40.5)*(((-5--5)+(-40.5--5))+-40.5))))-(-5+-5)))*-5)))/-5)--5)+(-5*(((-40.5*(-40.5-(-5/-5)))*(-40.5-(-40.5/(-5*-40.5))))-(-5/-5)))))</f>
        <v>-335569.625</v>
      </c>
      <c r="C5951" t="n" s="0">
        <v>-335569.625</v>
      </c>
    </row>
    <row r="5952">
      <c r="A5952" t="n" s="0">
        <v>-40.49</v>
      </c>
      <c r="B5952" t="n" s="0">
        <f>(-5-((((-5*(-5/((-5/(((-5*(-40.49--5))-(-5+((-5*-40.49)*(((-5--5)+(-40.49--5))+-40.49))))-(-5+-5)))*-5)))/-5)--5)+(-5*(((-40.49*(-40.49-(-5/-5)))*(-40.49-(-40.49/(-5*-40.49))))-(-5/-5)))))</f>
        <v>-335321.99844500003</v>
      </c>
      <c r="C5952" t="n" s="0">
        <v>-335321.99844500003</v>
      </c>
    </row>
    <row r="5953">
      <c r="A5953" t="n" s="0">
        <v>-40.48</v>
      </c>
      <c r="B5953" t="n" s="0">
        <f>(-5-((((-5*(-5/((-5/(((-5*(-40.48--5))-(-5+((-5*-40.48)*(((-5--5)+(-40.48--5))+-40.48))))-(-5+-5)))*-5)))/-5)--5)+(-5*(((-40.48*(-40.48-(-5/-5)))*(-40.48-(-40.48/(-5*-40.48))))-(-5/-5)))))</f>
        <v>-335074.49376</v>
      </c>
      <c r="C5953" t="n" s="0">
        <v>-335074.4937599999</v>
      </c>
    </row>
    <row r="5954">
      <c r="A5954" t="n" s="0">
        <v>-40.47</v>
      </c>
      <c r="B5954" t="n" s="0">
        <f>(-5-((((-5*(-5/((-5/(((-5*(-40.47--5))-(-5+((-5*-40.47)*(((-5--5)+(-40.47--5))+-40.47))))-(-5+-5)))*-5)))/-5)--5)+(-5*(((-40.47*(-40.47-(-5/-5)))*(-40.47-(-40.47/(-5*-40.47))))-(-5/-5)))))</f>
        <v>-334827.11091499997</v>
      </c>
      <c r="C5954" t="n" s="0">
        <v>-334827.11091499997</v>
      </c>
    </row>
    <row r="5955">
      <c r="A5955" t="n" s="0">
        <v>-40.46</v>
      </c>
      <c r="B5955" t="n" s="0">
        <f>(-5-((((-5*(-5/((-5/(((-5*(-40.46--5))-(-5+((-5*-40.46)*(((-5--5)+(-40.46--5))+-40.46))))-(-5+-5)))*-5)))/-5)--5)+(-5*(((-40.46*(-40.46-(-5/-5)))*(-40.46-(-40.46/(-5*-40.46))))-(-5/-5)))))</f>
        <v>-334579.84988</v>
      </c>
      <c r="C5955" t="n" s="0">
        <v>-334579.84988</v>
      </c>
    </row>
    <row r="5956">
      <c r="A5956" t="n" s="0">
        <v>-40.45</v>
      </c>
      <c r="B5956" t="n" s="0">
        <f>(-5-((((-5*(-5/((-5/(((-5*(-40.45--5))-(-5+((-5*-40.45)*(((-5--5)+(-40.45--5))+-40.45))))-(-5+-5)))*-5)))/-5)--5)+(-5*(((-40.45*(-40.45-(-5/-5)))*(-40.45-(-40.45/(-5*-40.45))))-(-5/-5)))))</f>
        <v>-334332.710625</v>
      </c>
      <c r="C5956" t="n" s="0">
        <v>-334332.71062500007</v>
      </c>
    </row>
    <row r="5957">
      <c r="A5957" t="n" s="0">
        <v>-40.44</v>
      </c>
      <c r="B5957" t="n" s="0">
        <f>(-5-((((-5*(-5/((-5/(((-5*(-40.44--5))-(-5+((-5*-40.44)*(((-5--5)+(-40.44--5))+-40.44))))-(-5+-5)))*-5)))/-5)--5)+(-5*(((-40.44*(-40.44-(-5/-5)))*(-40.44-(-40.44/(-5*-40.44))))-(-5/-5)))))</f>
        <v>-334085.69312</v>
      </c>
      <c r="C5957" t="n" s="0">
        <v>-334085.69311999995</v>
      </c>
    </row>
    <row r="5958">
      <c r="A5958" t="n" s="0">
        <v>-40.43</v>
      </c>
      <c r="B5958" t="n" s="0">
        <f>(-5-((((-5*(-5/((-5/(((-5*(-40.43--5))-(-5+((-5*-40.43)*(((-5--5)+(-40.43--5))+-40.43))))-(-5+-5)))*-5)))/-5)--5)+(-5*(((-40.43*(-40.43-(-5/-5)))*(-40.43-(-40.43/(-5*-40.43))))-(-5/-5)))))</f>
        <v>-333838.797335</v>
      </c>
      <c r="C5958" t="n" s="0">
        <v>-333838.79733499995</v>
      </c>
    </row>
    <row r="5959">
      <c r="A5959" t="n" s="0">
        <v>-40.42</v>
      </c>
      <c r="B5959" t="n" s="0">
        <f>(-5-((((-5*(-5/((-5/(((-5*(-40.42--5))-(-5+((-5*-40.42)*(((-5--5)+(-40.42--5))+-40.42))))-(-5+-5)))*-5)))/-5)--5)+(-5*(((-40.42*(-40.42-(-5/-5)))*(-40.42-(-40.42/(-5*-40.42))))-(-5/-5)))))</f>
        <v>-333592.02324</v>
      </c>
      <c r="C5959" t="n" s="0">
        <v>-333592.02324000007</v>
      </c>
    </row>
    <row r="5960">
      <c r="A5960" t="n" s="0">
        <v>-40.41</v>
      </c>
      <c r="B5960" t="n" s="0">
        <f>(-5-((((-5*(-5/((-5/(((-5*(-40.41--5))-(-5+((-5*-40.41)*(((-5--5)+(-40.41--5))+-40.41))))-(-5+-5)))*-5)))/-5)--5)+(-5*(((-40.41*(-40.41-(-5/-5)))*(-40.41-(-40.41/(-5*-40.41))))-(-5/-5)))))</f>
        <v>-333345.370805</v>
      </c>
      <c r="C5960" t="n" s="0">
        <v>-333345.37080499995</v>
      </c>
    </row>
    <row r="5961">
      <c r="A5961" t="n" s="0">
        <v>-40.4</v>
      </c>
      <c r="B5961" t="n" s="0">
        <f>(-5-((((-5*(-5/((-5/(((-5*(-40.4--5))-(-5+((-5*-40.4)*(((-5--5)+(-40.4--5))+-40.4))))-(-5+-5)))*-5)))/-5)--5)+(-5*(((-40.4*(-40.4-(-5/-5)))*(-40.4-(-40.4/(-5*-40.4))))-(-5/-5)))))</f>
        <v>-333098.84</v>
      </c>
      <c r="C5961" t="n" s="0">
        <v>-333098.83999999997</v>
      </c>
    </row>
    <row r="5962">
      <c r="A5962" t="n" s="0">
        <v>-40.39</v>
      </c>
      <c r="B5962" t="n" s="0">
        <f>(-5-((((-5*(-5/((-5/(((-5*(-40.39--5))-(-5+((-5*-40.39)*(((-5--5)+(-40.39--5))+-40.39))))-(-5+-5)))*-5)))/-5)--5)+(-5*(((-40.39*(-40.39-(-5/-5)))*(-40.39-(-40.39/(-5*-40.39))))-(-5/-5)))))</f>
        <v>-332852.43079499993</v>
      </c>
      <c r="C5962" t="n" s="0">
        <v>-332852.43079499993</v>
      </c>
    </row>
    <row r="5963">
      <c r="A5963" t="n" s="0">
        <v>-40.38</v>
      </c>
      <c r="B5963" t="n" s="0">
        <f>(-5-((((-5*(-5/((-5/(((-5*(-40.38--5))-(-5+((-5*-40.38)*(((-5--5)+(-40.38--5))+-40.38))))-(-5+-5)))*-5)))/-5)--5)+(-5*(((-40.38*(-40.38-(-5/-5)))*(-40.38-(-40.38/(-5*-40.38))))-(-5/-5)))))</f>
        <v>-332606.14316</v>
      </c>
      <c r="C5963" t="n" s="0">
        <v>-332606.1431600001</v>
      </c>
    </row>
    <row r="5964">
      <c r="A5964" t="n" s="0">
        <v>-40.37</v>
      </c>
      <c r="B5964" t="n" s="0">
        <f>(-5-((((-5*(-5/((-5/(((-5*(-40.37--5))-(-5+((-5*-40.37)*(((-5--5)+(-40.37--5))+-40.37))))-(-5+-5)))*-5)))/-5)--5)+(-5*(((-40.37*(-40.37-(-5/-5)))*(-40.37-(-40.37/(-5*-40.37))))-(-5/-5)))))</f>
        <v>-332359.977065</v>
      </c>
      <c r="C5964" t="n" s="0">
        <v>-332359.97706499987</v>
      </c>
    </row>
    <row r="5965">
      <c r="A5965" t="n" s="0">
        <v>-40.36</v>
      </c>
      <c r="B5965" t="n" s="0">
        <f>(-5-((((-5*(-5/((-5/(((-5*(-40.36--5))-(-5+((-5*-40.36)*(((-5--5)+(-40.36--5))+-40.36))))-(-5+-5)))*-5)))/-5)--5)+(-5*(((-40.36*(-40.36-(-5/-5)))*(-40.36-(-40.36/(-5*-40.36))))-(-5/-5)))))</f>
        <v>-332113.93248</v>
      </c>
      <c r="C5965" t="n" s="0">
        <v>-332113.93248</v>
      </c>
    </row>
    <row r="5966">
      <c r="A5966" t="n" s="0">
        <v>-40.35</v>
      </c>
      <c r="B5966" t="n" s="0">
        <f>(-5-((((-5*(-5/((-5/(((-5*(-40.35--5))-(-5+((-5*-40.35)*(((-5--5)+(-40.35--5))+-40.35))))-(-5+-5)))*-5)))/-5)--5)+(-5*(((-40.35*(-40.35-(-5/-5)))*(-40.35-(-40.35/(-5*-40.35))))-(-5/-5)))))</f>
        <v>-331868.009375</v>
      </c>
      <c r="C5966" t="n" s="0">
        <v>-331868.009375</v>
      </c>
    </row>
    <row r="5967">
      <c r="A5967" t="n" s="0">
        <v>-40.34</v>
      </c>
      <c r="B5967" t="n" s="0">
        <f>(-5-((((-5*(-5/((-5/(((-5*(-40.34--5))-(-5+((-5*-40.34)*(((-5--5)+(-40.34--5))+-40.34))))-(-5+-5)))*-5)))/-5)--5)+(-5*(((-40.34*(-40.34-(-5/-5)))*(-40.34-(-40.34/(-5*-40.34))))-(-5/-5)))))</f>
        <v>-331622.20772</v>
      </c>
      <c r="C5967" t="n" s="0">
        <v>-331622.2077200001</v>
      </c>
    </row>
    <row r="5968">
      <c r="A5968" t="n" s="0">
        <v>-40.33</v>
      </c>
      <c r="B5968" t="n" s="0">
        <f>(-5-((((-5*(-5/((-5/(((-5*(-40.33--5))-(-5+((-5*-40.33)*(((-5--5)+(-40.33--5))+-40.33))))-(-5+-5)))*-5)))/-5)--5)+(-5*(((-40.33*(-40.33-(-5/-5)))*(-40.33-(-40.33/(-5*-40.33))))-(-5/-5)))))</f>
        <v>-331376.52748499997</v>
      </c>
      <c r="C5968" t="n" s="0">
        <v>-331376.5274849999</v>
      </c>
    </row>
    <row r="5969">
      <c r="A5969" t="n" s="0">
        <v>-40.32</v>
      </c>
      <c r="B5969" t="n" s="0">
        <f>(-5-((((-5*(-5/((-5/(((-5*(-40.32--5))-(-5+((-5*-40.32)*(((-5--5)+(-40.32--5))+-40.32))))-(-5+-5)))*-5)))/-5)--5)+(-5*(((-40.32*(-40.32-(-5/-5)))*(-40.32-(-40.32/(-5*-40.32))))-(-5/-5)))))</f>
        <v>-331130.96864000004</v>
      </c>
      <c r="C5969" t="n" s="0">
        <v>-331130.96864000004</v>
      </c>
    </row>
    <row r="5970">
      <c r="A5970" t="n" s="0">
        <v>-40.31</v>
      </c>
      <c r="B5970" t="n" s="0">
        <f>(-5-((((-5*(-5/((-5/(((-5*(-40.31--5))-(-5+((-5*-40.31)*(((-5--5)+(-40.31--5))+-40.31))))-(-5+-5)))*-5)))/-5)--5)+(-5*(((-40.31*(-40.31-(-5/-5)))*(-40.31-(-40.31/(-5*-40.31))))-(-5/-5)))))</f>
        <v>-330885.53115500003</v>
      </c>
      <c r="C5970" t="n" s="0">
        <v>-330885.5311550001</v>
      </c>
    </row>
    <row r="5971">
      <c r="A5971" t="n" s="0">
        <v>-40.3</v>
      </c>
      <c r="B5971" t="n" s="0">
        <f>(-5-((((-5*(-5/((-5/(((-5*(-40.3--5))-(-5+((-5*-40.3)*(((-5--5)+(-40.3--5))+-40.3))))-(-5+-5)))*-5)))/-5)--5)+(-5*(((-40.3*(-40.3-(-5/-5)))*(-40.3-(-40.3/(-5*-40.3))))-(-5/-5)))))</f>
        <v>-330640.215</v>
      </c>
      <c r="C5971" t="n" s="0">
        <v>-330640.2149999999</v>
      </c>
    </row>
    <row r="5972">
      <c r="A5972" t="n" s="0">
        <v>-40.29</v>
      </c>
      <c r="B5972" t="n" s="0">
        <f>(-5-((((-5*(-5/((-5/(((-5*(-40.29--5))-(-5+((-5*-40.29)*(((-5--5)+(-40.29--5))+-40.29))))-(-5+-5)))*-5)))/-5)--5)+(-5*(((-40.29*(-40.29-(-5/-5)))*(-40.29-(-40.29/(-5*-40.29))))-(-5/-5)))))</f>
        <v>-330395.020145</v>
      </c>
      <c r="C5972" t="n" s="0">
        <v>-330395.02014499996</v>
      </c>
    </row>
    <row r="5973">
      <c r="A5973" t="n" s="0">
        <v>-40.28</v>
      </c>
      <c r="B5973" t="n" s="0">
        <f>(-5-((((-5*(-5/((-5/(((-5*(-40.28--5))-(-5+((-5*-40.28)*(((-5--5)+(-40.28--5))+-40.28))))-(-5+-5)))*-5)))/-5)--5)+(-5*(((-40.28*(-40.28-(-5/-5)))*(-40.28-(-40.28/(-5*-40.28))))-(-5/-5)))))</f>
        <v>-330149.94655999995</v>
      </c>
      <c r="C5973" t="n" s="0">
        <v>-330149.94656000007</v>
      </c>
    </row>
    <row r="5974">
      <c r="A5974" t="n" s="0">
        <v>-40.27</v>
      </c>
      <c r="B5974" t="n" s="0">
        <f>(-5-((((-5*(-5/((-5/(((-5*(-40.27--5))-(-5+((-5*-40.27)*(((-5--5)+(-40.27--5))+-40.27))))-(-5+-5)))*-5)))/-5)--5)+(-5*(((-40.27*(-40.27-(-5/-5)))*(-40.27-(-40.27/(-5*-40.27))))-(-5/-5)))))</f>
        <v>-329904.994215</v>
      </c>
      <c r="C5974" t="n" s="0">
        <v>-329904.9942150001</v>
      </c>
    </row>
    <row r="5975">
      <c r="A5975" t="n" s="0">
        <v>-40.26</v>
      </c>
      <c r="B5975" t="n" s="0">
        <f>(-5-((((-5*(-5/((-5/(((-5*(-40.26--5))-(-5+((-5*-40.26)*(((-5--5)+(-40.26--5))+-40.26))))-(-5+-5)))*-5)))/-5)--5)+(-5*(((-40.26*(-40.26-(-5/-5)))*(-40.26-(-40.26/(-5*-40.26))))-(-5/-5)))))</f>
        <v>-329660.16307999997</v>
      </c>
      <c r="C5975" t="n" s="0">
        <v>-329660.16307999997</v>
      </c>
    </row>
    <row r="5976">
      <c r="A5976" t="n" s="0">
        <v>-40.25</v>
      </c>
      <c r="B5976" t="n" s="0">
        <f>(-5-((((-5*(-5/((-5/(((-5*(-40.25--5))-(-5+((-5*-40.25)*(((-5--5)+(-40.25--5))+-40.25))))-(-5+-5)))*-5)))/-5)--5)+(-5*(((-40.25*(-40.25-(-5/-5)))*(-40.25-(-40.25/(-5*-40.25))))-(-5/-5)))))</f>
        <v>-329415.453125</v>
      </c>
      <c r="C5976" t="n" s="0">
        <v>-329415.453125</v>
      </c>
    </row>
    <row r="5977">
      <c r="A5977" t="n" s="0">
        <v>-40.24</v>
      </c>
      <c r="B5977" t="n" s="0">
        <f>(-5-((((-5*(-5/((-5/(((-5*(-40.24--5))-(-5+((-5*-40.24)*(((-5--5)+(-40.24--5))+-40.24))))-(-5+-5)))*-5)))/-5)--5)+(-5*(((-40.24*(-40.24-(-5/-5)))*(-40.24-(-40.24/(-5*-40.24))))-(-5/-5)))))</f>
        <v>-329170.86432</v>
      </c>
      <c r="C5977" t="n" s="0">
        <v>-329170.86432000005</v>
      </c>
    </row>
    <row r="5978">
      <c r="A5978" t="n" s="0">
        <v>-40.23</v>
      </c>
      <c r="B5978" t="n" s="0">
        <f>(-5-((((-5*(-5/((-5/(((-5*(-40.23--5))-(-5+((-5*-40.23)*(((-5--5)+(-40.23--5))+-40.23))))-(-5+-5)))*-5)))/-5)--5)+(-5*(((-40.23*(-40.23-(-5/-5)))*(-40.23-(-40.23/(-5*-40.23))))-(-5/-5)))))</f>
        <v>-328926.39663499995</v>
      </c>
      <c r="C5978" t="n" s="0">
        <v>-328926.39663499995</v>
      </c>
    </row>
    <row r="5979">
      <c r="A5979" t="n" s="0">
        <v>-40.22</v>
      </c>
      <c r="B5979" t="n" s="0">
        <f>(-5-((((-5*(-5/((-5/(((-5*(-40.22--5))-(-5+((-5*-40.22)*(((-5--5)+(-40.22--5))+-40.22))))-(-5+-5)))*-5)))/-5)--5)+(-5*(((-40.22*(-40.22-(-5/-5)))*(-40.22-(-40.22/(-5*-40.22))))-(-5/-5)))))</f>
        <v>-328682.05004</v>
      </c>
      <c r="C5979" t="n" s="0">
        <v>-328682.05003999994</v>
      </c>
    </row>
    <row r="5980">
      <c r="A5980" t="n" s="0">
        <v>-40.21</v>
      </c>
      <c r="B5980" t="n" s="0">
        <f>(-5-((((-5*(-5/((-5/(((-5*(-40.21--5))-(-5+((-5*-40.21)*(((-5--5)+(-40.21--5))+-40.21))))-(-5+-5)))*-5)))/-5)--5)+(-5*(((-40.21*(-40.21-(-5/-5)))*(-40.21-(-40.21/(-5*-40.21))))-(-5/-5)))))</f>
        <v>-328437.82450499997</v>
      </c>
      <c r="C5980" t="n" s="0">
        <v>-328437.82450499997</v>
      </c>
    </row>
    <row r="5981">
      <c r="A5981" t="n" s="0">
        <v>-40.2</v>
      </c>
      <c r="B5981" t="n" s="0">
        <f>(-5-((((-5*(-5/((-5/(((-5*(-40.2--5))-(-5+((-5*-40.2)*(((-5--5)+(-40.2--5))+-40.2))))-(-5+-5)))*-5)))/-5)--5)+(-5*(((-40.2*(-40.2-(-5/-5)))*(-40.2-(-40.2/(-5*-40.2))))-(-5/-5)))))</f>
        <v>-328193.72</v>
      </c>
      <c r="C5981" t="n" s="0">
        <v>-328193.72000000003</v>
      </c>
    </row>
    <row r="5982">
      <c r="A5982" t="n" s="0">
        <v>-40.19</v>
      </c>
      <c r="B5982" t="n" s="0">
        <f>(-5-((((-5*(-5/((-5/(((-5*(-40.19--5))-(-5+((-5*-40.19)*(((-5--5)+(-40.19--5))+-40.19))))-(-5+-5)))*-5)))/-5)--5)+(-5*(((-40.19*(-40.19-(-5/-5)))*(-40.19-(-40.19/(-5*-40.19))))-(-5/-5)))))</f>
        <v>-327949.736495</v>
      </c>
      <c r="C5982" t="n" s="0">
        <v>-327949.73649499996</v>
      </c>
    </row>
    <row r="5983">
      <c r="A5983" t="n" s="0">
        <v>-40.18</v>
      </c>
      <c r="B5983" t="n" s="0">
        <f>(-5-((((-5*(-5/((-5/(((-5*(-40.18--5))-(-5+((-5*-40.18)*(((-5--5)+(-40.18--5))+-40.18))))-(-5+-5)))*-5)))/-5)--5)+(-5*(((-40.18*(-40.18-(-5/-5)))*(-40.18-(-40.18/(-5*-40.18))))-(-5/-5)))))</f>
        <v>-327705.87396</v>
      </c>
      <c r="C5983" t="n" s="0">
        <v>-327705.87395999994</v>
      </c>
    </row>
    <row r="5984">
      <c r="A5984" t="n" s="0">
        <v>-40.17</v>
      </c>
      <c r="B5984" t="n" s="0">
        <f>(-5-((((-5*(-5/((-5/(((-5*(-40.17--5))-(-5+((-5*-40.17)*(((-5--5)+(-40.17--5))+-40.17))))-(-5+-5)))*-5)))/-5)--5)+(-5*(((-40.17*(-40.17-(-5/-5)))*(-40.17-(-40.17/(-5*-40.17))))-(-5/-5)))))</f>
        <v>-327462.13236499997</v>
      </c>
      <c r="C5984" t="n" s="0">
        <v>-327462.1323650001</v>
      </c>
    </row>
    <row r="5985">
      <c r="A5985" t="n" s="0">
        <v>-40.16</v>
      </c>
      <c r="B5985" t="n" s="0">
        <f>(-5-((((-5*(-5/((-5/(((-5*(-40.16--5))-(-5+((-5*-40.16)*(((-5--5)+(-40.16--5))+-40.16))))-(-5+-5)))*-5)))/-5)--5)+(-5*(((-40.16*(-40.16-(-5/-5)))*(-40.16-(-40.16/(-5*-40.16))))-(-5/-5)))))</f>
        <v>-327218.51168</v>
      </c>
      <c r="C5985" t="n" s="0">
        <v>-327218.51167999994</v>
      </c>
    </row>
    <row r="5986">
      <c r="A5986" t="n" s="0">
        <v>-40.15</v>
      </c>
      <c r="B5986" t="n" s="0">
        <f>(-5-((((-5*(-5/((-5/(((-5*(-40.15--5))-(-5+((-5*-40.15)*(((-5--5)+(-40.15--5))+-40.15))))-(-5+-5)))*-5)))/-5)--5)+(-5*(((-40.15*(-40.15-(-5/-5)))*(-40.15-(-40.15/(-5*-40.15))))-(-5/-5)))))</f>
        <v>-326975.01187499997</v>
      </c>
      <c r="C5986" t="n" s="0">
        <v>-326975.01187499997</v>
      </c>
    </row>
    <row r="5987">
      <c r="A5987" t="n" s="0">
        <v>-40.14</v>
      </c>
      <c r="B5987" t="n" s="0">
        <f>(-5-((((-5*(-5/((-5/(((-5*(-40.14--5))-(-5+((-5*-40.14)*(((-5--5)+(-40.14--5))+-40.14))))-(-5+-5)))*-5)))/-5)--5)+(-5*(((-40.14*(-40.14-(-5/-5)))*(-40.14-(-40.14/(-5*-40.14))))-(-5/-5)))))</f>
        <v>-326731.63292000006</v>
      </c>
      <c r="C5987" t="n" s="0">
        <v>-326731.63292</v>
      </c>
    </row>
    <row r="5988">
      <c r="A5988" t="n" s="0">
        <v>-40.13</v>
      </c>
      <c r="B5988" t="n" s="0">
        <f>(-5-((((-5*(-5/((-5/(((-5*(-40.13--5))-(-5+((-5*-40.13)*(((-5--5)+(-40.13--5))+-40.13))))-(-5+-5)))*-5)))/-5)--5)+(-5*(((-40.13*(-40.13-(-5/-5)))*(-40.13-(-40.13/(-5*-40.13))))-(-5/-5)))))</f>
        <v>-326488.374785</v>
      </c>
      <c r="C5988" t="n" s="0">
        <v>-326488.3747850001</v>
      </c>
    </row>
    <row r="5989">
      <c r="A5989" t="n" s="0">
        <v>-40.12</v>
      </c>
      <c r="B5989" t="n" s="0">
        <f>(-5-((((-5*(-5/((-5/(((-5*(-40.12--5))-(-5+((-5*-40.12)*(((-5--5)+(-40.12--5))+-40.12))))-(-5+-5)))*-5)))/-5)--5)+(-5*(((-40.12*(-40.12-(-5/-5)))*(-40.12-(-40.12/(-5*-40.12))))-(-5/-5)))))</f>
        <v>-326245.23744</v>
      </c>
      <c r="C5989" t="n" s="0">
        <v>-326245.23743999994</v>
      </c>
    </row>
    <row r="5990">
      <c r="A5990" t="n" s="0">
        <v>-40.11</v>
      </c>
      <c r="B5990" t="n" s="0">
        <f>(-5-((((-5*(-5/((-5/(((-5*(-40.11--5))-(-5+((-5*-40.11)*(((-5--5)+(-40.11--5))+-40.11))))-(-5+-5)))*-5)))/-5)--5)+(-5*(((-40.11*(-40.11-(-5/-5)))*(-40.11-(-40.11/(-5*-40.11))))-(-5/-5)))))</f>
        <v>-326002.220855</v>
      </c>
      <c r="C5990" t="n" s="0">
        <v>-326002.220855</v>
      </c>
    </row>
    <row r="5991">
      <c r="A5991" t="n" s="0">
        <v>-40.1</v>
      </c>
      <c r="B5991" t="n" s="0">
        <f>(-5-((((-5*(-5/((-5/(((-5*(-40.1--5))-(-5+((-5*-40.1)*(((-5--5)+(-40.1--5))+-40.1))))-(-5+-5)))*-5)))/-5)--5)+(-5*(((-40.1*(-40.1-(-5/-5)))*(-40.1-(-40.1/(-5*-40.1))))-(-5/-5)))))</f>
        <v>-325759.325</v>
      </c>
      <c r="C5991" t="n" s="0">
        <v>-325759.32500000007</v>
      </c>
    </row>
    <row r="5992">
      <c r="A5992" t="n" s="0">
        <v>-40.09</v>
      </c>
      <c r="B5992" t="n" s="0">
        <f>(-5-((((-5*(-5/((-5/(((-5*(-40.09--5))-(-5+((-5*-40.09)*(((-5--5)+(-40.09--5))+-40.09))))-(-5+-5)))*-5)))/-5)--5)+(-5*(((-40.09*(-40.09-(-5/-5)))*(-40.09-(-40.09/(-5*-40.09))))-(-5/-5)))))</f>
        <v>-325516.54984500003</v>
      </c>
      <c r="C5992" t="n" s="0">
        <v>-325516.5498450001</v>
      </c>
    </row>
    <row r="5993">
      <c r="A5993" t="n" s="0">
        <v>-40.08</v>
      </c>
      <c r="B5993" t="n" s="0">
        <f>(-5-((((-5*(-5/((-5/(((-5*(-40.08--5))-(-5+((-5*-40.08)*(((-5--5)+(-40.08--5))+-40.08))))-(-5+-5)))*-5)))/-5)--5)+(-5*(((-40.08*(-40.08-(-5/-5)))*(-40.08-(-40.08/(-5*-40.08))))-(-5/-5)))))</f>
        <v>-325273.89535999997</v>
      </c>
      <c r="C5993" t="n" s="0">
        <v>-325273.89535999997</v>
      </c>
    </row>
    <row r="5994">
      <c r="A5994" t="n" s="0">
        <v>-40.07</v>
      </c>
      <c r="B5994" t="n" s="0">
        <f>(-5-((((-5*(-5/((-5/(((-5*(-40.07--5))-(-5+((-5*-40.07)*(((-5--5)+(-40.07--5))+-40.07))))-(-5+-5)))*-5)))/-5)--5)+(-5*(((-40.07*(-40.07-(-5/-5)))*(-40.07-(-40.07/(-5*-40.07))))-(-5/-5)))))</f>
        <v>-325031.36151499994</v>
      </c>
      <c r="C5994" t="n" s="0">
        <v>-325031.36151500006</v>
      </c>
    </row>
    <row r="5995">
      <c r="A5995" t="n" s="0">
        <v>-40.06</v>
      </c>
      <c r="B5995" t="n" s="0">
        <f>(-5-((((-5*(-5/((-5/(((-5*(-40.06--5))-(-5+((-5*-40.06)*(((-5--5)+(-40.06--5))+-40.06))))-(-5+-5)))*-5)))/-5)--5)+(-5*(((-40.06*(-40.06-(-5/-5)))*(-40.06-(-40.06/(-5*-40.06))))-(-5/-5)))))</f>
        <v>-324788.94828</v>
      </c>
      <c r="C5995" t="n" s="0">
        <v>-324788.94828000007</v>
      </c>
    </row>
    <row r="5996">
      <c r="A5996" t="n" s="0">
        <v>-40.05</v>
      </c>
      <c r="B5996" t="n" s="0">
        <f>(-5-((((-5*(-5/((-5/(((-5*(-40.05--5))-(-5+((-5*-40.05)*(((-5--5)+(-40.05--5))+-40.05))))-(-5+-5)))*-5)))/-5)--5)+(-5*(((-40.05*(-40.05-(-5/-5)))*(-40.05-(-40.05/(-5*-40.05))))-(-5/-5)))))</f>
        <v>-324546.655625</v>
      </c>
      <c r="C5996" t="n" s="0">
        <v>-324546.65562499996</v>
      </c>
    </row>
    <row r="5997">
      <c r="A5997" t="n" s="0">
        <v>-40.04</v>
      </c>
      <c r="B5997" t="n" s="0">
        <f>(-5-((((-5*(-5/((-5/(((-5*(-40.04--5))-(-5+((-5*-40.04)*(((-5--5)+(-40.04--5))+-40.04))))-(-5+-5)))*-5)))/-5)--5)+(-5*(((-40.04*(-40.04-(-5/-5)))*(-40.04-(-40.04/(-5*-40.04))))-(-5/-5)))))</f>
        <v>-324304.48352</v>
      </c>
      <c r="C5997" t="n" s="0">
        <v>-324304.48351999995</v>
      </c>
    </row>
    <row r="5998">
      <c r="A5998" t="n" s="0">
        <v>-40.03</v>
      </c>
      <c r="B5998" t="n" s="0">
        <f>(-5-((((-5*(-5/((-5/(((-5*(-40.03--5))-(-5+((-5*-40.03)*(((-5--5)+(-40.03--5))+-40.03))))-(-5+-5)))*-5)))/-5)--5)+(-5*(((-40.03*(-40.03-(-5/-5)))*(-40.03-(-40.03/(-5*-40.03))))-(-5/-5)))))</f>
        <v>-324062.431935</v>
      </c>
      <c r="C5998" t="n" s="0">
        <v>-324062.43193500006</v>
      </c>
    </row>
    <row r="5999">
      <c r="A5999" t="n" s="0">
        <v>-40.02</v>
      </c>
      <c r="B5999" t="n" s="0">
        <f>(-5-((((-5*(-5/((-5/(((-5*(-40.02--5))-(-5+((-5*-40.02)*(((-5--5)+(-40.02--5))+-40.02))))-(-5+-5)))*-5)))/-5)--5)+(-5*(((-40.02*(-40.02-(-5/-5)))*(-40.02-(-40.02/(-5*-40.02))))-(-5/-5)))))</f>
        <v>-323820.50084000005</v>
      </c>
      <c r="C5999" t="n" s="0">
        <v>-323820.50084000005</v>
      </c>
    </row>
    <row r="6000">
      <c r="A6000" t="n" s="0">
        <v>-40.01</v>
      </c>
      <c r="B6000" t="n" s="0">
        <f>(-5-((((-5*(-5/((-5/(((-5*(-40.01--5))-(-5+((-5*-40.01)*(((-5--5)+(-40.01--5))+-40.01))))-(-5+-5)))*-5)))/-5)--5)+(-5*(((-40.01*(-40.01-(-5/-5)))*(-40.01-(-40.01/(-5*-40.01))))-(-5/-5)))))</f>
        <v>-323578.690205</v>
      </c>
      <c r="C6000" t="n" s="0">
        <v>-323578.69020499993</v>
      </c>
    </row>
    <row r="6001">
      <c r="A6001" t="n" s="0">
        <v>-40.0</v>
      </c>
      <c r="B6001" t="n" s="0">
        <f>(-5-((((-5*(-5/((-5/(((-5*(-40--5))-(-5+((-5*-40)*(((-5--5)+(-40--5))+-40))))-(-5+-5)))*-5)))/-5)--5)+(-5*(((-40*(-40-(-5/-5)))*(-40-(-40/(-5*-40))))-(-5/-5)))))</f>
        <v>-323337.0</v>
      </c>
      <c r="C6001" t="n" s="0">
        <v>-323337.0</v>
      </c>
    </row>
    <row r="6002">
      <c r="A6002" t="n" s="0">
        <v>-39.99</v>
      </c>
      <c r="B6002" t="n" s="0">
        <f>(-5-((((-5*(-5/((-5/(((-5*(-39.99--5))-(-5+((-5*-39.99)*(((-5--5)+(-39.99--5))+-39.99))))-(-5+-5)))*-5)))/-5)--5)+(-5*(((-39.99*(-39.99-(-5/-5)))*(-39.99-(-39.99/(-5*-39.99))))-(-5/-5)))))</f>
        <v>-323095.43019499996</v>
      </c>
      <c r="C6002" t="n" s="0">
        <v>-323095.43019499996</v>
      </c>
    </row>
    <row r="6003">
      <c r="A6003" t="n" s="0">
        <v>-39.98</v>
      </c>
      <c r="B6003" t="n" s="0">
        <f>(-5-((((-5*(-5/((-5/(((-5*(-39.98--5))-(-5+((-5*-39.98)*(((-5--5)+(-39.98--5))+-39.98))))-(-5+-5)))*-5)))/-5)--5)+(-5*(((-39.98*(-39.98-(-5/-5)))*(-39.98-(-39.98/(-5*-39.98))))-(-5/-5)))))</f>
        <v>-322853.98076</v>
      </c>
      <c r="C6003" t="n" s="0">
        <v>-322853.98075999995</v>
      </c>
    </row>
    <row r="6004">
      <c r="A6004" t="n" s="0">
        <v>-39.97</v>
      </c>
      <c r="B6004" t="n" s="0">
        <f>(-5-((((-5*(-5/((-5/(((-5*(-39.97--5))-(-5+((-5*-39.97)*(((-5--5)+(-39.97--5))+-39.97))))-(-5+-5)))*-5)))/-5)--5)+(-5*(((-39.97*(-39.97-(-5/-5)))*(-39.97-(-39.97/(-5*-39.97))))-(-5/-5)))))</f>
        <v>-322612.651665</v>
      </c>
      <c r="C6004" t="n" s="0">
        <v>-322612.6516649999</v>
      </c>
    </row>
    <row r="6005">
      <c r="A6005" t="n" s="0">
        <v>-39.96</v>
      </c>
      <c r="B6005" t="n" s="0">
        <f>(-5-((((-5*(-5/((-5/(((-5*(-39.96--5))-(-5+((-5*-39.96)*(((-5--5)+(-39.96--5))+-39.96))))-(-5+-5)))*-5)))/-5)--5)+(-5*(((-39.96*(-39.96-(-5/-5)))*(-39.96-(-39.96/(-5*-39.96))))-(-5/-5)))))</f>
        <v>-322371.44288</v>
      </c>
      <c r="C6005" t="n" s="0">
        <v>-322371.44288000005</v>
      </c>
    </row>
    <row r="6006">
      <c r="A6006" t="n" s="0">
        <v>-39.95</v>
      </c>
      <c r="B6006" t="n" s="0">
        <f>(-5-((((-5*(-5/((-5/(((-5*(-39.95--5))-(-5+((-5*-39.95)*(((-5--5)+(-39.95--5))+-39.95))))-(-5+-5)))*-5)))/-5)--5)+(-5*(((-39.95*(-39.95-(-5/-5)))*(-39.95-(-39.95/(-5*-39.95))))-(-5/-5)))))</f>
        <v>-322130.354375</v>
      </c>
      <c r="C6006" t="n" s="0">
        <v>-322130.35437500005</v>
      </c>
    </row>
    <row r="6007">
      <c r="A6007" t="n" s="0">
        <v>-39.94</v>
      </c>
      <c r="B6007" t="n" s="0">
        <f>(-5-((((-5*(-5/((-5/(((-5*(-39.94--5))-(-5+((-5*-39.94)*(((-5--5)+(-39.94--5))+-39.94))))-(-5+-5)))*-5)))/-5)--5)+(-5*(((-39.94*(-39.94-(-5/-5)))*(-39.94-(-39.94/(-5*-39.94))))-(-5/-5)))))</f>
        <v>-321889.38612</v>
      </c>
      <c r="C6007" t="n" s="0">
        <v>-321889.38612</v>
      </c>
    </row>
    <row r="6008">
      <c r="A6008" t="n" s="0">
        <v>-39.93</v>
      </c>
      <c r="B6008" t="n" s="0">
        <f>(-5-((((-5*(-5/((-5/(((-5*(-39.93--5))-(-5+((-5*-39.93)*(((-5--5)+(-39.93--5))+-39.93))))-(-5+-5)))*-5)))/-5)--5)+(-5*(((-39.93*(-39.93-(-5/-5)))*(-39.93-(-39.93/(-5*-39.93))))-(-5/-5)))))</f>
        <v>-321648.538085</v>
      </c>
      <c r="C6008" t="n" s="0">
        <v>-321648.53808499995</v>
      </c>
    </row>
    <row r="6009">
      <c r="A6009" t="n" s="0">
        <v>-39.92</v>
      </c>
      <c r="B6009" t="n" s="0">
        <f>(-5-((((-5*(-5/((-5/(((-5*(-39.92--5))-(-5+((-5*-39.92)*(((-5--5)+(-39.92--5))+-39.92))))-(-5+-5)))*-5)))/-5)--5)+(-5*(((-39.92*(-39.92-(-5/-5)))*(-39.92-(-39.92/(-5*-39.92))))-(-5/-5)))))</f>
        <v>-321407.81024</v>
      </c>
      <c r="C6009" t="n" s="0">
        <v>-321407.81024</v>
      </c>
    </row>
    <row r="6010">
      <c r="A6010" t="n" s="0">
        <v>-39.91</v>
      </c>
      <c r="B6010" t="n" s="0">
        <f>(-5-((((-5*(-5/((-5/(((-5*(-39.91--5))-(-5+((-5*-39.91)*(((-5--5)+(-39.91--5))+-39.91))))-(-5+-5)))*-5)))/-5)--5)+(-5*(((-39.91*(-39.91-(-5/-5)))*(-39.91-(-39.91/(-5*-39.91))))-(-5/-5)))))</f>
        <v>-321167.20255499997</v>
      </c>
      <c r="C6010" t="n" s="0">
        <v>-321167.20255499985</v>
      </c>
    </row>
    <row r="6011">
      <c r="A6011" t="n" s="0">
        <v>-39.9</v>
      </c>
      <c r="B6011" t="n" s="0">
        <f>(-5-((((-5*(-5/((-5/(((-5*(-39.9--5))-(-5+((-5*-39.9)*(((-5--5)+(-39.9--5))+-39.9))))-(-5+-5)))*-5)))/-5)--5)+(-5*(((-39.9*(-39.9-(-5/-5)))*(-39.9-(-39.9/(-5*-39.9))))-(-5/-5)))))</f>
        <v>-320926.715</v>
      </c>
      <c r="C6011" t="n" s="0">
        <v>-320926.715</v>
      </c>
    </row>
    <row r="6012">
      <c r="A6012" t="n" s="0">
        <v>-39.89</v>
      </c>
      <c r="B6012" t="n" s="0">
        <f>(-5-((((-5*(-5/((-5/(((-5*(-39.89--5))-(-5+((-5*-39.89)*(((-5--5)+(-39.89--5))+-39.89))))-(-5+-5)))*-5)))/-5)--5)+(-5*(((-39.89*(-39.89-(-5/-5)))*(-39.89-(-39.89/(-5*-39.89))))-(-5/-5)))))</f>
        <v>-320686.34754499997</v>
      </c>
      <c r="C6012" t="n" s="0">
        <v>-320686.347545</v>
      </c>
    </row>
    <row r="6013">
      <c r="A6013" t="n" s="0">
        <v>-39.88</v>
      </c>
      <c r="B6013" t="n" s="0">
        <f>(-5-((((-5*(-5/((-5/(((-5*(-39.88--5))-(-5+((-5*-39.88)*(((-5--5)+(-39.88--5))+-39.88))))-(-5+-5)))*-5)))/-5)--5)+(-5*(((-39.88*(-39.88-(-5/-5)))*(-39.88-(-39.88/(-5*-39.88))))-(-5/-5)))))</f>
        <v>-320446.10016</v>
      </c>
      <c r="C6013" t="n" s="0">
        <v>-320446.1001600001</v>
      </c>
    </row>
    <row r="6014">
      <c r="A6014" t="n" s="0">
        <v>-39.87</v>
      </c>
      <c r="B6014" t="n" s="0">
        <f>(-5-((((-5*(-5/((-5/(((-5*(-39.87--5))-(-5+((-5*-39.87)*(((-5--5)+(-39.87--5))+-39.87))))-(-5+-5)))*-5)))/-5)--5)+(-5*(((-39.87*(-39.87-(-5/-5)))*(-39.87-(-39.87/(-5*-39.87))))-(-5/-5)))))</f>
        <v>-320205.972815</v>
      </c>
      <c r="C6014" t="n" s="0">
        <v>-320205.9728149999</v>
      </c>
    </row>
    <row r="6015">
      <c r="A6015" t="n" s="0">
        <v>-39.86</v>
      </c>
      <c r="B6015" t="n" s="0">
        <f>(-5-((((-5*(-5/((-5/(((-5*(-39.86--5))-(-5+((-5*-39.86)*(((-5--5)+(-39.86--5))+-39.86))))-(-5+-5)))*-5)))/-5)--5)+(-5*(((-39.86*(-39.86-(-5/-5)))*(-39.86-(-39.86/(-5*-39.86))))-(-5/-5)))))</f>
        <v>-319965.96548</v>
      </c>
      <c r="C6015" t="n" s="0">
        <v>-319965.96547999996</v>
      </c>
    </row>
    <row r="6016">
      <c r="A6016" t="n" s="0">
        <v>-39.85</v>
      </c>
      <c r="B6016" t="n" s="0">
        <f>(-5-((((-5*(-5/((-5/(((-5*(-39.85--5))-(-5+((-5*-39.85)*(((-5--5)+(-39.85--5))+-39.85))))-(-5+-5)))*-5)))/-5)--5)+(-5*(((-39.85*(-39.85-(-5/-5)))*(-39.85-(-39.85/(-5*-39.85))))-(-5/-5)))))</f>
        <v>-319726.078125</v>
      </c>
      <c r="C6016" t="n" s="0">
        <v>-319726.078125</v>
      </c>
    </row>
    <row r="6017">
      <c r="A6017" t="n" s="0">
        <v>-39.84</v>
      </c>
      <c r="B6017" t="n" s="0">
        <f>(-5-((((-5*(-5/((-5/(((-5*(-39.84--5))-(-5+((-5*-39.84)*(((-5--5)+(-39.84--5))+-39.84))))-(-5+-5)))*-5)))/-5)--5)+(-5*(((-39.84*(-39.84-(-5/-5)))*(-39.84-(-39.84/(-5*-39.84))))-(-5/-5)))))</f>
        <v>-319486.31071999995</v>
      </c>
      <c r="C6017" t="n" s="0">
        <v>-319486.3107200001</v>
      </c>
    </row>
    <row r="6018">
      <c r="A6018" t="n" s="0">
        <v>-39.83</v>
      </c>
      <c r="B6018" t="n" s="0">
        <f>(-5-((((-5*(-5/((-5/(((-5*(-39.83--5))-(-5+((-5*-39.83)*(((-5--5)+(-39.83--5))+-39.83))))-(-5+-5)))*-5)))/-5)--5)+(-5*(((-39.83*(-39.83-(-5/-5)))*(-39.83-(-39.83/(-5*-39.83))))-(-5/-5)))))</f>
        <v>-319246.663235</v>
      </c>
      <c r="C6018" t="n" s="0">
        <v>-319246.6632349999</v>
      </c>
    </row>
    <row r="6019">
      <c r="A6019" t="n" s="0">
        <v>-39.82</v>
      </c>
      <c r="B6019" t="n" s="0">
        <f>(-5-((((-5*(-5/((-5/(((-5*(-39.82--5))-(-5+((-5*-39.82)*(((-5--5)+(-39.82--5))+-39.82))))-(-5+-5)))*-5)))/-5)--5)+(-5*(((-39.82*(-39.82-(-5/-5)))*(-39.82-(-39.82/(-5*-39.82))))-(-5/-5)))))</f>
        <v>-319007.13564000005</v>
      </c>
      <c r="C6019" t="n" s="0">
        <v>-319007.13564000005</v>
      </c>
    </row>
    <row r="6020">
      <c r="A6020" t="n" s="0">
        <v>-39.81</v>
      </c>
      <c r="B6020" t="n" s="0">
        <f>(-5-((((-5*(-5/((-5/(((-5*(-39.81--5))-(-5+((-5*-39.81)*(((-5--5)+(-39.81--5))+-39.81))))-(-5+-5)))*-5)))/-5)--5)+(-5*(((-39.81*(-39.81-(-5/-5)))*(-39.81-(-39.81/(-5*-39.81))))-(-5/-5)))))</f>
        <v>-318767.72790500004</v>
      </c>
      <c r="C6020" t="n" s="0">
        <v>-318767.727905</v>
      </c>
    </row>
    <row r="6021">
      <c r="A6021" t="n" s="0">
        <v>-39.8</v>
      </c>
      <c r="B6021" t="n" s="0">
        <f>(-5-((((-5*(-5/((-5/(((-5*(-39.8--5))-(-5+((-5*-39.8)*(((-5--5)+(-39.8--5))+-39.8))))-(-5+-5)))*-5)))/-5)--5)+(-5*(((-39.8*(-39.8-(-5/-5)))*(-39.8-(-39.8/(-5*-39.8))))-(-5/-5)))))</f>
        <v>-318528.44</v>
      </c>
      <c r="C6021" t="n" s="0">
        <v>-318528.44</v>
      </c>
    </row>
    <row r="6022">
      <c r="A6022" t="n" s="0">
        <v>-39.79</v>
      </c>
      <c r="B6022" t="n" s="0">
        <f>(-5-((((-5*(-5/((-5/(((-5*(-39.79--5))-(-5+((-5*-39.79)*(((-5--5)+(-39.79--5))+-39.79))))-(-5+-5)))*-5)))/-5)--5)+(-5*(((-39.79*(-39.79-(-5/-5)))*(-39.79-(-39.79/(-5*-39.79))))-(-5/-5)))))</f>
        <v>-318289.271895</v>
      </c>
      <c r="C6022" t="n" s="0">
        <v>-318289.271895</v>
      </c>
    </row>
    <row r="6023">
      <c r="A6023" t="n" s="0">
        <v>-39.78</v>
      </c>
      <c r="B6023" t="n" s="0">
        <f>(-5-((((-5*(-5/((-5/(((-5*(-39.78--5))-(-5+((-5*-39.78)*(((-5--5)+(-39.78--5))+-39.78))))-(-5+-5)))*-5)))/-5)--5)+(-5*(((-39.78*(-39.78-(-5/-5)))*(-39.78-(-39.78/(-5*-39.78))))-(-5/-5)))))</f>
        <v>-318050.22356</v>
      </c>
      <c r="C6023" t="n" s="0">
        <v>-318050.2235600001</v>
      </c>
    </row>
    <row r="6024">
      <c r="A6024" t="n" s="0">
        <v>-39.77</v>
      </c>
      <c r="B6024" t="n" s="0">
        <f>(-5-((((-5*(-5/((-5/(((-5*(-39.77--5))-(-5+((-5*-39.77)*(((-5--5)+(-39.77--5))+-39.77))))-(-5+-5)))*-5)))/-5)--5)+(-5*(((-39.77*(-39.77-(-5/-5)))*(-39.77-(-39.77/(-5*-39.77))))-(-5/-5)))))</f>
        <v>-317811.294965</v>
      </c>
      <c r="C6024" t="n" s="0">
        <v>-317811.294965</v>
      </c>
    </row>
    <row r="6025">
      <c r="A6025" t="n" s="0">
        <v>-39.76</v>
      </c>
      <c r="B6025" t="n" s="0">
        <f>(-5-((((-5*(-5/((-5/(((-5*(-39.76--5))-(-5+((-5*-39.76)*(((-5--5)+(-39.76--5))+-39.76))))-(-5+-5)))*-5)))/-5)--5)+(-5*(((-39.76*(-39.76-(-5/-5)))*(-39.76-(-39.76/(-5*-39.76))))-(-5/-5)))))</f>
        <v>-317572.48608</v>
      </c>
      <c r="C6025" t="n" s="0">
        <v>-317572.48607999994</v>
      </c>
    </row>
    <row r="6026">
      <c r="A6026" t="n" s="0">
        <v>-39.75</v>
      </c>
      <c r="B6026" t="n" s="0">
        <f>(-5-((((-5*(-5/((-5/(((-5*(-39.75--5))-(-5+((-5*-39.75)*(((-5--5)+(-39.75--5))+-39.75))))-(-5+-5)))*-5)))/-5)--5)+(-5*(((-39.75*(-39.75-(-5/-5)))*(-39.75-(-39.75/(-5*-39.75))))-(-5/-5)))))</f>
        <v>-317333.796875</v>
      </c>
      <c r="C6026" t="n" s="0">
        <v>-317333.796875</v>
      </c>
    </row>
    <row r="6027">
      <c r="A6027" t="n" s="0">
        <v>-39.74</v>
      </c>
      <c r="B6027" t="n" s="0">
        <f>(-5-((((-5*(-5/((-5/(((-5*(-39.74--5))-(-5+((-5*-39.74)*(((-5--5)+(-39.74--5))+-39.74))))-(-5+-5)))*-5)))/-5)--5)+(-5*(((-39.74*(-39.74-(-5/-5)))*(-39.74-(-39.74/(-5*-39.74))))-(-5/-5)))))</f>
        <v>-317095.22732</v>
      </c>
      <c r="C6027" t="n" s="0">
        <v>-317095.22732</v>
      </c>
    </row>
    <row r="6028">
      <c r="A6028" t="n" s="0">
        <v>-39.73</v>
      </c>
      <c r="B6028" t="n" s="0">
        <f>(-5-((((-5*(-5/((-5/(((-5*(-39.73--5))-(-5+((-5*-39.73)*(((-5--5)+(-39.73--5))+-39.73))))-(-5+-5)))*-5)))/-5)--5)+(-5*(((-39.73*(-39.73-(-5/-5)))*(-39.73-(-39.73/(-5*-39.73))))-(-5/-5)))))</f>
        <v>-316856.777385</v>
      </c>
      <c r="C6028" t="n" s="0">
        <v>-316856.7773849999</v>
      </c>
    </row>
    <row r="6029">
      <c r="A6029" t="n" s="0">
        <v>-39.72</v>
      </c>
      <c r="B6029" t="n" s="0">
        <f>(-5-((((-5*(-5/((-5/(((-5*(-39.72--5))-(-5+((-5*-39.72)*(((-5--5)+(-39.72--5))+-39.72))))-(-5+-5)))*-5)))/-5)--5)+(-5*(((-39.72*(-39.72-(-5/-5)))*(-39.72-(-39.72/(-5*-39.72))))-(-5/-5)))))</f>
        <v>-316618.44704</v>
      </c>
      <c r="C6029" t="n" s="0">
        <v>-316618.44703999994</v>
      </c>
    </row>
    <row r="6030">
      <c r="A6030" t="n" s="0">
        <v>-39.71</v>
      </c>
      <c r="B6030" t="n" s="0">
        <f>(-5-((((-5*(-5/((-5/(((-5*(-39.71--5))-(-5+((-5*-39.71)*(((-5--5)+(-39.71--5))+-39.71))))-(-5+-5)))*-5)))/-5)--5)+(-5*(((-39.71*(-39.71-(-5/-5)))*(-39.71-(-39.71/(-5*-39.71))))-(-5/-5)))))</f>
        <v>-316380.236255</v>
      </c>
      <c r="C6030" t="n" s="0">
        <v>-316380.23625500005</v>
      </c>
    </row>
    <row r="6031">
      <c r="A6031" t="n" s="0">
        <v>-39.7</v>
      </c>
      <c r="B6031" t="n" s="0">
        <f>(-5-((((-5*(-5/((-5/(((-5*(-39.7--5))-(-5+((-5*-39.7)*(((-5--5)+(-39.7--5))+-39.7))))-(-5+-5)))*-5)))/-5)--5)+(-5*(((-39.7*(-39.7-(-5/-5)))*(-39.7-(-39.7/(-5*-39.7))))-(-5/-5)))))</f>
        <v>-316142.145</v>
      </c>
      <c r="C6031" t="n" s="0">
        <v>-316142.1450000001</v>
      </c>
    </row>
    <row r="6032">
      <c r="A6032" t="n" s="0">
        <v>-39.69</v>
      </c>
      <c r="B6032" t="n" s="0">
        <f>(-5-((((-5*(-5/((-5/(((-5*(-39.69--5))-(-5+((-5*-39.69)*(((-5--5)+(-39.69--5))+-39.69))))-(-5+-5)))*-5)))/-5)--5)+(-5*(((-39.69*(-39.69-(-5/-5)))*(-39.69-(-39.69/(-5*-39.69))))-(-5/-5)))))</f>
        <v>-315904.173245</v>
      </c>
      <c r="C6032" t="n" s="0">
        <v>-315904.17324499995</v>
      </c>
    </row>
    <row r="6033">
      <c r="A6033" t="n" s="0">
        <v>-39.68</v>
      </c>
      <c r="B6033" t="n" s="0">
        <f>(-5-((((-5*(-5/((-5/(((-5*(-39.68--5))-(-5+((-5*-39.68)*(((-5--5)+(-39.68--5))+-39.68))))-(-5+-5)))*-5)))/-5)--5)+(-5*(((-39.68*(-39.68-(-5/-5)))*(-39.68-(-39.68/(-5*-39.68))))-(-5/-5)))))</f>
        <v>-315666.32096</v>
      </c>
      <c r="C6033" t="n" s="0">
        <v>-315666.32096</v>
      </c>
    </row>
    <row r="6034">
      <c r="A6034" t="n" s="0">
        <v>-39.67</v>
      </c>
      <c r="B6034" t="n" s="0">
        <f>(-5-((((-5*(-5/((-5/(((-5*(-39.67--5))-(-5+((-5*-39.67)*(((-5--5)+(-39.67--5))+-39.67))))-(-5+-5)))*-5)))/-5)--5)+(-5*(((-39.67*(-39.67-(-5/-5)))*(-39.67-(-39.67/(-5*-39.67))))-(-5/-5)))))</f>
        <v>-315428.588115</v>
      </c>
      <c r="C6034" t="n" s="0">
        <v>-315428.58811500005</v>
      </c>
    </row>
    <row r="6035">
      <c r="A6035" t="n" s="0">
        <v>-39.66</v>
      </c>
      <c r="B6035" t="n" s="0">
        <f>(-5-((((-5*(-5/((-5/(((-5*(-39.66--5))-(-5+((-5*-39.66)*(((-5--5)+(-39.66--5))+-39.66))))-(-5+-5)))*-5)))/-5)--5)+(-5*(((-39.66*(-39.66-(-5/-5)))*(-39.66-(-39.66/(-5*-39.66))))-(-5/-5)))))</f>
        <v>-315190.97468</v>
      </c>
      <c r="C6035" t="n" s="0">
        <v>-315190.9746799999</v>
      </c>
    </row>
    <row r="6036">
      <c r="A6036" t="n" s="0">
        <v>-39.65</v>
      </c>
      <c r="B6036" t="n" s="0">
        <f>(-5-((((-5*(-5/((-5/(((-5*(-39.65--5))-(-5+((-5*-39.65)*(((-5--5)+(-39.65--5))+-39.65))))-(-5+-5)))*-5)))/-5)--5)+(-5*(((-39.65*(-39.65-(-5/-5)))*(-39.65-(-39.65/(-5*-39.65))))-(-5/-5)))))</f>
        <v>-314953.48062499997</v>
      </c>
      <c r="C6036" t="n" s="0">
        <v>-314953.48062499997</v>
      </c>
    </row>
    <row r="6037">
      <c r="A6037" t="n" s="0">
        <v>-39.64</v>
      </c>
      <c r="B6037" t="n" s="0">
        <f>(-5-((((-5*(-5/((-5/(((-5*(-39.64--5))-(-5+((-5*-39.64)*(((-5--5)+(-39.64--5))+-39.64))))-(-5+-5)))*-5)))/-5)--5)+(-5*(((-39.64*(-39.64-(-5/-5)))*(-39.64-(-39.64/(-5*-39.64))))-(-5/-5)))))</f>
        <v>-314716.10592</v>
      </c>
      <c r="C6037" t="n" s="0">
        <v>-314716.10592</v>
      </c>
    </row>
    <row r="6038">
      <c r="A6038" t="n" s="0">
        <v>-39.63</v>
      </c>
      <c r="B6038" t="n" s="0">
        <f>(-5-((((-5*(-5/((-5/(((-5*(-39.63--5))-(-5+((-5*-39.63)*(((-5--5)+(-39.63--5))+-39.63))))-(-5+-5)))*-5)))/-5)--5)+(-5*(((-39.63*(-39.63-(-5/-5)))*(-39.63-(-39.63/(-5*-39.63))))-(-5/-5)))))</f>
        <v>-314478.85053500003</v>
      </c>
      <c r="C6038" t="n" s="0">
        <v>-314478.8505350001</v>
      </c>
    </row>
    <row r="6039">
      <c r="A6039" t="n" s="0">
        <v>-39.62</v>
      </c>
      <c r="B6039" t="n" s="0">
        <f>(-5-((((-5*(-5/((-5/(((-5*(-39.62--5))-(-5+((-5*-39.62)*(((-5--5)+(-39.62--5))+-39.62))))-(-5+-5)))*-5)))/-5)--5)+(-5*(((-39.62*(-39.62-(-5/-5)))*(-39.62-(-39.62/(-5*-39.62))))-(-5/-5)))))</f>
        <v>-314241.71444</v>
      </c>
      <c r="C6039" t="n" s="0">
        <v>-314241.7144399999</v>
      </c>
    </row>
    <row r="6040">
      <c r="A6040" t="n" s="0">
        <v>-39.61</v>
      </c>
      <c r="B6040" t="n" s="0">
        <f>(-5-((((-5*(-5/((-5/(((-5*(-39.61--5))-(-5+((-5*-39.61)*(((-5--5)+(-39.61--5))+-39.61))))-(-5+-5)))*-5)))/-5)--5)+(-5*(((-39.61*(-39.61-(-5/-5)))*(-39.61-(-39.61/(-5*-39.61))))-(-5/-5)))))</f>
        <v>-314004.697605</v>
      </c>
      <c r="C6040" t="n" s="0">
        <v>-314004.697605</v>
      </c>
    </row>
    <row r="6041">
      <c r="A6041" t="n" s="0">
        <v>-39.6</v>
      </c>
      <c r="B6041" t="n" s="0">
        <f>(-5-((((-5*(-5/((-5/(((-5*(-39.6--5))-(-5+((-5*-39.6)*(((-5--5)+(-39.6--5))+-39.6))))-(-5+-5)))*-5)))/-5)--5)+(-5*(((-39.6*(-39.6-(-5/-5)))*(-39.6-(-39.6/(-5*-39.6))))-(-5/-5)))))</f>
        <v>-313767.8</v>
      </c>
      <c r="C6041" t="n" s="0">
        <v>-313767.80000000005</v>
      </c>
    </row>
    <row r="6042">
      <c r="A6042" t="n" s="0">
        <v>-39.59</v>
      </c>
      <c r="B6042" t="n" s="0">
        <f>(-5-((((-5*(-5/((-5/(((-5*(-39.59--5))-(-5+((-5*-39.59)*(((-5--5)+(-39.59--5))+-39.59))))-(-5+-5)))*-5)))/-5)--5)+(-5*(((-39.59*(-39.59-(-5/-5)))*(-39.59-(-39.59/(-5*-39.59))))-(-5/-5)))))</f>
        <v>-313531.021595</v>
      </c>
      <c r="C6042" t="n" s="0">
        <v>-313531.02159500006</v>
      </c>
    </row>
    <row r="6043">
      <c r="A6043" t="n" s="0">
        <v>-39.58</v>
      </c>
      <c r="B6043" t="n" s="0">
        <f>(-5-((((-5*(-5/((-5/(((-5*(-39.58--5))-(-5+((-5*-39.58)*(((-5--5)+(-39.58--5))+-39.58))))-(-5+-5)))*-5)))/-5)--5)+(-5*(((-39.58*(-39.58-(-5/-5)))*(-39.58-(-39.58/(-5*-39.58))))-(-5/-5)))))</f>
        <v>-313294.36236</v>
      </c>
      <c r="C6043" t="n" s="0">
        <v>-313294.3623599999</v>
      </c>
    </row>
    <row r="6044">
      <c r="A6044" t="n" s="0">
        <v>-39.57</v>
      </c>
      <c r="B6044" t="n" s="0">
        <f>(-5-((((-5*(-5/((-5/(((-5*(-39.57--5))-(-5+((-5*-39.57)*(((-5--5)+(-39.57--5))+-39.57))))-(-5+-5)))*-5)))/-5)--5)+(-5*(((-39.57*(-39.57-(-5/-5)))*(-39.57-(-39.57/(-5*-39.57))))-(-5/-5)))))</f>
        <v>-313057.822265</v>
      </c>
      <c r="C6044" t="n" s="0">
        <v>-313057.822265</v>
      </c>
    </row>
    <row r="6045">
      <c r="A6045" t="n" s="0">
        <v>-39.56</v>
      </c>
      <c r="B6045" t="n" s="0">
        <f>(-5-((((-5*(-5/((-5/(((-5*(-39.56--5))-(-5+((-5*-39.56)*(((-5--5)+(-39.56--5))+-39.56))))-(-5+-5)))*-5)))/-5)--5)+(-5*(((-39.56*(-39.56-(-5/-5)))*(-39.56-(-39.56/(-5*-39.56))))-(-5/-5)))))</f>
        <v>-312821.40128</v>
      </c>
      <c r="C6045" t="n" s="0">
        <v>-312821.40128</v>
      </c>
    </row>
    <row r="6046">
      <c r="A6046" t="n" s="0">
        <v>-39.55</v>
      </c>
      <c r="B6046" t="n" s="0">
        <f>(-5-((((-5*(-5/((-5/(((-5*(-39.55--5))-(-5+((-5*-39.55)*(((-5--5)+(-39.55--5))+-39.55))))-(-5+-5)))*-5)))/-5)--5)+(-5*(((-39.55*(-39.55-(-5/-5)))*(-39.55-(-39.55/(-5*-39.55))))-(-5/-5)))))</f>
        <v>-312585.099375</v>
      </c>
      <c r="C6046" t="n" s="0">
        <v>-312585.099375</v>
      </c>
    </row>
    <row r="6047">
      <c r="A6047" t="n" s="0">
        <v>-39.54</v>
      </c>
      <c r="B6047" t="n" s="0">
        <f>(-5-((((-5*(-5/((-5/(((-5*(-39.54--5))-(-5+((-5*-39.54)*(((-5--5)+(-39.54--5))+-39.54))))-(-5+-5)))*-5)))/-5)--5)+(-5*(((-39.54*(-39.54-(-5/-5)))*(-39.54-(-39.54/(-5*-39.54))))-(-5/-5)))))</f>
        <v>-312348.91651999997</v>
      </c>
      <c r="C6047" t="n" s="0">
        <v>-312348.91651999997</v>
      </c>
    </row>
    <row r="6048">
      <c r="A6048" t="n" s="0">
        <v>-39.53</v>
      </c>
      <c r="B6048" t="n" s="0">
        <f>(-5-((((-5*(-5/((-5/(((-5*(-39.53--5))-(-5+((-5*-39.53)*(((-5--5)+(-39.53--5))+-39.53))))-(-5+-5)))*-5)))/-5)--5)+(-5*(((-39.53*(-39.53-(-5/-5)))*(-39.53-(-39.53/(-5*-39.53))))-(-5/-5)))))</f>
        <v>-312112.852685</v>
      </c>
      <c r="C6048" t="n" s="0">
        <v>-312112.85268500005</v>
      </c>
    </row>
    <row r="6049">
      <c r="A6049" t="n" s="0">
        <v>-39.52</v>
      </c>
      <c r="B6049" t="n" s="0">
        <f>(-5-((((-5*(-5/((-5/(((-5*(-39.52--5))-(-5+((-5*-39.52)*(((-5--5)+(-39.52--5))+-39.52))))-(-5+-5)))*-5)))/-5)--5)+(-5*(((-39.52*(-39.52-(-5/-5)))*(-39.52-(-39.52/(-5*-39.52))))-(-5/-5)))))</f>
        <v>-311876.90784</v>
      </c>
      <c r="C6049" t="n" s="0">
        <v>-311876.90784000006</v>
      </c>
    </row>
    <row r="6050">
      <c r="A6050" t="n" s="0">
        <v>-39.51</v>
      </c>
      <c r="B6050" t="n" s="0">
        <f>(-5-((((-5*(-5/((-5/(((-5*(-39.51--5))-(-5+((-5*-39.51)*(((-5--5)+(-39.51--5))+-39.51))))-(-5+-5)))*-5)))/-5)--5)+(-5*(((-39.51*(-39.51-(-5/-5)))*(-39.51-(-39.51/(-5*-39.51))))-(-5/-5)))))</f>
        <v>-311641.08195499994</v>
      </c>
      <c r="C6050" t="n" s="0">
        <v>-311641.081955</v>
      </c>
    </row>
    <row r="6051">
      <c r="A6051" t="n" s="0">
        <v>-39.5</v>
      </c>
      <c r="B6051" t="n" s="0">
        <f>(-5-((((-5*(-5/((-5/(((-5*(-39.5--5))-(-5+((-5*-39.5)*(((-5--5)+(-39.5--5))+-39.5))))-(-5+-5)))*-5)))/-5)--5)+(-5*(((-39.5*(-39.5-(-5/-5)))*(-39.5-(-39.5/(-5*-39.5))))-(-5/-5)))))</f>
        <v>-311405.375</v>
      </c>
      <c r="C6051" t="n" s="0">
        <v>-311405.375</v>
      </c>
    </row>
    <row r="6052">
      <c r="A6052" t="n" s="0">
        <v>-39.49</v>
      </c>
      <c r="B6052" t="n" s="0">
        <f>(-5-((((-5*(-5/((-5/(((-5*(-39.49--5))-(-5+((-5*-39.49)*(((-5--5)+(-39.49--5))+-39.49))))-(-5+-5)))*-5)))/-5)--5)+(-5*(((-39.49*(-39.49-(-5/-5)))*(-39.49-(-39.49/(-5*-39.49))))-(-5/-5)))))</f>
        <v>-311169.786945</v>
      </c>
      <c r="C6052" t="n" s="0">
        <v>-311169.786945</v>
      </c>
    </row>
    <row r="6053">
      <c r="A6053" t="n" s="0">
        <v>-39.48</v>
      </c>
      <c r="B6053" t="n" s="0">
        <f>(-5-((((-5*(-5/((-5/(((-5*(-39.48--5))-(-5+((-5*-39.48)*(((-5--5)+(-39.48--5))+-39.48))))-(-5+-5)))*-5)))/-5)--5)+(-5*(((-39.48*(-39.48-(-5/-5)))*(-39.48-(-39.48/(-5*-39.48))))-(-5/-5)))))</f>
        <v>-310934.31776</v>
      </c>
      <c r="C6053" t="n" s="0">
        <v>-310934.31775999995</v>
      </c>
    </row>
    <row r="6054">
      <c r="A6054" t="n" s="0">
        <v>-39.47</v>
      </c>
      <c r="B6054" t="n" s="0">
        <f>(-5-((((-5*(-5/((-5/(((-5*(-39.47--5))-(-5+((-5*-39.47)*(((-5--5)+(-39.47--5))+-39.47))))-(-5+-5)))*-5)))/-5)--5)+(-5*(((-39.47*(-39.47-(-5/-5)))*(-39.47-(-39.47/(-5*-39.47))))-(-5/-5)))))</f>
        <v>-310698.96741499996</v>
      </c>
      <c r="C6054" t="n" s="0">
        <v>-310698.9674149999</v>
      </c>
    </row>
    <row r="6055">
      <c r="A6055" t="n" s="0">
        <v>-39.46</v>
      </c>
      <c r="B6055" t="n" s="0">
        <f>(-5-((((-5*(-5/((-5/(((-5*(-39.46--5))-(-5+((-5*-39.46)*(((-5--5)+(-39.46--5))+-39.46))))-(-5+-5)))*-5)))/-5)--5)+(-5*(((-39.46*(-39.46-(-5/-5)))*(-39.46-(-39.46/(-5*-39.46))))-(-5/-5)))))</f>
        <v>-310463.73588</v>
      </c>
      <c r="C6055" t="n" s="0">
        <v>-310463.73588000005</v>
      </c>
    </row>
    <row r="6056">
      <c r="A6056" t="n" s="0">
        <v>-39.45</v>
      </c>
      <c r="B6056" t="n" s="0">
        <f>(-5-((((-5*(-5/((-5/(((-5*(-39.45--5))-(-5+((-5*-39.45)*(((-5--5)+(-39.45--5))+-39.45))))-(-5+-5)))*-5)))/-5)--5)+(-5*(((-39.45*(-39.45-(-5/-5)))*(-39.45-(-39.45/(-5*-39.45))))-(-5/-5)))))</f>
        <v>-310228.623125</v>
      </c>
      <c r="C6056" t="n" s="0">
        <v>-310228.62312500004</v>
      </c>
    </row>
    <row r="6057">
      <c r="A6057" t="n" s="0">
        <v>-39.44</v>
      </c>
      <c r="B6057" t="n" s="0">
        <f>(-5-((((-5*(-5/((-5/(((-5*(-39.44--5))-(-5+((-5*-39.44)*(((-5--5)+(-39.44--5))+-39.44))))-(-5+-5)))*-5)))/-5)--5)+(-5*(((-39.44*(-39.44-(-5/-5)))*(-39.44-(-39.44/(-5*-39.44))))-(-5/-5)))))</f>
        <v>-309993.62912</v>
      </c>
      <c r="C6057" t="n" s="0">
        <v>-309993.62912</v>
      </c>
    </row>
    <row r="6058">
      <c r="A6058" t="n" s="0">
        <v>-39.43</v>
      </c>
      <c r="B6058" t="n" s="0">
        <f>(-5-((((-5*(-5/((-5/(((-5*(-39.43--5))-(-5+((-5*-39.43)*(((-5--5)+(-39.43--5))+-39.43))))-(-5+-5)))*-5)))/-5)--5)+(-5*(((-39.43*(-39.43-(-5/-5)))*(-39.43-(-39.43/(-5*-39.43))))-(-5/-5)))))</f>
        <v>-309758.75383500004</v>
      </c>
      <c r="C6058" t="n" s="0">
        <v>-309758.753835</v>
      </c>
    </row>
    <row r="6059">
      <c r="A6059" t="n" s="0">
        <v>-39.42</v>
      </c>
      <c r="B6059" t="n" s="0">
        <f>(-5-((((-5*(-5/((-5/(((-5*(-39.42--5))-(-5+((-5*-39.42)*(((-5--5)+(-39.42--5))+-39.42))))-(-5+-5)))*-5)))/-5)--5)+(-5*(((-39.42*(-39.42-(-5/-5)))*(-39.42-(-39.42/(-5*-39.42))))-(-5/-5)))))</f>
        <v>-309523.99724</v>
      </c>
      <c r="C6059" t="n" s="0">
        <v>-309523.99724000006</v>
      </c>
    </row>
    <row r="6060">
      <c r="A6060" t="n" s="0">
        <v>-39.41</v>
      </c>
      <c r="B6060" t="n" s="0">
        <f>(-5-((((-5*(-5/((-5/(((-5*(-39.41--5))-(-5+((-5*-39.41)*(((-5--5)+(-39.41--5))+-39.41))))-(-5+-5)))*-5)))/-5)--5)+(-5*(((-39.41*(-39.41-(-5/-5)))*(-39.41-(-39.41/(-5*-39.41))))-(-5/-5)))))</f>
        <v>-309289.359305</v>
      </c>
      <c r="C6060" t="n" s="0">
        <v>-309289.3593049999</v>
      </c>
    </row>
    <row r="6061">
      <c r="A6061" t="n" s="0">
        <v>-39.4</v>
      </c>
      <c r="B6061" t="n" s="0">
        <f>(-5-((((-5*(-5/((-5/(((-5*(-39.4--5))-(-5+((-5*-39.4)*(((-5--5)+(-39.4--5))+-39.4))))-(-5+-5)))*-5)))/-5)--5)+(-5*(((-39.4*(-39.4-(-5/-5)))*(-39.4-(-39.4/(-5*-39.4))))-(-5/-5)))))</f>
        <v>-309054.84</v>
      </c>
      <c r="C6061" t="n" s="0">
        <v>-309054.83999999997</v>
      </c>
    </row>
    <row r="6062">
      <c r="A6062" t="n" s="0">
        <v>-39.39</v>
      </c>
      <c r="B6062" t="n" s="0">
        <f>(-5-((((-5*(-5/((-5/(((-5*(-39.39--5))-(-5+((-5*-39.39)*(((-5--5)+(-39.39--5))+-39.39))))-(-5+-5)))*-5)))/-5)--5)+(-5*(((-39.39*(-39.39-(-5/-5)))*(-39.39-(-39.39/(-5*-39.39))))-(-5/-5)))))</f>
        <v>-308820.439295</v>
      </c>
      <c r="C6062" t="n" s="0">
        <v>-308820.439295</v>
      </c>
    </row>
    <row r="6063">
      <c r="A6063" t="n" s="0">
        <v>-39.38</v>
      </c>
      <c r="B6063" t="n" s="0">
        <f>(-5-((((-5*(-5/((-5/(((-5*(-39.38--5))-(-5+((-5*-39.38)*(((-5--5)+(-39.38--5))+-39.38))))-(-5+-5)))*-5)))/-5)--5)+(-5*(((-39.38*(-39.38-(-5/-5)))*(-39.38-(-39.38/(-5*-39.38))))-(-5/-5)))))</f>
        <v>-308586.15716</v>
      </c>
      <c r="C6063" t="n" s="0">
        <v>-308586.15716000006</v>
      </c>
    </row>
    <row r="6064">
      <c r="A6064" t="n" s="0">
        <v>-39.37</v>
      </c>
      <c r="B6064" t="n" s="0">
        <f>(-5-((((-5*(-5/((-5/(((-5*(-39.37--5))-(-5+((-5*-39.37)*(((-5--5)+(-39.37--5))+-39.37))))-(-5+-5)))*-5)))/-5)--5)+(-5*(((-39.37*(-39.37-(-5/-5)))*(-39.37-(-39.37/(-5*-39.37))))-(-5/-5)))))</f>
        <v>-308351.993565</v>
      </c>
      <c r="C6064" t="n" s="0">
        <v>-308351.99356499995</v>
      </c>
    </row>
    <row r="6065">
      <c r="A6065" t="n" s="0">
        <v>-39.36</v>
      </c>
      <c r="B6065" t="n" s="0">
        <f>(-5-((((-5*(-5/((-5/(((-5*(-39.36--5))-(-5+((-5*-39.36)*(((-5--5)+(-39.36--5))+-39.36))))-(-5+-5)))*-5)))/-5)--5)+(-5*(((-39.36*(-39.36-(-5/-5)))*(-39.36-(-39.36/(-5*-39.36))))-(-5/-5)))))</f>
        <v>-308117.94848</v>
      </c>
      <c r="C6065" t="n" s="0">
        <v>-308117.94847999996</v>
      </c>
    </row>
    <row r="6066">
      <c r="A6066" t="n" s="0">
        <v>-39.35</v>
      </c>
      <c r="B6066" t="n" s="0">
        <f>(-5-((((-5*(-5/((-5/(((-5*(-39.35--5))-(-5+((-5*-39.35)*(((-5--5)+(-39.35--5))+-39.35))))-(-5+-5)))*-5)))/-5)--5)+(-5*(((-39.35*(-39.35-(-5/-5)))*(-39.35-(-39.35/(-5*-39.35))))-(-5/-5)))))</f>
        <v>-307884.021875</v>
      </c>
      <c r="C6066" t="n" s="0">
        <v>-307884.021875</v>
      </c>
    </row>
    <row r="6067">
      <c r="A6067" t="n" s="0">
        <v>-39.34</v>
      </c>
      <c r="B6067" t="n" s="0">
        <f>(-5-((((-5*(-5/((-5/(((-5*(-39.34--5))-(-5+((-5*-39.34)*(((-5--5)+(-39.34--5))+-39.34))))-(-5+-5)))*-5)))/-5)--5)+(-5*(((-39.34*(-39.34-(-5/-5)))*(-39.34-(-39.34/(-5*-39.34))))-(-5/-5)))))</f>
        <v>-307650.21372</v>
      </c>
      <c r="C6067" t="n" s="0">
        <v>-307650.2137200001</v>
      </c>
    </row>
    <row r="6068">
      <c r="A6068" t="n" s="0">
        <v>-39.33</v>
      </c>
      <c r="B6068" t="n" s="0">
        <f>(-5-((((-5*(-5/((-5/(((-5*(-39.33--5))-(-5+((-5*-39.33)*(((-5--5)+(-39.33--5))+-39.33))))-(-5+-5)))*-5)))/-5)--5)+(-5*(((-39.33*(-39.33-(-5/-5)))*(-39.33-(-39.33/(-5*-39.33))))-(-5/-5)))))</f>
        <v>-307416.523985</v>
      </c>
      <c r="C6068" t="n" s="0">
        <v>-307416.523985</v>
      </c>
    </row>
    <row r="6069">
      <c r="A6069" t="n" s="0">
        <v>-39.32</v>
      </c>
      <c r="B6069" t="n" s="0">
        <f>(-5-((((-5*(-5/((-5/(((-5*(-39.32--5))-(-5+((-5*-39.32)*(((-5--5)+(-39.32--5))+-39.32))))-(-5+-5)))*-5)))/-5)--5)+(-5*(((-39.32*(-39.32-(-5/-5)))*(-39.32-(-39.32/(-5*-39.32))))-(-5/-5)))))</f>
        <v>-307182.95264</v>
      </c>
      <c r="C6069" t="n" s="0">
        <v>-307182.95264</v>
      </c>
    </row>
    <row r="6070">
      <c r="A6070" t="n" s="0">
        <v>-39.31</v>
      </c>
      <c r="B6070" t="n" s="0">
        <f>(-5-((((-5*(-5/((-5/(((-5*(-39.31--5))-(-5+((-5*-39.31)*(((-5--5)+(-39.31--5))+-39.31))))-(-5+-5)))*-5)))/-5)--5)+(-5*(((-39.31*(-39.31-(-5/-5)))*(-39.31-(-39.31/(-5*-39.31))))-(-5/-5)))))</f>
        <v>-306949.499655</v>
      </c>
      <c r="C6070" t="n" s="0">
        <v>-306949.49965500005</v>
      </c>
    </row>
    <row r="6071">
      <c r="A6071" t="n" s="0">
        <v>-39.3</v>
      </c>
      <c r="B6071" t="n" s="0">
        <f>(-5-((((-5*(-5/((-5/(((-5*(-39.3--5))-(-5+((-5*-39.3)*(((-5--5)+(-39.3--5))+-39.3))))-(-5+-5)))*-5)))/-5)--5)+(-5*(((-39.3*(-39.3-(-5/-5)))*(-39.3-(-39.3/(-5*-39.3))))-(-5/-5)))))</f>
        <v>-306716.165</v>
      </c>
      <c r="C6071" t="n" s="0">
        <v>-306716.1649999999</v>
      </c>
    </row>
    <row r="6072">
      <c r="A6072" t="n" s="0">
        <v>-39.29</v>
      </c>
      <c r="B6072" t="n" s="0">
        <f>(-5-((((-5*(-5/((-5/(((-5*(-39.29--5))-(-5+((-5*-39.29)*(((-5--5)+(-39.29--5))+-39.29))))-(-5+-5)))*-5)))/-5)--5)+(-5*(((-39.29*(-39.29-(-5/-5)))*(-39.29-(-39.29/(-5*-39.29))))-(-5/-5)))))</f>
        <v>-306482.94864500005</v>
      </c>
      <c r="C6072" t="n" s="0">
        <v>-306482.948645</v>
      </c>
    </row>
    <row r="6073">
      <c r="A6073" t="n" s="0">
        <v>-39.28</v>
      </c>
      <c r="B6073" t="n" s="0">
        <f>(-5-((((-5*(-5/((-5/(((-5*(-39.28--5))-(-5+((-5*-39.28)*(((-5--5)+(-39.28--5))+-39.28))))-(-5+-5)))*-5)))/-5)--5)+(-5*(((-39.28*(-39.28-(-5/-5)))*(-39.28-(-39.28/(-5*-39.28))))-(-5/-5)))))</f>
        <v>-306249.85056</v>
      </c>
      <c r="C6073" t="n" s="0">
        <v>-306249.85056000005</v>
      </c>
    </row>
    <row r="6074">
      <c r="A6074" t="n" s="0">
        <v>-39.27</v>
      </c>
      <c r="B6074" t="n" s="0">
        <f>(-5-((((-5*(-5/((-5/(((-5*(-39.27--5))-(-5+((-5*-39.27)*(((-5--5)+(-39.27--5))+-39.27))))-(-5+-5)))*-5)))/-5)--5)+(-5*(((-39.27*(-39.27-(-5/-5)))*(-39.27-(-39.27/(-5*-39.27))))-(-5/-5)))))</f>
        <v>-306016.870715</v>
      </c>
      <c r="C6074" t="n" s="0">
        <v>-306016.8707150001</v>
      </c>
    </row>
    <row r="6075">
      <c r="A6075" t="n" s="0">
        <v>-39.26</v>
      </c>
      <c r="B6075" t="n" s="0">
        <f>(-5-((((-5*(-5/((-5/(((-5*(-39.26--5))-(-5+((-5*-39.26)*(((-5--5)+(-39.26--5))+-39.26))))-(-5+-5)))*-5)))/-5)--5)+(-5*(((-39.26*(-39.26-(-5/-5)))*(-39.26-(-39.26/(-5*-39.26))))-(-5/-5)))))</f>
        <v>-305784.00908000005</v>
      </c>
      <c r="C6075" t="n" s="0">
        <v>-305784.00908</v>
      </c>
    </row>
    <row r="6076">
      <c r="A6076" t="n" s="0">
        <v>-39.25</v>
      </c>
      <c r="B6076" t="n" s="0">
        <f>(-5-((((-5*(-5/((-5/(((-5*(-39.25--5))-(-5+((-5*-39.25)*(((-5--5)+(-39.25--5))+-39.25))))-(-5+-5)))*-5)))/-5)--5)+(-5*(((-39.25*(-39.25-(-5/-5)))*(-39.25-(-39.25/(-5*-39.25))))-(-5/-5)))))</f>
        <v>-305551.265625</v>
      </c>
      <c r="C6076" t="n" s="0">
        <v>-305551.265625</v>
      </c>
    </row>
    <row r="6077">
      <c r="A6077" t="n" s="0">
        <v>-39.24</v>
      </c>
      <c r="B6077" t="n" s="0">
        <f>(-5-((((-5*(-5/((-5/(((-5*(-39.24--5))-(-5+((-5*-39.24)*(((-5--5)+(-39.24--5))+-39.24))))-(-5+-5)))*-5)))/-5)--5)+(-5*(((-39.24*(-39.24-(-5/-5)))*(-39.24-(-39.24/(-5*-39.24))))-(-5/-5)))))</f>
        <v>-305318.64032</v>
      </c>
      <c r="C6077" t="n" s="0">
        <v>-305318.64032</v>
      </c>
    </row>
    <row r="6078">
      <c r="A6078" t="n" s="0">
        <v>-39.23</v>
      </c>
      <c r="B6078" t="n" s="0">
        <f>(-5-((((-5*(-5/((-5/(((-5*(-39.23--5))-(-5+((-5*-39.23)*(((-5--5)+(-39.23--5))+-39.23))))-(-5+-5)))*-5)))/-5)--5)+(-5*(((-39.23*(-39.23-(-5/-5)))*(-39.23-(-39.23/(-5*-39.23))))-(-5/-5)))))</f>
        <v>-305086.133135</v>
      </c>
      <c r="C6078" t="n" s="0">
        <v>-305086.13313499995</v>
      </c>
    </row>
    <row r="6079">
      <c r="A6079" t="n" s="0">
        <v>-39.22</v>
      </c>
      <c r="B6079" t="n" s="0">
        <f>(-5-((((-5*(-5/((-5/(((-5*(-39.22--5))-(-5+((-5*-39.22)*(((-5--5)+(-39.22--5))+-39.22))))-(-5+-5)))*-5)))/-5)--5)+(-5*(((-39.22*(-39.22-(-5/-5)))*(-39.22-(-39.22/(-5*-39.22))))-(-5/-5)))))</f>
        <v>-304853.74404</v>
      </c>
      <c r="C6079" t="n" s="0">
        <v>-304853.74403999996</v>
      </c>
    </row>
    <row r="6080">
      <c r="A6080" t="n" s="0">
        <v>-39.21</v>
      </c>
      <c r="B6080" t="n" s="0">
        <f>(-5-((((-5*(-5/((-5/(((-5*(-39.21--5))-(-5+((-5*-39.21)*(((-5--5)+(-39.21--5))+-39.21))))-(-5+-5)))*-5)))/-5)--5)+(-5*(((-39.21*(-39.21-(-5/-5)))*(-39.21-(-39.21/(-5*-39.21))))-(-5/-5)))))</f>
        <v>-304621.47300500004</v>
      </c>
      <c r="C6080" t="n" s="0">
        <v>-304621.47300500004</v>
      </c>
    </row>
    <row r="6081">
      <c r="A6081" t="n" s="0">
        <v>-39.2</v>
      </c>
      <c r="B6081" t="n" s="0">
        <f>(-5-((((-5*(-5/((-5/(((-5*(-39.2--5))-(-5+((-5*-39.2)*(((-5--5)+(-39.2--5))+-39.2))))-(-5+-5)))*-5)))/-5)--5)+(-5*(((-39.2*(-39.2-(-5/-5)))*(-39.2-(-39.2/(-5*-39.2))))-(-5/-5)))))</f>
        <v>-304389.32</v>
      </c>
      <c r="C6081" t="n" s="0">
        <v>-304389.32000000007</v>
      </c>
    </row>
    <row r="6082">
      <c r="A6082" t="n" s="0">
        <v>-39.19</v>
      </c>
      <c r="B6082" t="n" s="0">
        <f>(-5-((((-5*(-5/((-5/(((-5*(-39.19--5))-(-5+((-5*-39.19)*(((-5--5)+(-39.19--5))+-39.19))))-(-5+-5)))*-5)))/-5)--5)+(-5*(((-39.19*(-39.19-(-5/-5)))*(-39.19-(-39.19/(-5*-39.19))))-(-5/-5)))))</f>
        <v>-304157.284995</v>
      </c>
      <c r="C6082" t="n" s="0">
        <v>-304157.284995</v>
      </c>
    </row>
    <row r="6083">
      <c r="A6083" t="n" s="0">
        <v>-39.18</v>
      </c>
      <c r="B6083" t="n" s="0">
        <f>(-5-((((-5*(-5/((-5/(((-5*(-39.18--5))-(-5+((-5*-39.18)*(((-5--5)+(-39.18--5))+-39.18))))-(-5+-5)))*-5)))/-5)--5)+(-5*(((-39.18*(-39.18-(-5/-5)))*(-39.18-(-39.18/(-5*-39.18))))-(-5/-5)))))</f>
        <v>-303925.36796</v>
      </c>
      <c r="C6083" t="n" s="0">
        <v>-303925.36796</v>
      </c>
    </row>
    <row r="6084">
      <c r="A6084" t="n" s="0">
        <v>-39.17</v>
      </c>
      <c r="B6084" t="n" s="0">
        <f>(-5-((((-5*(-5/((-5/(((-5*(-39.17--5))-(-5+((-5*-39.17)*(((-5--5)+(-39.17--5))+-39.17))))-(-5+-5)))*-5)))/-5)--5)+(-5*(((-39.17*(-39.17-(-5/-5)))*(-39.17-(-39.17/(-5*-39.17))))-(-5/-5)))))</f>
        <v>-303693.568865</v>
      </c>
      <c r="C6084" t="n" s="0">
        <v>-303693.56886500004</v>
      </c>
    </row>
    <row r="6085">
      <c r="A6085" t="n" s="0">
        <v>-39.16</v>
      </c>
      <c r="B6085" t="n" s="0">
        <f>(-5-((((-5*(-5/((-5/(((-5*(-39.16--5))-(-5+((-5*-39.16)*(((-5--5)+(-39.16--5))+-39.16))))-(-5+-5)))*-5)))/-5)--5)+(-5*(((-39.16*(-39.16-(-5/-5)))*(-39.16-(-39.16/(-5*-39.16))))-(-5/-5)))))</f>
        <v>-303461.88768</v>
      </c>
      <c r="C6085" t="n" s="0">
        <v>-303461.88767999987</v>
      </c>
    </row>
    <row r="6086">
      <c r="A6086" t="n" s="0">
        <v>-39.15</v>
      </c>
      <c r="B6086" t="n" s="0">
        <f>(-5-((((-5*(-5/((-5/(((-5*(-39.15--5))-(-5+((-5*-39.15)*(((-5--5)+(-39.15--5))+-39.15))))-(-5+-5)))*-5)))/-5)--5)+(-5*(((-39.15*(-39.15-(-5/-5)))*(-39.15-(-39.15/(-5*-39.15))))-(-5/-5)))))</f>
        <v>-303230.324375</v>
      </c>
      <c r="C6086" t="n" s="0">
        <v>-303230.324375</v>
      </c>
    </row>
    <row r="6087">
      <c r="A6087" t="n" s="0">
        <v>-39.14</v>
      </c>
      <c r="B6087" t="n" s="0">
        <f>(-5-((((-5*(-5/((-5/(((-5*(-39.14--5))-(-5+((-5*-39.14)*(((-5--5)+(-39.14--5))+-39.14))))-(-5+-5)))*-5)))/-5)--5)+(-5*(((-39.14*(-39.14-(-5/-5)))*(-39.14-(-39.14/(-5*-39.14))))-(-5/-5)))))</f>
        <v>-302998.87892</v>
      </c>
      <c r="C6087" t="n" s="0">
        <v>-302998.87892000005</v>
      </c>
    </row>
    <row r="6088">
      <c r="A6088" t="n" s="0">
        <v>-39.13</v>
      </c>
      <c r="B6088" t="n" s="0">
        <f>(-5-((((-5*(-5/((-5/(((-5*(-39.13--5))-(-5+((-5*-39.13)*(((-5--5)+(-39.13--5))+-39.13))))-(-5+-5)))*-5)))/-5)--5)+(-5*(((-39.13*(-39.13-(-5/-5)))*(-39.13-(-39.13/(-5*-39.13))))-(-5/-5)))))</f>
        <v>-302767.551285</v>
      </c>
      <c r="C6088" t="n" s="0">
        <v>-302767.55128500005</v>
      </c>
    </row>
    <row r="6089">
      <c r="A6089" t="n" s="0">
        <v>-39.12</v>
      </c>
      <c r="B6089" t="n" s="0">
        <f>(-5-((((-5*(-5/((-5/(((-5*(-39.12--5))-(-5+((-5*-39.12)*(((-5--5)+(-39.12--5))+-39.12))))-(-5+-5)))*-5)))/-5)--5)+(-5*(((-39.12*(-39.12-(-5/-5)))*(-39.12-(-39.12/(-5*-39.12))))-(-5/-5)))))</f>
        <v>-302536.34144</v>
      </c>
      <c r="C6089" t="n" s="0">
        <v>-302536.34143999993</v>
      </c>
    </row>
    <row r="6090">
      <c r="A6090" t="n" s="0">
        <v>-39.11</v>
      </c>
      <c r="B6090" t="n" s="0">
        <f>(-5-((((-5*(-5/((-5/(((-5*(-39.11--5))-(-5+((-5*-39.11)*(((-5--5)+(-39.11--5))+-39.11))))-(-5+-5)))*-5)))/-5)--5)+(-5*(((-39.11*(-39.11-(-5/-5)))*(-39.11-(-39.11/(-5*-39.11))))-(-5/-5)))))</f>
        <v>-302305.249355</v>
      </c>
      <c r="C6090" t="n" s="0">
        <v>-302305.24935500004</v>
      </c>
    </row>
    <row r="6091">
      <c r="A6091" t="n" s="0">
        <v>-39.1</v>
      </c>
      <c r="B6091" t="n" s="0">
        <f>(-5-((((-5*(-5/((-5/(((-5*(-39.1--5))-(-5+((-5*-39.1)*(((-5--5)+(-39.1--5))+-39.1))))-(-5+-5)))*-5)))/-5)--5)+(-5*(((-39.1*(-39.1-(-5/-5)))*(-39.1-(-39.1/(-5*-39.1))))-(-5/-5)))))</f>
        <v>-302074.275</v>
      </c>
      <c r="C6091" t="n" s="0">
        <v>-302074.275</v>
      </c>
    </row>
    <row r="6092">
      <c r="A6092" t="n" s="0">
        <v>-39.09</v>
      </c>
      <c r="B6092" t="n" s="0">
        <f>(-5-((((-5*(-5/((-5/(((-5*(-39.09--5))-(-5+((-5*-39.09)*(((-5--5)+(-39.09--5))+-39.09))))-(-5+-5)))*-5)))/-5)--5)+(-5*(((-39.09*(-39.09-(-5/-5)))*(-39.09-(-39.09/(-5*-39.09))))-(-5/-5)))))</f>
        <v>-301843.418345</v>
      </c>
      <c r="C6092" t="n" s="0">
        <v>-301843.4183450001</v>
      </c>
    </row>
    <row r="6093">
      <c r="A6093" t="n" s="0">
        <v>-39.08</v>
      </c>
      <c r="B6093" t="n" s="0">
        <f>(-5-((((-5*(-5/((-5/(((-5*(-39.08--5))-(-5+((-5*-39.08)*(((-5--5)+(-39.08--5))+-39.08))))-(-5+-5)))*-5)))/-5)--5)+(-5*(((-39.08*(-39.08-(-5/-5)))*(-39.08-(-39.08/(-5*-39.08))))-(-5/-5)))))</f>
        <v>-301612.67936</v>
      </c>
      <c r="C6093" t="n" s="0">
        <v>-301612.67935999995</v>
      </c>
    </row>
    <row r="6094">
      <c r="A6094" t="n" s="0">
        <v>-39.07</v>
      </c>
      <c r="B6094" t="n" s="0">
        <f>(-5-((((-5*(-5/((-5/(((-5*(-39.07--5))-(-5+((-5*-39.07)*(((-5--5)+(-39.07--5))+-39.07))))-(-5+-5)))*-5)))/-5)--5)+(-5*(((-39.07*(-39.07-(-5/-5)))*(-39.07-(-39.07/(-5*-39.07))))-(-5/-5)))))</f>
        <v>-301382.05801499996</v>
      </c>
      <c r="C6094" t="n" s="0">
        <v>-301382.058015</v>
      </c>
    </row>
    <row r="6095">
      <c r="A6095" t="n" s="0">
        <v>-39.06</v>
      </c>
      <c r="B6095" t="n" s="0">
        <f>(-5-((((-5*(-5/((-5/(((-5*(-39.06--5))-(-5+((-5*-39.06)*(((-5--5)+(-39.06--5))+-39.06))))-(-5+-5)))*-5)))/-5)--5)+(-5*(((-39.06*(-39.06-(-5/-5)))*(-39.06-(-39.06/(-5*-39.06))))-(-5/-5)))))</f>
        <v>-301151.55428000004</v>
      </c>
      <c r="C6095" t="n" s="0">
        <v>-301151.55428000004</v>
      </c>
    </row>
    <row r="6096">
      <c r="A6096" t="n" s="0">
        <v>-39.05</v>
      </c>
      <c r="B6096" t="n" s="0">
        <f>(-5-((((-5*(-5/((-5/(((-5*(-39.05--5))-(-5+((-5*-39.05)*(((-5--5)+(-39.05--5))+-39.05))))-(-5+-5)))*-5)))/-5)--5)+(-5*(((-39.05*(-39.05-(-5/-5)))*(-39.05-(-39.05/(-5*-39.05))))-(-5/-5)))))</f>
        <v>-300921.16812499997</v>
      </c>
      <c r="C6096" t="n" s="0">
        <v>-300921.16812499997</v>
      </c>
    </row>
    <row r="6097">
      <c r="A6097" t="n" s="0">
        <v>-39.04</v>
      </c>
      <c r="B6097" t="n" s="0">
        <f>(-5-((((-5*(-5/((-5/(((-5*(-39.04--5))-(-5+((-5*-39.04)*(((-5--5)+(-39.04--5))+-39.04))))-(-5+-5)))*-5)))/-5)--5)+(-5*(((-39.04*(-39.04-(-5/-5)))*(-39.04-(-39.04/(-5*-39.04))))-(-5/-5)))))</f>
        <v>-300690.89952000004</v>
      </c>
      <c r="C6097" t="n" s="0">
        <v>-300690.89952</v>
      </c>
    </row>
    <row r="6098">
      <c r="A6098" t="n" s="0">
        <v>-39.03</v>
      </c>
      <c r="B6098" t="n" s="0">
        <f>(-5-((((-5*(-5/((-5/(((-5*(-39.03--5))-(-5+((-5*-39.03)*(((-5--5)+(-39.03--5))+-39.03))))-(-5+-5)))*-5)))/-5)--5)+(-5*(((-39.03*(-39.03-(-5/-5)))*(-39.03-(-39.03/(-5*-39.03))))-(-5/-5)))))</f>
        <v>-300460.74843499996</v>
      </c>
      <c r="C6098" t="n" s="0">
        <v>-300460.7484350001</v>
      </c>
    </row>
    <row r="6099">
      <c r="A6099" t="n" s="0">
        <v>-39.02</v>
      </c>
      <c r="B6099" t="n" s="0">
        <f>(-5-((((-5*(-5/((-5/(((-5*(-39.02--5))-(-5+((-5*-39.02)*(((-5--5)+(-39.02--5))+-39.02))))-(-5+-5)))*-5)))/-5)--5)+(-5*(((-39.02*(-39.02-(-5/-5)))*(-39.02-(-39.02/(-5*-39.02))))-(-5/-5)))))</f>
        <v>-300230.71484</v>
      </c>
      <c r="C6099" t="n" s="0">
        <v>-300230.71484000003</v>
      </c>
    </row>
    <row r="6100">
      <c r="A6100" t="n" s="0">
        <v>-39.01</v>
      </c>
      <c r="B6100" t="n" s="0">
        <f>(-5-((((-5*(-5/((-5/(((-5*(-39.01--5))-(-5+((-5*-39.01)*(((-5--5)+(-39.01--5))+-39.01))))-(-5+-5)))*-5)))/-5)--5)+(-5*(((-39.01*(-39.01-(-5/-5)))*(-39.01-(-39.01/(-5*-39.01))))-(-5/-5)))))</f>
        <v>-300000.798705</v>
      </c>
      <c r="C6100" t="n" s="0">
        <v>-300000.798705</v>
      </c>
    </row>
    <row r="6101">
      <c r="A6101" t="n" s="0">
        <v>-39.0</v>
      </c>
      <c r="B6101" t="n" s="0">
        <f>(-5-((((-5*(-5/((-5/(((-5*(-39--5))-(-5+((-5*-39)*(((-5--5)+(-39--5))+-39))))-(-5+-5)))*-5)))/-5)--5)+(-5*(((-39*(-39-(-5/-5)))*(-39-(-39/(-5*-39))))-(-5/-5)))))</f>
        <v>-299771.0</v>
      </c>
      <c r="C6101" t="n" s="0">
        <v>-299771.0</v>
      </c>
    </row>
    <row r="6102">
      <c r="A6102" t="n" s="0">
        <v>-38.99</v>
      </c>
      <c r="B6102" t="n" s="0">
        <f>(-5-((((-5*(-5/((-5/(((-5*(-38.99--5))-(-5+((-5*-38.99)*(((-5--5)+(-38.99--5))+-38.99))))-(-5+-5)))*-5)))/-5)--5)+(-5*(((-38.99*(-38.99-(-5/-5)))*(-38.99-(-38.99/(-5*-38.99))))-(-5/-5)))))</f>
        <v>-299541.318695</v>
      </c>
      <c r="C6102" t="n" s="0">
        <v>-299541.318695</v>
      </c>
    </row>
    <row r="6103">
      <c r="A6103" t="n" s="0">
        <v>-38.98</v>
      </c>
      <c r="B6103" t="n" s="0">
        <f>(-5-((((-5*(-5/((-5/(((-5*(-38.98--5))-(-5+((-5*-38.98)*(((-5--5)+(-38.98--5))+-38.98))))-(-5+-5)))*-5)))/-5)--5)+(-5*(((-38.98*(-38.98-(-5/-5)))*(-38.98-(-38.98/(-5*-38.98))))-(-5/-5)))))</f>
        <v>-299311.75476</v>
      </c>
      <c r="C6103" t="n" s="0">
        <v>-299311.7547599999</v>
      </c>
    </row>
    <row r="6104">
      <c r="A6104" t="n" s="0">
        <v>-38.97</v>
      </c>
      <c r="B6104" t="n" s="0">
        <f>(-5-((((-5*(-5/((-5/(((-5*(-38.97--5))-(-5+((-5*-38.97)*(((-5--5)+(-38.97--5))+-38.97))))-(-5+-5)))*-5)))/-5)--5)+(-5*(((-38.97*(-38.97-(-5/-5)))*(-38.97-(-38.97/(-5*-38.97))))-(-5/-5)))))</f>
        <v>-299082.30816500005</v>
      </c>
      <c r="C6104" t="n" s="0">
        <v>-299082.30816499994</v>
      </c>
    </row>
    <row r="6105">
      <c r="A6105" t="n" s="0">
        <v>-38.96</v>
      </c>
      <c r="B6105" t="n" s="0">
        <f>(-5-((((-5*(-5/((-5/(((-5*(-38.96--5))-(-5+((-5*-38.96)*(((-5--5)+(-38.96--5))+-38.96))))-(-5+-5)))*-5)))/-5)--5)+(-5*(((-38.96*(-38.96-(-5/-5)))*(-38.96-(-38.96/(-5*-38.96))))-(-5/-5)))))</f>
        <v>-298852.97888</v>
      </c>
      <c r="C6105" t="n" s="0">
        <v>-298852.97888</v>
      </c>
    </row>
    <row r="6106">
      <c r="A6106" t="n" s="0">
        <v>-38.95</v>
      </c>
      <c r="B6106" t="n" s="0">
        <f>(-5-((((-5*(-5/((-5/(((-5*(-38.95--5))-(-5+((-5*-38.95)*(((-5--5)+(-38.95--5))+-38.95))))-(-5+-5)))*-5)))/-5)--5)+(-5*(((-38.95*(-38.95-(-5/-5)))*(-38.95-(-38.95/(-5*-38.95))))-(-5/-5)))))</f>
        <v>-298623.766875</v>
      </c>
      <c r="C6106" t="n" s="0">
        <v>-298623.76687500003</v>
      </c>
    </row>
    <row r="6107">
      <c r="A6107" t="n" s="0">
        <v>-38.94</v>
      </c>
      <c r="B6107" t="n" s="0">
        <f>(-5-((((-5*(-5/((-5/(((-5*(-38.94--5))-(-5+((-5*-38.94)*(((-5--5)+(-38.94--5))+-38.94))))-(-5+-5)))*-5)))/-5)--5)+(-5*(((-38.94*(-38.94-(-5/-5)))*(-38.94-(-38.94/(-5*-38.94))))-(-5/-5)))))</f>
        <v>-298394.67212</v>
      </c>
      <c r="C6107" t="n" s="0">
        <v>-298394.67211999994</v>
      </c>
    </row>
    <row r="6108">
      <c r="A6108" t="n" s="0">
        <v>-38.93</v>
      </c>
      <c r="B6108" t="n" s="0">
        <f>(-5-((((-5*(-5/((-5/(((-5*(-38.93--5))-(-5+((-5*-38.93)*(((-5--5)+(-38.93--5))+-38.93))))-(-5+-5)))*-5)))/-5)--5)+(-5*(((-38.93*(-38.93-(-5/-5)))*(-38.93-(-38.93/(-5*-38.93))))-(-5/-5)))))</f>
        <v>-298165.694585</v>
      </c>
      <c r="C6108" t="n" s="0">
        <v>-298165.694585</v>
      </c>
    </row>
    <row r="6109">
      <c r="A6109" t="n" s="0">
        <v>-38.92</v>
      </c>
      <c r="B6109" t="n" s="0">
        <f>(-5-((((-5*(-5/((-5/(((-5*(-38.92--5))-(-5+((-5*-38.92)*(((-5--5)+(-38.92--5))+-38.92))))-(-5+-5)))*-5)))/-5)--5)+(-5*(((-38.92*(-38.92-(-5/-5)))*(-38.92-(-38.92/(-5*-38.92))))-(-5/-5)))))</f>
        <v>-297936.83424</v>
      </c>
      <c r="C6109" t="n" s="0">
        <v>-297936.83424000005</v>
      </c>
    </row>
    <row r="6110">
      <c r="A6110" t="n" s="0">
        <v>-38.91</v>
      </c>
      <c r="B6110" t="n" s="0">
        <f>(-5-((((-5*(-5/((-5/(((-5*(-38.91--5))-(-5+((-5*-38.91)*(((-5--5)+(-38.91--5))+-38.91))))-(-5+-5)))*-5)))/-5)--5)+(-5*(((-38.91*(-38.91-(-5/-5)))*(-38.91-(-38.91/(-5*-38.91))))-(-5/-5)))))</f>
        <v>-297708.09105499997</v>
      </c>
      <c r="C6110" t="n" s="0">
        <v>-297708.0910549999</v>
      </c>
    </row>
    <row r="6111">
      <c r="A6111" t="n" s="0">
        <v>-38.9</v>
      </c>
      <c r="B6111" t="n" s="0">
        <f>(-5-((((-5*(-5/((-5/(((-5*(-38.9--5))-(-5+((-5*-38.9)*(((-5--5)+(-38.9--5))+-38.9))))-(-5+-5)))*-5)))/-5)--5)+(-5*(((-38.9*(-38.9-(-5/-5)))*(-38.9-(-38.9/(-5*-38.9))))-(-5/-5)))))</f>
        <v>-297479.46499999997</v>
      </c>
      <c r="C6111" t="n" s="0">
        <v>-297479.46499999997</v>
      </c>
    </row>
    <row r="6112">
      <c r="A6112" t="n" s="0">
        <v>-38.89</v>
      </c>
      <c r="B6112" t="n" s="0">
        <f>(-5-((((-5*(-5/((-5/(((-5*(-38.89--5))-(-5+((-5*-38.89)*(((-5--5)+(-38.89--5))+-38.89))))-(-5+-5)))*-5)))/-5)--5)+(-5*(((-38.89*(-38.89-(-5/-5)))*(-38.89-(-38.89/(-5*-38.89))))-(-5/-5)))))</f>
        <v>-297250.956045</v>
      </c>
      <c r="C6112" t="n" s="0">
        <v>-297250.956045</v>
      </c>
    </row>
    <row r="6113">
      <c r="A6113" t="n" s="0">
        <v>-38.88</v>
      </c>
      <c r="B6113" t="n" s="0">
        <f>(-5-((((-5*(-5/((-5/(((-5*(-38.88--5))-(-5+((-5*-38.88)*(((-5--5)+(-38.88--5))+-38.88))))-(-5+-5)))*-5)))/-5)--5)+(-5*(((-38.88*(-38.88-(-5/-5)))*(-38.88-(-38.88/(-5*-38.88))))-(-5/-5)))))</f>
        <v>-297022.56416</v>
      </c>
      <c r="C6113" t="n" s="0">
        <v>-297022.56416000007</v>
      </c>
    </row>
    <row r="6114">
      <c r="A6114" t="n" s="0">
        <v>-38.87</v>
      </c>
      <c r="B6114" t="n" s="0">
        <f>(-5-((((-5*(-5/((-5/(((-5*(-38.87--5))-(-5+((-5*-38.87)*(((-5--5)+(-38.87--5))+-38.87))))-(-5+-5)))*-5)))/-5)--5)+(-5*(((-38.87*(-38.87-(-5/-5)))*(-38.87-(-38.87/(-5*-38.87))))-(-5/-5)))))</f>
        <v>-296794.289315</v>
      </c>
      <c r="C6114" t="n" s="0">
        <v>-296794.28931499994</v>
      </c>
    </row>
    <row r="6115">
      <c r="A6115" t="n" s="0">
        <v>-38.86</v>
      </c>
      <c r="B6115" t="n" s="0">
        <f>(-5-((((-5*(-5/((-5/(((-5*(-38.86--5))-(-5+((-5*-38.86)*(((-5--5)+(-38.86--5))+-38.86))))-(-5+-5)))*-5)))/-5)--5)+(-5*(((-38.86*(-38.86-(-5/-5)))*(-38.86-(-38.86/(-5*-38.86))))-(-5/-5)))))</f>
        <v>-296566.13148000004</v>
      </c>
      <c r="C6115" t="n" s="0">
        <v>-296566.13148</v>
      </c>
    </row>
    <row r="6116">
      <c r="A6116" t="n" s="0">
        <v>-38.85</v>
      </c>
      <c r="B6116" t="n" s="0">
        <f>(-5-((((-5*(-5/((-5/(((-5*(-38.85--5))-(-5+((-5*-38.85)*(((-5--5)+(-38.85--5))+-38.85))))-(-5+-5)))*-5)))/-5)--5)+(-5*(((-38.85*(-38.85-(-5/-5)))*(-38.85-(-38.85/(-5*-38.85))))-(-5/-5)))))</f>
        <v>-296338.090625</v>
      </c>
      <c r="C6116" t="n" s="0">
        <v>-296338.09062500007</v>
      </c>
    </row>
    <row r="6117">
      <c r="A6117" t="n" s="0">
        <v>-38.84</v>
      </c>
      <c r="B6117" t="n" s="0">
        <f>(-5-((((-5*(-5/((-5/(((-5*(-38.84--5))-(-5+((-5*-38.84)*(((-5--5)+(-38.84--5))+-38.84))))-(-5+-5)))*-5)))/-5)--5)+(-5*(((-38.84*(-38.84-(-5/-5)))*(-38.84-(-38.84/(-5*-38.84))))-(-5/-5)))))</f>
        <v>-296110.16672000004</v>
      </c>
      <c r="C6117" t="n" s="0">
        <v>-296110.1667200001</v>
      </c>
    </row>
    <row r="6118">
      <c r="A6118" t="n" s="0">
        <v>-38.83</v>
      </c>
      <c r="B6118" t="n" s="0">
        <f>(-5-((((-5*(-5/((-5/(((-5*(-38.83--5))-(-5+((-5*-38.83)*(((-5--5)+(-38.83--5))+-38.83))))-(-5+-5)))*-5)))/-5)--5)+(-5*(((-38.83*(-38.83-(-5/-5)))*(-38.83-(-38.83/(-5*-38.83))))-(-5/-5)))))</f>
        <v>-295882.359735</v>
      </c>
      <c r="C6118" t="n" s="0">
        <v>-295882.35973499995</v>
      </c>
    </row>
    <row r="6119">
      <c r="A6119" t="n" s="0">
        <v>-38.82</v>
      </c>
      <c r="B6119" t="n" s="0">
        <f>(-5-((((-5*(-5/((-5/(((-5*(-38.82--5))-(-5+((-5*-38.82)*(((-5--5)+(-38.82--5))+-38.82))))-(-5+-5)))*-5)))/-5)--5)+(-5*(((-38.82*(-38.82-(-5/-5)))*(-38.82-(-38.82/(-5*-38.82))))-(-5/-5)))))</f>
        <v>-295654.66964</v>
      </c>
      <c r="C6119" t="n" s="0">
        <v>-295654.66964000004</v>
      </c>
    </row>
    <row r="6120">
      <c r="A6120" t="n" s="0">
        <v>-38.81</v>
      </c>
      <c r="B6120" t="n" s="0">
        <f>(-5-((((-5*(-5/((-5/(((-5*(-38.81--5))-(-5+((-5*-38.81)*(((-5--5)+(-38.81--5))+-38.81))))-(-5+-5)))*-5)))/-5)--5)+(-5*(((-38.81*(-38.81-(-5/-5)))*(-38.81-(-38.81/(-5*-38.81))))-(-5/-5)))))</f>
        <v>-295427.096405</v>
      </c>
      <c r="C6120" t="n" s="0">
        <v>-295427.096405</v>
      </c>
    </row>
    <row r="6121">
      <c r="A6121" t="n" s="0">
        <v>-38.8</v>
      </c>
      <c r="B6121" t="n" s="0">
        <f>(-5-((((-5*(-5/((-5/(((-5*(-38.8--5))-(-5+((-5*-38.8)*(((-5--5)+(-38.8--5))+-38.8))))-(-5+-5)))*-5)))/-5)--5)+(-5*(((-38.8*(-38.8-(-5/-5)))*(-38.8-(-38.8/(-5*-38.8))))-(-5/-5)))))</f>
        <v>-295199.64</v>
      </c>
      <c r="C6121" t="n" s="0">
        <v>-295199.63999999996</v>
      </c>
    </row>
    <row r="6122">
      <c r="A6122" t="n" s="0">
        <v>-38.79</v>
      </c>
      <c r="B6122" t="n" s="0">
        <f>(-5-((((-5*(-5/((-5/(((-5*(-38.79--5))-(-5+((-5*-38.79)*(((-5--5)+(-38.79--5))+-38.79))))-(-5+-5)))*-5)))/-5)--5)+(-5*(((-38.79*(-38.79-(-5/-5)))*(-38.79-(-38.79/(-5*-38.79))))-(-5/-5)))))</f>
        <v>-294972.30039499997</v>
      </c>
      <c r="C6122" t="n" s="0">
        <v>-294972.30039499997</v>
      </c>
    </row>
    <row r="6123">
      <c r="A6123" t="n" s="0">
        <v>-38.78</v>
      </c>
      <c r="B6123" t="n" s="0">
        <f>(-5-((((-5*(-5/((-5/(((-5*(-38.78--5))-(-5+((-5*-38.78)*(((-5--5)+(-38.78--5))+-38.78))))-(-5+-5)))*-5)))/-5)--5)+(-5*(((-38.78*(-38.78-(-5/-5)))*(-38.78-(-38.78/(-5*-38.78))))-(-5/-5)))))</f>
        <v>-294745.07756</v>
      </c>
      <c r="C6123" t="n" s="0">
        <v>-294745.07756</v>
      </c>
    </row>
    <row r="6124">
      <c r="A6124" t="n" s="0">
        <v>-38.77</v>
      </c>
      <c r="B6124" t="n" s="0">
        <f>(-5-((((-5*(-5/((-5/(((-5*(-38.77--5))-(-5+((-5*-38.77)*(((-5--5)+(-38.77--5))+-38.77))))-(-5+-5)))*-5)))/-5)--5)+(-5*(((-38.77*(-38.77-(-5/-5)))*(-38.77-(-38.77/(-5*-38.77))))-(-5/-5)))))</f>
        <v>-294517.971465</v>
      </c>
      <c r="C6124" t="n" s="0">
        <v>-294517.97146500007</v>
      </c>
    </row>
    <row r="6125">
      <c r="A6125" t="n" s="0">
        <v>-38.76</v>
      </c>
      <c r="B6125" t="n" s="0">
        <f>(-5-((((-5*(-5/((-5/(((-5*(-38.76--5))-(-5+((-5*-38.76)*(((-5--5)+(-38.76--5))+-38.76))))-(-5+-5)))*-5)))/-5)--5)+(-5*(((-38.76*(-38.76-(-5/-5)))*(-38.76-(-38.76/(-5*-38.76))))-(-5/-5)))))</f>
        <v>-294290.98208</v>
      </c>
      <c r="C6125" t="n" s="0">
        <v>-294290.98208</v>
      </c>
    </row>
    <row r="6126">
      <c r="A6126" t="n" s="0">
        <v>-38.75</v>
      </c>
      <c r="B6126" t="n" s="0">
        <f>(-5-((((-5*(-5/((-5/(((-5*(-38.75--5))-(-5+((-5*-38.75)*(((-5--5)+(-38.75--5))+-38.75))))-(-5+-5)))*-5)))/-5)--5)+(-5*(((-38.75*(-38.75-(-5/-5)))*(-38.75-(-38.75/(-5*-38.75))))-(-5/-5)))))</f>
        <v>-294064.109375</v>
      </c>
      <c r="C6126" t="n" s="0">
        <v>-294064.109375</v>
      </c>
    </row>
    <row r="6127">
      <c r="A6127" t="n" s="0">
        <v>-38.74</v>
      </c>
      <c r="B6127" t="n" s="0">
        <f>(-5-((((-5*(-5/((-5/(((-5*(-38.74--5))-(-5+((-5*-38.74)*(((-5--5)+(-38.74--5))+-38.74))))-(-5+-5)))*-5)))/-5)--5)+(-5*(((-38.74*(-38.74-(-5/-5)))*(-38.74-(-38.74/(-5*-38.74))))-(-5/-5)))))</f>
        <v>-293837.35332</v>
      </c>
      <c r="C6127" t="n" s="0">
        <v>-293837.35332000005</v>
      </c>
    </row>
    <row r="6128">
      <c r="A6128" t="n" s="0">
        <v>-38.73</v>
      </c>
      <c r="B6128" t="n" s="0">
        <f>(-5-((((-5*(-5/((-5/(((-5*(-38.73--5))-(-5+((-5*-38.73)*(((-5--5)+(-38.73--5))+-38.73))))-(-5+-5)))*-5)))/-5)--5)+(-5*(((-38.73*(-38.73-(-5/-5)))*(-38.73-(-38.73/(-5*-38.73))))-(-5/-5)))))</f>
        <v>-293610.71388500003</v>
      </c>
      <c r="C6128" t="n" s="0">
        <v>-293610.7138849999</v>
      </c>
    </row>
    <row r="6129">
      <c r="A6129" t="n" s="0">
        <v>-38.72</v>
      </c>
      <c r="B6129" t="n" s="0">
        <f>(-5-((((-5*(-5/((-5/(((-5*(-38.72--5))-(-5+((-5*-38.72)*(((-5--5)+(-38.72--5))+-38.72))))-(-5+-5)))*-5)))/-5)--5)+(-5*(((-38.72*(-38.72-(-5/-5)))*(-38.72-(-38.72/(-5*-38.72))))-(-5/-5)))))</f>
        <v>-293384.19104</v>
      </c>
      <c r="C6129" t="n" s="0">
        <v>-293384.19103999995</v>
      </c>
    </row>
    <row r="6130">
      <c r="A6130" t="n" s="0">
        <v>-38.71</v>
      </c>
      <c r="B6130" t="n" s="0">
        <f>(-5-((((-5*(-5/((-5/(((-5*(-38.71--5))-(-5+((-5*-38.71)*(((-5--5)+(-38.71--5))+-38.71))))-(-5+-5)))*-5)))/-5)--5)+(-5*(((-38.71*(-38.71-(-5/-5)))*(-38.71-(-38.71/(-5*-38.71))))-(-5/-5)))))</f>
        <v>-293157.78475500003</v>
      </c>
      <c r="C6130" t="n" s="0">
        <v>-293157.78475500003</v>
      </c>
    </row>
    <row r="6131">
      <c r="A6131" t="n" s="0">
        <v>-38.7</v>
      </c>
      <c r="B6131" t="n" s="0">
        <f>(-5-((((-5*(-5/((-5/(((-5*(-38.7--5))-(-5+((-5*-38.7)*(((-5--5)+(-38.7--5))+-38.7))))-(-5+-5)))*-5)))/-5)--5)+(-5*(((-38.7*(-38.7-(-5/-5)))*(-38.7-(-38.7/(-5*-38.7))))-(-5/-5)))))</f>
        <v>-292931.495</v>
      </c>
      <c r="C6131" t="n" s="0">
        <v>-292931.49500000005</v>
      </c>
    </row>
    <row r="6132">
      <c r="A6132" t="n" s="0">
        <v>-38.69</v>
      </c>
      <c r="B6132" t="n" s="0">
        <f>(-5-((((-5*(-5/((-5/(((-5*(-38.69--5))-(-5+((-5*-38.69)*(((-5--5)+(-38.69--5))+-38.69))))-(-5+-5)))*-5)))/-5)--5)+(-5*(((-38.69*(-38.69-(-5/-5)))*(-38.69-(-38.69/(-5*-38.69))))-(-5/-5)))))</f>
        <v>-292705.321745</v>
      </c>
      <c r="C6132" t="n" s="0">
        <v>-292705.32174499996</v>
      </c>
    </row>
    <row r="6133">
      <c r="A6133" t="n" s="0">
        <v>-38.68</v>
      </c>
      <c r="B6133" t="n" s="0">
        <f>(-5-((((-5*(-5/((-5/(((-5*(-38.68--5))-(-5+((-5*-38.68)*(((-5--5)+(-38.68--5))+-38.68))))-(-5+-5)))*-5)))/-5)--5)+(-5*(((-38.68*(-38.68-(-5/-5)))*(-38.68-(-38.68/(-5*-38.68))))-(-5/-5)))))</f>
        <v>-292479.26496</v>
      </c>
      <c r="C6133" t="n" s="0">
        <v>-292479.26496</v>
      </c>
    </row>
    <row r="6134">
      <c r="A6134" t="n" s="0">
        <v>-38.67</v>
      </c>
      <c r="B6134" t="n" s="0">
        <f>(-5-((((-5*(-5/((-5/(((-5*(-38.67--5))-(-5+((-5*-38.67)*(((-5--5)+(-38.67--5))+-38.67))))-(-5+-5)))*-5)))/-5)--5)+(-5*(((-38.67*(-38.67-(-5/-5)))*(-38.67-(-38.67/(-5*-38.67))))-(-5/-5)))))</f>
        <v>-292253.324615</v>
      </c>
      <c r="C6134" t="n" s="0">
        <v>-292253.32461500005</v>
      </c>
    </row>
    <row r="6135">
      <c r="A6135" t="n" s="0">
        <v>-38.66</v>
      </c>
      <c r="B6135" t="n" s="0">
        <f>(-5-((((-5*(-5/((-5/(((-5*(-38.66--5))-(-5+((-5*-38.66)*(((-5--5)+(-38.66--5))+-38.66))))-(-5+-5)))*-5)))/-5)--5)+(-5*(((-38.66*(-38.66-(-5/-5)))*(-38.66-(-38.66/(-5*-38.66))))-(-5/-5)))))</f>
        <v>-292027.50068</v>
      </c>
      <c r="C6135" t="n" s="0">
        <v>-292027.50067999994</v>
      </c>
    </row>
    <row r="6136">
      <c r="A6136" t="n" s="0">
        <v>-38.65</v>
      </c>
      <c r="B6136" t="n" s="0">
        <f>(-5-((((-5*(-5/((-5/(((-5*(-38.65--5))-(-5+((-5*-38.65)*(((-5--5)+(-38.65--5))+-38.65))))-(-5+-5)))*-5)))/-5)--5)+(-5*(((-38.65*(-38.65-(-5/-5)))*(-38.65-(-38.65/(-5*-38.65))))-(-5/-5)))))</f>
        <v>-291801.793125</v>
      </c>
      <c r="C6136" t="n" s="0">
        <v>-291801.793125</v>
      </c>
    </row>
    <row r="6137">
      <c r="A6137" t="n" s="0">
        <v>-38.64</v>
      </c>
      <c r="B6137" t="n" s="0">
        <f>(-5-((((-5*(-5/((-5/(((-5*(-38.64--5))-(-5+((-5*-38.64)*(((-5--5)+(-38.64--5))+-38.64))))-(-5+-5)))*-5)))/-5)--5)+(-5*(((-38.64*(-38.64-(-5/-5)))*(-38.64-(-38.64/(-5*-38.64))))-(-5/-5)))))</f>
        <v>-291576.20192</v>
      </c>
      <c r="C6137" t="n" s="0">
        <v>-291576.20192</v>
      </c>
    </row>
    <row r="6138">
      <c r="A6138" t="n" s="0">
        <v>-38.63</v>
      </c>
      <c r="B6138" t="n" s="0">
        <f>(-5-((((-5*(-5/((-5/(((-5*(-38.63--5))-(-5+((-5*-38.63)*(((-5--5)+(-38.63--5))+-38.63))))-(-5+-5)))*-5)))/-5)--5)+(-5*(((-38.63*(-38.63-(-5/-5)))*(-38.63-(-38.63/(-5*-38.63))))-(-5/-5)))))</f>
        <v>-291350.72703500005</v>
      </c>
      <c r="C6138" t="n" s="0">
        <v>-291350.72703500005</v>
      </c>
    </row>
    <row r="6139">
      <c r="A6139" t="n" s="0">
        <v>-38.62</v>
      </c>
      <c r="B6139" t="n" s="0">
        <f>(-5-((((-5*(-5/((-5/(((-5*(-38.62--5))-(-5+((-5*-38.62)*(((-5--5)+(-38.62--5))+-38.62))))-(-5+-5)))*-5)))/-5)--5)+(-5*(((-38.62*(-38.62-(-5/-5)))*(-38.62-(-38.62/(-5*-38.62))))-(-5/-5)))))</f>
        <v>-291125.36844</v>
      </c>
      <c r="C6139" t="n" s="0">
        <v>-291125.36843999993</v>
      </c>
    </row>
    <row r="6140">
      <c r="A6140" t="n" s="0">
        <v>-38.61</v>
      </c>
      <c r="B6140" t="n" s="0">
        <f>(-5-((((-5*(-5/((-5/(((-5*(-38.61--5))-(-5+((-5*-38.61)*(((-5--5)+(-38.61--5))+-38.61))))-(-5+-5)))*-5)))/-5)--5)+(-5*(((-38.61*(-38.61-(-5/-5)))*(-38.61-(-38.61/(-5*-38.61))))-(-5/-5)))))</f>
        <v>-290900.12610500003</v>
      </c>
      <c r="C6140" t="n" s="0">
        <v>-290900.126105</v>
      </c>
    </row>
    <row r="6141">
      <c r="A6141" t="n" s="0">
        <v>-38.6</v>
      </c>
      <c r="B6141" t="n" s="0">
        <f>(-5-((((-5*(-5/((-5/(((-5*(-38.6--5))-(-5+((-5*-38.6)*(((-5--5)+(-38.6--5))+-38.6))))-(-5+-5)))*-5)))/-5)--5)+(-5*(((-38.6*(-38.6-(-5/-5)))*(-38.6-(-38.6/(-5*-38.6))))-(-5/-5)))))</f>
        <v>-290675.0</v>
      </c>
      <c r="C6141" t="n" s="0">
        <v>-290675.0</v>
      </c>
    </row>
    <row r="6142">
      <c r="A6142" t="n" s="0">
        <v>-38.59</v>
      </c>
      <c r="B6142" t="n" s="0">
        <f>(-5-((((-5*(-5/((-5/(((-5*(-38.59--5))-(-5+((-5*-38.59)*(((-5--5)+(-38.59--5))+-38.59))))-(-5+-5)))*-5)))/-5)--5)+(-5*(((-38.59*(-38.59-(-5/-5)))*(-38.59-(-38.59/(-5*-38.59))))-(-5/-5)))))</f>
        <v>-290449.990095</v>
      </c>
      <c r="C6142" t="n" s="0">
        <v>-290449.9900950001</v>
      </c>
    </row>
    <row r="6143">
      <c r="A6143" t="n" s="0">
        <v>-38.58</v>
      </c>
      <c r="B6143" t="n" s="0">
        <f>(-5-((((-5*(-5/((-5/(((-5*(-38.58--5))-(-5+((-5*-38.58)*(((-5--5)+(-38.58--5))+-38.58))))-(-5+-5)))*-5)))/-5)--5)+(-5*(((-38.58*(-38.58-(-5/-5)))*(-38.58-(-38.58/(-5*-38.58))))-(-5/-5)))))</f>
        <v>-290225.09636</v>
      </c>
      <c r="C6143" t="n" s="0">
        <v>-290225.0963599999</v>
      </c>
    </row>
    <row r="6144">
      <c r="A6144" t="n" s="0">
        <v>-38.57</v>
      </c>
      <c r="B6144" t="n" s="0">
        <f>(-5-((((-5*(-5/((-5/(((-5*(-38.57--5))-(-5+((-5*-38.57)*(((-5--5)+(-38.57--5))+-38.57))))-(-5+-5)))*-5)))/-5)--5)+(-5*(((-38.57*(-38.57-(-5/-5)))*(-38.57-(-38.57/(-5*-38.57))))-(-5/-5)))))</f>
        <v>-290000.318765</v>
      </c>
      <c r="C6144" t="n" s="0">
        <v>-290000.31876500003</v>
      </c>
    </row>
    <row r="6145">
      <c r="A6145" t="n" s="0">
        <v>-38.56</v>
      </c>
      <c r="B6145" t="n" s="0">
        <f>(-5-((((-5*(-5/((-5/(((-5*(-38.56--5))-(-5+((-5*-38.56)*(((-5--5)+(-38.56--5))+-38.56))))-(-5+-5)))*-5)))/-5)--5)+(-5*(((-38.56*(-38.56-(-5/-5)))*(-38.56-(-38.56/(-5*-38.56))))-(-5/-5)))))</f>
        <v>-289775.65728</v>
      </c>
      <c r="C6145" t="n" s="0">
        <v>-289775.65728000004</v>
      </c>
    </row>
    <row r="6146">
      <c r="A6146" t="n" s="0">
        <v>-38.55</v>
      </c>
      <c r="B6146" t="n" s="0">
        <f>(-5-((((-5*(-5/((-5/(((-5*(-38.55--5))-(-5+((-5*-38.55)*(((-5--5)+(-38.55--5))+-38.55))))-(-5+-5)))*-5)))/-5)--5)+(-5*(((-38.55*(-38.55-(-5/-5)))*(-38.55-(-38.55/(-5*-38.55))))-(-5/-5)))))</f>
        <v>-289551.111875</v>
      </c>
      <c r="C6146" t="n" s="0">
        <v>-289551.11187499994</v>
      </c>
    </row>
    <row r="6147">
      <c r="A6147" t="n" s="0">
        <v>-38.54</v>
      </c>
      <c r="B6147" t="n" s="0">
        <f>(-5-((((-5*(-5/((-5/(((-5*(-38.54--5))-(-5+((-5*-38.54)*(((-5--5)+(-38.54--5))+-38.54))))-(-5+-5)))*-5)))/-5)--5)+(-5*(((-38.54*(-38.54-(-5/-5)))*(-38.54-(-38.54/(-5*-38.54))))-(-5/-5)))))</f>
        <v>-289326.68252000003</v>
      </c>
      <c r="C6147" t="n" s="0">
        <v>-289326.68252</v>
      </c>
    </row>
    <row r="6148">
      <c r="A6148" t="n" s="0">
        <v>-38.53</v>
      </c>
      <c r="B6148" t="n" s="0">
        <f>(-5-((((-5*(-5/((-5/(((-5*(-38.53--5))-(-5+((-5*-38.53)*(((-5--5)+(-38.53--5))+-38.53))))-(-5+-5)))*-5)))/-5)--5)+(-5*(((-38.53*(-38.53-(-5/-5)))*(-38.53-(-38.53/(-5*-38.53))))-(-5/-5)))))</f>
        <v>-289102.36918499996</v>
      </c>
      <c r="C6148" t="n" s="0">
        <v>-289102.3691850001</v>
      </c>
    </row>
    <row r="6149">
      <c r="A6149" t="n" s="0">
        <v>-38.52</v>
      </c>
      <c r="B6149" t="n" s="0">
        <f>(-5-((((-5*(-5/((-5/(((-5*(-38.52--5))-(-5+((-5*-38.52)*(((-5--5)+(-38.52--5))+-38.52))))-(-5+-5)))*-5)))/-5)--5)+(-5*(((-38.52*(-38.52-(-5/-5)))*(-38.52-(-38.52/(-5*-38.52))))-(-5/-5)))))</f>
        <v>-288878.17184</v>
      </c>
      <c r="C6149" t="n" s="0">
        <v>-288878.17184</v>
      </c>
    </row>
    <row r="6150">
      <c r="A6150" t="n" s="0">
        <v>-38.51</v>
      </c>
      <c r="B6150" t="n" s="0">
        <f>(-5-((((-5*(-5/((-5/(((-5*(-38.51--5))-(-5+((-5*-38.51)*(((-5--5)+(-38.51--5))+-38.51))))-(-5+-5)))*-5)))/-5)--5)+(-5*(((-38.51*(-38.51-(-5/-5)))*(-38.51-(-38.51/(-5*-38.51))))-(-5/-5)))))</f>
        <v>-288654.090455</v>
      </c>
      <c r="C6150" t="n" s="0">
        <v>-288654.09045499994</v>
      </c>
    </row>
    <row r="6151">
      <c r="A6151" t="n" s="0">
        <v>-38.5</v>
      </c>
      <c r="B6151" t="n" s="0">
        <f>(-5-((((-5*(-5/((-5/(((-5*(-38.5--5))-(-5+((-5*-38.5)*(((-5--5)+(-38.5--5))+-38.5))))-(-5+-5)))*-5)))/-5)--5)+(-5*(((-38.5*(-38.5-(-5/-5)))*(-38.5-(-38.5/(-5*-38.5))))-(-5/-5)))))</f>
        <v>-288430.125</v>
      </c>
      <c r="C6151" t="n" s="0">
        <v>-288430.125</v>
      </c>
    </row>
    <row r="6152">
      <c r="A6152" t="n" s="0">
        <v>-38.49</v>
      </c>
      <c r="B6152" t="n" s="0">
        <f>(-5-((((-5*(-5/((-5/(((-5*(-38.49--5))-(-5+((-5*-38.49)*(((-5--5)+(-38.49--5))+-38.49))))-(-5+-5)))*-5)))/-5)--5)+(-5*(((-38.49*(-38.49-(-5/-5)))*(-38.49-(-38.49/(-5*-38.49))))-(-5/-5)))))</f>
        <v>-288206.275445</v>
      </c>
      <c r="C6152" t="n" s="0">
        <v>-288206.275445</v>
      </c>
    </row>
    <row r="6153">
      <c r="A6153" t="n" s="0">
        <v>-38.48</v>
      </c>
      <c r="B6153" t="n" s="0">
        <f>(-5-((((-5*(-5/((-5/(((-5*(-38.48--5))-(-5+((-5*-38.48)*(((-5--5)+(-38.48--5))+-38.48))))-(-5+-5)))*-5)))/-5)--5)+(-5*(((-38.48*(-38.48-(-5/-5)))*(-38.48-(-38.48/(-5*-38.48))))-(-5/-5)))))</f>
        <v>-287982.54176</v>
      </c>
      <c r="C6153" t="n" s="0">
        <v>-287982.54176</v>
      </c>
    </row>
    <row r="6154">
      <c r="A6154" t="n" s="0">
        <v>-38.47</v>
      </c>
      <c r="B6154" t="n" s="0">
        <f>(-5-((((-5*(-5/((-5/(((-5*(-38.47--5))-(-5+((-5*-38.47)*(((-5--5)+(-38.47--5))+-38.47))))-(-5+-5)))*-5)))/-5)--5)+(-5*(((-38.47*(-38.47-(-5/-5)))*(-38.47-(-38.47/(-5*-38.47))))-(-5/-5)))))</f>
        <v>-287758.923915</v>
      </c>
      <c r="C6154" t="n" s="0">
        <v>-287758.9239149999</v>
      </c>
    </row>
    <row r="6155">
      <c r="A6155" t="n" s="0">
        <v>-38.46</v>
      </c>
      <c r="B6155" t="n" s="0">
        <f>(-5-((((-5*(-5/((-5/(((-5*(-38.46--5))-(-5+((-5*-38.46)*(((-5--5)+(-38.46--5))+-38.46))))-(-5+-5)))*-5)))/-5)--5)+(-5*(((-38.46*(-38.46-(-5/-5)))*(-38.46-(-38.46/(-5*-38.46))))-(-5/-5)))))</f>
        <v>-287535.42188</v>
      </c>
      <c r="C6155" t="n" s="0">
        <v>-287535.42188000004</v>
      </c>
    </row>
    <row r="6156">
      <c r="A6156" t="n" s="0">
        <v>-38.45</v>
      </c>
      <c r="B6156" t="n" s="0">
        <f>(-5-((((-5*(-5/((-5/(((-5*(-38.45--5))-(-5+((-5*-38.45)*(((-5--5)+(-38.45--5))+-38.45))))-(-5+-5)))*-5)))/-5)--5)+(-5*(((-38.45*(-38.45-(-5/-5)))*(-38.45-(-38.45/(-5*-38.45))))-(-5/-5)))))</f>
        <v>-287312.035625</v>
      </c>
      <c r="C6156" t="n" s="0">
        <v>-287312.035625</v>
      </c>
    </row>
    <row r="6157">
      <c r="A6157" t="n" s="0">
        <v>-38.44</v>
      </c>
      <c r="B6157" t="n" s="0">
        <f>(-5-((((-5*(-5/((-5/(((-5*(-38.44--5))-(-5+((-5*-38.44)*(((-5--5)+(-38.44--5))+-38.44))))-(-5+-5)))*-5)))/-5)--5)+(-5*(((-38.44*(-38.44-(-5/-5)))*(-38.44-(-38.44/(-5*-38.44))))-(-5/-5)))))</f>
        <v>-287088.76512</v>
      </c>
      <c r="C6157" t="n" s="0">
        <v>-287088.76511999994</v>
      </c>
    </row>
    <row r="6158">
      <c r="A6158" t="n" s="0">
        <v>-38.43</v>
      </c>
      <c r="B6158" t="n" s="0">
        <f>(-5-((((-5*(-5/((-5/(((-5*(-38.43--5))-(-5+((-5*-38.43)*(((-5--5)+(-38.43--5))+-38.43))))-(-5+-5)))*-5)))/-5)--5)+(-5*(((-38.43*(-38.43-(-5/-5)))*(-38.43-(-38.43/(-5*-38.43))))-(-5/-5)))))</f>
        <v>-286865.610335</v>
      </c>
      <c r="C6158" t="n" s="0">
        <v>-286865.6103349999</v>
      </c>
    </row>
    <row r="6159">
      <c r="A6159" t="n" s="0">
        <v>-38.42</v>
      </c>
      <c r="B6159" t="n" s="0">
        <f>(-5-((((-5*(-5/((-5/(((-5*(-38.42--5))-(-5+((-5*-38.42)*(((-5--5)+(-38.42--5))+-38.42))))-(-5+-5)))*-5)))/-5)--5)+(-5*(((-38.42*(-38.42-(-5/-5)))*(-38.42-(-38.42/(-5*-38.42))))-(-5/-5)))))</f>
        <v>-286642.57123999996</v>
      </c>
      <c r="C6159" t="n" s="0">
        <v>-286642.5712400001</v>
      </c>
    </row>
    <row r="6160">
      <c r="A6160" t="n" s="0">
        <v>-38.41</v>
      </c>
      <c r="B6160" t="n" s="0">
        <f>(-5-((((-5*(-5/((-5/(((-5*(-38.41--5))-(-5+((-5*-38.41)*(((-5--5)+(-38.41--5))+-38.41))))-(-5+-5)))*-5)))/-5)--5)+(-5*(((-38.41*(-38.41-(-5/-5)))*(-38.41-(-38.41/(-5*-38.41))))-(-5/-5)))))</f>
        <v>-286419.647805</v>
      </c>
      <c r="C6160" t="n" s="0">
        <v>-286419.6478049999</v>
      </c>
    </row>
    <row r="6161">
      <c r="A6161" t="n" s="0">
        <v>-38.4</v>
      </c>
      <c r="B6161" t="n" s="0">
        <f>(-5-((((-5*(-5/((-5/(((-5*(-38.4--5))-(-5+((-5*-38.4)*(((-5--5)+(-38.4--5))+-38.4))))-(-5+-5)))*-5)))/-5)--5)+(-5*(((-38.4*(-38.4-(-5/-5)))*(-38.4-(-38.4/(-5*-38.4))))-(-5/-5)))))</f>
        <v>-286196.83999999997</v>
      </c>
      <c r="C6161" t="n" s="0">
        <v>-286196.83999999997</v>
      </c>
    </row>
    <row r="6162">
      <c r="A6162" t="n" s="0">
        <v>-38.39</v>
      </c>
      <c r="B6162" t="n" s="0">
        <f>(-5-((((-5*(-5/((-5/(((-5*(-38.39--5))-(-5+((-5*-38.39)*(((-5--5)+(-38.39--5))+-38.39))))-(-5+-5)))*-5)))/-5)--5)+(-5*(((-38.39*(-38.39-(-5/-5)))*(-38.39-(-38.39/(-5*-38.39))))-(-5/-5)))))</f>
        <v>-285974.147795</v>
      </c>
      <c r="C6162" t="n" s="0">
        <v>-285974.147795</v>
      </c>
    </row>
    <row r="6163">
      <c r="A6163" t="n" s="0">
        <v>-38.38</v>
      </c>
      <c r="B6163" t="n" s="0">
        <f>(-5-((((-5*(-5/((-5/(((-5*(-38.38--5))-(-5+((-5*-38.38)*(((-5--5)+(-38.38--5))+-38.38))))-(-5+-5)))*-5)))/-5)--5)+(-5*(((-38.38*(-38.38-(-5/-5)))*(-38.38-(-38.38/(-5*-38.38))))-(-5/-5)))))</f>
        <v>-285751.57116000005</v>
      </c>
      <c r="C6163" t="n" s="0">
        <v>-285751.57116000005</v>
      </c>
    </row>
    <row r="6164">
      <c r="A6164" t="n" s="0">
        <v>-38.37</v>
      </c>
      <c r="B6164" t="n" s="0">
        <f>(-5-((((-5*(-5/((-5/(((-5*(-38.37--5))-(-5+((-5*-38.37)*(((-5--5)+(-38.37--5))+-38.37))))-(-5+-5)))*-5)))/-5)--5)+(-5*(((-38.37*(-38.37-(-5/-5)))*(-38.37-(-38.37/(-5*-38.37))))-(-5/-5)))))</f>
        <v>-285529.110065</v>
      </c>
      <c r="C6164" t="n" s="0">
        <v>-285529.11006499996</v>
      </c>
    </row>
    <row r="6165">
      <c r="A6165" t="n" s="0">
        <v>-38.36</v>
      </c>
      <c r="B6165" t="n" s="0">
        <f>(-5-((((-5*(-5/((-5/(((-5*(-38.36--5))-(-5+((-5*-38.36)*(((-5--5)+(-38.36--5))+-38.36))))-(-5+-5)))*-5)))/-5)--5)+(-5*(((-38.36*(-38.36-(-5/-5)))*(-38.36-(-38.36/(-5*-38.36))))-(-5/-5)))))</f>
        <v>-285306.76448</v>
      </c>
      <c r="C6165" t="n" s="0">
        <v>-285306.76448</v>
      </c>
    </row>
    <row r="6166">
      <c r="A6166" t="n" s="0">
        <v>-38.35</v>
      </c>
      <c r="B6166" t="n" s="0">
        <f>(-5-((((-5*(-5/((-5/(((-5*(-38.35--5))-(-5+((-5*-38.35)*(((-5--5)+(-38.35--5))+-38.35))))-(-5+-5)))*-5)))/-5)--5)+(-5*(((-38.35*(-38.35-(-5/-5)))*(-38.35-(-38.35/(-5*-38.35))))-(-5/-5)))))</f>
        <v>-285084.534375</v>
      </c>
      <c r="C6166" t="n" s="0">
        <v>-285084.53437500005</v>
      </c>
    </row>
    <row r="6167">
      <c r="A6167" t="n" s="0">
        <v>-38.34</v>
      </c>
      <c r="B6167" t="n" s="0">
        <f>(-5-((((-5*(-5/((-5/(((-5*(-38.34--5))-(-5+((-5*-38.34)*(((-5--5)+(-38.34--5))+-38.34))))-(-5+-5)))*-5)))/-5)--5)+(-5*(((-38.34*(-38.34-(-5/-5)))*(-38.34-(-38.34/(-5*-38.34))))-(-5/-5)))))</f>
        <v>-284862.41972</v>
      </c>
      <c r="C6167" t="n" s="0">
        <v>-284862.41972000006</v>
      </c>
    </row>
    <row r="6168">
      <c r="A6168" t="n" s="0">
        <v>-38.33</v>
      </c>
      <c r="B6168" t="n" s="0">
        <f>(-5-((((-5*(-5/((-5/(((-5*(-38.33--5))-(-5+((-5*-38.33)*(((-5--5)+(-38.33--5))+-38.33))))-(-5+-5)))*-5)))/-5)--5)+(-5*(((-38.33*(-38.33-(-5/-5)))*(-38.33-(-38.33/(-5*-38.33))))-(-5/-5)))))</f>
        <v>-284640.420485</v>
      </c>
      <c r="C6168" t="n" s="0">
        <v>-284640.420485</v>
      </c>
    </row>
    <row r="6169">
      <c r="A6169" t="n" s="0">
        <v>-38.32</v>
      </c>
      <c r="B6169" t="n" s="0">
        <f>(-5-((((-5*(-5/((-5/(((-5*(-38.32--5))-(-5+((-5*-38.32)*(((-5--5)+(-38.32--5))+-38.32))))-(-5+-5)))*-5)))/-5)--5)+(-5*(((-38.32*(-38.32-(-5/-5)))*(-38.32-(-38.32/(-5*-38.32))))-(-5/-5)))))</f>
        <v>-284418.53664</v>
      </c>
      <c r="C6169" t="n" s="0">
        <v>-284418.53664000006</v>
      </c>
    </row>
    <row r="6170">
      <c r="A6170" t="n" s="0">
        <v>-38.31</v>
      </c>
      <c r="B6170" t="n" s="0">
        <f>(-5-((((-5*(-5/((-5/(((-5*(-38.31--5))-(-5+((-5*-38.31)*(((-5--5)+(-38.31--5))+-38.31))))-(-5+-5)))*-5)))/-5)--5)+(-5*(((-38.31*(-38.31-(-5/-5)))*(-38.31-(-38.31/(-5*-38.31))))-(-5/-5)))))</f>
        <v>-284196.768155</v>
      </c>
      <c r="C6170" t="n" s="0">
        <v>-284196.76815500006</v>
      </c>
    </row>
    <row r="6171">
      <c r="A6171" t="n" s="0">
        <v>-38.3</v>
      </c>
      <c r="B6171" t="n" s="0">
        <f>(-5-((((-5*(-5/((-5/(((-5*(-38.3--5))-(-5+((-5*-38.3)*(((-5--5)+(-38.3--5))+-38.3))))-(-5+-5)))*-5)))/-5)--5)+(-5*(((-38.3*(-38.3-(-5/-5)))*(-38.3-(-38.3/(-5*-38.3))))-(-5/-5)))))</f>
        <v>-283975.115</v>
      </c>
      <c r="C6171" t="n" s="0">
        <v>-283975.115</v>
      </c>
    </row>
    <row r="6172">
      <c r="A6172" t="n" s="0">
        <v>-38.29</v>
      </c>
      <c r="B6172" t="n" s="0">
        <f>(-5-((((-5*(-5/((-5/(((-5*(-38.29--5))-(-5+((-5*-38.29)*(((-5--5)+(-38.29--5))+-38.29))))-(-5+-5)))*-5)))/-5)--5)+(-5*(((-38.29*(-38.29-(-5/-5)))*(-38.29-(-38.29/(-5*-38.29))))-(-5/-5)))))</f>
        <v>-283753.577145</v>
      </c>
      <c r="C6172" t="n" s="0">
        <v>-283753.57714499993</v>
      </c>
    </row>
    <row r="6173">
      <c r="A6173" t="n" s="0">
        <v>-38.28</v>
      </c>
      <c r="B6173" t="n" s="0">
        <f>(-5-((((-5*(-5/((-5/(((-5*(-38.28--5))-(-5+((-5*-38.28)*(((-5--5)+(-38.28--5))+-38.28))))-(-5+-5)))*-5)))/-5)--5)+(-5*(((-38.28*(-38.28-(-5/-5)))*(-38.28-(-38.28/(-5*-38.28))))-(-5/-5)))))</f>
        <v>-283532.15456</v>
      </c>
      <c r="C6173" t="n" s="0">
        <v>-283532.15456000005</v>
      </c>
    </row>
    <row r="6174">
      <c r="A6174" t="n" s="0">
        <v>-38.27</v>
      </c>
      <c r="B6174" t="n" s="0">
        <f>(-5-((((-5*(-5/((-5/(((-5*(-38.27--5))-(-5+((-5*-38.27)*(((-5--5)+(-38.27--5))+-38.27))))-(-5+-5)))*-5)))/-5)--5)+(-5*(((-38.27*(-38.27-(-5/-5)))*(-38.27-(-38.27/(-5*-38.27))))-(-5/-5)))))</f>
        <v>-283310.84721499996</v>
      </c>
      <c r="C6174" t="n" s="0">
        <v>-283310.8472150001</v>
      </c>
    </row>
    <row r="6175">
      <c r="A6175" t="n" s="0">
        <v>-38.26</v>
      </c>
      <c r="B6175" t="n" s="0">
        <f>(-5-((((-5*(-5/((-5/(((-5*(-38.26--5))-(-5+((-5*-38.26)*(((-5--5)+(-38.26--5))+-38.26))))-(-5+-5)))*-5)))/-5)--5)+(-5*(((-38.26*(-38.26-(-5/-5)))*(-38.26-(-38.26/(-5*-38.26))))-(-5/-5)))))</f>
        <v>-283089.65508</v>
      </c>
      <c r="C6175" t="n" s="0">
        <v>-283089.65508</v>
      </c>
    </row>
    <row r="6176">
      <c r="A6176" t="n" s="0">
        <v>-38.25</v>
      </c>
      <c r="B6176" t="n" s="0">
        <f>(-5-((((-5*(-5/((-5/(((-5*(-38.25--5))-(-5+((-5*-38.25)*(((-5--5)+(-38.25--5))+-38.25))))-(-5+-5)))*-5)))/-5)--5)+(-5*(((-38.25*(-38.25-(-5/-5)))*(-38.25-(-38.25/(-5*-38.25))))-(-5/-5)))))</f>
        <v>-282868.578125</v>
      </c>
      <c r="C6176" t="n" s="0">
        <v>-282868.578125</v>
      </c>
    </row>
    <row r="6177">
      <c r="A6177" t="n" s="0">
        <v>-38.24</v>
      </c>
      <c r="B6177" t="n" s="0">
        <f>(-5-((((-5*(-5/((-5/(((-5*(-38.24--5))-(-5+((-5*-38.24)*(((-5--5)+(-38.24--5))+-38.24))))-(-5+-5)))*-5)))/-5)--5)+(-5*(((-38.24*(-38.24-(-5/-5)))*(-38.24-(-38.24/(-5*-38.24))))-(-5/-5)))))</f>
        <v>-282647.61632</v>
      </c>
      <c r="C6177" t="n" s="0">
        <v>-282647.61632</v>
      </c>
    </row>
    <row r="6178">
      <c r="A6178" t="n" s="0">
        <v>-38.23</v>
      </c>
      <c r="B6178" t="n" s="0">
        <f>(-5-((((-5*(-5/((-5/(((-5*(-38.23--5))-(-5+((-5*-38.23)*(((-5--5)+(-38.23--5))+-38.23))))-(-5+-5)))*-5)))/-5)--5)+(-5*(((-38.23*(-38.23-(-5/-5)))*(-38.23-(-38.23/(-5*-38.23))))-(-5/-5)))))</f>
        <v>-282426.769635</v>
      </c>
      <c r="C6178" t="n" s="0">
        <v>-282426.7696349999</v>
      </c>
    </row>
    <row r="6179">
      <c r="A6179" t="n" s="0">
        <v>-38.22</v>
      </c>
      <c r="B6179" t="n" s="0">
        <f>(-5-((((-5*(-5/((-5/(((-5*(-38.22--5))-(-5+((-5*-38.22)*(((-5--5)+(-38.22--5))+-38.22))))-(-5+-5)))*-5)))/-5)--5)+(-5*(((-38.22*(-38.22-(-5/-5)))*(-38.22-(-38.22/(-5*-38.22))))-(-5/-5)))))</f>
        <v>-282206.03804</v>
      </c>
      <c r="C6179" t="n" s="0">
        <v>-282206.03803999996</v>
      </c>
    </row>
    <row r="6180">
      <c r="A6180" t="n" s="0">
        <v>-38.21</v>
      </c>
      <c r="B6180" t="n" s="0">
        <f>(-5-((((-5*(-5/((-5/(((-5*(-38.21--5))-(-5+((-5*-38.21)*(((-5--5)+(-38.21--5))+-38.21))))-(-5+-5)))*-5)))/-5)--5)+(-5*(((-38.21*(-38.21-(-5/-5)))*(-38.21-(-38.21/(-5*-38.21))))-(-5/-5)))))</f>
        <v>-281985.421505</v>
      </c>
      <c r="C6180" t="n" s="0">
        <v>-281985.42150500003</v>
      </c>
    </row>
    <row r="6181">
      <c r="A6181" t="n" s="0">
        <v>-38.2</v>
      </c>
      <c r="B6181" t="n" s="0">
        <f>(-5-((((-5*(-5/((-5/(((-5*(-38.2--5))-(-5+((-5*-38.2)*(((-5--5)+(-38.2--5))+-38.2))))-(-5+-5)))*-5)))/-5)--5)+(-5*(((-38.2*(-38.2-(-5/-5)))*(-38.2-(-38.2/(-5*-38.2))))-(-5/-5)))))</f>
        <v>-281764.92</v>
      </c>
      <c r="C6181" t="n" s="0">
        <v>-281764.92000000004</v>
      </c>
    </row>
    <row r="6182">
      <c r="A6182" t="n" s="0">
        <v>-38.19</v>
      </c>
      <c r="B6182" t="n" s="0">
        <f>(-5-((((-5*(-5/((-5/(((-5*(-38.19--5))-(-5+((-5*-38.19)*(((-5--5)+(-38.19--5))+-38.19))))-(-5+-5)))*-5)))/-5)--5)+(-5*(((-38.19*(-38.19-(-5/-5)))*(-38.19-(-38.19/(-5*-38.19))))-(-5/-5)))))</f>
        <v>-281544.533495</v>
      </c>
      <c r="C6182" t="n" s="0">
        <v>-281544.533495</v>
      </c>
    </row>
    <row r="6183">
      <c r="A6183" t="n" s="0">
        <v>-38.18</v>
      </c>
      <c r="B6183" t="n" s="0">
        <f>(-5-((((-5*(-5/((-5/(((-5*(-38.18--5))-(-5+((-5*-38.18)*(((-5--5)+(-38.18--5))+-38.18))))-(-5+-5)))*-5)))/-5)--5)+(-5*(((-38.18*(-38.18-(-5/-5)))*(-38.18-(-38.18/(-5*-38.18))))-(-5/-5)))))</f>
        <v>-281324.26196</v>
      </c>
      <c r="C6183" t="n" s="0">
        <v>-281324.2619599999</v>
      </c>
    </row>
    <row r="6184">
      <c r="A6184" t="n" s="0">
        <v>-38.17</v>
      </c>
      <c r="B6184" t="n" s="0">
        <f>(-5-((((-5*(-5/((-5/(((-5*(-38.17--5))-(-5+((-5*-38.17)*(((-5--5)+(-38.17--5))+-38.17))))-(-5+-5)))*-5)))/-5)--5)+(-5*(((-38.17*(-38.17-(-5/-5)))*(-38.17-(-38.17/(-5*-38.17))))-(-5/-5)))))</f>
        <v>-281104.105365</v>
      </c>
      <c r="C6184" t="n" s="0">
        <v>-281104.105365</v>
      </c>
    </row>
    <row r="6185">
      <c r="A6185" t="n" s="0">
        <v>-38.16</v>
      </c>
      <c r="B6185" t="n" s="0">
        <f>(-5-((((-5*(-5/((-5/(((-5*(-38.16--5))-(-5+((-5*-38.16)*(((-5--5)+(-38.16--5))+-38.16))))-(-5+-5)))*-5)))/-5)--5)+(-5*(((-38.16*(-38.16-(-5/-5)))*(-38.16-(-38.16/(-5*-38.16))))-(-5/-5)))))</f>
        <v>-280884.06368</v>
      </c>
      <c r="C6185" t="n" s="0">
        <v>-280884.0636799999</v>
      </c>
    </row>
    <row r="6186">
      <c r="A6186" t="n" s="0">
        <v>-38.15</v>
      </c>
      <c r="B6186" t="n" s="0">
        <f>(-5-((((-5*(-5/((-5/(((-5*(-38.15--5))-(-5+((-5*-38.15)*(((-5--5)+(-38.15--5))+-38.15))))-(-5+-5)))*-5)))/-5)--5)+(-5*(((-38.15*(-38.15-(-5/-5)))*(-38.15-(-38.15/(-5*-38.15))))-(-5/-5)))))</f>
        <v>-280664.136875</v>
      </c>
      <c r="C6186" t="n" s="0">
        <v>-280664.1368749999</v>
      </c>
    </row>
    <row r="6187">
      <c r="A6187" t="n" s="0">
        <v>-38.14</v>
      </c>
      <c r="B6187" t="n" s="0">
        <f>(-5-((((-5*(-5/((-5/(((-5*(-38.14--5))-(-5+((-5*-38.14)*(((-5--5)+(-38.14--5))+-38.14))))-(-5+-5)))*-5)))/-5)--5)+(-5*(((-38.14*(-38.14-(-5/-5)))*(-38.14-(-38.14/(-5*-38.14))))-(-5/-5)))))</f>
        <v>-280444.32492000004</v>
      </c>
      <c r="C6187" t="n" s="0">
        <v>-280444.32492000004</v>
      </c>
    </row>
    <row r="6188">
      <c r="A6188" t="n" s="0">
        <v>-38.13</v>
      </c>
      <c r="B6188" t="n" s="0">
        <f>(-5-((((-5*(-5/((-5/(((-5*(-38.13--5))-(-5+((-5*-38.13)*(((-5--5)+(-38.13--5))+-38.13))))-(-5+-5)))*-5)))/-5)--5)+(-5*(((-38.13*(-38.13-(-5/-5)))*(-38.13-(-38.13/(-5*-38.13))))-(-5/-5)))))</f>
        <v>-280224.62778499996</v>
      </c>
      <c r="C6188" t="n" s="0">
        <v>-280224.6277850001</v>
      </c>
    </row>
    <row r="6189">
      <c r="A6189" t="n" s="0">
        <v>-38.12</v>
      </c>
      <c r="B6189" t="n" s="0">
        <f>(-5-((((-5*(-5/((-5/(((-5*(-38.12--5))-(-5+((-5*-38.12)*(((-5--5)+(-38.12--5))+-38.12))))-(-5+-5)))*-5)))/-5)--5)+(-5*(((-38.12*(-38.12-(-5/-5)))*(-38.12-(-38.12/(-5*-38.12))))-(-5/-5)))))</f>
        <v>-280005.04544</v>
      </c>
      <c r="C6189" t="n" s="0">
        <v>-280005.04543999996</v>
      </c>
    </row>
    <row r="6190">
      <c r="A6190" t="n" s="0">
        <v>-38.11</v>
      </c>
      <c r="B6190" t="n" s="0">
        <f>(-5-((((-5*(-5/((-5/(((-5*(-38.11--5))-(-5+((-5*-38.11)*(((-5--5)+(-38.11--5))+-38.11))))-(-5+-5)))*-5)))/-5)--5)+(-5*(((-38.11*(-38.11-(-5/-5)))*(-38.11-(-38.11/(-5*-38.11))))-(-5/-5)))))</f>
        <v>-279785.57785500004</v>
      </c>
      <c r="C6190" t="n" s="0">
        <v>-279785.577855</v>
      </c>
    </row>
    <row r="6191">
      <c r="A6191" t="n" s="0">
        <v>-38.1</v>
      </c>
      <c r="B6191" t="n" s="0">
        <f>(-5-((((-5*(-5/((-5/(((-5*(-38.1--5))-(-5+((-5*-38.1)*(((-5--5)+(-38.1--5))+-38.1))))-(-5+-5)))*-5)))/-5)--5)+(-5*(((-38.1*(-38.1-(-5/-5)))*(-38.1-(-38.1/(-5*-38.1))))-(-5/-5)))))</f>
        <v>-279566.225</v>
      </c>
      <c r="C6191" t="n" s="0">
        <v>-279566.225</v>
      </c>
    </row>
    <row r="6192">
      <c r="A6192" t="n" s="0">
        <v>-38.09</v>
      </c>
      <c r="B6192" t="n" s="0">
        <f>(-5-((((-5*(-5/((-5/(((-5*(-38.09--5))-(-5+((-5*-38.09)*(((-5--5)+(-38.09--5))+-38.09))))-(-5+-5)))*-5)))/-5)--5)+(-5*(((-38.09*(-38.09-(-5/-5)))*(-38.09-(-38.09/(-5*-38.09))))-(-5/-5)))))</f>
        <v>-279346.98684500006</v>
      </c>
      <c r="C6192" t="n" s="0">
        <v>-279346.9868450001</v>
      </c>
    </row>
    <row r="6193">
      <c r="A6193" t="n" s="0">
        <v>-38.08</v>
      </c>
      <c r="B6193" t="n" s="0">
        <f>(-5-((((-5*(-5/((-5/(((-5*(-38.08--5))-(-5+((-5*-38.08)*(((-5--5)+(-38.08--5))+-38.08))))-(-5+-5)))*-5)))/-5)--5)+(-5*(((-38.08*(-38.08-(-5/-5)))*(-38.08-(-38.08/(-5*-38.08))))-(-5/-5)))))</f>
        <v>-279127.86336</v>
      </c>
      <c r="C6193" t="n" s="0">
        <v>-279127.86335999996</v>
      </c>
    </row>
    <row r="6194">
      <c r="A6194" t="n" s="0">
        <v>-38.07</v>
      </c>
      <c r="B6194" t="n" s="0">
        <f>(-5-((((-5*(-5/((-5/(((-5*(-38.07--5))-(-5+((-5*-38.07)*(((-5--5)+(-38.07--5))+-38.07))))-(-5+-5)))*-5)))/-5)--5)+(-5*(((-38.07*(-38.07-(-5/-5)))*(-38.07-(-38.07/(-5*-38.07))))-(-5/-5)))))</f>
        <v>-278908.854515</v>
      </c>
      <c r="C6194" t="n" s="0">
        <v>-278908.8545150001</v>
      </c>
    </row>
    <row r="6195">
      <c r="A6195" t="n" s="0">
        <v>-38.06</v>
      </c>
      <c r="B6195" t="n" s="0">
        <f>(-5-((((-5*(-5/((-5/(((-5*(-38.06--5))-(-5+((-5*-38.06)*(((-5--5)+(-38.06--5))+-38.06))))-(-5+-5)))*-5)))/-5)--5)+(-5*(((-38.06*(-38.06-(-5/-5)))*(-38.06-(-38.06/(-5*-38.06))))-(-5/-5)))))</f>
        <v>-278689.96028</v>
      </c>
      <c r="C6195" t="n" s="0">
        <v>-278689.96028</v>
      </c>
    </row>
    <row r="6196">
      <c r="A6196" t="n" s="0">
        <v>-38.05</v>
      </c>
      <c r="B6196" t="n" s="0">
        <f>(-5-((((-5*(-5/((-5/(((-5*(-38.05--5))-(-5+((-5*-38.05)*(((-5--5)+(-38.05--5))+-38.05))))-(-5+-5)))*-5)))/-5)--5)+(-5*(((-38.05*(-38.05-(-5/-5)))*(-38.05-(-38.05/(-5*-38.05))))-(-5/-5)))))</f>
        <v>-278471.180625</v>
      </c>
      <c r="C6196" t="n" s="0">
        <v>-278471.1806249999</v>
      </c>
    </row>
    <row r="6197">
      <c r="A6197" t="n" s="0">
        <v>-38.04</v>
      </c>
      <c r="B6197" t="n" s="0">
        <f>(-5-((((-5*(-5/((-5/(((-5*(-38.04--5))-(-5+((-5*-38.04)*(((-5--5)+(-38.04--5))+-38.04))))-(-5+-5)))*-5)))/-5)--5)+(-5*(((-38.04*(-38.04-(-5/-5)))*(-38.04-(-38.04/(-5*-38.04))))-(-5/-5)))))</f>
        <v>-278252.51551999996</v>
      </c>
      <c r="C6197" t="n" s="0">
        <v>-278252.51551999996</v>
      </c>
    </row>
    <row r="6198">
      <c r="A6198" t="n" s="0">
        <v>-38.03</v>
      </c>
      <c r="B6198" t="n" s="0">
        <f>(-5-((((-5*(-5/((-5/(((-5*(-38.03--5))-(-5+((-5*-38.03)*(((-5--5)+(-38.03--5))+-38.03))))-(-5+-5)))*-5)))/-5)--5)+(-5*(((-38.03*(-38.03-(-5/-5)))*(-38.03-(-38.03/(-5*-38.03))))-(-5/-5)))))</f>
        <v>-278033.96493500005</v>
      </c>
      <c r="C6198" t="n" s="0">
        <v>-278033.9649350001</v>
      </c>
    </row>
    <row r="6199">
      <c r="A6199" t="n" s="0">
        <v>-38.02</v>
      </c>
      <c r="B6199" t="n" s="0">
        <f>(-5-((((-5*(-5/((-5/(((-5*(-38.02--5))-(-5+((-5*-38.02)*(((-5--5)+(-38.02--5))+-38.02))))-(-5+-5)))*-5)))/-5)--5)+(-5*(((-38.02*(-38.02-(-5/-5)))*(-38.02-(-38.02/(-5*-38.02))))-(-5/-5)))))</f>
        <v>-277815.52884</v>
      </c>
      <c r="C6199" t="n" s="0">
        <v>-277815.5288400001</v>
      </c>
    </row>
    <row r="6200">
      <c r="A6200" t="n" s="0">
        <v>-38.01</v>
      </c>
      <c r="B6200" t="n" s="0">
        <f>(-5-((((-5*(-5/((-5/(((-5*(-38.01--5))-(-5+((-5*-38.01)*(((-5--5)+(-38.01--5))+-38.01))))-(-5+-5)))*-5)))/-5)--5)+(-5*(((-38.01*(-38.01-(-5/-5)))*(-38.01-(-38.01/(-5*-38.01))))-(-5/-5)))))</f>
        <v>-277597.207205</v>
      </c>
      <c r="C6200" t="n" s="0">
        <v>-277597.207205</v>
      </c>
    </row>
    <row r="6201">
      <c r="A6201" t="n" s="0">
        <v>-38.0</v>
      </c>
      <c r="B6201" t="n" s="0">
        <f>(-5-((((-5*(-5/((-5/(((-5*(-38--5))-(-5+((-5*-38)*(((-5--5)+(-38--5))+-38))))-(-5+-5)))*-5)))/-5)--5)+(-5*(((-38*(-38-(-5/-5)))*(-38-(-38/(-5*-38))))-(-5/-5)))))</f>
        <v>-277379.0</v>
      </c>
      <c r="C6201" t="n" s="0">
        <v>-277379.0</v>
      </c>
    </row>
    <row r="6202">
      <c r="A6202" t="n" s="0">
        <v>-37.99</v>
      </c>
      <c r="B6202" t="n" s="0">
        <f>(-5-((((-5*(-5/((-5/(((-5*(-37.99--5))-(-5+((-5*-37.99)*(((-5--5)+(-37.99--5))+-37.99))))-(-5+-5)))*-5)))/-5)--5)+(-5*(((-37.99*(-37.99-(-5/-5)))*(-37.99-(-37.99/(-5*-37.99))))-(-5/-5)))))</f>
        <v>-277160.907195</v>
      </c>
      <c r="C6202" t="n" s="0">
        <v>-277160.90719500004</v>
      </c>
    </row>
    <row r="6203">
      <c r="A6203" t="n" s="0">
        <v>-37.98</v>
      </c>
      <c r="B6203" t="n" s="0">
        <f>(-5-((((-5*(-5/((-5/(((-5*(-37.98--5))-(-5+((-5*-37.98)*(((-5--5)+(-37.98--5))+-37.98))))-(-5+-5)))*-5)))/-5)--5)+(-5*(((-37.98*(-37.98-(-5/-5)))*(-37.98-(-37.98/(-5*-37.98))))-(-5/-5)))))</f>
        <v>-276942.92876</v>
      </c>
      <c r="C6203" t="n" s="0">
        <v>-276942.9287599999</v>
      </c>
    </row>
    <row r="6204">
      <c r="A6204" t="n" s="0">
        <v>-37.97</v>
      </c>
      <c r="B6204" t="n" s="0">
        <f>(-5-((((-5*(-5/((-5/(((-5*(-37.97--5))-(-5+((-5*-37.97)*(((-5--5)+(-37.97--5))+-37.97))))-(-5+-5)))*-5)))/-5)--5)+(-5*(((-37.97*(-37.97-(-5/-5)))*(-37.97-(-37.97/(-5*-37.97))))-(-5/-5)))))</f>
        <v>-276725.06466499995</v>
      </c>
      <c r="C6204" t="n" s="0">
        <v>-276725.06466499995</v>
      </c>
    </row>
    <row r="6205">
      <c r="A6205" t="n" s="0">
        <v>-37.96</v>
      </c>
      <c r="B6205" t="n" s="0">
        <f>(-5-((((-5*(-5/((-5/(((-5*(-37.96--5))-(-5+((-5*-37.96)*(((-5--5)+(-37.96--5))+-37.96))))-(-5+-5)))*-5)))/-5)--5)+(-5*(((-37.96*(-37.96-(-5/-5)))*(-37.96-(-37.96/(-5*-37.96))))-(-5/-5)))))</f>
        <v>-276507.31488</v>
      </c>
      <c r="C6205" t="n" s="0">
        <v>-276507.3148800001</v>
      </c>
    </row>
    <row r="6206">
      <c r="A6206" t="n" s="0">
        <v>-37.95</v>
      </c>
      <c r="B6206" t="n" s="0">
        <f>(-5-((((-5*(-5/((-5/(((-5*(-37.95--5))-(-5+((-5*-37.95)*(((-5--5)+(-37.95--5))+-37.95))))-(-5+-5)))*-5)))/-5)--5)+(-5*(((-37.95*(-37.95-(-5/-5)))*(-37.95-(-37.95/(-5*-37.95))))-(-5/-5)))))</f>
        <v>-276289.679375</v>
      </c>
      <c r="C6206" t="n" s="0">
        <v>-276289.67937500007</v>
      </c>
    </row>
    <row r="6207">
      <c r="A6207" t="n" s="0">
        <v>-37.94</v>
      </c>
      <c r="B6207" t="n" s="0">
        <f>(-5-((((-5*(-5/((-5/(((-5*(-37.94--5))-(-5+((-5*-37.94)*(((-5--5)+(-37.94--5))+-37.94))))-(-5+-5)))*-5)))/-5)--5)+(-5*(((-37.94*(-37.94-(-5/-5)))*(-37.94-(-37.94/(-5*-37.94))))-(-5/-5)))))</f>
        <v>-276072.15812000004</v>
      </c>
      <c r="C6207" t="n" s="0">
        <v>-276072.1581199999</v>
      </c>
    </row>
    <row r="6208">
      <c r="A6208" t="n" s="0">
        <v>-37.93</v>
      </c>
      <c r="B6208" t="n" s="0">
        <f>(-5-((((-5*(-5/((-5/(((-5*(-37.93--5))-(-5+((-5*-37.93)*(((-5--5)+(-37.93--5))+-37.93))))-(-5+-5)))*-5)))/-5)--5)+(-5*(((-37.93*(-37.93-(-5/-5)))*(-37.93-(-37.93/(-5*-37.93))))-(-5/-5)))))</f>
        <v>-275854.751085</v>
      </c>
      <c r="C6208" t="n" s="0">
        <v>-275854.75108499994</v>
      </c>
    </row>
    <row r="6209">
      <c r="A6209" t="n" s="0">
        <v>-37.92</v>
      </c>
      <c r="B6209" t="n" s="0">
        <f>(-5-((((-5*(-5/((-5/(((-5*(-37.92--5))-(-5+((-5*-37.92)*(((-5--5)+(-37.92--5))+-37.92))))-(-5+-5)))*-5)))/-5)--5)+(-5*(((-37.92*(-37.92-(-5/-5)))*(-37.92-(-37.92/(-5*-37.92))))-(-5/-5)))))</f>
        <v>-275637.45824</v>
      </c>
      <c r="C6209" t="n" s="0">
        <v>-275637.45824000007</v>
      </c>
    </row>
    <row r="6210">
      <c r="A6210" t="n" s="0">
        <v>-37.91</v>
      </c>
      <c r="B6210" t="n" s="0">
        <f>(-5-((((-5*(-5/((-5/(((-5*(-37.91--5))-(-5+((-5*-37.91)*(((-5--5)+(-37.91--5))+-37.91))))-(-5+-5)))*-5)))/-5)--5)+(-5*(((-37.91*(-37.91-(-5/-5)))*(-37.91-(-37.91/(-5*-37.91))))-(-5/-5)))))</f>
        <v>-275420.279555</v>
      </c>
      <c r="C6210" t="n" s="0">
        <v>-275420.27955499996</v>
      </c>
    </row>
    <row r="6211">
      <c r="A6211" t="n" s="0">
        <v>-37.9</v>
      </c>
      <c r="B6211" t="n" s="0">
        <f>(-5-((((-5*(-5/((-5/(((-5*(-37.9--5))-(-5+((-5*-37.9)*(((-5--5)+(-37.9--5))+-37.9))))-(-5+-5)))*-5)))/-5)--5)+(-5*(((-37.9*(-37.9-(-5/-5)))*(-37.9-(-37.9/(-5*-37.9))))-(-5/-5)))))</f>
        <v>-275203.215</v>
      </c>
      <c r="C6211" t="n" s="0">
        <v>-275203.21499999997</v>
      </c>
    </row>
    <row r="6212">
      <c r="A6212" t="n" s="0">
        <v>-37.89</v>
      </c>
      <c r="B6212" t="n" s="0">
        <f>(-5-((((-5*(-5/((-5/(((-5*(-37.89--5))-(-5+((-5*-37.89)*(((-5--5)+(-37.89--5))+-37.89))))-(-5+-5)))*-5)))/-5)--5)+(-5*(((-37.89*(-37.89-(-5/-5)))*(-37.89-(-37.89/(-5*-37.89))))-(-5/-5)))))</f>
        <v>-274986.264545</v>
      </c>
      <c r="C6212" t="n" s="0">
        <v>-274986.264545</v>
      </c>
    </row>
    <row r="6213">
      <c r="A6213" t="n" s="0">
        <v>-37.88</v>
      </c>
      <c r="B6213" t="n" s="0">
        <f>(-5-((((-5*(-5/((-5/(((-5*(-37.88--5))-(-5+((-5*-37.88)*(((-5--5)+(-37.88--5))+-37.88))))-(-5+-5)))*-5)))/-5)--5)+(-5*(((-37.88*(-37.88-(-5/-5)))*(-37.88-(-37.88/(-5*-37.88))))-(-5/-5)))))</f>
        <v>-274769.42815999995</v>
      </c>
      <c r="C6213" t="n" s="0">
        <v>-274769.42816000007</v>
      </c>
    </row>
    <row r="6214">
      <c r="A6214" t="n" s="0">
        <v>-37.87</v>
      </c>
      <c r="B6214" t="n" s="0">
        <f>(-5-((((-5*(-5/((-5/(((-5*(-37.87--5))-(-5+((-5*-37.87)*(((-5--5)+(-37.87--5))+-37.87))))-(-5+-5)))*-5)))/-5)--5)+(-5*(((-37.87*(-37.87-(-5/-5)))*(-37.87-(-37.87/(-5*-37.87))))-(-5/-5)))))</f>
        <v>-274552.705815</v>
      </c>
      <c r="C6214" t="n" s="0">
        <v>-274552.70581499994</v>
      </c>
    </row>
    <row r="6215">
      <c r="A6215" t="n" s="0">
        <v>-37.86</v>
      </c>
      <c r="B6215" t="n" s="0">
        <f>(-5-((((-5*(-5/((-5/(((-5*(-37.86--5))-(-5+((-5*-37.86)*(((-5--5)+(-37.86--5))+-37.86))))-(-5+-5)))*-5)))/-5)--5)+(-5*(((-37.86*(-37.86-(-5/-5)))*(-37.86-(-37.86/(-5*-37.86))))-(-5/-5)))))</f>
        <v>-274336.09748</v>
      </c>
      <c r="C6215" t="n" s="0">
        <v>-274336.09748</v>
      </c>
    </row>
    <row r="6216">
      <c r="A6216" t="n" s="0">
        <v>-37.85</v>
      </c>
      <c r="B6216" t="n" s="0">
        <f>(-5-((((-5*(-5/((-5/(((-5*(-37.85--5))-(-5+((-5*-37.85)*(((-5--5)+(-37.85--5))+-37.85))))-(-5+-5)))*-5)))/-5)--5)+(-5*(((-37.85*(-37.85-(-5/-5)))*(-37.85-(-37.85/(-5*-37.85))))-(-5/-5)))))</f>
        <v>-274119.603125</v>
      </c>
      <c r="C6216" t="n" s="0">
        <v>-274119.603125</v>
      </c>
    </row>
    <row r="6217">
      <c r="A6217" t="n" s="0">
        <v>-37.84</v>
      </c>
      <c r="B6217" t="n" s="0">
        <f>(-5-((((-5*(-5/((-5/(((-5*(-37.84--5))-(-5+((-5*-37.84)*(((-5--5)+(-37.84--5))+-37.84))))-(-5+-5)))*-5)))/-5)--5)+(-5*(((-37.84*(-37.84-(-5/-5)))*(-37.84-(-37.84/(-5*-37.84))))-(-5/-5)))))</f>
        <v>-273903.22272</v>
      </c>
      <c r="C6217" t="n" s="0">
        <v>-273903.2227200001</v>
      </c>
    </row>
    <row r="6218">
      <c r="A6218" t="n" s="0">
        <v>-37.83</v>
      </c>
      <c r="B6218" t="n" s="0">
        <f>(-5-((((-5*(-5/((-5/(((-5*(-37.83--5))-(-5+((-5*-37.83)*(((-5--5)+(-37.83--5))+-37.83))))-(-5+-5)))*-5)))/-5)--5)+(-5*(((-37.83*(-37.83-(-5/-5)))*(-37.83-(-37.83/(-5*-37.83))))-(-5/-5)))))</f>
        <v>-273686.95623500005</v>
      </c>
      <c r="C6218" t="n" s="0">
        <v>-273686.95623499993</v>
      </c>
    </row>
    <row r="6219">
      <c r="A6219" t="n" s="0">
        <v>-37.82</v>
      </c>
      <c r="B6219" t="n" s="0">
        <f>(-5-((((-5*(-5/((-5/(((-5*(-37.82--5))-(-5+((-5*-37.82)*(((-5--5)+(-37.82--5))+-37.82))))-(-5+-5)))*-5)))/-5)--5)+(-5*(((-37.82*(-37.82-(-5/-5)))*(-37.82-(-37.82/(-5*-37.82))))-(-5/-5)))))</f>
        <v>-273470.80364</v>
      </c>
      <c r="C6219" t="n" s="0">
        <v>-273470.80364000006</v>
      </c>
    </row>
    <row r="6220">
      <c r="A6220" t="n" s="0">
        <v>-37.81</v>
      </c>
      <c r="B6220" t="n" s="0">
        <f>(-5-((((-5*(-5/((-5/(((-5*(-37.81--5))-(-5+((-5*-37.81)*(((-5--5)+(-37.81--5))+-37.81))))-(-5+-5)))*-5)))/-5)--5)+(-5*(((-37.81*(-37.81-(-5/-5)))*(-37.81-(-37.81/(-5*-37.81))))-(-5/-5)))))</f>
        <v>-273254.764905</v>
      </c>
      <c r="C6220" t="n" s="0">
        <v>-273254.764905</v>
      </c>
    </row>
    <row r="6221">
      <c r="A6221" t="n" s="0">
        <v>-37.8</v>
      </c>
      <c r="B6221" t="n" s="0">
        <f>(-5-((((-5*(-5/((-5/(((-5*(-37.8--5))-(-5+((-5*-37.8)*(((-5--5)+(-37.8--5))+-37.8))))-(-5+-5)))*-5)))/-5)--5)+(-5*(((-37.8*(-37.8-(-5/-5)))*(-37.8-(-37.8/(-5*-37.8))))-(-5/-5)))))</f>
        <v>-273038.84</v>
      </c>
      <c r="C6221" t="n" s="0">
        <v>-273038.83999999997</v>
      </c>
    </row>
    <row r="6222">
      <c r="A6222" t="n" s="0">
        <v>-37.79</v>
      </c>
      <c r="B6222" t="n" s="0">
        <f>(-5-((((-5*(-5/((-5/(((-5*(-37.79--5))-(-5+((-5*-37.79)*(((-5--5)+(-37.79--5))+-37.79))))-(-5+-5)))*-5)))/-5)--5)+(-5*(((-37.79*(-37.79-(-5/-5)))*(-37.79-(-37.79/(-5*-37.79))))-(-5/-5)))))</f>
        <v>-272823.02889499994</v>
      </c>
      <c r="C6222" t="n" s="0">
        <v>-272823.028895</v>
      </c>
    </row>
    <row r="6223">
      <c r="A6223" t="n" s="0">
        <v>-37.78</v>
      </c>
      <c r="B6223" t="n" s="0">
        <f>(-5-((((-5*(-5/((-5/(((-5*(-37.78--5))-(-5+((-5*-37.78)*(((-5--5)+(-37.78--5))+-37.78))))-(-5+-5)))*-5)))/-5)--5)+(-5*(((-37.78*(-37.78-(-5/-5)))*(-37.78-(-37.78/(-5*-37.78))))-(-5/-5)))))</f>
        <v>-272607.33156</v>
      </c>
      <c r="C6223" t="n" s="0">
        <v>-272607.33156</v>
      </c>
    </row>
    <row r="6224">
      <c r="A6224" t="n" s="0">
        <v>-37.77</v>
      </c>
      <c r="B6224" t="n" s="0">
        <f>(-5-((((-5*(-5/((-5/(((-5*(-37.77--5))-(-5+((-5*-37.77)*(((-5--5)+(-37.77--5))+-37.77))))-(-5+-5)))*-5)))/-5)--5)+(-5*(((-37.77*(-37.77-(-5/-5)))*(-37.77-(-37.77/(-5*-37.77))))-(-5/-5)))))</f>
        <v>-272391.747965</v>
      </c>
      <c r="C6224" t="n" s="0">
        <v>-272391.74796500005</v>
      </c>
    </row>
    <row r="6225">
      <c r="A6225" t="n" s="0">
        <v>-37.76</v>
      </c>
      <c r="B6225" t="n" s="0">
        <f>(-5-((((-5*(-5/((-5/(((-5*(-37.76--5))-(-5+((-5*-37.76)*(((-5--5)+(-37.76--5))+-37.76))))-(-5+-5)))*-5)))/-5)--5)+(-5*(((-37.76*(-37.76-(-5/-5)))*(-37.76-(-37.76/(-5*-37.76))))-(-5/-5)))))</f>
        <v>-272176.27808</v>
      </c>
      <c r="C6225" t="n" s="0">
        <v>-272176.27808</v>
      </c>
    </row>
    <row r="6226">
      <c r="A6226" t="n" s="0">
        <v>-37.75</v>
      </c>
      <c r="B6226" t="n" s="0">
        <f>(-5-((((-5*(-5/((-5/(((-5*(-37.75--5))-(-5+((-5*-37.75)*(((-5--5)+(-37.75--5))+-37.75))))-(-5+-5)))*-5)))/-5)--5)+(-5*(((-37.75*(-37.75-(-5/-5)))*(-37.75-(-37.75/(-5*-37.75))))-(-5/-5)))))</f>
        <v>-271960.921875</v>
      </c>
      <c r="C6226" t="n" s="0">
        <v>-271960.921875</v>
      </c>
    </row>
    <row r="6227">
      <c r="A6227" t="n" s="0">
        <v>-37.74</v>
      </c>
      <c r="B6227" t="n" s="0">
        <f>(-5-((((-5*(-5/((-5/(((-5*(-37.74--5))-(-5+((-5*-37.74)*(((-5--5)+(-37.74--5))+-37.74))))-(-5+-5)))*-5)))/-5)--5)+(-5*(((-37.74*(-37.74-(-5/-5)))*(-37.74-(-37.74/(-5*-37.74))))-(-5/-5)))))</f>
        <v>-271745.67932</v>
      </c>
      <c r="C6227" t="n" s="0">
        <v>-271745.67932000005</v>
      </c>
    </row>
    <row r="6228">
      <c r="A6228" t="n" s="0">
        <v>-37.73</v>
      </c>
      <c r="B6228" t="n" s="0">
        <f>(-5-((((-5*(-5/((-5/(((-5*(-37.73--5))-(-5+((-5*-37.73)*(((-5--5)+(-37.73--5))+-37.73))))-(-5+-5)))*-5)))/-5)--5)+(-5*(((-37.73*(-37.73-(-5/-5)))*(-37.73-(-37.73/(-5*-37.73))))-(-5/-5)))))</f>
        <v>-271530.550385</v>
      </c>
      <c r="C6228" t="n" s="0">
        <v>-271530.55038499995</v>
      </c>
    </row>
    <row r="6229">
      <c r="A6229" t="n" s="0">
        <v>-37.72</v>
      </c>
      <c r="B6229" t="n" s="0">
        <f>(-5-((((-5*(-5/((-5/(((-5*(-37.72--5))-(-5+((-5*-37.72)*(((-5--5)+(-37.72--5))+-37.72))))-(-5+-5)))*-5)))/-5)--5)+(-5*(((-37.72*(-37.72-(-5/-5)))*(-37.72-(-37.72/(-5*-37.72))))-(-5/-5)))))</f>
        <v>-271315.53504</v>
      </c>
      <c r="C6229" t="n" s="0">
        <v>-271315.53503999993</v>
      </c>
    </row>
    <row r="6230">
      <c r="A6230" t="n" s="0">
        <v>-37.71</v>
      </c>
      <c r="B6230" t="n" s="0">
        <f>(-5-((((-5*(-5/((-5/(((-5*(-37.71--5))-(-5+((-5*-37.71)*(((-5--5)+(-37.71--5))+-37.71))))-(-5+-5)))*-5)))/-5)--5)+(-5*(((-37.71*(-37.71-(-5/-5)))*(-37.71-(-37.71/(-5*-37.71))))-(-5/-5)))))</f>
        <v>-271100.63325500005</v>
      </c>
      <c r="C6230" t="n" s="0">
        <v>-271100.63325500005</v>
      </c>
    </row>
    <row r="6231">
      <c r="A6231" t="n" s="0">
        <v>-37.7</v>
      </c>
      <c r="B6231" t="n" s="0">
        <f>(-5-((((-5*(-5/((-5/(((-5*(-37.7--5))-(-5+((-5*-37.7)*(((-5--5)+(-37.7--5))+-37.7))))-(-5+-5)))*-5)))/-5)--5)+(-5*(((-37.7*(-37.7-(-5/-5)))*(-37.7-(-37.7/(-5*-37.7))))-(-5/-5)))))</f>
        <v>-270885.845</v>
      </c>
      <c r="C6231" t="n" s="0">
        <v>-270885.84500000003</v>
      </c>
    </row>
    <row r="6232">
      <c r="A6232" t="n" s="0">
        <v>-37.69</v>
      </c>
      <c r="B6232" t="n" s="0">
        <f>(-5-((((-5*(-5/((-5/(((-5*(-37.69--5))-(-5+((-5*-37.69)*(((-5--5)+(-37.69--5))+-37.69))))-(-5+-5)))*-5)))/-5)--5)+(-5*(((-37.69*(-37.69-(-5/-5)))*(-37.69-(-37.69/(-5*-37.69))))-(-5/-5)))))</f>
        <v>-270671.170245</v>
      </c>
      <c r="C6232" t="n" s="0">
        <v>-270671.170245</v>
      </c>
    </row>
    <row r="6233">
      <c r="A6233" t="n" s="0">
        <v>-37.68</v>
      </c>
      <c r="B6233" t="n" s="0">
        <f>(-5-((((-5*(-5/((-5/(((-5*(-37.68--5))-(-5+((-5*-37.68)*(((-5--5)+(-37.68--5))+-37.68))))-(-5+-5)))*-5)))/-5)--5)+(-5*(((-37.68*(-37.68-(-5/-5)))*(-37.68-(-37.68/(-5*-37.68))))-(-5/-5)))))</f>
        <v>-270456.60896000004</v>
      </c>
      <c r="C6233" t="n" s="0">
        <v>-270456.60896</v>
      </c>
    </row>
    <row r="6234">
      <c r="A6234" t="n" s="0">
        <v>-37.67</v>
      </c>
      <c r="B6234" t="n" s="0">
        <f>(-5-((((-5*(-5/((-5/(((-5*(-37.67--5))-(-5+((-5*-37.67)*(((-5--5)+(-37.67--5))+-37.67))))-(-5+-5)))*-5)))/-5)--5)+(-5*(((-37.67*(-37.67-(-5/-5)))*(-37.67-(-37.67/(-5*-37.67))))-(-5/-5)))))</f>
        <v>-270242.16111499997</v>
      </c>
      <c r="C6234" t="n" s="0">
        <v>-270242.161115</v>
      </c>
    </row>
    <row r="6235">
      <c r="A6235" t="n" s="0">
        <v>-37.66</v>
      </c>
      <c r="B6235" t="n" s="0">
        <f>(-5-((((-5*(-5/((-5/(((-5*(-37.66--5))-(-5+((-5*-37.66)*(((-5--5)+(-37.66--5))+-37.66))))-(-5+-5)))*-5)))/-5)--5)+(-5*(((-37.66*(-37.66-(-5/-5)))*(-37.66-(-37.66/(-5*-37.66))))-(-5/-5)))))</f>
        <v>-270027.82668</v>
      </c>
      <c r="C6235" t="n" s="0">
        <v>-270027.8266799999</v>
      </c>
    </row>
    <row r="6236">
      <c r="A6236" t="n" s="0">
        <v>-37.65</v>
      </c>
      <c r="B6236" t="n" s="0">
        <f>(-5-((((-5*(-5/((-5/(((-5*(-37.65--5))-(-5+((-5*-37.65)*(((-5--5)+(-37.65--5))+-37.65))))-(-5+-5)))*-5)))/-5)--5)+(-5*(((-37.65*(-37.65-(-5/-5)))*(-37.65-(-37.65/(-5*-37.65))))-(-5/-5)))))</f>
        <v>-269813.60562499997</v>
      </c>
      <c r="C6236" t="n" s="0">
        <v>-269813.60562499997</v>
      </c>
    </row>
    <row r="6237">
      <c r="A6237" t="n" s="0">
        <v>-37.64</v>
      </c>
      <c r="B6237" t="n" s="0">
        <f>(-5-((((-5*(-5/((-5/(((-5*(-37.64--5))-(-5+((-5*-37.64)*(((-5--5)+(-37.64--5))+-37.64))))-(-5+-5)))*-5)))/-5)--5)+(-5*(((-37.64*(-37.64-(-5/-5)))*(-37.64-(-37.64/(-5*-37.64))))-(-5/-5)))))</f>
        <v>-269599.49792</v>
      </c>
      <c r="C6237" t="n" s="0">
        <v>-269599.49792</v>
      </c>
    </row>
    <row r="6238">
      <c r="A6238" t="n" s="0">
        <v>-37.63</v>
      </c>
      <c r="B6238" t="n" s="0">
        <f>(-5-((((-5*(-5/((-5/(((-5*(-37.63--5))-(-5+((-5*-37.63)*(((-5--5)+(-37.63--5))+-37.63))))-(-5+-5)))*-5)))/-5)--5)+(-5*(((-37.63*(-37.63-(-5/-5)))*(-37.63-(-37.63/(-5*-37.63))))-(-5/-5)))))</f>
        <v>-269385.50353499997</v>
      </c>
      <c r="C6238" t="n" s="0">
        <v>-269385.503535</v>
      </c>
    </row>
    <row r="6239">
      <c r="A6239" t="n" s="0">
        <v>-37.62</v>
      </c>
      <c r="B6239" t="n" s="0">
        <f>(-5-((((-5*(-5/((-5/(((-5*(-37.62--5))-(-5+((-5*-37.62)*(((-5--5)+(-37.62--5))+-37.62))))-(-5+-5)))*-5)))/-5)--5)+(-5*(((-37.62*(-37.62-(-5/-5)))*(-37.62-(-37.62/(-5*-37.62))))-(-5/-5)))))</f>
        <v>-269171.62244</v>
      </c>
      <c r="C6239" t="n" s="0">
        <v>-269171.6224399999</v>
      </c>
    </row>
    <row r="6240">
      <c r="A6240" t="n" s="0">
        <v>-37.61</v>
      </c>
      <c r="B6240" t="n" s="0">
        <f>(-5-((((-5*(-5/((-5/(((-5*(-37.61--5))-(-5+((-5*-37.61)*(((-5--5)+(-37.61--5))+-37.61))))-(-5+-5)))*-5)))/-5)--5)+(-5*(((-37.61*(-37.61-(-5/-5)))*(-37.61-(-37.61/(-5*-37.61))))-(-5/-5)))))</f>
        <v>-268957.854605</v>
      </c>
      <c r="C6240" t="n" s="0">
        <v>-268957.85460499994</v>
      </c>
    </row>
    <row r="6241">
      <c r="A6241" t="n" s="0">
        <v>-37.6</v>
      </c>
      <c r="B6241" t="n" s="0">
        <f>(-5-((((-5*(-5/((-5/(((-5*(-37.6--5))-(-5+((-5*-37.6)*(((-5--5)+(-37.6--5))+-37.6))))-(-5+-5)))*-5)))/-5)--5)+(-5*(((-37.6*(-37.6-(-5/-5)))*(-37.6-(-37.6/(-5*-37.6))))-(-5/-5)))))</f>
        <v>-268744.2</v>
      </c>
      <c r="C6241" t="n" s="0">
        <v>-268744.2</v>
      </c>
    </row>
    <row r="6242">
      <c r="A6242" t="n" s="0">
        <v>-37.59</v>
      </c>
      <c r="B6242" t="n" s="0">
        <f>(-5-((((-5*(-5/((-5/(((-5*(-37.59--5))-(-5+((-5*-37.59)*(((-5--5)+(-37.59--5))+-37.59))))-(-5+-5)))*-5)))/-5)--5)+(-5*(((-37.59*(-37.59-(-5/-5)))*(-37.59-(-37.59/(-5*-37.59))))-(-5/-5)))))</f>
        <v>-268530.65859500004</v>
      </c>
      <c r="C6242" t="n" s="0">
        <v>-268530.6585950001</v>
      </c>
    </row>
    <row r="6243">
      <c r="A6243" t="n" s="0">
        <v>-37.58</v>
      </c>
      <c r="B6243" t="n" s="0">
        <f>(-5-((((-5*(-5/((-5/(((-5*(-37.58--5))-(-5+((-5*-37.58)*(((-5--5)+(-37.58--5))+-37.58))))-(-5+-5)))*-5)))/-5)--5)+(-5*(((-37.58*(-37.58-(-5/-5)))*(-37.58-(-37.58/(-5*-37.58))))-(-5/-5)))))</f>
        <v>-268317.23036</v>
      </c>
      <c r="C6243" t="n" s="0">
        <v>-268317.23036</v>
      </c>
    </row>
    <row r="6244">
      <c r="A6244" t="n" s="0">
        <v>-37.57</v>
      </c>
      <c r="B6244" t="n" s="0">
        <f>(-5-((((-5*(-5/((-5/(((-5*(-37.57--5))-(-5+((-5*-37.57)*(((-5--5)+(-37.57--5))+-37.57))))-(-5+-5)))*-5)))/-5)--5)+(-5*(((-37.57*(-37.57-(-5/-5)))*(-37.57-(-37.57/(-5*-37.57))))-(-5/-5)))))</f>
        <v>-268103.915265</v>
      </c>
      <c r="C6244" t="n" s="0">
        <v>-268103.915265</v>
      </c>
    </row>
    <row r="6245">
      <c r="A6245" t="n" s="0">
        <v>-37.56</v>
      </c>
      <c r="B6245" t="n" s="0">
        <f>(-5-((((-5*(-5/((-5/(((-5*(-37.56--5))-(-5+((-5*-37.56)*(((-5--5)+(-37.56--5))+-37.56))))-(-5+-5)))*-5)))/-5)--5)+(-5*(((-37.56*(-37.56-(-5/-5)))*(-37.56-(-37.56/(-5*-37.56))))-(-5/-5)))))</f>
        <v>-267890.71328</v>
      </c>
      <c r="C6245" t="n" s="0">
        <v>-267890.71328</v>
      </c>
    </row>
    <row r="6246">
      <c r="A6246" t="n" s="0">
        <v>-37.55</v>
      </c>
      <c r="B6246" t="n" s="0">
        <f>(-5-((((-5*(-5/((-5/(((-5*(-37.55--5))-(-5+((-5*-37.55)*(((-5--5)+(-37.55--5))+-37.55))))-(-5+-5)))*-5)))/-5)--5)+(-5*(((-37.55*(-37.55-(-5/-5)))*(-37.55-(-37.55/(-5*-37.55))))-(-5/-5)))))</f>
        <v>-267677.624375</v>
      </c>
      <c r="C6246" t="n" s="0">
        <v>-267677.624375</v>
      </c>
    </row>
    <row r="6247">
      <c r="A6247" t="n" s="0">
        <v>-37.54</v>
      </c>
      <c r="B6247" t="n" s="0">
        <f>(-5-((((-5*(-5/((-5/(((-5*(-37.54--5))-(-5+((-5*-37.54)*(((-5--5)+(-37.54--5))+-37.54))))-(-5+-5)))*-5)))/-5)--5)+(-5*(((-37.54*(-37.54-(-5/-5)))*(-37.54-(-37.54/(-5*-37.54))))-(-5/-5)))))</f>
        <v>-267464.64852</v>
      </c>
      <c r="C6247" t="n" s="0">
        <v>-267464.64851999993</v>
      </c>
    </row>
    <row r="6248">
      <c r="A6248" t="n" s="0">
        <v>-37.53</v>
      </c>
      <c r="B6248" t="n" s="0">
        <f>(-5-((((-5*(-5/((-5/(((-5*(-37.53--5))-(-5+((-5*-37.53)*(((-5--5)+(-37.53--5))+-37.53))))-(-5+-5)))*-5)))/-5)--5)+(-5*(((-37.53*(-37.53-(-5/-5)))*(-37.53-(-37.53/(-5*-37.53))))-(-5/-5)))))</f>
        <v>-267251.785685</v>
      </c>
      <c r="C6248" t="n" s="0">
        <v>-267251.78568500007</v>
      </c>
    </row>
    <row r="6249">
      <c r="A6249" t="n" s="0">
        <v>-37.52</v>
      </c>
      <c r="B6249" t="n" s="0">
        <f>(-5-((((-5*(-5/((-5/(((-5*(-37.52--5))-(-5+((-5*-37.52)*(((-5--5)+(-37.52--5))+-37.52))))-(-5+-5)))*-5)))/-5)--5)+(-5*(((-37.52*(-37.52-(-5/-5)))*(-37.52-(-37.52/(-5*-37.52))))-(-5/-5)))))</f>
        <v>-267039.03583999997</v>
      </c>
      <c r="C6249" t="n" s="0">
        <v>-267039.03584</v>
      </c>
    </row>
    <row r="6250">
      <c r="A6250" t="n" s="0">
        <v>-37.51</v>
      </c>
      <c r="B6250" t="n" s="0">
        <f>(-5-((((-5*(-5/((-5/(((-5*(-37.51--5))-(-5+((-5*-37.51)*(((-5--5)+(-37.51--5))+-37.51))))-(-5+-5)))*-5)))/-5)--5)+(-5*(((-37.51*(-37.51-(-5/-5)))*(-37.51-(-37.51/(-5*-37.51))))-(-5/-5)))))</f>
        <v>-266826.39895500004</v>
      </c>
      <c r="C6250" t="n" s="0">
        <v>-266826.398955</v>
      </c>
    </row>
    <row r="6251">
      <c r="A6251" t="n" s="0">
        <v>-37.5</v>
      </c>
      <c r="B6251" t="n" s="0">
        <f>(-5-((((-5*(-5/((-5/(((-5*(-37.5--5))-(-5+((-5*-37.5)*(((-5--5)+(-37.5--5))+-37.5))))-(-5+-5)))*-5)))/-5)--5)+(-5*(((-37.5*(-37.5-(-5/-5)))*(-37.5-(-37.5/(-5*-37.5))))-(-5/-5)))))</f>
        <v>-266613.875</v>
      </c>
      <c r="C6251" t="n" s="0">
        <v>-266613.875</v>
      </c>
    </row>
    <row r="6252">
      <c r="A6252" t="n" s="0">
        <v>-37.49</v>
      </c>
      <c r="B6252" t="n" s="0">
        <f>(-5-((((-5*(-5/((-5/(((-5*(-37.49--5))-(-5+((-5*-37.49)*(((-5--5)+(-37.49--5))+-37.49))))-(-5+-5)))*-5)))/-5)--5)+(-5*(((-37.49*(-37.49-(-5/-5)))*(-37.49-(-37.49/(-5*-37.49))))-(-5/-5)))))</f>
        <v>-266401.463945</v>
      </c>
      <c r="C6252" t="n" s="0">
        <v>-266401.463945</v>
      </c>
    </row>
    <row r="6253">
      <c r="A6253" t="n" s="0">
        <v>-37.48</v>
      </c>
      <c r="B6253" t="n" s="0">
        <f>(-5-((((-5*(-5/((-5/(((-5*(-37.48--5))-(-5+((-5*-37.48)*(((-5--5)+(-37.48--5))+-37.48))))-(-5+-5)))*-5)))/-5)--5)+(-5*(((-37.48*(-37.48-(-5/-5)))*(-37.48-(-37.48/(-5*-37.48))))-(-5/-5)))))</f>
        <v>-266189.16576</v>
      </c>
      <c r="C6253" t="n" s="0">
        <v>-266189.16575999995</v>
      </c>
    </row>
    <row r="6254">
      <c r="A6254" t="n" s="0">
        <v>-37.47</v>
      </c>
      <c r="B6254" t="n" s="0">
        <f>(-5-((((-5*(-5/((-5/(((-5*(-37.47--5))-(-5+((-5*-37.47)*(((-5--5)+(-37.47--5))+-37.47))))-(-5+-5)))*-5)))/-5)--5)+(-5*(((-37.47*(-37.47-(-5/-5)))*(-37.47-(-37.47/(-5*-37.47))))-(-5/-5)))))</f>
        <v>-265976.98041500006</v>
      </c>
      <c r="C6254" t="n" s="0">
        <v>-265976.980415</v>
      </c>
    </row>
    <row r="6255">
      <c r="A6255" t="n" s="0">
        <v>-37.46</v>
      </c>
      <c r="B6255" t="n" s="0">
        <f>(-5-((((-5*(-5/((-5/(((-5*(-37.46--5))-(-5+((-5*-37.46)*(((-5--5)+(-37.46--5))+-37.46))))-(-5+-5)))*-5)))/-5)--5)+(-5*(((-37.46*(-37.46-(-5/-5)))*(-37.46-(-37.46/(-5*-37.46))))-(-5/-5)))))</f>
        <v>-265764.90788</v>
      </c>
      <c r="C6255" t="n" s="0">
        <v>-265764.90788</v>
      </c>
    </row>
    <row r="6256">
      <c r="A6256" t="n" s="0">
        <v>-37.45</v>
      </c>
      <c r="B6256" t="n" s="0">
        <f>(-5-((((-5*(-5/((-5/(((-5*(-37.45--5))-(-5+((-5*-37.45)*(((-5--5)+(-37.45--5))+-37.45))))-(-5+-5)))*-5)))/-5)--5)+(-5*(((-37.45*(-37.45-(-5/-5)))*(-37.45-(-37.45/(-5*-37.45))))-(-5/-5)))))</f>
        <v>-265552.948125</v>
      </c>
      <c r="C6256" t="n" s="0">
        <v>-265552.948125</v>
      </c>
    </row>
    <row r="6257">
      <c r="A6257" t="n" s="0">
        <v>-37.44</v>
      </c>
      <c r="B6257" t="n" s="0">
        <f>(-5-((((-5*(-5/((-5/(((-5*(-37.44--5))-(-5+((-5*-37.44)*(((-5--5)+(-37.44--5))+-37.44))))-(-5+-5)))*-5)))/-5)--5)+(-5*(((-37.44*(-37.44-(-5/-5)))*(-37.44-(-37.44/(-5*-37.44))))-(-5/-5)))))</f>
        <v>-265341.10112</v>
      </c>
      <c r="C6257" t="n" s="0">
        <v>-265341.10111999995</v>
      </c>
    </row>
    <row r="6258">
      <c r="A6258" t="n" s="0">
        <v>-37.43</v>
      </c>
      <c r="B6258" t="n" s="0">
        <f>(-5-((((-5*(-5/((-5/(((-5*(-37.43--5))-(-5+((-5*-37.43)*(((-5--5)+(-37.43--5))+-37.43))))-(-5+-5)))*-5)))/-5)--5)+(-5*(((-37.43*(-37.43-(-5/-5)))*(-37.43-(-37.43/(-5*-37.43))))-(-5/-5)))))</f>
        <v>-265129.366835</v>
      </c>
      <c r="C6258" t="n" s="0">
        <v>-265129.36683499994</v>
      </c>
    </row>
    <row r="6259">
      <c r="A6259" t="n" s="0">
        <v>-37.42</v>
      </c>
      <c r="B6259" t="n" s="0">
        <f>(-5-((((-5*(-5/((-5/(((-5*(-37.42--5))-(-5+((-5*-37.42)*(((-5--5)+(-37.42--5))+-37.42))))-(-5+-5)))*-5)))/-5)--5)+(-5*(((-37.42*(-37.42-(-5/-5)))*(-37.42-(-37.42/(-5*-37.42))))-(-5/-5)))))</f>
        <v>-264917.74524</v>
      </c>
      <c r="C6259" t="n" s="0">
        <v>-264917.7452400001</v>
      </c>
    </row>
    <row r="6260">
      <c r="A6260" t="n" s="0">
        <v>-37.41</v>
      </c>
      <c r="B6260" t="n" s="0">
        <f>(-5-((((-5*(-5/((-5/(((-5*(-37.41--5))-(-5+((-5*-37.41)*(((-5--5)+(-37.41--5))+-37.41))))-(-5+-5)))*-5)))/-5)--5)+(-5*(((-37.41*(-37.41-(-5/-5)))*(-37.41-(-37.41/(-5*-37.41))))-(-5/-5)))))</f>
        <v>-264706.236305</v>
      </c>
      <c r="C6260" t="n" s="0">
        <v>-264706.2363049999</v>
      </c>
    </row>
    <row r="6261">
      <c r="A6261" t="n" s="0">
        <v>-37.4</v>
      </c>
      <c r="B6261" t="n" s="0">
        <f>(-5-((((-5*(-5/((-5/(((-5*(-37.4--5))-(-5+((-5*-37.4)*(((-5--5)+(-37.4--5))+-37.4))))-(-5+-5)))*-5)))/-5)--5)+(-5*(((-37.4*(-37.4-(-5/-5)))*(-37.4-(-37.4/(-5*-37.4))))-(-5/-5)))))</f>
        <v>-264494.84</v>
      </c>
      <c r="C6261" t="n" s="0">
        <v>-264494.84</v>
      </c>
    </row>
    <row r="6262">
      <c r="A6262" t="n" s="0">
        <v>-37.39</v>
      </c>
      <c r="B6262" t="n" s="0">
        <f>(-5-((((-5*(-5/((-5/(((-5*(-37.39--5))-(-5+((-5*-37.39)*(((-5--5)+(-37.39--5))+-37.39))))-(-5+-5)))*-5)))/-5)--5)+(-5*(((-37.39*(-37.39-(-5/-5)))*(-37.39-(-37.39/(-5*-37.39))))-(-5/-5)))))</f>
        <v>-264283.556295</v>
      </c>
      <c r="C6262" t="n" s="0">
        <v>-264283.556295</v>
      </c>
    </row>
    <row r="6263">
      <c r="A6263" t="n" s="0">
        <v>-37.38</v>
      </c>
      <c r="B6263" t="n" s="0">
        <f>(-5-((((-5*(-5/((-5/(((-5*(-37.38--5))-(-5+((-5*-37.38)*(((-5--5)+(-37.38--5))+-37.38))))-(-5+-5)))*-5)))/-5)--5)+(-5*(((-37.38*(-37.38-(-5/-5)))*(-37.38-(-37.38/(-5*-37.38))))-(-5/-5)))))</f>
        <v>-264072.38516</v>
      </c>
      <c r="C6263" t="n" s="0">
        <v>-264072.3851600001</v>
      </c>
    </row>
    <row r="6264">
      <c r="A6264" t="n" s="0">
        <v>-37.37</v>
      </c>
      <c r="B6264" t="n" s="0">
        <f>(-5-((((-5*(-5/((-5/(((-5*(-37.37--5))-(-5+((-5*-37.37)*(((-5--5)+(-37.37--5))+-37.37))))-(-5+-5)))*-5)))/-5)--5)+(-5*(((-37.37*(-37.37-(-5/-5)))*(-37.37-(-37.37/(-5*-37.37))))-(-5/-5)))))</f>
        <v>-263861.326565</v>
      </c>
      <c r="C6264" t="n" s="0">
        <v>-263861.3265649999</v>
      </c>
    </row>
    <row r="6265">
      <c r="A6265" t="n" s="0">
        <v>-37.36</v>
      </c>
      <c r="B6265" t="n" s="0">
        <f>(-5-((((-5*(-5/((-5/(((-5*(-37.36--5))-(-5+((-5*-37.36)*(((-5--5)+(-37.36--5))+-37.36))))-(-5+-5)))*-5)))/-5)--5)+(-5*(((-37.36*(-37.36-(-5/-5)))*(-37.36-(-37.36/(-5*-37.36))))-(-5/-5)))))</f>
        <v>-263650.38048</v>
      </c>
      <c r="C6265" t="n" s="0">
        <v>-263650.38048</v>
      </c>
    </row>
    <row r="6266">
      <c r="A6266" t="n" s="0">
        <v>-37.35</v>
      </c>
      <c r="B6266" t="n" s="0">
        <f>(-5-((((-5*(-5/((-5/(((-5*(-37.35--5))-(-5+((-5*-37.35)*(((-5--5)+(-37.35--5))+-37.35))))-(-5+-5)))*-5)))/-5)--5)+(-5*(((-37.35*(-37.35-(-5/-5)))*(-37.35-(-37.35/(-5*-37.35))))-(-5/-5)))))</f>
        <v>-263439.546875</v>
      </c>
      <c r="C6266" t="n" s="0">
        <v>-263439.546875</v>
      </c>
    </row>
    <row r="6267">
      <c r="A6267" t="n" s="0">
        <v>-37.34</v>
      </c>
      <c r="B6267" t="n" s="0">
        <f>(-5-((((-5*(-5/((-5/(((-5*(-37.34--5))-(-5+((-5*-37.34)*(((-5--5)+(-37.34--5))+-37.34))))-(-5+-5)))*-5)))/-5)--5)+(-5*(((-37.34*(-37.34-(-5/-5)))*(-37.34-(-37.34/(-5*-37.34))))-(-5/-5)))))</f>
        <v>-263228.82572</v>
      </c>
      <c r="C6267" t="n" s="0">
        <v>-263228.8257200001</v>
      </c>
    </row>
    <row r="6268">
      <c r="A6268" t="n" s="0">
        <v>-37.33</v>
      </c>
      <c r="B6268" t="n" s="0">
        <f>(-5-((((-5*(-5/((-5/(((-5*(-37.33--5))-(-5+((-5*-37.33)*(((-5--5)+(-37.33--5))+-37.33))))-(-5+-5)))*-5)))/-5)--5)+(-5*(((-37.33*(-37.33-(-5/-5)))*(-37.33-(-37.33/(-5*-37.33))))-(-5/-5)))))</f>
        <v>-263018.216985</v>
      </c>
      <c r="C6268" t="n" s="0">
        <v>-263018.21698499995</v>
      </c>
    </row>
    <row r="6269">
      <c r="A6269" t="n" s="0">
        <v>-37.32</v>
      </c>
      <c r="B6269" t="n" s="0">
        <f>(-5-((((-5*(-5/((-5/(((-5*(-37.32--5))-(-5+((-5*-37.32)*(((-5--5)+(-37.32--5))+-37.32))))-(-5+-5)))*-5)))/-5)--5)+(-5*(((-37.32*(-37.32-(-5/-5)))*(-37.32-(-37.32/(-5*-37.32))))-(-5/-5)))))</f>
        <v>-262807.72063999996</v>
      </c>
      <c r="C6269" t="n" s="0">
        <v>-262807.72064</v>
      </c>
    </row>
    <row r="6270">
      <c r="A6270" t="n" s="0">
        <v>-37.31</v>
      </c>
      <c r="B6270" t="n" s="0">
        <f>(-5-((((-5*(-5/((-5/(((-5*(-37.31--5))-(-5+((-5*-37.31)*(((-5--5)+(-37.31--5))+-37.31))))-(-5+-5)))*-5)))/-5)--5)+(-5*(((-37.31*(-37.31-(-5/-5)))*(-37.31-(-37.31/(-5*-37.31))))-(-5/-5)))))</f>
        <v>-262597.336655</v>
      </c>
      <c r="C6270" t="n" s="0">
        <v>-262597.33665500005</v>
      </c>
    </row>
    <row r="6271">
      <c r="A6271" t="n" s="0">
        <v>-37.3</v>
      </c>
      <c r="B6271" t="n" s="0">
        <f>(-5-((((-5*(-5/((-5/(((-5*(-37.3--5))-(-5+((-5*-37.3)*(((-5--5)+(-37.3--5))+-37.3))))-(-5+-5)))*-5)))/-5)--5)+(-5*(((-37.3*(-37.3-(-5/-5)))*(-37.3-(-37.3/(-5*-37.3))))-(-5/-5)))))</f>
        <v>-262387.065</v>
      </c>
      <c r="C6271" t="n" s="0">
        <v>-262387.065</v>
      </c>
    </row>
    <row r="6272">
      <c r="A6272" t="n" s="0">
        <v>-37.29</v>
      </c>
      <c r="B6272" t="n" s="0">
        <f>(-5-((((-5*(-5/((-5/(((-5*(-37.29--5))-(-5+((-5*-37.29)*(((-5--5)+(-37.29--5))+-37.29))))-(-5+-5)))*-5)))/-5)--5)+(-5*(((-37.29*(-37.29-(-5/-5)))*(-37.29-(-37.29/(-5*-37.29))))-(-5/-5)))))</f>
        <v>-262176.905645</v>
      </c>
      <c r="C6272" t="n" s="0">
        <v>-262176.905645</v>
      </c>
    </row>
    <row r="6273">
      <c r="A6273" t="n" s="0">
        <v>-37.28</v>
      </c>
      <c r="B6273" t="n" s="0">
        <f>(-5-((((-5*(-5/((-5/(((-5*(-37.28--5))-(-5+((-5*-37.28)*(((-5--5)+(-37.28--5))+-37.28))))-(-5+-5)))*-5)))/-5)--5)+(-5*(((-37.28*(-37.28-(-5/-5)))*(-37.28-(-37.28/(-5*-37.28))))-(-5/-5)))))</f>
        <v>-261966.85856000002</v>
      </c>
      <c r="C6273" t="n" s="0">
        <v>-261966.85856000002</v>
      </c>
    </row>
    <row r="6274">
      <c r="A6274" t="n" s="0">
        <v>-37.27</v>
      </c>
      <c r="B6274" t="n" s="0">
        <f>(-5-((((-5*(-5/((-5/(((-5*(-37.27--5))-(-5+((-5*-37.27)*(((-5--5)+(-37.27--5))+-37.27))))-(-5+-5)))*-5)))/-5)--5)+(-5*(((-37.27*(-37.27-(-5/-5)))*(-37.27-(-37.27/(-5*-37.27))))-(-5/-5)))))</f>
        <v>-261756.92371499998</v>
      </c>
      <c r="C6274" t="n" s="0">
        <v>-261756.92371500004</v>
      </c>
    </row>
    <row r="6275">
      <c r="A6275" t="n" s="0">
        <v>-37.26</v>
      </c>
      <c r="B6275" t="n" s="0">
        <f>(-5-((((-5*(-5/((-5/(((-5*(-37.26--5))-(-5+((-5*-37.26)*(((-5--5)+(-37.26--5))+-37.26))))-(-5+-5)))*-5)))/-5)--5)+(-5*(((-37.26*(-37.26-(-5/-5)))*(-37.26-(-37.26/(-5*-37.26))))-(-5/-5)))))</f>
        <v>-261547.10108000002</v>
      </c>
      <c r="C6275" t="n" s="0">
        <v>-261547.10107999996</v>
      </c>
    </row>
    <row r="6276">
      <c r="A6276" t="n" s="0">
        <v>-37.25</v>
      </c>
      <c r="B6276" t="n" s="0">
        <f>(-5-((((-5*(-5/((-5/(((-5*(-37.25--5))-(-5+((-5*-37.25)*(((-5--5)+(-37.25--5))+-37.25))))-(-5+-5)))*-5)))/-5)--5)+(-5*(((-37.25*(-37.25-(-5/-5)))*(-37.25-(-37.25/(-5*-37.25))))-(-5/-5)))))</f>
        <v>-261337.390625</v>
      </c>
      <c r="C6276" t="n" s="0">
        <v>-261337.390625</v>
      </c>
    </row>
    <row r="6277">
      <c r="A6277" t="n" s="0">
        <v>-37.24</v>
      </c>
      <c r="B6277" t="n" s="0">
        <f>(-5-((((-5*(-5/((-5/(((-5*(-37.24--5))-(-5+((-5*-37.24)*(((-5--5)+(-37.24--5))+-37.24))))-(-5+-5)))*-5)))/-5)--5)+(-5*(((-37.24*(-37.24-(-5/-5)))*(-37.24-(-37.24/(-5*-37.24))))-(-5/-5)))))</f>
        <v>-261127.79232</v>
      </c>
      <c r="C6277" t="n" s="0">
        <v>-261127.79232</v>
      </c>
    </row>
    <row r="6278">
      <c r="A6278" t="n" s="0">
        <v>-37.23</v>
      </c>
      <c r="B6278" t="n" s="0">
        <f>(-5-((((-5*(-5/((-5/(((-5*(-37.23--5))-(-5+((-5*-37.23)*(((-5--5)+(-37.23--5))+-37.23))))-(-5+-5)))*-5)))/-5)--5)+(-5*(((-37.23*(-37.23-(-5/-5)))*(-37.23-(-37.23/(-5*-37.23))))-(-5/-5)))))</f>
        <v>-260918.30613499996</v>
      </c>
      <c r="C6278" t="n" s="0">
        <v>-260918.30613499993</v>
      </c>
    </row>
    <row r="6279">
      <c r="A6279" t="n" s="0">
        <v>-37.22</v>
      </c>
      <c r="B6279" t="n" s="0">
        <f>(-5-((((-5*(-5/((-5/(((-5*(-37.22--5))-(-5+((-5*-37.22)*(((-5--5)+(-37.22--5))+-37.22))))-(-5+-5)))*-5)))/-5)--5)+(-5*(((-37.22*(-37.22-(-5/-5)))*(-37.22-(-37.22/(-5*-37.22))))-(-5/-5)))))</f>
        <v>-260708.93203999999</v>
      </c>
      <c r="C6279" t="n" s="0">
        <v>-260708.93203999999</v>
      </c>
    </row>
    <row r="6280">
      <c r="A6280" t="n" s="0">
        <v>-37.21</v>
      </c>
      <c r="B6280" t="n" s="0">
        <f>(-5-((((-5*(-5/((-5/(((-5*(-37.21--5))-(-5+((-5*-37.21)*(((-5--5)+(-37.21--5))+-37.21))))-(-5+-5)))*-5)))/-5)--5)+(-5*(((-37.21*(-37.21-(-5/-5)))*(-37.21-(-37.21/(-5*-37.21))))-(-5/-5)))))</f>
        <v>-260499.67000500002</v>
      </c>
      <c r="C6280" t="n" s="0">
        <v>-260499.67000500002</v>
      </c>
    </row>
    <row r="6281">
      <c r="A6281" t="n" s="0">
        <v>-37.2</v>
      </c>
      <c r="B6281" t="n" s="0">
        <f>(-5-((((-5*(-5/((-5/(((-5*(-37.2--5))-(-5+((-5*-37.2)*(((-5--5)+(-37.2--5))+-37.2))))-(-5+-5)))*-5)))/-5)--5)+(-5*(((-37.2*(-37.2-(-5/-5)))*(-37.2-(-37.2/(-5*-37.2))))-(-5/-5)))))</f>
        <v>-260290.52000000002</v>
      </c>
      <c r="C6281" t="n" s="0">
        <v>-260290.52000000005</v>
      </c>
    </row>
    <row r="6282">
      <c r="A6282" t="n" s="0">
        <v>-37.19</v>
      </c>
      <c r="B6282" t="n" s="0">
        <f>(-5-((((-5*(-5/((-5/(((-5*(-37.19--5))-(-5+((-5*-37.19)*(((-5--5)+(-37.19--5))+-37.19))))-(-5+-5)))*-5)))/-5)--5)+(-5*(((-37.19*(-37.19-(-5/-5)))*(-37.19-(-37.19/(-5*-37.19))))-(-5/-5)))))</f>
        <v>-260081.481995</v>
      </c>
      <c r="C6282" t="n" s="0">
        <v>-260081.48199499995</v>
      </c>
    </row>
    <row r="6283">
      <c r="A6283" t="n" s="0">
        <v>-37.18</v>
      </c>
      <c r="B6283" t="n" s="0">
        <f>(-5-((((-5*(-5/((-5/(((-5*(-37.18--5))-(-5+((-5*-37.18)*(((-5--5)+(-37.18--5))+-37.18))))-(-5+-5)))*-5)))/-5)--5)+(-5*(((-37.18*(-37.18-(-5/-5)))*(-37.18-(-37.18/(-5*-37.18))))-(-5/-5)))))</f>
        <v>-259872.55596</v>
      </c>
      <c r="C6283" t="n" s="0">
        <v>-259872.55596</v>
      </c>
    </row>
    <row r="6284">
      <c r="A6284" t="n" s="0">
        <v>-37.17</v>
      </c>
      <c r="B6284" t="n" s="0">
        <f>(-5-((((-5*(-5/((-5/(((-5*(-37.17--5))-(-5+((-5*-37.17)*(((-5--5)+(-37.17--5))+-37.17))))-(-5+-5)))*-5)))/-5)--5)+(-5*(((-37.17*(-37.17-(-5/-5)))*(-37.17-(-37.17/(-5*-37.17))))-(-5/-5)))))</f>
        <v>-259663.741865</v>
      </c>
      <c r="C6284" t="n" s="0">
        <v>-259663.74186500008</v>
      </c>
    </row>
    <row r="6285">
      <c r="A6285" t="n" s="0">
        <v>-37.16</v>
      </c>
      <c r="B6285" t="n" s="0">
        <f>(-5-((((-5*(-5/((-5/(((-5*(-37.16--5))-(-5+((-5*-37.16)*(((-5--5)+(-37.16--5))+-37.16))))-(-5+-5)))*-5)))/-5)--5)+(-5*(((-37.16*(-37.16-(-5/-5)))*(-37.16-(-37.16/(-5*-37.16))))-(-5/-5)))))</f>
        <v>-259455.03968000002</v>
      </c>
      <c r="C6285" t="n" s="0">
        <v>-259455.03967999993</v>
      </c>
    </row>
    <row r="6286">
      <c r="A6286" t="n" s="0">
        <v>-37.15</v>
      </c>
      <c r="B6286" t="n" s="0">
        <f>(-5-((((-5*(-5/((-5/(((-5*(-37.15--5))-(-5+((-5*-37.15)*(((-5--5)+(-37.15--5))+-37.15))))-(-5+-5)))*-5)))/-5)--5)+(-5*(((-37.15*(-37.15-(-5/-5)))*(-37.15-(-37.15/(-5*-37.15))))-(-5/-5)))))</f>
        <v>-259246.449375</v>
      </c>
      <c r="C6286" t="n" s="0">
        <v>-259246.44937499997</v>
      </c>
    </row>
    <row r="6287">
      <c r="A6287" t="n" s="0">
        <v>-37.14</v>
      </c>
      <c r="B6287" t="n" s="0">
        <f>(-5-((((-5*(-5/((-5/(((-5*(-37.14--5))-(-5+((-5*-37.14)*(((-5--5)+(-37.14--5))+-37.14))))-(-5+-5)))*-5)))/-5)--5)+(-5*(((-37.14*(-37.14-(-5/-5)))*(-37.14-(-37.14/(-5*-37.14))))-(-5/-5)))))</f>
        <v>-259037.97092</v>
      </c>
      <c r="C6287" t="n" s="0">
        <v>-259037.97092000002</v>
      </c>
    </row>
    <row r="6288">
      <c r="A6288" t="n" s="0">
        <v>-37.13</v>
      </c>
      <c r="B6288" t="n" s="0">
        <f>(-5-((((-5*(-5/((-5/(((-5*(-37.13--5))-(-5+((-5*-37.13)*(((-5--5)+(-37.13--5))+-37.13))))-(-5+-5)))*-5)))/-5)--5)+(-5*(((-37.13*(-37.13-(-5/-5)))*(-37.13-(-37.13/(-5*-37.13))))-(-5/-5)))))</f>
        <v>-258829.604285</v>
      </c>
      <c r="C6288" t="n" s="0">
        <v>-258829.60428500007</v>
      </c>
    </row>
    <row r="6289">
      <c r="A6289" t="n" s="0">
        <v>-37.12</v>
      </c>
      <c r="B6289" t="n" s="0">
        <f>(-5-((((-5*(-5/((-5/(((-5*(-37.12--5))-(-5+((-5*-37.12)*(((-5--5)+(-37.12--5))+-37.12))))-(-5+-5)))*-5)))/-5)--5)+(-5*(((-37.12*(-37.12-(-5/-5)))*(-37.12-(-37.12/(-5*-37.12))))-(-5/-5)))))</f>
        <v>-258621.34944</v>
      </c>
      <c r="C6289" t="n" s="0">
        <v>-258621.34943999993</v>
      </c>
    </row>
    <row r="6290">
      <c r="A6290" t="n" s="0">
        <v>-37.11</v>
      </c>
      <c r="B6290" t="n" s="0">
        <f>(-5-((((-5*(-5/((-5/(((-5*(-37.11--5))-(-5+((-5*-37.11)*(((-5--5)+(-37.11--5))+-37.11))))-(-5+-5)))*-5)))/-5)--5)+(-5*(((-37.11*(-37.11-(-5/-5)))*(-37.11-(-37.11/(-5*-37.11))))-(-5/-5)))))</f>
        <v>-258413.206355</v>
      </c>
      <c r="C6290" t="n" s="0">
        <v>-258413.20635499997</v>
      </c>
    </row>
    <row r="6291">
      <c r="A6291" t="n" s="0">
        <v>-37.1</v>
      </c>
      <c r="B6291" t="n" s="0">
        <f>(-5-((((-5*(-5/((-5/(((-5*(-37.1--5))-(-5+((-5*-37.1)*(((-5--5)+(-37.1--5))+-37.1))))-(-5+-5)))*-5)))/-5)--5)+(-5*(((-37.1*(-37.1-(-5/-5)))*(-37.1-(-37.1/(-5*-37.1))))-(-5/-5)))))</f>
        <v>-258205.175</v>
      </c>
      <c r="C6291" t="n" s="0">
        <v>-258205.17500000005</v>
      </c>
    </row>
    <row r="6292">
      <c r="A6292" t="n" s="0">
        <v>-37.09</v>
      </c>
      <c r="B6292" t="n" s="0">
        <f>(-5-((((-5*(-5/((-5/(((-5*(-37.09--5))-(-5+((-5*-37.09)*(((-5--5)+(-37.09--5))+-37.09))))-(-5+-5)))*-5)))/-5)--5)+(-5*(((-37.09*(-37.09-(-5/-5)))*(-37.09-(-37.09/(-5*-37.09))))-(-5/-5)))))</f>
        <v>-257997.25534499998</v>
      </c>
      <c r="C6292" t="n" s="0">
        <v>-257997.25534500004</v>
      </c>
    </row>
    <row r="6293">
      <c r="A6293" t="n" s="0">
        <v>-37.08</v>
      </c>
      <c r="B6293" t="n" s="0">
        <f>(-5-((((-5*(-5/((-5/(((-5*(-37.08--5))-(-5+((-5*-37.08)*(((-5--5)+(-37.08--5))+-37.08))))-(-5+-5)))*-5)))/-5)--5)+(-5*(((-37.08*(-37.08-(-5/-5)))*(-37.08-(-37.08/(-5*-37.08))))-(-5/-5)))))</f>
        <v>-257789.44736000002</v>
      </c>
      <c r="C6293" t="n" s="0">
        <v>-257789.44735999993</v>
      </c>
    </row>
    <row r="6294">
      <c r="A6294" t="n" s="0">
        <v>-37.07</v>
      </c>
      <c r="B6294" t="n" s="0">
        <f>(-5-((((-5*(-5/((-5/(((-5*(-37.07--5))-(-5+((-5*-37.07)*(((-5--5)+(-37.07--5))+-37.07))))-(-5+-5)))*-5)))/-5)--5)+(-5*(((-37.07*(-37.07-(-5/-5)))*(-37.07-(-37.07/(-5*-37.07))))-(-5/-5)))))</f>
        <v>-257581.75101500002</v>
      </c>
      <c r="C6294" t="n" s="0">
        <v>-257581.751015</v>
      </c>
    </row>
    <row r="6295">
      <c r="A6295" t="n" s="0">
        <v>-37.06</v>
      </c>
      <c r="B6295" t="n" s="0">
        <f>(-5-((((-5*(-5/((-5/(((-5*(-37.06--5))-(-5+((-5*-37.06)*(((-5--5)+(-37.06--5))+-37.06))))-(-5+-5)))*-5)))/-5)--5)+(-5*(((-37.06*(-37.06-(-5/-5)))*(-37.06-(-37.06/(-5*-37.06))))-(-5/-5)))))</f>
        <v>-257374.16628</v>
      </c>
      <c r="C6295" t="n" s="0">
        <v>-257374.16628000003</v>
      </c>
    </row>
    <row r="6296">
      <c r="A6296" t="n" s="0">
        <v>-37.05</v>
      </c>
      <c r="B6296" t="n" s="0">
        <f>(-5-((((-5*(-5/((-5/(((-5*(-37.05--5))-(-5+((-5*-37.05)*(((-5--5)+(-37.05--5))+-37.05))))-(-5+-5)))*-5)))/-5)--5)+(-5*(((-37.05*(-37.05-(-5/-5)))*(-37.05-(-37.05/(-5*-37.05))))-(-5/-5)))))</f>
        <v>-257166.69312500002</v>
      </c>
      <c r="C6296" t="n" s="0">
        <v>-257166.69312499993</v>
      </c>
    </row>
    <row r="6297">
      <c r="A6297" t="n" s="0">
        <v>-37.04</v>
      </c>
      <c r="B6297" t="n" s="0">
        <f>(-5-((((-5*(-5/((-5/(((-5*(-37.04--5))-(-5+((-5*-37.04)*(((-5--5)+(-37.04--5))+-37.04))))-(-5+-5)))*-5)))/-5)--5)+(-5*(((-37.04*(-37.04-(-5/-5)))*(-37.04-(-37.04/(-5*-37.04))))-(-5/-5)))))</f>
        <v>-256959.33152</v>
      </c>
      <c r="C6297" t="n" s="0">
        <v>-256959.33151999995</v>
      </c>
    </row>
    <row r="6298">
      <c r="A6298" t="n" s="0">
        <v>-37.03</v>
      </c>
      <c r="B6298" t="n" s="0">
        <f>(-5-((((-5*(-5/((-5/(((-5*(-37.03--5))-(-5+((-5*-37.03)*(((-5--5)+(-37.03--5))+-37.03))))-(-5+-5)))*-5)))/-5)--5)+(-5*(((-37.03*(-37.03-(-5/-5)))*(-37.03-(-37.03/(-5*-37.03))))-(-5/-5)))))</f>
        <v>-256752.081435</v>
      </c>
      <c r="C6298" t="n" s="0">
        <v>-256752.081435</v>
      </c>
    </row>
    <row r="6299">
      <c r="A6299" t="n" s="0">
        <v>-37.02</v>
      </c>
      <c r="B6299" t="n" s="0">
        <f>(-5-((((-5*(-5/((-5/(((-5*(-37.02--5))-(-5+((-5*-37.02)*(((-5--5)+(-37.02--5))+-37.02))))-(-5+-5)))*-5)))/-5)--5)+(-5*(((-37.02*(-37.02-(-5/-5)))*(-37.02-(-37.02/(-5*-37.02))))-(-5/-5)))))</f>
        <v>-256544.94283999997</v>
      </c>
      <c r="C6299" t="n" s="0">
        <v>-256544.9428400001</v>
      </c>
    </row>
    <row r="6300">
      <c r="A6300" t="n" s="0">
        <v>-37.01</v>
      </c>
      <c r="B6300" t="n" s="0">
        <f>(-5-((((-5*(-5/((-5/(((-5*(-37.01--5))-(-5+((-5*-37.01)*(((-5--5)+(-37.01--5))+-37.01))))-(-5+-5)))*-5)))/-5)--5)+(-5*(((-37.01*(-37.01-(-5/-5)))*(-37.01-(-37.01/(-5*-37.01))))-(-5/-5)))))</f>
        <v>-256337.915705</v>
      </c>
      <c r="C6300" t="n" s="0">
        <v>-256337.91570499993</v>
      </c>
    </row>
    <row r="6301">
      <c r="A6301" t="n" s="0">
        <v>-37.0</v>
      </c>
      <c r="B6301" t="n" s="0">
        <f>(-5-((((-5*(-5/((-5/(((-5*(-37--5))-(-5+((-5*-37)*(((-5--5)+(-37--5))+-37))))-(-5+-5)))*-5)))/-5)--5)+(-5*(((-37*(-37-(-5/-5)))*(-37-(-37/(-5*-37))))-(-5/-5)))))</f>
        <v>-256131.0</v>
      </c>
      <c r="C6301" t="n" s="0">
        <v>-256131.0</v>
      </c>
    </row>
    <row r="6302">
      <c r="A6302" t="n" s="0">
        <v>-36.99</v>
      </c>
      <c r="B6302" t="n" s="0">
        <f>(-5-((((-5*(-5/((-5/(((-5*(-36.99--5))-(-5+((-5*-36.99)*(((-5--5)+(-36.99--5))+-36.99))))-(-5+-5)))*-5)))/-5)--5)+(-5*(((-36.99*(-36.99-(-5/-5)))*(-36.99-(-36.99/(-5*-36.99))))-(-5/-5)))))</f>
        <v>-255924.195695</v>
      </c>
      <c r="C6302" t="n" s="0">
        <v>-255924.19569500006</v>
      </c>
    </row>
    <row r="6303">
      <c r="A6303" t="n" s="0">
        <v>-36.98</v>
      </c>
      <c r="B6303" t="n" s="0">
        <f>(-5-((((-5*(-5/((-5/(((-5*(-36.98--5))-(-5+((-5*-36.98)*(((-5--5)+(-36.98--5))+-36.98))))-(-5+-5)))*-5)))/-5)--5)+(-5*(((-36.98*(-36.98-(-5/-5)))*(-36.98-(-36.98/(-5*-36.98))))-(-5/-5)))))</f>
        <v>-255717.50276</v>
      </c>
      <c r="C6303" t="n" s="0">
        <v>-255717.50275999994</v>
      </c>
    </row>
    <row r="6304">
      <c r="A6304" t="n" s="0">
        <v>-36.97</v>
      </c>
      <c r="B6304" t="n" s="0">
        <f>(-5-((((-5*(-5/((-5/(((-5*(-36.97--5))-(-5+((-5*-36.97)*(((-5--5)+(-36.97--5))+-36.97))))-(-5+-5)))*-5)))/-5)--5)+(-5*(((-36.97*(-36.97-(-5/-5)))*(-36.97-(-36.97/(-5*-36.97))))-(-5/-5)))))</f>
        <v>-255510.921165</v>
      </c>
      <c r="C6304" t="n" s="0">
        <v>-255510.92116499995</v>
      </c>
    </row>
    <row r="6305">
      <c r="A6305" t="n" s="0">
        <v>-36.96</v>
      </c>
      <c r="B6305" t="n" s="0">
        <f>(-5-((((-5*(-5/((-5/(((-5*(-36.96--5))-(-5+((-5*-36.96)*(((-5--5)+(-36.96--5))+-36.96))))-(-5+-5)))*-5)))/-5)--5)+(-5*(((-36.96*(-36.96-(-5/-5)))*(-36.96-(-36.96/(-5*-36.96))))-(-5/-5)))))</f>
        <v>-255304.45088</v>
      </c>
      <c r="C6305" t="n" s="0">
        <v>-255304.45088000002</v>
      </c>
    </row>
    <row r="6306">
      <c r="A6306" t="n" s="0">
        <v>-36.95</v>
      </c>
      <c r="B6306" t="n" s="0">
        <f>(-5-((((-5*(-5/((-5/(((-5*(-36.95--5))-(-5+((-5*-36.95)*(((-5--5)+(-36.95--5))+-36.95))))-(-5+-5)))*-5)))/-5)--5)+(-5*(((-36.95*(-36.95-(-5/-5)))*(-36.95-(-36.95/(-5*-36.95))))-(-5/-5)))))</f>
        <v>-255098.091875</v>
      </c>
      <c r="C6306" t="n" s="0">
        <v>-255098.0918750001</v>
      </c>
    </row>
    <row r="6307">
      <c r="A6307" t="n" s="0">
        <v>-36.94</v>
      </c>
      <c r="B6307" t="n" s="0">
        <f>(-5-((((-5*(-5/((-5/(((-5*(-36.94--5))-(-5+((-5*-36.94)*(((-5--5)+(-36.94--5))+-36.94))))-(-5+-5)))*-5)))/-5)--5)+(-5*(((-36.94*(-36.94-(-5/-5)))*(-36.94-(-36.94/(-5*-36.94))))-(-5/-5)))))</f>
        <v>-254891.84412</v>
      </c>
      <c r="C6307" t="n" s="0">
        <v>-254891.84411999997</v>
      </c>
    </row>
    <row r="6308">
      <c r="A6308" t="n" s="0">
        <v>-36.93</v>
      </c>
      <c r="B6308" t="n" s="0">
        <f>(-5-((((-5*(-5/((-5/(((-5*(-36.93--5))-(-5+((-5*-36.93)*(((-5--5)+(-36.93--5))+-36.93))))-(-5+-5)))*-5)))/-5)--5)+(-5*(((-36.93*(-36.93-(-5/-5)))*(-36.93-(-36.93/(-5*-36.93))))-(-5/-5)))))</f>
        <v>-254685.707585</v>
      </c>
      <c r="C6308" t="n" s="0">
        <v>-254685.70758500003</v>
      </c>
    </row>
    <row r="6309">
      <c r="A6309" t="n" s="0">
        <v>-36.92</v>
      </c>
      <c r="B6309" t="n" s="0">
        <f>(-5-((((-5*(-5/((-5/(((-5*(-36.92--5))-(-5+((-5*-36.92)*(((-5--5)+(-36.92--5))+-36.92))))-(-5+-5)))*-5)))/-5)--5)+(-5*(((-36.92*(-36.92-(-5/-5)))*(-36.92-(-36.92/(-5*-36.92))))-(-5/-5)))))</f>
        <v>-254479.68224</v>
      </c>
      <c r="C6309" t="n" s="0">
        <v>-254479.68224000005</v>
      </c>
    </row>
    <row r="6310">
      <c r="A6310" t="n" s="0">
        <v>-36.91</v>
      </c>
      <c r="B6310" t="n" s="0">
        <f>(-5-((((-5*(-5/((-5/(((-5*(-36.91--5))-(-5+((-5*-36.91)*(((-5--5)+(-36.91--5))+-36.91))))-(-5+-5)))*-5)))/-5)--5)+(-5*(((-36.91*(-36.91-(-5/-5)))*(-36.91-(-36.91/(-5*-36.91))))-(-5/-5)))))</f>
        <v>-254273.76805500002</v>
      </c>
      <c r="C6310" t="n" s="0">
        <v>-254273.76805499993</v>
      </c>
    </row>
    <row r="6311">
      <c r="A6311" t="n" s="0">
        <v>-36.9</v>
      </c>
      <c r="B6311" t="n" s="0">
        <f>(-5-((((-5*(-5/((-5/(((-5*(-36.9--5))-(-5+((-5*-36.9)*(((-5--5)+(-36.9--5))+-36.9))))-(-5+-5)))*-5)))/-5)--5)+(-5*(((-36.9*(-36.9-(-5/-5)))*(-36.9-(-36.9/(-5*-36.9))))-(-5/-5)))))</f>
        <v>-254067.965</v>
      </c>
      <c r="C6311" t="n" s="0">
        <v>-254067.96499999997</v>
      </c>
    </row>
    <row r="6312">
      <c r="A6312" t="n" s="0">
        <v>-36.89</v>
      </c>
      <c r="B6312" t="n" s="0">
        <f>(-5-((((-5*(-5/((-5/(((-5*(-36.89--5))-(-5+((-5*-36.89)*(((-5--5)+(-36.89--5))+-36.89))))-(-5+-5)))*-5)))/-5)--5)+(-5*(((-36.89*(-36.89-(-5/-5)))*(-36.89-(-36.89/(-5*-36.89))))-(-5/-5)))))</f>
        <v>-253862.273045</v>
      </c>
      <c r="C6312" t="n" s="0">
        <v>-253862.273045</v>
      </c>
    </row>
    <row r="6313">
      <c r="A6313" t="n" s="0">
        <v>-36.88</v>
      </c>
      <c r="B6313" t="n" s="0">
        <f>(-5-((((-5*(-5/((-5/(((-5*(-36.88--5))-(-5+((-5*-36.88)*(((-5--5)+(-36.88--5))+-36.88))))-(-5+-5)))*-5)))/-5)--5)+(-5*(((-36.88*(-36.88-(-5/-5)))*(-36.88-(-36.88/(-5*-36.88))))-(-5/-5)))))</f>
        <v>-253656.69216</v>
      </c>
      <c r="C6313" t="n" s="0">
        <v>-253656.69216000006</v>
      </c>
    </row>
    <row r="6314">
      <c r="A6314" t="n" s="0">
        <v>-36.87</v>
      </c>
      <c r="B6314" t="n" s="0">
        <f>(-5-((((-5*(-5/((-5/(((-5*(-36.87--5))-(-5+((-5*-36.87)*(((-5--5)+(-36.87--5))+-36.87))))-(-5+-5)))*-5)))/-5)--5)+(-5*(((-36.87*(-36.87-(-5/-5)))*(-36.87-(-36.87/(-5*-36.87))))-(-5/-5)))))</f>
        <v>-253451.22231499996</v>
      </c>
      <c r="C6314" t="n" s="0">
        <v>-253451.2223149999</v>
      </c>
    </row>
    <row r="6315">
      <c r="A6315" t="n" s="0">
        <v>-36.86</v>
      </c>
      <c r="B6315" t="n" s="0">
        <f>(-5-((((-5*(-5/((-5/(((-5*(-36.86--5))-(-5+((-5*-36.86)*(((-5--5)+(-36.86--5))+-36.86))))-(-5+-5)))*-5)))/-5)--5)+(-5*(((-36.86*(-36.86-(-5/-5)))*(-36.86-(-36.86/(-5*-36.86))))-(-5/-5)))))</f>
        <v>-253245.86348</v>
      </c>
      <c r="C6315" t="n" s="0">
        <v>-253245.86347999994</v>
      </c>
    </row>
    <row r="6316">
      <c r="A6316" t="n" s="0">
        <v>-36.85</v>
      </c>
      <c r="B6316" t="n" s="0">
        <f>(-5-((((-5*(-5/((-5/(((-5*(-36.85--5))-(-5+((-5*-36.85)*(((-5--5)+(-36.85--5))+-36.85))))-(-5+-5)))*-5)))/-5)--5)+(-5*(((-36.85*(-36.85-(-5/-5)))*(-36.85-(-36.85/(-5*-36.85))))-(-5/-5)))))</f>
        <v>-253040.615625</v>
      </c>
      <c r="C6316" t="n" s="0">
        <v>-253040.61562500003</v>
      </c>
    </row>
    <row r="6317">
      <c r="A6317" t="n" s="0">
        <v>-36.84</v>
      </c>
      <c r="B6317" t="n" s="0">
        <f>(-5-((((-5*(-5/((-5/(((-5*(-36.84--5))-(-5+((-5*-36.84)*(((-5--5)+(-36.84--5))+-36.84))))-(-5+-5)))*-5)))/-5)--5)+(-5*(((-36.84*(-36.84-(-5/-5)))*(-36.84-(-36.84/(-5*-36.84))))-(-5/-5)))))</f>
        <v>-252835.47871999998</v>
      </c>
      <c r="C6317" t="n" s="0">
        <v>-252835.47872000004</v>
      </c>
    </row>
    <row r="6318">
      <c r="A6318" t="n" s="0">
        <v>-36.83</v>
      </c>
      <c r="B6318" t="n" s="0">
        <f>(-5-((((-5*(-5/((-5/(((-5*(-36.83--5))-(-5+((-5*-36.83)*(((-5--5)+(-36.83--5))+-36.83))))-(-5+-5)))*-5)))/-5)--5)+(-5*(((-36.83*(-36.83-(-5/-5)))*(-36.83-(-36.83/(-5*-36.83))))-(-5/-5)))))</f>
        <v>-252630.452735</v>
      </c>
      <c r="C6318" t="n" s="0">
        <v>-252630.45273499997</v>
      </c>
    </row>
    <row r="6319">
      <c r="A6319" t="n" s="0">
        <v>-36.82</v>
      </c>
      <c r="B6319" t="n" s="0">
        <f>(-5-((((-5*(-5/((-5/(((-5*(-36.82--5))-(-5+((-5*-36.82)*(((-5--5)+(-36.82--5))+-36.82))))-(-5+-5)))*-5)))/-5)--5)+(-5*(((-36.82*(-36.82-(-5/-5)))*(-36.82-(-36.82/(-5*-36.82))))-(-5/-5)))))</f>
        <v>-252425.53764</v>
      </c>
      <c r="C6319" t="n" s="0">
        <v>-252425.53764</v>
      </c>
    </row>
    <row r="6320">
      <c r="A6320" t="n" s="0">
        <v>-36.81</v>
      </c>
      <c r="B6320" t="n" s="0">
        <f>(-5-((((-5*(-5/((-5/(((-5*(-36.81--5))-(-5+((-5*-36.81)*(((-5--5)+(-36.81--5))+-36.81))))-(-5+-5)))*-5)))/-5)--5)+(-5*(((-36.81*(-36.81-(-5/-5)))*(-36.81-(-36.81/(-5*-36.81))))-(-5/-5)))))</f>
        <v>-252220.73340499998</v>
      </c>
      <c r="C6320" t="n" s="0">
        <v>-252220.73340500004</v>
      </c>
    </row>
    <row r="6321">
      <c r="A6321" t="n" s="0">
        <v>-36.8</v>
      </c>
      <c r="B6321" t="n" s="0">
        <f>(-5-((((-5*(-5/((-5/(((-5*(-36.8--5))-(-5+((-5*-36.8)*(((-5--5)+(-36.8--5))+-36.8))))-(-5+-5)))*-5)))/-5)--5)+(-5*(((-36.8*(-36.8-(-5/-5)))*(-36.8-(-36.8/(-5*-36.8))))-(-5/-5)))))</f>
        <v>-252016.04</v>
      </c>
      <c r="C6321" t="n" s="0">
        <v>-252016.03999999998</v>
      </c>
    </row>
    <row r="6322">
      <c r="A6322" t="n" s="0">
        <v>-36.79</v>
      </c>
      <c r="B6322" t="n" s="0">
        <f>(-5-((((-5*(-5/((-5/(((-5*(-36.79--5))-(-5+((-5*-36.79)*(((-5--5)+(-36.79--5))+-36.79))))-(-5+-5)))*-5)))/-5)--5)+(-5*(((-36.79*(-36.79-(-5/-5)))*(-36.79-(-36.79/(-5*-36.79))))-(-5/-5)))))</f>
        <v>-251811.457395</v>
      </c>
      <c r="C6322" t="n" s="0">
        <v>-251811.45739499998</v>
      </c>
    </row>
    <row r="6323">
      <c r="A6323" t="n" s="0">
        <v>-36.78</v>
      </c>
      <c r="B6323" t="n" s="0">
        <f>(-5-((((-5*(-5/((-5/(((-5*(-36.78--5))-(-5+((-5*-36.78)*(((-5--5)+(-36.78--5))+-36.78))))-(-5+-5)))*-5)))/-5)--5)+(-5*(((-36.78*(-36.78-(-5/-5)))*(-36.78-(-36.78/(-5*-36.78))))-(-5/-5)))))</f>
        <v>-251606.98556</v>
      </c>
      <c r="C6323" t="n" s="0">
        <v>-251606.98556000003</v>
      </c>
    </row>
    <row r="6324">
      <c r="A6324" t="n" s="0">
        <v>-36.77</v>
      </c>
      <c r="B6324" t="n" s="0">
        <f>(-5-((((-5*(-5/((-5/(((-5*(-36.77--5))-(-5+((-5*-36.77)*(((-5--5)+(-36.77--5))+-36.77))))-(-5+-5)))*-5)))/-5)--5)+(-5*(((-36.77*(-36.77-(-5/-5)))*(-36.77-(-36.77/(-5*-36.77))))-(-5/-5)))))</f>
        <v>-251402.624465</v>
      </c>
      <c r="C6324" t="n" s="0">
        <v>-251402.62446500006</v>
      </c>
    </row>
    <row r="6325">
      <c r="A6325" t="n" s="0">
        <v>-36.76</v>
      </c>
      <c r="B6325" t="n" s="0">
        <f>(-5-((((-5*(-5/((-5/(((-5*(-36.76--5))-(-5+((-5*-36.76)*(((-5--5)+(-36.76--5))+-36.76))))-(-5+-5)))*-5)))/-5)--5)+(-5*(((-36.76*(-36.76-(-5/-5)))*(-36.76-(-36.76/(-5*-36.76))))-(-5/-5)))))</f>
        <v>-251198.37408</v>
      </c>
      <c r="C6325" t="n" s="0">
        <v>-251198.37407999998</v>
      </c>
    </row>
    <row r="6326">
      <c r="A6326" t="n" s="0">
        <v>-36.75</v>
      </c>
      <c r="B6326" t="n" s="0">
        <f>(-5-((((-5*(-5/((-5/(((-5*(-36.75--5))-(-5+((-5*-36.75)*(((-5--5)+(-36.75--5))+-36.75))))-(-5+-5)))*-5)))/-5)--5)+(-5*(((-36.75*(-36.75-(-5/-5)))*(-36.75-(-36.75/(-5*-36.75))))-(-5/-5)))))</f>
        <v>-250994.234375</v>
      </c>
      <c r="C6326" t="n" s="0">
        <v>-250994.234375</v>
      </c>
    </row>
    <row r="6327">
      <c r="A6327" t="n" s="0">
        <v>-36.74</v>
      </c>
      <c r="B6327" t="n" s="0">
        <f>(-5-((((-5*(-5/((-5/(((-5*(-36.74--5))-(-5+((-5*-36.74)*(((-5--5)+(-36.74--5))+-36.74))))-(-5+-5)))*-5)))/-5)--5)+(-5*(((-36.74*(-36.74-(-5/-5)))*(-36.74-(-36.74/(-5*-36.74))))-(-5/-5)))))</f>
        <v>-250790.20532</v>
      </c>
      <c r="C6327" t="n" s="0">
        <v>-250790.20532000004</v>
      </c>
    </row>
    <row r="6328">
      <c r="A6328" t="n" s="0">
        <v>-36.73</v>
      </c>
      <c r="B6328" t="n" s="0">
        <f>(-5-((((-5*(-5/((-5/(((-5*(-36.73--5))-(-5+((-5*-36.73)*(((-5--5)+(-36.73--5))+-36.73))))-(-5+-5)))*-5)))/-5)--5)+(-5*(((-36.73*(-36.73-(-5/-5)))*(-36.73-(-36.73/(-5*-36.73))))-(-5/-5)))))</f>
        <v>-250586.28688499998</v>
      </c>
      <c r="C6328" t="n" s="0">
        <v>-250586.28688499995</v>
      </c>
    </row>
    <row r="6329">
      <c r="A6329" t="n" s="0">
        <v>-36.72</v>
      </c>
      <c r="B6329" t="n" s="0">
        <f>(-5-((((-5*(-5/((-5/(((-5*(-36.72--5))-(-5+((-5*-36.72)*(((-5--5)+(-36.72--5))+-36.72))))-(-5+-5)))*-5)))/-5)--5)+(-5*(((-36.72*(-36.72-(-5/-5)))*(-36.72-(-36.72/(-5*-36.72))))-(-5/-5)))))</f>
        <v>-250382.47904</v>
      </c>
      <c r="C6329" t="n" s="0">
        <v>-250382.47903999998</v>
      </c>
    </row>
    <row r="6330">
      <c r="A6330" t="n" s="0">
        <v>-36.71</v>
      </c>
      <c r="B6330" t="n" s="0">
        <f>(-5-((((-5*(-5/((-5/(((-5*(-36.71--5))-(-5+((-5*-36.71)*(((-5--5)+(-36.71--5))+-36.71))))-(-5+-5)))*-5)))/-5)--5)+(-5*(((-36.71*(-36.71-(-5/-5)))*(-36.71-(-36.71/(-5*-36.71))))-(-5/-5)))))</f>
        <v>-250178.781755</v>
      </c>
      <c r="C6330" t="n" s="0">
        <v>-250178.78175500003</v>
      </c>
    </row>
    <row r="6331">
      <c r="A6331" t="n" s="0">
        <v>-36.7</v>
      </c>
      <c r="B6331" t="n" s="0">
        <f>(-5-((((-5*(-5/((-5/(((-5*(-36.7--5))-(-5+((-5*-36.7)*(((-5--5)+(-36.7--5))+-36.7))))-(-5+-5)))*-5)))/-5)--5)+(-5*(((-36.7*(-36.7-(-5/-5)))*(-36.7-(-36.7/(-5*-36.7))))-(-5/-5)))))</f>
        <v>-249975.19499999998</v>
      </c>
      <c r="C6331" t="n" s="0">
        <v>-249975.19500000007</v>
      </c>
    </row>
    <row r="6332">
      <c r="A6332" t="n" s="0">
        <v>-36.69</v>
      </c>
      <c r="B6332" t="n" s="0">
        <f>(-5-((((-5*(-5/((-5/(((-5*(-36.69--5))-(-5+((-5*-36.69)*(((-5--5)+(-36.69--5))+-36.69))))-(-5+-5)))*-5)))/-5)--5)+(-5*(((-36.69*(-36.69-(-5/-5)))*(-36.69-(-36.69/(-5*-36.69))))-(-5/-5)))))</f>
        <v>-249771.718745</v>
      </c>
      <c r="C6332" t="n" s="0">
        <v>-249771.71874499996</v>
      </c>
    </row>
    <row r="6333">
      <c r="A6333" t="n" s="0">
        <v>-36.68</v>
      </c>
      <c r="B6333" t="n" s="0">
        <f>(-5-((((-5*(-5/((-5/(((-5*(-36.68--5))-(-5+((-5*-36.68)*(((-5--5)+(-36.68--5))+-36.68))))-(-5+-5)))*-5)))/-5)--5)+(-5*(((-36.68*(-36.68-(-5/-5)))*(-36.68-(-36.68/(-5*-36.68))))-(-5/-5)))))</f>
        <v>-249568.35296000002</v>
      </c>
      <c r="C6333" t="n" s="0">
        <v>-249568.35296</v>
      </c>
    </row>
    <row r="6334">
      <c r="A6334" t="n" s="0">
        <v>-36.67</v>
      </c>
      <c r="B6334" t="n" s="0">
        <f>(-5-((((-5*(-5/((-5/(((-5*(-36.67--5))-(-5+((-5*-36.67)*(((-5--5)+(-36.67--5))+-36.67))))-(-5+-5)))*-5)))/-5)--5)+(-5*(((-36.67*(-36.67-(-5/-5)))*(-36.67-(-36.67/(-5*-36.67))))-(-5/-5)))))</f>
        <v>-249365.097615</v>
      </c>
      <c r="C6334" t="n" s="0">
        <v>-249365.09761500004</v>
      </c>
    </row>
    <row r="6335">
      <c r="A6335" t="n" s="0">
        <v>-36.66</v>
      </c>
      <c r="B6335" t="n" s="0">
        <f>(-5-((((-5*(-5/((-5/(((-5*(-36.66--5))-(-5+((-5*-36.66)*(((-5--5)+(-36.66--5))+-36.66))))-(-5+-5)))*-5)))/-5)--5)+(-5*(((-36.66*(-36.66-(-5/-5)))*(-36.66-(-36.66/(-5*-36.66))))-(-5/-5)))))</f>
        <v>-249161.95268000002</v>
      </c>
      <c r="C6335" t="n" s="0">
        <v>-249161.95267999996</v>
      </c>
    </row>
    <row r="6336">
      <c r="A6336" t="n" s="0">
        <v>-36.65</v>
      </c>
      <c r="B6336" t="n" s="0">
        <f>(-5-((((-5*(-5/((-5/(((-5*(-36.65--5))-(-5+((-5*-36.65)*(((-5--5)+(-36.65--5))+-36.65))))-(-5+-5)))*-5)))/-5)--5)+(-5*(((-36.65*(-36.65-(-5/-5)))*(-36.65-(-36.65/(-5*-36.65))))-(-5/-5)))))</f>
        <v>-248958.918125</v>
      </c>
      <c r="C6336" t="n" s="0">
        <v>-248958.91812499997</v>
      </c>
    </row>
    <row r="6337">
      <c r="A6337" t="n" s="0">
        <v>-36.64</v>
      </c>
      <c r="B6337" t="n" s="0">
        <f>(-5-((((-5*(-5/((-5/(((-5*(-36.64--5))-(-5+((-5*-36.64)*(((-5--5)+(-36.64--5))+-36.64))))-(-5+-5)))*-5)))/-5)--5)+(-5*(((-36.64*(-36.64-(-5/-5)))*(-36.64-(-36.64/(-5*-36.64))))-(-5/-5)))))</f>
        <v>-248755.99392</v>
      </c>
      <c r="C6337" t="n" s="0">
        <v>-248755.99392</v>
      </c>
    </row>
    <row r="6338">
      <c r="A6338" t="n" s="0">
        <v>-36.63</v>
      </c>
      <c r="B6338" t="n" s="0">
        <f>(-5-((((-5*(-5/((-5/(((-5*(-36.63--5))-(-5+((-5*-36.63)*(((-5--5)+(-36.63--5))+-36.63))))-(-5+-5)))*-5)))/-5)--5)+(-5*(((-36.63*(-36.63-(-5/-5)))*(-36.63-(-36.63/(-5*-36.63))))-(-5/-5)))))</f>
        <v>-248553.180035</v>
      </c>
      <c r="C6338" t="n" s="0">
        <v>-248553.18003500006</v>
      </c>
    </row>
    <row r="6339">
      <c r="A6339" t="n" s="0">
        <v>-36.62</v>
      </c>
      <c r="B6339" t="n" s="0">
        <f>(-5-((((-5*(-5/((-5/(((-5*(-36.62--5))-(-5+((-5*-36.62)*(((-5--5)+(-36.62--5))+-36.62))))-(-5+-5)))*-5)))/-5)--5)+(-5*(((-36.62*(-36.62-(-5/-5)))*(-36.62-(-36.62/(-5*-36.62))))-(-5/-5)))))</f>
        <v>-248350.47644</v>
      </c>
      <c r="C6339" t="n" s="0">
        <v>-248350.47643999994</v>
      </c>
    </row>
    <row r="6340">
      <c r="A6340" t="n" s="0">
        <v>-36.61</v>
      </c>
      <c r="B6340" t="n" s="0">
        <f>(-5-((((-5*(-5/((-5/(((-5*(-36.61--5))-(-5+((-5*-36.61)*(((-5--5)+(-36.61--5))+-36.61))))-(-5+-5)))*-5)))/-5)--5)+(-5*(((-36.61*(-36.61-(-5/-5)))*(-36.61-(-36.61/(-5*-36.61))))-(-5/-5)))))</f>
        <v>-248147.883105</v>
      </c>
      <c r="C6340" t="n" s="0">
        <v>-248147.883105</v>
      </c>
    </row>
    <row r="6341">
      <c r="A6341" t="n" s="0">
        <v>-36.6</v>
      </c>
      <c r="B6341" t="n" s="0">
        <f>(-5-((((-5*(-5/((-5/(((-5*(-36.6--5))-(-5+((-5*-36.6)*(((-5--5)+(-36.6--5))+-36.6))))-(-5+-5)))*-5)))/-5)--5)+(-5*(((-36.6*(-36.6-(-5/-5)))*(-36.6-(-36.6/(-5*-36.6))))-(-5/-5)))))</f>
        <v>-247945.40000000002</v>
      </c>
      <c r="C6341" t="n" s="0">
        <v>-247945.40000000002</v>
      </c>
    </row>
    <row r="6342">
      <c r="A6342" t="n" s="0">
        <v>-36.59</v>
      </c>
      <c r="B6342" t="n" s="0">
        <f>(-5-((((-5*(-5/((-5/(((-5*(-36.59--5))-(-5+((-5*-36.59)*(((-5--5)+(-36.59--5))+-36.59))))-(-5+-5)))*-5)))/-5)--5)+(-5*(((-36.59*(-36.59-(-5/-5)))*(-36.59-(-36.59/(-5*-36.59))))-(-5/-5)))))</f>
        <v>-247743.027095</v>
      </c>
      <c r="C6342" t="n" s="0">
        <v>-247743.02709500003</v>
      </c>
    </row>
    <row r="6343">
      <c r="A6343" t="n" s="0">
        <v>-36.58</v>
      </c>
      <c r="B6343" t="n" s="0">
        <f>(-5-((((-5*(-5/((-5/(((-5*(-36.58--5))-(-5+((-5*-36.58)*(((-5--5)+(-36.58--5))+-36.58))))-(-5+-5)))*-5)))/-5)--5)+(-5*(((-36.58*(-36.58-(-5/-5)))*(-36.58-(-36.58/(-5*-36.58))))-(-5/-5)))))</f>
        <v>-247540.76436</v>
      </c>
      <c r="C6343" t="n" s="0">
        <v>-247540.76435999994</v>
      </c>
    </row>
    <row r="6344">
      <c r="A6344" t="n" s="0">
        <v>-36.57</v>
      </c>
      <c r="B6344" t="n" s="0">
        <f>(-5-((((-5*(-5/((-5/(((-5*(-36.57--5))-(-5+((-5*-36.57)*(((-5--5)+(-36.57--5))+-36.57))))-(-5+-5)))*-5)))/-5)--5)+(-5*(((-36.57*(-36.57-(-5/-5)))*(-36.57-(-36.57/(-5*-36.57))))-(-5/-5)))))</f>
        <v>-247338.611765</v>
      </c>
      <c r="C6344" t="n" s="0">
        <v>-247338.611765</v>
      </c>
    </row>
    <row r="6345">
      <c r="A6345" t="n" s="0">
        <v>-36.56</v>
      </c>
      <c r="B6345" t="n" s="0">
        <f>(-5-((((-5*(-5/((-5/(((-5*(-36.56--5))-(-5+((-5*-36.56)*(((-5--5)+(-36.56--5))+-36.56))))-(-5+-5)))*-5)))/-5)--5)+(-5*(((-36.56*(-36.56-(-5/-5)))*(-36.56-(-36.56/(-5*-36.56))))-(-5/-5)))))</f>
        <v>-247136.56928</v>
      </c>
      <c r="C6345" t="n" s="0">
        <v>-247136.56928000005</v>
      </c>
    </row>
    <row r="6346">
      <c r="A6346" t="n" s="0">
        <v>-36.55</v>
      </c>
      <c r="B6346" t="n" s="0">
        <f>(-5-((((-5*(-5/((-5/(((-5*(-36.55--5))-(-5+((-5*-36.55)*(((-5--5)+(-36.55--5))+-36.55))))-(-5+-5)))*-5)))/-5)--5)+(-5*(((-36.55*(-36.55-(-5/-5)))*(-36.55-(-36.55/(-5*-36.55))))-(-5/-5)))))</f>
        <v>-246934.636875</v>
      </c>
      <c r="C6346" t="n" s="0">
        <v>-246934.6368749999</v>
      </c>
    </row>
    <row r="6347">
      <c r="A6347" t="n" s="0">
        <v>-36.54</v>
      </c>
      <c r="B6347" t="n" s="0">
        <f>(-5-((((-5*(-5/((-5/(((-5*(-36.54--5))-(-5+((-5*-36.54)*(((-5--5)+(-36.54--5))+-36.54))))-(-5+-5)))*-5)))/-5)--5)+(-5*(((-36.54*(-36.54-(-5/-5)))*(-36.54-(-36.54/(-5*-36.54))))-(-5/-5)))))</f>
        <v>-246732.81452</v>
      </c>
      <c r="C6347" t="n" s="0">
        <v>-246732.81451999996</v>
      </c>
    </row>
    <row r="6348">
      <c r="A6348" t="n" s="0">
        <v>-36.53</v>
      </c>
      <c r="B6348" t="n" s="0">
        <f>(-5-((((-5*(-5/((-5/(((-5*(-36.53--5))-(-5+((-5*-36.53)*(((-5--5)+(-36.53--5))+-36.53))))-(-5+-5)))*-5)))/-5)--5)+(-5*(((-36.53*(-36.53-(-5/-5)))*(-36.53-(-36.53/(-5*-36.53))))-(-5/-5)))))</f>
        <v>-246531.102185</v>
      </c>
      <c r="C6348" t="n" s="0">
        <v>-246531.10218500003</v>
      </c>
    </row>
    <row r="6349">
      <c r="A6349" t="n" s="0">
        <v>-36.52</v>
      </c>
      <c r="B6349" t="n" s="0">
        <f>(-5-((((-5*(-5/((-5/(((-5*(-36.52--5))-(-5+((-5*-36.52)*(((-5--5)+(-36.52--5))+-36.52))))-(-5+-5)))*-5)))/-5)--5)+(-5*(((-36.52*(-36.52-(-5/-5)))*(-36.52-(-36.52/(-5*-36.52))))-(-5/-5)))))</f>
        <v>-246329.49984</v>
      </c>
      <c r="C6349" t="n" s="0">
        <v>-246329.49984000006</v>
      </c>
    </row>
    <row r="6350">
      <c r="A6350" t="n" s="0">
        <v>-36.51</v>
      </c>
      <c r="B6350" t="n" s="0">
        <f>(-5-((((-5*(-5/((-5/(((-5*(-36.51--5))-(-5+((-5*-36.51)*(((-5--5)+(-36.51--5))+-36.51))))-(-5+-5)))*-5)))/-5)--5)+(-5*(((-36.51*(-36.51-(-5/-5)))*(-36.51-(-36.51/(-5*-36.51))))-(-5/-5)))))</f>
        <v>-246128.007455</v>
      </c>
      <c r="C6350" t="n" s="0">
        <v>-246128.00745499998</v>
      </c>
    </row>
    <row r="6351">
      <c r="A6351" t="n" s="0">
        <v>-36.5</v>
      </c>
      <c r="B6351" t="n" s="0">
        <f>(-5-((((-5*(-5/((-5/(((-5*(-36.5--5))-(-5+((-5*-36.5)*(((-5--5)+(-36.5--5))+-36.5))))-(-5+-5)))*-5)))/-5)--5)+(-5*(((-36.5*(-36.5-(-5/-5)))*(-36.5-(-36.5/(-5*-36.5))))-(-5/-5)))))</f>
        <v>-245926.625</v>
      </c>
      <c r="C6351" t="n" s="0">
        <v>-245926.625</v>
      </c>
    </row>
    <row r="6352">
      <c r="A6352" t="n" s="0">
        <v>-36.49</v>
      </c>
      <c r="B6352" t="n" s="0">
        <f>(-5-((((-5*(-5/((-5/(((-5*(-36.49--5))-(-5+((-5*-36.49)*(((-5--5)+(-36.49--5))+-36.49))))-(-5+-5)))*-5)))/-5)--5)+(-5*(((-36.49*(-36.49-(-5/-5)))*(-36.49-(-36.49/(-5*-36.49))))-(-5/-5)))))</f>
        <v>-245725.352445</v>
      </c>
      <c r="C6352" t="n" s="0">
        <v>-245725.352445</v>
      </c>
    </row>
    <row r="6353">
      <c r="A6353" t="n" s="0">
        <v>-36.48</v>
      </c>
      <c r="B6353" t="n" s="0">
        <f>(-5-((((-5*(-5/((-5/(((-5*(-36.48--5))-(-5+((-5*-36.48)*(((-5--5)+(-36.48--5))+-36.48))))-(-5+-5)))*-5)))/-5)--5)+(-5*(((-36.48*(-36.48-(-5/-5)))*(-36.48-(-36.48/(-5*-36.48))))-(-5/-5)))))</f>
        <v>-245524.18975999998</v>
      </c>
      <c r="C6353" t="n" s="0">
        <v>-245524.18975999992</v>
      </c>
    </row>
    <row r="6354">
      <c r="A6354" t="n" s="0">
        <v>-36.47</v>
      </c>
      <c r="B6354" t="n" s="0">
        <f>(-5-((((-5*(-5/((-5/(((-5*(-36.47--5))-(-5+((-5*-36.47)*(((-5--5)+(-36.47--5))+-36.47))))-(-5+-5)))*-5)))/-5)--5)+(-5*(((-36.47*(-36.47-(-5/-5)))*(-36.47-(-36.47/(-5*-36.47))))-(-5/-5)))))</f>
        <v>-245323.136915</v>
      </c>
      <c r="C6354" t="n" s="0">
        <v>-245323.13691499998</v>
      </c>
    </row>
    <row r="6355">
      <c r="A6355" t="n" s="0">
        <v>-36.46</v>
      </c>
      <c r="B6355" t="n" s="0">
        <f>(-5-((((-5*(-5/((-5/(((-5*(-36.46--5))-(-5+((-5*-36.46)*(((-5--5)+(-36.46--5))+-36.46))))-(-5+-5)))*-5)))/-5)--5)+(-5*(((-36.46*(-36.46-(-5/-5)))*(-36.46-(-36.46/(-5*-36.46))))-(-5/-5)))))</f>
        <v>-245122.19387999998</v>
      </c>
      <c r="C6355" t="n" s="0">
        <v>-245122.19388000004</v>
      </c>
    </row>
    <row r="6356">
      <c r="A6356" t="n" s="0">
        <v>-36.45</v>
      </c>
      <c r="B6356" t="n" s="0">
        <f>(-5-((((-5*(-5/((-5/(((-5*(-36.45--5))-(-5+((-5*-36.45)*(((-5--5)+(-36.45--5))+-36.45))))-(-5+-5)))*-5)))/-5)--5)+(-5*(((-36.45*(-36.45-(-5/-5)))*(-36.45-(-36.45/(-5*-36.45))))-(-5/-5)))))</f>
        <v>-244921.360625</v>
      </c>
      <c r="C6356" t="n" s="0">
        <v>-244921.36062500006</v>
      </c>
    </row>
    <row r="6357">
      <c r="A6357" t="n" s="0">
        <v>-36.44</v>
      </c>
      <c r="B6357" t="n" s="0">
        <f>(-5-((((-5*(-5/((-5/(((-5*(-36.44--5))-(-5+((-5*-36.44)*(((-5--5)+(-36.44--5))+-36.44))))-(-5+-5)))*-5)))/-5)--5)+(-5*(((-36.44*(-36.44-(-5/-5)))*(-36.44-(-36.44/(-5*-36.44))))-(-5/-5)))))</f>
        <v>-244720.63712</v>
      </c>
      <c r="C6357" t="n" s="0">
        <v>-244720.63712</v>
      </c>
    </row>
    <row r="6358">
      <c r="A6358" t="n" s="0">
        <v>-36.43</v>
      </c>
      <c r="B6358" t="n" s="0">
        <f>(-5-((((-5*(-5/((-5/(((-5*(-36.43--5))-(-5+((-5*-36.43)*(((-5--5)+(-36.43--5))+-36.43))))-(-5+-5)))*-5)))/-5)--5)+(-5*(((-36.43*(-36.43-(-5/-5)))*(-36.43-(-36.43/(-5*-36.43))))-(-5/-5)))))</f>
        <v>-244520.023335</v>
      </c>
      <c r="C6358" t="n" s="0">
        <v>-244520.023335</v>
      </c>
    </row>
    <row r="6359">
      <c r="A6359" t="n" s="0">
        <v>-36.42</v>
      </c>
      <c r="B6359" t="n" s="0">
        <f>(-5-((((-5*(-5/((-5/(((-5*(-36.42--5))-(-5+((-5*-36.42)*(((-5--5)+(-36.42--5))+-36.42))))-(-5+-5)))*-5)))/-5)--5)+(-5*(((-36.42*(-36.42-(-5/-5)))*(-36.42-(-36.42/(-5*-36.42))))-(-5/-5)))))</f>
        <v>-244319.51924</v>
      </c>
      <c r="C6359" t="n" s="0">
        <v>-244319.51924000005</v>
      </c>
    </row>
    <row r="6360">
      <c r="A6360" t="n" s="0">
        <v>-36.41</v>
      </c>
      <c r="B6360" t="n" s="0">
        <f>(-5-((((-5*(-5/((-5/(((-5*(-36.41--5))-(-5+((-5*-36.41)*(((-5--5)+(-36.41--5))+-36.41))))-(-5+-5)))*-5)))/-5)--5)+(-5*(((-36.41*(-36.41-(-5/-5)))*(-36.41-(-36.41/(-5*-36.41))))-(-5/-5)))))</f>
        <v>-244119.124805</v>
      </c>
      <c r="C6360" t="n" s="0">
        <v>-244119.12480499994</v>
      </c>
    </row>
    <row r="6361">
      <c r="A6361" t="n" s="0">
        <v>-36.4</v>
      </c>
      <c r="B6361" t="n" s="0">
        <f>(-5-((((-5*(-5/((-5/(((-5*(-36.4--5))-(-5+((-5*-36.4)*(((-5--5)+(-36.4--5))+-36.4))))-(-5+-5)))*-5)))/-5)--5)+(-5*(((-36.4*(-36.4-(-5/-5)))*(-36.4-(-36.4/(-5*-36.4))))-(-5/-5)))))</f>
        <v>-243918.84</v>
      </c>
      <c r="C6361" t="n" s="0">
        <v>-243918.84</v>
      </c>
    </row>
    <row r="6362">
      <c r="A6362" t="n" s="0">
        <v>-36.39</v>
      </c>
      <c r="B6362" t="n" s="0">
        <f>(-5-((((-5*(-5/((-5/(((-5*(-36.39--5))-(-5+((-5*-36.39)*(((-5--5)+(-36.39--5))+-36.39))))-(-5+-5)))*-5)))/-5)--5)+(-5*(((-36.39*(-36.39-(-5/-5)))*(-36.39-(-36.39/(-5*-36.39))))-(-5/-5)))))</f>
        <v>-243718.66479500002</v>
      </c>
      <c r="C6362" t="n" s="0">
        <v>-243718.66479500002</v>
      </c>
    </row>
    <row r="6363">
      <c r="A6363" t="n" s="0">
        <v>-36.38</v>
      </c>
      <c r="B6363" t="n" s="0">
        <f>(-5-((((-5*(-5/((-5/(((-5*(-36.38--5))-(-5+((-5*-36.38)*(((-5--5)+(-36.38--5))+-36.38))))-(-5+-5)))*-5)))/-5)--5)+(-5*(((-36.38*(-36.38-(-5/-5)))*(-36.38-(-36.38/(-5*-36.38))))-(-5/-5)))))</f>
        <v>-243518.59916</v>
      </c>
      <c r="C6363" t="n" s="0">
        <v>-243518.5991600001</v>
      </c>
    </row>
    <row r="6364">
      <c r="A6364" t="n" s="0">
        <v>-36.37</v>
      </c>
      <c r="B6364" t="n" s="0">
        <f>(-5-((((-5*(-5/((-5/(((-5*(-36.37--5))-(-5+((-5*-36.37)*(((-5--5)+(-36.37--5))+-36.37))))-(-5+-5)))*-5)))/-5)--5)+(-5*(((-36.37*(-36.37-(-5/-5)))*(-36.37-(-36.37/(-5*-36.37))))-(-5/-5)))))</f>
        <v>-243318.64306499998</v>
      </c>
      <c r="C6364" t="n" s="0">
        <v>-243318.64306499992</v>
      </c>
    </row>
    <row r="6365">
      <c r="A6365" t="n" s="0">
        <v>-36.36</v>
      </c>
      <c r="B6365" t="n" s="0">
        <f>(-5-((((-5*(-5/((-5/(((-5*(-36.36--5))-(-5+((-5*-36.36)*(((-5--5)+(-36.36--5))+-36.36))))-(-5+-5)))*-5)))/-5)--5)+(-5*(((-36.36*(-36.36-(-5/-5)))*(-36.36-(-36.36/(-5*-36.36))))-(-5/-5)))))</f>
        <v>-243118.79648000002</v>
      </c>
      <c r="C6365" t="n" s="0">
        <v>-243118.79648</v>
      </c>
    </row>
    <row r="6366">
      <c r="A6366" t="n" s="0">
        <v>-36.35</v>
      </c>
      <c r="B6366" t="n" s="0">
        <f>(-5-((((-5*(-5/((-5/(((-5*(-36.35--5))-(-5+((-5*-36.35)*(((-5--5)+(-36.35--5))+-36.35))))-(-5+-5)))*-5)))/-5)--5)+(-5*(((-36.35*(-36.35-(-5/-5)))*(-36.35-(-36.35/(-5*-36.35))))-(-5/-5)))))</f>
        <v>-242919.059375</v>
      </c>
      <c r="C6366" t="n" s="0">
        <v>-242919.059375</v>
      </c>
    </row>
    <row r="6367">
      <c r="A6367" t="n" s="0">
        <v>-36.34</v>
      </c>
      <c r="B6367" t="n" s="0">
        <f>(-5-((((-5*(-5/((-5/(((-5*(-36.34--5))-(-5+((-5*-36.34)*(((-5--5)+(-36.34--5))+-36.34))))-(-5+-5)))*-5)))/-5)--5)+(-5*(((-36.34*(-36.34-(-5/-5)))*(-36.34-(-36.34/(-5*-36.34))))-(-5/-5)))))</f>
        <v>-242719.43172000002</v>
      </c>
      <c r="C6367" t="n" s="0">
        <v>-242719.43172000008</v>
      </c>
    </row>
    <row r="6368">
      <c r="A6368" t="n" s="0">
        <v>-36.33</v>
      </c>
      <c r="B6368" t="n" s="0">
        <f>(-5-((((-5*(-5/((-5/(((-5*(-36.33--5))-(-5+((-5*-36.33)*(((-5--5)+(-36.33--5))+-36.33))))-(-5+-5)))*-5)))/-5)--5)+(-5*(((-36.33*(-36.33-(-5/-5)))*(-36.33-(-36.33/(-5*-36.33))))-(-5/-5)))))</f>
        <v>-242519.91348499997</v>
      </c>
      <c r="C6368" t="n" s="0">
        <v>-242519.91348499997</v>
      </c>
    </row>
    <row r="6369">
      <c r="A6369" t="n" s="0">
        <v>-36.32</v>
      </c>
      <c r="B6369" t="n" s="0">
        <f>(-5-((((-5*(-5/((-5/(((-5*(-36.32--5))-(-5+((-5*-36.32)*(((-5--5)+(-36.32--5))+-36.32))))-(-5+-5)))*-5)))/-5)--5)+(-5*(((-36.32*(-36.32-(-5/-5)))*(-36.32-(-36.32/(-5*-36.32))))-(-5/-5)))))</f>
        <v>-242320.50464</v>
      </c>
      <c r="C6369" t="n" s="0">
        <v>-242320.50464</v>
      </c>
    </row>
    <row r="6370">
      <c r="A6370" t="n" s="0">
        <v>-36.31</v>
      </c>
      <c r="B6370" t="n" s="0">
        <f>(-5-((((-5*(-5/((-5/(((-5*(-36.31--5))-(-5+((-5*-36.31)*(((-5--5)+(-36.31--5))+-36.31))))-(-5+-5)))*-5)))/-5)--5)+(-5*(((-36.31*(-36.31-(-5/-5)))*(-36.31-(-36.31/(-5*-36.31))))-(-5/-5)))))</f>
        <v>-242121.20515499997</v>
      </c>
      <c r="C6370" t="n" s="0">
        <v>-242121.20515500003</v>
      </c>
    </row>
    <row r="6371">
      <c r="A6371" t="n" s="0">
        <v>-36.3</v>
      </c>
      <c r="B6371" t="n" s="0">
        <f>(-5-((((-5*(-5/((-5/(((-5*(-36.3--5))-(-5+((-5*-36.3)*(((-5--5)+(-36.3--5))+-36.3))))-(-5+-5)))*-5)))/-5)--5)+(-5*(((-36.3*(-36.3-(-5/-5)))*(-36.3-(-36.3/(-5*-36.3))))-(-5/-5)))))</f>
        <v>-241922.015</v>
      </c>
      <c r="C6371" t="n" s="0">
        <v>-241922.01499999996</v>
      </c>
    </row>
    <row r="6372">
      <c r="A6372" t="n" s="0">
        <v>-36.29</v>
      </c>
      <c r="B6372" t="n" s="0">
        <f>(-5-((((-5*(-5/((-5/(((-5*(-36.29--5))-(-5+((-5*-36.29)*(((-5--5)+(-36.29--5))+-36.29))))-(-5+-5)))*-5)))/-5)--5)+(-5*(((-36.29*(-36.29-(-5/-5)))*(-36.29-(-36.29/(-5*-36.29))))-(-5/-5)))))</f>
        <v>-241722.934145</v>
      </c>
      <c r="C6372" t="n" s="0">
        <v>-241722.93414499998</v>
      </c>
    </row>
    <row r="6373">
      <c r="A6373" t="n" s="0">
        <v>-36.28</v>
      </c>
      <c r="B6373" t="n" s="0">
        <f>(-5-((((-5*(-5/((-5/(((-5*(-36.28--5))-(-5+((-5*-36.28)*(((-5--5)+(-36.28--5))+-36.28))))-(-5+-5)))*-5)))/-5)--5)+(-5*(((-36.28*(-36.28-(-5/-5)))*(-36.28-(-36.28/(-5*-36.28))))-(-5/-5)))))</f>
        <v>-241523.96255999999</v>
      </c>
      <c r="C6373" t="n" s="0">
        <v>-241523.96256</v>
      </c>
    </row>
    <row r="6374">
      <c r="A6374" t="n" s="0">
        <v>-36.27</v>
      </c>
      <c r="B6374" t="n" s="0">
        <f>(-5-((((-5*(-5/((-5/(((-5*(-36.27--5))-(-5+((-5*-36.27)*(((-5--5)+(-36.27--5))+-36.27))))-(-5+-5)))*-5)))/-5)--5)+(-5*(((-36.27*(-36.27-(-5/-5)))*(-36.27-(-36.27/(-5*-36.27))))-(-5/-5)))))</f>
        <v>-241325.100215</v>
      </c>
      <c r="C6374" t="n" s="0">
        <v>-241325.10021500004</v>
      </c>
    </row>
    <row r="6375">
      <c r="A6375" t="n" s="0">
        <v>-36.26</v>
      </c>
      <c r="B6375" t="n" s="0">
        <f>(-5-((((-5*(-5/((-5/(((-5*(-36.26--5))-(-5+((-5*-36.26)*(((-5--5)+(-36.26--5))+-36.26))))-(-5+-5)))*-5)))/-5)--5)+(-5*(((-36.26*(-36.26-(-5/-5)))*(-36.26-(-36.26/(-5*-36.26))))-(-5/-5)))))</f>
        <v>-241126.34707999998</v>
      </c>
      <c r="C6375" t="n" s="0">
        <v>-241126.34707999995</v>
      </c>
    </row>
    <row r="6376">
      <c r="A6376" t="n" s="0">
        <v>-36.25</v>
      </c>
      <c r="B6376" t="n" s="0">
        <f>(-5-((((-5*(-5/((-5/(((-5*(-36.25--5))-(-5+((-5*-36.25)*(((-5--5)+(-36.25--5))+-36.25))))-(-5+-5)))*-5)))/-5)--5)+(-5*(((-36.25*(-36.25-(-5/-5)))*(-36.25-(-36.25/(-5*-36.25))))-(-5/-5)))))</f>
        <v>-240927.703125</v>
      </c>
      <c r="C6376" t="n" s="0">
        <v>-240927.703125</v>
      </c>
    </row>
    <row r="6377">
      <c r="A6377" t="n" s="0">
        <v>-36.24</v>
      </c>
      <c r="B6377" t="n" s="0">
        <f>(-5-((((-5*(-5/((-5/(((-5*(-36.24--5))-(-5+((-5*-36.24)*(((-5--5)+(-36.24--5))+-36.24))))-(-5+-5)))*-5)))/-5)--5)+(-5*(((-36.24*(-36.24-(-5/-5)))*(-36.24-(-36.24/(-5*-36.24))))-(-5/-5)))))</f>
        <v>-240729.16832</v>
      </c>
      <c r="C6377" t="n" s="0">
        <v>-240729.16832000003</v>
      </c>
    </row>
    <row r="6378">
      <c r="A6378" t="n" s="0">
        <v>-36.23</v>
      </c>
      <c r="B6378" t="n" s="0">
        <f>(-5-((((-5*(-5/((-5/(((-5*(-36.23--5))-(-5+((-5*-36.23)*(((-5--5)+(-36.23--5))+-36.23))))-(-5+-5)))*-5)))/-5)--5)+(-5*(((-36.23*(-36.23-(-5/-5)))*(-36.23-(-36.23/(-5*-36.23))))-(-5/-5)))))</f>
        <v>-240530.742635</v>
      </c>
      <c r="C6378" t="n" s="0">
        <v>-240530.74263499994</v>
      </c>
    </row>
    <row r="6379">
      <c r="A6379" t="n" s="0">
        <v>-36.22</v>
      </c>
      <c r="B6379" t="n" s="0">
        <f>(-5-((((-5*(-5/((-5/(((-5*(-36.22--5))-(-5+((-5*-36.22)*(((-5--5)+(-36.22--5))+-36.22))))-(-5+-5)))*-5)))/-5)--5)+(-5*(((-36.22*(-36.22-(-5/-5)))*(-36.22-(-36.22/(-5*-36.22))))-(-5/-5)))))</f>
        <v>-240332.42604000002</v>
      </c>
      <c r="C6379" t="n" s="0">
        <v>-240332.42604</v>
      </c>
    </row>
    <row r="6380">
      <c r="A6380" t="n" s="0">
        <v>-36.21</v>
      </c>
      <c r="B6380" t="n" s="0">
        <f>(-5-((((-5*(-5/((-5/(((-5*(-36.21--5))-(-5+((-5*-36.21)*(((-5--5)+(-36.21--5))+-36.21))))-(-5+-5)))*-5)))/-5)--5)+(-5*(((-36.21*(-36.21-(-5/-5)))*(-36.21-(-36.21/(-5*-36.21))))-(-5/-5)))))</f>
        <v>-240134.218505</v>
      </c>
      <c r="C6380" t="n" s="0">
        <v>-240134.21850500003</v>
      </c>
    </row>
    <row r="6381">
      <c r="A6381" t="n" s="0">
        <v>-36.2</v>
      </c>
      <c r="B6381" t="n" s="0">
        <f>(-5-((((-5*(-5/((-5/(((-5*(-36.2--5))-(-5+((-5*-36.2)*(((-5--5)+(-36.2--5))+-36.2))))-(-5+-5)))*-5)))/-5)--5)+(-5*(((-36.2*(-36.2-(-5/-5)))*(-36.2-(-36.2/(-5*-36.2))))-(-5/-5)))))</f>
        <v>-239936.12</v>
      </c>
      <c r="C6381" t="n" s="0">
        <v>-239936.12000000008</v>
      </c>
    </row>
    <row r="6382">
      <c r="A6382" t="n" s="0">
        <v>-36.19</v>
      </c>
      <c r="B6382" t="n" s="0">
        <f>(-5-((((-5*(-5/((-5/(((-5*(-36.19--5))-(-5+((-5*-36.19)*(((-5--5)+(-36.19--5))+-36.19))))-(-5+-5)))*-5)))/-5)--5)+(-5*(((-36.19*(-36.19-(-5/-5)))*(-36.19-(-36.19/(-5*-36.19))))-(-5/-5)))))</f>
        <v>-239738.130495</v>
      </c>
      <c r="C6382" t="n" s="0">
        <v>-239738.13049499996</v>
      </c>
    </row>
    <row r="6383">
      <c r="A6383" t="n" s="0">
        <v>-36.18</v>
      </c>
      <c r="B6383" t="n" s="0">
        <f>(-5-((((-5*(-5/((-5/(((-5*(-36.18--5))-(-5+((-5*-36.18)*(((-5--5)+(-36.18--5))+-36.18))))-(-5+-5)))*-5)))/-5)--5)+(-5*(((-36.18*(-36.18-(-5/-5)))*(-36.18-(-36.18/(-5*-36.18))))-(-5/-5)))))</f>
        <v>-239540.24996000002</v>
      </c>
      <c r="C6383" t="n" s="0">
        <v>-239540.24996</v>
      </c>
    </row>
    <row r="6384">
      <c r="A6384" t="n" s="0">
        <v>-36.17</v>
      </c>
      <c r="B6384" t="n" s="0">
        <f>(-5-((((-5*(-5/((-5/(((-5*(-36.17--5))-(-5+((-5*-36.17)*(((-5--5)+(-36.17--5))+-36.17))))-(-5+-5)))*-5)))/-5)--5)+(-5*(((-36.17*(-36.17-(-5/-5)))*(-36.17-(-36.17/(-5*-36.17))))-(-5/-5)))))</f>
        <v>-239342.478365</v>
      </c>
      <c r="C6384" t="n" s="0">
        <v>-239342.47836500002</v>
      </c>
    </row>
    <row r="6385">
      <c r="A6385" t="n" s="0">
        <v>-36.16</v>
      </c>
      <c r="B6385" t="n" s="0">
        <f>(-5-((((-5*(-5/((-5/(((-5*(-36.16--5))-(-5+((-5*-36.16)*(((-5--5)+(-36.16--5))+-36.16))))-(-5+-5)))*-5)))/-5)--5)+(-5*(((-36.16*(-36.16-(-5/-5)))*(-36.16-(-36.16/(-5*-36.16))))-(-5/-5)))))</f>
        <v>-239144.81568</v>
      </c>
      <c r="C6385" t="n" s="0">
        <v>-239144.81567999994</v>
      </c>
    </row>
    <row r="6386">
      <c r="A6386" t="n" s="0">
        <v>-36.15</v>
      </c>
      <c r="B6386" t="n" s="0">
        <f>(-5-((((-5*(-5/((-5/(((-5*(-36.15--5))-(-5+((-5*-36.15)*(((-5--5)+(-36.15--5))+-36.15))))-(-5+-5)))*-5)))/-5)--5)+(-5*(((-36.15*(-36.15-(-5/-5)))*(-36.15-(-36.15/(-5*-36.15))))-(-5/-5)))))</f>
        <v>-238947.261875</v>
      </c>
      <c r="C6386" t="n" s="0">
        <v>-238947.261875</v>
      </c>
    </row>
    <row r="6387">
      <c r="A6387" t="n" s="0">
        <v>-36.14</v>
      </c>
      <c r="B6387" t="n" s="0">
        <f>(-5-((((-5*(-5/((-5/(((-5*(-36.14--5))-(-5+((-5*-36.14)*(((-5--5)+(-36.14--5))+-36.14))))-(-5+-5)))*-5)))/-5)--5)+(-5*(((-36.14*(-36.14-(-5/-5)))*(-36.14-(-36.14/(-5*-36.14))))-(-5/-5)))))</f>
        <v>-238749.81691999998</v>
      </c>
      <c r="C6387" t="n" s="0">
        <v>-238749.81692</v>
      </c>
    </row>
    <row r="6388">
      <c r="A6388" t="n" s="0">
        <v>-36.13</v>
      </c>
      <c r="B6388" t="n" s="0">
        <f>(-5-((((-5*(-5/((-5/(((-5*(-36.13--5))-(-5+((-5*-36.13)*(((-5--5)+(-36.13--5))+-36.13))))-(-5+-5)))*-5)))/-5)--5)+(-5*(((-36.13*(-36.13-(-5/-5)))*(-36.13-(-36.13/(-5*-36.13))))-(-5/-5)))))</f>
        <v>-238552.48078500002</v>
      </c>
      <c r="C6388" t="n" s="0">
        <v>-238552.48078500008</v>
      </c>
    </row>
    <row r="6389">
      <c r="A6389" t="n" s="0">
        <v>-36.12</v>
      </c>
      <c r="B6389" t="n" s="0">
        <f>(-5-((((-5*(-5/((-5/(((-5*(-36.12--5))-(-5+((-5*-36.12)*(((-5--5)+(-36.12--5))+-36.12))))-(-5+-5)))*-5)))/-5)--5)+(-5*(((-36.12*(-36.12-(-5/-5)))*(-36.12-(-36.12/(-5*-36.12))))-(-5/-5)))))</f>
        <v>-238355.25344</v>
      </c>
      <c r="C6389" t="n" s="0">
        <v>-238355.25343999994</v>
      </c>
    </row>
    <row r="6390">
      <c r="A6390" t="n" s="0">
        <v>-36.11</v>
      </c>
      <c r="B6390" t="n" s="0">
        <f>(-5-((((-5*(-5/((-5/(((-5*(-36.11--5))-(-5+((-5*-36.11)*(((-5--5)+(-36.11--5))+-36.11))))-(-5+-5)))*-5)))/-5)--5)+(-5*(((-36.11*(-36.11-(-5/-5)))*(-36.11-(-36.11/(-5*-36.11))))-(-5/-5)))))</f>
        <v>-238158.13485499998</v>
      </c>
      <c r="C6390" t="n" s="0">
        <v>-238158.13485499998</v>
      </c>
    </row>
    <row r="6391">
      <c r="A6391" t="n" s="0">
        <v>-36.1</v>
      </c>
      <c r="B6391" t="n" s="0">
        <f>(-5-((((-5*(-5/((-5/(((-5*(-36.1--5))-(-5+((-5*-36.1)*(((-5--5)+(-36.1--5))+-36.1))))-(-5+-5)))*-5)))/-5)--5)+(-5*(((-36.1*(-36.1-(-5/-5)))*(-36.1-(-36.1/(-5*-36.1))))-(-5/-5)))))</f>
        <v>-237961.125</v>
      </c>
      <c r="C6391" t="n" s="0">
        <v>-237961.12500000003</v>
      </c>
    </row>
    <row r="6392">
      <c r="A6392" t="n" s="0">
        <v>-36.09</v>
      </c>
      <c r="B6392" t="n" s="0">
        <f>(-5-((((-5*(-5/((-5/(((-5*(-36.09--5))-(-5+((-5*-36.09)*(((-5--5)+(-36.09--5))+-36.09))))-(-5+-5)))*-5)))/-5)--5)+(-5*(((-36.09*(-36.09-(-5/-5)))*(-36.09-(-36.09/(-5*-36.09))))-(-5/-5)))))</f>
        <v>-237764.223845</v>
      </c>
      <c r="C6392" t="n" s="0">
        <v>-237764.22384500003</v>
      </c>
    </row>
    <row r="6393">
      <c r="A6393" t="n" s="0">
        <v>-36.08</v>
      </c>
      <c r="B6393" t="n" s="0">
        <f>(-5-((((-5*(-5/((-5/(((-5*(-36.08--5))-(-5+((-5*-36.08)*(((-5--5)+(-36.08--5))+-36.08))))-(-5+-5)))*-5)))/-5)--5)+(-5*(((-36.08*(-36.08-(-5/-5)))*(-36.08-(-36.08/(-5*-36.08))))-(-5/-5)))))</f>
        <v>-237567.43136000002</v>
      </c>
      <c r="C6393" t="n" s="0">
        <v>-237567.43135999993</v>
      </c>
    </row>
    <row r="6394">
      <c r="A6394" t="n" s="0">
        <v>-36.07</v>
      </c>
      <c r="B6394" t="n" s="0">
        <f>(-5-((((-5*(-5/((-5/(((-5*(-36.07--5))-(-5+((-5*-36.07)*(((-5--5)+(-36.07--5))+-36.07))))-(-5+-5)))*-5)))/-5)--5)+(-5*(((-36.07*(-36.07-(-5/-5)))*(-36.07-(-36.07/(-5*-36.07))))-(-5/-5)))))</f>
        <v>-237370.74751500002</v>
      </c>
      <c r="C6394" t="n" s="0">
        <v>-237370.747515</v>
      </c>
    </row>
    <row r="6395">
      <c r="A6395" t="n" s="0">
        <v>-36.06</v>
      </c>
      <c r="B6395" t="n" s="0">
        <f>(-5-((((-5*(-5/((-5/(((-5*(-36.06--5))-(-5+((-5*-36.06)*(((-5--5)+(-36.06--5))+-36.06))))-(-5+-5)))*-5)))/-5)--5)+(-5*(((-36.06*(-36.06-(-5/-5)))*(-36.06-(-36.06/(-5*-36.06))))-(-5/-5)))))</f>
        <v>-237174.17228</v>
      </c>
      <c r="C6395" t="n" s="0">
        <v>-237174.17228000003</v>
      </c>
    </row>
    <row r="6396">
      <c r="A6396" t="n" s="0">
        <v>-36.05</v>
      </c>
      <c r="B6396" t="n" s="0">
        <f>(-5-((((-5*(-5/((-5/(((-5*(-36.05--5))-(-5+((-5*-36.05)*(((-5--5)+(-36.05--5))+-36.05))))-(-5+-5)))*-5)))/-5)--5)+(-5*(((-36.05*(-36.05-(-5/-5)))*(-36.05-(-36.05/(-5*-36.05))))-(-5/-5)))))</f>
        <v>-236977.705625</v>
      </c>
      <c r="C6396" t="n" s="0">
        <v>-236977.70562499994</v>
      </c>
    </row>
    <row r="6397">
      <c r="A6397" t="n" s="0">
        <v>-36.04</v>
      </c>
      <c r="B6397" t="n" s="0">
        <f>(-5-((((-5*(-5/((-5/(((-5*(-36.04--5))-(-5+((-5*-36.04)*(((-5--5)+(-36.04--5))+-36.04))))-(-5+-5)))*-5)))/-5)--5)+(-5*(((-36.04*(-36.04-(-5/-5)))*(-36.04-(-36.04/(-5*-36.04))))-(-5/-5)))))</f>
        <v>-236781.34751999998</v>
      </c>
      <c r="C6397" t="n" s="0">
        <v>-236781.34751999995</v>
      </c>
    </row>
    <row r="6398">
      <c r="A6398" t="n" s="0">
        <v>-36.03</v>
      </c>
      <c r="B6398" t="n" s="0">
        <f>(-5-((((-5*(-5/((-5/(((-5*(-36.03--5))-(-5+((-5*-36.03)*(((-5--5)+(-36.03--5))+-36.03))))-(-5+-5)))*-5)))/-5)--5)+(-5*(((-36.03*(-36.03-(-5/-5)))*(-36.03-(-36.03/(-5*-36.03))))-(-5/-5)))))</f>
        <v>-236585.097935</v>
      </c>
      <c r="C6398" t="n" s="0">
        <v>-236585.09793500003</v>
      </c>
    </row>
    <row r="6399">
      <c r="A6399" t="n" s="0">
        <v>-36.02</v>
      </c>
      <c r="B6399" t="n" s="0">
        <f>(-5-((((-5*(-5/((-5/(((-5*(-36.02--5))-(-5+((-5*-36.02)*(((-5--5)+(-36.02--5))+-36.02))))-(-5+-5)))*-5)))/-5)--5)+(-5*(((-36.02*(-36.02-(-5/-5)))*(-36.02-(-36.02/(-5*-36.02))))-(-5/-5)))))</f>
        <v>-236388.95684</v>
      </c>
      <c r="C6399" t="n" s="0">
        <v>-236388.9568400001</v>
      </c>
    </row>
    <row r="6400">
      <c r="A6400" t="n" s="0">
        <v>-36.01</v>
      </c>
      <c r="B6400" t="n" s="0">
        <f>(-5-((((-5*(-5/((-5/(((-5*(-36.01--5))-(-5+((-5*-36.01)*(((-5--5)+(-36.01--5))+-36.01))))-(-5+-5)))*-5)))/-5)--5)+(-5*(((-36.01*(-36.01-(-5/-5)))*(-36.01-(-36.01/(-5*-36.01))))-(-5/-5)))))</f>
        <v>-236192.924205</v>
      </c>
      <c r="C6400" t="n" s="0">
        <v>-236192.924205</v>
      </c>
    </row>
    <row r="6401">
      <c r="A6401" t="n" s="0">
        <v>-36.0</v>
      </c>
      <c r="B6401" t="n" s="0">
        <f>(-5-((((-5*(-5/((-5/(((-5*(-36--5))-(-5+((-5*-36)*(((-5--5)+(-36--5))+-36))))-(-5+-5)))*-5)))/-5)--5)+(-5*(((-36*(-36-(-5/-5)))*(-36-(-36/(-5*-36))))-(-5/-5)))))</f>
        <v>-235997.0</v>
      </c>
      <c r="C6401" t="n" s="0">
        <v>-235997.0</v>
      </c>
    </row>
    <row r="6402">
      <c r="A6402" t="n" s="0">
        <v>-35.99</v>
      </c>
      <c r="B6402" t="n" s="0">
        <f>(-5-((((-5*(-5/((-5/(((-5*(-35.99--5))-(-5+((-5*-35.99)*(((-5--5)+(-35.99--5))+-35.99))))-(-5+-5)))*-5)))/-5)--5)+(-5*(((-35.99*(-35.99-(-5/-5)))*(-35.99-(-35.99/(-5*-35.99))))-(-5/-5)))))</f>
        <v>-235801.184195</v>
      </c>
      <c r="C6402" t="n" s="0">
        <v>-235801.18419500004</v>
      </c>
    </row>
    <row r="6403">
      <c r="A6403" t="n" s="0">
        <v>-35.98</v>
      </c>
      <c r="B6403" t="n" s="0">
        <f>(-5-((((-5*(-5/((-5/(((-5*(-35.98--5))-(-5+((-5*-35.98)*(((-5--5)+(-35.98--5))+-35.98))))-(-5+-5)))*-5)))/-5)--5)+(-5*(((-35.98*(-35.98-(-5/-5)))*(-35.98-(-35.98/(-5*-35.98))))-(-5/-5)))))</f>
        <v>-235605.47676000002</v>
      </c>
      <c r="C6403" t="n" s="0">
        <v>-235605.47675999996</v>
      </c>
    </row>
    <row r="6404">
      <c r="A6404" t="n" s="0">
        <v>-35.97</v>
      </c>
      <c r="B6404" t="n" s="0">
        <f>(-5-((((-5*(-5/((-5/(((-5*(-35.97--5))-(-5+((-5*-35.97)*(((-5--5)+(-35.97--5))+-35.97))))-(-5+-5)))*-5)))/-5)--5)+(-5*(((-35.97*(-35.97-(-5/-5)))*(-35.97-(-35.97/(-5*-35.97))))-(-5/-5)))))</f>
        <v>-235409.877665</v>
      </c>
      <c r="C6404" t="n" s="0">
        <v>-235409.87766499998</v>
      </c>
    </row>
    <row r="6405">
      <c r="A6405" t="n" s="0">
        <v>-35.96</v>
      </c>
      <c r="B6405" t="n" s="0">
        <f>(-5-((((-5*(-5/((-5/(((-5*(-35.96--5))-(-5+((-5*-35.96)*(((-5--5)+(-35.96--5))+-35.96))))-(-5+-5)))*-5)))/-5)--5)+(-5*(((-35.96*(-35.96-(-5/-5)))*(-35.96-(-35.96/(-5*-35.96))))-(-5/-5)))))</f>
        <v>-235214.38688</v>
      </c>
      <c r="C6405" t="n" s="0">
        <v>-235214.38688000003</v>
      </c>
    </row>
    <row r="6406">
      <c r="A6406" t="n" s="0">
        <v>-35.95</v>
      </c>
      <c r="B6406" t="n" s="0">
        <f>(-5-((((-5*(-5/((-5/(((-5*(-35.95--5))-(-5+((-5*-35.95)*(((-5--5)+(-35.95--5))+-35.95))))-(-5+-5)))*-5)))/-5)--5)+(-5*(((-35.95*(-35.95-(-5/-5)))*(-35.95-(-35.95/(-5*-35.95))))-(-5/-5)))))</f>
        <v>-235019.004375</v>
      </c>
      <c r="C6406" t="n" s="0">
        <v>-235019.00437500005</v>
      </c>
    </row>
    <row r="6407">
      <c r="A6407" t="n" s="0">
        <v>-35.94</v>
      </c>
      <c r="B6407" t="n" s="0">
        <f>(-5-((((-5*(-5/((-5/(((-5*(-35.94--5))-(-5+((-5*-35.94)*(((-5--5)+(-35.94--5))+-35.94))))-(-5+-5)))*-5)))/-5)--5)+(-5*(((-35.94*(-35.94-(-5/-5)))*(-35.94-(-35.94/(-5*-35.94))))-(-5/-5)))))</f>
        <v>-234823.73012</v>
      </c>
      <c r="C6407" t="n" s="0">
        <v>-234823.73012</v>
      </c>
    </row>
    <row r="6408">
      <c r="A6408" t="n" s="0">
        <v>-35.93</v>
      </c>
      <c r="B6408" t="n" s="0">
        <f>(-5-((((-5*(-5/((-5/(((-5*(-35.93--5))-(-5+((-5*-35.93)*(((-5--5)+(-35.93--5))+-35.93))))-(-5+-5)))*-5)))/-5)--5)+(-5*(((-35.93*(-35.93-(-5/-5)))*(-35.93-(-35.93/(-5*-35.93))))-(-5/-5)))))</f>
        <v>-234628.564085</v>
      </c>
      <c r="C6408" t="n" s="0">
        <v>-234628.56408500002</v>
      </c>
    </row>
    <row r="6409">
      <c r="A6409" t="n" s="0">
        <v>-35.92</v>
      </c>
      <c r="B6409" t="n" s="0">
        <f>(-5-((((-5*(-5/((-5/(((-5*(-35.92--5))-(-5+((-5*-35.92)*(((-5--5)+(-35.92--5))+-35.92))))-(-5+-5)))*-5)))/-5)--5)+(-5*(((-35.92*(-35.92-(-5/-5)))*(-35.92-(-35.92/(-5*-35.92))))-(-5/-5)))))</f>
        <v>-234433.50624</v>
      </c>
      <c r="C6409" t="n" s="0">
        <v>-234433.50624000008</v>
      </c>
    </row>
    <row r="6410">
      <c r="A6410" t="n" s="0">
        <v>-35.91</v>
      </c>
      <c r="B6410" t="n" s="0">
        <f>(-5-((((-5*(-5/((-5/(((-5*(-35.91--5))-(-5+((-5*-35.91)*(((-5--5)+(-35.91--5))+-35.91))))-(-5+-5)))*-5)))/-5)--5)+(-5*(((-35.91*(-35.91-(-5/-5)))*(-35.91-(-35.91/(-5*-35.91))))-(-5/-5)))))</f>
        <v>-234238.556555</v>
      </c>
      <c r="C6410" t="n" s="0">
        <v>-234238.55655499993</v>
      </c>
    </row>
    <row r="6411">
      <c r="A6411" t="n" s="0">
        <v>-35.9</v>
      </c>
      <c r="B6411" t="n" s="0">
        <f>(-5-((((-5*(-5/((-5/(((-5*(-35.9--5))-(-5+((-5*-35.9)*(((-5--5)+(-35.9--5))+-35.9))))-(-5+-5)))*-5)))/-5)--5)+(-5*(((-35.9*(-35.9-(-5/-5)))*(-35.9-(-35.9/(-5*-35.9))))-(-5/-5)))))</f>
        <v>-234043.715</v>
      </c>
      <c r="C6411" t="n" s="0">
        <v>-234043.71499999997</v>
      </c>
    </row>
    <row r="6412">
      <c r="A6412" t="n" s="0">
        <v>-35.89</v>
      </c>
      <c r="B6412" t="n" s="0">
        <f>(-5-((((-5*(-5/((-5/(((-5*(-35.89--5))-(-5+((-5*-35.89)*(((-5--5)+(-35.89--5))+-35.89))))-(-5+-5)))*-5)))/-5)--5)+(-5*(((-35.89*(-35.89-(-5/-5)))*(-35.89-(-35.89/(-5*-35.89))))-(-5/-5)))))</f>
        <v>-233848.981545</v>
      </c>
      <c r="C6412" t="n" s="0">
        <v>-233848.981545</v>
      </c>
    </row>
    <row r="6413">
      <c r="A6413" t="n" s="0">
        <v>-35.88</v>
      </c>
      <c r="B6413" t="n" s="0">
        <f>(-5-((((-5*(-5/((-5/(((-5*(-35.88--5))-(-5+((-5*-35.88)*(((-5--5)+(-35.88--5))+-35.88))))-(-5+-5)))*-5)))/-5)--5)+(-5*(((-35.88*(-35.88-(-5/-5)))*(-35.88-(-35.88/(-5*-35.88))))-(-5/-5)))))</f>
        <v>-233654.35616</v>
      </c>
      <c r="C6413" t="n" s="0">
        <v>-233654.35616000005</v>
      </c>
    </row>
    <row r="6414">
      <c r="A6414" t="n" s="0">
        <v>-35.87</v>
      </c>
      <c r="B6414" t="n" s="0">
        <f>(-5-((((-5*(-5/((-5/(((-5*(-35.87--5))-(-5+((-5*-35.87)*(((-5--5)+(-35.87--5))+-35.87))))-(-5+-5)))*-5)))/-5)--5)+(-5*(((-35.87*(-35.87-(-5/-5)))*(-35.87-(-35.87/(-5*-35.87))))-(-5/-5)))))</f>
        <v>-233459.838815</v>
      </c>
      <c r="C6414" t="n" s="0">
        <v>-233459.83881499994</v>
      </c>
    </row>
    <row r="6415">
      <c r="A6415" t="n" s="0">
        <v>-35.86</v>
      </c>
      <c r="B6415" t="n" s="0">
        <f>(-5-((((-5*(-5/((-5/(((-5*(-35.86--5))-(-5+((-5*-35.86)*(((-5--5)+(-35.86--5))+-35.86))))-(-5+-5)))*-5)))/-5)--5)+(-5*(((-35.86*(-35.86-(-5/-5)))*(-35.86-(-35.86/(-5*-35.86))))-(-5/-5)))))</f>
        <v>-233265.42948000002</v>
      </c>
      <c r="C6415" t="n" s="0">
        <v>-233265.42948</v>
      </c>
    </row>
    <row r="6416">
      <c r="A6416" t="n" s="0">
        <v>-35.85</v>
      </c>
      <c r="B6416" t="n" s="0">
        <f>(-5-((((-5*(-5/((-5/(((-5*(-35.85--5))-(-5+((-5*-35.85)*(((-5--5)+(-35.85--5))+-35.85))))-(-5+-5)))*-5)))/-5)--5)+(-5*(((-35.85*(-35.85-(-5/-5)))*(-35.85-(-35.85/(-5*-35.85))))-(-5/-5)))))</f>
        <v>-233071.128125</v>
      </c>
      <c r="C6416" t="n" s="0">
        <v>-233071.12812500002</v>
      </c>
    </row>
    <row r="6417">
      <c r="A6417" t="n" s="0">
        <v>-35.84</v>
      </c>
      <c r="B6417" t="n" s="0">
        <f>(-5-((((-5*(-5/((-5/(((-5*(-35.84--5))-(-5+((-5*-35.84)*(((-5--5)+(-35.84--5))+-35.84))))-(-5+-5)))*-5)))/-5)--5)+(-5*(((-35.84*(-35.84-(-5/-5)))*(-35.84-(-35.84/(-5*-35.84))))-(-5/-5)))))</f>
        <v>-232876.93472</v>
      </c>
      <c r="C6417" t="n" s="0">
        <v>-232876.93472000005</v>
      </c>
    </row>
    <row r="6418">
      <c r="A6418" t="n" s="0">
        <v>-35.83</v>
      </c>
      <c r="B6418" t="n" s="0">
        <f>(-5-((((-5*(-5/((-5/(((-5*(-35.83--5))-(-5+((-5*-35.83)*(((-5--5)+(-35.83--5))+-35.83))))-(-5+-5)))*-5)))/-5)--5)+(-5*(((-35.83*(-35.83-(-5/-5)))*(-35.83-(-35.83/(-5*-35.83))))-(-5/-5)))))</f>
        <v>-232682.849235</v>
      </c>
      <c r="C6418" t="n" s="0">
        <v>-232682.84923499994</v>
      </c>
    </row>
    <row r="6419">
      <c r="A6419" t="n" s="0">
        <v>-35.82</v>
      </c>
      <c r="B6419" t="n" s="0">
        <f>(-5-((((-5*(-5/((-5/(((-5*(-35.82--5))-(-5+((-5*-35.82)*(((-5--5)+(-35.82--5))+-35.82))))-(-5+-5)))*-5)))/-5)--5)+(-5*(((-35.82*(-35.82-(-5/-5)))*(-35.82-(-35.82/(-5*-35.82))))-(-5/-5)))))</f>
        <v>-232488.87164</v>
      </c>
      <c r="C6419" t="n" s="0">
        <v>-232488.87164</v>
      </c>
    </row>
    <row r="6420">
      <c r="A6420" t="n" s="0">
        <v>-35.81</v>
      </c>
      <c r="B6420" t="n" s="0">
        <f>(-5-((((-5*(-5/((-5/(((-5*(-35.81--5))-(-5+((-5*-35.81)*(((-5--5)+(-35.81--5))+-35.81))))-(-5+-5)))*-5)))/-5)--5)+(-5*(((-35.81*(-35.81-(-5/-5)))*(-35.81-(-35.81/(-5*-35.81))))-(-5/-5)))))</f>
        <v>-232295.001905</v>
      </c>
      <c r="C6420" t="n" s="0">
        <v>-232295.00190500004</v>
      </c>
    </row>
    <row r="6421">
      <c r="A6421" t="n" s="0">
        <v>-35.8</v>
      </c>
      <c r="B6421" t="n" s="0">
        <f>(-5-((((-5*(-5/((-5/(((-5*(-35.8--5))-(-5+((-5*-35.8)*(((-5--5)+(-35.8--5))+-35.8))))-(-5+-5)))*-5)))/-5)--5)+(-5*(((-35.8*(-35.8-(-5/-5)))*(-35.8-(-35.8/(-5*-35.8))))-(-5/-5)))))</f>
        <v>-232101.24000000002</v>
      </c>
      <c r="C6421" t="n" s="0">
        <v>-232101.23999999996</v>
      </c>
    </row>
    <row r="6422">
      <c r="A6422" t="n" s="0">
        <v>-35.79</v>
      </c>
      <c r="B6422" t="n" s="0">
        <f>(-5-((((-5*(-5/((-5/(((-5*(-35.79--5))-(-5+((-5*-35.79)*(((-5--5)+(-35.79--5))+-35.79))))-(-5+-5)))*-5)))/-5)--5)+(-5*(((-35.79*(-35.79-(-5/-5)))*(-35.79-(-35.79/(-5*-35.79))))-(-5/-5)))))</f>
        <v>-231907.585895</v>
      </c>
      <c r="C6422" t="n" s="0">
        <v>-231907.58589499997</v>
      </c>
    </row>
    <row r="6423">
      <c r="A6423" t="n" s="0">
        <v>-35.78</v>
      </c>
      <c r="B6423" t="n" s="0">
        <f>(-5-((((-5*(-5/((-5/(((-5*(-35.78--5))-(-5+((-5*-35.78)*(((-5--5)+(-35.78--5))+-35.78))))-(-5+-5)))*-5)))/-5)--5)+(-5*(((-35.78*(-35.78-(-5/-5)))*(-35.78-(-35.78/(-5*-35.78))))-(-5/-5)))))</f>
        <v>-231714.03955999998</v>
      </c>
      <c r="C6423" t="n" s="0">
        <v>-231714.03956000003</v>
      </c>
    </row>
    <row r="6424">
      <c r="A6424" t="n" s="0">
        <v>-35.77</v>
      </c>
      <c r="B6424" t="n" s="0">
        <f>(-5-((((-5*(-5/((-5/(((-5*(-35.77--5))-(-5+((-5*-35.77)*(((-5--5)+(-35.77--5))+-35.77))))-(-5+-5)))*-5)))/-5)--5)+(-5*(((-35.77*(-35.77-(-5/-5)))*(-35.77-(-35.77/(-5*-35.77))))-(-5/-5)))))</f>
        <v>-231520.600965</v>
      </c>
      <c r="C6424" t="n" s="0">
        <v>-231520.60096500008</v>
      </c>
    </row>
    <row r="6425">
      <c r="A6425" t="n" s="0">
        <v>-35.76</v>
      </c>
      <c r="B6425" t="n" s="0">
        <f>(-5-((((-5*(-5/((-5/(((-5*(-35.76--5))-(-5+((-5*-35.76)*(((-5--5)+(-35.76--5))+-35.76))))-(-5+-5)))*-5)))/-5)--5)+(-5*(((-35.76*(-35.76-(-5/-5)))*(-35.76-(-35.76/(-5*-35.76))))-(-5/-5)))))</f>
        <v>-231327.27008000002</v>
      </c>
      <c r="C6425" t="n" s="0">
        <v>-231327.27007999996</v>
      </c>
    </row>
    <row r="6426">
      <c r="A6426" t="n" s="0">
        <v>-35.75</v>
      </c>
      <c r="B6426" t="n" s="0">
        <f>(-5-((((-5*(-5/((-5/(((-5*(-35.75--5))-(-5+((-5*-35.75)*(((-5--5)+(-35.75--5))+-35.75))))-(-5+-5)))*-5)))/-5)--5)+(-5*(((-35.75*(-35.75-(-5/-5)))*(-35.75-(-35.75/(-5*-35.75))))-(-5/-5)))))</f>
        <v>-231134.046875</v>
      </c>
      <c r="C6426" t="n" s="0">
        <v>-231134.046875</v>
      </c>
    </row>
    <row r="6427">
      <c r="A6427" t="n" s="0">
        <v>-35.74</v>
      </c>
      <c r="B6427" t="n" s="0">
        <f>(-5-((((-5*(-5/((-5/(((-5*(-35.74--5))-(-5+((-5*-35.74)*(((-5--5)+(-35.74--5))+-35.74))))-(-5+-5)))*-5)))/-5)--5)+(-5*(((-35.74*(-35.74-(-5/-5)))*(-35.74-(-35.74/(-5*-35.74))))-(-5/-5)))))</f>
        <v>-230940.93132</v>
      </c>
      <c r="C6427" t="n" s="0">
        <v>-230940.93132000003</v>
      </c>
    </row>
    <row r="6428">
      <c r="A6428" t="n" s="0">
        <v>-35.73</v>
      </c>
      <c r="B6428" t="n" s="0">
        <f>(-5-((((-5*(-5/((-5/(((-5*(-35.73--5))-(-5+((-5*-35.73)*(((-5--5)+(-35.73--5))+-35.73))))-(-5+-5)))*-5)))/-5)--5)+(-5*(((-35.73*(-35.73-(-5/-5)))*(-35.73-(-35.73/(-5*-35.73))))-(-5/-5)))))</f>
        <v>-230747.923385</v>
      </c>
      <c r="C6428" t="n" s="0">
        <v>-230747.92338499991</v>
      </c>
    </row>
    <row r="6429">
      <c r="A6429" t="n" s="0">
        <v>-35.72</v>
      </c>
      <c r="B6429" t="n" s="0">
        <f>(-5-((((-5*(-5/((-5/(((-5*(-35.72--5))-(-5+((-5*-35.72)*(((-5--5)+(-35.72--5))+-35.72))))-(-5+-5)))*-5)))/-5)--5)+(-5*(((-35.72*(-35.72-(-5/-5)))*(-35.72-(-35.72/(-5*-35.72))))-(-5/-5)))))</f>
        <v>-230555.02304</v>
      </c>
      <c r="C6429" t="n" s="0">
        <v>-230555.02303999997</v>
      </c>
    </row>
    <row r="6430">
      <c r="A6430" t="n" s="0">
        <v>-35.71</v>
      </c>
      <c r="B6430" t="n" s="0">
        <f>(-5-((((-5*(-5/((-5/(((-5*(-35.71--5))-(-5+((-5*-35.71)*(((-5--5)+(-35.71--5))+-35.71))))-(-5+-5)))*-5)))/-5)--5)+(-5*(((-35.71*(-35.71-(-5/-5)))*(-35.71-(-35.71/(-5*-35.71))))-(-5/-5)))))</f>
        <v>-230362.230255</v>
      </c>
      <c r="C6430" t="n" s="0">
        <v>-230362.230255</v>
      </c>
    </row>
    <row r="6431">
      <c r="A6431" t="n" s="0">
        <v>-35.7</v>
      </c>
      <c r="B6431" t="n" s="0">
        <f>(-5-((((-5*(-5/((-5/(((-5*(-35.7--5))-(-5+((-5*-35.7)*(((-5--5)+(-35.7--5))+-35.7))))-(-5+-5)))*-5)))/-5)--5)+(-5*(((-35.7*(-35.7-(-5/-5)))*(-35.7-(-35.7/(-5*-35.7))))-(-5/-5)))))</f>
        <v>-230169.545</v>
      </c>
      <c r="C6431" t="n" s="0">
        <v>-230169.54500000007</v>
      </c>
    </row>
    <row r="6432">
      <c r="A6432" t="n" s="0">
        <v>-35.69</v>
      </c>
      <c r="B6432" t="n" s="0">
        <f>(-5-((((-5*(-5/((-5/(((-5*(-35.69--5))-(-5+((-5*-35.69)*(((-5--5)+(-35.69--5))+-35.69))))-(-5+-5)))*-5)))/-5)--5)+(-5*(((-35.69*(-35.69-(-5/-5)))*(-35.69-(-35.69/(-5*-35.69))))-(-5/-5)))))</f>
        <v>-229976.967245</v>
      </c>
      <c r="C6432" t="n" s="0">
        <v>-229976.96724499998</v>
      </c>
    </row>
    <row r="6433">
      <c r="A6433" t="n" s="0">
        <v>-35.68</v>
      </c>
      <c r="B6433" t="n" s="0">
        <f>(-5-((((-5*(-5/((-5/(((-5*(-35.68--5))-(-5+((-5*-35.68)*(((-5--5)+(-35.68--5))+-35.68))))-(-5+-5)))*-5)))/-5)--5)+(-5*(((-35.68*(-35.68-(-5/-5)))*(-35.68-(-35.68/(-5*-35.68))))-(-5/-5)))))</f>
        <v>-229784.49696</v>
      </c>
      <c r="C6433" t="n" s="0">
        <v>-229784.49696000002</v>
      </c>
    </row>
    <row r="6434">
      <c r="A6434" t="n" s="0">
        <v>-35.67</v>
      </c>
      <c r="B6434" t="n" s="0">
        <f>(-5-((((-5*(-5/((-5/(((-5*(-35.67--5))-(-5+((-5*-35.67)*(((-5--5)+(-35.67--5))+-35.67))))-(-5+-5)))*-5)))/-5)--5)+(-5*(((-35.67*(-35.67-(-5/-5)))*(-35.67-(-35.67/(-5*-35.67))))-(-5/-5)))))</f>
        <v>-229592.134115</v>
      </c>
      <c r="C6434" t="n" s="0">
        <v>-229592.13411500005</v>
      </c>
    </row>
    <row r="6435">
      <c r="A6435" t="n" s="0">
        <v>-35.66</v>
      </c>
      <c r="B6435" t="n" s="0">
        <f>(-5-((((-5*(-5/((-5/(((-5*(-35.66--5))-(-5+((-5*-35.66)*(((-5--5)+(-35.66--5))+-35.66))))-(-5+-5)))*-5)))/-5)--5)+(-5*(((-35.66*(-35.66-(-5/-5)))*(-35.66-(-35.66/(-5*-35.66))))-(-5/-5)))))</f>
        <v>-229399.87868</v>
      </c>
      <c r="C6435" t="n" s="0">
        <v>-229399.87867999994</v>
      </c>
    </row>
    <row r="6436">
      <c r="A6436" t="n" s="0">
        <v>-35.65</v>
      </c>
      <c r="B6436" t="n" s="0">
        <f>(-5-((((-5*(-5/((-5/(((-5*(-35.65--5))-(-5+((-5*-35.65)*(((-5--5)+(-35.65--5))+-35.65))))-(-5+-5)))*-5)))/-5)--5)+(-5*(((-35.65*(-35.65-(-5/-5)))*(-35.65-(-35.65/(-5*-35.65))))-(-5/-5)))))</f>
        <v>-229207.730625</v>
      </c>
      <c r="C6436" t="n" s="0">
        <v>-229207.730625</v>
      </c>
    </row>
    <row r="6437">
      <c r="A6437" t="n" s="0">
        <v>-35.64</v>
      </c>
      <c r="B6437" t="n" s="0">
        <f>(-5-((((-5*(-5/((-5/(((-5*(-35.64--5))-(-5+((-5*-35.64)*(((-5--5)+(-35.64--5))+-35.64))))-(-5+-5)))*-5)))/-5)--5)+(-5*(((-35.64*(-35.64-(-5/-5)))*(-35.64-(-35.64/(-5*-35.64))))-(-5/-5)))))</f>
        <v>-229015.68992</v>
      </c>
      <c r="C6437" t="n" s="0">
        <v>-229015.68992000003</v>
      </c>
    </row>
    <row r="6438">
      <c r="A6438" t="n" s="0">
        <v>-35.63</v>
      </c>
      <c r="B6438" t="n" s="0">
        <f>(-5-((((-5*(-5/((-5/(((-5*(-35.63--5))-(-5+((-5*-35.63)*(((-5--5)+(-35.63--5))+-35.63))))-(-5+-5)))*-5)))/-5)--5)+(-5*(((-35.63*(-35.63-(-5/-5)))*(-35.63-(-35.63/(-5*-35.63))))-(-5/-5)))))</f>
        <v>-228823.756535</v>
      </c>
      <c r="C6438" t="n" s="0">
        <v>-228823.75653500005</v>
      </c>
    </row>
    <row r="6439">
      <c r="A6439" t="n" s="0">
        <v>-35.62</v>
      </c>
      <c r="B6439" t="n" s="0">
        <f>(-5-((((-5*(-5/((-5/(((-5*(-35.62--5))-(-5+((-5*-35.62)*(((-5--5)+(-35.62--5))+-35.62))))-(-5+-5)))*-5)))/-5)--5)+(-5*(((-35.62*(-35.62-(-5/-5)))*(-35.62-(-35.62/(-5*-35.62))))-(-5/-5)))))</f>
        <v>-228631.93043999997</v>
      </c>
      <c r="C6439" t="n" s="0">
        <v>-228631.93043999997</v>
      </c>
    </row>
    <row r="6440">
      <c r="A6440" t="n" s="0">
        <v>-35.61</v>
      </c>
      <c r="B6440" t="n" s="0">
        <f>(-5-((((-5*(-5/((-5/(((-5*(-35.61--5))-(-5+((-5*-35.61)*(((-5--5)+(-35.61--5))+-35.61))))-(-5+-5)))*-5)))/-5)--5)+(-5*(((-35.61*(-35.61-(-5/-5)))*(-35.61-(-35.61/(-5*-35.61))))-(-5/-5)))))</f>
        <v>-228440.211605</v>
      </c>
      <c r="C6440" t="n" s="0">
        <v>-228440.21160500002</v>
      </c>
    </row>
    <row r="6441">
      <c r="A6441" t="n" s="0">
        <v>-35.6</v>
      </c>
      <c r="B6441" t="n" s="0">
        <f>(-5-((((-5*(-5/((-5/(((-5*(-35.6--5))-(-5+((-5*-35.6)*(((-5--5)+(-35.6--5))+-35.6))))-(-5+-5)))*-5)))/-5)--5)+(-5*(((-35.6*(-35.6-(-5/-5)))*(-35.6-(-35.6/(-5*-35.6))))-(-5/-5)))))</f>
        <v>-228248.6</v>
      </c>
      <c r="C6441" t="n" s="0">
        <v>-228248.6</v>
      </c>
    </row>
    <row r="6442">
      <c r="A6442" t="n" s="0">
        <v>-35.59</v>
      </c>
      <c r="B6442" t="n" s="0">
        <f>(-5-((((-5*(-5/((-5/(((-5*(-35.59--5))-(-5+((-5*-35.59)*(((-5--5)+(-35.59--5))+-35.59))))-(-5+-5)))*-5)))/-5)--5)+(-5*(((-35.59*(-35.59-(-5/-5)))*(-35.59-(-35.59/(-5*-35.59))))-(-5/-5)))))</f>
        <v>-228057.09559500002</v>
      </c>
      <c r="C6442" t="n" s="0">
        <v>-228057.09559500005</v>
      </c>
    </row>
    <row r="6443">
      <c r="A6443" t="n" s="0">
        <v>-35.58</v>
      </c>
      <c r="B6443" t="n" s="0">
        <f>(-5-((((-5*(-5/((-5/(((-5*(-35.58--5))-(-5+((-5*-35.58)*(((-5--5)+(-35.58--5))+-35.58))))-(-5+-5)))*-5)))/-5)--5)+(-5*(((-35.58*(-35.58-(-5/-5)))*(-35.58-(-35.58/(-5*-35.58))))-(-5/-5)))))</f>
        <v>-227865.69836</v>
      </c>
      <c r="C6443" t="n" s="0">
        <v>-227865.69835999998</v>
      </c>
    </row>
    <row r="6444">
      <c r="A6444" t="n" s="0">
        <v>-35.57</v>
      </c>
      <c r="B6444" t="n" s="0">
        <f>(-5-((((-5*(-5/((-5/(((-5*(-35.57--5))-(-5+((-5*-35.57)*(((-5--5)+(-35.57--5))+-35.57))))-(-5+-5)))*-5)))/-5)--5)+(-5*(((-35.57*(-35.57-(-5/-5)))*(-35.57-(-35.57/(-5*-35.57))))-(-5/-5)))))</f>
        <v>-227674.408265</v>
      </c>
      <c r="C6444" t="n" s="0">
        <v>-227674.408265</v>
      </c>
    </row>
    <row r="6445">
      <c r="A6445" t="n" s="0">
        <v>-35.56</v>
      </c>
      <c r="B6445" t="n" s="0">
        <f>(-5-((((-5*(-5/((-5/(((-5*(-35.56--5))-(-5+((-5*-35.56)*(((-5--5)+(-35.56--5))+-35.56))))-(-5+-5)))*-5)))/-5)--5)+(-5*(((-35.56*(-35.56-(-5/-5)))*(-35.56-(-35.56/(-5*-35.56))))-(-5/-5)))))</f>
        <v>-227483.22528</v>
      </c>
      <c r="C6445" t="n" s="0">
        <v>-227483.22528000004</v>
      </c>
    </row>
    <row r="6446">
      <c r="A6446" t="n" s="0">
        <v>-35.55</v>
      </c>
      <c r="B6446" t="n" s="0">
        <f>(-5-((((-5*(-5/((-5/(((-5*(-35.55--5))-(-5+((-5*-35.55)*(((-5--5)+(-35.55--5))+-35.55))))-(-5+-5)))*-5)))/-5)--5)+(-5*(((-35.55*(-35.55-(-5/-5)))*(-35.55-(-35.55/(-5*-35.55))))-(-5/-5)))))</f>
        <v>-227292.149375</v>
      </c>
      <c r="C6446" t="n" s="0">
        <v>-227292.14937499995</v>
      </c>
    </row>
    <row r="6447">
      <c r="A6447" t="n" s="0">
        <v>-35.54</v>
      </c>
      <c r="B6447" t="n" s="0">
        <f>(-5-((((-5*(-5/((-5/(((-5*(-35.54--5))-(-5+((-5*-35.54)*(((-5--5)+(-35.54--5))+-35.54))))-(-5+-5)))*-5)))/-5)--5)+(-5*(((-35.54*(-35.54-(-5/-5)))*(-35.54-(-35.54/(-5*-35.54))))-(-5/-5)))))</f>
        <v>-227101.18052</v>
      </c>
      <c r="C6447" t="n" s="0">
        <v>-227101.18052</v>
      </c>
    </row>
    <row r="6448">
      <c r="A6448" t="n" s="0">
        <v>-35.53</v>
      </c>
      <c r="B6448" t="n" s="0">
        <f>(-5-((((-5*(-5/((-5/(((-5*(-35.53--5))-(-5+((-5*-35.53)*(((-5--5)+(-35.53--5))+-35.53))))-(-5+-5)))*-5)))/-5)--5)+(-5*(((-35.53*(-35.53-(-5/-5)))*(-35.53-(-35.53/(-5*-35.53))))-(-5/-5)))))</f>
        <v>-226910.31868499998</v>
      </c>
      <c r="C6448" t="n" s="0">
        <v>-226910.31868500003</v>
      </c>
    </row>
    <row r="6449">
      <c r="A6449" t="n" s="0">
        <v>-35.52</v>
      </c>
      <c r="B6449" t="n" s="0">
        <f>(-5-((((-5*(-5/((-5/(((-5*(-35.52--5))-(-5+((-5*-35.52)*(((-5--5)+(-35.52--5))+-35.52))))-(-5+-5)))*-5)))/-5)--5)+(-5*(((-35.52*(-35.52-(-5/-5)))*(-35.52-(-35.52/(-5*-35.52))))-(-5/-5)))))</f>
        <v>-226719.56384000002</v>
      </c>
      <c r="C6449" t="n" s="0">
        <v>-226719.56384000005</v>
      </c>
    </row>
    <row r="6450">
      <c r="A6450" t="n" s="0">
        <v>-35.51</v>
      </c>
      <c r="B6450" t="n" s="0">
        <f>(-5-((((-5*(-5/((-5/(((-5*(-35.51--5))-(-5+((-5*-35.51)*(((-5--5)+(-35.51--5))+-35.51))))-(-5+-5)))*-5)))/-5)--5)+(-5*(((-35.51*(-35.51-(-5/-5)))*(-35.51-(-35.51/(-5*-35.51))))-(-5/-5)))))</f>
        <v>-226528.91595499997</v>
      </c>
      <c r="C6450" t="n" s="0">
        <v>-226528.91595499995</v>
      </c>
    </row>
    <row r="6451">
      <c r="A6451" t="n" s="0">
        <v>-35.5</v>
      </c>
      <c r="B6451" t="n" s="0">
        <f>(-5-((((-5*(-5/((-5/(((-5*(-35.5--5))-(-5+((-5*-35.5)*(((-5--5)+(-35.5--5))+-35.5))))-(-5+-5)))*-5)))/-5)--5)+(-5*(((-35.5*(-35.5-(-5/-5)))*(-35.5-(-35.5/(-5*-35.5))))-(-5/-5)))))</f>
        <v>-226338.375</v>
      </c>
      <c r="C6451" t="n" s="0">
        <v>-226338.375</v>
      </c>
    </row>
    <row r="6452">
      <c r="A6452" t="n" s="0">
        <v>-35.49</v>
      </c>
      <c r="B6452" t="n" s="0">
        <f>(-5-((((-5*(-5/((-5/(((-5*(-35.49--5))-(-5+((-5*-35.49)*(((-5--5)+(-35.49--5))+-35.49))))-(-5+-5)))*-5)))/-5)--5)+(-5*(((-35.49*(-35.49-(-5/-5)))*(-35.49-(-35.49/(-5*-35.49))))-(-5/-5)))))</f>
        <v>-226147.94094500004</v>
      </c>
      <c r="C6452" t="n" s="0">
        <v>-226147.94094500004</v>
      </c>
    </row>
    <row r="6453">
      <c r="A6453" t="n" s="0">
        <v>-35.48</v>
      </c>
      <c r="B6453" t="n" s="0">
        <f>(-5-((((-5*(-5/((-5/(((-5*(-35.48--5))-(-5+((-5*-35.48)*(((-5--5)+(-35.48--5))+-35.48))))-(-5+-5)))*-5)))/-5)--5)+(-5*(((-35.48*(-35.48-(-5/-5)))*(-35.48-(-35.48/(-5*-35.48))))-(-5/-5)))))</f>
        <v>-225957.61376</v>
      </c>
      <c r="C6453" t="n" s="0">
        <v>-225957.61375999995</v>
      </c>
    </row>
    <row r="6454">
      <c r="A6454" t="n" s="0">
        <v>-35.47</v>
      </c>
      <c r="B6454" t="n" s="0">
        <f>(-5-((((-5*(-5/((-5/(((-5*(-35.47--5))-(-5+((-5*-35.47)*(((-5--5)+(-35.47--5))+-35.47))))-(-5+-5)))*-5)))/-5)--5)+(-5*(((-35.47*(-35.47-(-5/-5)))*(-35.47-(-35.47/(-5*-35.47))))-(-5/-5)))))</f>
        <v>-225767.393415</v>
      </c>
      <c r="C6454" t="n" s="0">
        <v>-225767.39341499997</v>
      </c>
    </row>
    <row r="6455">
      <c r="A6455" t="n" s="0">
        <v>-35.46</v>
      </c>
      <c r="B6455" t="n" s="0">
        <f>(-5-((((-5*(-5/((-5/(((-5*(-35.46--5))-(-5+((-5*-35.46)*(((-5--5)+(-35.46--5))+-35.46))))-(-5+-5)))*-5)))/-5)--5)+(-5*(((-35.46*(-35.46-(-5/-5)))*(-35.46-(-35.46/(-5*-35.46))))-(-5/-5)))))</f>
        <v>-225577.27988000002</v>
      </c>
      <c r="C6455" t="n" s="0">
        <v>-225577.27988000002</v>
      </c>
    </row>
    <row r="6456">
      <c r="A6456" t="n" s="0">
        <v>-35.45</v>
      </c>
      <c r="B6456" t="n" s="0">
        <f>(-5-((((-5*(-5/((-5/(((-5*(-35.45--5))-(-5+((-5*-35.45)*(((-5--5)+(-35.45--5))+-35.45))))-(-5+-5)))*-5)))/-5)--5)+(-5*(((-35.45*(-35.45-(-5/-5)))*(-35.45-(-35.45/(-5*-35.45))))-(-5/-5)))))</f>
        <v>-225387.27312499998</v>
      </c>
      <c r="C6456" t="n" s="0">
        <v>-225387.27312500007</v>
      </c>
    </row>
    <row r="6457">
      <c r="A6457" t="n" s="0">
        <v>-35.44</v>
      </c>
      <c r="B6457" t="n" s="0">
        <f>(-5-((((-5*(-5/((-5/(((-5*(-35.44--5))-(-5+((-5*-35.44)*(((-5--5)+(-35.44--5))+-35.44))))-(-5+-5)))*-5)))/-5)--5)+(-5*(((-35.44*(-35.44-(-5/-5)))*(-35.44-(-35.44/(-5*-35.44))))-(-5/-5)))))</f>
        <v>-225197.37312</v>
      </c>
      <c r="C6457" t="n" s="0">
        <v>-225197.37311999997</v>
      </c>
    </row>
    <row r="6458">
      <c r="A6458" t="n" s="0">
        <v>-35.43</v>
      </c>
      <c r="B6458" t="n" s="0">
        <f>(-5-((((-5*(-5/((-5/(((-5*(-35.43--5))-(-5+((-5*-35.43)*(((-5--5)+(-35.43--5))+-35.43))))-(-5+-5)))*-5)))/-5)--5)+(-5*(((-35.43*(-35.43-(-5/-5)))*(-35.43-(-35.43/(-5*-35.43))))-(-5/-5)))))</f>
        <v>-225007.57983499998</v>
      </c>
      <c r="C6458" t="n" s="0">
        <v>-225007.579835</v>
      </c>
    </row>
    <row r="6459">
      <c r="A6459" t="n" s="0">
        <v>-35.42</v>
      </c>
      <c r="B6459" t="n" s="0">
        <f>(-5-((((-5*(-5/((-5/(((-5*(-35.42--5))-(-5+((-5*-35.42)*(((-5--5)+(-35.42--5))+-35.42))))-(-5+-5)))*-5)))/-5)--5)+(-5*(((-35.42*(-35.42-(-5/-5)))*(-35.42-(-35.42/(-5*-35.42))))-(-5/-5)))))</f>
        <v>-224817.89324</v>
      </c>
      <c r="C6459" t="n" s="0">
        <v>-224817.89324000003</v>
      </c>
    </row>
    <row r="6460">
      <c r="A6460" t="n" s="0">
        <v>-35.41</v>
      </c>
      <c r="B6460" t="n" s="0">
        <f>(-5-((((-5*(-5/((-5/(((-5*(-35.41--5))-(-5+((-5*-35.41)*(((-5--5)+(-35.41--5))+-35.41))))-(-5+-5)))*-5)))/-5)--5)+(-5*(((-35.41*(-35.41-(-5/-5)))*(-35.41-(-35.41/(-5*-35.41))))-(-5/-5)))))</f>
        <v>-224628.31330499996</v>
      </c>
      <c r="C6460" t="n" s="0">
        <v>-224628.31330499993</v>
      </c>
    </row>
    <row r="6461">
      <c r="A6461" t="n" s="0">
        <v>-35.4</v>
      </c>
      <c r="B6461" t="n" s="0">
        <f>(-5-((((-5*(-5/((-5/(((-5*(-35.4--5))-(-5+((-5*-35.4)*(((-5--5)+(-35.4--5))+-35.4))))-(-5+-5)))*-5)))/-5)--5)+(-5*(((-35.4*(-35.4-(-5/-5)))*(-35.4-(-35.4/(-5*-35.4))))-(-5/-5)))))</f>
        <v>-224438.84</v>
      </c>
      <c r="C6461" t="n" s="0">
        <v>-224438.84</v>
      </c>
    </row>
    <row r="6462">
      <c r="A6462" t="n" s="0">
        <v>-35.39</v>
      </c>
      <c r="B6462" t="n" s="0">
        <f>(-5-((((-5*(-5/((-5/(((-5*(-35.39--5))-(-5+((-5*-35.39)*(((-5--5)+(-35.39--5))+-35.39))))-(-5+-5)))*-5)))/-5)--5)+(-5*(((-35.39*(-35.39-(-5/-5)))*(-35.39-(-35.39/(-5*-35.39))))-(-5/-5)))))</f>
        <v>-224249.473295</v>
      </c>
      <c r="C6462" t="n" s="0">
        <v>-224249.473295</v>
      </c>
    </row>
    <row r="6463">
      <c r="A6463" t="n" s="0">
        <v>-35.38</v>
      </c>
      <c r="B6463" t="n" s="0">
        <f>(-5-((((-5*(-5/((-5/(((-5*(-35.38--5))-(-5+((-5*-35.38)*(((-5--5)+(-35.38--5))+-35.38))))-(-5+-5)))*-5)))/-5)--5)+(-5*(((-35.38*(-35.38-(-5/-5)))*(-35.38-(-35.38/(-5*-35.38))))-(-5/-5)))))</f>
        <v>-224060.21315999996</v>
      </c>
      <c r="C6463" t="n" s="0">
        <v>-224060.21316000007</v>
      </c>
    </row>
    <row r="6464">
      <c r="A6464" t="n" s="0">
        <v>-35.37</v>
      </c>
      <c r="B6464" t="n" s="0">
        <f>(-5-((((-5*(-5/((-5/(((-5*(-35.37--5))-(-5+((-5*-35.37)*(((-5--5)+(-35.37--5))+-35.37))))-(-5+-5)))*-5)))/-5)--5)+(-5*(((-35.37*(-35.37-(-5/-5)))*(-35.37-(-35.37/(-5*-35.37))))-(-5/-5)))))</f>
        <v>-223871.059565</v>
      </c>
      <c r="C6464" t="n" s="0">
        <v>-223871.05956499994</v>
      </c>
    </row>
    <row r="6465">
      <c r="A6465" t="n" s="0">
        <v>-35.36</v>
      </c>
      <c r="B6465" t="n" s="0">
        <f>(-5-((((-5*(-5/((-5/(((-5*(-35.36--5))-(-5+((-5*-35.36)*(((-5--5)+(-35.36--5))+-35.36))))-(-5+-5)))*-5)))/-5)--5)+(-5*(((-35.36*(-35.36-(-5/-5)))*(-35.36-(-35.36/(-5*-35.36))))-(-5/-5)))))</f>
        <v>-223682.01248</v>
      </c>
      <c r="C6465" t="n" s="0">
        <v>-223682.01247999998</v>
      </c>
    </row>
    <row r="6466">
      <c r="A6466" t="n" s="0">
        <v>-35.35</v>
      </c>
      <c r="B6466" t="n" s="0">
        <f>(-5-((((-5*(-5/((-5/(((-5*(-35.35--5))-(-5+((-5*-35.35)*(((-5--5)+(-35.35--5))+-35.35))))-(-5+-5)))*-5)))/-5)--5)+(-5*(((-35.35*(-35.35-(-5/-5)))*(-35.35-(-35.35/(-5*-35.35))))-(-5/-5)))))</f>
        <v>-223493.071875</v>
      </c>
      <c r="C6466" t="n" s="0">
        <v>-223493.071875</v>
      </c>
    </row>
    <row r="6467">
      <c r="A6467" t="n" s="0">
        <v>-35.34</v>
      </c>
      <c r="B6467" t="n" s="0">
        <f>(-5-((((-5*(-5/((-5/(((-5*(-35.34--5))-(-5+((-5*-35.34)*(((-5--5)+(-35.34--5))+-35.34))))-(-5+-5)))*-5)))/-5)--5)+(-5*(((-35.34*(-35.34-(-5/-5)))*(-35.34-(-35.34/(-5*-35.34))))-(-5/-5)))))</f>
        <v>-223304.23772</v>
      </c>
      <c r="C6467" t="n" s="0">
        <v>-223304.23772000006</v>
      </c>
    </row>
    <row r="6468">
      <c r="A6468" t="n" s="0">
        <v>-35.33</v>
      </c>
      <c r="B6468" t="n" s="0">
        <f>(-5-((((-5*(-5/((-5/(((-5*(-35.33--5))-(-5+((-5*-35.33)*(((-5--5)+(-35.33--5))+-35.33))))-(-5+-5)))*-5)))/-5)--5)+(-5*(((-35.33*(-35.33-(-5/-5)))*(-35.33-(-35.33/(-5*-35.33))))-(-5/-5)))))</f>
        <v>-223115.509985</v>
      </c>
      <c r="C6468" t="n" s="0">
        <v>-223115.50998499995</v>
      </c>
    </row>
    <row r="6469">
      <c r="A6469" t="n" s="0">
        <v>-35.32</v>
      </c>
      <c r="B6469" t="n" s="0">
        <f>(-5-((((-5*(-5/((-5/(((-5*(-35.32--5))-(-5+((-5*-35.32)*(((-5--5)+(-35.32--5))+-35.32))))-(-5+-5)))*-5)))/-5)--5)+(-5*(((-35.32*(-35.32-(-5/-5)))*(-35.32-(-35.32/(-5*-35.32))))-(-5/-5)))))</f>
        <v>-222926.88864</v>
      </c>
      <c r="C6469" t="n" s="0">
        <v>-222926.88864</v>
      </c>
    </row>
    <row r="6470">
      <c r="A6470" t="n" s="0">
        <v>-35.31</v>
      </c>
      <c r="B6470" t="n" s="0">
        <f>(-5-((((-5*(-5/((-5/(((-5*(-35.31--5))-(-5+((-5*-35.31)*(((-5--5)+(-35.31--5))+-35.31))))-(-5+-5)))*-5)))/-5)--5)+(-5*(((-35.31*(-35.31-(-5/-5)))*(-35.31-(-35.31/(-5*-35.31))))-(-5/-5)))))</f>
        <v>-222738.373655</v>
      </c>
      <c r="C6470" t="n" s="0">
        <v>-222738.37365500003</v>
      </c>
    </row>
    <row r="6471">
      <c r="A6471" t="n" s="0">
        <v>-35.3</v>
      </c>
      <c r="B6471" t="n" s="0">
        <f>(-5-((((-5*(-5/((-5/(((-5*(-35.3--5))-(-5+((-5*-35.3)*(((-5--5)+(-35.3--5))+-35.3))))-(-5+-5)))*-5)))/-5)--5)+(-5*(((-35.3*(-35.3-(-5/-5)))*(-35.3-(-35.3/(-5*-35.3))))-(-5/-5)))))</f>
        <v>-222549.965</v>
      </c>
      <c r="C6471" t="n" s="0">
        <v>-222549.96499999994</v>
      </c>
    </row>
    <row r="6472">
      <c r="A6472" t="n" s="0">
        <v>-35.29</v>
      </c>
      <c r="B6472" t="n" s="0">
        <f>(-5-((((-5*(-5/((-5/(((-5*(-35.29--5))-(-5+((-5*-35.29)*(((-5--5)+(-35.29--5))+-35.29))))-(-5+-5)))*-5)))/-5)--5)+(-5*(((-35.29*(-35.29-(-5/-5)))*(-35.29-(-35.29/(-5*-35.29))))-(-5/-5)))))</f>
        <v>-222361.662645</v>
      </c>
      <c r="C6472" t="n" s="0">
        <v>-222361.66264499997</v>
      </c>
    </row>
    <row r="6473">
      <c r="A6473" t="n" s="0">
        <v>-35.28</v>
      </c>
      <c r="B6473" t="n" s="0">
        <f>(-5-((((-5*(-5/((-5/(((-5*(-35.28--5))-(-5+((-5*-35.28)*(((-5--5)+(-35.28--5))+-35.28))))-(-5+-5)))*-5)))/-5)--5)+(-5*(((-35.28*(-35.28-(-5/-5)))*(-35.28-(-35.28/(-5*-35.28))))-(-5/-5)))))</f>
        <v>-222173.46656</v>
      </c>
      <c r="C6473" t="n" s="0">
        <v>-222173.46656000003</v>
      </c>
    </row>
    <row r="6474">
      <c r="A6474" t="n" s="0">
        <v>-35.27</v>
      </c>
      <c r="B6474" t="n" s="0">
        <f>(-5-((((-5*(-5/((-5/(((-5*(-35.27--5))-(-5+((-5*-35.27)*(((-5--5)+(-35.27--5))+-35.27))))-(-5+-5)))*-5)))/-5)--5)+(-5*(((-35.27*(-35.27-(-5/-5)))*(-35.27-(-35.27/(-5*-35.27))))-(-5/-5)))))</f>
        <v>-221985.376715</v>
      </c>
      <c r="C6474" t="n" s="0">
        <v>-221985.37671500002</v>
      </c>
    </row>
    <row r="6475">
      <c r="A6475" t="n" s="0">
        <v>-35.26</v>
      </c>
      <c r="B6475" t="n" s="0">
        <f>(-5-((((-5*(-5/((-5/(((-5*(-35.26--5))-(-5+((-5*-35.26)*(((-5--5)+(-35.26--5))+-35.26))))-(-5+-5)))*-5)))/-5)--5)+(-5*(((-35.26*(-35.26-(-5/-5)))*(-35.26-(-35.26/(-5*-35.26))))-(-5/-5)))))</f>
        <v>-221797.39308</v>
      </c>
      <c r="C6475" t="n" s="0">
        <v>-221797.39307999995</v>
      </c>
    </row>
    <row r="6476">
      <c r="A6476" t="n" s="0">
        <v>-35.25</v>
      </c>
      <c r="B6476" t="n" s="0">
        <f>(-5-((((-5*(-5/((-5/(((-5*(-35.25--5))-(-5+((-5*-35.25)*(((-5--5)+(-35.25--5))+-35.25))))-(-5+-5)))*-5)))/-5)--5)+(-5*(((-35.25*(-35.25-(-5/-5)))*(-35.25-(-35.25/(-5*-35.25))))-(-5/-5)))))</f>
        <v>-221609.515625</v>
      </c>
      <c r="C6476" t="n" s="0">
        <v>-221609.515625</v>
      </c>
    </row>
    <row r="6477">
      <c r="A6477" t="n" s="0">
        <v>-35.24</v>
      </c>
      <c r="B6477" t="n" s="0">
        <f>(-5-((((-5*(-5/((-5/(((-5*(-35.24--5))-(-5+((-5*-35.24)*(((-5--5)+(-35.24--5))+-35.24))))-(-5+-5)))*-5)))/-5)--5)+(-5*(((-35.24*(-35.24-(-5/-5)))*(-35.24-(-35.24/(-5*-35.24))))-(-5/-5)))))</f>
        <v>-221421.74432</v>
      </c>
      <c r="C6477" t="n" s="0">
        <v>-221421.74432000003</v>
      </c>
    </row>
    <row r="6478">
      <c r="A6478" t="n" s="0">
        <v>-35.23</v>
      </c>
      <c r="B6478" t="n" s="0">
        <f>(-5-((((-5*(-5/((-5/(((-5*(-35.23--5))-(-5+((-5*-35.23)*(((-5--5)+(-35.23--5))+-35.23))))-(-5+-5)))*-5)))/-5)--5)+(-5*(((-35.23*(-35.23-(-5/-5)))*(-35.23-(-35.23/(-5*-35.23))))-(-5/-5)))))</f>
        <v>-221234.079135</v>
      </c>
      <c r="C6478" t="n" s="0">
        <v>-221234.07913499998</v>
      </c>
    </row>
    <row r="6479">
      <c r="A6479" t="n" s="0">
        <v>-35.22</v>
      </c>
      <c r="B6479" t="n" s="0">
        <f>(-5-((((-5*(-5/((-5/(((-5*(-35.22--5))-(-5+((-5*-35.22)*(((-5--5)+(-35.22--5))+-35.22))))-(-5+-5)))*-5)))/-5)--5)+(-5*(((-35.22*(-35.22-(-5/-5)))*(-35.22-(-35.22/(-5*-35.22))))-(-5/-5)))))</f>
        <v>-221046.52003999997</v>
      </c>
      <c r="C6479" t="n" s="0">
        <v>-221046.52003999997</v>
      </c>
    </row>
    <row r="6480">
      <c r="A6480" t="n" s="0">
        <v>-35.21</v>
      </c>
      <c r="B6480" t="n" s="0">
        <f>(-5-((((-5*(-5/((-5/(((-5*(-35.21--5))-(-5+((-5*-35.21)*(((-5--5)+(-35.21--5))+-35.21))))-(-5+-5)))*-5)))/-5)--5)+(-5*(((-35.21*(-35.21-(-5/-5)))*(-35.21-(-35.21/(-5*-35.21))))-(-5/-5)))))</f>
        <v>-220859.067005</v>
      </c>
      <c r="C6480" t="n" s="0">
        <v>-220859.06700500002</v>
      </c>
    </row>
    <row r="6481">
      <c r="A6481" t="n" s="0">
        <v>-35.2</v>
      </c>
      <c r="B6481" t="n" s="0">
        <f>(-5-((((-5*(-5/((-5/(((-5*(-35.2--5))-(-5+((-5*-35.2)*(((-5--5)+(-35.2--5))+-35.2))))-(-5+-5)))*-5)))/-5)--5)+(-5*(((-35.2*(-35.2-(-5/-5)))*(-35.2-(-35.2/(-5*-35.2))))-(-5/-5)))))</f>
        <v>-220671.72</v>
      </c>
      <c r="C6481" t="n" s="0">
        <v>-220671.72000000006</v>
      </c>
    </row>
    <row r="6482">
      <c r="A6482" t="n" s="0">
        <v>-35.19</v>
      </c>
      <c r="B6482" t="n" s="0">
        <f>(-5-((((-5*(-5/((-5/(((-5*(-35.19--5))-(-5+((-5*-35.19)*(((-5--5)+(-35.19--5))+-35.19))))-(-5+-5)))*-5)))/-5)--5)+(-5*(((-35.19*(-35.19-(-5/-5)))*(-35.19-(-35.19/(-5*-35.19))))-(-5/-5)))))</f>
        <v>-220484.47899499998</v>
      </c>
      <c r="C6482" t="n" s="0">
        <v>-220484.47899499995</v>
      </c>
    </row>
    <row r="6483">
      <c r="A6483" t="n" s="0">
        <v>-35.18</v>
      </c>
      <c r="B6483" t="n" s="0">
        <f>(-5-((((-5*(-5/((-5/(((-5*(-35.18--5))-(-5+((-5*-35.18)*(((-5--5)+(-35.18--5))+-35.18))))-(-5+-5)))*-5)))/-5)--5)+(-5*(((-35.18*(-35.18-(-5/-5)))*(-35.18-(-35.18/(-5*-35.18))))-(-5/-5)))))</f>
        <v>-220297.34396000003</v>
      </c>
      <c r="C6483" t="n" s="0">
        <v>-220297.34396</v>
      </c>
    </row>
    <row r="6484">
      <c r="A6484" t="n" s="0">
        <v>-35.17</v>
      </c>
      <c r="B6484" t="n" s="0">
        <f>(-5-((((-5*(-5/((-5/(((-5*(-35.17--5))-(-5+((-5*-35.17)*(((-5--5)+(-35.17--5))+-35.17))))-(-5+-5)))*-5)))/-5)--5)+(-5*(((-35.17*(-35.17-(-5/-5)))*(-35.17-(-35.17/(-5*-35.17))))-(-5/-5)))))</f>
        <v>-220110.314865</v>
      </c>
      <c r="C6484" t="n" s="0">
        <v>-220110.31486500002</v>
      </c>
    </row>
    <row r="6485">
      <c r="A6485" t="n" s="0">
        <v>-35.16</v>
      </c>
      <c r="B6485" t="n" s="0">
        <f>(-5-((((-5*(-5/((-5/(((-5*(-35.16--5))-(-5+((-5*-35.16)*(((-5--5)+(-35.16--5))+-35.16))))-(-5+-5)))*-5)))/-5)--5)+(-5*(((-35.16*(-35.16-(-5/-5)))*(-35.16-(-35.16/(-5*-35.16))))-(-5/-5)))))</f>
        <v>-219923.39168</v>
      </c>
      <c r="C6485" t="n" s="0">
        <v>-219923.39167999994</v>
      </c>
    </row>
    <row r="6486">
      <c r="A6486" t="n" s="0">
        <v>-35.15</v>
      </c>
      <c r="B6486" t="n" s="0">
        <f>(-5-((((-5*(-5/((-5/(((-5*(-35.15--5))-(-5+((-5*-35.15)*(((-5--5)+(-35.15--5))+-35.15))))-(-5+-5)))*-5)))/-5)--5)+(-5*(((-35.15*(-35.15-(-5/-5)))*(-35.15-(-35.15/(-5*-35.15))))-(-5/-5)))))</f>
        <v>-219736.57437500003</v>
      </c>
      <c r="C6486" t="n" s="0">
        <v>-219736.574375</v>
      </c>
    </row>
    <row r="6487">
      <c r="A6487" t="n" s="0">
        <v>-35.14</v>
      </c>
      <c r="B6487" t="n" s="0">
        <f>(-5-((((-5*(-5/((-5/(((-5*(-35.14--5))-(-5+((-5*-35.14)*(((-5--5)+(-35.14--5))+-35.14))))-(-5+-5)))*-5)))/-5)--5)+(-5*(((-35.14*(-35.14-(-5/-5)))*(-35.14-(-35.14/(-5*-35.14))))-(-5/-5)))))</f>
        <v>-219549.86291999999</v>
      </c>
      <c r="C6487" t="n" s="0">
        <v>-219549.86292000004</v>
      </c>
    </row>
    <row r="6488">
      <c r="A6488" t="n" s="0">
        <v>-35.13</v>
      </c>
      <c r="B6488" t="n" s="0">
        <f>(-5-((((-5*(-5/((-5/(((-5*(-35.13--5))-(-5+((-5*-35.13)*(((-5--5)+(-35.13--5))+-35.13))))-(-5+-5)))*-5)))/-5)--5)+(-5*(((-35.13*(-35.13-(-5/-5)))*(-35.13-(-35.13/(-5*-35.13))))-(-5/-5)))))</f>
        <v>-219363.25728499997</v>
      </c>
      <c r="C6488" t="n" s="0">
        <v>-219363.25728500006</v>
      </c>
    </row>
    <row r="6489">
      <c r="A6489" t="n" s="0">
        <v>-35.12</v>
      </c>
      <c r="B6489" t="n" s="0">
        <f>(-5-((((-5*(-5/((-5/(((-5*(-35.12--5))-(-5+((-5*-35.12)*(((-5--5)+(-35.12--5))+-35.12))))-(-5+-5)))*-5)))/-5)--5)+(-5*(((-35.12*(-35.12-(-5/-5)))*(-35.12-(-35.12/(-5*-35.12))))-(-5/-5)))))</f>
        <v>-219176.75744</v>
      </c>
      <c r="C6489" t="n" s="0">
        <v>-219176.75743999993</v>
      </c>
    </row>
    <row r="6490">
      <c r="A6490" t="n" s="0">
        <v>-35.11</v>
      </c>
      <c r="B6490" t="n" s="0">
        <f>(-5-((((-5*(-5/((-5/(((-5*(-35.11--5))-(-5+((-5*-35.11)*(((-5--5)+(-35.11--5))+-35.11))))-(-5+-5)))*-5)))/-5)--5)+(-5*(((-35.11*(-35.11-(-5/-5)))*(-35.11-(-35.11/(-5*-35.11))))-(-5/-5)))))</f>
        <v>-218990.36335499998</v>
      </c>
      <c r="C6490" t="n" s="0">
        <v>-218990.36335499998</v>
      </c>
    </row>
    <row r="6491">
      <c r="A6491" t="n" s="0">
        <v>-35.1</v>
      </c>
      <c r="B6491" t="n" s="0">
        <f>(-5-((((-5*(-5/((-5/(((-5*(-35.1--5))-(-5+((-5*-35.1)*(((-5--5)+(-35.1--5))+-35.1))))-(-5+-5)))*-5)))/-5)--5)+(-5*(((-35.1*(-35.1-(-5/-5)))*(-35.1-(-35.1/(-5*-35.1))))-(-5/-5)))))</f>
        <v>-218804.075</v>
      </c>
      <c r="C6491" t="n" s="0">
        <v>-218804.075</v>
      </c>
    </row>
    <row r="6492">
      <c r="A6492" t="n" s="0">
        <v>-35.09</v>
      </c>
      <c r="B6492" t="n" s="0">
        <f>(-5-((((-5*(-5/((-5/(((-5*(-35.09--5))-(-5+((-5*-35.09)*(((-5--5)+(-35.09--5))+-35.09))))-(-5+-5)))*-5)))/-5)--5)+(-5*(((-35.09*(-35.09-(-5/-5)))*(-35.09-(-35.09/(-5*-35.09))))-(-5/-5)))))</f>
        <v>-218617.892345</v>
      </c>
      <c r="C6492" t="n" s="0">
        <v>-218617.89234500006</v>
      </c>
    </row>
    <row r="6493">
      <c r="A6493" t="n" s="0">
        <v>-35.08</v>
      </c>
      <c r="B6493" t="n" s="0">
        <f>(-5-((((-5*(-5/((-5/(((-5*(-35.08--5))-(-5+((-5*-35.08)*(((-5--5)+(-35.08--5))+-35.08))))-(-5+-5)))*-5)))/-5)--5)+(-5*(((-35.08*(-35.08-(-5/-5)))*(-35.08-(-35.08/(-5*-35.08))))-(-5/-5)))))</f>
        <v>-218431.81536</v>
      </c>
      <c r="C6493" t="n" s="0">
        <v>-218431.81535999995</v>
      </c>
    </row>
    <row r="6494">
      <c r="A6494" t="n" s="0">
        <v>-35.07</v>
      </c>
      <c r="B6494" t="n" s="0">
        <f>(-5-((((-5*(-5/((-5/(((-5*(-35.07--5))-(-5+((-5*-35.07)*(((-5--5)+(-35.07--5))+-35.07))))-(-5+-5)))*-5)))/-5)--5)+(-5*(((-35.07*(-35.07-(-5/-5)))*(-35.07-(-35.07/(-5*-35.07))))-(-5/-5)))))</f>
        <v>-218245.84401499998</v>
      </c>
      <c r="C6494" t="n" s="0">
        <v>-218245.844015</v>
      </c>
    </row>
    <row r="6495">
      <c r="A6495" t="n" s="0">
        <v>-35.06</v>
      </c>
      <c r="B6495" t="n" s="0">
        <f>(-5-((((-5*(-5/((-5/(((-5*(-35.06--5))-(-5+((-5*-35.06)*(((-5--5)+(-35.06--5))+-35.06))))-(-5+-5)))*-5)))/-5)--5)+(-5*(((-35.06*(-35.06-(-5/-5)))*(-35.06-(-35.06/(-5*-35.06))))-(-5/-5)))))</f>
        <v>-218059.97828</v>
      </c>
      <c r="C6495" t="n" s="0">
        <v>-218059.97828000004</v>
      </c>
    </row>
    <row r="6496">
      <c r="A6496" t="n" s="0">
        <v>-35.05</v>
      </c>
      <c r="B6496" t="n" s="0">
        <f>(-5-((((-5*(-5/((-5/(((-5*(-35.05--5))-(-5+((-5*-35.05)*(((-5--5)+(-35.05--5))+-35.05))))-(-5+-5)))*-5)))/-5)--5)+(-5*(((-35.05*(-35.05-(-5/-5)))*(-35.05-(-35.05/(-5*-35.05))))-(-5/-5)))))</f>
        <v>-217874.218125</v>
      </c>
      <c r="C6496" t="n" s="0">
        <v>-217874.21812499993</v>
      </c>
    </row>
    <row r="6497">
      <c r="A6497" t="n" s="0">
        <v>-35.04</v>
      </c>
      <c r="B6497" t="n" s="0">
        <f>(-5-((((-5*(-5/((-5/(((-5*(-35.04--5))-(-5+((-5*-35.04)*(((-5--5)+(-35.04--5))+-35.04))))-(-5+-5)))*-5)))/-5)--5)+(-5*(((-35.04*(-35.04-(-5/-5)))*(-35.04-(-35.04/(-5*-35.04))))-(-5/-5)))))</f>
        <v>-217688.56352</v>
      </c>
      <c r="C6497" t="n" s="0">
        <v>-217688.56352</v>
      </c>
    </row>
    <row r="6498">
      <c r="A6498" t="n" s="0">
        <v>-35.03</v>
      </c>
      <c r="B6498" t="n" s="0">
        <f>(-5-((((-5*(-5/((-5/(((-5*(-35.03--5))-(-5+((-5*-35.03)*(((-5--5)+(-35.03--5))+-35.03))))-(-5+-5)))*-5)))/-5)--5)+(-5*(((-35.03*(-35.03-(-5/-5)))*(-35.03-(-35.03/(-5*-35.03))))-(-5/-5)))))</f>
        <v>-217503.01443500002</v>
      </c>
      <c r="C6498" t="n" s="0">
        <v>-217503.01443500002</v>
      </c>
    </row>
    <row r="6499">
      <c r="A6499" t="n" s="0">
        <v>-35.02</v>
      </c>
      <c r="B6499" t="n" s="0">
        <f>(-5-((((-5*(-5/((-5/(((-5*(-35.02--5))-(-5+((-5*-35.02)*(((-5--5)+(-35.02--5))+-35.02))))-(-5+-5)))*-5)))/-5)--5)+(-5*(((-35.02*(-35.02-(-5/-5)))*(-35.02-(-35.02/(-5*-35.02))))-(-5/-5)))))</f>
        <v>-217317.57084</v>
      </c>
      <c r="C6499" t="n" s="0">
        <v>-217317.57084000006</v>
      </c>
    </row>
    <row r="6500">
      <c r="A6500" t="n" s="0">
        <v>-35.01</v>
      </c>
      <c r="B6500" t="n" s="0">
        <f>(-5-((((-5*(-5/((-5/(((-5*(-35.01--5))-(-5+((-5*-35.01)*(((-5--5)+(-35.01--5))+-35.01))))-(-5+-5)))*-5)))/-5)--5)+(-5*(((-35.01*(-35.01-(-5/-5)))*(-35.01-(-35.01/(-5*-35.01))))-(-5/-5)))))</f>
        <v>-217132.232705</v>
      </c>
      <c r="C6500" t="n" s="0">
        <v>-217132.23270499994</v>
      </c>
    </row>
    <row r="6501">
      <c r="A6501" t="n" s="0">
        <v>-35.0</v>
      </c>
      <c r="B6501" t="n" s="0">
        <f>(-5-((((-5*(-5/((-5/(((-5*(-35--5))-(-5+((-5*-35)*(((-5--5)+(-35--5))+-35))))-(-5+-5)))*-5)))/-5)--5)+(-5*(((-35*(-35-(-5/-5)))*(-35-(-35/(-5*-35))))-(-5/-5)))))</f>
        <v>-216947.0</v>
      </c>
      <c r="C6501" t="n" s="0">
        <v>-216947.0</v>
      </c>
    </row>
    <row r="6502">
      <c r="A6502" t="n" s="0">
        <v>-34.99</v>
      </c>
      <c r="B6502" t="n" s="0">
        <f>(-5-((((-5*(-5/((-5/(((-5*(-34.99--5))-(-5+((-5*-34.99)*(((-5--5)+(-34.99--5))+-34.99))))-(-5+-5)))*-5)))/-5)--5)+(-5*(((-34.99*(-34.99-(-5/-5)))*(-34.99-(-34.99/(-5*-34.99))))-(-5/-5)))))</f>
        <v>-216761.872695</v>
      </c>
      <c r="C6502" t="n" s="0">
        <v>-216761.87269500006</v>
      </c>
    </row>
    <row r="6503">
      <c r="A6503" t="n" s="0">
        <v>-34.98</v>
      </c>
      <c r="B6503" t="n" s="0">
        <f>(-5-((((-5*(-5/((-5/(((-5*(-34.98--5))-(-5+((-5*-34.98)*(((-5--5)+(-34.98--5))+-34.98))))-(-5+-5)))*-5)))/-5)--5)+(-5*(((-34.98*(-34.98-(-5/-5)))*(-34.98-(-34.98/(-5*-34.98))))-(-5/-5)))))</f>
        <v>-216576.85076</v>
      </c>
      <c r="C6503" t="n" s="0">
        <v>-216576.85075999994</v>
      </c>
    </row>
    <row r="6504">
      <c r="A6504" t="n" s="0">
        <v>-34.97</v>
      </c>
      <c r="B6504" t="n" s="0">
        <f>(-5-((((-5*(-5/((-5/(((-5*(-34.97--5))-(-5+((-5*-34.97)*(((-5--5)+(-34.97--5))+-34.97))))-(-5+-5)))*-5)))/-5)--5)+(-5*(((-34.97*(-34.97-(-5/-5)))*(-34.97-(-34.97/(-5*-34.97))))-(-5/-5)))))</f>
        <v>-216391.93416499998</v>
      </c>
      <c r="C6504" t="n" s="0">
        <v>-216391.93416499998</v>
      </c>
    </row>
    <row r="6505">
      <c r="A6505" t="n" s="0">
        <v>-34.96</v>
      </c>
      <c r="B6505" t="n" s="0">
        <f>(-5-((((-5*(-5/((-5/(((-5*(-34.96--5))-(-5+((-5*-34.96)*(((-5--5)+(-34.96--5))+-34.96))))-(-5+-5)))*-5)))/-5)--5)+(-5*(((-34.96*(-34.96-(-5/-5)))*(-34.96-(-34.96/(-5*-34.96))))-(-5/-5)))))</f>
        <v>-216207.12288000004</v>
      </c>
      <c r="C6505" t="n" s="0">
        <v>-216207.12288000004</v>
      </c>
    </row>
    <row r="6506">
      <c r="A6506" t="n" s="0">
        <v>-34.95</v>
      </c>
      <c r="B6506" t="n" s="0">
        <f>(-5-((((-5*(-5/((-5/(((-5*(-34.95--5))-(-5+((-5*-34.95)*(((-5--5)+(-34.95--5))+-34.95))))-(-5+-5)))*-5)))/-5)--5)+(-5*(((-34.95*(-34.95-(-5/-5)))*(-34.95-(-34.95/(-5*-34.95))))-(-5/-5)))))</f>
        <v>-216022.41687500002</v>
      </c>
      <c r="C6506" t="n" s="0">
        <v>-216022.41687500008</v>
      </c>
    </row>
    <row r="6507">
      <c r="A6507" t="n" s="0">
        <v>-34.94</v>
      </c>
      <c r="B6507" t="n" s="0">
        <f>(-5-((((-5*(-5/((-5/(((-5*(-34.94--5))-(-5+((-5*-34.94)*(((-5--5)+(-34.94--5))+-34.94))))-(-5+-5)))*-5)))/-5)--5)+(-5*(((-34.94*(-34.94-(-5/-5)))*(-34.94-(-34.94/(-5*-34.94))))-(-5/-5)))))</f>
        <v>-215837.81612</v>
      </c>
      <c r="C6507" t="n" s="0">
        <v>-215837.81611999994</v>
      </c>
    </row>
    <row r="6508">
      <c r="A6508" t="n" s="0">
        <v>-34.93</v>
      </c>
      <c r="B6508" t="n" s="0">
        <f>(-5-((((-5*(-5/((-5/(((-5*(-34.93--5))-(-5+((-5*-34.93)*(((-5--5)+(-34.93--5))+-34.93))))-(-5+-5)))*-5)))/-5)--5)+(-5*(((-34.93*(-34.93-(-5/-5)))*(-34.93-(-34.93/(-5*-34.93))))-(-5/-5)))))</f>
        <v>-215653.32058499998</v>
      </c>
      <c r="C6508" t="n" s="0">
        <v>-215653.320585</v>
      </c>
    </row>
    <row r="6509">
      <c r="A6509" t="n" s="0">
        <v>-34.92</v>
      </c>
      <c r="B6509" t="n" s="0">
        <f>(-5-((((-5*(-5/((-5/(((-5*(-34.92--5))-(-5+((-5*-34.92)*(((-5--5)+(-34.92--5))+-34.92))))-(-5+-5)))*-5)))/-5)--5)+(-5*(((-34.92*(-34.92-(-5/-5)))*(-34.92-(-34.92/(-5*-34.92))))-(-5/-5)))))</f>
        <v>-215468.93024000002</v>
      </c>
      <c r="C6509" t="n" s="0">
        <v>-215468.93024000007</v>
      </c>
    </row>
    <row r="6510">
      <c r="A6510" t="n" s="0">
        <v>-34.91</v>
      </c>
      <c r="B6510" t="n" s="0">
        <f>(-5-((((-5*(-5/((-5/(((-5*(-34.91--5))-(-5+((-5*-34.91)*(((-5--5)+(-34.91--5))+-34.91))))-(-5+-5)))*-5)))/-5)--5)+(-5*(((-34.91*(-34.91-(-5/-5)))*(-34.91-(-34.91/(-5*-34.91))))-(-5/-5)))))</f>
        <v>-215284.645055</v>
      </c>
      <c r="C6510" t="n" s="0">
        <v>-215284.64505499994</v>
      </c>
    </row>
    <row r="6511">
      <c r="A6511" t="n" s="0">
        <v>-34.9</v>
      </c>
      <c r="B6511" t="n" s="0">
        <f>(-5-((((-5*(-5/((-5/(((-5*(-34.9--5))-(-5+((-5*-34.9)*(((-5--5)+(-34.9--5))+-34.9))))-(-5+-5)))*-5)))/-5)--5)+(-5*(((-34.9*(-34.9-(-5/-5)))*(-34.9-(-34.9/(-5*-34.9))))-(-5/-5)))))</f>
        <v>-215100.465</v>
      </c>
      <c r="C6511" t="n" s="0">
        <v>-215100.46499999997</v>
      </c>
    </row>
    <row r="6512">
      <c r="A6512" t="n" s="0">
        <v>-34.89</v>
      </c>
      <c r="B6512" t="n" s="0">
        <f>(-5-((((-5*(-5/((-5/(((-5*(-34.89--5))-(-5+((-5*-34.89)*(((-5--5)+(-34.89--5))+-34.89))))-(-5+-5)))*-5)))/-5)--5)+(-5*(((-34.89*(-34.89-(-5/-5)))*(-34.89-(-34.89/(-5*-34.89))))-(-5/-5)))))</f>
        <v>-214916.39004499998</v>
      </c>
      <c r="C6512" t="n" s="0">
        <v>-214916.390045</v>
      </c>
    </row>
    <row r="6513">
      <c r="A6513" t="n" s="0">
        <v>-34.88</v>
      </c>
      <c r="B6513" t="n" s="0">
        <f>(-5-((((-5*(-5/((-5/(((-5*(-34.88--5))-(-5+((-5*-34.88)*(((-5--5)+(-34.88--5))+-34.88))))-(-5+-5)))*-5)))/-5)--5)+(-5*(((-34.88*(-34.88-(-5/-5)))*(-34.88-(-34.88/(-5*-34.88))))-(-5/-5)))))</f>
        <v>-214732.42016</v>
      </c>
      <c r="C6513" t="n" s="0">
        <v>-214732.42016000007</v>
      </c>
    </row>
    <row r="6514">
      <c r="A6514" t="n" s="0">
        <v>-34.87</v>
      </c>
      <c r="B6514" t="n" s="0">
        <f>(-5-((((-5*(-5/((-5/(((-5*(-34.87--5))-(-5+((-5*-34.87)*(((-5--5)+(-34.87--5))+-34.87))))-(-5+-5)))*-5)))/-5)--5)+(-5*(((-34.87*(-34.87-(-5/-5)))*(-34.87-(-34.87/(-5*-34.87))))-(-5/-5)))))</f>
        <v>-214548.555315</v>
      </c>
      <c r="C6514" t="n" s="0">
        <v>-214548.55531499992</v>
      </c>
    </row>
    <row r="6515">
      <c r="A6515" t="n" s="0">
        <v>-34.86</v>
      </c>
      <c r="B6515" t="n" s="0">
        <f>(-5-((((-5*(-5/((-5/(((-5*(-34.86--5))-(-5+((-5*-34.86)*(((-5--5)+(-34.86--5))+-34.86))))-(-5+-5)))*-5)))/-5)--5)+(-5*(((-34.86*(-34.86-(-5/-5)))*(-34.86-(-34.86/(-5*-34.86))))-(-5/-5)))))</f>
        <v>-214364.79548</v>
      </c>
      <c r="C6515" t="n" s="0">
        <v>-214364.79547999997</v>
      </c>
    </row>
    <row r="6516">
      <c r="A6516" t="n" s="0">
        <v>-34.85</v>
      </c>
      <c r="B6516" t="n" s="0">
        <f>(-5-((((-5*(-5/((-5/(((-5*(-34.85--5))-(-5+((-5*-34.85)*(((-5--5)+(-34.85--5))+-34.85))))-(-5+-5)))*-5)))/-5)--5)+(-5*(((-34.85*(-34.85-(-5/-5)))*(-34.85-(-34.85/(-5*-34.85))))-(-5/-5)))))</f>
        <v>-214181.140625</v>
      </c>
      <c r="C6516" t="n" s="0">
        <v>-214181.14062500003</v>
      </c>
    </row>
    <row r="6517">
      <c r="A6517" t="n" s="0">
        <v>-34.84</v>
      </c>
      <c r="B6517" t="n" s="0">
        <f>(-5-((((-5*(-5/((-5/(((-5*(-34.84--5))-(-5+((-5*-34.84)*(((-5--5)+(-34.84--5))+-34.84))))-(-5+-5)))*-5)))/-5)--5)+(-5*(((-34.84*(-34.84-(-5/-5)))*(-34.84-(-34.84/(-5*-34.84))))-(-5/-5)))))</f>
        <v>-213997.59072</v>
      </c>
      <c r="C6517" t="n" s="0">
        <v>-213997.59072000004</v>
      </c>
    </row>
    <row r="6518">
      <c r="A6518" t="n" s="0">
        <v>-34.83</v>
      </c>
      <c r="B6518" t="n" s="0">
        <f>(-5-((((-5*(-5/((-5/(((-5*(-34.83--5))-(-5+((-5*-34.83)*(((-5--5)+(-34.83--5))+-34.83))))-(-5+-5)))*-5)))/-5)--5)+(-5*(((-34.83*(-34.83-(-5/-5)))*(-34.83-(-34.83/(-5*-34.83))))-(-5/-5)))))</f>
        <v>-213814.145735</v>
      </c>
      <c r="C6518" t="n" s="0">
        <v>-213814.14573499997</v>
      </c>
    </row>
    <row r="6519">
      <c r="A6519" t="n" s="0">
        <v>-34.82</v>
      </c>
      <c r="B6519" t="n" s="0">
        <f>(-5-((((-5*(-5/((-5/(((-5*(-34.82--5))-(-5+((-5*-34.82)*(((-5--5)+(-34.82--5))+-34.82))))-(-5+-5)))*-5)))/-5)--5)+(-5*(((-34.82*(-34.82-(-5/-5)))*(-34.82-(-34.82/(-5*-34.82))))-(-5/-5)))))</f>
        <v>-213630.80563999998</v>
      </c>
      <c r="C6519" t="n" s="0">
        <v>-213630.80564</v>
      </c>
    </row>
    <row r="6520">
      <c r="A6520" t="n" s="0">
        <v>-34.81</v>
      </c>
      <c r="B6520" t="n" s="0">
        <f>(-5-((((-5*(-5/((-5/(((-5*(-34.81--5))-(-5+((-5*-34.81)*(((-5--5)+(-34.81--5))+-34.81))))-(-5+-5)))*-5)))/-5)--5)+(-5*(((-34.81*(-34.81-(-5/-5)))*(-34.81-(-34.81/(-5*-34.81))))-(-5/-5)))))</f>
        <v>-213447.570405</v>
      </c>
      <c r="C6520" t="n" s="0">
        <v>-213447.57040500003</v>
      </c>
    </row>
    <row r="6521">
      <c r="A6521" t="n" s="0">
        <v>-34.8</v>
      </c>
      <c r="B6521" t="n" s="0">
        <f>(-5-((((-5*(-5/((-5/(((-5*(-34.8--5))-(-5+((-5*-34.8)*(((-5--5)+(-34.8--5))+-34.8))))-(-5+-5)))*-5)))/-5)--5)+(-5*(((-34.8*(-34.8-(-5/-5)))*(-34.8-(-34.8/(-5*-34.8))))-(-5/-5)))))</f>
        <v>-213264.44</v>
      </c>
      <c r="C6521" t="n" s="0">
        <v>-213264.43999999992</v>
      </c>
    </row>
    <row r="6522">
      <c r="A6522" t="n" s="0">
        <v>-34.79</v>
      </c>
      <c r="B6522" t="n" s="0">
        <f>(-5-((((-5*(-5/((-5/(((-5*(-34.79--5))-(-5+((-5*-34.79)*(((-5--5)+(-34.79--5))+-34.79))))-(-5+-5)))*-5)))/-5)--5)+(-5*(((-34.79*(-34.79-(-5/-5)))*(-34.79-(-34.79/(-5*-34.79))))-(-5/-5)))))</f>
        <v>-213081.414395</v>
      </c>
      <c r="C6522" t="n" s="0">
        <v>-213081.414395</v>
      </c>
    </row>
    <row r="6523">
      <c r="A6523" t="n" s="0">
        <v>-34.78</v>
      </c>
      <c r="B6523" t="n" s="0">
        <f>(-5-((((-5*(-5/((-5/(((-5*(-34.78--5))-(-5+((-5*-34.78)*(((-5--5)+(-34.78--5))+-34.78))))-(-5+-5)))*-5)))/-5)--5)+(-5*(((-34.78*(-34.78-(-5/-5)))*(-34.78-(-34.78/(-5*-34.78))))-(-5/-5)))))</f>
        <v>-212898.49356</v>
      </c>
      <c r="C6523" t="n" s="0">
        <v>-212898.49356000003</v>
      </c>
    </row>
    <row r="6524">
      <c r="A6524" t="n" s="0">
        <v>-34.77</v>
      </c>
      <c r="B6524" t="n" s="0">
        <f>(-5-((((-5*(-5/((-5/(((-5*(-34.77--5))-(-5+((-5*-34.77)*(((-5--5)+(-34.77--5))+-34.77))))-(-5+-5)))*-5)))/-5)--5)+(-5*(((-34.77*(-34.77-(-5/-5)))*(-34.77-(-34.77/(-5*-34.77))))-(-5/-5)))))</f>
        <v>-212715.67746500002</v>
      </c>
      <c r="C6524" t="n" s="0">
        <v>-212715.67746500007</v>
      </c>
    </row>
    <row r="6525">
      <c r="A6525" t="n" s="0">
        <v>-34.76</v>
      </c>
      <c r="B6525" t="n" s="0">
        <f>(-5-((((-5*(-5/((-5/(((-5*(-34.76--5))-(-5+((-5*-34.76)*(((-5--5)+(-34.76--5))+-34.76))))-(-5+-5)))*-5)))/-5)--5)+(-5*(((-34.76*(-34.76-(-5/-5)))*(-34.76-(-34.76/(-5*-34.76))))-(-5/-5)))))</f>
        <v>-212532.96608</v>
      </c>
      <c r="C6525" t="n" s="0">
        <v>-212532.96607999995</v>
      </c>
    </row>
    <row r="6526">
      <c r="A6526" t="n" s="0">
        <v>-34.75</v>
      </c>
      <c r="B6526" t="n" s="0">
        <f>(-5-((((-5*(-5/((-5/(((-5*(-34.75--5))-(-5+((-5*-34.75)*(((-5--5)+(-34.75--5))+-34.75))))-(-5+-5)))*-5)))/-5)--5)+(-5*(((-34.75*(-34.75-(-5/-5)))*(-34.75-(-34.75/(-5*-34.75))))-(-5/-5)))))</f>
        <v>-212350.359375</v>
      </c>
      <c r="C6526" t="n" s="0">
        <v>-212350.359375</v>
      </c>
    </row>
    <row r="6527">
      <c r="A6527" t="n" s="0">
        <v>-34.74</v>
      </c>
      <c r="B6527" t="n" s="0">
        <f>(-5-((((-5*(-5/((-5/(((-5*(-34.74--5))-(-5+((-5*-34.74)*(((-5--5)+(-34.74--5))+-34.74))))-(-5+-5)))*-5)))/-5)--5)+(-5*(((-34.74*(-34.74-(-5/-5)))*(-34.74-(-34.74/(-5*-34.74))))-(-5/-5)))))</f>
        <v>-212167.85732</v>
      </c>
      <c r="C6527" t="n" s="0">
        <v>-212167.85732000004</v>
      </c>
    </row>
    <row r="6528">
      <c r="A6528" t="n" s="0">
        <v>-34.73</v>
      </c>
      <c r="B6528" t="n" s="0">
        <f>(-5-((((-5*(-5/((-5/(((-5*(-34.73--5))-(-5+((-5*-34.73)*(((-5--5)+(-34.73--5))+-34.73))))-(-5+-5)))*-5)))/-5)--5)+(-5*(((-34.73*(-34.73-(-5/-5)))*(-34.73-(-34.73/(-5*-34.73))))-(-5/-5)))))</f>
        <v>-211985.459885</v>
      </c>
      <c r="C6528" t="n" s="0">
        <v>-211985.45988499996</v>
      </c>
    </row>
    <row r="6529">
      <c r="A6529" t="n" s="0">
        <v>-34.72</v>
      </c>
      <c r="B6529" t="n" s="0">
        <f>(-5-((((-5*(-5/((-5/(((-5*(-34.72--5))-(-5+((-5*-34.72)*(((-5--5)+(-34.72--5))+-34.72))))-(-5+-5)))*-5)))/-5)--5)+(-5*(((-34.72*(-34.72-(-5/-5)))*(-34.72-(-34.72/(-5*-34.72))))-(-5/-5)))))</f>
        <v>-211803.16704</v>
      </c>
      <c r="C6529" t="n" s="0">
        <v>-211803.16703999994</v>
      </c>
    </row>
    <row r="6530">
      <c r="A6530" t="n" s="0">
        <v>-34.71</v>
      </c>
      <c r="B6530" t="n" s="0">
        <f>(-5-((((-5*(-5/((-5/(((-5*(-34.71--5))-(-5+((-5*-34.71)*(((-5--5)+(-34.71--5))+-34.71))))-(-5+-5)))*-5)))/-5)--5)+(-5*(((-34.71*(-34.71-(-5/-5)))*(-34.71-(-34.71/(-5*-34.71))))-(-5/-5)))))</f>
        <v>-211620.978755</v>
      </c>
      <c r="C6530" t="n" s="0">
        <v>-211620.97875500005</v>
      </c>
    </row>
    <row r="6531">
      <c r="A6531" t="n" s="0">
        <v>-34.7</v>
      </c>
      <c r="B6531" t="n" s="0">
        <f>(-5-((((-5*(-5/((-5/(((-5*(-34.7--5))-(-5+((-5*-34.7)*(((-5--5)+(-34.7--5))+-34.7))))-(-5+-5)))*-5)))/-5)--5)+(-5*(((-34.7*(-34.7-(-5/-5)))*(-34.7-(-34.7/(-5*-34.7))))-(-5/-5)))))</f>
        <v>-211438.89499999996</v>
      </c>
      <c r="C6531" t="n" s="0">
        <v>-211438.89500000005</v>
      </c>
    </row>
    <row r="6532">
      <c r="A6532" t="n" s="0">
        <v>-34.69</v>
      </c>
      <c r="B6532" t="n" s="0">
        <f>(-5-((((-5*(-5/((-5/(((-5*(-34.69--5))-(-5+((-5*-34.69)*(((-5--5)+(-34.69--5))+-34.69))))-(-5+-5)))*-5)))/-5)--5)+(-5*(((-34.69*(-34.69-(-5/-5)))*(-34.69-(-34.69/(-5*-34.69))))-(-5/-5)))))</f>
        <v>-211256.915745</v>
      </c>
      <c r="C6532" t="n" s="0">
        <v>-211256.91574499995</v>
      </c>
    </row>
    <row r="6533">
      <c r="A6533" t="n" s="0">
        <v>-34.68</v>
      </c>
      <c r="B6533" t="n" s="0">
        <f>(-5-((((-5*(-5/((-5/(((-5*(-34.68--5))-(-5+((-5*-34.68)*(((-5--5)+(-34.68--5))+-34.68))))-(-5+-5)))*-5)))/-5)--5)+(-5*(((-34.68*(-34.68-(-5/-5)))*(-34.68-(-34.68/(-5*-34.68))))-(-5/-5)))))</f>
        <v>-211075.04095999998</v>
      </c>
      <c r="C6533" t="n" s="0">
        <v>-211075.04095999998</v>
      </c>
    </row>
    <row r="6534">
      <c r="A6534" t="n" s="0">
        <v>-34.67</v>
      </c>
      <c r="B6534" t="n" s="0">
        <f>(-5-((((-5*(-5/((-5/(((-5*(-34.67--5))-(-5+((-5*-34.67)*(((-5--5)+(-34.67--5))+-34.67))))-(-5+-5)))*-5)))/-5)--5)+(-5*(((-34.67*(-34.67-(-5/-5)))*(-34.67-(-34.67/(-5*-34.67))))-(-5/-5)))))</f>
        <v>-210893.270615</v>
      </c>
      <c r="C6534" t="n" s="0">
        <v>-210893.27061500007</v>
      </c>
    </row>
    <row r="6535">
      <c r="A6535" t="n" s="0">
        <v>-34.66</v>
      </c>
      <c r="B6535" t="n" s="0">
        <f>(-5-((((-5*(-5/((-5/(((-5*(-34.66--5))-(-5+((-5*-34.66)*(((-5--5)+(-34.66--5))+-34.66))))-(-5+-5)))*-5)))/-5)--5)+(-5*(((-34.66*(-34.66-(-5/-5)))*(-34.66-(-34.66/(-5*-34.66))))-(-5/-5)))))</f>
        <v>-210711.60468000002</v>
      </c>
      <c r="C6535" t="n" s="0">
        <v>-210711.60467999996</v>
      </c>
    </row>
    <row r="6536">
      <c r="A6536" t="n" s="0">
        <v>-34.65</v>
      </c>
      <c r="B6536" t="n" s="0">
        <f>(-5-((((-5*(-5/((-5/(((-5*(-34.65--5))-(-5+((-5*-34.65)*(((-5--5)+(-34.65--5))+-34.65))))-(-5+-5)))*-5)))/-5)--5)+(-5*(((-34.65*(-34.65-(-5/-5)))*(-34.65-(-34.65/(-5*-34.65))))-(-5/-5)))))</f>
        <v>-210530.043125</v>
      </c>
      <c r="C6536" t="n" s="0">
        <v>-210530.043125</v>
      </c>
    </row>
    <row r="6537">
      <c r="A6537" t="n" s="0">
        <v>-34.64</v>
      </c>
      <c r="B6537" t="n" s="0">
        <f>(-5-((((-5*(-5/((-5/(((-5*(-34.64--5))-(-5+((-5*-34.64)*(((-5--5)+(-34.64--5))+-34.64))))-(-5+-5)))*-5)))/-5)--5)+(-5*(((-34.64*(-34.64-(-5/-5)))*(-34.64-(-34.64/(-5*-34.64))))-(-5/-5)))))</f>
        <v>-210348.58591999998</v>
      </c>
      <c r="C6537" t="n" s="0">
        <v>-210348.58592</v>
      </c>
    </row>
    <row r="6538">
      <c r="A6538" t="n" s="0">
        <v>-34.63</v>
      </c>
      <c r="B6538" t="n" s="0">
        <f>(-5-((((-5*(-5/((-5/(((-5*(-34.63--5))-(-5+((-5*-34.63)*(((-5--5)+(-34.63--5))+-34.63))))-(-5+-5)))*-5)))/-5)--5)+(-5*(((-34.63*(-34.63-(-5/-5)))*(-34.63-(-34.63/(-5*-34.63))))-(-5/-5)))))</f>
        <v>-210167.233035</v>
      </c>
      <c r="C6538" t="n" s="0">
        <v>-210167.23303500007</v>
      </c>
    </row>
    <row r="6539">
      <c r="A6539" t="n" s="0">
        <v>-34.62</v>
      </c>
      <c r="B6539" t="n" s="0">
        <f>(-5-((((-5*(-5/((-5/(((-5*(-34.62--5))-(-5+((-5*-34.62)*(((-5--5)+(-34.62--5))+-34.62))))-(-5+-5)))*-5)))/-5)--5)+(-5*(((-34.62*(-34.62-(-5/-5)))*(-34.62-(-34.62/(-5*-34.62))))-(-5/-5)))))</f>
        <v>-209985.98444</v>
      </c>
      <c r="C6539" t="n" s="0">
        <v>-209985.98443999994</v>
      </c>
    </row>
    <row r="6540">
      <c r="A6540" t="n" s="0">
        <v>-34.61</v>
      </c>
      <c r="B6540" t="n" s="0">
        <f>(-5-((((-5*(-5/((-5/(((-5*(-34.61--5))-(-5+((-5*-34.61)*(((-5--5)+(-34.61--5))+-34.61))))-(-5+-5)))*-5)))/-5)--5)+(-5*(((-34.61*(-34.61-(-5/-5)))*(-34.61-(-34.61/(-5*-34.61))))-(-5/-5)))))</f>
        <v>-209804.84010499998</v>
      </c>
      <c r="C6540" t="n" s="0">
        <v>-209804.84010499998</v>
      </c>
    </row>
    <row r="6541">
      <c r="A6541" t="n" s="0">
        <v>-34.6</v>
      </c>
      <c r="B6541" t="n" s="0">
        <f>(-5-((((-5*(-5/((-5/(((-5*(-34.6--5))-(-5+((-5*-34.6)*(((-5--5)+(-34.6--5))+-34.6))))-(-5+-5)))*-5)))/-5)--5)+(-5*(((-34.6*(-34.6-(-5/-5)))*(-34.6-(-34.6/(-5*-34.6))))-(-5/-5)))))</f>
        <v>-209623.8</v>
      </c>
      <c r="C6541" t="n" s="0">
        <v>-209623.80000000002</v>
      </c>
    </row>
    <row r="6542">
      <c r="A6542" t="n" s="0">
        <v>-34.59</v>
      </c>
      <c r="B6542" t="n" s="0">
        <f>(-5-((((-5*(-5/((-5/(((-5*(-34.59--5))-(-5+((-5*-34.59)*(((-5--5)+(-34.59--5))+-34.59))))-(-5+-5)))*-5)))/-5)--5)+(-5*(((-34.59*(-34.59-(-5/-5)))*(-34.59-(-34.59/(-5*-34.59))))-(-5/-5)))))</f>
        <v>-209442.864095</v>
      </c>
      <c r="C6542" t="n" s="0">
        <v>-209442.86409500006</v>
      </c>
    </row>
    <row r="6543">
      <c r="A6543" t="n" s="0">
        <v>-34.58</v>
      </c>
      <c r="B6543" t="n" s="0">
        <f>(-5-((((-5*(-5/((-5/(((-5*(-34.58--5))-(-5+((-5*-34.58)*(((-5--5)+(-34.58--5))+-34.58))))-(-5+-5)))*-5)))/-5)--5)+(-5*(((-34.58*(-34.58-(-5/-5)))*(-34.58-(-34.58/(-5*-34.58))))-(-5/-5)))))</f>
        <v>-209262.03236</v>
      </c>
      <c r="C6543" t="n" s="0">
        <v>-209262.03235999998</v>
      </c>
    </row>
    <row r="6544">
      <c r="A6544" t="n" s="0">
        <v>-34.57</v>
      </c>
      <c r="B6544" t="n" s="0">
        <f>(-5-((((-5*(-5/((-5/(((-5*(-34.57--5))-(-5+((-5*-34.57)*(((-5--5)+(-34.57--5))+-34.57))))-(-5+-5)))*-5)))/-5)--5)+(-5*(((-34.57*(-34.57-(-5/-5)))*(-34.57-(-34.57/(-5*-34.57))))-(-5/-5)))))</f>
        <v>-209081.30476500004</v>
      </c>
      <c r="C6544" t="n" s="0">
        <v>-209081.304765</v>
      </c>
    </row>
    <row r="6545">
      <c r="A6545" t="n" s="0">
        <v>-34.56</v>
      </c>
      <c r="B6545" t="n" s="0">
        <f>(-5-((((-5*(-5/((-5/(((-5*(-34.56--5))-(-5+((-5*-34.56)*(((-5--5)+(-34.56--5))+-34.56))))-(-5+-5)))*-5)))/-5)--5)+(-5*(((-34.56*(-34.56-(-5/-5)))*(-34.56-(-34.56/(-5*-34.56))))-(-5/-5)))))</f>
        <v>-208900.68128000002</v>
      </c>
      <c r="C6545" t="n" s="0">
        <v>-208900.68128000002</v>
      </c>
    </row>
    <row r="6546">
      <c r="A6546" t="n" s="0">
        <v>-34.55</v>
      </c>
      <c r="B6546" t="n" s="0">
        <f>(-5-((((-5*(-5/((-5/(((-5*(-34.55--5))-(-5+((-5*-34.55)*(((-5--5)+(-34.55--5))+-34.55))))-(-5+-5)))*-5)))/-5)--5)+(-5*(((-34.55*(-34.55-(-5/-5)))*(-34.55-(-34.55/(-5*-34.55))))-(-5/-5)))))</f>
        <v>-208720.16187500002</v>
      </c>
      <c r="C6546" t="n" s="0">
        <v>-208720.16187499993</v>
      </c>
    </row>
    <row r="6547">
      <c r="A6547" t="n" s="0">
        <v>-34.54</v>
      </c>
      <c r="B6547" t="n" s="0">
        <f>(-5-((((-5*(-5/((-5/(((-5*(-34.54--5))-(-5+((-5*-34.54)*(((-5--5)+(-34.54--5))+-34.54))))-(-5+-5)))*-5)))/-5)--5)+(-5*(((-34.54*(-34.54-(-5/-5)))*(-34.54-(-34.54/(-5*-34.54))))-(-5/-5)))))</f>
        <v>-208539.74652000002</v>
      </c>
      <c r="C6547" t="n" s="0">
        <v>-208539.74651999996</v>
      </c>
    </row>
    <row r="6548">
      <c r="A6548" t="n" s="0">
        <v>-34.53</v>
      </c>
      <c r="B6548" t="n" s="0">
        <f>(-5-((((-5*(-5/((-5/(((-5*(-34.53--5))-(-5+((-5*-34.53)*(((-5--5)+(-34.53--5))+-34.53))))-(-5+-5)))*-5)))/-5)--5)+(-5*(((-34.53*(-34.53-(-5/-5)))*(-34.53-(-34.53/(-5*-34.53))))-(-5/-5)))))</f>
        <v>-208359.435185</v>
      </c>
      <c r="C6548" t="n" s="0">
        <v>-208359.43518500004</v>
      </c>
    </row>
    <row r="6549">
      <c r="A6549" t="n" s="0">
        <v>-34.52</v>
      </c>
      <c r="B6549" t="n" s="0">
        <f>(-5-((((-5*(-5/((-5/(((-5*(-34.52--5))-(-5+((-5*-34.52)*(((-5--5)+(-34.52--5))+-34.52))))-(-5+-5)))*-5)))/-5)--5)+(-5*(((-34.52*(-34.52-(-5/-5)))*(-34.52-(-34.52/(-5*-34.52))))-(-5/-5)))))</f>
        <v>-208179.22784</v>
      </c>
      <c r="C6549" t="n" s="0">
        <v>-208179.22784000007</v>
      </c>
    </row>
    <row r="6550">
      <c r="A6550" t="n" s="0">
        <v>-34.51</v>
      </c>
      <c r="B6550" t="n" s="0">
        <f>(-5-((((-5*(-5/((-5/(((-5*(-34.51--5))-(-5+((-5*-34.51)*(((-5--5)+(-34.51--5))+-34.51))))-(-5+-5)))*-5)))/-5)--5)+(-5*(((-34.51*(-34.51-(-5/-5)))*(-34.51-(-34.51/(-5*-34.51))))-(-5/-5)))))</f>
        <v>-207999.12445499998</v>
      </c>
      <c r="C6550" t="n" s="0">
        <v>-207999.12445499995</v>
      </c>
    </row>
    <row r="6551">
      <c r="A6551" t="n" s="0">
        <v>-34.5</v>
      </c>
      <c r="B6551" t="n" s="0">
        <f>(-5-((((-5*(-5/((-5/(((-5*(-34.5--5))-(-5+((-5*-34.5)*(((-5--5)+(-34.5--5))+-34.5))))-(-5+-5)))*-5)))/-5)--5)+(-5*(((-34.5*(-34.5-(-5/-5)))*(-34.5-(-34.5/(-5*-34.5))))-(-5/-5)))))</f>
        <v>-207819.125</v>
      </c>
      <c r="C6551" t="n" s="0">
        <v>-207819.125</v>
      </c>
    </row>
    <row r="6552">
      <c r="A6552" t="n" s="0">
        <v>-34.49</v>
      </c>
      <c r="B6552" t="n" s="0">
        <f>(-5-((((-5*(-5/((-5/(((-5*(-34.49--5))-(-5+((-5*-34.49)*(((-5--5)+(-34.49--5))+-34.49))))-(-5+-5)))*-5)))/-5)--5)+(-5*(((-34.49*(-34.49-(-5/-5)))*(-34.49-(-34.49/(-5*-34.49))))-(-5/-5)))))</f>
        <v>-207639.22944499998</v>
      </c>
      <c r="C6552" t="n" s="0">
        <v>-207639.22944500003</v>
      </c>
    </row>
    <row r="6553">
      <c r="A6553" t="n" s="0">
        <v>-34.48</v>
      </c>
      <c r="B6553" t="n" s="0">
        <f>(-5-((((-5*(-5/((-5/(((-5*(-34.48--5))-(-5+((-5*-34.48)*(((-5--5)+(-34.48--5))+-34.48))))-(-5+-5)))*-5)))/-5)--5)+(-5*(((-34.48*(-34.48-(-5/-5)))*(-34.48-(-34.48/(-5*-34.48))))-(-5/-5)))))</f>
        <v>-207459.43776</v>
      </c>
      <c r="C6553" t="n" s="0">
        <v>-207459.43775999997</v>
      </c>
    </row>
    <row r="6554">
      <c r="A6554" t="n" s="0">
        <v>-34.47</v>
      </c>
      <c r="B6554" t="n" s="0">
        <f>(-5-((((-5*(-5/((-5/(((-5*(-34.47--5))-(-5+((-5*-34.47)*(((-5--5)+(-34.47--5))+-34.47))))-(-5+-5)))*-5)))/-5)--5)+(-5*(((-34.47*(-34.47-(-5/-5)))*(-34.47-(-34.47/(-5*-34.47))))-(-5/-5)))))</f>
        <v>-207279.749915</v>
      </c>
      <c r="C6554" t="n" s="0">
        <v>-207279.749915</v>
      </c>
    </row>
    <row r="6555">
      <c r="A6555" t="n" s="0">
        <v>-34.46</v>
      </c>
      <c r="B6555" t="n" s="0">
        <f>(-5-((((-5*(-5/((-5/(((-5*(-34.46--5))-(-5+((-5*-34.46)*(((-5--5)+(-34.46--5))+-34.46))))-(-5+-5)))*-5)))/-5)--5)+(-5*(((-34.46*(-34.46-(-5/-5)))*(-34.46-(-34.46/(-5*-34.46))))-(-5/-5)))))</f>
        <v>-207100.16588000002</v>
      </c>
      <c r="C6555" t="n" s="0">
        <v>-207100.16588000002</v>
      </c>
    </row>
    <row r="6556">
      <c r="A6556" t="n" s="0">
        <v>-34.45</v>
      </c>
      <c r="B6556" t="n" s="0">
        <f>(-5-((((-5*(-5/((-5/(((-5*(-34.45--5))-(-5+((-5*-34.45)*(((-5--5)+(-34.45--5))+-34.45))))-(-5+-5)))*-5)))/-5)--5)+(-5*(((-34.45*(-34.45-(-5/-5)))*(-34.45-(-34.45/(-5*-34.45))))-(-5/-5)))))</f>
        <v>-206920.685625</v>
      </c>
      <c r="C6556" t="n" s="0">
        <v>-206920.68562500007</v>
      </c>
    </row>
    <row r="6557">
      <c r="A6557" t="n" s="0">
        <v>-34.44</v>
      </c>
      <c r="B6557" t="n" s="0">
        <f>(-5-((((-5*(-5/((-5/(((-5*(-34.44--5))-(-5+((-5*-34.44)*(((-5--5)+(-34.44--5))+-34.44))))-(-5+-5)))*-5)))/-5)--5)+(-5*(((-34.44*(-34.44-(-5/-5)))*(-34.44-(-34.44/(-5*-34.44))))-(-5/-5)))))</f>
        <v>-206741.30912</v>
      </c>
      <c r="C6557" t="n" s="0">
        <v>-206741.30911999996</v>
      </c>
    </row>
    <row r="6558">
      <c r="A6558" t="n" s="0">
        <v>-34.43</v>
      </c>
      <c r="B6558" t="n" s="0">
        <f>(-5-((((-5*(-5/((-5/(((-5*(-34.43--5))-(-5+((-5*-34.43)*(((-5--5)+(-34.43--5))+-34.43))))-(-5+-5)))*-5)))/-5)--5)+(-5*(((-34.43*(-34.43-(-5/-5)))*(-34.43-(-34.43/(-5*-34.43))))-(-5/-5)))))</f>
        <v>-206562.036335</v>
      </c>
      <c r="C6558" t="n" s="0">
        <v>-206562.036335</v>
      </c>
    </row>
    <row r="6559">
      <c r="A6559" t="n" s="0">
        <v>-34.42</v>
      </c>
      <c r="B6559" t="n" s="0">
        <f>(-5-((((-5*(-5/((-5/(((-5*(-34.42--5))-(-5+((-5*-34.42)*(((-5--5)+(-34.42--5))+-34.42))))-(-5+-5)))*-5)))/-5)--5)+(-5*(((-34.42*(-34.42-(-5/-5)))*(-34.42-(-34.42/(-5*-34.42))))-(-5/-5)))))</f>
        <v>-206382.86724</v>
      </c>
      <c r="C6559" t="n" s="0">
        <v>-206382.86724000002</v>
      </c>
    </row>
    <row r="6560">
      <c r="A6560" t="n" s="0">
        <v>-34.41</v>
      </c>
      <c r="B6560" t="n" s="0">
        <f>(-5-((((-5*(-5/((-5/(((-5*(-34.41--5))-(-5+((-5*-34.41)*(((-5--5)+(-34.41--5))+-34.41))))-(-5+-5)))*-5)))/-5)--5)+(-5*(((-34.41*(-34.41-(-5/-5)))*(-34.41-(-34.41/(-5*-34.41))))-(-5/-5)))))</f>
        <v>-206203.80180500002</v>
      </c>
      <c r="C6560" t="n" s="0">
        <v>-206203.80180499997</v>
      </c>
    </row>
    <row r="6561">
      <c r="A6561" t="n" s="0">
        <v>-34.4</v>
      </c>
      <c r="B6561" t="n" s="0">
        <f>(-5-((((-5*(-5/((-5/(((-5*(-34.4--5))-(-5+((-5*-34.4)*(((-5--5)+(-34.4--5))+-34.4))))-(-5+-5)))*-5)))/-5)--5)+(-5*(((-34.4*(-34.4-(-5/-5)))*(-34.4-(-34.4/(-5*-34.4))))-(-5/-5)))))</f>
        <v>-206024.84</v>
      </c>
      <c r="C6561" t="n" s="0">
        <v>-206024.84</v>
      </c>
    </row>
    <row r="6562">
      <c r="A6562" t="n" s="0">
        <v>-34.39</v>
      </c>
      <c r="B6562" t="n" s="0">
        <f>(-5-((((-5*(-5/((-5/(((-5*(-34.39--5))-(-5+((-5*-34.39)*(((-5--5)+(-34.39--5))+-34.39))))-(-5+-5)))*-5)))/-5)--5)+(-5*(((-34.39*(-34.39-(-5/-5)))*(-34.39-(-34.39/(-5*-34.39))))-(-5/-5)))))</f>
        <v>-205845.981795</v>
      </c>
      <c r="C6562" t="n" s="0">
        <v>-205845.981795</v>
      </c>
    </row>
    <row r="6563">
      <c r="A6563" t="n" s="0">
        <v>-34.38</v>
      </c>
      <c r="B6563" t="n" s="0">
        <f>(-5-((((-5*(-5/((-5/(((-5*(-34.38--5))-(-5+((-5*-34.38)*(((-5--5)+(-34.38--5))+-34.38))))-(-5+-5)))*-5)))/-5)--5)+(-5*(((-34.38*(-34.38-(-5/-5)))*(-34.38-(-34.38/(-5*-34.38))))-(-5/-5)))))</f>
        <v>-205667.22715999998</v>
      </c>
      <c r="C6563" t="n" s="0">
        <v>-205667.22716000007</v>
      </c>
    </row>
    <row r="6564">
      <c r="A6564" t="n" s="0">
        <v>-34.37</v>
      </c>
      <c r="B6564" t="n" s="0">
        <f>(-5-((((-5*(-5/((-5/(((-5*(-34.37--5))-(-5+((-5*-34.37)*(((-5--5)+(-34.37--5))+-34.37))))-(-5+-5)))*-5)))/-5)--5)+(-5*(((-34.37*(-34.37-(-5/-5)))*(-34.37-(-34.37/(-5*-34.37))))-(-5/-5)))))</f>
        <v>-205488.576065</v>
      </c>
      <c r="C6564" t="n" s="0">
        <v>-205488.57606499994</v>
      </c>
    </row>
    <row r="6565">
      <c r="A6565" t="n" s="0">
        <v>-34.36</v>
      </c>
      <c r="B6565" t="n" s="0">
        <f>(-5-((((-5*(-5/((-5/(((-5*(-34.36--5))-(-5+((-5*-34.36)*(((-5--5)+(-34.36--5))+-34.36))))-(-5+-5)))*-5)))/-5)--5)+(-5*(((-34.36*(-34.36-(-5/-5)))*(-34.36-(-34.36/(-5*-34.36))))-(-5/-5)))))</f>
        <v>-205310.02848</v>
      </c>
      <c r="C6565" t="n" s="0">
        <v>-205310.02847999998</v>
      </c>
    </row>
    <row r="6566">
      <c r="A6566" t="n" s="0">
        <v>-34.35</v>
      </c>
      <c r="B6566" t="n" s="0">
        <f>(-5-((((-5*(-5/((-5/(((-5*(-34.35--5))-(-5+((-5*-34.35)*(((-5--5)+(-34.35--5))+-34.35))))-(-5+-5)))*-5)))/-5)--5)+(-5*(((-34.35*(-34.35-(-5/-5)))*(-34.35-(-34.35/(-5*-34.35))))-(-5/-5)))))</f>
        <v>-205131.584375</v>
      </c>
      <c r="C6566" t="n" s="0">
        <v>-205131.584375</v>
      </c>
    </row>
    <row r="6567">
      <c r="A6567" t="n" s="0">
        <v>-34.34</v>
      </c>
      <c r="B6567" t="n" s="0">
        <f>(-5-((((-5*(-5/((-5/(((-5*(-34.34--5))-(-5+((-5*-34.34)*(((-5--5)+(-34.34--5))+-34.34))))-(-5+-5)))*-5)))/-5)--5)+(-5*(((-34.34*(-34.34-(-5/-5)))*(-34.34-(-34.34/(-5*-34.34))))-(-5/-5)))))</f>
        <v>-204953.24372</v>
      </c>
      <c r="C6567" t="n" s="0">
        <v>-204953.24372000006</v>
      </c>
    </row>
    <row r="6568">
      <c r="A6568" t="n" s="0">
        <v>-34.33</v>
      </c>
      <c r="B6568" t="n" s="0">
        <f>(-5-((((-5*(-5/((-5/(((-5*(-34.33--5))-(-5+((-5*-34.33)*(((-5--5)+(-34.33--5))+-34.33))))-(-5+-5)))*-5)))/-5)--5)+(-5*(((-34.33*(-34.33-(-5/-5)))*(-34.33-(-34.33/(-5*-34.33))))-(-5/-5)))))</f>
        <v>-204775.006485</v>
      </c>
      <c r="C6568" t="n" s="0">
        <v>-204775.00648499996</v>
      </c>
    </row>
    <row r="6569">
      <c r="A6569" t="n" s="0">
        <v>-34.32</v>
      </c>
      <c r="B6569" t="n" s="0">
        <f>(-5-((((-5*(-5/((-5/(((-5*(-34.32--5))-(-5+((-5*-34.32)*(((-5--5)+(-34.32--5))+-34.32))))-(-5+-5)))*-5)))/-5)--5)+(-5*(((-34.32*(-34.32-(-5/-5)))*(-34.32-(-34.32/(-5*-34.32))))-(-5/-5)))))</f>
        <v>-204596.87264000002</v>
      </c>
      <c r="C6569" t="n" s="0">
        <v>-204596.87264000002</v>
      </c>
    </row>
    <row r="6570">
      <c r="A6570" t="n" s="0">
        <v>-34.31</v>
      </c>
      <c r="B6570" t="n" s="0">
        <f>(-5-((((-5*(-5/((-5/(((-5*(-34.31--5))-(-5+((-5*-34.31)*(((-5--5)+(-34.31--5))+-34.31))))-(-5+-5)))*-5)))/-5)--5)+(-5*(((-34.31*(-34.31-(-5/-5)))*(-34.31-(-34.31/(-5*-34.31))))-(-5/-5)))))</f>
        <v>-204418.842155</v>
      </c>
      <c r="C6570" t="n" s="0">
        <v>-204418.84215500002</v>
      </c>
    </row>
    <row r="6571">
      <c r="A6571" t="n" s="0">
        <v>-34.3</v>
      </c>
      <c r="B6571" t="n" s="0">
        <f>(-5-((((-5*(-5/((-5/(((-5*(-34.3--5))-(-5+((-5*-34.3)*(((-5--5)+(-34.3--5))+-34.3))))-(-5+-5)))*-5)))/-5)--5)+(-5*(((-34.3*(-34.3-(-5/-5)))*(-34.3-(-34.3/(-5*-34.3))))-(-5/-5)))))</f>
        <v>-204240.915</v>
      </c>
      <c r="C6571" t="n" s="0">
        <v>-204240.91499999995</v>
      </c>
    </row>
    <row r="6572">
      <c r="A6572" t="n" s="0">
        <v>-34.29</v>
      </c>
      <c r="B6572" t="n" s="0">
        <f>(-5-((((-5*(-5/((-5/(((-5*(-34.29--5))-(-5+((-5*-34.29)*(((-5--5)+(-34.29--5))+-34.29))))-(-5+-5)))*-5)))/-5)--5)+(-5*(((-34.29*(-34.29-(-5/-5)))*(-34.29-(-34.29/(-5*-34.29))))-(-5/-5)))))</f>
        <v>-204063.09114499998</v>
      </c>
      <c r="C6572" t="n" s="0">
        <v>-204063.09114499995</v>
      </c>
    </row>
    <row r="6573">
      <c r="A6573" t="n" s="0">
        <v>-34.28</v>
      </c>
      <c r="B6573" t="n" s="0">
        <f>(-5-((((-5*(-5/((-5/(((-5*(-34.28--5))-(-5+((-5*-34.28)*(((-5--5)+(-34.28--5))+-34.28))))-(-5+-5)))*-5)))/-5)--5)+(-5*(((-34.28*(-34.28-(-5/-5)))*(-34.28-(-34.28/(-5*-34.28))))-(-5/-5)))))</f>
        <v>-203885.37056</v>
      </c>
      <c r="C6573" t="n" s="0">
        <v>-203885.37056000004</v>
      </c>
    </row>
    <row r="6574">
      <c r="A6574" t="n" s="0">
        <v>-34.27</v>
      </c>
      <c r="B6574" t="n" s="0">
        <f>(-5-((((-5*(-5/((-5/(((-5*(-34.27--5))-(-5+((-5*-34.27)*(((-5--5)+(-34.27--5))+-34.27))))-(-5+-5)))*-5)))/-5)--5)+(-5*(((-34.27*(-34.27-(-5/-5)))*(-34.27-(-34.27/(-5*-34.27))))-(-5/-5)))))</f>
        <v>-203707.75321499998</v>
      </c>
      <c r="C6574" t="n" s="0">
        <v>-203707.75321500006</v>
      </c>
    </row>
    <row r="6575">
      <c r="A6575" t="n" s="0">
        <v>-34.26</v>
      </c>
      <c r="B6575" t="n" s="0">
        <f>(-5-((((-5*(-5/((-5/(((-5*(-34.26--5))-(-5+((-5*-34.26)*(((-5--5)+(-34.26--5))+-34.26))))-(-5+-5)))*-5)))/-5)--5)+(-5*(((-34.26*(-34.26-(-5/-5)))*(-34.26-(-34.26/(-5*-34.26))))-(-5/-5)))))</f>
        <v>-203530.23908</v>
      </c>
      <c r="C6575" t="n" s="0">
        <v>-203530.23907999994</v>
      </c>
    </row>
    <row r="6576">
      <c r="A6576" t="n" s="0">
        <v>-34.25</v>
      </c>
      <c r="B6576" t="n" s="0">
        <f>(-5-((((-5*(-5/((-5/(((-5*(-34.25--5))-(-5+((-5*-34.25)*(((-5--5)+(-34.25--5))+-34.25))))-(-5+-5)))*-5)))/-5)--5)+(-5*(((-34.25*(-34.25-(-5/-5)))*(-34.25-(-34.25/(-5*-34.25))))-(-5/-5)))))</f>
        <v>-203352.828125</v>
      </c>
      <c r="C6576" t="n" s="0">
        <v>-203352.828125</v>
      </c>
    </row>
    <row r="6577">
      <c r="A6577" t="n" s="0">
        <v>-34.24</v>
      </c>
      <c r="B6577" t="n" s="0">
        <f>(-5-((((-5*(-5/((-5/(((-5*(-34.24--5))-(-5+((-5*-34.24)*(((-5--5)+(-34.24--5))+-34.24))))-(-5+-5)))*-5)))/-5)--5)+(-5*(((-34.24*(-34.24-(-5/-5)))*(-34.24-(-34.24/(-5*-34.24))))-(-5/-5)))))</f>
        <v>-203175.52032</v>
      </c>
      <c r="C6577" t="n" s="0">
        <v>-203175.52032000004</v>
      </c>
    </row>
    <row r="6578">
      <c r="A6578" t="n" s="0">
        <v>-34.23</v>
      </c>
      <c r="B6578" t="n" s="0">
        <f>(-5-((((-5*(-5/((-5/(((-5*(-34.23--5))-(-5+((-5*-34.23)*(((-5--5)+(-34.23--5))+-34.23))))-(-5+-5)))*-5)))/-5)--5)+(-5*(((-34.23*(-34.23-(-5/-5)))*(-34.23-(-34.23/(-5*-34.23))))-(-5/-5)))))</f>
        <v>-202998.315635</v>
      </c>
      <c r="C6578" t="n" s="0">
        <v>-202998.31563499995</v>
      </c>
    </row>
    <row r="6579">
      <c r="A6579" t="n" s="0">
        <v>-34.22</v>
      </c>
      <c r="B6579" t="n" s="0">
        <f>(-5-((((-5*(-5/((-5/(((-5*(-34.22--5))-(-5+((-5*-34.22)*(((-5--5)+(-34.22--5))+-34.22))))-(-5+-5)))*-5)))/-5)--5)+(-5*(((-34.22*(-34.22-(-5/-5)))*(-34.22-(-34.22/(-5*-34.22))))-(-5/-5)))))</f>
        <v>-202821.21404</v>
      </c>
      <c r="C6579" t="n" s="0">
        <v>-202821.21404</v>
      </c>
    </row>
    <row r="6580">
      <c r="A6580" t="n" s="0">
        <v>-34.21</v>
      </c>
      <c r="B6580" t="n" s="0">
        <f>(-5-((((-5*(-5/((-5/(((-5*(-34.21--5))-(-5+((-5*-34.21)*(((-5--5)+(-34.21--5))+-34.21))))-(-5+-5)))*-5)))/-5)--5)+(-5*(((-34.21*(-34.21-(-5/-5)))*(-34.21-(-34.21/(-5*-34.21))))-(-5/-5)))))</f>
        <v>-202644.215505</v>
      </c>
      <c r="C6580" t="n" s="0">
        <v>-202644.215505</v>
      </c>
    </row>
    <row r="6581">
      <c r="A6581" t="n" s="0">
        <v>-34.2</v>
      </c>
      <c r="B6581" t="n" s="0">
        <f>(-5-((((-5*(-5/((-5/(((-5*(-34.2--5))-(-5+((-5*-34.2)*(((-5--5)+(-34.2--5))+-34.2))))-(-5+-5)))*-5)))/-5)--5)+(-5*(((-34.2*(-34.2-(-5/-5)))*(-34.2-(-34.2/(-5*-34.2))))-(-5/-5)))))</f>
        <v>-202467.31999999998</v>
      </c>
      <c r="C6581" t="n" s="0">
        <v>-202467.32000000007</v>
      </c>
    </row>
    <row r="6582">
      <c r="A6582" t="n" s="0">
        <v>-34.19</v>
      </c>
      <c r="B6582" t="n" s="0">
        <f>(-5-((((-5*(-5/((-5/(((-5*(-34.19--5))-(-5+((-5*-34.19)*(((-5--5)+(-34.19--5))+-34.19))))-(-5+-5)))*-5)))/-5)--5)+(-5*(((-34.19*(-34.19-(-5/-5)))*(-34.19-(-34.19/(-5*-34.19))))-(-5/-5)))))</f>
        <v>-202290.52749500002</v>
      </c>
      <c r="C6582" t="n" s="0">
        <v>-202290.52749499996</v>
      </c>
    </row>
    <row r="6583">
      <c r="A6583" t="n" s="0">
        <v>-34.18</v>
      </c>
      <c r="B6583" t="n" s="0">
        <f>(-5-((((-5*(-5/((-5/(((-5*(-34.18--5))-(-5+((-5*-34.18)*(((-5--5)+(-34.18--5))+-34.18))))-(-5+-5)))*-5)))/-5)--5)+(-5*(((-34.18*(-34.18-(-5/-5)))*(-34.18-(-34.18/(-5*-34.18))))-(-5/-5)))))</f>
        <v>-202113.83796</v>
      </c>
      <c r="C6583" t="n" s="0">
        <v>-202113.83796</v>
      </c>
    </row>
    <row r="6584">
      <c r="A6584" t="n" s="0">
        <v>-34.17</v>
      </c>
      <c r="B6584" t="n" s="0">
        <f>(-5-((((-5*(-5/((-5/(((-5*(-34.17--5))-(-5+((-5*-34.17)*(((-5--5)+(-34.17--5))+-34.17))))-(-5+-5)))*-5)))/-5)--5)+(-5*(((-34.17*(-34.17-(-5/-5)))*(-34.17-(-34.17/(-5*-34.17))))-(-5/-5)))))</f>
        <v>-201937.25136499997</v>
      </c>
      <c r="C6584" t="n" s="0">
        <v>-201937.25136500003</v>
      </c>
    </row>
    <row r="6585">
      <c r="A6585" t="n" s="0">
        <v>-34.16</v>
      </c>
      <c r="B6585" t="n" s="0">
        <f>(-5-((((-5*(-5/((-5/(((-5*(-34.16--5))-(-5+((-5*-34.16)*(((-5--5)+(-34.16--5))+-34.16))))-(-5+-5)))*-5)))/-5)--5)+(-5*(((-34.16*(-34.16-(-5/-5)))*(-34.16-(-34.16/(-5*-34.16))))-(-5/-5)))))</f>
        <v>-201760.76768</v>
      </c>
      <c r="C6585" t="n" s="0">
        <v>-201760.76767999993</v>
      </c>
    </row>
    <row r="6586">
      <c r="A6586" t="n" s="0">
        <v>-34.15</v>
      </c>
      <c r="B6586" t="n" s="0">
        <f>(-5-((((-5*(-5/((-5/(((-5*(-34.15--5))-(-5+((-5*-34.15)*(((-5--5)+(-34.15--5))+-34.15))))-(-5+-5)))*-5)))/-5)--5)+(-5*(((-34.15*(-34.15-(-5/-5)))*(-34.15-(-34.15/(-5*-34.15))))-(-5/-5)))))</f>
        <v>-201584.386875</v>
      </c>
      <c r="C6586" t="n" s="0">
        <v>-201584.386875</v>
      </c>
    </row>
    <row r="6587">
      <c r="A6587" t="n" s="0">
        <v>-34.14</v>
      </c>
      <c r="B6587" t="n" s="0">
        <f>(-5-((((-5*(-5/((-5/(((-5*(-34.14--5))-(-5+((-5*-34.14)*(((-5--5)+(-34.14--5))+-34.14))))-(-5+-5)))*-5)))/-5)--5)+(-5*(((-34.14*(-34.14-(-5/-5)))*(-34.14-(-34.14/(-5*-34.14))))-(-5/-5)))))</f>
        <v>-201408.10892</v>
      </c>
      <c r="C6587" t="n" s="0">
        <v>-201408.10892000003</v>
      </c>
    </row>
    <row r="6588">
      <c r="A6588" t="n" s="0">
        <v>-34.13</v>
      </c>
      <c r="B6588" t="n" s="0">
        <f>(-5-((((-5*(-5/((-5/(((-5*(-34.13--5))-(-5+((-5*-34.13)*(((-5--5)+(-34.13--5))+-34.13))))-(-5+-5)))*-5)))/-5)--5)+(-5*(((-34.13*(-34.13-(-5/-5)))*(-34.13-(-34.13/(-5*-34.13))))-(-5/-5)))))</f>
        <v>-201231.933785</v>
      </c>
      <c r="C6588" t="n" s="0">
        <v>-201231.9337850001</v>
      </c>
    </row>
    <row r="6589">
      <c r="A6589" t="n" s="0">
        <v>-34.12</v>
      </c>
      <c r="B6589" t="n" s="0">
        <f>(-5-((((-5*(-5/((-5/(((-5*(-34.12--5))-(-5+((-5*-34.12)*(((-5--5)+(-34.12--5))+-34.12))))-(-5+-5)))*-5)))/-5)--5)+(-5*(((-34.12*(-34.12-(-5/-5)))*(-34.12-(-34.12/(-5*-34.12))))-(-5/-5)))))</f>
        <v>-201055.86143999998</v>
      </c>
      <c r="C6589" t="n" s="0">
        <v>-201055.86143999998</v>
      </c>
    </row>
    <row r="6590">
      <c r="A6590" t="n" s="0">
        <v>-34.11</v>
      </c>
      <c r="B6590" t="n" s="0">
        <f>(-5-((((-5*(-5/((-5/(((-5*(-34.11--5))-(-5+((-5*-34.11)*(((-5--5)+(-34.11--5))+-34.11))))-(-5+-5)))*-5)))/-5)--5)+(-5*(((-34.11*(-34.11-(-5/-5)))*(-34.11-(-34.11/(-5*-34.11))))-(-5/-5)))))</f>
        <v>-200879.891855</v>
      </c>
      <c r="C6590" t="n" s="0">
        <v>-200879.891855</v>
      </c>
    </row>
    <row r="6591">
      <c r="A6591" t="n" s="0">
        <v>-34.1</v>
      </c>
      <c r="B6591" t="n" s="0">
        <f>(-5-((((-5*(-5/((-5/(((-5*(-34.1--5))-(-5+((-5*-34.1)*(((-5--5)+(-34.1--5))+-34.1))))-(-5+-5)))*-5)))/-5)--5)+(-5*(((-34.1*(-34.1-(-5/-5)))*(-34.1-(-34.1/(-5*-34.1))))-(-5/-5)))))</f>
        <v>-200704.025</v>
      </c>
      <c r="C6591" t="n" s="0">
        <v>-200704.025</v>
      </c>
    </row>
    <row r="6592">
      <c r="A6592" t="n" s="0">
        <v>-34.09</v>
      </c>
      <c r="B6592" t="n" s="0">
        <f>(-5-((((-5*(-5/((-5/(((-5*(-34.09--5))-(-5+((-5*-34.09)*(((-5--5)+(-34.09--5))+-34.09))))-(-5+-5)))*-5)))/-5)--5)+(-5*(((-34.09*(-34.09-(-5/-5)))*(-34.09-(-34.09/(-5*-34.09))))-(-5/-5)))))</f>
        <v>-200528.260845</v>
      </c>
      <c r="C6592" t="n" s="0">
        <v>-200528.26084500007</v>
      </c>
    </row>
    <row r="6593">
      <c r="A6593" t="n" s="0">
        <v>-34.08</v>
      </c>
      <c r="B6593" t="n" s="0">
        <f>(-5-((((-5*(-5/((-5/(((-5*(-34.08--5))-(-5+((-5*-34.08)*(((-5--5)+(-34.08--5))+-34.08))))-(-5+-5)))*-5)))/-5)--5)+(-5*(((-34.08*(-34.08-(-5/-5)))*(-34.08-(-34.08/(-5*-34.08))))-(-5/-5)))))</f>
        <v>-200352.59936</v>
      </c>
      <c r="C6593" t="n" s="0">
        <v>-200352.59935999996</v>
      </c>
    </row>
    <row r="6594">
      <c r="A6594" t="n" s="0">
        <v>-34.07</v>
      </c>
      <c r="B6594" t="n" s="0">
        <f>(-5-((((-5*(-5/((-5/(((-5*(-34.07--5))-(-5+((-5*-34.07)*(((-5--5)+(-34.07--5))+-34.07))))-(-5+-5)))*-5)))/-5)--5)+(-5*(((-34.07*(-34.07-(-5/-5)))*(-34.07-(-34.07/(-5*-34.07))))-(-5/-5)))))</f>
        <v>-200177.040515</v>
      </c>
      <c r="C6594" t="n" s="0">
        <v>-200177.04051499997</v>
      </c>
    </row>
    <row r="6595">
      <c r="A6595" t="n" s="0">
        <v>-34.06</v>
      </c>
      <c r="B6595" t="n" s="0">
        <f>(-5-((((-5*(-5/((-5/(((-5*(-34.06--5))-(-5+((-5*-34.06)*(((-5--5)+(-34.06--5))+-34.06))))-(-5+-5)))*-5)))/-5)--5)+(-5*(((-34.06*(-34.06-(-5/-5)))*(-34.06-(-34.06/(-5*-34.06))))-(-5/-5)))))</f>
        <v>-200001.58427999998</v>
      </c>
      <c r="C6595" t="n" s="0">
        <v>-200001.58428000004</v>
      </c>
    </row>
    <row r="6596">
      <c r="A6596" t="n" s="0">
        <v>-34.05</v>
      </c>
      <c r="B6596" t="n" s="0">
        <f>(-5-((((-5*(-5/((-5/(((-5*(-34.05--5))-(-5+((-5*-34.05)*(((-5--5)+(-34.05--5))+-34.05))))-(-5+-5)))*-5)))/-5)--5)+(-5*(((-34.05*(-34.05-(-5/-5)))*(-34.05-(-34.05/(-5*-34.05))))-(-5/-5)))))</f>
        <v>-199826.230625</v>
      </c>
      <c r="C6596" t="n" s="0">
        <v>-199826.23062499994</v>
      </c>
    </row>
    <row r="6597">
      <c r="A6597" t="n" s="0">
        <v>-34.04</v>
      </c>
      <c r="B6597" t="n" s="0">
        <f>(-5-((((-5*(-5/((-5/(((-5*(-34.04--5))-(-5+((-5*-34.04)*(((-5--5)+(-34.04--5))+-34.04))))-(-5+-5)))*-5)))/-5)--5)+(-5*(((-34.04*(-34.04-(-5/-5)))*(-34.04-(-34.04/(-5*-34.04))))-(-5/-5)))))</f>
        <v>-199650.97952</v>
      </c>
      <c r="C6597" t="n" s="0">
        <v>-199650.97952</v>
      </c>
    </row>
    <row r="6598">
      <c r="A6598" t="n" s="0">
        <v>-34.03</v>
      </c>
      <c r="B6598" t="n" s="0">
        <f>(-5-((((-5*(-5/((-5/(((-5*(-34.03--5))-(-5+((-5*-34.03)*(((-5--5)+(-34.03--5))+-34.03))))-(-5+-5)))*-5)))/-5)--5)+(-5*(((-34.03*(-34.03-(-5/-5)))*(-34.03-(-34.03/(-5*-34.03))))-(-5/-5)))))</f>
        <v>-199475.830935</v>
      </c>
      <c r="C6598" t="n" s="0">
        <v>-199475.830935</v>
      </c>
    </row>
    <row r="6599">
      <c r="A6599" t="n" s="0">
        <v>-34.02</v>
      </c>
      <c r="B6599" t="n" s="0">
        <f>(-5-((((-5*(-5/((-5/(((-5*(-34.02--5))-(-5+((-5*-34.02)*(((-5--5)+(-34.02--5))+-34.02))))-(-5+-5)))*-5)))/-5)--5)+(-5*(((-34.02*(-34.02-(-5/-5)))*(-34.02-(-34.02/(-5*-34.02))))-(-5/-5)))))</f>
        <v>-199300.78484</v>
      </c>
      <c r="C6599" t="n" s="0">
        <v>-199300.78484000007</v>
      </c>
    </row>
    <row r="6600">
      <c r="A6600" t="n" s="0">
        <v>-34.01</v>
      </c>
      <c r="B6600" t="n" s="0">
        <f>(-5-((((-5*(-5/((-5/(((-5*(-34.01--5))-(-5+((-5*-34.01)*(((-5--5)+(-34.01--5))+-34.01))))-(-5+-5)))*-5)))/-5)--5)+(-5*(((-34.01*(-34.01-(-5/-5)))*(-34.01-(-34.01/(-5*-34.01))))-(-5/-5)))))</f>
        <v>-199125.841205</v>
      </c>
      <c r="C6600" t="n" s="0">
        <v>-199125.84120499995</v>
      </c>
    </row>
    <row r="6601">
      <c r="A6601" t="n" s="0">
        <v>-34.0</v>
      </c>
      <c r="B6601" t="n" s="0">
        <f>(-5-((((-5*(-5/((-5/(((-5*(-34--5))-(-5+((-5*-34)*(((-5--5)+(-34--5))+-34))))-(-5+-5)))*-5)))/-5)--5)+(-5*(((-34*(-34-(-5/-5)))*(-34-(-34/(-5*-34))))-(-5/-5)))))</f>
        <v>-198951.0</v>
      </c>
      <c r="C6601" t="n" s="0">
        <v>-198951.0</v>
      </c>
    </row>
    <row r="6602">
      <c r="A6602" t="n" s="0">
        <v>-33.99</v>
      </c>
      <c r="B6602" t="n" s="0">
        <f>(-5-((((-5*(-5/((-5/(((-5*(-33.99--5))-(-5+((-5*-33.99)*(((-5--5)+(-33.99--5))+-33.99))))-(-5+-5)))*-5)))/-5)--5)+(-5*(((-33.99*(-33.99-(-5/-5)))*(-33.99-(-33.99/(-5*-33.99))))-(-5/-5)))))</f>
        <v>-198776.261195</v>
      </c>
      <c r="C6602" t="n" s="0">
        <v>-198776.26119500003</v>
      </c>
    </row>
    <row r="6603">
      <c r="A6603" t="n" s="0">
        <v>-33.98</v>
      </c>
      <c r="B6603" t="n" s="0">
        <f>(-5-((((-5*(-5/((-5/(((-5*(-33.98--5))-(-5+((-5*-33.98)*(((-5--5)+(-33.98--5))+-33.98))))-(-5+-5)))*-5)))/-5)--5)+(-5*(((-33.98*(-33.98-(-5/-5)))*(-33.98-(-33.98/(-5*-33.98))))-(-5/-5)))))</f>
        <v>-198601.62476</v>
      </c>
      <c r="C6603" t="n" s="0">
        <v>-198601.62475999998</v>
      </c>
    </row>
    <row r="6604">
      <c r="A6604" t="n" s="0">
        <v>-33.97</v>
      </c>
      <c r="B6604" t="n" s="0">
        <f>(-5-((((-5*(-5/((-5/(((-5*(-33.97--5))-(-5+((-5*-33.97)*(((-5--5)+(-33.97--5))+-33.97))))-(-5+-5)))*-5)))/-5)--5)+(-5*(((-33.97*(-33.97-(-5/-5)))*(-33.97-(-33.97/(-5*-33.97))))-(-5/-5)))))</f>
        <v>-198427.090665</v>
      </c>
      <c r="C6604" t="n" s="0">
        <v>-198427.090665</v>
      </c>
    </row>
    <row r="6605">
      <c r="A6605" t="n" s="0">
        <v>-33.96</v>
      </c>
      <c r="B6605" t="n" s="0">
        <f>(-5-((((-5*(-5/((-5/(((-5*(-33.96--5))-(-5+((-5*-33.96)*(((-5--5)+(-33.96--5))+-33.96))))-(-5+-5)))*-5)))/-5)--5)+(-5*(((-33.96*(-33.96-(-5/-5)))*(-33.96-(-33.96/(-5*-33.96))))-(-5/-5)))))</f>
        <v>-198252.65888</v>
      </c>
      <c r="C6605" t="n" s="0">
        <v>-198252.65888000003</v>
      </c>
    </row>
    <row r="6606">
      <c r="A6606" t="n" s="0">
        <v>-33.95</v>
      </c>
      <c r="B6606" t="n" s="0">
        <f>(-5-((((-5*(-5/((-5/(((-5*(-33.95--5))-(-5+((-5*-33.95)*(((-5--5)+(-33.95--5))+-33.95))))-(-5+-5)))*-5)))/-5)--5)+(-5*(((-33.95*(-33.95-(-5/-5)))*(-33.95-(-33.95/(-5*-33.95))))-(-5/-5)))))</f>
        <v>-198078.329375</v>
      </c>
      <c r="C6606" t="n" s="0">
        <v>-198078.32937500006</v>
      </c>
    </row>
    <row r="6607">
      <c r="A6607" t="n" s="0">
        <v>-33.94</v>
      </c>
      <c r="B6607" t="n" s="0">
        <f>(-5-((((-5*(-5/((-5/(((-5*(-33.94--5))-(-5+((-5*-33.94)*(((-5--5)+(-33.94--5))+-33.94))))-(-5+-5)))*-5)))/-5)--5)+(-5*(((-33.94*(-33.94-(-5/-5)))*(-33.94-(-33.94/(-5*-33.94))))-(-5/-5)))))</f>
        <v>-197904.10212</v>
      </c>
      <c r="C6607" t="n" s="0">
        <v>-197904.10211999997</v>
      </c>
    </row>
    <row r="6608">
      <c r="A6608" t="n" s="0">
        <v>-33.93</v>
      </c>
      <c r="B6608" t="n" s="0">
        <f>(-5-((((-5*(-5/((-5/(((-5*(-33.93--5))-(-5+((-5*-33.93)*(((-5--5)+(-33.93--5))+-33.93))))-(-5+-5)))*-5)))/-5)--5)+(-5*(((-33.93*(-33.93-(-5/-5)))*(-33.93-(-33.93/(-5*-33.93))))-(-5/-5)))))</f>
        <v>-197729.977085</v>
      </c>
      <c r="C6608" t="n" s="0">
        <v>-197729.977085</v>
      </c>
    </row>
    <row r="6609">
      <c r="A6609" t="n" s="0">
        <v>-33.92</v>
      </c>
      <c r="B6609" t="n" s="0">
        <f>(-5-((((-5*(-5/((-5/(((-5*(-33.92--5))-(-5+((-5*-33.92)*(((-5--5)+(-33.92--5))+-33.92))))-(-5+-5)))*-5)))/-5)--5)+(-5*(((-33.92*(-33.92-(-5/-5)))*(-33.92-(-33.92/(-5*-33.92))))-(-5/-5)))))</f>
        <v>-197555.95424</v>
      </c>
      <c r="C6609" t="n" s="0">
        <v>-197555.95424000002</v>
      </c>
    </row>
    <row r="6610">
      <c r="A6610" t="n" s="0">
        <v>-33.91</v>
      </c>
      <c r="B6610" t="n" s="0">
        <f>(-5-((((-5*(-5/((-5/(((-5*(-33.91--5))-(-5+((-5*-33.91)*(((-5--5)+(-33.91--5))+-33.91))))-(-5+-5)))*-5)))/-5)--5)+(-5*(((-33.91*(-33.91-(-5/-5)))*(-33.91-(-33.91/(-5*-33.91))))-(-5/-5)))))</f>
        <v>-197382.033555</v>
      </c>
      <c r="C6610" t="n" s="0">
        <v>-197382.03355499994</v>
      </c>
    </row>
    <row r="6611">
      <c r="A6611" t="n" s="0">
        <v>-33.9</v>
      </c>
      <c r="B6611" t="n" s="0">
        <f>(-5-((((-5*(-5/((-5/(((-5*(-33.9--5))-(-5+((-5*-33.9)*(((-5--5)+(-33.9--5))+-33.9))))-(-5+-5)))*-5)))/-5)--5)+(-5*(((-33.9*(-33.9-(-5/-5)))*(-33.9-(-33.9/(-5*-33.9))))-(-5/-5)))))</f>
        <v>-197208.215</v>
      </c>
      <c r="C6611" t="n" s="0">
        <v>-197208.215</v>
      </c>
    </row>
    <row r="6612">
      <c r="A6612" t="n" s="0">
        <v>-33.89</v>
      </c>
      <c r="B6612" t="n" s="0">
        <f>(-5-((((-5*(-5/((-5/(((-5*(-33.89--5))-(-5+((-5*-33.89)*(((-5--5)+(-33.89--5))+-33.89))))-(-5+-5)))*-5)))/-5)--5)+(-5*(((-33.89*(-33.89-(-5/-5)))*(-33.89-(-33.89/(-5*-33.89))))-(-5/-5)))))</f>
        <v>-197034.498545</v>
      </c>
      <c r="C6612" t="n" s="0">
        <v>-197034.49854500004</v>
      </c>
    </row>
    <row r="6613">
      <c r="A6613" t="n" s="0">
        <v>-33.88</v>
      </c>
      <c r="B6613" t="n" s="0">
        <f>(-5-((((-5*(-5/((-5/(((-5*(-33.88--5))-(-5+((-5*-33.88)*(((-5--5)+(-33.88--5))+-33.88))))-(-5+-5)))*-5)))/-5)--5)+(-5*(((-33.88*(-33.88-(-5/-5)))*(-33.88-(-33.88/(-5*-33.88))))-(-5/-5)))))</f>
        <v>-196860.88416</v>
      </c>
      <c r="C6613" t="n" s="0">
        <v>-196860.88416000005</v>
      </c>
    </row>
    <row r="6614">
      <c r="A6614" t="n" s="0">
        <v>-33.87</v>
      </c>
      <c r="B6614" t="n" s="0">
        <f>(-5-((((-5*(-5/((-5/(((-5*(-33.87--5))-(-5+((-5*-33.87)*(((-5--5)+(-33.87--5))+-33.87))))-(-5+-5)))*-5)))/-5)--5)+(-5*(((-33.87*(-33.87-(-5/-5)))*(-33.87-(-33.87/(-5*-33.87))))-(-5/-5)))))</f>
        <v>-196687.371815</v>
      </c>
      <c r="C6614" t="n" s="0">
        <v>-196687.37181499996</v>
      </c>
    </row>
    <row r="6615">
      <c r="A6615" t="n" s="0">
        <v>-33.86</v>
      </c>
      <c r="B6615" t="n" s="0">
        <f>(-5-((((-5*(-5/((-5/(((-5*(-33.86--5))-(-5+((-5*-33.86)*(((-5--5)+(-33.86--5))+-33.86))))-(-5+-5)))*-5)))/-5)--5)+(-5*(((-33.86*(-33.86-(-5/-5)))*(-33.86-(-33.86/(-5*-33.86))))-(-5/-5)))))</f>
        <v>-196513.96148</v>
      </c>
      <c r="C6615" t="n" s="0">
        <v>-196513.96147999997</v>
      </c>
    </row>
    <row r="6616">
      <c r="A6616" t="n" s="0">
        <v>-33.85</v>
      </c>
      <c r="B6616" t="n" s="0">
        <f>(-5-((((-5*(-5/((-5/(((-5*(-33.85--5))-(-5+((-5*-33.85)*(((-5--5)+(-33.85--5))+-33.85))))-(-5+-5)))*-5)))/-5)--5)+(-5*(((-33.85*(-33.85-(-5/-5)))*(-33.85-(-33.85/(-5*-33.85))))-(-5/-5)))))</f>
        <v>-196340.653125</v>
      </c>
      <c r="C6616" t="n" s="0">
        <v>-196340.653125</v>
      </c>
    </row>
    <row r="6617">
      <c r="A6617" t="n" s="0">
        <v>-33.84</v>
      </c>
      <c r="B6617" t="n" s="0">
        <f>(-5-((((-5*(-5/((-5/(((-5*(-33.84--5))-(-5+((-5*-33.84)*(((-5--5)+(-33.84--5))+-33.84))))-(-5+-5)))*-5)))/-5)--5)+(-5*(((-33.84*(-33.84-(-5/-5)))*(-33.84-(-33.84/(-5*-33.84))))-(-5/-5)))))</f>
        <v>-196167.44672</v>
      </c>
      <c r="C6617" t="n" s="0">
        <v>-196167.44672000007</v>
      </c>
    </row>
    <row r="6618">
      <c r="A6618" t="n" s="0">
        <v>-33.83</v>
      </c>
      <c r="B6618" t="n" s="0">
        <f>(-5-((((-5*(-5/((-5/(((-5*(-33.83--5))-(-5+((-5*-33.83)*(((-5--5)+(-33.83--5))+-33.83))))-(-5+-5)))*-5)))/-5)--5)+(-5*(((-33.83*(-33.83-(-5/-5)))*(-33.83-(-33.83/(-5*-33.83))))-(-5/-5)))))</f>
        <v>-195994.342235</v>
      </c>
      <c r="C6618" t="n" s="0">
        <v>-195994.34223499993</v>
      </c>
    </row>
    <row r="6619">
      <c r="A6619" t="n" s="0">
        <v>-33.82</v>
      </c>
      <c r="B6619" t="n" s="0">
        <f>(-5-((((-5*(-5/((-5/(((-5*(-33.82--5))-(-5+((-5*-33.82)*(((-5--5)+(-33.82--5))+-33.82))))-(-5+-5)))*-5)))/-5)--5)+(-5*(((-33.82*(-33.82-(-5/-5)))*(-33.82-(-33.82/(-5*-33.82))))-(-5/-5)))))</f>
        <v>-195821.33964</v>
      </c>
      <c r="C6619" t="n" s="0">
        <v>-195821.33964</v>
      </c>
    </row>
    <row r="6620">
      <c r="A6620" t="n" s="0">
        <v>-33.81</v>
      </c>
      <c r="B6620" t="n" s="0">
        <f>(-5-((((-5*(-5/((-5/(((-5*(-33.81--5))-(-5+((-5*-33.81)*(((-5--5)+(-33.81--5))+-33.81))))-(-5+-5)))*-5)))/-5)--5)+(-5*(((-33.81*(-33.81-(-5/-5)))*(-33.81-(-33.81/(-5*-33.81))))-(-5/-5)))))</f>
        <v>-195648.438905</v>
      </c>
      <c r="C6620" t="n" s="0">
        <v>-195648.43890500005</v>
      </c>
    </row>
    <row r="6621">
      <c r="A6621" t="n" s="0">
        <v>-33.8</v>
      </c>
      <c r="B6621" t="n" s="0">
        <f>(-5-((((-5*(-5/((-5/(((-5*(-33.8--5))-(-5+((-5*-33.8)*(((-5--5)+(-33.8--5))+-33.8))))-(-5+-5)))*-5)))/-5)--5)+(-5*(((-33.8*(-33.8-(-5/-5)))*(-33.8-(-33.8/(-5*-33.8))))-(-5/-5)))))</f>
        <v>-195475.64</v>
      </c>
      <c r="C6621" t="n" s="0">
        <v>-195475.63999999993</v>
      </c>
    </row>
    <row r="6622">
      <c r="A6622" t="n" s="0">
        <v>-33.79</v>
      </c>
      <c r="B6622" t="n" s="0">
        <f>(-5-((((-5*(-5/((-5/(((-5*(-33.79--5))-(-5+((-5*-33.79)*(((-5--5)+(-33.79--5))+-33.79))))-(-5+-5)))*-5)))/-5)--5)+(-5*(((-33.79*(-33.79-(-5/-5)))*(-33.79-(-33.79/(-5*-33.79))))-(-5/-5)))))</f>
        <v>-195302.94289500001</v>
      </c>
      <c r="C6622" t="n" s="0">
        <v>-195302.942895</v>
      </c>
    </row>
    <row r="6623">
      <c r="A6623" t="n" s="0">
        <v>-33.78</v>
      </c>
      <c r="B6623" t="n" s="0">
        <f>(-5-((((-5*(-5/((-5/(((-5*(-33.78--5))-(-5+((-5*-33.78)*(((-5--5)+(-33.78--5))+-33.78))))-(-5+-5)))*-5)))/-5)--5)+(-5*(((-33.78*(-33.78-(-5/-5)))*(-33.78-(-33.78/(-5*-33.78))))-(-5/-5)))))</f>
        <v>-195130.34755999997</v>
      </c>
      <c r="C6623" t="n" s="0">
        <v>-195130.34756</v>
      </c>
    </row>
    <row r="6624">
      <c r="A6624" t="n" s="0">
        <v>-33.77</v>
      </c>
      <c r="B6624" t="n" s="0">
        <f>(-5-((((-5*(-5/((-5/(((-5*(-33.77--5))-(-5+((-5*-33.77)*(((-5--5)+(-33.77--5))+-33.77))))-(-5+-5)))*-5)))/-5)--5)+(-5*(((-33.77*(-33.77-(-5/-5)))*(-33.77-(-33.77/(-5*-33.77))))-(-5/-5)))))</f>
        <v>-194957.853965</v>
      </c>
      <c r="C6624" t="n" s="0">
        <v>-194957.85396500005</v>
      </c>
    </row>
    <row r="6625">
      <c r="A6625" t="n" s="0">
        <v>-33.76</v>
      </c>
      <c r="B6625" t="n" s="0">
        <f>(-5-((((-5*(-5/((-5/(((-5*(-33.76--5))-(-5+((-5*-33.76)*(((-5--5)+(-33.76--5))+-33.76))))-(-5+-5)))*-5)))/-5)--5)+(-5*(((-33.76*(-33.76-(-5/-5)))*(-33.76-(-33.76/(-5*-33.76))))-(-5/-5)))))</f>
        <v>-194785.46208</v>
      </c>
      <c r="C6625" t="n" s="0">
        <v>-194785.46207999994</v>
      </c>
    </row>
    <row r="6626">
      <c r="A6626" t="n" s="0">
        <v>-33.75</v>
      </c>
      <c r="B6626" t="n" s="0">
        <f>(-5-((((-5*(-5/((-5/(((-5*(-33.75--5))-(-5+((-5*-33.75)*(((-5--5)+(-33.75--5))+-33.75))))-(-5+-5)))*-5)))/-5)--5)+(-5*(((-33.75*(-33.75-(-5/-5)))*(-33.75-(-33.75/(-5*-33.75))))-(-5/-5)))))</f>
        <v>-194613.171875</v>
      </c>
      <c r="C6626" t="n" s="0">
        <v>-194613.171875</v>
      </c>
    </row>
    <row r="6627">
      <c r="A6627" t="n" s="0">
        <v>-33.74</v>
      </c>
      <c r="B6627" t="n" s="0">
        <f>(-5-((((-5*(-5/((-5/(((-5*(-33.74--5))-(-5+((-5*-33.74)*(((-5--5)+(-33.74--5))+-33.74))))-(-5+-5)))*-5)))/-5)--5)+(-5*(((-33.74*(-33.74-(-5/-5)))*(-33.74-(-33.74/(-5*-33.74))))-(-5/-5)))))</f>
        <v>-194440.98332</v>
      </c>
      <c r="C6627" t="n" s="0">
        <v>-194440.98332000006</v>
      </c>
    </row>
    <row r="6628">
      <c r="A6628" t="n" s="0">
        <v>-33.73</v>
      </c>
      <c r="B6628" t="n" s="0">
        <f>(-5-((((-5*(-5/((-5/(((-5*(-33.73--5))-(-5+((-5*-33.73)*(((-5--5)+(-33.73--5))+-33.73))))-(-5+-5)))*-5)))/-5)--5)+(-5*(((-33.73*(-33.73-(-5/-5)))*(-33.73-(-33.73/(-5*-33.73))))-(-5/-5)))))</f>
        <v>-194268.896385</v>
      </c>
      <c r="C6628" t="n" s="0">
        <v>-194268.89638499997</v>
      </c>
    </row>
    <row r="6629">
      <c r="A6629" t="n" s="0">
        <v>-33.72</v>
      </c>
      <c r="B6629" t="n" s="0">
        <f>(-5-((((-5*(-5/((-5/(((-5*(-33.72--5))-(-5+((-5*-33.72)*(((-5--5)+(-33.72--5))+-33.72))))-(-5+-5)))*-5)))/-5)--5)+(-5*(((-33.72*(-33.72-(-5/-5)))*(-33.72-(-33.72/(-5*-33.72))))-(-5/-5)))))</f>
        <v>-194096.91104</v>
      </c>
      <c r="C6629" t="n" s="0">
        <v>-194096.91104</v>
      </c>
    </row>
    <row r="6630">
      <c r="A6630" t="n" s="0">
        <v>-33.71</v>
      </c>
      <c r="B6630" t="n" s="0">
        <f>(-5-((((-5*(-5/((-5/(((-5*(-33.71--5))-(-5+((-5*-33.71)*(((-5--5)+(-33.71--5))+-33.71))))-(-5+-5)))*-5)))/-5)--5)+(-5*(((-33.71*(-33.71-(-5/-5)))*(-33.71-(-33.71/(-5*-33.71))))-(-5/-5)))))</f>
        <v>-193925.02725500002</v>
      </c>
      <c r="C6630" t="n" s="0">
        <v>-193925.02725500002</v>
      </c>
    </row>
    <row r="6631">
      <c r="A6631" t="n" s="0">
        <v>-33.7</v>
      </c>
      <c r="B6631" t="n" s="0">
        <f>(-5-((((-5*(-5/((-5/(((-5*(-33.7--5))-(-5+((-5*-33.7)*(((-5--5)+(-33.7--5))+-33.7))))-(-5+-5)))*-5)))/-5)--5)+(-5*(((-33.7*(-33.7-(-5/-5)))*(-33.7-(-33.7/(-5*-33.7))))-(-5/-5)))))</f>
        <v>-193753.24500000002</v>
      </c>
      <c r="C6631" t="n" s="0">
        <v>-193753.24500000008</v>
      </c>
    </row>
    <row r="6632">
      <c r="A6632" t="n" s="0">
        <v>-33.69</v>
      </c>
      <c r="B6632" t="n" s="0">
        <f>(-5-((((-5*(-5/((-5/(((-5*(-33.69--5))-(-5+((-5*-33.69)*(((-5--5)+(-33.69--5))+-33.69))))-(-5+-5)))*-5)))/-5)--5)+(-5*(((-33.69*(-33.69-(-5/-5)))*(-33.69-(-33.69/(-5*-33.69))))-(-5/-5)))))</f>
        <v>-193581.564245</v>
      </c>
      <c r="C6632" t="n" s="0">
        <v>-193581.564245</v>
      </c>
    </row>
    <row r="6633">
      <c r="A6633" t="n" s="0">
        <v>-33.68</v>
      </c>
      <c r="B6633" t="n" s="0">
        <f>(-5-((((-5*(-5/((-5/(((-5*(-33.68--5))-(-5+((-5*-33.68)*(((-5--5)+(-33.68--5))+-33.68))))-(-5+-5)))*-5)))/-5)--5)+(-5*(((-33.68*(-33.68-(-5/-5)))*(-33.68-(-33.68/(-5*-33.68))))-(-5/-5)))))</f>
        <v>-193409.98496</v>
      </c>
      <c r="C6633" t="n" s="0">
        <v>-193409.98496</v>
      </c>
    </row>
    <row r="6634">
      <c r="A6634" t="n" s="0">
        <v>-33.67</v>
      </c>
      <c r="B6634" t="n" s="0">
        <f>(-5-((((-5*(-5/((-5/(((-5*(-33.67--5))-(-5+((-5*-33.67)*(((-5--5)+(-33.67--5))+-33.67))))-(-5+-5)))*-5)))/-5)--5)+(-5*(((-33.67*(-33.67-(-5/-5)))*(-33.67-(-33.67/(-5*-33.67))))-(-5/-5)))))</f>
        <v>-193238.50711500001</v>
      </c>
      <c r="C6634" t="n" s="0">
        <v>-193238.50711500001</v>
      </c>
    </row>
    <row r="6635">
      <c r="A6635" t="n" s="0">
        <v>-33.66</v>
      </c>
      <c r="B6635" t="n" s="0">
        <f>(-5-((((-5*(-5/((-5/(((-5*(-33.66--5))-(-5+((-5*-33.66)*(((-5--5)+(-33.66--5))+-33.66))))-(-5+-5)))*-5)))/-5)--5)+(-5*(((-33.66*(-33.66-(-5/-5)))*(-33.66-(-33.66/(-5*-33.66))))-(-5/-5)))))</f>
        <v>-193067.13068</v>
      </c>
      <c r="C6635" t="n" s="0">
        <v>-193067.13067999997</v>
      </c>
    </row>
    <row r="6636">
      <c r="A6636" t="n" s="0">
        <v>-33.65</v>
      </c>
      <c r="B6636" t="n" s="0">
        <f>(-5-((((-5*(-5/((-5/(((-5*(-33.65--5))-(-5+((-5*-33.65)*(((-5--5)+(-33.65--5))+-33.65))))-(-5+-5)))*-5)))/-5)--5)+(-5*(((-33.65*(-33.65-(-5/-5)))*(-33.65-(-33.65/(-5*-33.65))))-(-5/-5)))))</f>
        <v>-192895.855625</v>
      </c>
      <c r="C6636" t="n" s="0">
        <v>-192895.85562499997</v>
      </c>
    </row>
    <row r="6637">
      <c r="A6637" t="n" s="0">
        <v>-33.64</v>
      </c>
      <c r="B6637" t="n" s="0">
        <f>(-5-((((-5*(-5/((-5/(((-5*(-33.64--5))-(-5+((-5*-33.64)*(((-5--5)+(-33.64--5))+-33.64))))-(-5+-5)))*-5)))/-5)--5)+(-5*(((-33.64*(-33.64-(-5/-5)))*(-33.64-(-33.64/(-5*-33.64))))-(-5/-5)))))</f>
        <v>-192724.68192</v>
      </c>
      <c r="C6637" t="n" s="0">
        <v>-192724.68192000003</v>
      </c>
    </row>
    <row r="6638">
      <c r="A6638" t="n" s="0">
        <v>-33.63</v>
      </c>
      <c r="B6638" t="n" s="0">
        <f>(-5-((((-5*(-5/((-5/(((-5*(-33.63--5))-(-5+((-5*-33.63)*(((-5--5)+(-33.63--5))+-33.63))))-(-5+-5)))*-5)))/-5)--5)+(-5*(((-33.63*(-33.63-(-5/-5)))*(-33.63-(-33.63/(-5*-33.63))))-(-5/-5)))))</f>
        <v>-192553.609535</v>
      </c>
      <c r="C6638" t="n" s="0">
        <v>-192553.60953500005</v>
      </c>
    </row>
    <row r="6639">
      <c r="A6639" t="n" s="0">
        <v>-33.62</v>
      </c>
      <c r="B6639" t="n" s="0">
        <f>(-5-((((-5*(-5/((-5/(((-5*(-33.62--5))-(-5+((-5*-33.62)*(((-5--5)+(-33.62--5))+-33.62))))-(-5+-5)))*-5)))/-5)--5)+(-5*(((-33.62*(-33.62-(-5/-5)))*(-33.62-(-33.62/(-5*-33.62))))-(-5/-5)))))</f>
        <v>-192382.63843999998</v>
      </c>
      <c r="C6639" t="n" s="0">
        <v>-192382.63843999995</v>
      </c>
    </row>
    <row r="6640">
      <c r="A6640" t="n" s="0">
        <v>-33.61</v>
      </c>
      <c r="B6640" t="n" s="0">
        <f>(-5-((((-5*(-5/((-5/(((-5*(-33.61--5))-(-5+((-5*-33.61)*(((-5--5)+(-33.61--5))+-33.61))))-(-5+-5)))*-5)))/-5)--5)+(-5*(((-33.61*(-33.61-(-5/-5)))*(-33.61-(-33.61/(-5*-33.61))))-(-5/-5)))))</f>
        <v>-192211.768605</v>
      </c>
      <c r="C6640" t="n" s="0">
        <v>-192211.768605</v>
      </c>
    </row>
    <row r="6641">
      <c r="A6641" t="n" s="0">
        <v>-33.6</v>
      </c>
      <c r="B6641" t="n" s="0">
        <f>(-5-((((-5*(-5/((-5/(((-5*(-33.6--5))-(-5+((-5*-33.6)*(((-5--5)+(-33.6--5))+-33.6))))-(-5+-5)))*-5)))/-5)--5)+(-5*(((-33.6*(-33.6-(-5/-5)))*(-33.6-(-33.6/(-5*-33.6))))-(-5/-5)))))</f>
        <v>-192041.0</v>
      </c>
      <c r="C6641" t="n" s="0">
        <v>-192041.00000000003</v>
      </c>
    </row>
    <row r="6642">
      <c r="A6642" t="n" s="0">
        <v>-33.59</v>
      </c>
      <c r="B6642" t="n" s="0">
        <f>(-5-((((-5*(-5/((-5/(((-5*(-33.59--5))-(-5+((-5*-33.59)*(((-5--5)+(-33.59--5))+-33.59))))-(-5+-5)))*-5)))/-5)--5)+(-5*(((-33.59*(-33.59-(-5/-5)))*(-33.59-(-33.59/(-5*-33.59))))-(-5/-5)))))</f>
        <v>-191870.332595</v>
      </c>
      <c r="C6642" t="n" s="0">
        <v>-191870.33259500007</v>
      </c>
    </row>
    <row r="6643">
      <c r="A6643" t="n" s="0">
        <v>-33.58</v>
      </c>
      <c r="B6643" t="n" s="0">
        <f>(-5-((((-5*(-5/((-5/(((-5*(-33.58--5))-(-5+((-5*-33.58)*(((-5--5)+(-33.58--5))+-33.58))))-(-5+-5)))*-5)))/-5)--5)+(-5*(((-33.58*(-33.58-(-5/-5)))*(-33.58-(-33.58/(-5*-33.58))))-(-5/-5)))))</f>
        <v>-191699.76636</v>
      </c>
      <c r="C6643" t="n" s="0">
        <v>-191699.76635999995</v>
      </c>
    </row>
    <row r="6644">
      <c r="A6644" t="n" s="0">
        <v>-33.57</v>
      </c>
      <c r="B6644" t="n" s="0">
        <f>(-5-((((-5*(-5/((-5/(((-5*(-33.57--5))-(-5+((-5*-33.57)*(((-5--5)+(-33.57--5))+-33.57))))-(-5+-5)))*-5)))/-5)--5)+(-5*(((-33.57*(-33.57-(-5/-5)))*(-33.57-(-33.57/(-5*-33.57))))-(-5/-5)))))</f>
        <v>-191529.301265</v>
      </c>
      <c r="C6644" t="n" s="0">
        <v>-191529.301265</v>
      </c>
    </row>
    <row r="6645">
      <c r="A6645" t="n" s="0">
        <v>-33.56</v>
      </c>
      <c r="B6645" t="n" s="0">
        <f>(-5-((((-5*(-5/((-5/(((-5*(-33.56--5))-(-5+((-5*-33.56)*(((-5--5)+(-33.56--5))+-33.56))))-(-5+-5)))*-5)))/-5)--5)+(-5*(((-33.56*(-33.56-(-5/-5)))*(-33.56-(-33.56/(-5*-33.56))))-(-5/-5)))))</f>
        <v>-191358.93727999998</v>
      </c>
      <c r="C6645" t="n" s="0">
        <v>-191358.93728000004</v>
      </c>
    </row>
    <row r="6646">
      <c r="A6646" t="n" s="0">
        <v>-33.55</v>
      </c>
      <c r="B6646" t="n" s="0">
        <f>(-5-((((-5*(-5/((-5/(((-5*(-33.55--5))-(-5+((-5*-33.55)*(((-5--5)+(-33.55--5))+-33.55))))-(-5+-5)))*-5)))/-5)--5)+(-5*(((-33.55*(-33.55-(-5/-5)))*(-33.55-(-33.55/(-5*-33.55))))-(-5/-5)))))</f>
        <v>-191188.674375</v>
      </c>
      <c r="C6646" t="n" s="0">
        <v>-191188.67437499994</v>
      </c>
    </row>
    <row r="6647">
      <c r="A6647" t="n" s="0">
        <v>-33.54</v>
      </c>
      <c r="B6647" t="n" s="0">
        <f>(-5-((((-5*(-5/((-5/(((-5*(-33.54--5))-(-5+((-5*-33.54)*(((-5--5)+(-33.54--5))+-33.54))))-(-5+-5)))*-5)))/-5)--5)+(-5*(((-33.54*(-33.54-(-5/-5)))*(-33.54-(-33.54/(-5*-33.54))))-(-5/-5)))))</f>
        <v>-191018.51252000002</v>
      </c>
      <c r="C6647" t="n" s="0">
        <v>-191018.51251999996</v>
      </c>
    </row>
    <row r="6648">
      <c r="A6648" t="n" s="0">
        <v>-33.53</v>
      </c>
      <c r="B6648" t="n" s="0">
        <f>(-5-((((-5*(-5/((-5/(((-5*(-33.53--5))-(-5+((-5*-33.53)*(((-5--5)+(-33.53--5))+-33.53))))-(-5+-5)))*-5)))/-5)--5)+(-5*(((-33.53*(-33.53-(-5/-5)))*(-33.53-(-33.53/(-5*-33.53))))-(-5/-5)))))</f>
        <v>-190848.451685</v>
      </c>
      <c r="C6648" t="n" s="0">
        <v>-190848.45168499998</v>
      </c>
    </row>
    <row r="6649">
      <c r="A6649" t="n" s="0">
        <v>-33.52</v>
      </c>
      <c r="B6649" t="n" s="0">
        <f>(-5-((((-5*(-5/((-5/(((-5*(-33.52--5))-(-5+((-5*-33.52)*(((-5--5)+(-33.52--5))+-33.52))))-(-5+-5)))*-5)))/-5)--5)+(-5*(((-33.52*(-33.52-(-5/-5)))*(-33.52-(-33.52/(-5*-33.52))))-(-5/-5)))))</f>
        <v>-190678.49183999997</v>
      </c>
      <c r="C6649" t="n" s="0">
        <v>-190678.49184000006</v>
      </c>
    </row>
    <row r="6650">
      <c r="A6650" t="n" s="0">
        <v>-33.51</v>
      </c>
      <c r="B6650" t="n" s="0">
        <f>(-5-((((-5*(-5/((-5/(((-5*(-33.51--5))-(-5+((-5*-33.51)*(((-5--5)+(-33.51--5))+-33.51))))-(-5+-5)))*-5)))/-5)--5)+(-5*(((-33.51*(-33.51-(-5/-5)))*(-33.51-(-33.51/(-5*-33.51))))-(-5/-5)))))</f>
        <v>-190508.632955</v>
      </c>
      <c r="C6650" t="n" s="0">
        <v>-190508.63295499998</v>
      </c>
    </row>
    <row r="6651">
      <c r="A6651" t="n" s="0">
        <v>-33.5</v>
      </c>
      <c r="B6651" t="n" s="0">
        <f>(-5-((((-5*(-5/((-5/(((-5*(-33.5--5))-(-5+((-5*-33.5)*(((-5--5)+(-33.5--5))+-33.5))))-(-5+-5)))*-5)))/-5)--5)+(-5*(((-33.5*(-33.5-(-5/-5)))*(-33.5-(-33.5/(-5*-33.5))))-(-5/-5)))))</f>
        <v>-190338.875</v>
      </c>
      <c r="C6651" t="n" s="0">
        <v>-190338.875</v>
      </c>
    </row>
    <row r="6652">
      <c r="A6652" t="n" s="0">
        <v>-33.49</v>
      </c>
      <c r="B6652" t="n" s="0">
        <f>(-5-((((-5*(-5/((-5/(((-5*(-33.49--5))-(-5+((-5*-33.49)*(((-5--5)+(-33.49--5))+-33.49))))-(-5+-5)))*-5)))/-5)--5)+(-5*(((-33.49*(-33.49-(-5/-5)))*(-33.49-(-33.49/(-5*-33.49))))-(-5/-5)))))</f>
        <v>-190169.217945</v>
      </c>
      <c r="C6652" t="n" s="0">
        <v>-190169.21794500004</v>
      </c>
    </row>
    <row r="6653">
      <c r="A6653" t="n" s="0">
        <v>-33.48</v>
      </c>
      <c r="B6653" t="n" s="0">
        <f>(-5-((((-5*(-5/((-5/(((-5*(-33.48--5))-(-5+((-5*-33.48)*(((-5--5)+(-33.48--5))+-33.48))))-(-5+-5)))*-5)))/-5)--5)+(-5*(((-33.48*(-33.48-(-5/-5)))*(-33.48-(-33.48/(-5*-33.48))))-(-5/-5)))))</f>
        <v>-189999.66176</v>
      </c>
      <c r="C6653" t="n" s="0">
        <v>-189999.66175999993</v>
      </c>
    </row>
    <row r="6654">
      <c r="A6654" t="n" s="0">
        <v>-33.47</v>
      </c>
      <c r="B6654" t="n" s="0">
        <f>(-5-((((-5*(-5/((-5/(((-5*(-33.47--5))-(-5+((-5*-33.47)*(((-5--5)+(-33.47--5))+-33.47))))-(-5+-5)))*-5)))/-5)--5)+(-5*(((-33.47*(-33.47-(-5/-5)))*(-33.47-(-33.47/(-5*-33.47))))-(-5/-5)))))</f>
        <v>-189830.206415</v>
      </c>
      <c r="C6654" t="n" s="0">
        <v>-189830.206415</v>
      </c>
    </row>
    <row r="6655">
      <c r="A6655" t="n" s="0">
        <v>-33.46</v>
      </c>
      <c r="B6655" t="n" s="0">
        <f>(-5-((((-5*(-5/((-5/(((-5*(-33.46--5))-(-5+((-5*-33.46)*(((-5--5)+(-33.46--5))+-33.46))))-(-5+-5)))*-5)))/-5)--5)+(-5*(((-33.46*(-33.46-(-5/-5)))*(-33.46-(-33.46/(-5*-33.46))))-(-5/-5)))))</f>
        <v>-189660.85188</v>
      </c>
      <c r="C6655" t="n" s="0">
        <v>-189660.85188</v>
      </c>
    </row>
    <row r="6656">
      <c r="A6656" t="n" s="0">
        <v>-33.45</v>
      </c>
      <c r="B6656" t="n" s="0">
        <f>(-5-((((-5*(-5/((-5/(((-5*(-33.45--5))-(-5+((-5*-33.45)*(((-5--5)+(-33.45--5))+-33.45))))-(-5+-5)))*-5)))/-5)--5)+(-5*(((-33.45*(-33.45-(-5/-5)))*(-33.45-(-33.45/(-5*-33.45))))-(-5/-5)))))</f>
        <v>-189491.598125</v>
      </c>
      <c r="C6656" t="n" s="0">
        <v>-189491.59812500005</v>
      </c>
    </row>
    <row r="6657">
      <c r="A6657" t="n" s="0">
        <v>-33.44</v>
      </c>
      <c r="B6657" t="n" s="0">
        <f>(-5-((((-5*(-5/((-5/(((-5*(-33.44--5))-(-5+((-5*-33.44)*(((-5--5)+(-33.44--5))+-33.44))))-(-5+-5)))*-5)))/-5)--5)+(-5*(((-33.44*(-33.44-(-5/-5)))*(-33.44-(-33.44/(-5*-33.44))))-(-5/-5)))))</f>
        <v>-189322.44512</v>
      </c>
      <c r="C6657" t="n" s="0">
        <v>-189322.44512</v>
      </c>
    </row>
    <row r="6658">
      <c r="A6658" t="n" s="0">
        <v>-33.43</v>
      </c>
      <c r="B6658" t="n" s="0">
        <f>(-5-((((-5*(-5/((-5/(((-5*(-33.43--5))-(-5+((-5*-33.43)*(((-5--5)+(-33.43--5))+-33.43))))-(-5+-5)))*-5)))/-5)--5)+(-5*(((-33.43*(-33.43-(-5/-5)))*(-33.43-(-33.43/(-5*-33.43))))-(-5/-5)))))</f>
        <v>-189153.392835</v>
      </c>
      <c r="C6658" t="n" s="0">
        <v>-189153.39283499998</v>
      </c>
    </row>
    <row r="6659">
      <c r="A6659" t="n" s="0">
        <v>-33.42</v>
      </c>
      <c r="B6659" t="n" s="0">
        <f>(-5-((((-5*(-5/((-5/(((-5*(-33.42--5))-(-5+((-5*-33.42)*(((-5--5)+(-33.42--5))+-33.42))))-(-5+-5)))*-5)))/-5)--5)+(-5*(((-33.42*(-33.42-(-5/-5)))*(-33.42-(-33.42/(-5*-33.42))))-(-5/-5)))))</f>
        <v>-188984.44124</v>
      </c>
      <c r="C6659" t="n" s="0">
        <v>-188984.44124000001</v>
      </c>
    </row>
    <row r="6660">
      <c r="A6660" t="n" s="0">
        <v>-33.41</v>
      </c>
      <c r="B6660" t="n" s="0">
        <f>(-5-((((-5*(-5/((-5/(((-5*(-33.41--5))-(-5+((-5*-33.41)*(((-5--5)+(-33.41--5))+-33.41))))-(-5+-5)))*-5)))/-5)--5)+(-5*(((-33.41*(-33.41-(-5/-5)))*(-33.41-(-33.41/(-5*-33.41))))-(-5/-5)))))</f>
        <v>-188815.590305</v>
      </c>
      <c r="C6660" t="n" s="0">
        <v>-188815.59030499993</v>
      </c>
    </row>
    <row r="6661">
      <c r="A6661" t="n" s="0">
        <v>-33.4</v>
      </c>
      <c r="B6661" t="n" s="0">
        <f>(-5-((((-5*(-5/((-5/(((-5*(-33.4--5))-(-5+((-5*-33.4)*(((-5--5)+(-33.4--5))+-33.4))))-(-5+-5)))*-5)))/-5)--5)+(-5*(((-33.4*(-33.4-(-5/-5)))*(-33.4-(-33.4/(-5*-33.4))))-(-5/-5)))))</f>
        <v>-188646.84</v>
      </c>
      <c r="C6661" t="n" s="0">
        <v>-188646.84</v>
      </c>
    </row>
    <row r="6662">
      <c r="A6662" t="n" s="0">
        <v>-33.39</v>
      </c>
      <c r="B6662" t="n" s="0">
        <f>(-5-((((-5*(-5/((-5/(((-5*(-33.39--5))-(-5+((-5*-33.39)*(((-5--5)+(-33.39--5))+-33.39))))-(-5+-5)))*-5)))/-5)--5)+(-5*(((-33.39*(-33.39-(-5/-5)))*(-33.39-(-33.39/(-5*-33.39))))-(-5/-5)))))</f>
        <v>-188478.190295</v>
      </c>
      <c r="C6662" t="n" s="0">
        <v>-188478.19029500004</v>
      </c>
    </row>
    <row r="6663">
      <c r="A6663" t="n" s="0">
        <v>-33.38</v>
      </c>
      <c r="B6663" t="n" s="0">
        <f>(-5-((((-5*(-5/((-5/(((-5*(-33.38--5))-(-5+((-5*-33.38)*(((-5--5)+(-33.38--5))+-33.38))))-(-5+-5)))*-5)))/-5)--5)+(-5*(((-33.38*(-33.38-(-5/-5)))*(-33.38-(-33.38/(-5*-33.38))))-(-5/-5)))))</f>
        <v>-188309.64116</v>
      </c>
      <c r="C6663" t="n" s="0">
        <v>-188309.6411600001</v>
      </c>
    </row>
    <row r="6664">
      <c r="A6664" t="n" s="0">
        <v>-33.37</v>
      </c>
      <c r="B6664" t="n" s="0">
        <f>(-5-((((-5*(-5/((-5/(((-5*(-33.37--5))-(-5+((-5*-33.37)*(((-5--5)+(-33.37--5))+-33.37))))-(-5+-5)))*-5)))/-5)--5)+(-5*(((-33.37*(-33.37-(-5/-5)))*(-33.37-(-33.37/(-5*-33.37))))-(-5/-5)))))</f>
        <v>-188141.19256499998</v>
      </c>
      <c r="C6664" t="n" s="0">
        <v>-188141.19256499992</v>
      </c>
    </row>
    <row r="6665">
      <c r="A6665" t="n" s="0">
        <v>-33.36</v>
      </c>
      <c r="B6665" t="n" s="0">
        <f>(-5-((((-5*(-5/((-5/(((-5*(-33.36--5))-(-5+((-5*-33.36)*(((-5--5)+(-33.36--5))+-33.36))))-(-5+-5)))*-5)))/-5)--5)+(-5*(((-33.36*(-33.36-(-5/-5)))*(-33.36-(-33.36/(-5*-33.36))))-(-5/-5)))))</f>
        <v>-187972.84448</v>
      </c>
      <c r="C6665" t="n" s="0">
        <v>-187972.84447999997</v>
      </c>
    </row>
    <row r="6666">
      <c r="A6666" t="n" s="0">
        <v>-33.35</v>
      </c>
      <c r="B6666" t="n" s="0">
        <f>(-5-((((-5*(-5/((-5/(((-5*(-33.35--5))-(-5+((-5*-33.35)*(((-5--5)+(-33.35--5))+-33.35))))-(-5+-5)))*-5)))/-5)--5)+(-5*(((-33.35*(-33.35-(-5/-5)))*(-33.35-(-33.35/(-5*-33.35))))-(-5/-5)))))</f>
        <v>-187804.596875</v>
      </c>
      <c r="C6666" t="n" s="0">
        <v>-187804.59687500002</v>
      </c>
    </row>
    <row r="6667">
      <c r="A6667" t="n" s="0">
        <v>-33.34</v>
      </c>
      <c r="B6667" t="n" s="0">
        <f>(-5-((((-5*(-5/((-5/(((-5*(-33.34--5))-(-5+((-5*-33.34)*(((-5--5)+(-33.34--5))+-33.34))))-(-5+-5)))*-5)))/-5)--5)+(-5*(((-33.34*(-33.34-(-5/-5)))*(-33.34-(-33.34/(-5*-33.34))))-(-5/-5)))))</f>
        <v>-187636.44972</v>
      </c>
      <c r="C6667" t="n" s="0">
        <v>-187636.44972000006</v>
      </c>
    </row>
    <row r="6668">
      <c r="A6668" t="n" s="0">
        <v>-33.33</v>
      </c>
      <c r="B6668" t="n" s="0">
        <f>(-5-((((-5*(-5/((-5/(((-5*(-33.33--5))-(-5+((-5*-33.33)*(((-5--5)+(-33.33--5))+-33.33))))-(-5+-5)))*-5)))/-5)--5)+(-5*(((-33.33*(-33.33-(-5/-5)))*(-33.33-(-33.33/(-5*-33.33))))-(-5/-5)))))</f>
        <v>-187468.402985</v>
      </c>
      <c r="C6668" t="n" s="0">
        <v>-187468.40298499996</v>
      </c>
    </row>
    <row r="6669">
      <c r="A6669" t="n" s="0">
        <v>-33.32</v>
      </c>
      <c r="B6669" t="n" s="0">
        <f>(-5-((((-5*(-5/((-5/(((-5*(-33.32--5))-(-5+((-5*-33.32)*(((-5--5)+(-33.32--5))+-33.32))))-(-5+-5)))*-5)))/-5)--5)+(-5*(((-33.32*(-33.32-(-5/-5)))*(-33.32-(-33.32/(-5*-33.32))))-(-5/-5)))))</f>
        <v>-187300.45664</v>
      </c>
      <c r="C6669" t="n" s="0">
        <v>-187300.45664</v>
      </c>
    </row>
    <row r="6670">
      <c r="A6670" t="n" s="0">
        <v>-33.31</v>
      </c>
      <c r="B6670" t="n" s="0">
        <f>(-5-((((-5*(-5/((-5/(((-5*(-33.31--5))-(-5+((-5*-33.31)*(((-5--5)+(-33.31--5))+-33.31))))-(-5+-5)))*-5)))/-5)--5)+(-5*(((-33.31*(-33.31-(-5/-5)))*(-33.31-(-33.31/(-5*-33.31))))-(-5/-5)))))</f>
        <v>-187132.610655</v>
      </c>
      <c r="C6670" t="n" s="0">
        <v>-187132.61065500005</v>
      </c>
    </row>
    <row r="6671">
      <c r="A6671" t="n" s="0">
        <v>-33.3</v>
      </c>
      <c r="B6671" t="n" s="0">
        <f>(-5-((((-5*(-5/((-5/(((-5*(-33.3--5))-(-5+((-5*-33.3)*(((-5--5)+(-33.3--5))+-33.3))))-(-5+-5)))*-5)))/-5)--5)+(-5*(((-33.3*(-33.3-(-5/-5)))*(-33.3-(-33.3/(-5*-33.3))))-(-5/-5)))))</f>
        <v>-186964.86500000002</v>
      </c>
      <c r="C6671" t="n" s="0">
        <v>-186964.86499999993</v>
      </c>
    </row>
    <row r="6672">
      <c r="A6672" t="n" s="0">
        <v>-33.29</v>
      </c>
      <c r="B6672" t="n" s="0">
        <f>(-5-((((-5*(-5/((-5/(((-5*(-33.29--5))-(-5+((-5*-33.29)*(((-5--5)+(-33.29--5))+-33.29))))-(-5+-5)))*-5)))/-5)--5)+(-5*(((-33.29*(-33.29-(-5/-5)))*(-33.29-(-33.29/(-5*-33.29))))-(-5/-5)))))</f>
        <v>-186797.21964499998</v>
      </c>
      <c r="C6672" t="n" s="0">
        <v>-186797.21964499998</v>
      </c>
    </row>
    <row r="6673">
      <c r="A6673" t="n" s="0">
        <v>-33.28</v>
      </c>
      <c r="B6673" t="n" s="0">
        <f>(-5-((((-5*(-5/((-5/(((-5*(-33.28--5))-(-5+((-5*-33.28)*(((-5--5)+(-33.28--5))+-33.28))))-(-5+-5)))*-5)))/-5)--5)+(-5*(((-33.28*(-33.28-(-5/-5)))*(-33.28-(-33.28/(-5*-33.28))))-(-5/-5)))))</f>
        <v>-186629.67456</v>
      </c>
      <c r="C6673" t="n" s="0">
        <v>-186629.67456</v>
      </c>
    </row>
    <row r="6674">
      <c r="A6674" t="n" s="0">
        <v>-33.27</v>
      </c>
      <c r="B6674" t="n" s="0">
        <f>(-5-((((-5*(-5/((-5/(((-5*(-33.27--5))-(-5+((-5*-33.27)*(((-5--5)+(-33.27--5))+-33.27))))-(-5+-5)))*-5)))/-5)--5)+(-5*(((-33.27*(-33.27-(-5/-5)))*(-33.27-(-33.27/(-5*-33.27))))-(-5/-5)))))</f>
        <v>-186462.229715</v>
      </c>
      <c r="C6674" t="n" s="0">
        <v>-186462.22971500008</v>
      </c>
    </row>
    <row r="6675">
      <c r="A6675" t="n" s="0">
        <v>-33.26</v>
      </c>
      <c r="B6675" t="n" s="0">
        <f>(-5-((((-5*(-5/((-5/(((-5*(-33.26--5))-(-5+((-5*-33.26)*(((-5--5)+(-33.26--5))+-33.26))))-(-5+-5)))*-5)))/-5)--5)+(-5*(((-33.26*(-33.26-(-5/-5)))*(-33.26-(-33.26/(-5*-33.26))))-(-5/-5)))))</f>
        <v>-186294.88508</v>
      </c>
      <c r="C6675" t="n" s="0">
        <v>-186294.88507999998</v>
      </c>
    </row>
    <row r="6676">
      <c r="A6676" t="n" s="0">
        <v>-33.25</v>
      </c>
      <c r="B6676" t="n" s="0">
        <f>(-5-((((-5*(-5/((-5/(((-5*(-33.25--5))-(-5+((-5*-33.25)*(((-5--5)+(-33.25--5))+-33.25))))-(-5+-5)))*-5)))/-5)--5)+(-5*(((-33.25*(-33.25-(-5/-5)))*(-33.25-(-33.25/(-5*-33.25))))-(-5/-5)))))</f>
        <v>-186127.640625</v>
      </c>
      <c r="C6676" t="n" s="0">
        <v>-186127.640625</v>
      </c>
    </row>
    <row r="6677">
      <c r="A6677" t="n" s="0">
        <v>-33.24</v>
      </c>
      <c r="B6677" t="n" s="0">
        <f>(-5-((((-5*(-5/((-5/(((-5*(-33.24--5))-(-5+((-5*-33.24)*(((-5--5)+(-33.24--5))+-33.24))))-(-5+-5)))*-5)))/-5)--5)+(-5*(((-33.24*(-33.24-(-5/-5)))*(-33.24-(-33.24/(-5*-33.24))))-(-5/-5)))))</f>
        <v>-185960.49632</v>
      </c>
      <c r="C6677" t="n" s="0">
        <v>-185960.49632</v>
      </c>
    </row>
    <row r="6678">
      <c r="A6678" t="n" s="0">
        <v>-33.23</v>
      </c>
      <c r="B6678" t="n" s="0">
        <f>(-5-((((-5*(-5/((-5/(((-5*(-33.23--5))-(-5+((-5*-33.23)*(((-5--5)+(-33.23--5))+-33.23))))-(-5+-5)))*-5)))/-5)--5)+(-5*(((-33.23*(-33.23-(-5/-5)))*(-33.23-(-33.23/(-5*-33.23))))-(-5/-5)))))</f>
        <v>-185793.452135</v>
      </c>
      <c r="C6678" t="n" s="0">
        <v>-185793.45213499994</v>
      </c>
    </row>
    <row r="6679">
      <c r="A6679" t="n" s="0">
        <v>-33.22</v>
      </c>
      <c r="B6679" t="n" s="0">
        <f>(-5-((((-5*(-5/((-5/(((-5*(-33.22--5))-(-5+((-5*-33.22)*(((-5--5)+(-33.22--5))+-33.22))))-(-5+-5)))*-5)))/-5)--5)+(-5*(((-33.22*(-33.22-(-5/-5)))*(-33.22-(-33.22/(-5*-33.22))))-(-5/-5)))))</f>
        <v>-185626.50803999996</v>
      </c>
      <c r="C6679" t="n" s="0">
        <v>-185626.50804</v>
      </c>
    </row>
    <row r="6680">
      <c r="A6680" t="n" s="0">
        <v>-33.21</v>
      </c>
      <c r="B6680" t="n" s="0">
        <f>(-5-((((-5*(-5/((-5/(((-5*(-33.21--5))-(-5+((-5*-33.21)*(((-5--5)+(-33.21--5))+-33.21))))-(-5+-5)))*-5)))/-5)--5)+(-5*(((-33.21*(-33.21-(-5/-5)))*(-33.21-(-33.21/(-5*-33.21))))-(-5/-5)))))</f>
        <v>-185459.664005</v>
      </c>
      <c r="C6680" t="n" s="0">
        <v>-185459.66400500003</v>
      </c>
    </row>
    <row r="6681">
      <c r="A6681" t="n" s="0">
        <v>-33.2</v>
      </c>
      <c r="B6681" t="n" s="0">
        <f>(-5-((((-5*(-5/((-5/(((-5*(-33.2--5))-(-5+((-5*-33.2)*(((-5--5)+(-33.2--5))+-33.2))))-(-5+-5)))*-5)))/-5)--5)+(-5*(((-33.2*(-33.2-(-5/-5)))*(-33.2-(-33.2/(-5*-33.2))))-(-5/-5)))))</f>
        <v>-185292.92</v>
      </c>
      <c r="C6681" t="n" s="0">
        <v>-185292.92000000007</v>
      </c>
    </row>
    <row r="6682">
      <c r="A6682" t="n" s="0">
        <v>-33.19</v>
      </c>
      <c r="B6682" t="n" s="0">
        <f>(-5-((((-5*(-5/((-5/(((-5*(-33.19--5))-(-5+((-5*-33.19)*(((-5--5)+(-33.19--5))+-33.19))))-(-5+-5)))*-5)))/-5)--5)+(-5*(((-33.19*(-33.19-(-5/-5)))*(-33.19-(-33.19/(-5*-33.19))))-(-5/-5)))))</f>
        <v>-185126.275995</v>
      </c>
      <c r="C6682" t="n" s="0">
        <v>-185126.27599499997</v>
      </c>
    </row>
    <row r="6683">
      <c r="A6683" t="n" s="0">
        <v>-33.18</v>
      </c>
      <c r="B6683" t="n" s="0">
        <f>(-5-((((-5*(-5/((-5/(((-5*(-33.18--5))-(-5+((-5*-33.18)*(((-5--5)+(-33.18--5))+-33.18))))-(-5+-5)))*-5)))/-5)--5)+(-5*(((-33.18*(-33.18-(-5/-5)))*(-33.18-(-33.18/(-5*-33.18))))-(-5/-5)))))</f>
        <v>-184959.73196</v>
      </c>
      <c r="C6683" t="n" s="0">
        <v>-184959.73196000003</v>
      </c>
    </row>
    <row r="6684">
      <c r="A6684" t="n" s="0">
        <v>-33.17</v>
      </c>
      <c r="B6684" t="n" s="0">
        <f>(-5-((((-5*(-5/((-5/(((-5*(-33.17--5))-(-5+((-5*-33.17)*(((-5--5)+(-33.17--5))+-33.17))))-(-5+-5)))*-5)))/-5)--5)+(-5*(((-33.17*(-33.17-(-5/-5)))*(-33.17-(-33.17/(-5*-33.17))))-(-5/-5)))))</f>
        <v>-184793.28786500002</v>
      </c>
      <c r="C6684" t="n" s="0">
        <v>-184793.28786500005</v>
      </c>
    </row>
    <row r="6685">
      <c r="A6685" t="n" s="0">
        <v>-33.16</v>
      </c>
      <c r="B6685" t="n" s="0">
        <f>(-5-((((-5*(-5/((-5/(((-5*(-33.16--5))-(-5+((-5*-33.16)*(((-5--5)+(-33.16--5))+-33.16))))-(-5+-5)))*-5)))/-5)--5)+(-5*(((-33.16*(-33.16-(-5/-5)))*(-33.16-(-33.16/(-5*-33.16))))-(-5/-5)))))</f>
        <v>-184626.94368</v>
      </c>
      <c r="C6685" t="n" s="0">
        <v>-184626.94367999997</v>
      </c>
    </row>
    <row r="6686">
      <c r="A6686" t="n" s="0">
        <v>-33.15</v>
      </c>
      <c r="B6686" t="n" s="0">
        <f>(-5-((((-5*(-5/((-5/(((-5*(-33.15--5))-(-5+((-5*-33.15)*(((-5--5)+(-33.15--5))+-33.15))))-(-5+-5)))*-5)))/-5)--5)+(-5*(((-33.15*(-33.15-(-5/-5)))*(-33.15-(-33.15/(-5*-33.15))))-(-5/-5)))))</f>
        <v>-184460.69937500003</v>
      </c>
      <c r="C6686" t="n" s="0">
        <v>-184460.699375</v>
      </c>
    </row>
    <row r="6687">
      <c r="A6687" t="n" s="0">
        <v>-33.14</v>
      </c>
      <c r="B6687" t="n" s="0">
        <f>(-5-((((-5*(-5/((-5/(((-5*(-33.14--5))-(-5+((-5*-33.14)*(((-5--5)+(-33.14--5))+-33.14))))-(-5+-5)))*-5)))/-5)--5)+(-5*(((-33.14*(-33.14-(-5/-5)))*(-33.14-(-33.14/(-5*-33.14))))-(-5/-5)))))</f>
        <v>-184294.55492</v>
      </c>
      <c r="C6687" t="n" s="0">
        <v>-184294.55492000002</v>
      </c>
    </row>
    <row r="6688">
      <c r="A6688" t="n" s="0">
        <v>-33.13</v>
      </c>
      <c r="B6688" t="n" s="0">
        <f>(-5-((((-5*(-5/((-5/(((-5*(-33.13--5))-(-5+((-5*-33.13)*(((-5--5)+(-33.13--5))+-33.13))))-(-5+-5)))*-5)))/-5)--5)+(-5*(((-33.13*(-33.13-(-5/-5)))*(-33.13-(-33.13/(-5*-33.13))))-(-5/-5)))))</f>
        <v>-184128.510285</v>
      </c>
      <c r="C6688" t="n" s="0">
        <v>-184128.51028500005</v>
      </c>
    </row>
    <row r="6689">
      <c r="A6689" t="n" s="0">
        <v>-33.12</v>
      </c>
      <c r="B6689" t="n" s="0">
        <f>(-5-((((-5*(-5/((-5/(((-5*(-33.12--5))-(-5+((-5*-33.12)*(((-5--5)+(-33.12--5))+-33.12))))-(-5+-5)))*-5)))/-5)--5)+(-5*(((-33.12*(-33.12-(-5/-5)))*(-33.12-(-33.12/(-5*-33.12))))-(-5/-5)))))</f>
        <v>-183962.56544</v>
      </c>
      <c r="C6689" t="n" s="0">
        <v>-183962.56543999995</v>
      </c>
    </row>
    <row r="6690">
      <c r="A6690" t="n" s="0">
        <v>-33.11</v>
      </c>
      <c r="B6690" t="n" s="0">
        <f>(-5-((((-5*(-5/((-5/(((-5*(-33.11--5))-(-5+((-5*-33.11)*(((-5--5)+(-33.11--5))+-33.11))))-(-5+-5)))*-5)))/-5)--5)+(-5*(((-33.11*(-33.11-(-5/-5)))*(-33.11-(-33.11/(-5*-33.11))))-(-5/-5)))))</f>
        <v>-183796.720355</v>
      </c>
      <c r="C6690" t="n" s="0">
        <v>-183796.720355</v>
      </c>
    </row>
    <row r="6691">
      <c r="A6691" t="n" s="0">
        <v>-33.1</v>
      </c>
      <c r="B6691" t="n" s="0">
        <f>(-5-((((-5*(-5/((-5/(((-5*(-33.1--5))-(-5+((-5*-33.1)*(((-5--5)+(-33.1--5))+-33.1))))-(-5+-5)))*-5)))/-5)--5)+(-5*(((-33.1*(-33.1-(-5/-5)))*(-33.1-(-33.1/(-5*-33.1))))-(-5/-5)))))</f>
        <v>-183630.97500000003</v>
      </c>
      <c r="C6691" t="n" s="0">
        <v>-183630.975</v>
      </c>
    </row>
    <row r="6692">
      <c r="A6692" t="n" s="0">
        <v>-33.09</v>
      </c>
      <c r="B6692" t="n" s="0">
        <f>(-5-((((-5*(-5/((-5/(((-5*(-33.09--5))-(-5+((-5*-33.09)*(((-5--5)+(-33.09--5))+-33.09))))-(-5+-5)))*-5)))/-5)--5)+(-5*(((-33.09*(-33.09-(-5/-5)))*(-33.09-(-33.09/(-5*-33.09))))-(-5/-5)))))</f>
        <v>-183465.329345</v>
      </c>
      <c r="C6692" t="n" s="0">
        <v>-183465.32934500003</v>
      </c>
    </row>
    <row r="6693">
      <c r="A6693" t="n" s="0">
        <v>-33.08</v>
      </c>
      <c r="B6693" t="n" s="0">
        <f>(-5-((((-5*(-5/((-5/(((-5*(-33.08--5))-(-5+((-5*-33.08)*(((-5--5)+(-33.08--5))+-33.08))))-(-5+-5)))*-5)))/-5)--5)+(-5*(((-33.08*(-33.08-(-5/-5)))*(-33.08-(-33.08/(-5*-33.08))))-(-5/-5)))))</f>
        <v>-183299.78336</v>
      </c>
      <c r="C6693" t="n" s="0">
        <v>-183299.78335999994</v>
      </c>
    </row>
    <row r="6694">
      <c r="A6694" t="n" s="0">
        <v>-33.07</v>
      </c>
      <c r="B6694" t="n" s="0">
        <f>(-5-((((-5*(-5/((-5/(((-5*(-33.07--5))-(-5+((-5*-33.07)*(((-5--5)+(-33.07--5))+-33.07))))-(-5+-5)))*-5)))/-5)--5)+(-5*(((-33.07*(-33.07-(-5/-5)))*(-33.07-(-33.07/(-5*-33.07))))-(-5/-5)))))</f>
        <v>-183134.337015</v>
      </c>
      <c r="C6694" t="n" s="0">
        <v>-183134.33701499997</v>
      </c>
    </row>
    <row r="6695">
      <c r="A6695" t="n" s="0">
        <v>-33.06</v>
      </c>
      <c r="B6695" t="n" s="0">
        <f>(-5-((((-5*(-5/((-5/(((-5*(-33.06--5))-(-5+((-5*-33.06)*(((-5--5)+(-33.06--5))+-33.06))))-(-5+-5)))*-5)))/-5)--5)+(-5*(((-33.06*(-33.06-(-5/-5)))*(-33.06-(-33.06/(-5*-33.06))))-(-5/-5)))))</f>
        <v>-182968.99028000003</v>
      </c>
      <c r="C6695" t="n" s="0">
        <v>-182968.99028000006</v>
      </c>
    </row>
    <row r="6696">
      <c r="A6696" t="n" s="0">
        <v>-33.05</v>
      </c>
      <c r="B6696" t="n" s="0">
        <f>(-5-((((-5*(-5/((-5/(((-5*(-33.05--5))-(-5+((-5*-33.05)*(((-5--5)+(-33.05--5))+-33.05))))-(-5+-5)))*-5)))/-5)--5)+(-5*(((-33.05*(-33.05-(-5/-5)))*(-33.05-(-33.05/(-5*-33.05))))-(-5/-5)))))</f>
        <v>-182803.743125</v>
      </c>
      <c r="C6696" t="n" s="0">
        <v>-182803.74312499995</v>
      </c>
    </row>
    <row r="6697">
      <c r="A6697" t="n" s="0">
        <v>-33.04</v>
      </c>
      <c r="B6697" t="n" s="0">
        <f>(-5-((((-5*(-5/((-5/(((-5*(-33.04--5))-(-5+((-5*-33.04)*(((-5--5)+(-33.04--5))+-33.04))))-(-5+-5)))*-5)))/-5)--5)+(-5*(((-33.04*(-33.04-(-5/-5)))*(-33.04-(-33.04/(-5*-33.04))))-(-5/-5)))))</f>
        <v>-182638.59552</v>
      </c>
      <c r="C6697" t="n" s="0">
        <v>-182638.59552</v>
      </c>
    </row>
    <row r="6698">
      <c r="A6698" t="n" s="0">
        <v>-33.03</v>
      </c>
      <c r="B6698" t="n" s="0">
        <f>(-5-((((-5*(-5/((-5/(((-5*(-33.03--5))-(-5+((-5*-33.03)*(((-5--5)+(-33.03--5))+-33.03))))-(-5+-5)))*-5)))/-5)--5)+(-5*(((-33.03*(-33.03-(-5/-5)))*(-33.03-(-33.03/(-5*-33.03))))-(-5/-5)))))</f>
        <v>-182473.54743500001</v>
      </c>
      <c r="C6698" t="n" s="0">
        <v>-182473.547435</v>
      </c>
    </row>
    <row r="6699">
      <c r="A6699" t="n" s="0">
        <v>-33.02</v>
      </c>
      <c r="B6699" t="n" s="0">
        <f>(-5-((((-5*(-5/((-5/(((-5*(-33.02--5))-(-5+((-5*-33.02)*(((-5--5)+(-33.02--5))+-33.02))))-(-5+-5)))*-5)))/-5)--5)+(-5*(((-33.02*(-33.02-(-5/-5)))*(-33.02-(-33.02/(-5*-33.02))))-(-5/-5)))))</f>
        <v>-182308.59884</v>
      </c>
      <c r="C6699" t="n" s="0">
        <v>-182308.59884000005</v>
      </c>
    </row>
    <row r="6700">
      <c r="A6700" t="n" s="0">
        <v>-33.01</v>
      </c>
      <c r="B6700" t="n" s="0">
        <f>(-5-((((-5*(-5/((-5/(((-5*(-33.01--5))-(-5+((-5*-33.01)*(((-5--5)+(-33.01--5))+-33.01))))-(-5+-5)))*-5)))/-5)--5)+(-5*(((-33.01*(-33.01-(-5/-5)))*(-33.01-(-33.01/(-5*-33.01))))-(-5/-5)))))</f>
        <v>-182143.749705</v>
      </c>
      <c r="C6700" t="n" s="0">
        <v>-182143.74970499997</v>
      </c>
    </row>
    <row r="6701">
      <c r="A6701" t="n" s="0">
        <v>-33.0</v>
      </c>
      <c r="B6701" t="n" s="0">
        <f>(-5-((((-5*(-5/((-5/(((-5*(-33--5))-(-5+((-5*-33)*(((-5--5)+(-33--5))+-33))))-(-5+-5)))*-5)))/-5)--5)+(-5*(((-33*(-33-(-5/-5)))*(-33-(-33/(-5*-33))))-(-5/-5)))))</f>
        <v>-181979.0</v>
      </c>
      <c r="C6701" t="n" s="0">
        <v>-181979.0</v>
      </c>
    </row>
    <row r="6702">
      <c r="A6702" t="n" s="0">
        <v>-32.99</v>
      </c>
      <c r="B6702" t="n" s="0">
        <f>(-5-((((-5*(-5/((-5/(((-5*(-32.99--5))-(-5+((-5*-32.99)*(((-5--5)+(-32.99--5))+-32.99))))-(-5+-5)))*-5)))/-5)--5)+(-5*(((-32.99*(-32.99-(-5/-5)))*(-32.99-(-32.99/(-5*-32.99))))-(-5/-5)))))</f>
        <v>-181814.34969499998</v>
      </c>
      <c r="C6702" t="n" s="0">
        <v>-181814.34969500004</v>
      </c>
    </row>
    <row r="6703">
      <c r="A6703" t="n" s="0">
        <v>-32.98</v>
      </c>
      <c r="B6703" t="n" s="0">
        <f>(-5-((((-5*(-5/((-5/(((-5*(-32.98--5))-(-5+((-5*-32.98)*(((-5--5)+(-32.98--5))+-32.98))))-(-5+-5)))*-5)))/-5)--5)+(-5*(((-32.98*(-32.98-(-5/-5)))*(-32.98-(-32.98/(-5*-32.98))))-(-5/-5)))))</f>
        <v>-181649.79875999998</v>
      </c>
      <c r="C6703" t="n" s="0">
        <v>-181649.79875999995</v>
      </c>
    </row>
    <row r="6704">
      <c r="A6704" t="n" s="0">
        <v>-32.97</v>
      </c>
      <c r="B6704" t="n" s="0">
        <f>(-5-((((-5*(-5/((-5/(((-5*(-32.97--5))-(-5+((-5*-32.97)*(((-5--5)+(-32.97--5))+-32.97))))-(-5+-5)))*-5)))/-5)--5)+(-5*(((-32.97*(-32.97-(-5/-5)))*(-32.97-(-32.97/(-5*-32.97))))-(-5/-5)))))</f>
        <v>-181485.34716499998</v>
      </c>
      <c r="C6704" t="n" s="0">
        <v>-181485.34716499998</v>
      </c>
    </row>
    <row r="6705">
      <c r="A6705" t="n" s="0">
        <v>-32.96</v>
      </c>
      <c r="B6705" t="n" s="0">
        <f>(-5-((((-5*(-5/((-5/(((-5*(-32.96--5))-(-5+((-5*-32.96)*(((-5--5)+(-32.96--5))+-32.96))))-(-5+-5)))*-5)))/-5)--5)+(-5*(((-32.96*(-32.96-(-5/-5)))*(-32.96-(-32.96/(-5*-32.96))))-(-5/-5)))))</f>
        <v>-181320.99487999998</v>
      </c>
      <c r="C6705" t="n" s="0">
        <v>-181320.99488</v>
      </c>
    </row>
    <row r="6706">
      <c r="A6706" t="n" s="0">
        <v>-32.95</v>
      </c>
      <c r="B6706" t="n" s="0">
        <f>(-5-((((-5*(-5/((-5/(((-5*(-32.95--5))-(-5+((-5*-32.95)*(((-5--5)+(-32.95--5))+-32.95))))-(-5+-5)))*-5)))/-5)--5)+(-5*(((-32.95*(-32.95-(-5/-5)))*(-32.95-(-32.95/(-5*-32.95))))-(-5/-5)))))</f>
        <v>-181156.74187499998</v>
      </c>
      <c r="C6706" t="n" s="0">
        <v>-181156.74187500004</v>
      </c>
    </row>
    <row r="6707">
      <c r="A6707" t="n" s="0">
        <v>-32.94</v>
      </c>
      <c r="B6707" t="n" s="0">
        <f>(-5-((((-5*(-5/((-5/(((-5*(-32.94--5))-(-5+((-5*-32.94)*(((-5--5)+(-32.94--5))+-32.94))))-(-5+-5)))*-5)))/-5)--5)+(-5*(((-32.94*(-32.94-(-5/-5)))*(-32.94-(-32.94/(-5*-32.94))))-(-5/-5)))))</f>
        <v>-180992.58812</v>
      </c>
      <c r="C6707" t="n" s="0">
        <v>-180992.58811999997</v>
      </c>
    </row>
    <row r="6708">
      <c r="A6708" t="n" s="0">
        <v>-32.93</v>
      </c>
      <c r="B6708" t="n" s="0">
        <f>(-5-((((-5*(-5/((-5/(((-5*(-32.93--5))-(-5+((-5*-32.93)*(((-5--5)+(-32.93--5))+-32.93))))-(-5+-5)))*-5)))/-5)--5)+(-5*(((-32.93*(-32.93-(-5/-5)))*(-32.93-(-32.93/(-5*-32.93))))-(-5/-5)))))</f>
        <v>-180828.533585</v>
      </c>
      <c r="C6708" t="n" s="0">
        <v>-180828.533585</v>
      </c>
    </row>
    <row r="6709">
      <c r="A6709" t="n" s="0">
        <v>-32.92</v>
      </c>
      <c r="B6709" t="n" s="0">
        <f>(-5-((((-5*(-5/((-5/(((-5*(-32.92--5))-(-5+((-5*-32.92)*(((-5--5)+(-32.92--5))+-32.92))))-(-5+-5)))*-5)))/-5)--5)+(-5*(((-32.92*(-32.92-(-5/-5)))*(-32.92-(-32.92/(-5*-32.92))))-(-5/-5)))))</f>
        <v>-180664.57824</v>
      </c>
      <c r="C6709" t="n" s="0">
        <v>-180664.57824000006</v>
      </c>
    </row>
    <row r="6710">
      <c r="A6710" t="n" s="0">
        <v>-32.91</v>
      </c>
      <c r="B6710" t="n" s="0">
        <f>(-5-((((-5*(-5/((-5/(((-5*(-32.91--5))-(-5+((-5*-32.91)*(((-5--5)+(-32.91--5))+-32.91))))-(-5+-5)))*-5)))/-5)--5)+(-5*(((-32.91*(-32.91-(-5/-5)))*(-32.91-(-32.91/(-5*-32.91))))-(-5/-5)))))</f>
        <v>-180500.72205500002</v>
      </c>
      <c r="C6710" t="n" s="0">
        <v>-180500.72205499993</v>
      </c>
    </row>
    <row r="6711">
      <c r="A6711" t="n" s="0">
        <v>-32.9</v>
      </c>
      <c r="B6711" t="n" s="0">
        <f>(-5-((((-5*(-5/((-5/(((-5*(-32.9--5))-(-5+((-5*-32.9)*(((-5--5)+(-32.9--5))+-32.9))))-(-5+-5)))*-5)))/-5)--5)+(-5*(((-32.9*(-32.9-(-5/-5)))*(-32.9-(-32.9/(-5*-32.9))))-(-5/-5)))))</f>
        <v>-180336.965</v>
      </c>
      <c r="C6711" t="n" s="0">
        <v>-180336.965</v>
      </c>
    </row>
    <row r="6712">
      <c r="A6712" t="n" s="0">
        <v>-32.89</v>
      </c>
      <c r="B6712" t="n" s="0">
        <f>(-5-((((-5*(-5/((-5/(((-5*(-32.89--5))-(-5+((-5*-32.89)*(((-5--5)+(-32.89--5))+-32.89))))-(-5+-5)))*-5)))/-5)--5)+(-5*(((-32.89*(-32.89-(-5/-5)))*(-32.89-(-32.89/(-5*-32.89))))-(-5/-5)))))</f>
        <v>-180173.307045</v>
      </c>
      <c r="C6712" t="n" s="0">
        <v>-180173.30704500002</v>
      </c>
    </row>
    <row r="6713">
      <c r="A6713" t="n" s="0">
        <v>-32.88</v>
      </c>
      <c r="B6713" t="n" s="0">
        <f>(-5-((((-5*(-5/((-5/(((-5*(-32.88--5))-(-5+((-5*-32.88)*(((-5--5)+(-32.88--5))+-32.88))))-(-5+-5)))*-5)))/-5)--5)+(-5*(((-32.88*(-32.88-(-5/-5)))*(-32.88-(-32.88/(-5*-32.88))))-(-5/-5)))))</f>
        <v>-180009.74816</v>
      </c>
      <c r="C6713" t="n" s="0">
        <v>-180009.74816000005</v>
      </c>
    </row>
    <row r="6714">
      <c r="A6714" t="n" s="0">
        <v>-32.87</v>
      </c>
      <c r="B6714" t="n" s="0">
        <f>(-5-((((-5*(-5/((-5/(((-5*(-32.87--5))-(-5+((-5*-32.87)*(((-5--5)+(-32.87--5))+-32.87))))-(-5+-5)))*-5)))/-5)--5)+(-5*(((-32.87*(-32.87-(-5/-5)))*(-32.87-(-32.87/(-5*-32.87))))-(-5/-5)))))</f>
        <v>-179846.288315</v>
      </c>
      <c r="C6714" t="n" s="0">
        <v>-179846.28831499995</v>
      </c>
    </row>
    <row r="6715">
      <c r="A6715" t="n" s="0">
        <v>-32.86</v>
      </c>
      <c r="B6715" t="n" s="0">
        <f>(-5-((((-5*(-5/((-5/(((-5*(-32.86--5))-(-5+((-5*-32.86)*(((-5--5)+(-32.86--5))+-32.86))))-(-5+-5)))*-5)))/-5)--5)+(-5*(((-32.86*(-32.86-(-5/-5)))*(-32.86-(-32.86/(-5*-32.86))))-(-5/-5)))))</f>
        <v>-179682.92748</v>
      </c>
      <c r="C6715" t="n" s="0">
        <v>-179682.92747999995</v>
      </c>
    </row>
    <row r="6716">
      <c r="A6716" t="n" s="0">
        <v>-32.85</v>
      </c>
      <c r="B6716" t="n" s="0">
        <f>(-5-((((-5*(-5/((-5/(((-5*(-32.85--5))-(-5+((-5*-32.85)*(((-5--5)+(-32.85--5))+-32.85))))-(-5+-5)))*-5)))/-5)--5)+(-5*(((-32.85*(-32.85-(-5/-5)))*(-32.85-(-32.85/(-5*-32.85))))-(-5/-5)))))</f>
        <v>-179519.66562500002</v>
      </c>
      <c r="C6716" t="n" s="0">
        <v>-179519.66562500002</v>
      </c>
    </row>
    <row r="6717">
      <c r="A6717" t="n" s="0">
        <v>-32.84</v>
      </c>
      <c r="B6717" t="n" s="0">
        <f>(-5-((((-5*(-5/((-5/(((-5*(-32.84--5))-(-5+((-5*-32.84)*(((-5--5)+(-32.84--5))+-32.84))))-(-5+-5)))*-5)))/-5)--5)+(-5*(((-32.84*(-32.84-(-5/-5)))*(-32.84-(-32.84/(-5*-32.84))))-(-5/-5)))))</f>
        <v>-179356.50272</v>
      </c>
      <c r="C6717" t="n" s="0">
        <v>-179356.50272000005</v>
      </c>
    </row>
    <row r="6718">
      <c r="A6718" t="n" s="0">
        <v>-32.83</v>
      </c>
      <c r="B6718" t="n" s="0">
        <f>(-5-((((-5*(-5/((-5/(((-5*(-32.83--5))-(-5+((-5*-32.83)*(((-5--5)+(-32.83--5))+-32.83))))-(-5+-5)))*-5)))/-5)--5)+(-5*(((-32.83*(-32.83-(-5/-5)))*(-32.83-(-32.83/(-5*-32.83))))-(-5/-5)))))</f>
        <v>-179193.438735</v>
      </c>
      <c r="C6718" t="n" s="0">
        <v>-179193.43873499995</v>
      </c>
    </row>
    <row r="6719">
      <c r="A6719" t="n" s="0">
        <v>-32.82</v>
      </c>
      <c r="B6719" t="n" s="0">
        <f>(-5-((((-5*(-5/((-5/(((-5*(-32.82--5))-(-5+((-5*-32.82)*(((-5--5)+(-32.82--5))+-32.82))))-(-5+-5)))*-5)))/-5)--5)+(-5*(((-32.82*(-32.82-(-5/-5)))*(-32.82-(-32.82/(-5*-32.82))))-(-5/-5)))))</f>
        <v>-179030.47363999998</v>
      </c>
      <c r="C6719" t="n" s="0">
        <v>-179030.47364</v>
      </c>
    </row>
    <row r="6720">
      <c r="A6720" t="n" s="0">
        <v>-32.81</v>
      </c>
      <c r="B6720" t="n" s="0">
        <f>(-5-((((-5*(-5/((-5/(((-5*(-32.81--5))-(-5+((-5*-32.81)*(((-5--5)+(-32.81--5))+-32.81))))-(-5+-5)))*-5)))/-5)--5)+(-5*(((-32.81*(-32.81-(-5/-5)))*(-32.81-(-32.81/(-5*-32.81))))-(-5/-5)))))</f>
        <v>-178867.60740500002</v>
      </c>
      <c r="C6720" t="n" s="0">
        <v>-178867.60740500005</v>
      </c>
    </row>
    <row r="6721">
      <c r="A6721" t="n" s="0">
        <v>-32.8</v>
      </c>
      <c r="B6721" t="n" s="0">
        <f>(-5-((((-5*(-5/((-5/(((-5*(-32.8--5))-(-5+((-5*-32.8)*(((-5--5)+(-32.8--5))+-32.8))))-(-5+-5)))*-5)))/-5)--5)+(-5*(((-32.8*(-32.8-(-5/-5)))*(-32.8-(-32.8/(-5*-32.8))))-(-5/-5)))))</f>
        <v>-178704.84</v>
      </c>
      <c r="C6721" t="n" s="0">
        <v>-178704.83999999994</v>
      </c>
    </row>
    <row r="6722">
      <c r="A6722" t="n" s="0">
        <v>-32.79</v>
      </c>
      <c r="B6722" t="n" s="0">
        <f>(-5-((((-5*(-5/((-5/(((-5*(-32.79--5))-(-5+((-5*-32.79)*(((-5--5)+(-32.79--5))+-32.79))))-(-5+-5)))*-5)))/-5)--5)+(-5*(((-32.79*(-32.79-(-5/-5)))*(-32.79-(-32.79/(-5*-32.79))))-(-5/-5)))))</f>
        <v>-178542.171395</v>
      </c>
      <c r="C6722" t="n" s="0">
        <v>-178542.17139499998</v>
      </c>
    </row>
    <row r="6723">
      <c r="A6723" t="n" s="0">
        <v>-32.78</v>
      </c>
      <c r="B6723" t="n" s="0">
        <f>(-5-((((-5*(-5/((-5/(((-5*(-32.78--5))-(-5+((-5*-32.78)*(((-5--5)+(-32.78--5))+-32.78))))-(-5+-5)))*-5)))/-5)--5)+(-5*(((-32.78*(-32.78-(-5/-5)))*(-32.78-(-32.78/(-5*-32.78))))-(-5/-5)))))</f>
        <v>-178379.60156</v>
      </c>
      <c r="C6723" t="n" s="0">
        <v>-178379.60156</v>
      </c>
    </row>
    <row r="6724">
      <c r="A6724" t="n" s="0">
        <v>-32.77</v>
      </c>
      <c r="B6724" t="n" s="0">
        <f>(-5-((((-5*(-5/((-5/(((-5*(-32.77--5))-(-5+((-5*-32.77)*(((-5--5)+(-32.77--5))+-32.77))))-(-5+-5)))*-5)))/-5)--5)+(-5*(((-32.77*(-32.77-(-5/-5)))*(-32.77-(-32.77/(-5*-32.77))))-(-5/-5)))))</f>
        <v>-178217.13046500002</v>
      </c>
      <c r="C6724" t="n" s="0">
        <v>-178217.13046500005</v>
      </c>
    </row>
    <row r="6725">
      <c r="A6725" t="n" s="0">
        <v>-32.76</v>
      </c>
      <c r="B6725" t="n" s="0">
        <f>(-5-((((-5*(-5/((-5/(((-5*(-32.76--5))-(-5+((-5*-32.76)*(((-5--5)+(-32.76--5))+-32.76))))-(-5+-5)))*-5)))/-5)--5)+(-5*(((-32.76*(-32.76-(-5/-5)))*(-32.76-(-32.76/(-5*-32.76))))-(-5/-5)))))</f>
        <v>-178054.75808</v>
      </c>
      <c r="C6725" t="n" s="0">
        <v>-178054.75807999997</v>
      </c>
    </row>
    <row r="6726">
      <c r="A6726" t="n" s="0">
        <v>-32.75</v>
      </c>
      <c r="B6726" t="n" s="0">
        <f>(-5-((((-5*(-5/((-5/(((-5*(-32.75--5))-(-5+((-5*-32.75)*(((-5--5)+(-32.75--5))+-32.75))))-(-5+-5)))*-5)))/-5)--5)+(-5*(((-32.75*(-32.75-(-5/-5)))*(-32.75-(-32.75/(-5*-32.75))))-(-5/-5)))))</f>
        <v>-177892.484375</v>
      </c>
      <c r="C6726" t="n" s="0">
        <v>-177892.484375</v>
      </c>
    </row>
    <row r="6727">
      <c r="A6727" t="n" s="0">
        <v>-32.74</v>
      </c>
      <c r="B6727" t="n" s="0">
        <f>(-5-((((-5*(-5/((-5/(((-5*(-32.74--5))-(-5+((-5*-32.74)*(((-5--5)+(-32.74--5))+-32.74))))-(-5+-5)))*-5)))/-5)--5)+(-5*(((-32.74*(-32.74-(-5/-5)))*(-32.74-(-32.74/(-5*-32.74))))-(-5/-5)))))</f>
        <v>-177730.30932</v>
      </c>
      <c r="C6727" t="n" s="0">
        <v>-177730.30932000003</v>
      </c>
    </row>
    <row r="6728">
      <c r="A6728" t="n" s="0">
        <v>-32.73</v>
      </c>
      <c r="B6728" t="n" s="0">
        <f>(-5-((((-5*(-5/((-5/(((-5*(-32.73--5))-(-5+((-5*-32.73)*(((-5--5)+(-32.73--5))+-32.73))))-(-5+-5)))*-5)))/-5)--5)+(-5*(((-32.73*(-32.73-(-5/-5)))*(-32.73-(-32.73/(-5*-32.73))))-(-5/-5)))))</f>
        <v>-177568.232885</v>
      </c>
      <c r="C6728" t="n" s="0">
        <v>-177568.23288499998</v>
      </c>
    </row>
    <row r="6729">
      <c r="A6729" t="n" s="0">
        <v>-32.72</v>
      </c>
      <c r="B6729" t="n" s="0">
        <f>(-5-((((-5*(-5/((-5/(((-5*(-32.72--5))-(-5+((-5*-32.72)*(((-5--5)+(-32.72--5))+-32.72))))-(-5+-5)))*-5)))/-5)--5)+(-5*(((-32.72*(-32.72-(-5/-5)))*(-32.72-(-32.72/(-5*-32.72))))-(-5/-5)))))</f>
        <v>-177406.25504</v>
      </c>
      <c r="C6729" t="n" s="0">
        <v>-177406.25503999996</v>
      </c>
    </row>
    <row r="6730">
      <c r="A6730" t="n" s="0">
        <v>-32.71</v>
      </c>
      <c r="B6730" t="n" s="0">
        <f>(-5-((((-5*(-5/((-5/(((-5*(-32.71--5))-(-5+((-5*-32.71)*(((-5--5)+(-32.71--5))+-32.71))))-(-5+-5)))*-5)))/-5)--5)+(-5*(((-32.71*(-32.71-(-5/-5)))*(-32.71-(-32.71/(-5*-32.71))))-(-5/-5)))))</f>
        <v>-177244.37575500002</v>
      </c>
      <c r="C6730" t="n" s="0">
        <v>-177244.37575500002</v>
      </c>
    </row>
    <row r="6731">
      <c r="A6731" t="n" s="0">
        <v>-32.7</v>
      </c>
      <c r="B6731" t="n" s="0">
        <f>(-5-((((-5*(-5/((-5/(((-5*(-32.7--5))-(-5+((-5*-32.7)*(((-5--5)+(-32.7--5))+-32.7))))-(-5+-5)))*-5)))/-5)--5)+(-5*(((-32.7*(-32.7-(-5/-5)))*(-32.7-(-32.7/(-5*-32.7))))-(-5/-5)))))</f>
        <v>-177082.595</v>
      </c>
      <c r="C6731" t="n" s="0">
        <v>-177082.59500000003</v>
      </c>
    </row>
    <row r="6732">
      <c r="A6732" t="n" s="0">
        <v>-32.69</v>
      </c>
      <c r="B6732" t="n" s="0">
        <f>(-5-((((-5*(-5/((-5/(((-5*(-32.69--5))-(-5+((-5*-32.69)*(((-5--5)+(-32.69--5))+-32.69))))-(-5+-5)))*-5)))/-5)--5)+(-5*(((-32.69*(-32.69-(-5/-5)))*(-32.69-(-32.69/(-5*-32.69))))-(-5/-5)))))</f>
        <v>-176920.912745</v>
      </c>
      <c r="C6732" t="n" s="0">
        <v>-176920.91274499998</v>
      </c>
    </row>
    <row r="6733">
      <c r="A6733" t="n" s="0">
        <v>-32.68</v>
      </c>
      <c r="B6733" t="n" s="0">
        <f>(-5-((((-5*(-5/((-5/(((-5*(-32.68--5))-(-5+((-5*-32.68)*(((-5--5)+(-32.68--5))+-32.68))))-(-5+-5)))*-5)))/-5)--5)+(-5*(((-32.68*(-32.68-(-5/-5)))*(-32.68-(-32.68/(-5*-32.68))))-(-5/-5)))))</f>
        <v>-176759.32896</v>
      </c>
      <c r="C6733" t="n" s="0">
        <v>-176759.32896</v>
      </c>
    </row>
    <row r="6734">
      <c r="A6734" t="n" s="0">
        <v>-32.67</v>
      </c>
      <c r="B6734" t="n" s="0">
        <f>(-5-((((-5*(-5/((-5/(((-5*(-32.67--5))-(-5+((-5*-32.67)*(((-5--5)+(-32.67--5))+-32.67))))-(-5+-5)))*-5)))/-5)--5)+(-5*(((-32.67*(-32.67-(-5/-5)))*(-32.67-(-32.67/(-5*-32.67))))-(-5/-5)))))</f>
        <v>-176597.84361500002</v>
      </c>
      <c r="C6734" t="n" s="0">
        <v>-176597.84361500002</v>
      </c>
    </row>
    <row r="6735">
      <c r="A6735" t="n" s="0">
        <v>-32.66</v>
      </c>
      <c r="B6735" t="n" s="0">
        <f>(-5-((((-5*(-5/((-5/(((-5*(-32.66--5))-(-5+((-5*-32.66)*(((-5--5)+(-32.66--5))+-32.66))))-(-5+-5)))*-5)))/-5)--5)+(-5*(((-32.66*(-32.66-(-5/-5)))*(-32.66-(-32.66/(-5*-32.66))))-(-5/-5)))))</f>
        <v>-176436.45668</v>
      </c>
      <c r="C6735" t="n" s="0">
        <v>-176436.45667999994</v>
      </c>
    </row>
    <row r="6736">
      <c r="A6736" t="n" s="0">
        <v>-32.65</v>
      </c>
      <c r="B6736" t="n" s="0">
        <f>(-5-((((-5*(-5/((-5/(((-5*(-32.65--5))-(-5+((-5*-32.65)*(((-5--5)+(-32.65--5))+-32.65))))-(-5+-5)))*-5)))/-5)--5)+(-5*(((-32.65*(-32.65-(-5/-5)))*(-32.65-(-32.65/(-5*-32.65))))-(-5/-5)))))</f>
        <v>-176275.168125</v>
      </c>
      <c r="C6736" t="n" s="0">
        <v>-176275.16812500003</v>
      </c>
    </row>
    <row r="6737">
      <c r="A6737" t="n" s="0">
        <v>-32.64</v>
      </c>
      <c r="B6737" t="n" s="0">
        <f>(-5-((((-5*(-5/((-5/(((-5*(-32.64--5))-(-5+((-5*-32.64)*(((-5--5)+(-32.64--5))+-32.64))))-(-5+-5)))*-5)))/-5)--5)+(-5*(((-32.64*(-32.64-(-5/-5)))*(-32.64-(-32.64/(-5*-32.64))))-(-5/-5)))))</f>
        <v>-176113.97791999998</v>
      </c>
      <c r="C6737" t="n" s="0">
        <v>-176113.97792000006</v>
      </c>
    </row>
    <row r="6738">
      <c r="A6738" t="n" s="0">
        <v>-32.63</v>
      </c>
      <c r="B6738" t="n" s="0">
        <f>(-5-((((-5*(-5/((-5/(((-5*(-32.63--5))-(-5+((-5*-32.63)*(((-5--5)+(-32.63--5))+-32.63))))-(-5+-5)))*-5)))/-5)--5)+(-5*(((-32.63*(-32.63-(-5/-5)))*(-32.63-(-32.63/(-5*-32.63))))-(-5/-5)))))</f>
        <v>-175952.886035</v>
      </c>
      <c r="C6738" t="n" s="0">
        <v>-175952.88603500003</v>
      </c>
    </row>
    <row r="6739">
      <c r="A6739" t="n" s="0">
        <v>-32.62</v>
      </c>
      <c r="B6739" t="n" s="0">
        <f>(-5-((((-5*(-5/((-5/(((-5*(-32.62--5))-(-5+((-5*-32.62)*(((-5--5)+(-32.62--5))+-32.62))))-(-5+-5)))*-5)))/-5)--5)+(-5*(((-32.62*(-32.62-(-5/-5)))*(-32.62-(-32.62/(-5*-32.62))))-(-5/-5)))))</f>
        <v>-175791.89244</v>
      </c>
      <c r="C6739" t="n" s="0">
        <v>-175791.89243999994</v>
      </c>
    </row>
    <row r="6740">
      <c r="A6740" t="n" s="0">
        <v>-32.61</v>
      </c>
      <c r="B6740" t="n" s="0">
        <f>(-5-((((-5*(-5/((-5/(((-5*(-32.61--5))-(-5+((-5*-32.61)*(((-5--5)+(-32.61--5))+-32.61))))-(-5+-5)))*-5)))/-5)--5)+(-5*(((-32.61*(-32.61-(-5/-5)))*(-32.61-(-32.61/(-5*-32.61))))-(-5/-5)))))</f>
        <v>-175630.997105</v>
      </c>
      <c r="C6740" t="n" s="0">
        <v>-175630.99710499996</v>
      </c>
    </row>
    <row r="6741">
      <c r="A6741" t="n" s="0">
        <v>-32.6</v>
      </c>
      <c r="B6741" t="n" s="0">
        <f>(-5-((((-5*(-5/((-5/(((-5*(-32.6--5))-(-5+((-5*-32.6)*(((-5--5)+(-32.6--5))+-32.6))))-(-5+-5)))*-5)))/-5)--5)+(-5*(((-32.6*(-32.6-(-5/-5)))*(-32.6-(-32.6/(-5*-32.6))))-(-5/-5)))))</f>
        <v>-175470.2</v>
      </c>
      <c r="C6741" t="n" s="0">
        <v>-175470.19999999998</v>
      </c>
    </row>
    <row r="6742">
      <c r="A6742" t="n" s="0">
        <v>-32.59</v>
      </c>
      <c r="B6742" t="n" s="0">
        <f>(-5-((((-5*(-5/((-5/(((-5*(-32.59--5))-(-5+((-5*-32.59)*(((-5--5)+(-32.59--5))+-32.59))))-(-5+-5)))*-5)))/-5)--5)+(-5*(((-32.59*(-32.59-(-5/-5)))*(-32.59-(-32.59/(-5*-32.59))))-(-5/-5)))))</f>
        <v>-175309.50109499999</v>
      </c>
      <c r="C6742" t="n" s="0">
        <v>-175309.50109500004</v>
      </c>
    </row>
    <row r="6743">
      <c r="A6743" t="n" s="0">
        <v>-32.58</v>
      </c>
      <c r="B6743" t="n" s="0">
        <f>(-5-((((-5*(-5/((-5/(((-5*(-32.58--5))-(-5+((-5*-32.58)*(((-5--5)+(-32.58--5))+-32.58))))-(-5+-5)))*-5)))/-5)--5)+(-5*(((-32.58*(-32.58-(-5/-5)))*(-32.58-(-32.58/(-5*-32.58))))-(-5/-5)))))</f>
        <v>-175148.90036</v>
      </c>
      <c r="C6743" t="n" s="0">
        <v>-175148.90035999997</v>
      </c>
    </row>
    <row r="6744">
      <c r="A6744" t="n" s="0">
        <v>-32.57</v>
      </c>
      <c r="B6744" t="n" s="0">
        <f>(-5-((((-5*(-5/((-5/(((-5*(-32.57--5))-(-5+((-5*-32.57)*(((-5--5)+(-32.57--5))+-32.57))))-(-5+-5)))*-5)))/-5)--5)+(-5*(((-32.57*(-32.57-(-5/-5)))*(-32.57-(-32.57/(-5*-32.57))))-(-5/-5)))))</f>
        <v>-174988.397765</v>
      </c>
      <c r="C6744" t="n" s="0">
        <v>-174988.397765</v>
      </c>
    </row>
    <row r="6745">
      <c r="A6745" t="n" s="0">
        <v>-32.56</v>
      </c>
      <c r="B6745" t="n" s="0">
        <f>(-5-((((-5*(-5/((-5/(((-5*(-32.56--5))-(-5+((-5*-32.56)*(((-5--5)+(-32.56--5))+-32.56))))-(-5+-5)))*-5)))/-5)--5)+(-5*(((-32.56*(-32.56-(-5/-5)))*(-32.56-(-32.56/(-5*-32.56))))-(-5/-5)))))</f>
        <v>-174827.99328</v>
      </c>
      <c r="C6745" t="n" s="0">
        <v>-174827.99328000005</v>
      </c>
    </row>
    <row r="6746">
      <c r="A6746" t="n" s="0">
        <v>-32.55</v>
      </c>
      <c r="B6746" t="n" s="0">
        <f>(-5-((((-5*(-5/((-5/(((-5*(-32.55--5))-(-5+((-5*-32.55)*(((-5--5)+(-32.55--5))+-32.55))))-(-5+-5)))*-5)))/-5)--5)+(-5*(((-32.55*(-32.55-(-5/-5)))*(-32.55-(-32.55/(-5*-32.55))))-(-5/-5)))))</f>
        <v>-174667.686875</v>
      </c>
      <c r="C6746" t="n" s="0">
        <v>-174667.68687499996</v>
      </c>
    </row>
    <row r="6747">
      <c r="A6747" t="n" s="0">
        <v>-32.54</v>
      </c>
      <c r="B6747" t="n" s="0">
        <f>(-5-((((-5*(-5/((-5/(((-5*(-32.54--5))-(-5+((-5*-32.54)*(((-5--5)+(-32.54--5))+-32.54))))-(-5+-5)))*-5)))/-5)--5)+(-5*(((-32.54*(-32.54-(-5/-5)))*(-32.54-(-32.54/(-5*-32.54))))-(-5/-5)))))</f>
        <v>-174507.47852</v>
      </c>
      <c r="C6747" t="n" s="0">
        <v>-174507.47851999995</v>
      </c>
    </row>
    <row r="6748">
      <c r="A6748" t="n" s="0">
        <v>-32.53</v>
      </c>
      <c r="B6748" t="n" s="0">
        <f>(-5-((((-5*(-5/((-5/(((-5*(-32.53--5))-(-5+((-5*-32.53)*(((-5--5)+(-32.53--5))+-32.53))))-(-5+-5)))*-5)))/-5)--5)+(-5*(((-32.53*(-32.53-(-5/-5)))*(-32.53-(-32.53/(-5*-32.53))))-(-5/-5)))))</f>
        <v>-174347.368185</v>
      </c>
      <c r="C6748" t="n" s="0">
        <v>-174347.368185</v>
      </c>
    </row>
    <row r="6749">
      <c r="A6749" t="n" s="0">
        <v>-32.52</v>
      </c>
      <c r="B6749" t="n" s="0">
        <f>(-5-((((-5*(-5/((-5/(((-5*(-32.52--5))-(-5+((-5*-32.52)*(((-5--5)+(-32.52--5))+-32.52))))-(-5+-5)))*-5)))/-5)--5)+(-5*(((-32.52*(-32.52-(-5/-5)))*(-32.52-(-32.52/(-5*-32.52))))-(-5/-5)))))</f>
        <v>-174187.35584</v>
      </c>
      <c r="C6749" t="n" s="0">
        <v>-174187.35584000003</v>
      </c>
    </row>
    <row r="6750">
      <c r="A6750" t="n" s="0">
        <v>-32.51</v>
      </c>
      <c r="B6750" t="n" s="0">
        <f>(-5-((((-5*(-5/((-5/(((-5*(-32.51--5))-(-5+((-5*-32.51)*(((-5--5)+(-32.51--5))+-32.51))))-(-5+-5)))*-5)))/-5)--5)+(-5*(((-32.51*(-32.51-(-5/-5)))*(-32.51-(-32.51/(-5*-32.51))))-(-5/-5)))))</f>
        <v>-174027.44145500002</v>
      </c>
      <c r="C6750" t="n" s="0">
        <v>-174027.44145499993</v>
      </c>
    </row>
    <row r="6751">
      <c r="A6751" t="n" s="0">
        <v>-32.5</v>
      </c>
      <c r="B6751" t="n" s="0">
        <f>(-5-((((-5*(-5/((-5/(((-5*(-32.5--5))-(-5+((-5*-32.5)*(((-5--5)+(-32.5--5))+-32.5))))-(-5+-5)))*-5)))/-5)--5)+(-5*(((-32.5*(-32.5-(-5/-5)))*(-32.5-(-32.5/(-5*-32.5))))-(-5/-5)))))</f>
        <v>-173867.625</v>
      </c>
      <c r="C6751" t="n" s="0">
        <v>-173867.625</v>
      </c>
    </row>
    <row r="6752">
      <c r="A6752" t="n" s="0">
        <v>-32.49</v>
      </c>
      <c r="B6752" t="n" s="0">
        <f>(-5-((((-5*(-5/((-5/(((-5*(-32.49--5))-(-5+((-5*-32.49)*(((-5--5)+(-32.49--5))+-32.49))))-(-5+-5)))*-5)))/-5)--5)+(-5*(((-32.49*(-32.49-(-5/-5)))*(-32.49-(-32.49/(-5*-32.49))))-(-5/-5)))))</f>
        <v>-173707.906445</v>
      </c>
      <c r="C6752" t="n" s="0">
        <v>-173707.90644500003</v>
      </c>
    </row>
    <row r="6753">
      <c r="A6753" t="n" s="0">
        <v>-32.48</v>
      </c>
      <c r="B6753" t="n" s="0">
        <f>(-5-((((-5*(-5/((-5/(((-5*(-32.48--5))-(-5+((-5*-32.48)*(((-5--5)+(-32.48--5))+-32.48))))-(-5+-5)))*-5)))/-5)--5)+(-5*(((-32.48*(-32.48-(-5/-5)))*(-32.48-(-32.48/(-5*-32.48))))-(-5/-5)))))</f>
        <v>-173548.28576</v>
      </c>
      <c r="C6753" t="n" s="0">
        <v>-173548.28575999994</v>
      </c>
    </row>
    <row r="6754">
      <c r="A6754" t="n" s="0">
        <v>-32.47</v>
      </c>
      <c r="B6754" t="n" s="0">
        <f>(-5-((((-5*(-5/((-5/(((-5*(-32.47--5))-(-5+((-5*-32.47)*(((-5--5)+(-32.47--5))+-32.47))))-(-5+-5)))*-5)))/-5)--5)+(-5*(((-32.47*(-32.47-(-5/-5)))*(-32.47-(-32.47/(-5*-32.47))))-(-5/-5)))))</f>
        <v>-173388.762915</v>
      </c>
      <c r="C6754" t="n" s="0">
        <v>-173388.762915</v>
      </c>
    </row>
    <row r="6755">
      <c r="A6755" t="n" s="0">
        <v>-32.46</v>
      </c>
      <c r="B6755" t="n" s="0">
        <f>(-5-((((-5*(-5/((-5/(((-5*(-32.46--5))-(-5+((-5*-32.46)*(((-5--5)+(-32.46--5))+-32.46))))-(-5+-5)))*-5)))/-5)--5)+(-5*(((-32.46*(-32.46-(-5/-5)))*(-32.46-(-32.46/(-5*-32.46))))-(-5/-5)))))</f>
        <v>-173229.33788</v>
      </c>
      <c r="C6755" t="n" s="0">
        <v>-173229.33788</v>
      </c>
    </row>
    <row r="6756">
      <c r="A6756" t="n" s="0">
        <v>-32.45</v>
      </c>
      <c r="B6756" t="n" s="0">
        <f>(-5-((((-5*(-5/((-5/(((-5*(-32.45--5))-(-5+((-5*-32.45)*(((-5--5)+(-32.45--5))+-32.45))))-(-5+-5)))*-5)))/-5)--5)+(-5*(((-32.45*(-32.45-(-5/-5)))*(-32.45-(-32.45/(-5*-32.45))))-(-5/-5)))))</f>
        <v>-173070.01062500002</v>
      </c>
      <c r="C6756" t="n" s="0">
        <v>-173070.01062500005</v>
      </c>
    </row>
    <row r="6757">
      <c r="A6757" t="n" s="0">
        <v>-32.44</v>
      </c>
      <c r="B6757" t="n" s="0">
        <f>(-5-((((-5*(-5/((-5/(((-5*(-32.44--5))-(-5+((-5*-32.44)*(((-5--5)+(-32.44--5))+-32.44))))-(-5+-5)))*-5)))/-5)--5)+(-5*(((-32.44*(-32.44-(-5/-5)))*(-32.44-(-32.44/(-5*-32.44))))-(-5/-5)))))</f>
        <v>-172910.78112</v>
      </c>
      <c r="C6757" t="n" s="0">
        <v>-172910.78112</v>
      </c>
    </row>
    <row r="6758">
      <c r="A6758" t="n" s="0">
        <v>-32.43</v>
      </c>
      <c r="B6758" t="n" s="0">
        <f>(-5-((((-5*(-5/((-5/(((-5*(-32.43--5))-(-5+((-5*-32.43)*(((-5--5)+(-32.43--5))+-32.43))))-(-5+-5)))*-5)))/-5)--5)+(-5*(((-32.43*(-32.43-(-5/-5)))*(-32.43-(-32.43/(-5*-32.43))))-(-5/-5)))))</f>
        <v>-172751.649335</v>
      </c>
      <c r="C6758" t="n" s="0">
        <v>-172751.649335</v>
      </c>
    </row>
    <row r="6759">
      <c r="A6759" t="n" s="0">
        <v>-32.42</v>
      </c>
      <c r="B6759" t="n" s="0">
        <f>(-5-((((-5*(-5/((-5/(((-5*(-32.42--5))-(-5+((-5*-32.42)*(((-5--5)+(-32.42--5))+-32.42))))-(-5+-5)))*-5)))/-5)--5)+(-5*(((-32.42*(-32.42-(-5/-5)))*(-32.42-(-32.42/(-5*-32.42))))-(-5/-5)))))</f>
        <v>-172592.61523999998</v>
      </c>
      <c r="C6759" t="n" s="0">
        <v>-172592.61524000004</v>
      </c>
    </row>
    <row r="6760">
      <c r="A6760" t="n" s="0">
        <v>-32.41</v>
      </c>
      <c r="B6760" t="n" s="0">
        <f>(-5-((((-5*(-5/((-5/(((-5*(-32.41--5))-(-5+((-5*-32.41)*(((-5--5)+(-32.41--5))+-32.41))))-(-5+-5)))*-5)))/-5)--5)+(-5*(((-32.41*(-32.41-(-5/-5)))*(-32.41-(-32.41/(-5*-32.41))))-(-5/-5)))))</f>
        <v>-172433.678805</v>
      </c>
      <c r="C6760" t="n" s="0">
        <v>-172433.67880499994</v>
      </c>
    </row>
    <row r="6761">
      <c r="A6761" t="n" s="0">
        <v>-32.4</v>
      </c>
      <c r="B6761" t="n" s="0">
        <f>(-5-((((-5*(-5/((-5/(((-5*(-32.4--5))-(-5+((-5*-32.4)*(((-5--5)+(-32.4--5))+-32.4))))-(-5+-5)))*-5)))/-5)--5)+(-5*(((-32.4*(-32.4-(-5/-5)))*(-32.4-(-32.4/(-5*-32.4))))-(-5/-5)))))</f>
        <v>-172274.84</v>
      </c>
      <c r="C6761" t="n" s="0">
        <v>-172274.83999999997</v>
      </c>
    </row>
    <row r="6762">
      <c r="A6762" t="n" s="0">
        <v>-32.39</v>
      </c>
      <c r="B6762" t="n" s="0">
        <f>(-5-((((-5*(-5/((-5/(((-5*(-32.39--5))-(-5+((-5*-32.39)*(((-5--5)+(-32.39--5))+-32.39))))-(-5+-5)))*-5)))/-5)--5)+(-5*(((-32.39*(-32.39-(-5/-5)))*(-32.39-(-32.39/(-5*-32.39))))-(-5/-5)))))</f>
        <v>-172116.098795</v>
      </c>
      <c r="C6762" t="n" s="0">
        <v>-172116.09879500003</v>
      </c>
    </row>
    <row r="6763">
      <c r="A6763" t="n" s="0">
        <v>-32.38</v>
      </c>
      <c r="B6763" t="n" s="0">
        <f>(-5-((((-5*(-5/((-5/(((-5*(-32.38--5))-(-5+((-5*-32.38)*(((-5--5)+(-32.38--5))+-32.38))))-(-5+-5)))*-5)))/-5)--5)+(-5*(((-32.38*(-32.38-(-5/-5)))*(-32.38-(-32.38/(-5*-32.38))))-(-5/-5)))))</f>
        <v>-171957.45515999998</v>
      </c>
      <c r="C6763" t="n" s="0">
        <v>-171957.45516000004</v>
      </c>
    </row>
    <row r="6764">
      <c r="A6764" t="n" s="0">
        <v>-32.37</v>
      </c>
      <c r="B6764" t="n" s="0">
        <f>(-5-((((-5*(-5/((-5/(((-5*(-32.37--5))-(-5+((-5*-32.37)*(((-5--5)+(-32.37--5))+-32.37))))-(-5+-5)))*-5)))/-5)--5)+(-5*(((-32.37*(-32.37-(-5/-5)))*(-32.37-(-32.37/(-5*-32.37))))-(-5/-5)))))</f>
        <v>-171798.909065</v>
      </c>
      <c r="C6764" t="n" s="0">
        <v>-171798.90906499996</v>
      </c>
    </row>
    <row r="6765">
      <c r="A6765" t="n" s="0">
        <v>-32.36</v>
      </c>
      <c r="B6765" t="n" s="0">
        <f>(-5-((((-5*(-5/((-5/(((-5*(-32.36--5))-(-5+((-5*-32.36)*(((-5--5)+(-32.36--5))+-32.36))))-(-5+-5)))*-5)))/-5)--5)+(-5*(((-32.36*(-32.36-(-5/-5)))*(-32.36-(-32.36/(-5*-32.36))))-(-5/-5)))))</f>
        <v>-171640.46047999998</v>
      </c>
      <c r="C6765" t="n" s="0">
        <v>-171640.46047999995</v>
      </c>
    </row>
    <row r="6766">
      <c r="A6766" t="n" s="0">
        <v>-32.35</v>
      </c>
      <c r="B6766" t="n" s="0">
        <f>(-5-((((-5*(-5/((-5/(((-5*(-32.35--5))-(-5+((-5*-32.35)*(((-5--5)+(-32.35--5))+-32.35))))-(-5+-5)))*-5)))/-5)--5)+(-5*(((-32.35*(-32.35-(-5/-5)))*(-32.35-(-32.35/(-5*-32.35))))-(-5/-5)))))</f>
        <v>-171482.109375</v>
      </c>
      <c r="C6766" t="n" s="0">
        <v>-171482.10937500003</v>
      </c>
    </row>
    <row r="6767">
      <c r="A6767" t="n" s="0">
        <v>-32.34</v>
      </c>
      <c r="B6767" t="n" s="0">
        <f>(-5-((((-5*(-5/((-5/(((-5*(-32.34--5))-(-5+((-5*-32.34)*(((-5--5)+(-32.34--5))+-32.34))))-(-5+-5)))*-5)))/-5)--5)+(-5*(((-32.34*(-32.34-(-5/-5)))*(-32.34-(-32.34/(-5*-32.34))))-(-5/-5)))))</f>
        <v>-171323.85572</v>
      </c>
      <c r="C6767" t="n" s="0">
        <v>-171323.85572000002</v>
      </c>
    </row>
    <row r="6768">
      <c r="A6768" t="n" s="0">
        <v>-32.33</v>
      </c>
      <c r="B6768" t="n" s="0">
        <f>(-5-((((-5*(-5/((-5/(((-5*(-32.33--5))-(-5+((-5*-32.33)*(((-5--5)+(-32.33--5))+-32.33))))-(-5+-5)))*-5)))/-5)--5)+(-5*(((-32.33*(-32.33-(-5/-5)))*(-32.33-(-32.33/(-5*-32.33))))-(-5/-5)))))</f>
        <v>-171165.699485</v>
      </c>
      <c r="C6768" t="n" s="0">
        <v>-171165.699485</v>
      </c>
    </row>
    <row r="6769">
      <c r="A6769" t="n" s="0">
        <v>-32.32</v>
      </c>
      <c r="B6769" t="n" s="0">
        <f>(-5-((((-5*(-5/((-5/(((-5*(-32.32--5))-(-5+((-5*-32.32)*(((-5--5)+(-32.32--5))+-32.32))))-(-5+-5)))*-5)))/-5)--5)+(-5*(((-32.32*(-32.32-(-5/-5)))*(-32.32-(-32.32/(-5*-32.32))))-(-5/-5)))))</f>
        <v>-171007.64064</v>
      </c>
      <c r="C6769" t="n" s="0">
        <v>-171007.64064</v>
      </c>
    </row>
    <row r="6770">
      <c r="A6770" t="n" s="0">
        <v>-32.31</v>
      </c>
      <c r="B6770" t="n" s="0">
        <f>(-5-((((-5*(-5/((-5/(((-5*(-32.31--5))-(-5+((-5*-32.31)*(((-5--5)+(-32.31--5))+-32.31))))-(-5+-5)))*-5)))/-5)--5)+(-5*(((-32.31*(-32.31-(-5/-5)))*(-32.31-(-32.31/(-5*-32.31))))-(-5/-5)))))</f>
        <v>-170849.67915500002</v>
      </c>
      <c r="C6770" t="n" s="0">
        <v>-170849.67915500005</v>
      </c>
    </row>
    <row r="6771">
      <c r="A6771" t="n" s="0">
        <v>-32.3</v>
      </c>
      <c r="B6771" t="n" s="0">
        <f>(-5-((((-5*(-5/((-5/(((-5*(-32.3--5))-(-5+((-5*-32.3)*(((-5--5)+(-32.3--5))+-32.3))))-(-5+-5)))*-5)))/-5)--5)+(-5*(((-32.3*(-32.3-(-5/-5)))*(-32.3-(-32.3/(-5*-32.3))))-(-5/-5)))))</f>
        <v>-170691.815</v>
      </c>
      <c r="C6771" t="n" s="0">
        <v>-170691.81499999994</v>
      </c>
    </row>
    <row r="6772">
      <c r="A6772" t="n" s="0">
        <v>-32.29</v>
      </c>
      <c r="B6772" t="n" s="0">
        <f>(-5-((((-5*(-5/((-5/(((-5*(-32.29--5))-(-5+((-5*-32.29)*(((-5--5)+(-32.29--5))+-32.29))))-(-5+-5)))*-5)))/-5)--5)+(-5*(((-32.29*(-32.29-(-5/-5)))*(-32.29-(-32.29/(-5*-32.29))))-(-5/-5)))))</f>
        <v>-170534.048145</v>
      </c>
      <c r="C6772" t="n" s="0">
        <v>-170534.048145</v>
      </c>
    </row>
    <row r="6773">
      <c r="A6773" t="n" s="0">
        <v>-32.28</v>
      </c>
      <c r="B6773" t="n" s="0">
        <f>(-5-((((-5*(-5/((-5/(((-5*(-32.28--5))-(-5+((-5*-32.28)*(((-5--5)+(-32.28--5))+-32.28))))-(-5+-5)))*-5)))/-5)--5)+(-5*(((-32.28*(-32.28-(-5/-5)))*(-32.28-(-32.28/(-5*-32.28))))-(-5/-5)))))</f>
        <v>-170376.37856</v>
      </c>
      <c r="C6773" t="n" s="0">
        <v>-170376.37855999998</v>
      </c>
    </row>
    <row r="6774">
      <c r="A6774" t="n" s="0">
        <v>-32.27</v>
      </c>
      <c r="B6774" t="n" s="0">
        <f>(-5-((((-5*(-5/((-5/(((-5*(-32.27--5))-(-5+((-5*-32.27)*(((-5--5)+(-32.27--5))+-32.27))))-(-5+-5)))*-5)))/-5)--5)+(-5*(((-32.27*(-32.27-(-5/-5)))*(-32.27-(-32.27/(-5*-32.27))))-(-5/-5)))))</f>
        <v>-170218.80621500002</v>
      </c>
      <c r="C6774" t="n" s="0">
        <v>-170218.80621500005</v>
      </c>
    </row>
    <row r="6775">
      <c r="A6775" t="n" s="0">
        <v>-32.26</v>
      </c>
      <c r="B6775" t="n" s="0">
        <f>(-5-((((-5*(-5/((-5/(((-5*(-32.26--5))-(-5+((-5*-32.26)*(((-5--5)+(-32.26--5))+-32.26))))-(-5+-5)))*-5)))/-5)--5)+(-5*(((-32.26*(-32.26-(-5/-5)))*(-32.26-(-32.26/(-5*-32.26))))-(-5/-5)))))</f>
        <v>-170061.33108</v>
      </c>
      <c r="C6775" t="n" s="0">
        <v>-170061.33107999995</v>
      </c>
    </row>
    <row r="6776">
      <c r="A6776" t="n" s="0">
        <v>-32.25</v>
      </c>
      <c r="B6776" t="n" s="0">
        <f>(-5-((((-5*(-5/((-5/(((-5*(-32.25--5))-(-5+((-5*-32.25)*(((-5--5)+(-32.25--5))+-32.25))))-(-5+-5)))*-5)))/-5)--5)+(-5*(((-32.25*(-32.25-(-5/-5)))*(-32.25-(-32.25/(-5*-32.25))))-(-5/-5)))))</f>
        <v>-169903.953125</v>
      </c>
      <c r="C6776" t="n" s="0">
        <v>-169903.953125</v>
      </c>
    </row>
    <row r="6777">
      <c r="A6777" t="n" s="0">
        <v>-32.24</v>
      </c>
      <c r="B6777" t="n" s="0">
        <f>(-5-((((-5*(-5/((-5/(((-5*(-32.24--5))-(-5+((-5*-32.24)*(((-5--5)+(-32.24--5))+-32.24))))-(-5+-5)))*-5)))/-5)--5)+(-5*(((-32.24*(-32.24-(-5/-5)))*(-32.24-(-32.24/(-5*-32.24))))-(-5/-5)))))</f>
        <v>-169746.67231999998</v>
      </c>
      <c r="C6777" t="n" s="0">
        <v>-169746.67232000004</v>
      </c>
    </row>
    <row r="6778">
      <c r="A6778" t="n" s="0">
        <v>-32.23</v>
      </c>
      <c r="B6778" t="n" s="0">
        <f>(-5-((((-5*(-5/((-5/(((-5*(-32.23--5))-(-5+((-5*-32.23)*(((-5--5)+(-32.23--5))+-32.23))))-(-5+-5)))*-5)))/-5)--5)+(-5*(((-32.23*(-32.23-(-5/-5)))*(-32.23-(-32.23/(-5*-32.23))))-(-5/-5)))))</f>
        <v>-169589.488635</v>
      </c>
      <c r="C6778" t="n" s="0">
        <v>-169589.48863499993</v>
      </c>
    </row>
    <row r="6779">
      <c r="A6779" t="n" s="0">
        <v>-32.22</v>
      </c>
      <c r="B6779" t="n" s="0">
        <f>(-5-((((-5*(-5/((-5/(((-5*(-32.22--5))-(-5+((-5*-32.22)*(((-5--5)+(-32.22--5))+-32.22))))-(-5+-5)))*-5)))/-5)--5)+(-5*(((-32.22*(-32.22-(-5/-5)))*(-32.22-(-32.22/(-5*-32.22))))-(-5/-5)))))</f>
        <v>-169432.40204000002</v>
      </c>
      <c r="C6779" t="n" s="0">
        <v>-169432.40204</v>
      </c>
    </row>
    <row r="6780">
      <c r="A6780" t="n" s="0">
        <v>-32.21</v>
      </c>
      <c r="B6780" t="n" s="0">
        <f>(-5-((((-5*(-5/((-5/(((-5*(-32.21--5))-(-5+((-5*-32.21)*(((-5--5)+(-32.21--5))+-32.21))))-(-5+-5)))*-5)))/-5)--5)+(-5*(((-32.21*(-32.21-(-5/-5)))*(-32.21-(-32.21/(-5*-32.21))))-(-5/-5)))))</f>
        <v>-169275.412505</v>
      </c>
      <c r="C6780" t="n" s="0">
        <v>-169275.41250500001</v>
      </c>
    </row>
    <row r="6781">
      <c r="A6781" t="n" s="0">
        <v>-32.2</v>
      </c>
      <c r="B6781" t="n" s="0">
        <f>(-5-((((-5*(-5/((-5/(((-5*(-32.2--5))-(-5+((-5*-32.2)*(((-5--5)+(-32.2--5))+-32.2))))-(-5+-5)))*-5)))/-5)--5)+(-5*(((-32.2*(-32.2-(-5/-5)))*(-32.2-(-32.2/(-5*-32.2))))-(-5/-5)))))</f>
        <v>-169118.52</v>
      </c>
      <c r="C6781" t="n" s="0">
        <v>-169118.52000000005</v>
      </c>
    </row>
    <row r="6782">
      <c r="A6782" t="n" s="0">
        <v>-32.19</v>
      </c>
      <c r="B6782" t="n" s="0">
        <f>(-5-((((-5*(-5/((-5/(((-5*(-32.19--5))-(-5+((-5*-32.19)*(((-5--5)+(-32.19--5))+-32.19))))-(-5+-5)))*-5)))/-5)--5)+(-5*(((-32.19*(-32.19-(-5/-5)))*(-32.19-(-32.19/(-5*-32.19))))-(-5/-5)))))</f>
        <v>-168961.724495</v>
      </c>
      <c r="C6782" t="n" s="0">
        <v>-168961.72449499997</v>
      </c>
    </row>
    <row r="6783">
      <c r="A6783" t="n" s="0">
        <v>-32.18</v>
      </c>
      <c r="B6783" t="n" s="0">
        <f>(-5-((((-5*(-5/((-5/(((-5*(-32.18--5))-(-5+((-5*-32.18)*(((-5--5)+(-32.18--5))+-32.18))))-(-5+-5)))*-5)))/-5)--5)+(-5*(((-32.18*(-32.18-(-5/-5)))*(-32.18-(-32.18/(-5*-32.18))))-(-5/-5)))))</f>
        <v>-168805.02596</v>
      </c>
      <c r="C6783" t="n" s="0">
        <v>-168805.02596</v>
      </c>
    </row>
    <row r="6784">
      <c r="A6784" t="n" s="0">
        <v>-32.17</v>
      </c>
      <c r="B6784" t="n" s="0">
        <f>(-5-((((-5*(-5/((-5/(((-5*(-32.17--5))-(-5+((-5*-32.17)*(((-5--5)+(-32.17--5))+-32.17))))-(-5+-5)))*-5)))/-5)--5)+(-5*(((-32.17*(-32.17-(-5/-5)))*(-32.17-(-32.17/(-5*-32.17))))-(-5/-5)))))</f>
        <v>-168648.424365</v>
      </c>
      <c r="C6784" t="n" s="0">
        <v>-168648.424365</v>
      </c>
    </row>
    <row r="6785">
      <c r="A6785" t="n" s="0">
        <v>-32.16</v>
      </c>
      <c r="B6785" t="n" s="0">
        <f>(-5-((((-5*(-5/((-5/(((-5*(-32.16--5))-(-5+((-5*-32.16)*(((-5--5)+(-32.16--5))+-32.16))))-(-5+-5)))*-5)))/-5)--5)+(-5*(((-32.16*(-32.16-(-5/-5)))*(-32.16-(-32.16/(-5*-32.16))))-(-5/-5)))))</f>
        <v>-168491.91968</v>
      </c>
      <c r="C6785" t="n" s="0">
        <v>-168491.91967999993</v>
      </c>
    </row>
    <row r="6786">
      <c r="A6786" t="n" s="0">
        <v>-32.15</v>
      </c>
      <c r="B6786" t="n" s="0">
        <f>(-5-((((-5*(-5/((-5/(((-5*(-32.15--5))-(-5+((-5*-32.15)*(((-5--5)+(-32.15--5))+-32.15))))-(-5+-5)))*-5)))/-5)--5)+(-5*(((-32.15*(-32.15-(-5/-5)))*(-32.15-(-32.15/(-5*-32.15))))-(-5/-5)))))</f>
        <v>-168335.511875</v>
      </c>
      <c r="C6786" t="n" s="0">
        <v>-168335.51187499997</v>
      </c>
    </row>
    <row r="6787">
      <c r="A6787" t="n" s="0">
        <v>-32.14</v>
      </c>
      <c r="B6787" t="n" s="0">
        <f>(-5-((((-5*(-5/((-5/(((-5*(-32.14--5))-(-5+((-5*-32.14)*(((-5--5)+(-32.14--5))+-32.14))))-(-5+-5)))*-5)))/-5)--5)+(-5*(((-32.14*(-32.14-(-5/-5)))*(-32.14-(-32.14/(-5*-32.14))))-(-5/-5)))))</f>
        <v>-168179.20091999997</v>
      </c>
      <c r="C6787" t="n" s="0">
        <v>-168179.20092000003</v>
      </c>
    </row>
    <row r="6788">
      <c r="A6788" t="n" s="0">
        <v>-32.13</v>
      </c>
      <c r="B6788" t="n" s="0">
        <f>(-5-((((-5*(-5/((-5/(((-5*(-32.13--5))-(-5+((-5*-32.13)*(((-5--5)+(-32.13--5))+-32.13))))-(-5+-5)))*-5)))/-5)--5)+(-5*(((-32.13*(-32.13-(-5/-5)))*(-32.13-(-32.13/(-5*-32.13))))-(-5/-5)))))</f>
        <v>-168022.986785</v>
      </c>
      <c r="C6788" t="n" s="0">
        <v>-168022.98678500004</v>
      </c>
    </row>
    <row r="6789">
      <c r="A6789" t="n" s="0">
        <v>-32.12</v>
      </c>
      <c r="B6789" t="n" s="0">
        <f>(-5-((((-5*(-5/((-5/(((-5*(-32.12--5))-(-5+((-5*-32.12)*(((-5--5)+(-32.12--5))+-32.12))))-(-5+-5)))*-5)))/-5)--5)+(-5*(((-32.12*(-32.12-(-5/-5)))*(-32.12-(-32.12/(-5*-32.12))))-(-5/-5)))))</f>
        <v>-167866.86944</v>
      </c>
      <c r="C6789" t="n" s="0">
        <v>-167866.86943999992</v>
      </c>
    </row>
    <row r="6790">
      <c r="A6790" t="n" s="0">
        <v>-32.11</v>
      </c>
      <c r="B6790" t="n" s="0">
        <f>(-5-((((-5*(-5/((-5/(((-5*(-32.11--5))-(-5+((-5*-32.11)*(((-5--5)+(-32.11--5))+-32.11))))-(-5+-5)))*-5)))/-5)--5)+(-5*(((-32.11*(-32.11-(-5/-5)))*(-32.11-(-32.11/(-5*-32.11))))-(-5/-5)))))</f>
        <v>-167710.848855</v>
      </c>
      <c r="C6790" t="n" s="0">
        <v>-167710.84885499996</v>
      </c>
    </row>
    <row r="6791">
      <c r="A6791" t="n" s="0">
        <v>-32.1</v>
      </c>
      <c r="B6791" t="n" s="0">
        <f>(-5-((((-5*(-5/((-5/(((-5*(-32.1--5))-(-5+((-5*-32.1)*(((-5--5)+(-32.1--5))+-32.1))))-(-5+-5)))*-5)))/-5)--5)+(-5*(((-32.1*(-32.1-(-5/-5)))*(-32.1-(-32.1/(-5*-32.1))))-(-5/-5)))))</f>
        <v>-167554.925</v>
      </c>
      <c r="C6791" t="n" s="0">
        <v>-167554.92500000005</v>
      </c>
    </row>
    <row r="6792">
      <c r="A6792" t="n" s="0">
        <v>-32.09</v>
      </c>
      <c r="B6792" t="n" s="0">
        <f>(-5-((((-5*(-5/((-5/(((-5*(-32.09--5))-(-5+((-5*-32.09)*(((-5--5)+(-32.09--5))+-32.09))))-(-5+-5)))*-5)))/-5)--5)+(-5*(((-32.09*(-32.09-(-5/-5)))*(-32.09-(-32.09/(-5*-32.09))))-(-5/-5)))))</f>
        <v>-167399.097845</v>
      </c>
      <c r="C6792" t="n" s="0">
        <v>-167399.09784500004</v>
      </c>
    </row>
    <row r="6793">
      <c r="A6793" t="n" s="0">
        <v>-32.08</v>
      </c>
      <c r="B6793" t="n" s="0">
        <f>(-5-((((-5*(-5/((-5/(((-5*(-32.08--5))-(-5+((-5*-32.08)*(((-5--5)+(-32.08--5))+-32.08))))-(-5+-5)))*-5)))/-5)--5)+(-5*(((-32.08*(-32.08-(-5/-5)))*(-32.08-(-32.08/(-5*-32.08))))-(-5/-5)))))</f>
        <v>-167243.36736</v>
      </c>
      <c r="C6793" t="n" s="0">
        <v>-167243.36735999995</v>
      </c>
    </row>
    <row r="6794">
      <c r="A6794" t="n" s="0">
        <v>-32.07</v>
      </c>
      <c r="B6794" t="n" s="0">
        <f>(-5-((((-5*(-5/((-5/(((-5*(-32.07--5))-(-5+((-5*-32.07)*(((-5--5)+(-32.07--5))+-32.07))))-(-5+-5)))*-5)))/-5)--5)+(-5*(((-32.07*(-32.07-(-5/-5)))*(-32.07-(-32.07/(-5*-32.07))))-(-5/-5)))))</f>
        <v>-167087.733515</v>
      </c>
      <c r="C6794" t="n" s="0">
        <v>-167087.73351499997</v>
      </c>
    </row>
    <row r="6795">
      <c r="A6795" t="n" s="0">
        <v>-32.06</v>
      </c>
      <c r="B6795" t="n" s="0">
        <f>(-5-((((-5*(-5/((-5/(((-5*(-32.06--5))-(-5+((-5*-32.06)*(((-5--5)+(-32.06--5))+-32.06))))-(-5+-5)))*-5)))/-5)--5)+(-5*(((-32.06*(-32.06-(-5/-5)))*(-32.06-(-32.06/(-5*-32.06))))-(-5/-5)))))</f>
        <v>-166932.19627999997</v>
      </c>
      <c r="C6795" t="n" s="0">
        <v>-166932.19628000003</v>
      </c>
    </row>
    <row r="6796">
      <c r="A6796" t="n" s="0">
        <v>-32.05</v>
      </c>
      <c r="B6796" t="n" s="0">
        <f>(-5-((((-5*(-5/((-5/(((-5*(-32.05--5))-(-5+((-5*-32.05)*(((-5--5)+(-32.05--5))+-32.05))))-(-5+-5)))*-5)))/-5)--5)+(-5*(((-32.05*(-32.05-(-5/-5)))*(-32.05-(-32.05/(-5*-32.05))))-(-5/-5)))))</f>
        <v>-166776.75562500002</v>
      </c>
      <c r="C6796" t="n" s="0">
        <v>-166776.75562499993</v>
      </c>
    </row>
    <row r="6797">
      <c r="A6797" t="n" s="0">
        <v>-32.04</v>
      </c>
      <c r="B6797" t="n" s="0">
        <f>(-5-((((-5*(-5/((-5/(((-5*(-32.04--5))-(-5+((-5*-32.04)*(((-5--5)+(-32.04--5))+-32.04))))-(-5+-5)))*-5)))/-5)--5)+(-5*(((-32.04*(-32.04-(-5/-5)))*(-32.04-(-32.04/(-5*-32.04))))-(-5/-5)))))</f>
        <v>-166621.41152</v>
      </c>
      <c r="C6797" t="n" s="0">
        <v>-166621.41151999997</v>
      </c>
    </row>
    <row r="6798">
      <c r="A6798" t="n" s="0">
        <v>-32.03</v>
      </c>
      <c r="B6798" t="n" s="0">
        <f>(-5-((((-5*(-5/((-5/(((-5*(-32.03--5))-(-5+((-5*-32.03)*(((-5--5)+(-32.03--5))+-32.03))))-(-5+-5)))*-5)))/-5)--5)+(-5*(((-32.03*(-32.03-(-5/-5)))*(-32.03-(-32.03/(-5*-32.03))))-(-5/-5)))))</f>
        <v>-166466.163935</v>
      </c>
      <c r="C6798" t="n" s="0">
        <v>-166466.16393500002</v>
      </c>
    </row>
    <row r="6799">
      <c r="A6799" t="n" s="0">
        <v>-32.02</v>
      </c>
      <c r="B6799" t="n" s="0">
        <f>(-5-((((-5*(-5/((-5/(((-5*(-32.02--5))-(-5+((-5*-32.02)*(((-5--5)+(-32.02--5))+-32.02))))-(-5+-5)))*-5)))/-5)--5)+(-5*(((-32.02*(-32.02-(-5/-5)))*(-32.02-(-32.02/(-5*-32.02))))-(-5/-5)))))</f>
        <v>-166311.01284</v>
      </c>
      <c r="C6799" t="n" s="0">
        <v>-166311.01284000007</v>
      </c>
    </row>
    <row r="6800">
      <c r="A6800" t="n" s="0">
        <v>-32.01</v>
      </c>
      <c r="B6800" t="n" s="0">
        <f>(-5-((((-5*(-5/((-5/(((-5*(-32.01--5))-(-5+((-5*-32.01)*(((-5--5)+(-32.01--5))+-32.01))))-(-5+-5)))*-5)))/-5)--5)+(-5*(((-32.01*(-32.01-(-5/-5)))*(-32.01-(-32.01/(-5*-32.01))))-(-5/-5)))))</f>
        <v>-166155.958205</v>
      </c>
      <c r="C6800" t="n" s="0">
        <v>-166155.95820499997</v>
      </c>
    </row>
    <row r="6801">
      <c r="A6801" t="n" s="0">
        <v>-32.0</v>
      </c>
      <c r="B6801" t="n" s="0">
        <f>(-5-((((-5*(-5/((-5/(((-5*(-32--5))-(-5+((-5*-32)*(((-5--5)+(-32--5))+-32))))-(-5+-5)))*-5)))/-5)--5)+(-5*(((-32*(-32-(-5/-5)))*(-32-(-32/(-5*-32))))-(-5/-5)))))</f>
        <v>-166001.0</v>
      </c>
      <c r="C6801" t="n" s="0">
        <v>-166001.0</v>
      </c>
    </row>
    <row r="6802">
      <c r="A6802" t="n" s="0">
        <v>-31.99</v>
      </c>
      <c r="B6802" t="n" s="0">
        <f>(-5-((((-5*(-5/((-5/(((-5*(-31.99--5))-(-5+((-5*-31.99)*(((-5--5)+(-31.99--5))+-31.99))))-(-5+-5)))*-5)))/-5)--5)+(-5*(((-31.99*(-31.99-(-5/-5)))*(-31.99-(-31.99/(-5*-31.99))))-(-5/-5)))))</f>
        <v>-165846.138195</v>
      </c>
      <c r="C6802" t="n" s="0">
        <v>-165846.138195</v>
      </c>
    </row>
    <row r="6803">
      <c r="A6803" t="n" s="0">
        <v>-31.98</v>
      </c>
      <c r="B6803" t="n" s="0">
        <f>(-5-((((-5*(-5/((-5/(((-5*(-31.98--5))-(-5+((-5*-31.98)*(((-5--5)+(-31.98--5))+-31.98))))-(-5+-5)))*-5)))/-5)--5)+(-5*(((-31.98*(-31.98-(-5/-5)))*(-31.98-(-31.98/(-5*-31.98))))-(-5/-5)))))</f>
        <v>-165691.37276</v>
      </c>
      <c r="C6803" t="n" s="0">
        <v>-165691.37276000003</v>
      </c>
    </row>
    <row r="6804">
      <c r="A6804" t="n" s="0">
        <v>-31.97</v>
      </c>
      <c r="B6804" t="n" s="0">
        <f>(-5-((((-5*(-5/((-5/(((-5*(-31.97--5))-(-5+((-5*-31.97)*(((-5--5)+(-31.97--5))+-31.97))))-(-5+-5)))*-5)))/-5)--5)+(-5*(((-31.97*(-31.97-(-5/-5)))*(-31.97-(-31.97/(-5*-31.97))))-(-5/-5)))))</f>
        <v>-165536.703665</v>
      </c>
      <c r="C6804" t="n" s="0">
        <v>-165536.70366499998</v>
      </c>
    </row>
    <row r="6805">
      <c r="A6805" t="n" s="0">
        <v>-31.96</v>
      </c>
      <c r="B6805" t="n" s="0">
        <f>(-5-((((-5*(-5/((-5/(((-5*(-31.96--5))-(-5+((-5*-31.96)*(((-5--5)+(-31.96--5))+-31.96))))-(-5+-5)))*-5)))/-5)--5)+(-5*(((-31.96*(-31.96-(-5/-5)))*(-31.96-(-31.96/(-5*-31.96))))-(-5/-5)))))</f>
        <v>-165382.13088</v>
      </c>
      <c r="C6805" t="n" s="0">
        <v>-165382.13088000004</v>
      </c>
    </row>
    <row r="6806">
      <c r="A6806" t="n" s="0">
        <v>-31.95</v>
      </c>
      <c r="B6806" t="n" s="0">
        <f>(-5-((((-5*(-5/((-5/(((-5*(-31.95--5))-(-5+((-5*-31.95)*(((-5--5)+(-31.95--5))+-31.95))))-(-5+-5)))*-5)))/-5)--5)+(-5*(((-31.95*(-31.95-(-5/-5)))*(-31.95-(-31.95/(-5*-31.95))))-(-5/-5)))))</f>
        <v>-165227.654375</v>
      </c>
      <c r="C6806" t="n" s="0">
        <v>-165227.654375</v>
      </c>
    </row>
    <row r="6807">
      <c r="A6807" t="n" s="0">
        <v>-31.94</v>
      </c>
      <c r="B6807" t="n" s="0">
        <f>(-5-((((-5*(-5/((-5/(((-5*(-31.94--5))-(-5+((-5*-31.94)*(((-5--5)+(-31.94--5))+-31.94))))-(-5+-5)))*-5)))/-5)--5)+(-5*(((-31.94*(-31.94-(-5/-5)))*(-31.94-(-31.94/(-5*-31.94))))-(-5/-5)))))</f>
        <v>-165073.27412000002</v>
      </c>
      <c r="C6807" t="n" s="0">
        <v>-165073.27412000002</v>
      </c>
    </row>
    <row r="6808">
      <c r="A6808" t="n" s="0">
        <v>-31.93</v>
      </c>
      <c r="B6808" t="n" s="0">
        <f>(-5-((((-5*(-5/((-5/(((-5*(-31.93--5))-(-5+((-5*-31.93)*(((-5--5)+(-31.93--5))+-31.93))))-(-5+-5)))*-5)))/-5)--5)+(-5*(((-31.93*(-31.93-(-5/-5)))*(-31.93-(-31.93/(-5*-31.93))))-(-5/-5)))))</f>
        <v>-164918.990085</v>
      </c>
      <c r="C6808" t="n" s="0">
        <v>-164918.990085</v>
      </c>
    </row>
    <row r="6809">
      <c r="A6809" t="n" s="0">
        <v>-31.92</v>
      </c>
      <c r="B6809" t="n" s="0">
        <f>(-5-((((-5*(-5/((-5/(((-5*(-31.92--5))-(-5+((-5*-31.92)*(((-5--5)+(-31.92--5))+-31.92))))-(-5+-5)))*-5)))/-5)--5)+(-5*(((-31.92*(-31.92-(-5/-5)))*(-31.92-(-31.92/(-5*-31.92))))-(-5/-5)))))</f>
        <v>-164764.80224</v>
      </c>
      <c r="C6809" t="n" s="0">
        <v>-164764.80224000005</v>
      </c>
    </row>
    <row r="6810">
      <c r="A6810" t="n" s="0">
        <v>-31.91</v>
      </c>
      <c r="B6810" t="n" s="0">
        <f>(-5-((((-5*(-5/((-5/(((-5*(-31.91--5))-(-5+((-5*-31.91)*(((-5--5)+(-31.91--5))+-31.91))))-(-5+-5)))*-5)))/-5)--5)+(-5*(((-31.91*(-31.91-(-5/-5)))*(-31.91-(-31.91/(-5*-31.91))))-(-5/-5)))))</f>
        <v>-164610.710555</v>
      </c>
      <c r="C6810" t="n" s="0">
        <v>-164610.710555</v>
      </c>
    </row>
    <row r="6811">
      <c r="A6811" t="n" s="0">
        <v>-31.9</v>
      </c>
      <c r="B6811" t="n" s="0">
        <f>(-5-((((-5*(-5/((-5/(((-5*(-31.9--5))-(-5+((-5*-31.9)*(((-5--5)+(-31.9--5))+-31.9))))-(-5+-5)))*-5)))/-5)--5)+(-5*(((-31.9*(-31.9-(-5/-5)))*(-31.9-(-31.9/(-5*-31.9))))-(-5/-5)))))</f>
        <v>-164456.715</v>
      </c>
      <c r="C6811" t="n" s="0">
        <v>-164456.715</v>
      </c>
    </row>
    <row r="6812">
      <c r="A6812" t="n" s="0">
        <v>-31.89</v>
      </c>
      <c r="B6812" t="n" s="0">
        <f>(-5-((((-5*(-5/((-5/(((-5*(-31.89--5))-(-5+((-5*-31.89)*(((-5--5)+(-31.89--5))+-31.89))))-(-5+-5)))*-5)))/-5)--5)+(-5*(((-31.89*(-31.89-(-5/-5)))*(-31.89-(-31.89/(-5*-31.89))))-(-5/-5)))))</f>
        <v>-164302.815545</v>
      </c>
      <c r="C6812" t="n" s="0">
        <v>-164302.81554500002</v>
      </c>
    </row>
    <row r="6813">
      <c r="A6813" t="n" s="0">
        <v>-31.88</v>
      </c>
      <c r="B6813" t="n" s="0">
        <f>(-5-((((-5*(-5/((-5/(((-5*(-31.88--5))-(-5+((-5*-31.88)*(((-5--5)+(-31.88--5))+-31.88))))-(-5+-5)))*-5)))/-5)--5)+(-5*(((-31.88*(-31.88-(-5/-5)))*(-31.88-(-31.88/(-5*-31.88))))-(-5/-5)))))</f>
        <v>-164149.01216</v>
      </c>
      <c r="C6813" t="n" s="0">
        <v>-164149.01216</v>
      </c>
    </row>
    <row r="6814">
      <c r="A6814" t="n" s="0">
        <v>-31.87</v>
      </c>
      <c r="B6814" t="n" s="0">
        <f>(-5-((((-5*(-5/((-5/(((-5*(-31.87--5))-(-5+((-5*-31.87)*(((-5--5)+(-31.87--5))+-31.87))))-(-5+-5)))*-5)))/-5)--5)+(-5*(((-31.87*(-31.87-(-5/-5)))*(-31.87-(-31.87/(-5*-31.87))))-(-5/-5)))))</f>
        <v>-163995.30481499998</v>
      </c>
      <c r="C6814" t="n" s="0">
        <v>-163995.30481499998</v>
      </c>
    </row>
    <row r="6815">
      <c r="A6815" t="n" s="0">
        <v>-31.86</v>
      </c>
      <c r="B6815" t="n" s="0">
        <f>(-5-((((-5*(-5/((-5/(((-5*(-31.86--5))-(-5+((-5*-31.86)*(((-5--5)+(-31.86--5))+-31.86))))-(-5+-5)))*-5)))/-5)--5)+(-5*(((-31.86*(-31.86-(-5/-5)))*(-31.86-(-31.86/(-5*-31.86))))-(-5/-5)))))</f>
        <v>-163841.69348</v>
      </c>
      <c r="C6815" t="n" s="0">
        <v>-163841.69347999996</v>
      </c>
    </row>
    <row r="6816">
      <c r="A6816" t="n" s="0">
        <v>-31.85</v>
      </c>
      <c r="B6816" t="n" s="0">
        <f>(-5-((((-5*(-5/((-5/(((-5*(-31.85--5))-(-5+((-5*-31.85)*(((-5--5)+(-31.85--5))+-31.85))))-(-5+-5)))*-5)))/-5)--5)+(-5*(((-31.85*(-31.85-(-5/-5)))*(-31.85-(-31.85/(-5*-31.85))))-(-5/-5)))))</f>
        <v>-163688.178125</v>
      </c>
      <c r="C6816" t="n" s="0">
        <v>-163688.178125</v>
      </c>
    </row>
    <row r="6817">
      <c r="A6817" t="n" s="0">
        <v>-31.84</v>
      </c>
      <c r="B6817" t="n" s="0">
        <f>(-5-((((-5*(-5/((-5/(((-5*(-31.84--5))-(-5+((-5*-31.84)*(((-5--5)+(-31.84--5))+-31.84))))-(-5+-5)))*-5)))/-5)--5)+(-5*(((-31.84*(-31.84-(-5/-5)))*(-31.84-(-31.84/(-5*-31.84))))-(-5/-5)))))</f>
        <v>-163534.75872</v>
      </c>
      <c r="C6817" t="n" s="0">
        <v>-163534.75872</v>
      </c>
    </row>
    <row r="6818">
      <c r="A6818" t="n" s="0">
        <v>-31.83</v>
      </c>
      <c r="B6818" t="n" s="0">
        <f>(-5-((((-5*(-5/((-5/(((-5*(-31.83--5))-(-5+((-5*-31.83)*(((-5--5)+(-31.83--5))+-31.83))))-(-5+-5)))*-5)))/-5)--5)+(-5*(((-31.83*(-31.83-(-5/-5)))*(-31.83-(-31.83/(-5*-31.83))))-(-5/-5)))))</f>
        <v>-163381.435235</v>
      </c>
      <c r="C6818" t="n" s="0">
        <v>-163381.43523499998</v>
      </c>
    </row>
    <row r="6819">
      <c r="A6819" t="n" s="0">
        <v>-31.82</v>
      </c>
      <c r="B6819" t="n" s="0">
        <f>(-5-((((-5*(-5/((-5/(((-5*(-31.82--5))-(-5+((-5*-31.82)*(((-5--5)+(-31.82--5))+-31.82))))-(-5+-5)))*-5)))/-5)--5)+(-5*(((-31.82*(-31.82-(-5/-5)))*(-31.82-(-31.82/(-5*-31.82))))-(-5/-5)))))</f>
        <v>-163228.20764</v>
      </c>
      <c r="C6819" t="n" s="0">
        <v>-163228.20764</v>
      </c>
    </row>
    <row r="6820">
      <c r="A6820" t="n" s="0">
        <v>-31.81</v>
      </c>
      <c r="B6820" t="n" s="0">
        <f>(-5-((((-5*(-5/((-5/(((-5*(-31.81--5))-(-5+((-5*-31.81)*(((-5--5)+(-31.81--5))+-31.81))))-(-5+-5)))*-5)))/-5)--5)+(-5*(((-31.81*(-31.81-(-5/-5)))*(-31.81-(-31.81/(-5*-31.81))))-(-5/-5)))))</f>
        <v>-163075.075905</v>
      </c>
      <c r="C6820" t="n" s="0">
        <v>-163075.07590499995</v>
      </c>
    </row>
    <row r="6821">
      <c r="A6821" t="n" s="0">
        <v>-31.8</v>
      </c>
      <c r="B6821" t="n" s="0">
        <f>(-5-((((-5*(-5/((-5/(((-5*(-31.8--5))-(-5+((-5*-31.8)*(((-5--5)+(-31.8--5))+-31.8))))-(-5+-5)))*-5)))/-5)--5)+(-5*(((-31.8*(-31.8-(-5/-5)))*(-31.8-(-31.8/(-5*-31.8))))-(-5/-5)))))</f>
        <v>-162922.04</v>
      </c>
      <c r="C6821" t="n" s="0">
        <v>-162922.04</v>
      </c>
    </row>
    <row r="6822">
      <c r="A6822" t="n" s="0">
        <v>-31.79</v>
      </c>
      <c r="B6822" t="n" s="0">
        <f>(-5-((((-5*(-5/((-5/(((-5*(-31.79--5))-(-5+((-5*-31.79)*(((-5--5)+(-31.79--5))+-31.79))))-(-5+-5)))*-5)))/-5)--5)+(-5*(((-31.79*(-31.79-(-5/-5)))*(-31.79-(-31.79/(-5*-31.79))))-(-5/-5)))))</f>
        <v>-162769.09989500002</v>
      </c>
      <c r="C6822" t="n" s="0">
        <v>-162769.099895</v>
      </c>
    </row>
    <row r="6823">
      <c r="A6823" t="n" s="0">
        <v>-31.78</v>
      </c>
      <c r="B6823" t="n" s="0">
        <f>(-5-((((-5*(-5/((-5/(((-5*(-31.78--5))-(-5+((-5*-31.78)*(((-5--5)+(-31.78--5))+-31.78))))-(-5+-5)))*-5)))/-5)--5)+(-5*(((-31.78*(-31.78-(-5/-5)))*(-31.78-(-31.78/(-5*-31.78))))-(-5/-5)))))</f>
        <v>-162616.25556</v>
      </c>
      <c r="C6823" t="n" s="0">
        <v>-162616.25556</v>
      </c>
    </row>
    <row r="6824">
      <c r="A6824" t="n" s="0">
        <v>-31.77</v>
      </c>
      <c r="B6824" t="n" s="0">
        <f>(-5-((((-5*(-5/((-5/(((-5*(-31.77--5))-(-5+((-5*-31.77)*(((-5--5)+(-31.77--5))+-31.77))))-(-5+-5)))*-5)))/-5)--5)+(-5*(((-31.77*(-31.77-(-5/-5)))*(-31.77-(-31.77/(-5*-31.77))))-(-5/-5)))))</f>
        <v>-162463.506965</v>
      </c>
      <c r="C6824" t="n" s="0">
        <v>-162463.50696499998</v>
      </c>
    </row>
    <row r="6825">
      <c r="A6825" t="n" s="0">
        <v>-31.76</v>
      </c>
      <c r="B6825" t="n" s="0">
        <f>(-5-((((-5*(-5/((-5/(((-5*(-31.76--5))-(-5+((-5*-31.76)*(((-5--5)+(-31.76--5))+-31.76))))-(-5+-5)))*-5)))/-5)--5)+(-5*(((-31.76*(-31.76-(-5/-5)))*(-31.76-(-31.76/(-5*-31.76))))-(-5/-5)))))</f>
        <v>-162310.85408000002</v>
      </c>
      <c r="C6825" t="n" s="0">
        <v>-162310.85408000002</v>
      </c>
    </row>
    <row r="6826">
      <c r="A6826" t="n" s="0">
        <v>-31.75</v>
      </c>
      <c r="B6826" t="n" s="0">
        <f>(-5-((((-5*(-5/((-5/(((-5*(-31.75--5))-(-5+((-5*-31.75)*(((-5--5)+(-31.75--5))+-31.75))))-(-5+-5)))*-5)))/-5)--5)+(-5*(((-31.75*(-31.75-(-5/-5)))*(-31.75-(-31.75/(-5*-31.75))))-(-5/-5)))))</f>
        <v>-162158.296875</v>
      </c>
      <c r="C6826" t="n" s="0">
        <v>-162158.296875</v>
      </c>
    </row>
    <row r="6827">
      <c r="A6827" t="n" s="0">
        <v>-31.74</v>
      </c>
      <c r="B6827" t="n" s="0">
        <f>(-5-((((-5*(-5/((-5/(((-5*(-31.74--5))-(-5+((-5*-31.74)*(((-5--5)+(-31.74--5))+-31.74))))-(-5+-5)))*-5)))/-5)--5)+(-5*(((-31.74*(-31.74-(-5/-5)))*(-31.74-(-31.74/(-5*-31.74))))-(-5/-5)))))</f>
        <v>-162005.83532</v>
      </c>
      <c r="C6827" t="n" s="0">
        <v>-162005.83531999995</v>
      </c>
    </row>
    <row r="6828">
      <c r="A6828" t="n" s="0">
        <v>-31.73</v>
      </c>
      <c r="B6828" t="n" s="0">
        <f>(-5-((((-5*(-5/((-5/(((-5*(-31.73--5))-(-5+((-5*-31.73)*(((-5--5)+(-31.73--5))+-31.73))))-(-5+-5)))*-5)))/-5)--5)+(-5*(((-31.73*(-31.73-(-5/-5)))*(-31.73-(-31.73/(-5*-31.73))))-(-5/-5)))))</f>
        <v>-161853.469385</v>
      </c>
      <c r="C6828" t="n" s="0">
        <v>-161853.469385</v>
      </c>
    </row>
    <row r="6829">
      <c r="A6829" t="n" s="0">
        <v>-31.72</v>
      </c>
      <c r="B6829" t="n" s="0">
        <f>(-5-((((-5*(-5/((-5/(((-5*(-31.72--5))-(-5+((-5*-31.72)*(((-5--5)+(-31.72--5))+-31.72))))-(-5+-5)))*-5)))/-5)--5)+(-5*(((-31.72*(-31.72-(-5/-5)))*(-31.72-(-31.72/(-5*-31.72))))-(-5/-5)))))</f>
        <v>-161701.19904</v>
      </c>
      <c r="C6829" t="n" s="0">
        <v>-161701.19903999998</v>
      </c>
    </row>
    <row r="6830">
      <c r="A6830" t="n" s="0">
        <v>-31.71</v>
      </c>
      <c r="B6830" t="n" s="0">
        <f>(-5-((((-5*(-5/((-5/(((-5*(-31.71--5))-(-5+((-5*-31.71)*(((-5--5)+(-31.71--5))+-31.71))))-(-5+-5)))*-5)))/-5)--5)+(-5*(((-31.71*(-31.71-(-5/-5)))*(-31.71-(-31.71/(-5*-31.71))))-(-5/-5)))))</f>
        <v>-161549.024255</v>
      </c>
      <c r="C6830" t="n" s="0">
        <v>-161549.02425500003</v>
      </c>
    </row>
    <row r="6831">
      <c r="A6831" t="n" s="0">
        <v>-31.7</v>
      </c>
      <c r="B6831" t="n" s="0">
        <f>(-5-((((-5*(-5/((-5/(((-5*(-31.7--5))-(-5+((-5*-31.7)*(((-5--5)+(-31.7--5))+-31.7))))-(-5+-5)))*-5)))/-5)--5)+(-5*(((-31.7*(-31.7-(-5/-5)))*(-31.7-(-31.7/(-5*-31.7))))-(-5/-5)))))</f>
        <v>-161396.94499999998</v>
      </c>
      <c r="C6831" t="n" s="0">
        <v>-161396.945</v>
      </c>
    </row>
    <row r="6832">
      <c r="A6832" t="n" s="0">
        <v>-31.69</v>
      </c>
      <c r="B6832" t="n" s="0">
        <f>(-5-((((-5*(-5/((-5/(((-5*(-31.69--5))-(-5+((-5*-31.69)*(((-5--5)+(-31.69--5))+-31.69))))-(-5+-5)))*-5)))/-5)--5)+(-5*(((-31.69*(-31.69-(-5/-5)))*(-31.69-(-31.69/(-5*-31.69))))-(-5/-5)))))</f>
        <v>-161244.961245</v>
      </c>
      <c r="C6832" t="n" s="0">
        <v>-161244.961245</v>
      </c>
    </row>
    <row r="6833">
      <c r="A6833" t="n" s="0">
        <v>-31.68</v>
      </c>
      <c r="B6833" t="n" s="0">
        <f>(-5-((((-5*(-5/((-5/(((-5*(-31.68--5))-(-5+((-5*-31.68)*(((-5--5)+(-31.68--5))+-31.68))))-(-5+-5)))*-5)))/-5)--5)+(-5*(((-31.68*(-31.68-(-5/-5)))*(-31.68-(-31.68/(-5*-31.68))))-(-5/-5)))))</f>
        <v>-161093.07296</v>
      </c>
      <c r="C6833" t="n" s="0">
        <v>-161093.07296</v>
      </c>
    </row>
    <row r="6834">
      <c r="A6834" t="n" s="0">
        <v>-31.67</v>
      </c>
      <c r="B6834" t="n" s="0">
        <f>(-5-((((-5*(-5/((-5/(((-5*(-31.67--5))-(-5+((-5*-31.67)*(((-5--5)+(-31.67--5))+-31.67))))-(-5+-5)))*-5)))/-5)--5)+(-5*(((-31.67*(-31.67-(-5/-5)))*(-31.67-(-31.67/(-5*-31.67))))-(-5/-5)))))</f>
        <v>-160941.280115</v>
      </c>
      <c r="C6834" t="n" s="0">
        <v>-160941.28011500003</v>
      </c>
    </row>
    <row r="6835">
      <c r="A6835" t="n" s="0">
        <v>-31.66</v>
      </c>
      <c r="B6835" t="n" s="0">
        <f>(-5-((((-5*(-5/((-5/(((-5*(-31.66--5))-(-5+((-5*-31.66)*(((-5--5)+(-31.66--5))+-31.66))))-(-5+-5)))*-5)))/-5)--5)+(-5*(((-31.66*(-31.66-(-5/-5)))*(-31.66-(-31.66/(-5*-31.66))))-(-5/-5)))))</f>
        <v>-160789.58268</v>
      </c>
      <c r="C6835" t="n" s="0">
        <v>-160789.58268</v>
      </c>
    </row>
    <row r="6836">
      <c r="A6836" t="n" s="0">
        <v>-31.65</v>
      </c>
      <c r="B6836" t="n" s="0">
        <f>(-5-((((-5*(-5/((-5/(((-5*(-31.65--5))-(-5+((-5*-31.65)*(((-5--5)+(-31.65--5))+-31.65))))-(-5+-5)))*-5)))/-5)--5)+(-5*(((-31.65*(-31.65-(-5/-5)))*(-31.65-(-31.65/(-5*-31.65))))-(-5/-5)))))</f>
        <v>-160637.980625</v>
      </c>
      <c r="C6836" t="n" s="0">
        <v>-160637.980625</v>
      </c>
    </row>
    <row r="6837">
      <c r="A6837" t="n" s="0">
        <v>-31.64</v>
      </c>
      <c r="B6837" t="n" s="0">
        <f>(-5-((((-5*(-5/((-5/(((-5*(-31.64--5))-(-5+((-5*-31.64)*(((-5--5)+(-31.64--5))+-31.64))))-(-5+-5)))*-5)))/-5)--5)+(-5*(((-31.64*(-31.64-(-5/-5)))*(-31.64-(-31.64/(-5*-31.64))))-(-5/-5)))))</f>
        <v>-160486.47392000002</v>
      </c>
      <c r="C6837" t="n" s="0">
        <v>-160486.47392000005</v>
      </c>
    </row>
    <row r="6838">
      <c r="A6838" t="n" s="0">
        <v>-31.63</v>
      </c>
      <c r="B6838" t="n" s="0">
        <f>(-5-((((-5*(-5/((-5/(((-5*(-31.63--5))-(-5+((-5*-31.63)*(((-5--5)+(-31.63--5))+-31.63))))-(-5+-5)))*-5)))/-5)--5)+(-5*(((-31.63*(-31.63-(-5/-5)))*(-31.63-(-31.63/(-5*-31.63))))-(-5/-5)))))</f>
        <v>-160335.062535</v>
      </c>
      <c r="C6838" t="n" s="0">
        <v>-160335.062535</v>
      </c>
    </row>
    <row r="6839">
      <c r="A6839" t="n" s="0">
        <v>-31.62</v>
      </c>
      <c r="B6839" t="n" s="0">
        <f>(-5-((((-5*(-5/((-5/(((-5*(-31.62--5))-(-5+((-5*-31.62)*(((-5--5)+(-31.62--5))+-31.62))))-(-5+-5)))*-5)))/-5)--5)+(-5*(((-31.62*(-31.62-(-5/-5)))*(-31.62-(-31.62/(-5*-31.62))))-(-5/-5)))))</f>
        <v>-160183.74644</v>
      </c>
      <c r="C6839" t="n" s="0">
        <v>-160183.74644</v>
      </c>
    </row>
    <row r="6840">
      <c r="A6840" t="n" s="0">
        <v>-31.61</v>
      </c>
      <c r="B6840" t="n" s="0">
        <f>(-5-((((-5*(-5/((-5/(((-5*(-31.61--5))-(-5+((-5*-31.61)*(((-5--5)+(-31.61--5))+-31.61))))-(-5+-5)))*-5)))/-5)--5)+(-5*(((-31.61*(-31.61-(-5/-5)))*(-31.61-(-31.61/(-5*-31.61))))-(-5/-5)))))</f>
        <v>-160032.525605</v>
      </c>
      <c r="C6840" t="n" s="0">
        <v>-160032.52560499997</v>
      </c>
    </row>
    <row r="6841">
      <c r="A6841" t="n" s="0">
        <v>-31.6</v>
      </c>
      <c r="B6841" t="n" s="0">
        <f>(-5-((((-5*(-5/((-5/(((-5*(-31.6--5))-(-5+((-5*-31.6)*(((-5--5)+(-31.6--5))+-31.6))))-(-5+-5)))*-5)))/-5)--5)+(-5*(((-31.6*(-31.6-(-5/-5)))*(-31.6-(-31.6/(-5*-31.6))))-(-5/-5)))))</f>
        <v>-159881.4</v>
      </c>
      <c r="C6841" t="n" s="0">
        <v>-159881.4</v>
      </c>
    </row>
    <row r="6842">
      <c r="A6842" t="n" s="0">
        <v>-31.59</v>
      </c>
      <c r="B6842" t="n" s="0">
        <f>(-5-((((-5*(-5/((-5/(((-5*(-31.59--5))-(-5+((-5*-31.59)*(((-5--5)+(-31.59--5))+-31.59))))-(-5+-5)))*-5)))/-5)--5)+(-5*(((-31.59*(-31.59-(-5/-5)))*(-31.59-(-31.59/(-5*-31.59))))-(-5/-5)))))</f>
        <v>-159730.369595</v>
      </c>
      <c r="C6842" t="n" s="0">
        <v>-159730.369595</v>
      </c>
    </row>
    <row r="6843">
      <c r="A6843" t="n" s="0">
        <v>-31.58</v>
      </c>
      <c r="B6843" t="n" s="0">
        <f>(-5-((((-5*(-5/((-5/(((-5*(-31.58--5))-(-5+((-5*-31.58)*(((-5--5)+(-31.58--5))+-31.58))))-(-5+-5)))*-5)))/-5)--5)+(-5*(((-31.58*(-31.58-(-5/-5)))*(-31.58-(-31.58/(-5*-31.58))))-(-5/-5)))))</f>
        <v>-159579.43435999998</v>
      </c>
      <c r="C6843" t="n" s="0">
        <v>-159579.43435999998</v>
      </c>
    </row>
    <row r="6844">
      <c r="A6844" t="n" s="0">
        <v>-31.57</v>
      </c>
      <c r="B6844" t="n" s="0">
        <f>(-5-((((-5*(-5/((-5/(((-5*(-31.57--5))-(-5+((-5*-31.57)*(((-5--5)+(-31.57--5))+-31.57))))-(-5+-5)))*-5)))/-5)--5)+(-5*(((-31.57*(-31.57-(-5/-5)))*(-31.57-(-31.57/(-5*-31.57))))-(-5/-5)))))</f>
        <v>-159428.594265</v>
      </c>
      <c r="C6844" t="n" s="0">
        <v>-159428.594265</v>
      </c>
    </row>
    <row r="6845">
      <c r="A6845" t="n" s="0">
        <v>-31.56</v>
      </c>
      <c r="B6845" t="n" s="0">
        <f>(-5-((((-5*(-5/((-5/(((-5*(-31.56--5))-(-5+((-5*-31.56)*(((-5--5)+(-31.56--5))+-31.56))))-(-5+-5)))*-5)))/-5)--5)+(-5*(((-31.56*(-31.56-(-5/-5)))*(-31.56-(-31.56/(-5*-31.56))))-(-5/-5)))))</f>
        <v>-159277.84928</v>
      </c>
      <c r="C6845" t="n" s="0">
        <v>-159277.84927999997</v>
      </c>
    </row>
    <row r="6846">
      <c r="A6846" t="n" s="0">
        <v>-31.55</v>
      </c>
      <c r="B6846" t="n" s="0">
        <f>(-5-((((-5*(-5/((-5/(((-5*(-31.55--5))-(-5+((-5*-31.55)*(((-5--5)+(-31.55--5))+-31.55))))-(-5+-5)))*-5)))/-5)--5)+(-5*(((-31.55*(-31.55-(-5/-5)))*(-31.55-(-31.55/(-5*-31.55))))-(-5/-5)))))</f>
        <v>-159127.199375</v>
      </c>
      <c r="C6846" t="n" s="0">
        <v>-159127.199375</v>
      </c>
    </row>
    <row r="6847">
      <c r="A6847" t="n" s="0">
        <v>-31.54</v>
      </c>
      <c r="B6847" t="n" s="0">
        <f>(-5-((((-5*(-5/((-5/(((-5*(-31.54--5))-(-5+((-5*-31.54)*(((-5--5)+(-31.54--5))+-31.54))))-(-5+-5)))*-5)))/-5)--5)+(-5*(((-31.54*(-31.54-(-5/-5)))*(-31.54-(-31.54/(-5*-31.54))))-(-5/-5)))))</f>
        <v>-158976.64452</v>
      </c>
      <c r="C6847" t="n" s="0">
        <v>-158976.64451999997</v>
      </c>
    </row>
    <row r="6848">
      <c r="A6848" t="n" s="0">
        <v>-31.53</v>
      </c>
      <c r="B6848" t="n" s="0">
        <f>(-5-((((-5*(-5/((-5/(((-5*(-31.53--5))-(-5+((-5*-31.53)*(((-5--5)+(-31.53--5))+-31.53))))-(-5+-5)))*-5)))/-5)--5)+(-5*(((-31.53*(-31.53-(-5/-5)))*(-31.53-(-31.53/(-5*-31.53))))-(-5/-5)))))</f>
        <v>-158826.184685</v>
      </c>
      <c r="C6848" t="n" s="0">
        <v>-158826.18468500001</v>
      </c>
    </row>
    <row r="6849">
      <c r="A6849" t="n" s="0">
        <v>-31.52</v>
      </c>
      <c r="B6849" t="n" s="0">
        <f>(-5-((((-5*(-5/((-5/(((-5*(-31.52--5))-(-5+((-5*-31.52)*(((-5--5)+(-31.52--5))+-31.52))))-(-5+-5)))*-5)))/-5)--5)+(-5*(((-31.52*(-31.52-(-5/-5)))*(-31.52-(-31.52/(-5*-31.52))))-(-5/-5)))))</f>
        <v>-158675.81983999998</v>
      </c>
      <c r="C6849" t="n" s="0">
        <v>-158675.81983999998</v>
      </c>
    </row>
    <row r="6850">
      <c r="A6850" t="n" s="0">
        <v>-31.51</v>
      </c>
      <c r="B6850" t="n" s="0">
        <f>(-5-((((-5*(-5/((-5/(((-5*(-31.51--5))-(-5+((-5*-31.51)*(((-5--5)+(-31.51--5))+-31.51))))-(-5+-5)))*-5)))/-5)--5)+(-5*(((-31.51*(-31.51-(-5/-5)))*(-31.51-(-31.51/(-5*-31.51))))-(-5/-5)))))</f>
        <v>-158525.549955</v>
      </c>
      <c r="C6850" t="n" s="0">
        <v>-158525.549955</v>
      </c>
    </row>
    <row r="6851">
      <c r="A6851" t="n" s="0">
        <v>-31.5</v>
      </c>
      <c r="B6851" t="n" s="0">
        <f>(-5-((((-5*(-5/((-5/(((-5*(-31.5--5))-(-5+((-5*-31.5)*(((-5--5)+(-31.5--5))+-31.5))))-(-5+-5)))*-5)))/-5)--5)+(-5*(((-31.5*(-31.5-(-5/-5)))*(-31.5-(-31.5/(-5*-31.5))))-(-5/-5)))))</f>
        <v>-158375.375</v>
      </c>
      <c r="C6851" t="n" s="0">
        <v>-158375.375</v>
      </c>
    </row>
    <row r="6852">
      <c r="A6852" t="n" s="0">
        <v>-31.49</v>
      </c>
      <c r="B6852" t="n" s="0">
        <f>(-5-((((-5*(-5/((-5/(((-5*(-31.49--5))-(-5+((-5*-31.49)*(((-5--5)+(-31.49--5))+-31.49))))-(-5+-5)))*-5)))/-5)--5)+(-5*(((-31.49*(-31.49-(-5/-5)))*(-31.49-(-31.49/(-5*-31.49))))-(-5/-5)))))</f>
        <v>-158225.294945</v>
      </c>
      <c r="C6852" t="n" s="0">
        <v>-158225.29494499997</v>
      </c>
    </row>
    <row r="6853">
      <c r="A6853" t="n" s="0">
        <v>-31.48</v>
      </c>
      <c r="B6853" t="n" s="0">
        <f>(-5-((((-5*(-5/((-5/(((-5*(-31.48--5))-(-5+((-5*-31.48)*(((-5--5)+(-31.48--5))+-31.48))))-(-5+-5)))*-5)))/-5)--5)+(-5*(((-31.48*(-31.48-(-5/-5)))*(-31.48-(-31.48/(-5*-31.48))))-(-5/-5)))))</f>
        <v>-158075.30976</v>
      </c>
      <c r="C6853" t="n" s="0">
        <v>-158075.30976</v>
      </c>
    </row>
    <row r="6854">
      <c r="A6854" t="n" s="0">
        <v>-31.47</v>
      </c>
      <c r="B6854" t="n" s="0">
        <f>(-5-((((-5*(-5/((-5/(((-5*(-31.47--5))-(-5+((-5*-31.47)*(((-5--5)+(-31.47--5))+-31.47))))-(-5+-5)))*-5)))/-5)--5)+(-5*(((-31.47*(-31.47-(-5/-5)))*(-31.47-(-31.47/(-5*-31.47))))-(-5/-5)))))</f>
        <v>-157925.419415</v>
      </c>
      <c r="C6854" t="n" s="0">
        <v>-157925.41941499998</v>
      </c>
    </row>
    <row r="6855">
      <c r="A6855" t="n" s="0">
        <v>-31.46</v>
      </c>
      <c r="B6855" t="n" s="0">
        <f>(-5-((((-5*(-5/((-5/(((-5*(-31.46--5))-(-5+((-5*-31.46)*(((-5--5)+(-31.46--5))+-31.46))))-(-5+-5)))*-5)))/-5)--5)+(-5*(((-31.46*(-31.46-(-5/-5)))*(-31.46-(-31.46/(-5*-31.46))))-(-5/-5)))))</f>
        <v>-157775.62388</v>
      </c>
      <c r="C6855" t="n" s="0">
        <v>-157775.62388000003</v>
      </c>
    </row>
    <row r="6856">
      <c r="A6856" t="n" s="0">
        <v>-31.45</v>
      </c>
      <c r="B6856" t="n" s="0">
        <f>(-5-((((-5*(-5/((-5/(((-5*(-31.45--5))-(-5+((-5*-31.45)*(((-5--5)+(-31.45--5))+-31.45))))-(-5+-5)))*-5)))/-5)--5)+(-5*(((-31.45*(-31.45-(-5/-5)))*(-31.45-(-31.45/(-5*-31.45))))-(-5/-5)))))</f>
        <v>-157625.923125</v>
      </c>
      <c r="C6856" t="n" s="0">
        <v>-157625.92312499997</v>
      </c>
    </row>
    <row r="6857">
      <c r="A6857" t="n" s="0">
        <v>-31.44</v>
      </c>
      <c r="B6857" t="n" s="0">
        <f>(-5-((((-5*(-5/((-5/(((-5*(-31.44--5))-(-5+((-5*-31.44)*(((-5--5)+(-31.44--5))+-31.44))))-(-5+-5)))*-5)))/-5)--5)+(-5*(((-31.44*(-31.44-(-5/-5)))*(-31.44-(-31.44/(-5*-31.44))))-(-5/-5)))))</f>
        <v>-157476.31712000002</v>
      </c>
      <c r="C6857" t="n" s="0">
        <v>-157476.31712000002</v>
      </c>
    </row>
    <row r="6858">
      <c r="A6858" t="n" s="0">
        <v>-31.43</v>
      </c>
      <c r="B6858" t="n" s="0">
        <f>(-5-((((-5*(-5/((-5/(((-5*(-31.43--5))-(-5+((-5*-31.43)*(((-5--5)+(-31.43--5))+-31.43))))-(-5+-5)))*-5)))/-5)--5)+(-5*(((-31.43*(-31.43-(-5/-5)))*(-31.43-(-31.43/(-5*-31.43))))-(-5/-5)))))</f>
        <v>-157326.805835</v>
      </c>
      <c r="C6858" t="n" s="0">
        <v>-157326.80583499998</v>
      </c>
    </row>
    <row r="6859">
      <c r="A6859" t="n" s="0">
        <v>-31.42</v>
      </c>
      <c r="B6859" t="n" s="0">
        <f>(-5-((((-5*(-5/((-5/(((-5*(-31.42--5))-(-5+((-5*-31.42)*(((-5--5)+(-31.42--5))+-31.42))))-(-5+-5)))*-5)))/-5)--5)+(-5*(((-31.42*(-31.42-(-5/-5)))*(-31.42-(-31.42/(-5*-31.42))))-(-5/-5)))))</f>
        <v>-157177.38924000002</v>
      </c>
      <c r="C6859" t="n" s="0">
        <v>-157177.38924000005</v>
      </c>
    </row>
    <row r="6860">
      <c r="A6860" t="n" s="0">
        <v>-31.41</v>
      </c>
      <c r="B6860" t="n" s="0">
        <f>(-5-((((-5*(-5/((-5/(((-5*(-31.41--5))-(-5+((-5*-31.41)*(((-5--5)+(-31.41--5))+-31.41))))-(-5+-5)))*-5)))/-5)--5)+(-5*(((-31.41*(-31.41-(-5/-5)))*(-31.41-(-31.41/(-5*-31.41))))-(-5/-5)))))</f>
        <v>-157028.067305</v>
      </c>
      <c r="C6860" t="n" s="0">
        <v>-157028.067305</v>
      </c>
    </row>
    <row r="6861">
      <c r="A6861" t="n" s="0">
        <v>-31.4</v>
      </c>
      <c r="B6861" t="n" s="0">
        <f>(-5-((((-5*(-5/((-5/(((-5*(-31.4--5))-(-5+((-5*-31.4)*(((-5--5)+(-31.4--5))+-31.4))))-(-5+-5)))*-5)))/-5)--5)+(-5*(((-31.4*(-31.4-(-5/-5)))*(-31.4-(-31.4/(-5*-31.4))))-(-5/-5)))))</f>
        <v>-156878.84</v>
      </c>
      <c r="C6861" t="n" s="0">
        <v>-156878.84</v>
      </c>
    </row>
    <row r="6862">
      <c r="A6862" t="n" s="0">
        <v>-31.39</v>
      </c>
      <c r="B6862" t="n" s="0">
        <f>(-5-((((-5*(-5/((-5/(((-5*(-31.39--5))-(-5+((-5*-31.39)*(((-5--5)+(-31.39--5))+-31.39))))-(-5+-5)))*-5)))/-5)--5)+(-5*(((-31.39*(-31.39-(-5/-5)))*(-31.39-(-31.39/(-5*-31.39))))-(-5/-5)))))</f>
        <v>-156729.707295</v>
      </c>
      <c r="C6862" t="n" s="0">
        <v>-156729.70729500003</v>
      </c>
    </row>
    <row r="6863">
      <c r="A6863" t="n" s="0">
        <v>-31.38</v>
      </c>
      <c r="B6863" t="n" s="0">
        <f>(-5-((((-5*(-5/((-5/(((-5*(-31.38--5))-(-5+((-5*-31.38)*(((-5--5)+(-31.38--5))+-31.38))))-(-5+-5)))*-5)))/-5)--5)+(-5*(((-31.38*(-31.38-(-5/-5)))*(-31.38-(-31.38/(-5*-31.38))))-(-5/-5)))))</f>
        <v>-156580.66916000002</v>
      </c>
      <c r="C6863" t="n" s="0">
        <v>-156580.66916</v>
      </c>
    </row>
    <row r="6864">
      <c r="A6864" t="n" s="0">
        <v>-31.37</v>
      </c>
      <c r="B6864" t="n" s="0">
        <f>(-5-((((-5*(-5/((-5/(((-5*(-31.37--5))-(-5+((-5*-31.37)*(((-5--5)+(-31.37--5))+-31.37))))-(-5+-5)))*-5)))/-5)--5)+(-5*(((-31.37*(-31.37-(-5/-5)))*(-31.37-(-31.37/(-5*-31.37))))-(-5/-5)))))</f>
        <v>-156431.725565</v>
      </c>
      <c r="C6864" t="n" s="0">
        <v>-156431.725565</v>
      </c>
    </row>
    <row r="6865">
      <c r="A6865" t="n" s="0">
        <v>-31.36</v>
      </c>
      <c r="B6865" t="n" s="0">
        <f>(-5-((((-5*(-5/((-5/(((-5*(-31.36--5))-(-5+((-5*-31.36)*(((-5--5)+(-31.36--5))+-31.36))))-(-5+-5)))*-5)))/-5)--5)+(-5*(((-31.36*(-31.36-(-5/-5)))*(-31.36-(-31.36/(-5*-31.36))))-(-5/-5)))))</f>
        <v>-156282.87647999998</v>
      </c>
      <c r="C6865" t="n" s="0">
        <v>-156282.87647999995</v>
      </c>
    </row>
    <row r="6866">
      <c r="A6866" t="n" s="0">
        <v>-31.35</v>
      </c>
      <c r="B6866" t="n" s="0">
        <f>(-5-((((-5*(-5/((-5/(((-5*(-31.35--5))-(-5+((-5*-31.35)*(((-5--5)+(-31.35--5))+-31.35))))-(-5+-5)))*-5)))/-5)--5)+(-5*(((-31.35*(-31.35-(-5/-5)))*(-31.35-(-31.35/(-5*-31.35))))-(-5/-5)))))</f>
        <v>-156134.121875</v>
      </c>
      <c r="C6866" t="n" s="0">
        <v>-156134.12187499998</v>
      </c>
    </row>
    <row r="6867">
      <c r="A6867" t="n" s="0">
        <v>-31.34</v>
      </c>
      <c r="B6867" t="n" s="0">
        <f>(-5-((((-5*(-5/((-5/(((-5*(-31.34--5))-(-5+((-5*-31.34)*(((-5--5)+(-31.34--5))+-31.34))))-(-5+-5)))*-5)))/-5)--5)+(-5*(((-31.34*(-31.34-(-5/-5)))*(-31.34-(-31.34/(-5*-31.34))))-(-5/-5)))))</f>
        <v>-155985.46172</v>
      </c>
      <c r="C6867" t="n" s="0">
        <v>-155985.46172</v>
      </c>
    </row>
    <row r="6868">
      <c r="A6868" t="n" s="0">
        <v>-31.33</v>
      </c>
      <c r="B6868" t="n" s="0">
        <f>(-5-((((-5*(-5/((-5/(((-5*(-31.33--5))-(-5+((-5*-31.33)*(((-5--5)+(-31.33--5))+-31.33))))-(-5+-5)))*-5)))/-5)--5)+(-5*(((-31.33*(-31.33-(-5/-5)))*(-31.33-(-31.33/(-5*-31.33))))-(-5/-5)))))</f>
        <v>-155836.895985</v>
      </c>
      <c r="C6868" t="n" s="0">
        <v>-155836.89598499995</v>
      </c>
    </row>
    <row r="6869">
      <c r="A6869" t="n" s="0">
        <v>-31.32</v>
      </c>
      <c r="B6869" t="n" s="0">
        <f>(-5-((((-5*(-5/((-5/(((-5*(-31.32--5))-(-5+((-5*-31.32)*(((-5--5)+(-31.32--5))+-31.32))))-(-5+-5)))*-5)))/-5)--5)+(-5*(((-31.32*(-31.32-(-5/-5)))*(-31.32-(-31.32/(-5*-31.32))))-(-5/-5)))))</f>
        <v>-155688.42464</v>
      </c>
      <c r="C6869" t="n" s="0">
        <v>-155688.42464</v>
      </c>
    </row>
    <row r="6870">
      <c r="A6870" t="n" s="0">
        <v>-31.31</v>
      </c>
      <c r="B6870" t="n" s="0">
        <f>(-5-((((-5*(-5/((-5/(((-5*(-31.31--5))-(-5+((-5*-31.31)*(((-5--5)+(-31.31--5))+-31.31))))-(-5+-5)))*-5)))/-5)--5)+(-5*(((-31.31*(-31.31-(-5/-5)))*(-31.31-(-31.31/(-5*-31.31))))-(-5/-5)))))</f>
        <v>-155540.047655</v>
      </c>
      <c r="C6870" t="n" s="0">
        <v>-155540.04765499994</v>
      </c>
    </row>
    <row r="6871">
      <c r="A6871" t="n" s="0">
        <v>-31.3</v>
      </c>
      <c r="B6871" t="n" s="0">
        <f>(-5-((((-5*(-5/((-5/(((-5*(-31.3--5))-(-5+((-5*-31.3)*(((-5--5)+(-31.3--5))+-31.3))))-(-5+-5)))*-5)))/-5)--5)+(-5*(((-31.3*(-31.3-(-5/-5)))*(-31.3-(-31.3/(-5*-31.3))))-(-5/-5)))))</f>
        <v>-155391.765</v>
      </c>
      <c r="C6871" t="n" s="0">
        <v>-155391.765</v>
      </c>
    </row>
    <row r="6872">
      <c r="A6872" t="n" s="0">
        <v>-31.29</v>
      </c>
      <c r="B6872" t="n" s="0">
        <f>(-5-((((-5*(-5/((-5/(((-5*(-31.29--5))-(-5+((-5*-31.29)*(((-5--5)+(-31.29--5))+-31.29))))-(-5+-5)))*-5)))/-5)--5)+(-5*(((-31.29*(-31.29-(-5/-5)))*(-31.29-(-31.29/(-5*-31.29))))-(-5/-5)))))</f>
        <v>-155243.576645</v>
      </c>
      <c r="C6872" t="n" s="0">
        <v>-155243.576645</v>
      </c>
    </row>
    <row r="6873">
      <c r="A6873" t="n" s="0">
        <v>-31.28</v>
      </c>
      <c r="B6873" t="n" s="0">
        <f>(-5-((((-5*(-5/((-5/(((-5*(-31.28--5))-(-5+((-5*-31.28)*(((-5--5)+(-31.28--5))+-31.28))))-(-5+-5)))*-5)))/-5)--5)+(-5*(((-31.28*(-31.28-(-5/-5)))*(-31.28-(-31.28/(-5*-31.28))))-(-5/-5)))))</f>
        <v>-155095.48256</v>
      </c>
      <c r="C6873" t="n" s="0">
        <v>-155095.48256</v>
      </c>
    </row>
    <row r="6874">
      <c r="A6874" t="n" s="0">
        <v>-31.27</v>
      </c>
      <c r="B6874" t="n" s="0">
        <f>(-5-((((-5*(-5/((-5/(((-5*(-31.27--5))-(-5+((-5*-31.27)*(((-5--5)+(-31.27--5))+-31.27))))-(-5+-5)))*-5)))/-5)--5)+(-5*(((-31.27*(-31.27-(-5/-5)))*(-31.27-(-31.27/(-5*-31.27))))-(-5/-5)))))</f>
        <v>-154947.48271500002</v>
      </c>
      <c r="C6874" t="n" s="0">
        <v>-154947.482715</v>
      </c>
    </row>
    <row r="6875">
      <c r="A6875" t="n" s="0">
        <v>-31.26</v>
      </c>
      <c r="B6875" t="n" s="0">
        <f>(-5-((((-5*(-5/((-5/(((-5*(-31.26--5))-(-5+((-5*-31.26)*(((-5--5)+(-31.26--5))+-31.26))))-(-5+-5)))*-5)))/-5)--5)+(-5*(((-31.26*(-31.26-(-5/-5)))*(-31.26-(-31.26/(-5*-31.26))))-(-5/-5)))))</f>
        <v>-154799.57708</v>
      </c>
      <c r="C6875" t="n" s="0">
        <v>-154799.57708000005</v>
      </c>
    </row>
    <row r="6876">
      <c r="A6876" t="n" s="0">
        <v>-31.25</v>
      </c>
      <c r="B6876" t="n" s="0">
        <f>(-5-((((-5*(-5/((-5/(((-5*(-31.25--5))-(-5+((-5*-31.25)*(((-5--5)+(-31.25--5))+-31.25))))-(-5+-5)))*-5)))/-5)--5)+(-5*(((-31.25*(-31.25-(-5/-5)))*(-31.25-(-31.25/(-5*-31.25))))-(-5/-5)))))</f>
        <v>-154651.765625</v>
      </c>
      <c r="C6876" t="n" s="0">
        <v>-154651.765625</v>
      </c>
    </row>
    <row r="6877">
      <c r="A6877" t="n" s="0">
        <v>-31.24</v>
      </c>
      <c r="B6877" t="n" s="0">
        <f>(-5-((((-5*(-5/((-5/(((-5*(-31.24--5))-(-5+((-5*-31.24)*(((-5--5)+(-31.24--5))+-31.24))))-(-5+-5)))*-5)))/-5)--5)+(-5*(((-31.24*(-31.24-(-5/-5)))*(-31.24-(-31.24/(-5*-31.24))))-(-5/-5)))))</f>
        <v>-154504.04832</v>
      </c>
      <c r="C6877" t="n" s="0">
        <v>-154504.04831999997</v>
      </c>
    </row>
    <row r="6878">
      <c r="A6878" t="n" s="0">
        <v>-31.23</v>
      </c>
      <c r="B6878" t="n" s="0">
        <f>(-5-((((-5*(-5/((-5/(((-5*(-31.23--5))-(-5+((-5*-31.23)*(((-5--5)+(-31.23--5))+-31.23))))-(-5+-5)))*-5)))/-5)--5)+(-5*(((-31.23*(-31.23-(-5/-5)))*(-31.23-(-31.23/(-5*-31.23))))-(-5/-5)))))</f>
        <v>-154356.425135</v>
      </c>
      <c r="C6878" t="n" s="0">
        <v>-154356.425135</v>
      </c>
    </row>
    <row r="6879">
      <c r="A6879" t="n" s="0">
        <v>-31.22</v>
      </c>
      <c r="B6879" t="n" s="0">
        <f>(-5-((((-5*(-5/((-5/(((-5*(-31.22--5))-(-5+((-5*-31.22)*(((-5--5)+(-31.22--5))+-31.22))))-(-5+-5)))*-5)))/-5)--5)+(-5*(((-31.22*(-31.22-(-5/-5)))*(-31.22-(-31.22/(-5*-31.22))))-(-5/-5)))))</f>
        <v>-154208.89604</v>
      </c>
      <c r="C6879" t="n" s="0">
        <v>-154208.89604</v>
      </c>
    </row>
    <row r="6880">
      <c r="A6880" t="n" s="0">
        <v>-31.21</v>
      </c>
      <c r="B6880" t="n" s="0">
        <f>(-5-((((-5*(-5/((-5/(((-5*(-31.21--5))-(-5+((-5*-31.21)*(((-5--5)+(-31.21--5))+-31.21))))-(-5+-5)))*-5)))/-5)--5)+(-5*(((-31.21*(-31.21-(-5/-5)))*(-31.21-(-31.21/(-5*-31.21))))-(-5/-5)))))</f>
        <v>-154061.461005</v>
      </c>
      <c r="C6880" t="n" s="0">
        <v>-154061.46100500002</v>
      </c>
    </row>
    <row r="6881">
      <c r="A6881" t="n" s="0">
        <v>-31.2</v>
      </c>
      <c r="B6881" t="n" s="0">
        <f>(-5-((((-5*(-5/((-5/(((-5*(-31.2--5))-(-5+((-5*-31.2)*(((-5--5)+(-31.2--5))+-31.2))))-(-5+-5)))*-5)))/-5)--5)+(-5*(((-31.2*(-31.2-(-5/-5)))*(-31.2-(-31.2/(-5*-31.2))))-(-5/-5)))))</f>
        <v>-153914.12000000002</v>
      </c>
      <c r="C6881" t="n" s="0">
        <v>-153914.12</v>
      </c>
    </row>
    <row r="6882">
      <c r="A6882" t="n" s="0">
        <v>-31.19</v>
      </c>
      <c r="B6882" t="n" s="0">
        <f>(-5-((((-5*(-5/((-5/(((-5*(-31.19--5))-(-5+((-5*-31.19)*(((-5--5)+(-31.19--5))+-31.19))))-(-5+-5)))*-5)))/-5)--5)+(-5*(((-31.19*(-31.19-(-5/-5)))*(-31.19-(-31.19/(-5*-31.19))))-(-5/-5)))))</f>
        <v>-153766.87299499998</v>
      </c>
      <c r="C6882" t="n" s="0">
        <v>-153766.872995</v>
      </c>
    </row>
    <row r="6883">
      <c r="A6883" t="n" s="0">
        <v>-31.18</v>
      </c>
      <c r="B6883" t="n" s="0">
        <f>(-5-((((-5*(-5/((-5/(((-5*(-31.18--5))-(-5+((-5*-31.18)*(((-5--5)+(-31.18--5))+-31.18))))-(-5+-5)))*-5)))/-5)--5)+(-5*(((-31.18*(-31.18-(-5/-5)))*(-31.18-(-31.18/(-5*-31.18))))-(-5/-5)))))</f>
        <v>-153619.71996</v>
      </c>
      <c r="C6883" t="n" s="0">
        <v>-153619.71996</v>
      </c>
    </row>
    <row r="6884">
      <c r="A6884" t="n" s="0">
        <v>-31.17</v>
      </c>
      <c r="B6884" t="n" s="0">
        <f>(-5-((((-5*(-5/((-5/(((-5*(-31.17--5))-(-5+((-5*-31.17)*(((-5--5)+(-31.17--5))+-31.17))))-(-5+-5)))*-5)))/-5)--5)+(-5*(((-31.17*(-31.17-(-5/-5)))*(-31.17-(-31.17/(-5*-31.17))))-(-5/-5)))))</f>
        <v>-153472.66086499998</v>
      </c>
      <c r="C6884" t="n" s="0">
        <v>-153472.660865</v>
      </c>
    </row>
    <row r="6885">
      <c r="A6885" t="n" s="0">
        <v>-31.16</v>
      </c>
      <c r="B6885" t="n" s="0">
        <f>(-5-((((-5*(-5/((-5/(((-5*(-31.16--5))-(-5+((-5*-31.16)*(((-5--5)+(-31.16--5))+-31.16))))-(-5+-5)))*-5)))/-5)--5)+(-5*(((-31.16*(-31.16-(-5/-5)))*(-31.16-(-31.16/(-5*-31.16))))-(-5/-5)))))</f>
        <v>-153325.69568</v>
      </c>
      <c r="C6885" t="n" s="0">
        <v>-153325.69568000003</v>
      </c>
    </row>
    <row r="6886">
      <c r="A6886" t="n" s="0">
        <v>-31.15</v>
      </c>
      <c r="B6886" t="n" s="0">
        <f>(-5-((((-5*(-5/((-5/(((-5*(-31.15--5))-(-5+((-5*-31.15)*(((-5--5)+(-31.15--5))+-31.15))))-(-5+-5)))*-5)))/-5)--5)+(-5*(((-31.15*(-31.15-(-5/-5)))*(-31.15-(-31.15/(-5*-31.15))))-(-5/-5)))))</f>
        <v>-153178.824375</v>
      </c>
      <c r="C6886" t="n" s="0">
        <v>-153178.824375</v>
      </c>
    </row>
    <row r="6887">
      <c r="A6887" t="n" s="0">
        <v>-31.14</v>
      </c>
      <c r="B6887" t="n" s="0">
        <f>(-5-((((-5*(-5/((-5/(((-5*(-31.14--5))-(-5+((-5*-31.14)*(((-5--5)+(-31.14--5))+-31.14))))-(-5+-5)))*-5)))/-5)--5)+(-5*(((-31.14*(-31.14-(-5/-5)))*(-31.14-(-31.14/(-5*-31.14))))-(-5/-5)))))</f>
        <v>-153032.04692000002</v>
      </c>
      <c r="C6887" t="n" s="0">
        <v>-153032.04692000005</v>
      </c>
    </row>
    <row r="6888">
      <c r="A6888" t="n" s="0">
        <v>-31.13</v>
      </c>
      <c r="B6888" t="n" s="0">
        <f>(-5-((((-5*(-5/((-5/(((-5*(-31.13--5))-(-5+((-5*-31.13)*(((-5--5)+(-31.13--5))+-31.13))))-(-5+-5)))*-5)))/-5)--5)+(-5*(((-31.13*(-31.13-(-5/-5)))*(-31.13-(-31.13/(-5*-31.13))))-(-5/-5)))))</f>
        <v>-152885.363285</v>
      </c>
      <c r="C6888" t="n" s="0">
        <v>-152885.363285</v>
      </c>
    </row>
    <row r="6889">
      <c r="A6889" t="n" s="0">
        <v>-31.12</v>
      </c>
      <c r="B6889" t="n" s="0">
        <f>(-5-((((-5*(-5/((-5/(((-5*(-31.12--5))-(-5+((-5*-31.12)*(((-5--5)+(-31.12--5))+-31.12))))-(-5+-5)))*-5)))/-5)--5)+(-5*(((-31.12*(-31.12-(-5/-5)))*(-31.12-(-31.12/(-5*-31.12))))-(-5/-5)))))</f>
        <v>-152738.77344000002</v>
      </c>
      <c r="C6889" t="n" s="0">
        <v>-152738.77344000002</v>
      </c>
    </row>
    <row r="6890">
      <c r="A6890" t="n" s="0">
        <v>-31.11</v>
      </c>
      <c r="B6890" t="n" s="0">
        <f>(-5-((((-5*(-5/((-5/(((-5*(-31.11--5))-(-5+((-5*-31.11)*(((-5--5)+(-31.11--5))+-31.11))))-(-5+-5)))*-5)))/-5)--5)+(-5*(((-31.11*(-31.11-(-5/-5)))*(-31.11-(-31.11/(-5*-31.11))))-(-5/-5)))))</f>
        <v>-152592.277355</v>
      </c>
      <c r="C6890" t="n" s="0">
        <v>-152592.27735499997</v>
      </c>
    </row>
    <row r="6891">
      <c r="A6891" t="n" s="0">
        <v>-31.1</v>
      </c>
      <c r="B6891" t="n" s="0">
        <f>(-5-((((-5*(-5/((-5/(((-5*(-31.1--5))-(-5+((-5*-31.1)*(((-5--5)+(-31.1--5))+-31.1))))-(-5+-5)))*-5)))/-5)--5)+(-5*(((-31.1*(-31.1-(-5/-5)))*(-31.1-(-31.1/(-5*-31.1))))-(-5/-5)))))</f>
        <v>-152445.875</v>
      </c>
      <c r="C6891" t="n" s="0">
        <v>-152445.87500000003</v>
      </c>
    </row>
    <row r="6892">
      <c r="A6892" t="n" s="0">
        <v>-31.09</v>
      </c>
      <c r="B6892" t="n" s="0">
        <f>(-5-((((-5*(-5/((-5/(((-5*(-31.09--5))-(-5+((-5*-31.09)*(((-5--5)+(-31.09--5))+-31.09))))-(-5+-5)))*-5)))/-5)--5)+(-5*(((-31.09*(-31.09-(-5/-5)))*(-31.09-(-31.09/(-5*-31.09))))-(-5/-5)))))</f>
        <v>-152299.566345</v>
      </c>
      <c r="C6892" t="n" s="0">
        <v>-152299.56634499997</v>
      </c>
    </row>
    <row r="6893">
      <c r="A6893" t="n" s="0">
        <v>-31.08</v>
      </c>
      <c r="B6893" t="n" s="0">
        <f>(-5-((((-5*(-5/((-5/(((-5*(-31.08--5))-(-5+((-5*-31.08)*(((-5--5)+(-31.08--5))+-31.08))))-(-5+-5)))*-5)))/-5)--5)+(-5*(((-31.08*(-31.08-(-5/-5)))*(-31.08-(-31.08/(-5*-31.08))))-(-5/-5)))))</f>
        <v>-152153.35136</v>
      </c>
      <c r="C6893" t="n" s="0">
        <v>-152153.35135999997</v>
      </c>
    </row>
    <row r="6894">
      <c r="A6894" t="n" s="0">
        <v>-31.07</v>
      </c>
      <c r="B6894" t="n" s="0">
        <f>(-5-((((-5*(-5/((-5/(((-5*(-31.07--5))-(-5+((-5*-31.07)*(((-5--5)+(-31.07--5))+-31.07))))-(-5+-5)))*-5)))/-5)--5)+(-5*(((-31.07*(-31.07-(-5/-5)))*(-31.07-(-31.07/(-5*-31.07))))-(-5/-5)))))</f>
        <v>-152007.230015</v>
      </c>
      <c r="C6894" t="n" s="0">
        <v>-152007.23001499998</v>
      </c>
    </row>
    <row r="6895">
      <c r="A6895" t="n" s="0">
        <v>-31.06</v>
      </c>
      <c r="B6895" t="n" s="0">
        <f>(-5-((((-5*(-5/((-5/(((-5*(-31.06--5))-(-5+((-5*-31.06)*(((-5--5)+(-31.06--5))+-31.06))))-(-5+-5)))*-5)))/-5)--5)+(-5*(((-31.06*(-31.06-(-5/-5)))*(-31.06-(-31.06/(-5*-31.06))))-(-5/-5)))))</f>
        <v>-151861.20228</v>
      </c>
      <c r="C6895" t="n" s="0">
        <v>-151861.20227999997</v>
      </c>
    </row>
    <row r="6896">
      <c r="A6896" t="n" s="0">
        <v>-31.05</v>
      </c>
      <c r="B6896" t="n" s="0">
        <f>(-5-((((-5*(-5/((-5/(((-5*(-31.05--5))-(-5+((-5*-31.05)*(((-5--5)+(-31.05--5))+-31.05))))-(-5+-5)))*-5)))/-5)--5)+(-5*(((-31.05*(-31.05-(-5/-5)))*(-31.05-(-31.05/(-5*-31.05))))-(-5/-5)))))</f>
        <v>-151715.268125</v>
      </c>
      <c r="C6896" t="n" s="0">
        <v>-151715.268125</v>
      </c>
    </row>
    <row r="6897">
      <c r="A6897" t="n" s="0">
        <v>-31.04</v>
      </c>
      <c r="B6897" t="n" s="0">
        <f>(-5-((((-5*(-5/((-5/(((-5*(-31.04--5))-(-5+((-5*-31.04)*(((-5--5)+(-31.04--5))+-31.04))))-(-5+-5)))*-5)))/-5)--5)+(-5*(((-31.04*(-31.04-(-5/-5)))*(-31.04-(-31.04/(-5*-31.04))))-(-5/-5)))))</f>
        <v>-151569.42752</v>
      </c>
      <c r="C6897" t="n" s="0">
        <v>-151569.42752</v>
      </c>
    </row>
    <row r="6898">
      <c r="A6898" t="n" s="0">
        <v>-31.03</v>
      </c>
      <c r="B6898" t="n" s="0">
        <f>(-5-((((-5*(-5/((-5/(((-5*(-31.03--5))-(-5+((-5*-31.03)*(((-5--5)+(-31.03--5))+-31.03))))-(-5+-5)))*-5)))/-5)--5)+(-5*(((-31.03*(-31.03-(-5/-5)))*(-31.03-(-31.03/(-5*-31.03))))-(-5/-5)))))</f>
        <v>-151423.680435</v>
      </c>
      <c r="C6898" t="n" s="0">
        <v>-151423.68043500002</v>
      </c>
    </row>
    <row r="6899">
      <c r="A6899" t="n" s="0">
        <v>-31.02</v>
      </c>
      <c r="B6899" t="n" s="0">
        <f>(-5-((((-5*(-5/((-5/(((-5*(-31.02--5))-(-5+((-5*-31.02)*(((-5--5)+(-31.02--5))+-31.02))))-(-5+-5)))*-5)))/-5)--5)+(-5*(((-31.02*(-31.02-(-5/-5)))*(-31.02-(-31.02/(-5*-31.02))))-(-5/-5)))))</f>
        <v>-151278.02684</v>
      </c>
      <c r="C6899" t="n" s="0">
        <v>-151278.02683999998</v>
      </c>
    </row>
    <row r="6900">
      <c r="A6900" t="n" s="0">
        <v>-31.01</v>
      </c>
      <c r="B6900" t="n" s="0">
        <f>(-5-((((-5*(-5/((-5/(((-5*(-31.01--5))-(-5+((-5*-31.01)*(((-5--5)+(-31.01--5))+-31.01))))-(-5+-5)))*-5)))/-5)--5)+(-5*(((-31.01*(-31.01-(-5/-5)))*(-31.01-(-31.01/(-5*-31.01))))-(-5/-5)))))</f>
        <v>-151132.466705</v>
      </c>
      <c r="C6900" t="n" s="0">
        <v>-151132.46670500003</v>
      </c>
    </row>
    <row r="6901">
      <c r="A6901" t="n" s="0">
        <v>-31.0</v>
      </c>
      <c r="B6901" t="n" s="0">
        <f>(-5-((((-5*(-5/((-5/(((-5*(-31--5))-(-5+((-5*-31)*(((-5--5)+(-31--5))+-31))))-(-5+-5)))*-5)))/-5)--5)+(-5*(((-31*(-31-(-5/-5)))*(-31-(-31/(-5*-31))))-(-5/-5)))))</f>
        <v>-150987.0</v>
      </c>
      <c r="C6901" t="n" s="0">
        <v>-150987.0</v>
      </c>
    </row>
    <row r="6902">
      <c r="A6902" t="n" s="0">
        <v>-30.99</v>
      </c>
      <c r="B6902" t="n" s="0">
        <f>(-5-((((-5*(-5/((-5/(((-5*(-30.99--5))-(-5+((-5*-30.99)*(((-5--5)+(-30.99--5))+-30.99))))-(-5+-5)))*-5)))/-5)--5)+(-5*(((-30.99*(-30.99-(-5/-5)))*(-30.99-(-30.99/(-5*-30.99))))-(-5/-5)))))</f>
        <v>-150841.626695</v>
      </c>
      <c r="C6902" t="n" s="0">
        <v>-150841.62669499998</v>
      </c>
    </row>
    <row r="6903">
      <c r="A6903" t="n" s="0">
        <v>-30.98</v>
      </c>
      <c r="B6903" t="n" s="0">
        <f>(-5-((((-5*(-5/((-5/(((-5*(-30.98--5))-(-5+((-5*-30.98)*(((-5--5)+(-30.98--5))+-30.98))))-(-5+-5)))*-5)))/-5)--5)+(-5*(((-30.98*(-30.98-(-5/-5)))*(-30.98-(-30.98/(-5*-30.98))))-(-5/-5)))))</f>
        <v>-150696.34676000001</v>
      </c>
      <c r="C6903" t="n" s="0">
        <v>-150696.34676</v>
      </c>
    </row>
    <row r="6904">
      <c r="A6904" t="n" s="0">
        <v>-30.97</v>
      </c>
      <c r="B6904" t="n" s="0">
        <f>(-5-((((-5*(-5/((-5/(((-5*(-30.97--5))-(-5+((-5*-30.97)*(((-5--5)+(-30.97--5))+-30.97))))-(-5+-5)))*-5)))/-5)--5)+(-5*(((-30.97*(-30.97-(-5/-5)))*(-30.97-(-30.97/(-5*-30.97))))-(-5/-5)))))</f>
        <v>-150551.160165</v>
      </c>
      <c r="C6904" t="n" s="0">
        <v>-150551.16016499998</v>
      </c>
    </row>
    <row r="6905">
      <c r="A6905" t="n" s="0">
        <v>-30.96</v>
      </c>
      <c r="B6905" t="n" s="0">
        <f>(-5-((((-5*(-5/((-5/(((-5*(-30.96--5))-(-5+((-5*-30.96)*(((-5--5)+(-30.96--5))+-30.96))))-(-5+-5)))*-5)))/-5)--5)+(-5*(((-30.96*(-30.96-(-5/-5)))*(-30.96-(-30.96/(-5*-30.96))))-(-5/-5)))))</f>
        <v>-150406.06688</v>
      </c>
      <c r="C6905" t="n" s="0">
        <v>-150406.06688</v>
      </c>
    </row>
    <row r="6906">
      <c r="A6906" t="n" s="0">
        <v>-30.95</v>
      </c>
      <c r="B6906" t="n" s="0">
        <f>(-5-((((-5*(-5/((-5/(((-5*(-30.95--5))-(-5+((-5*-30.95)*(((-5--5)+(-30.95--5))+-30.95))))-(-5+-5)))*-5)))/-5)--5)+(-5*(((-30.95*(-30.95-(-5/-5)))*(-30.95-(-30.95/(-5*-30.95))))-(-5/-5)))))</f>
        <v>-150261.066875</v>
      </c>
      <c r="C6906" t="n" s="0">
        <v>-150261.066875</v>
      </c>
    </row>
    <row r="6907">
      <c r="A6907" t="n" s="0">
        <v>-30.94</v>
      </c>
      <c r="B6907" t="n" s="0">
        <f>(-5-((((-5*(-5/((-5/(((-5*(-30.94--5))-(-5+((-5*-30.94)*(((-5--5)+(-30.94--5))+-30.94))))-(-5+-5)))*-5)))/-5)--5)+(-5*(((-30.94*(-30.94-(-5/-5)))*(-30.94-(-30.94/(-5*-30.94))))-(-5/-5)))))</f>
        <v>-150116.16012</v>
      </c>
      <c r="C6907" t="n" s="0">
        <v>-150116.16012000002</v>
      </c>
    </row>
    <row r="6908">
      <c r="A6908" t="n" s="0">
        <v>-30.93</v>
      </c>
      <c r="B6908" t="n" s="0">
        <f>(-5-((((-5*(-5/((-5/(((-5*(-30.93--5))-(-5+((-5*-30.93)*(((-5--5)+(-30.93--5))+-30.93))))-(-5+-5)))*-5)))/-5)--5)+(-5*(((-30.93*(-30.93-(-5/-5)))*(-30.93-(-30.93/(-5*-30.93))))-(-5/-5)))))</f>
        <v>-149971.346585</v>
      </c>
      <c r="C6908" t="n" s="0">
        <v>-149971.346585</v>
      </c>
    </row>
    <row r="6909">
      <c r="A6909" t="n" s="0">
        <v>-30.92</v>
      </c>
      <c r="B6909" t="n" s="0">
        <f>(-5-((((-5*(-5/((-5/(((-5*(-30.92--5))-(-5+((-5*-30.92)*(((-5--5)+(-30.92--5))+-30.92))))-(-5+-5)))*-5)))/-5)--5)+(-5*(((-30.92*(-30.92-(-5/-5)))*(-30.92-(-30.92/(-5*-30.92))))-(-5/-5)))))</f>
        <v>-149826.62624</v>
      </c>
      <c r="C6909" t="n" s="0">
        <v>-149826.62624000004</v>
      </c>
    </row>
    <row r="6910">
      <c r="A6910" t="n" s="0">
        <v>-30.91</v>
      </c>
      <c r="B6910" t="n" s="0">
        <f>(-5-((((-5*(-5/((-5/(((-5*(-30.91--5))-(-5+((-5*-30.91)*(((-5--5)+(-30.91--5))+-30.91))))-(-5+-5)))*-5)))/-5)--5)+(-5*(((-30.91*(-30.91-(-5/-5)))*(-30.91-(-30.91/(-5*-30.91))))-(-5/-5)))))</f>
        <v>-149681.999055</v>
      </c>
      <c r="C6910" t="n" s="0">
        <v>-149681.99905500002</v>
      </c>
    </row>
    <row r="6911">
      <c r="A6911" t="n" s="0">
        <v>-30.9</v>
      </c>
      <c r="B6911" t="n" s="0">
        <f>(-5-((((-5*(-5/((-5/(((-5*(-30.9--5))-(-5+((-5*-30.9)*(((-5--5)+(-30.9--5))+-30.9))))-(-5+-5)))*-5)))/-5)--5)+(-5*(((-30.9*(-30.9-(-5/-5)))*(-30.9-(-30.9/(-5*-30.9))))-(-5/-5)))))</f>
        <v>-149537.465</v>
      </c>
      <c r="C6911" t="n" s="0">
        <v>-149537.465</v>
      </c>
    </row>
    <row r="6912">
      <c r="A6912" t="n" s="0">
        <v>-30.89</v>
      </c>
      <c r="B6912" t="n" s="0">
        <f>(-5-((((-5*(-5/((-5/(((-5*(-30.89--5))-(-5+((-5*-30.89)*(((-5--5)+(-30.89--5))+-30.89))))-(-5+-5)))*-5)))/-5)--5)+(-5*(((-30.89*(-30.89-(-5/-5)))*(-30.89-(-30.89/(-5*-30.89))))-(-5/-5)))))</f>
        <v>-149393.024045</v>
      </c>
      <c r="C6912" t="n" s="0">
        <v>-149393.02404500003</v>
      </c>
    </row>
    <row r="6913">
      <c r="A6913" t="n" s="0">
        <v>-30.88</v>
      </c>
      <c r="B6913" t="n" s="0">
        <f>(-5-((((-5*(-5/((-5/(((-5*(-30.88--5))-(-5+((-5*-30.88)*(((-5--5)+(-30.88--5))+-30.88))))-(-5+-5)))*-5)))/-5)--5)+(-5*(((-30.88*(-30.88-(-5/-5)))*(-30.88-(-30.88/(-5*-30.88))))-(-5/-5)))))</f>
        <v>-149248.67616</v>
      </c>
      <c r="C6913" t="n" s="0">
        <v>-149248.67616</v>
      </c>
    </row>
    <row r="6914">
      <c r="A6914" t="n" s="0">
        <v>-30.87</v>
      </c>
      <c r="B6914" t="n" s="0">
        <f>(-5-((((-5*(-5/((-5/(((-5*(-30.87--5))-(-5+((-5*-30.87)*(((-5--5)+(-30.87--5))+-30.87))))-(-5+-5)))*-5)))/-5)--5)+(-5*(((-30.87*(-30.87-(-5/-5)))*(-30.87-(-30.87/(-5*-30.87))))-(-5/-5)))))</f>
        <v>-149104.421315</v>
      </c>
      <c r="C6914" t="n" s="0">
        <v>-149104.421315</v>
      </c>
    </row>
    <row r="6915">
      <c r="A6915" t="n" s="0">
        <v>-30.86</v>
      </c>
      <c r="B6915" t="n" s="0">
        <f>(-5-((((-5*(-5/((-5/(((-5*(-30.86--5))-(-5+((-5*-30.86)*(((-5--5)+(-30.86--5))+-30.86))))-(-5+-5)))*-5)))/-5)--5)+(-5*(((-30.86*(-30.86-(-5/-5)))*(-30.86-(-30.86/(-5*-30.86))))-(-5/-5)))))</f>
        <v>-148960.25947999998</v>
      </c>
      <c r="C6915" t="n" s="0">
        <v>-148960.25947999998</v>
      </c>
    </row>
    <row r="6916">
      <c r="A6916" t="n" s="0">
        <v>-30.85</v>
      </c>
      <c r="B6916" t="n" s="0">
        <f>(-5-((((-5*(-5/((-5/(((-5*(-30.85--5))-(-5+((-5*-30.85)*(((-5--5)+(-30.85--5))+-30.85))))-(-5+-5)))*-5)))/-5)--5)+(-5*(((-30.85*(-30.85-(-5/-5)))*(-30.85-(-30.85/(-5*-30.85))))-(-5/-5)))))</f>
        <v>-148816.190625</v>
      </c>
      <c r="C6916" t="n" s="0">
        <v>-148816.19062500002</v>
      </c>
    </row>
    <row r="6917">
      <c r="A6917" t="n" s="0">
        <v>-30.84</v>
      </c>
      <c r="B6917" t="n" s="0">
        <f>(-5-((((-5*(-5/((-5/(((-5*(-30.84--5))-(-5+((-5*-30.84)*(((-5--5)+(-30.84--5))+-30.84))))-(-5+-5)))*-5)))/-5)--5)+(-5*(((-30.84*(-30.84-(-5/-5)))*(-30.84-(-30.84/(-5*-30.84))))-(-5/-5)))))</f>
        <v>-148672.21472</v>
      </c>
      <c r="C6917" t="n" s="0">
        <v>-148672.21472</v>
      </c>
    </row>
    <row r="6918">
      <c r="A6918" t="n" s="0">
        <v>-30.83</v>
      </c>
      <c r="B6918" t="n" s="0">
        <f>(-5-((((-5*(-5/((-5/(((-5*(-30.83--5))-(-5+((-5*-30.83)*(((-5--5)+(-30.83--5))+-30.83))))-(-5+-5)))*-5)))/-5)--5)+(-5*(((-30.83*(-30.83-(-5/-5)))*(-30.83-(-30.83/(-5*-30.83))))-(-5/-5)))))</f>
        <v>-148528.331735</v>
      </c>
      <c r="C6918" t="n" s="0">
        <v>-148528.33173499996</v>
      </c>
    </row>
    <row r="6919">
      <c r="A6919" t="n" s="0">
        <v>-30.82</v>
      </c>
      <c r="B6919" t="n" s="0">
        <f>(-5-((((-5*(-5/((-5/(((-5*(-30.82--5))-(-5+((-5*-30.82)*(((-5--5)+(-30.82--5))+-30.82))))-(-5+-5)))*-5)))/-5)--5)+(-5*(((-30.82*(-30.82-(-5/-5)))*(-30.82-(-30.82/(-5*-30.82))))-(-5/-5)))))</f>
        <v>-148384.54164</v>
      </c>
      <c r="C6919" t="n" s="0">
        <v>-148384.54163999998</v>
      </c>
    </row>
    <row r="6920">
      <c r="A6920" t="n" s="0">
        <v>-30.81</v>
      </c>
      <c r="B6920" t="n" s="0">
        <f>(-5-((((-5*(-5/((-5/(((-5*(-30.81--5))-(-5+((-5*-30.81)*(((-5--5)+(-30.81--5))+-30.81))))-(-5+-5)))*-5)))/-5)--5)+(-5*(((-30.81*(-30.81-(-5/-5)))*(-30.81-(-30.81/(-5*-30.81))))-(-5/-5)))))</f>
        <v>-148240.84440499998</v>
      </c>
      <c r="C6920" t="n" s="0">
        <v>-148240.84440499995</v>
      </c>
    </row>
    <row r="6921">
      <c r="A6921" t="n" s="0">
        <v>-30.8</v>
      </c>
      <c r="B6921" t="n" s="0">
        <f>(-5-((((-5*(-5/((-5/(((-5*(-30.8--5))-(-5+((-5*-30.8)*(((-5--5)+(-30.8--5))+-30.8))))-(-5+-5)))*-5)))/-5)--5)+(-5*(((-30.8*(-30.8-(-5/-5)))*(-30.8-(-30.8/(-5*-30.8))))-(-5/-5)))))</f>
        <v>-148097.24000000002</v>
      </c>
      <c r="C6921" t="n" s="0">
        <v>-148097.24</v>
      </c>
    </row>
    <row r="6922">
      <c r="A6922" t="n" s="0">
        <v>-30.79</v>
      </c>
      <c r="B6922" t="n" s="0">
        <f>(-5-((((-5*(-5/((-5/(((-5*(-30.79--5))-(-5+((-5*-30.79)*(((-5--5)+(-30.79--5))+-30.79))))-(-5+-5)))*-5)))/-5)--5)+(-5*(((-30.79*(-30.79-(-5/-5)))*(-30.79-(-30.79/(-5*-30.79))))-(-5/-5)))))</f>
        <v>-147953.728395</v>
      </c>
      <c r="C6922" t="n" s="0">
        <v>-147953.72839499998</v>
      </c>
    </row>
    <row r="6923">
      <c r="A6923" t="n" s="0">
        <v>-30.78</v>
      </c>
      <c r="B6923" t="n" s="0">
        <f>(-5-((((-5*(-5/((-5/(((-5*(-30.78--5))-(-5+((-5*-30.78)*(((-5--5)+(-30.78--5))+-30.78))))-(-5+-5)))*-5)))/-5)--5)+(-5*(((-30.78*(-30.78-(-5/-5)))*(-30.78-(-30.78/(-5*-30.78))))-(-5/-5)))))</f>
        <v>-147810.30956</v>
      </c>
      <c r="C6923" t="n" s="0">
        <v>-147810.30956000002</v>
      </c>
    </row>
    <row r="6924">
      <c r="A6924" t="n" s="0">
        <v>-30.77</v>
      </c>
      <c r="B6924" t="n" s="0">
        <f>(-5-((((-5*(-5/((-5/(((-5*(-30.77--5))-(-5+((-5*-30.77)*(((-5--5)+(-30.77--5))+-30.77))))-(-5+-5)))*-5)))/-5)--5)+(-5*(((-30.77*(-30.77-(-5/-5)))*(-30.77-(-30.77/(-5*-30.77))))-(-5/-5)))))</f>
        <v>-147666.983465</v>
      </c>
      <c r="C6924" t="n" s="0">
        <v>-147666.983465</v>
      </c>
    </row>
    <row r="6925">
      <c r="A6925" t="n" s="0">
        <v>-30.76</v>
      </c>
      <c r="B6925" t="n" s="0">
        <f>(-5-((((-5*(-5/((-5/(((-5*(-30.76--5))-(-5+((-5*-30.76)*(((-5--5)+(-30.76--5))+-30.76))))-(-5+-5)))*-5)))/-5)--5)+(-5*(((-30.76*(-30.76-(-5/-5)))*(-30.76-(-30.76/(-5*-30.76))))-(-5/-5)))))</f>
        <v>-147523.75008</v>
      </c>
      <c r="C6925" t="n" s="0">
        <v>-147523.75008000003</v>
      </c>
    </row>
    <row r="6926">
      <c r="A6926" t="n" s="0">
        <v>-30.75</v>
      </c>
      <c r="B6926" t="n" s="0">
        <f>(-5-((((-5*(-5/((-5/(((-5*(-30.75--5))-(-5+((-5*-30.75)*(((-5--5)+(-30.75--5))+-30.75))))-(-5+-5)))*-5)))/-5)--5)+(-5*(((-30.75*(-30.75-(-5/-5)))*(-30.75-(-30.75/(-5*-30.75))))-(-5/-5)))))</f>
        <v>-147380.609375</v>
      </c>
      <c r="C6926" t="n" s="0">
        <v>-147380.609375</v>
      </c>
    </row>
    <row r="6927">
      <c r="A6927" t="n" s="0">
        <v>-30.74</v>
      </c>
      <c r="B6927" t="n" s="0">
        <f>(-5-((((-5*(-5/((-5/(((-5*(-30.74--5))-(-5+((-5*-30.74)*(((-5--5)+(-30.74--5))+-30.74))))-(-5+-5)))*-5)))/-5)--5)+(-5*(((-30.74*(-30.74-(-5/-5)))*(-30.74-(-30.74/(-5*-30.74))))-(-5/-5)))))</f>
        <v>-147237.56131999998</v>
      </c>
      <c r="C6927" t="n" s="0">
        <v>-147237.56131999998</v>
      </c>
    </row>
    <row r="6928">
      <c r="A6928" t="n" s="0">
        <v>-30.73</v>
      </c>
      <c r="B6928" t="n" s="0">
        <f>(-5-((((-5*(-5/((-5/(((-5*(-30.73--5))-(-5+((-5*-30.73)*(((-5--5)+(-30.73--5))+-30.73))))-(-5+-5)))*-5)))/-5)--5)+(-5*(((-30.73*(-30.73-(-5/-5)))*(-30.73-(-30.73/(-5*-30.73))))-(-5/-5)))))</f>
        <v>-147094.605885</v>
      </c>
      <c r="C6928" t="n" s="0">
        <v>-147094.605885</v>
      </c>
    </row>
    <row r="6929">
      <c r="A6929" t="n" s="0">
        <v>-30.72</v>
      </c>
      <c r="B6929" t="n" s="0">
        <f>(-5-((((-5*(-5/((-5/(((-5*(-30.72--5))-(-5+((-5*-30.72)*(((-5--5)+(-30.72--5))+-30.72))))-(-5+-5)))*-5)))/-5)--5)+(-5*(((-30.72*(-30.72-(-5/-5)))*(-30.72-(-30.72/(-5*-30.72))))-(-5/-5)))))</f>
        <v>-146951.74304</v>
      </c>
      <c r="C6929" t="n" s="0">
        <v>-146951.74303999997</v>
      </c>
    </row>
    <row r="6930">
      <c r="A6930" t="n" s="0">
        <v>-30.71</v>
      </c>
      <c r="B6930" t="n" s="0">
        <f>(-5-((((-5*(-5/((-5/(((-5*(-30.71--5))-(-5+((-5*-30.71)*(((-5--5)+(-30.71--5))+-30.71))))-(-5+-5)))*-5)))/-5)--5)+(-5*(((-30.71*(-30.71-(-5/-5)))*(-30.71-(-30.71/(-5*-30.71))))-(-5/-5)))))</f>
        <v>-146808.972755</v>
      </c>
      <c r="C6930" t="n" s="0">
        <v>-146808.972755</v>
      </c>
    </row>
    <row r="6931">
      <c r="A6931" t="n" s="0">
        <v>-30.7</v>
      </c>
      <c r="B6931" t="n" s="0">
        <f>(-5-((((-5*(-5/((-5/(((-5*(-30.7--5))-(-5+((-5*-30.7)*(((-5--5)+(-30.7--5))+-30.7))))-(-5+-5)))*-5)))/-5)--5)+(-5*(((-30.7*(-30.7-(-5/-5)))*(-30.7-(-30.7/(-5*-30.7))))-(-5/-5)))))</f>
        <v>-146666.295</v>
      </c>
      <c r="C6931" t="n" s="0">
        <v>-146666.295</v>
      </c>
    </row>
    <row r="6932">
      <c r="A6932" t="n" s="0">
        <v>-30.69</v>
      </c>
      <c r="B6932" t="n" s="0">
        <f>(-5-((((-5*(-5/((-5/(((-5*(-30.69--5))-(-5+((-5*-30.69)*(((-5--5)+(-30.69--5))+-30.69))))-(-5+-5)))*-5)))/-5)--5)+(-5*(((-30.69*(-30.69-(-5/-5)))*(-30.69-(-30.69/(-5*-30.69))))-(-5/-5)))))</f>
        <v>-146523.709745</v>
      </c>
      <c r="C6932" t="n" s="0">
        <v>-146523.70974500003</v>
      </c>
    </row>
    <row r="6933">
      <c r="A6933" t="n" s="0">
        <v>-30.68</v>
      </c>
      <c r="B6933" t="n" s="0">
        <f>(-5-((((-5*(-5/((-5/(((-5*(-30.68--5))-(-5+((-5*-30.68)*(((-5--5)+(-30.68--5))+-30.68))))-(-5+-5)))*-5)))/-5)--5)+(-5*(((-30.68*(-30.68-(-5/-5)))*(-30.68-(-30.68/(-5*-30.68))))-(-5/-5)))))</f>
        <v>-146381.21696</v>
      </c>
      <c r="C6933" t="n" s="0">
        <v>-146381.21696000002</v>
      </c>
    </row>
    <row r="6934">
      <c r="A6934" t="n" s="0">
        <v>-30.67</v>
      </c>
      <c r="B6934" t="n" s="0">
        <f>(-5-((((-5*(-5/((-5/(((-5*(-30.67--5))-(-5+((-5*-30.67)*(((-5--5)+(-30.67--5))+-30.67))))-(-5+-5)))*-5)))/-5)--5)+(-5*(((-30.67*(-30.67-(-5/-5)))*(-30.67-(-30.67/(-5*-30.67))))-(-5/-5)))))</f>
        <v>-146238.816615</v>
      </c>
      <c r="C6934" t="n" s="0">
        <v>-146238.81661500002</v>
      </c>
    </row>
    <row r="6935">
      <c r="A6935" t="n" s="0">
        <v>-30.66</v>
      </c>
      <c r="B6935" t="n" s="0">
        <f>(-5-((((-5*(-5/((-5/(((-5*(-30.66--5))-(-5+((-5*-30.66)*(((-5--5)+(-30.66--5))+-30.66))))-(-5+-5)))*-5)))/-5)--5)+(-5*(((-30.66*(-30.66-(-5/-5)))*(-30.66-(-30.66/(-5*-30.66))))-(-5/-5)))))</f>
        <v>-146096.50868</v>
      </c>
      <c r="C6935" t="n" s="0">
        <v>-146096.50868</v>
      </c>
    </row>
    <row r="6936">
      <c r="A6936" t="n" s="0">
        <v>-30.65</v>
      </c>
      <c r="B6936" t="n" s="0">
        <f>(-5-((((-5*(-5/((-5/(((-5*(-30.65--5))-(-5+((-5*-30.65)*(((-5--5)+(-30.65--5))+-30.65))))-(-5+-5)))*-5)))/-5)--5)+(-5*(((-30.65*(-30.65-(-5/-5)))*(-30.65-(-30.65/(-5*-30.65))))-(-5/-5)))))</f>
        <v>-145954.293125</v>
      </c>
      <c r="C6936" t="n" s="0">
        <v>-145954.293125</v>
      </c>
    </row>
    <row r="6937">
      <c r="A6937" t="n" s="0">
        <v>-30.64</v>
      </c>
      <c r="B6937" t="n" s="0">
        <f>(-5-((((-5*(-5/((-5/(((-5*(-30.64--5))-(-5+((-5*-30.64)*(((-5--5)+(-30.64--5))+-30.64))))-(-5+-5)))*-5)))/-5)--5)+(-5*(((-30.64*(-30.64-(-5/-5)))*(-30.64-(-30.64/(-5*-30.64))))-(-5/-5)))))</f>
        <v>-145812.16992000001</v>
      </c>
      <c r="C6937" t="n" s="0">
        <v>-145812.16992000001</v>
      </c>
    </row>
    <row r="6938">
      <c r="A6938" t="n" s="0">
        <v>-30.63</v>
      </c>
      <c r="B6938" t="n" s="0">
        <f>(-5-((((-5*(-5/((-5/(((-5*(-30.63--5))-(-5+((-5*-30.63)*(((-5--5)+(-30.63--5))+-30.63))))-(-5+-5)))*-5)))/-5)--5)+(-5*(((-30.63*(-30.63-(-5/-5)))*(-30.63-(-30.63/(-5*-30.63))))-(-5/-5)))))</f>
        <v>-145670.139035</v>
      </c>
      <c r="C6938" t="n" s="0">
        <v>-145670.13903499997</v>
      </c>
    </row>
    <row r="6939">
      <c r="A6939" t="n" s="0">
        <v>-30.62</v>
      </c>
      <c r="B6939" t="n" s="0">
        <f>(-5-((((-5*(-5/((-5/(((-5*(-30.62--5))-(-5+((-5*-30.62)*(((-5--5)+(-30.62--5))+-30.62))))-(-5+-5)))*-5)))/-5)--5)+(-5*(((-30.62*(-30.62-(-5/-5)))*(-30.62-(-30.62/(-5*-30.62))))-(-5/-5)))))</f>
        <v>-145528.20044</v>
      </c>
      <c r="C6939" t="n" s="0">
        <v>-145528.20044000002</v>
      </c>
    </row>
    <row r="6940">
      <c r="A6940" t="n" s="0">
        <v>-30.61</v>
      </c>
      <c r="B6940" t="n" s="0">
        <f>(-5-((((-5*(-5/((-5/(((-5*(-30.61--5))-(-5+((-5*-30.61)*(((-5--5)+(-30.61--5))+-30.61))))-(-5+-5)))*-5)))/-5)--5)+(-5*(((-30.61*(-30.61-(-5/-5)))*(-30.61-(-30.61/(-5*-30.61))))-(-5/-5)))))</f>
        <v>-145386.354105</v>
      </c>
      <c r="C6940" t="n" s="0">
        <v>-145386.35410499998</v>
      </c>
    </row>
    <row r="6941">
      <c r="A6941" t="n" s="0">
        <v>-30.6</v>
      </c>
      <c r="B6941" t="n" s="0">
        <f>(-5-((((-5*(-5/((-5/(((-5*(-30.6--5))-(-5+((-5*-30.6)*(((-5--5)+(-30.6--5))+-30.6))))-(-5+-5)))*-5)))/-5)--5)+(-5*(((-30.6*(-30.6-(-5/-5)))*(-30.6-(-30.6/(-5*-30.6))))-(-5/-5)))))</f>
        <v>-145244.6</v>
      </c>
      <c r="C6941" t="n" s="0">
        <v>-145244.6</v>
      </c>
    </row>
    <row r="6942">
      <c r="A6942" t="n" s="0">
        <v>-30.59</v>
      </c>
      <c r="B6942" t="n" s="0">
        <f>(-5-((((-5*(-5/((-5/(((-5*(-30.59--5))-(-5+((-5*-30.59)*(((-5--5)+(-30.59--5))+-30.59))))-(-5+-5)))*-5)))/-5)--5)+(-5*(((-30.59*(-30.59-(-5/-5)))*(-30.59-(-30.59/(-5*-30.59))))-(-5/-5)))))</f>
        <v>-145102.938095</v>
      </c>
      <c r="C6942" t="n" s="0">
        <v>-145102.938095</v>
      </c>
    </row>
    <row r="6943">
      <c r="A6943" t="n" s="0">
        <v>-30.58</v>
      </c>
      <c r="B6943" t="n" s="0">
        <f>(-5-((((-5*(-5/((-5/(((-5*(-30.58--5))-(-5+((-5*-30.58)*(((-5--5)+(-30.58--5))+-30.58))))-(-5+-5)))*-5)))/-5)--5)+(-5*(((-30.58*(-30.58-(-5/-5)))*(-30.58-(-30.58/(-5*-30.58))))-(-5/-5)))))</f>
        <v>-144961.36836</v>
      </c>
      <c r="C6943" t="n" s="0">
        <v>-144961.36835999996</v>
      </c>
    </row>
    <row r="6944">
      <c r="A6944" t="n" s="0">
        <v>-30.57</v>
      </c>
      <c r="B6944" t="n" s="0">
        <f>(-5-((((-5*(-5/((-5/(((-5*(-30.57--5))-(-5+((-5*-30.57)*(((-5--5)+(-30.57--5))+-30.57))))-(-5+-5)))*-5)))/-5)--5)+(-5*(((-30.57*(-30.57-(-5/-5)))*(-30.57-(-30.57/(-5*-30.57))))-(-5/-5)))))</f>
        <v>-144819.890765</v>
      </c>
      <c r="C6944" t="n" s="0">
        <v>-144819.890765</v>
      </c>
    </row>
    <row r="6945">
      <c r="A6945" t="n" s="0">
        <v>-30.56</v>
      </c>
      <c r="B6945" t="n" s="0">
        <f>(-5-((((-5*(-5/((-5/(((-5*(-30.56--5))-(-5+((-5*-30.56)*(((-5--5)+(-30.56--5))+-30.56))))-(-5+-5)))*-5)))/-5)--5)+(-5*(((-30.56*(-30.56-(-5/-5)))*(-30.56-(-30.56/(-5*-30.56))))-(-5/-5)))))</f>
        <v>-144678.50527999998</v>
      </c>
      <c r="C6945" t="n" s="0">
        <v>-144678.50527999998</v>
      </c>
    </row>
    <row r="6946">
      <c r="A6946" t="n" s="0">
        <v>-30.55</v>
      </c>
      <c r="B6946" t="n" s="0">
        <f>(-5-((((-5*(-5/((-5/(((-5*(-30.55--5))-(-5+((-5*-30.55)*(((-5--5)+(-30.55--5))+-30.55))))-(-5+-5)))*-5)))/-5)--5)+(-5*(((-30.55*(-30.55-(-5/-5)))*(-30.55-(-30.55/(-5*-30.55))))-(-5/-5)))))</f>
        <v>-144537.211875</v>
      </c>
      <c r="C6946" t="n" s="0">
        <v>-144537.211875</v>
      </c>
    </row>
    <row r="6947">
      <c r="A6947" t="n" s="0">
        <v>-30.54</v>
      </c>
      <c r="B6947" t="n" s="0">
        <f>(-5-((((-5*(-5/((-5/(((-5*(-30.54--5))-(-5+((-5*-30.54)*(((-5--5)+(-30.54--5))+-30.54))))-(-5+-5)))*-5)))/-5)--5)+(-5*(((-30.54*(-30.54-(-5/-5)))*(-30.54-(-30.54/(-5*-30.54))))-(-5/-5)))))</f>
        <v>-144396.01051999998</v>
      </c>
      <c r="C6947" t="n" s="0">
        <v>-144396.01052</v>
      </c>
    </row>
    <row r="6948">
      <c r="A6948" t="n" s="0">
        <v>-30.53</v>
      </c>
      <c r="B6948" t="n" s="0">
        <f>(-5-((((-5*(-5/((-5/(((-5*(-30.53--5))-(-5+((-5*-30.53)*(((-5--5)+(-30.53--5))+-30.53))))-(-5+-5)))*-5)))/-5)--5)+(-5*(((-30.53*(-30.53-(-5/-5)))*(-30.53-(-30.53/(-5*-30.53))))-(-5/-5)))))</f>
        <v>-144254.901185</v>
      </c>
      <c r="C6948" t="n" s="0">
        <v>-144254.901185</v>
      </c>
    </row>
    <row r="6949">
      <c r="A6949" t="n" s="0">
        <v>-30.52</v>
      </c>
      <c r="B6949" t="n" s="0">
        <f>(-5-((((-5*(-5/((-5/(((-5*(-30.52--5))-(-5+((-5*-30.52)*(((-5--5)+(-30.52--5))+-30.52))))-(-5+-5)))*-5)))/-5)--5)+(-5*(((-30.52*(-30.52-(-5/-5)))*(-30.52-(-30.52/(-5*-30.52))))-(-5/-5)))))</f>
        <v>-144113.88384</v>
      </c>
      <c r="C6949" t="n" s="0">
        <v>-144113.88384</v>
      </c>
    </row>
    <row r="6950">
      <c r="A6950" t="n" s="0">
        <v>-30.51</v>
      </c>
      <c r="B6950" t="n" s="0">
        <f>(-5-((((-5*(-5/((-5/(((-5*(-30.51--5))-(-5+((-5*-30.51)*(((-5--5)+(-30.51--5))+-30.51))))-(-5+-5)))*-5)))/-5)--5)+(-5*(((-30.51*(-30.51-(-5/-5)))*(-30.51-(-30.51/(-5*-30.51))))-(-5/-5)))))</f>
        <v>-143972.95845499999</v>
      </c>
      <c r="C6950" t="n" s="0">
        <v>-143972.958455</v>
      </c>
    </row>
    <row r="6951">
      <c r="A6951" t="n" s="0">
        <v>-30.5</v>
      </c>
      <c r="B6951" t="n" s="0">
        <f>(-5-((((-5*(-5/((-5/(((-5*(-30.5--5))-(-5+((-5*-30.5)*(((-5--5)+(-30.5--5))+-30.5))))-(-5+-5)))*-5)))/-5)--5)+(-5*(((-30.5*(-30.5-(-5/-5)))*(-30.5-(-30.5/(-5*-30.5))))-(-5/-5)))))</f>
        <v>-143832.125</v>
      </c>
      <c r="C6951" t="n" s="0">
        <v>-143832.125</v>
      </c>
    </row>
    <row r="6952">
      <c r="A6952" t="n" s="0">
        <v>-30.49</v>
      </c>
      <c r="B6952" t="n" s="0">
        <f>(-5-((((-5*(-5/((-5/(((-5*(-30.49--5))-(-5+((-5*-30.49)*(((-5--5)+(-30.49--5))+-30.49))))-(-5+-5)))*-5)))/-5)--5)+(-5*(((-30.49*(-30.49-(-5/-5)))*(-30.49-(-30.49/(-5*-30.49))))-(-5/-5)))))</f>
        <v>-143691.383445</v>
      </c>
      <c r="C6952" t="n" s="0">
        <v>-143691.38344499998</v>
      </c>
    </row>
    <row r="6953">
      <c r="A6953" t="n" s="0">
        <v>-30.48</v>
      </c>
      <c r="B6953" t="n" s="0">
        <f>(-5-((((-5*(-5/((-5/(((-5*(-30.48--5))-(-5+((-5*-30.48)*(((-5--5)+(-30.48--5))+-30.48))))-(-5+-5)))*-5)))/-5)--5)+(-5*(((-30.48*(-30.48-(-5/-5)))*(-30.48-(-30.48/(-5*-30.48))))-(-5/-5)))))</f>
        <v>-143550.73376</v>
      </c>
      <c r="C6953" t="n" s="0">
        <v>-143550.73376</v>
      </c>
    </row>
    <row r="6954">
      <c r="A6954" t="n" s="0">
        <v>-30.47</v>
      </c>
      <c r="B6954" t="n" s="0">
        <f>(-5-((((-5*(-5/((-5/(((-5*(-30.47--5))-(-5+((-5*-30.47)*(((-5--5)+(-30.47--5))+-30.47))))-(-5+-5)))*-5)))/-5)--5)+(-5*(((-30.47*(-30.47-(-5/-5)))*(-30.47-(-30.47/(-5*-30.47))))-(-5/-5)))))</f>
        <v>-143410.175915</v>
      </c>
      <c r="C6954" t="n" s="0">
        <v>-143410.17591499997</v>
      </c>
    </row>
    <row r="6955">
      <c r="A6955" t="n" s="0">
        <v>-30.46</v>
      </c>
      <c r="B6955" t="n" s="0">
        <f>(-5-((((-5*(-5/((-5/(((-5*(-30.46--5))-(-5+((-5*-30.46)*(((-5--5)+(-30.46--5))+-30.46))))-(-5+-5)))*-5)))/-5)--5)+(-5*(((-30.46*(-30.46-(-5/-5)))*(-30.46-(-30.46/(-5*-30.46))))-(-5/-5)))))</f>
        <v>-143269.70987999998</v>
      </c>
      <c r="C6955" t="n" s="0">
        <v>-143269.70988</v>
      </c>
    </row>
    <row r="6956">
      <c r="A6956" t="n" s="0">
        <v>-30.45</v>
      </c>
      <c r="B6956" t="n" s="0">
        <f>(-5-((((-5*(-5/((-5/(((-5*(-30.45--5))-(-5+((-5*-30.45)*(((-5--5)+(-30.45--5))+-30.45))))-(-5+-5)))*-5)))/-5)--5)+(-5*(((-30.45*(-30.45-(-5/-5)))*(-30.45-(-30.45/(-5*-30.45))))-(-5/-5)))))</f>
        <v>-143129.33562499998</v>
      </c>
      <c r="C6956" t="n" s="0">
        <v>-143129.335625</v>
      </c>
    </row>
    <row r="6957">
      <c r="A6957" t="n" s="0">
        <v>-30.44</v>
      </c>
      <c r="B6957" t="n" s="0">
        <f>(-5-((((-5*(-5/((-5/(((-5*(-30.44--5))-(-5+((-5*-30.44)*(((-5--5)+(-30.44--5))+-30.44))))-(-5+-5)))*-5)))/-5)--5)+(-5*(((-30.44*(-30.44-(-5/-5)))*(-30.44-(-30.44/(-5*-30.44))))-(-5/-5)))))</f>
        <v>-142989.05312</v>
      </c>
      <c r="C6957" t="n" s="0">
        <v>-142989.05312</v>
      </c>
    </row>
    <row r="6958">
      <c r="A6958" t="n" s="0">
        <v>-30.43</v>
      </c>
      <c r="B6958" t="n" s="0">
        <f>(-5-((((-5*(-5/((-5/(((-5*(-30.43--5))-(-5+((-5*-30.43)*(((-5--5)+(-30.43--5))+-30.43))))-(-5+-5)))*-5)))/-5)--5)+(-5*(((-30.43*(-30.43-(-5/-5)))*(-30.43-(-30.43/(-5*-30.43))))-(-5/-5)))))</f>
        <v>-142848.862335</v>
      </c>
      <c r="C6958" t="n" s="0">
        <v>-142848.86233499998</v>
      </c>
    </row>
    <row r="6959">
      <c r="A6959" t="n" s="0">
        <v>-30.42</v>
      </c>
      <c r="B6959" t="n" s="0">
        <f>(-5-((((-5*(-5/((-5/(((-5*(-30.42--5))-(-5+((-5*-30.42)*(((-5--5)+(-30.42--5))+-30.42))))-(-5+-5)))*-5)))/-5)--5)+(-5*(((-30.42*(-30.42-(-5/-5)))*(-30.42-(-30.42/(-5*-30.42))))-(-5/-5)))))</f>
        <v>-142708.76324</v>
      </c>
      <c r="C6959" t="n" s="0">
        <v>-142708.76324000003</v>
      </c>
    </row>
    <row r="6960">
      <c r="A6960" t="n" s="0">
        <v>-30.41</v>
      </c>
      <c r="B6960" t="n" s="0">
        <f>(-5-((((-5*(-5/((-5/(((-5*(-30.41--5))-(-5+((-5*-30.41)*(((-5--5)+(-30.41--5))+-30.41))))-(-5+-5)))*-5)))/-5)--5)+(-5*(((-30.41*(-30.41-(-5/-5)))*(-30.41-(-30.41/(-5*-30.41))))-(-5/-5)))))</f>
        <v>-142568.75580500002</v>
      </c>
      <c r="C6960" t="n" s="0">
        <v>-142568.75580500002</v>
      </c>
    </row>
    <row r="6961">
      <c r="A6961" t="n" s="0">
        <v>-30.4</v>
      </c>
      <c r="B6961" t="n" s="0">
        <f>(-5-((((-5*(-5/((-5/(((-5*(-30.4--5))-(-5+((-5*-30.4)*(((-5--5)+(-30.4--5))+-30.4))))-(-5+-5)))*-5)))/-5)--5)+(-5*(((-30.4*(-30.4-(-5/-5)))*(-30.4-(-30.4/(-5*-30.4))))-(-5/-5)))))</f>
        <v>-142428.84</v>
      </c>
      <c r="C6961" t="n" s="0">
        <v>-142428.84</v>
      </c>
    </row>
    <row r="6962">
      <c r="A6962" t="n" s="0">
        <v>-30.39</v>
      </c>
      <c r="B6962" t="n" s="0">
        <f>(-5-((((-5*(-5/((-5/(((-5*(-30.39--5))-(-5+((-5*-30.39)*(((-5--5)+(-30.39--5))+-30.39))))-(-5+-5)))*-5)))/-5)--5)+(-5*(((-30.39*(-30.39-(-5/-5)))*(-30.39-(-30.39/(-5*-30.39))))-(-5/-5)))))</f>
        <v>-142289.01579499998</v>
      </c>
      <c r="C6962" t="n" s="0">
        <v>-142289.015795</v>
      </c>
    </row>
    <row r="6963">
      <c r="A6963" t="n" s="0">
        <v>-30.38</v>
      </c>
      <c r="B6963" t="n" s="0">
        <f>(-5-((((-5*(-5/((-5/(((-5*(-30.38--5))-(-5+((-5*-30.38)*(((-5--5)+(-30.38--5))+-30.38))))-(-5+-5)))*-5)))/-5)--5)+(-5*(((-30.38*(-30.38-(-5/-5)))*(-30.38-(-30.38/(-5*-30.38))))-(-5/-5)))))</f>
        <v>-142149.28316</v>
      </c>
      <c r="C6963" t="n" s="0">
        <v>-142149.28316</v>
      </c>
    </row>
    <row r="6964">
      <c r="A6964" t="n" s="0">
        <v>-30.37</v>
      </c>
      <c r="B6964" t="n" s="0">
        <f>(-5-((((-5*(-5/((-5/(((-5*(-30.37--5))-(-5+((-5*-30.37)*(((-5--5)+(-30.37--5))+-30.37))))-(-5+-5)))*-5)))/-5)--5)+(-5*(((-30.37*(-30.37-(-5/-5)))*(-30.37-(-30.37/(-5*-30.37))))-(-5/-5)))))</f>
        <v>-142009.642065</v>
      </c>
      <c r="C6964" t="n" s="0">
        <v>-142009.642065</v>
      </c>
    </row>
    <row r="6965">
      <c r="A6965" t="n" s="0">
        <v>-30.36</v>
      </c>
      <c r="B6965" t="n" s="0">
        <f>(-5-((((-5*(-5/((-5/(((-5*(-30.36--5))-(-5+((-5*-30.36)*(((-5--5)+(-30.36--5))+-30.36))))-(-5+-5)))*-5)))/-5)--5)+(-5*(((-30.36*(-30.36-(-5/-5)))*(-30.36-(-30.36/(-5*-30.36))))-(-5/-5)))))</f>
        <v>-141870.09248</v>
      </c>
      <c r="C6965" t="n" s="0">
        <v>-141870.09248</v>
      </c>
    </row>
    <row r="6966">
      <c r="A6966" t="n" s="0">
        <v>-30.35</v>
      </c>
      <c r="B6966" t="n" s="0">
        <f>(-5-((((-5*(-5/((-5/(((-5*(-30.35--5))-(-5+((-5*-30.35)*(((-5--5)+(-30.35--5))+-30.35))))-(-5+-5)))*-5)))/-5)--5)+(-5*(((-30.35*(-30.35-(-5/-5)))*(-30.35-(-30.35/(-5*-30.35))))-(-5/-5)))))</f>
        <v>-141730.634375</v>
      </c>
      <c r="C6966" t="n" s="0">
        <v>-141730.634375</v>
      </c>
    </row>
    <row r="6967">
      <c r="A6967" t="n" s="0">
        <v>-30.34</v>
      </c>
      <c r="B6967" t="n" s="0">
        <f>(-5-((((-5*(-5/((-5/(((-5*(-30.34--5))-(-5+((-5*-30.34)*(((-5--5)+(-30.34--5))+-30.34))))-(-5+-5)))*-5)))/-5)--5)+(-5*(((-30.34*(-30.34-(-5/-5)))*(-30.34-(-30.34/(-5*-30.34))))-(-5/-5)))))</f>
        <v>-141591.26771999997</v>
      </c>
      <c r="C6967" t="n" s="0">
        <v>-141591.26772</v>
      </c>
    </row>
    <row r="6968">
      <c r="A6968" t="n" s="0">
        <v>-30.33</v>
      </c>
      <c r="B6968" t="n" s="0">
        <f>(-5-((((-5*(-5/((-5/(((-5*(-30.33--5))-(-5+((-5*-30.33)*(((-5--5)+(-30.33--5))+-30.33))))-(-5+-5)))*-5)))/-5)--5)+(-5*(((-30.33*(-30.33-(-5/-5)))*(-30.33-(-30.33/(-5*-30.33))))-(-5/-5)))))</f>
        <v>-141451.992485</v>
      </c>
      <c r="C6968" t="n" s="0">
        <v>-141451.99248499997</v>
      </c>
    </row>
    <row r="6969">
      <c r="A6969" t="n" s="0">
        <v>-30.32</v>
      </c>
      <c r="B6969" t="n" s="0">
        <f>(-5-((((-5*(-5/((-5/(((-5*(-30.32--5))-(-5+((-5*-30.32)*(((-5--5)+(-30.32--5))+-30.32))))-(-5+-5)))*-5)))/-5)--5)+(-5*(((-30.32*(-30.32-(-5/-5)))*(-30.32-(-30.32/(-5*-30.32))))-(-5/-5)))))</f>
        <v>-141312.80864</v>
      </c>
      <c r="C6969" t="n" s="0">
        <v>-141312.80864</v>
      </c>
    </row>
    <row r="6970">
      <c r="A6970" t="n" s="0">
        <v>-30.31</v>
      </c>
      <c r="B6970" t="n" s="0">
        <f>(-5-((((-5*(-5/((-5/(((-5*(-30.31--5))-(-5+((-5*-30.31)*(((-5--5)+(-30.31--5))+-30.31))))-(-5+-5)))*-5)))/-5)--5)+(-5*(((-30.31*(-30.31-(-5/-5)))*(-30.31-(-30.31/(-5*-30.31))))-(-5/-5)))))</f>
        <v>-141173.716155</v>
      </c>
      <c r="C6970" t="n" s="0">
        <v>-141173.71615499997</v>
      </c>
    </row>
    <row r="6971">
      <c r="A6971" t="n" s="0">
        <v>-30.3</v>
      </c>
      <c r="B6971" t="n" s="0">
        <f>(-5-((((-5*(-5/((-5/(((-5*(-30.3--5))-(-5+((-5*-30.3)*(((-5--5)+(-30.3--5))+-30.3))))-(-5+-5)))*-5)))/-5)--5)+(-5*(((-30.3*(-30.3-(-5/-5)))*(-30.3-(-30.3/(-5*-30.3))))-(-5/-5)))))</f>
        <v>-141034.715</v>
      </c>
      <c r="C6971" t="n" s="0">
        <v>-141034.715</v>
      </c>
    </row>
    <row r="6972">
      <c r="A6972" t="n" s="0">
        <v>-30.29</v>
      </c>
      <c r="B6972" t="n" s="0">
        <f>(-5-((((-5*(-5/((-5/(((-5*(-30.29--5))-(-5+((-5*-30.29)*(((-5--5)+(-30.29--5))+-30.29))))-(-5+-5)))*-5)))/-5)--5)+(-5*(((-30.29*(-30.29-(-5/-5)))*(-30.29-(-30.29/(-5*-30.29))))-(-5/-5)))))</f>
        <v>-140895.805145</v>
      </c>
      <c r="C6972" t="n" s="0">
        <v>-140895.805145</v>
      </c>
    </row>
    <row r="6973">
      <c r="A6973" t="n" s="0">
        <v>-30.28</v>
      </c>
      <c r="B6973" t="n" s="0">
        <f>(-5-((((-5*(-5/((-5/(((-5*(-30.28--5))-(-5+((-5*-30.28)*(((-5--5)+(-30.28--5))+-30.28))))-(-5+-5)))*-5)))/-5)--5)+(-5*(((-30.28*(-30.28-(-5/-5)))*(-30.28-(-30.28/(-5*-30.28))))-(-5/-5)))))</f>
        <v>-140756.98656</v>
      </c>
      <c r="C6973" t="n" s="0">
        <v>-140756.98656000002</v>
      </c>
    </row>
    <row r="6974">
      <c r="A6974" t="n" s="0">
        <v>-30.27</v>
      </c>
      <c r="B6974" t="n" s="0">
        <f>(-5-((((-5*(-5/((-5/(((-5*(-30.27--5))-(-5+((-5*-30.27)*(((-5--5)+(-30.27--5))+-30.27))))-(-5+-5)))*-5)))/-5)--5)+(-5*(((-30.27*(-30.27-(-5/-5)))*(-30.27-(-30.27/(-5*-30.27))))-(-5/-5)))))</f>
        <v>-140618.259215</v>
      </c>
      <c r="C6974" t="n" s="0">
        <v>-140618.259215</v>
      </c>
    </row>
    <row r="6975">
      <c r="A6975" t="n" s="0">
        <v>-30.26</v>
      </c>
      <c r="B6975" t="n" s="0">
        <f>(-5-((((-5*(-5/((-5/(((-5*(-30.26--5))-(-5+((-5*-30.26)*(((-5--5)+(-30.26--5))+-30.26))))-(-5+-5)))*-5)))/-5)--5)+(-5*(((-30.26*(-30.26-(-5/-5)))*(-30.26-(-30.26/(-5*-30.26))))-(-5/-5)))))</f>
        <v>-140479.62308000002</v>
      </c>
      <c r="C6975" t="n" s="0">
        <v>-140479.62308000002</v>
      </c>
    </row>
    <row r="6976">
      <c r="A6976" t="n" s="0">
        <v>-30.25</v>
      </c>
      <c r="B6976" t="n" s="0">
        <f>(-5-((((-5*(-5/((-5/(((-5*(-30.25--5))-(-5+((-5*-30.25)*(((-5--5)+(-30.25--5))+-30.25))))-(-5+-5)))*-5)))/-5)--5)+(-5*(((-30.25*(-30.25-(-5/-5)))*(-30.25-(-30.25/(-5*-30.25))))-(-5/-5)))))</f>
        <v>-140341.078125</v>
      </c>
      <c r="C6976" t="n" s="0">
        <v>-140341.078125</v>
      </c>
    </row>
    <row r="6977">
      <c r="A6977" t="n" s="0">
        <v>-30.24</v>
      </c>
      <c r="B6977" t="n" s="0">
        <f>(-5-((((-5*(-5/((-5/(((-5*(-30.24--5))-(-5+((-5*-30.24)*(((-5--5)+(-30.24--5))+-30.24))))-(-5+-5)))*-5)))/-5)--5)+(-5*(((-30.24*(-30.24-(-5/-5)))*(-30.24-(-30.24/(-5*-30.24))))-(-5/-5)))))</f>
        <v>-140202.62432</v>
      </c>
      <c r="C6977" t="n" s="0">
        <v>-140202.62431999997</v>
      </c>
    </row>
    <row r="6978">
      <c r="A6978" t="n" s="0">
        <v>-30.23</v>
      </c>
      <c r="B6978" t="n" s="0">
        <f>(-5-((((-5*(-5/((-5/(((-5*(-30.23--5))-(-5+((-5*-30.23)*(((-5--5)+(-30.23--5))+-30.23))))-(-5+-5)))*-5)))/-5)--5)+(-5*(((-30.23*(-30.23-(-5/-5)))*(-30.23-(-30.23/(-5*-30.23))))-(-5/-5)))))</f>
        <v>-140064.26163499997</v>
      </c>
      <c r="C6978" t="n" s="0">
        <v>-140064.261635</v>
      </c>
    </row>
    <row r="6979">
      <c r="A6979" t="n" s="0">
        <v>-30.22</v>
      </c>
      <c r="B6979" t="n" s="0">
        <f>(-5-((((-5*(-5/((-5/(((-5*(-30.22--5))-(-5+((-5*-30.22)*(((-5--5)+(-30.22--5))+-30.22))))-(-5+-5)))*-5)))/-5)--5)+(-5*(((-30.22*(-30.22-(-5/-5)))*(-30.22-(-30.22/(-5*-30.22))))-(-5/-5)))))</f>
        <v>-139925.99004</v>
      </c>
      <c r="C6979" t="n" s="0">
        <v>-139925.99003999998</v>
      </c>
    </row>
    <row r="6980">
      <c r="A6980" t="n" s="0">
        <v>-30.21</v>
      </c>
      <c r="B6980" t="n" s="0">
        <f>(-5-((((-5*(-5/((-5/(((-5*(-30.21--5))-(-5+((-5*-30.21)*(((-5--5)+(-30.21--5))+-30.21))))-(-5+-5)))*-5)))/-5)--5)+(-5*(((-30.21*(-30.21-(-5/-5)))*(-30.21-(-30.21/(-5*-30.21))))-(-5/-5)))))</f>
        <v>-139787.80950499998</v>
      </c>
      <c r="C6980" t="n" s="0">
        <v>-139787.80950500004</v>
      </c>
    </row>
    <row r="6981">
      <c r="A6981" t="n" s="0">
        <v>-30.2</v>
      </c>
      <c r="B6981" t="n" s="0">
        <f>(-5-((((-5*(-5/((-5/(((-5*(-30.2--5))-(-5+((-5*-30.2)*(((-5--5)+(-30.2--5))+-30.2))))-(-5+-5)))*-5)))/-5)--5)+(-5*(((-30.2*(-30.2-(-5/-5)))*(-30.2-(-30.2/(-5*-30.2))))-(-5/-5)))))</f>
        <v>-139649.72</v>
      </c>
      <c r="C6981" t="n" s="0">
        <v>-139649.71999999997</v>
      </c>
    </row>
    <row r="6982">
      <c r="A6982" t="n" s="0">
        <v>-30.19</v>
      </c>
      <c r="B6982" t="n" s="0">
        <f>(-5-((((-5*(-5/((-5/(((-5*(-30.19--5))-(-5+((-5*-30.19)*(((-5--5)+(-30.19--5))+-30.19))))-(-5+-5)))*-5)))/-5)--5)+(-5*(((-30.19*(-30.19-(-5/-5)))*(-30.19-(-30.19/(-5*-30.19))))-(-5/-5)))))</f>
        <v>-139511.721495</v>
      </c>
      <c r="C6982" t="n" s="0">
        <v>-139511.72149500003</v>
      </c>
    </row>
    <row r="6983">
      <c r="A6983" t="n" s="0">
        <v>-30.18</v>
      </c>
      <c r="B6983" t="n" s="0">
        <f>(-5-((((-5*(-5/((-5/(((-5*(-30.18--5))-(-5+((-5*-30.18)*(((-5--5)+(-30.18--5))+-30.18))))-(-5+-5)))*-5)))/-5)--5)+(-5*(((-30.18*(-30.18-(-5/-5)))*(-30.18-(-30.18/(-5*-30.18))))-(-5/-5)))))</f>
        <v>-139373.81396</v>
      </c>
      <c r="C6983" t="n" s="0">
        <v>-139373.81396</v>
      </c>
    </row>
    <row r="6984">
      <c r="A6984" t="n" s="0">
        <v>-30.17</v>
      </c>
      <c r="B6984" t="n" s="0">
        <f>(-5-((((-5*(-5/((-5/(((-5*(-30.17--5))-(-5+((-5*-30.17)*(((-5--5)+(-30.17--5))+-30.17))))-(-5+-5)))*-5)))/-5)--5)+(-5*(((-30.17*(-30.17-(-5/-5)))*(-30.17-(-30.17/(-5*-30.17))))-(-5/-5)))))</f>
        <v>-139235.997365</v>
      </c>
      <c r="C6984" t="n" s="0">
        <v>-139235.99736500002</v>
      </c>
    </row>
    <row r="6985">
      <c r="A6985" t="n" s="0">
        <v>-30.16</v>
      </c>
      <c r="B6985" t="n" s="0">
        <f>(-5-((((-5*(-5/((-5/(((-5*(-30.16--5))-(-5+((-5*-30.16)*(((-5--5)+(-30.16--5))+-30.16))))-(-5+-5)))*-5)))/-5)--5)+(-5*(((-30.16*(-30.16-(-5/-5)))*(-30.16-(-30.16/(-5*-30.16))))-(-5/-5)))))</f>
        <v>-139098.27167999998</v>
      </c>
      <c r="C6985" t="n" s="0">
        <v>-139098.27168</v>
      </c>
    </row>
    <row r="6986">
      <c r="A6986" t="n" s="0">
        <v>-30.15</v>
      </c>
      <c r="B6986" t="n" s="0">
        <f>(-5-((((-5*(-5/((-5/(((-5*(-30.15--5))-(-5+((-5*-30.15)*(((-5--5)+(-30.15--5))+-30.15))))-(-5+-5)))*-5)))/-5)--5)+(-5*(((-30.15*(-30.15-(-5/-5)))*(-30.15-(-30.15/(-5*-30.15))))-(-5/-5)))))</f>
        <v>-138960.636875</v>
      </c>
      <c r="C6986" t="n" s="0">
        <v>-138960.636875</v>
      </c>
    </row>
    <row r="6987">
      <c r="A6987" t="n" s="0">
        <v>-30.14</v>
      </c>
      <c r="B6987" t="n" s="0">
        <f>(-5-((((-5*(-5/((-5/(((-5*(-30.14--5))-(-5+((-5*-30.14)*(((-5--5)+(-30.14--5))+-30.14))))-(-5+-5)))*-5)))/-5)--5)+(-5*(((-30.14*(-30.14-(-5/-5)))*(-30.14-(-30.14/(-5*-30.14))))-(-5/-5)))))</f>
        <v>-138823.09292000002</v>
      </c>
      <c r="C6987" t="n" s="0">
        <v>-138823.09292</v>
      </c>
    </row>
    <row r="6988">
      <c r="A6988" t="n" s="0">
        <v>-30.13</v>
      </c>
      <c r="B6988" t="n" s="0">
        <f>(-5-((((-5*(-5/((-5/(((-5*(-30.13--5))-(-5+((-5*-30.13)*(((-5--5)+(-30.13--5))+-30.13))))-(-5+-5)))*-5)))/-5)--5)+(-5*(((-30.13*(-30.13-(-5/-5)))*(-30.13-(-30.13/(-5*-30.13))))-(-5/-5)))))</f>
        <v>-138685.639785</v>
      </c>
      <c r="C6988" t="n" s="0">
        <v>-138685.639785</v>
      </c>
    </row>
    <row r="6989">
      <c r="A6989" t="n" s="0">
        <v>-30.12</v>
      </c>
      <c r="B6989" t="n" s="0">
        <f>(-5-((((-5*(-5/((-5/(((-5*(-30.12--5))-(-5+((-5*-30.12)*(((-5--5)+(-30.12--5))+-30.12))))-(-5+-5)))*-5)))/-5)--5)+(-5*(((-30.12*(-30.12-(-5/-5)))*(-30.12-(-30.12/(-5*-30.12))))-(-5/-5)))))</f>
        <v>-138548.27743999998</v>
      </c>
      <c r="C6989" t="n" s="0">
        <v>-138548.27743999998</v>
      </c>
    </row>
    <row r="6990">
      <c r="A6990" t="n" s="0">
        <v>-30.11</v>
      </c>
      <c r="B6990" t="n" s="0">
        <f>(-5-((((-5*(-5/((-5/(((-5*(-30.11--5))-(-5+((-5*-30.11)*(((-5--5)+(-30.11--5))+-30.11))))-(-5+-5)))*-5)))/-5)--5)+(-5*(((-30.11*(-30.11-(-5/-5)))*(-30.11-(-30.11/(-5*-30.11))))-(-5/-5)))))</f>
        <v>-138411.005855</v>
      </c>
      <c r="C6990" t="n" s="0">
        <v>-138411.00585499997</v>
      </c>
    </row>
    <row r="6991">
      <c r="A6991" t="n" s="0">
        <v>-30.1</v>
      </c>
      <c r="B6991" t="n" s="0">
        <f>(-5-((((-5*(-5/((-5/(((-5*(-30.1--5))-(-5+((-5*-30.1)*(((-5--5)+(-30.1--5))+-30.1))))-(-5+-5)))*-5)))/-5)--5)+(-5*(((-30.1*(-30.1-(-5/-5)))*(-30.1-(-30.1/(-5*-30.1))))-(-5/-5)))))</f>
        <v>-138273.825</v>
      </c>
      <c r="C6991" t="n" s="0">
        <v>-138273.825</v>
      </c>
    </row>
    <row r="6992">
      <c r="A6992" t="n" s="0">
        <v>-30.09</v>
      </c>
      <c r="B6992" t="n" s="0">
        <f>(-5-((((-5*(-5/((-5/(((-5*(-30.09--5))-(-5+((-5*-30.09)*(((-5--5)+(-30.09--5))+-30.09))))-(-5+-5)))*-5)))/-5)--5)+(-5*(((-30.09*(-30.09-(-5/-5)))*(-30.09-(-30.09/(-5*-30.09))))-(-5/-5)))))</f>
        <v>-138136.73484500003</v>
      </c>
      <c r="C6992" t="n" s="0">
        <v>-138136.734845</v>
      </c>
    </row>
    <row r="6993">
      <c r="A6993" t="n" s="0">
        <v>-30.08</v>
      </c>
      <c r="B6993" t="n" s="0">
        <f>(-5-((((-5*(-5/((-5/(((-5*(-30.08--5))-(-5+((-5*-30.08)*(((-5--5)+(-30.08--5))+-30.08))))-(-5+-5)))*-5)))/-5)--5)+(-5*(((-30.08*(-30.08-(-5/-5)))*(-30.08-(-30.08/(-5*-30.08))))-(-5/-5)))))</f>
        <v>-137999.73536</v>
      </c>
      <c r="C6993" t="n" s="0">
        <v>-137999.73535999996</v>
      </c>
    </row>
    <row r="6994">
      <c r="A6994" t="n" s="0">
        <v>-30.07</v>
      </c>
      <c r="B6994" t="n" s="0">
        <f>(-5-((((-5*(-5/((-5/(((-5*(-30.07--5))-(-5+((-5*-30.07)*(((-5--5)+(-30.07--5))+-30.07))))-(-5+-5)))*-5)))/-5)--5)+(-5*(((-30.07*(-30.07-(-5/-5)))*(-30.07-(-30.07/(-5*-30.07))))-(-5/-5)))))</f>
        <v>-137862.826515</v>
      </c>
      <c r="C6994" t="n" s="0">
        <v>-137862.826515</v>
      </c>
    </row>
    <row r="6995">
      <c r="A6995" t="n" s="0">
        <v>-30.06</v>
      </c>
      <c r="B6995" t="n" s="0">
        <f>(-5-((((-5*(-5/((-5/(((-5*(-30.06--5))-(-5+((-5*-30.06)*(((-5--5)+(-30.06--5))+-30.06))))-(-5+-5)))*-5)))/-5)--5)+(-5*(((-30.06*(-30.06-(-5/-5)))*(-30.06-(-30.06/(-5*-30.06))))-(-5/-5)))))</f>
        <v>-137726.00827999998</v>
      </c>
      <c r="C6995" t="n" s="0">
        <v>-137726.00827999998</v>
      </c>
    </row>
    <row r="6996">
      <c r="A6996" t="n" s="0">
        <v>-30.05</v>
      </c>
      <c r="B6996" t="n" s="0">
        <f>(-5-((((-5*(-5/((-5/(((-5*(-30.05--5))-(-5+((-5*-30.05)*(((-5--5)+(-30.05--5))+-30.05))))-(-5+-5)))*-5)))/-5)--5)+(-5*(((-30.05*(-30.05-(-5/-5)))*(-30.05-(-30.05/(-5*-30.05))))-(-5/-5)))))</f>
        <v>-137589.280625</v>
      </c>
      <c r="C6996" t="n" s="0">
        <v>-137589.280625</v>
      </c>
    </row>
    <row r="6997">
      <c r="A6997" t="n" s="0">
        <v>-30.04</v>
      </c>
      <c r="B6997" t="n" s="0">
        <f>(-5-((((-5*(-5/((-5/(((-5*(-30.04--5))-(-5+((-5*-30.04)*(((-5--5)+(-30.04--5))+-30.04))))-(-5+-5)))*-5)))/-5)--5)+(-5*(((-30.04*(-30.04-(-5/-5)))*(-30.04-(-30.04/(-5*-30.04))))-(-5/-5)))))</f>
        <v>-137452.64352</v>
      </c>
      <c r="C6997" t="n" s="0">
        <v>-137452.64351999998</v>
      </c>
    </row>
    <row r="6998">
      <c r="A6998" t="n" s="0">
        <v>-30.03</v>
      </c>
      <c r="B6998" t="n" s="0">
        <f>(-5-((((-5*(-5/((-5/(((-5*(-30.03--5))-(-5+((-5*-30.03)*(((-5--5)+(-30.03--5))+-30.03))))-(-5+-5)))*-5)))/-5)--5)+(-5*(((-30.03*(-30.03-(-5/-5)))*(-30.03-(-30.03/(-5*-30.03))))-(-5/-5)))))</f>
        <v>-137316.09693499998</v>
      </c>
      <c r="C6998" t="n" s="0">
        <v>-137316.096935</v>
      </c>
    </row>
    <row r="6999">
      <c r="A6999" t="n" s="0">
        <v>-30.02</v>
      </c>
      <c r="B6999" t="n" s="0">
        <f>(-5-((((-5*(-5/((-5/(((-5*(-30.02--5))-(-5+((-5*-30.02)*(((-5--5)+(-30.02--5))+-30.02))))-(-5+-5)))*-5)))/-5)--5)+(-5*(((-30.02*(-30.02-(-5/-5)))*(-30.02-(-30.02/(-5*-30.02))))-(-5/-5)))))</f>
        <v>-137179.64084</v>
      </c>
      <c r="C6999" t="n" s="0">
        <v>-137179.64084</v>
      </c>
    </row>
    <row r="7000">
      <c r="A7000" t="n" s="0">
        <v>-30.01</v>
      </c>
      <c r="B7000" t="n" s="0">
        <f>(-5-((((-5*(-5/((-5/(((-5*(-30.01--5))-(-5+((-5*-30.01)*(((-5--5)+(-30.01--5))+-30.01))))-(-5+-5)))*-5)))/-5)--5)+(-5*(((-30.01*(-30.01-(-5/-5)))*(-30.01-(-30.01/(-5*-30.01))))-(-5/-5)))))</f>
        <v>-137043.27520499998</v>
      </c>
      <c r="C7000" t="n" s="0">
        <v>-137043.275205</v>
      </c>
    </row>
    <row r="7001">
      <c r="A7001" t="n" s="0">
        <v>-30.0</v>
      </c>
      <c r="B7001" t="n" s="0">
        <f>(-5-((((-5*(-5/((-5/(((-5*(-30--5))-(-5+((-5*-30)*(((-5--5)+(-30--5))+-30))))-(-5+-5)))*-5)))/-5)--5)+(-5*(((-30*(-30-(-5/-5)))*(-30-(-30/(-5*-30))))-(-5/-5)))))</f>
        <v>-136907.0</v>
      </c>
      <c r="C7001" t="n" s="0">
        <v>-136907.0</v>
      </c>
    </row>
    <row r="7002">
      <c r="A7002" t="n" s="0">
        <v>-29.99</v>
      </c>
      <c r="B7002" t="n" s="0">
        <f>(-5-((((-5*(-5/((-5/(((-5*(-29.99--5))-(-5+((-5*-29.99)*(((-5--5)+(-29.99--5))+-29.99))))-(-5+-5)))*-5)))/-5)--5)+(-5*(((-29.99*(-29.99-(-5/-5)))*(-29.99-(-29.99/(-5*-29.99))))-(-5/-5)))))</f>
        <v>-136770.815195</v>
      </c>
      <c r="C7002" t="n" s="0">
        <v>-136770.81519499997</v>
      </c>
    </row>
    <row r="7003">
      <c r="A7003" t="n" s="0">
        <v>-29.98</v>
      </c>
      <c r="B7003" t="n" s="0">
        <f>(-5-((((-5*(-5/((-5/(((-5*(-29.98--5))-(-5+((-5*-29.98)*(((-5--5)+(-29.98--5))+-29.98))))-(-5+-5)))*-5)))/-5)--5)+(-5*(((-29.98*(-29.98-(-5/-5)))*(-29.98-(-29.98/(-5*-29.98))))-(-5/-5)))))</f>
        <v>-136634.72076</v>
      </c>
      <c r="C7003" t="n" s="0">
        <v>-136634.72076</v>
      </c>
    </row>
    <row r="7004">
      <c r="A7004" t="n" s="0">
        <v>-29.97</v>
      </c>
      <c r="B7004" t="n" s="0">
        <f>(-5-((((-5*(-5/((-5/(((-5*(-29.97--5))-(-5+((-5*-29.97)*(((-5--5)+(-29.97--5))+-29.97))))-(-5+-5)))*-5)))/-5)--5)+(-5*(((-29.97*(-29.97-(-5/-5)))*(-29.97-(-29.97/(-5*-29.97))))-(-5/-5)))))</f>
        <v>-136498.716665</v>
      </c>
      <c r="C7004" t="n" s="0">
        <v>-136498.71666499999</v>
      </c>
    </row>
    <row r="7005">
      <c r="A7005" t="n" s="0">
        <v>-29.96</v>
      </c>
      <c r="B7005" t="n" s="0">
        <f>(-5-((((-5*(-5/((-5/(((-5*(-29.96--5))-(-5+((-5*-29.96)*(((-5--5)+(-29.96--5))+-29.96))))-(-5+-5)))*-5)))/-5)--5)+(-5*(((-29.96*(-29.96-(-5/-5)))*(-29.96-(-29.96/(-5*-29.96))))-(-5/-5)))))</f>
        <v>-136362.80288</v>
      </c>
      <c r="C7005" t="n" s="0">
        <v>-136362.80288</v>
      </c>
    </row>
    <row r="7006">
      <c r="A7006" t="n" s="0">
        <v>-29.95</v>
      </c>
      <c r="B7006" t="n" s="0">
        <f>(-5-((((-5*(-5/((-5/(((-5*(-29.95--5))-(-5+((-5*-29.95)*(((-5--5)+(-29.95--5))+-29.95))))-(-5+-5)))*-5)))/-5)--5)+(-5*(((-29.95*(-29.95-(-5/-5)))*(-29.95-(-29.95/(-5*-29.95))))-(-5/-5)))))</f>
        <v>-136226.97937500002</v>
      </c>
      <c r="C7006" t="n" s="0">
        <v>-136226.97937500002</v>
      </c>
    </row>
    <row r="7007">
      <c r="A7007" t="n" s="0">
        <v>-29.94</v>
      </c>
      <c r="B7007" t="n" s="0">
        <f>(-5-((((-5*(-5/((-5/(((-5*(-29.94--5))-(-5+((-5*-29.94)*(((-5--5)+(-29.94--5))+-29.94))))-(-5+-5)))*-5)))/-5)--5)+(-5*(((-29.94*(-29.94-(-5/-5)))*(-29.94-(-29.94/(-5*-29.94))))-(-5/-5)))))</f>
        <v>-136091.24612</v>
      </c>
      <c r="C7007" t="n" s="0">
        <v>-136091.24612000003</v>
      </c>
    </row>
    <row r="7008">
      <c r="A7008" t="n" s="0">
        <v>-29.93</v>
      </c>
      <c r="B7008" t="n" s="0">
        <f>(-5-((((-5*(-5/((-5/(((-5*(-29.93--5))-(-5+((-5*-29.93)*(((-5--5)+(-29.93--5))+-29.93))))-(-5+-5)))*-5)))/-5)--5)+(-5*(((-29.93*(-29.93-(-5/-5)))*(-29.93-(-29.93/(-5*-29.93))))-(-5/-5)))))</f>
        <v>-135955.603085</v>
      </c>
      <c r="C7008" t="n" s="0">
        <v>-135955.603085</v>
      </c>
    </row>
    <row r="7009">
      <c r="A7009" t="n" s="0">
        <v>-29.92</v>
      </c>
      <c r="B7009" t="n" s="0">
        <f>(-5-((((-5*(-5/((-5/(((-5*(-29.92--5))-(-5+((-5*-29.92)*(((-5--5)+(-29.92--5))+-29.92))))-(-5+-5)))*-5)))/-5)--5)+(-5*(((-29.92*(-29.92-(-5/-5)))*(-29.92-(-29.92/(-5*-29.92))))-(-5/-5)))))</f>
        <v>-135820.05024</v>
      </c>
      <c r="C7009" t="n" s="0">
        <v>-135820.05024000004</v>
      </c>
    </row>
    <row r="7010">
      <c r="A7010" t="n" s="0">
        <v>-29.91</v>
      </c>
      <c r="B7010" t="n" s="0">
        <f>(-5-((((-5*(-5/((-5/(((-5*(-29.91--5))-(-5+((-5*-29.91)*(((-5--5)+(-29.91--5))+-29.91))))-(-5+-5)))*-5)))/-5)--5)+(-5*(((-29.91*(-29.91-(-5/-5)))*(-29.91-(-29.91/(-5*-29.91))))-(-5/-5)))))</f>
        <v>-135684.58755499998</v>
      </c>
      <c r="C7010" t="n" s="0">
        <v>-135684.587555</v>
      </c>
    </row>
    <row r="7011">
      <c r="A7011" t="n" s="0">
        <v>-29.9</v>
      </c>
      <c r="B7011" t="n" s="0">
        <f>(-5-((((-5*(-5/((-5/(((-5*(-29.9--5))-(-5+((-5*-29.9)*(((-5--5)+(-29.9--5))+-29.9))))-(-5+-5)))*-5)))/-5)--5)+(-5*(((-29.9*(-29.9-(-5/-5)))*(-29.9-(-29.9/(-5*-29.9))))-(-5/-5)))))</f>
        <v>-135549.215</v>
      </c>
      <c r="C7011" t="n" s="0">
        <v>-135549.215</v>
      </c>
    </row>
    <row r="7012">
      <c r="A7012" t="n" s="0">
        <v>-29.89</v>
      </c>
      <c r="B7012" t="n" s="0">
        <f>(-5-((((-5*(-5/((-5/(((-5*(-29.89--5))-(-5+((-5*-29.89)*(((-5--5)+(-29.89--5))+-29.89))))-(-5+-5)))*-5)))/-5)--5)+(-5*(((-29.89*(-29.89-(-5/-5)))*(-29.89-(-29.89/(-5*-29.89))))-(-5/-5)))))</f>
        <v>-135413.932545</v>
      </c>
      <c r="C7012" t="n" s="0">
        <v>-135413.93254500002</v>
      </c>
    </row>
    <row r="7013">
      <c r="A7013" t="n" s="0">
        <v>-29.88</v>
      </c>
      <c r="B7013" t="n" s="0">
        <f>(-5-((((-5*(-5/((-5/(((-5*(-29.88--5))-(-5+((-5*-29.88)*(((-5--5)+(-29.88--5))+-29.88))))-(-5+-5)))*-5)))/-5)--5)+(-5*(((-29.88*(-29.88-(-5/-5)))*(-29.88-(-29.88/(-5*-29.88))))-(-5/-5)))))</f>
        <v>-135278.74016000002</v>
      </c>
      <c r="C7013" t="n" s="0">
        <v>-135278.74016</v>
      </c>
    </row>
    <row r="7014">
      <c r="A7014" t="n" s="0">
        <v>-29.87</v>
      </c>
      <c r="B7014" t="n" s="0">
        <f>(-5-((((-5*(-5/((-5/(((-5*(-29.87--5))-(-5+((-5*-29.87)*(((-5--5)+(-29.87--5))+-29.87))))-(-5+-5)))*-5)))/-5)--5)+(-5*(((-29.87*(-29.87-(-5/-5)))*(-29.87-(-29.87/(-5*-29.87))))-(-5/-5)))))</f>
        <v>-135143.63781500002</v>
      </c>
      <c r="C7014" t="n" s="0">
        <v>-135143.637815</v>
      </c>
    </row>
    <row r="7015">
      <c r="A7015" t="n" s="0">
        <v>-29.86</v>
      </c>
      <c r="B7015" t="n" s="0">
        <f>(-5-((((-5*(-5/((-5/(((-5*(-29.86--5))-(-5+((-5*-29.86)*(((-5--5)+(-29.86--5))+-29.86))))-(-5+-5)))*-5)))/-5)--5)+(-5*(((-29.86*(-29.86-(-5/-5)))*(-29.86-(-29.86/(-5*-29.86))))-(-5/-5)))))</f>
        <v>-135008.62548</v>
      </c>
      <c r="C7015" t="n" s="0">
        <v>-135008.62548</v>
      </c>
    </row>
    <row r="7016">
      <c r="A7016" t="n" s="0">
        <v>-29.85</v>
      </c>
      <c r="B7016" t="n" s="0">
        <f>(-5-((((-5*(-5/((-5/(((-5*(-29.85--5))-(-5+((-5*-29.85)*(((-5--5)+(-29.85--5))+-29.85))))-(-5+-5)))*-5)))/-5)--5)+(-5*(((-29.85*(-29.85-(-5/-5)))*(-29.85-(-29.85/(-5*-29.85))))-(-5/-5)))))</f>
        <v>-134873.703125</v>
      </c>
      <c r="C7016" t="n" s="0">
        <v>-134873.70312500003</v>
      </c>
    </row>
    <row r="7017">
      <c r="A7017" t="n" s="0">
        <v>-29.84</v>
      </c>
      <c r="B7017" t="n" s="0">
        <f>(-5-((((-5*(-5/((-5/(((-5*(-29.84--5))-(-5+((-5*-29.84)*(((-5--5)+(-29.84--5))+-29.84))))-(-5+-5)))*-5)))/-5)--5)+(-5*(((-29.84*(-29.84-(-5/-5)))*(-29.84-(-29.84/(-5*-29.84))))-(-5/-5)))))</f>
        <v>-134738.87072</v>
      </c>
      <c r="C7017" t="n" s="0">
        <v>-134738.87072</v>
      </c>
    </row>
    <row r="7018">
      <c r="A7018" t="n" s="0">
        <v>-29.83</v>
      </c>
      <c r="B7018" t="n" s="0">
        <f>(-5-((((-5*(-5/((-5/(((-5*(-29.83--5))-(-5+((-5*-29.83)*(((-5--5)+(-29.83--5))+-29.83))))-(-5+-5)))*-5)))/-5)--5)+(-5*(((-29.83*(-29.83-(-5/-5)))*(-29.83-(-29.83/(-5*-29.83))))-(-5/-5)))))</f>
        <v>-134604.12823499998</v>
      </c>
      <c r="C7018" t="n" s="0">
        <v>-134604.12823499995</v>
      </c>
    </row>
    <row r="7019">
      <c r="A7019" t="n" s="0">
        <v>-29.82</v>
      </c>
      <c r="B7019" t="n" s="0">
        <f>(-5-((((-5*(-5/((-5/(((-5*(-29.82--5))-(-5+((-5*-29.82)*(((-5--5)+(-29.82--5))+-29.82))))-(-5+-5)))*-5)))/-5)--5)+(-5*(((-29.82*(-29.82-(-5/-5)))*(-29.82-(-29.82/(-5*-29.82))))-(-5/-5)))))</f>
        <v>-134469.47564000002</v>
      </c>
      <c r="C7019" t="n" s="0">
        <v>-134469.47564</v>
      </c>
    </row>
    <row r="7020">
      <c r="A7020" t="n" s="0">
        <v>-29.81</v>
      </c>
      <c r="B7020" t="n" s="0">
        <f>(-5-((((-5*(-5/((-5/(((-5*(-29.81--5))-(-5+((-5*-29.81)*(((-5--5)+(-29.81--5))+-29.81))))-(-5+-5)))*-5)))/-5)--5)+(-5*(((-29.81*(-29.81-(-5/-5)))*(-29.81-(-29.81/(-5*-29.81))))-(-5/-5)))))</f>
        <v>-134334.912905</v>
      </c>
      <c r="C7020" t="n" s="0">
        <v>-134334.91290499998</v>
      </c>
    </row>
    <row r="7021">
      <c r="A7021" t="n" s="0">
        <v>-29.8</v>
      </c>
      <c r="B7021" t="n" s="0">
        <f>(-5-((((-5*(-5/((-5/(((-5*(-29.8--5))-(-5+((-5*-29.8)*(((-5--5)+(-29.8--5))+-29.8))))-(-5+-5)))*-5)))/-5)--5)+(-5*(((-29.8*(-29.8-(-5/-5)))*(-29.8-(-29.8/(-5*-29.8))))-(-5/-5)))))</f>
        <v>-134200.44</v>
      </c>
      <c r="C7021" t="n" s="0">
        <v>-134200.43999999997</v>
      </c>
    </row>
    <row r="7022">
      <c r="A7022" t="n" s="0">
        <v>-29.79</v>
      </c>
      <c r="B7022" t="n" s="0">
        <f>(-5-((((-5*(-5/((-5/(((-5*(-29.79--5))-(-5+((-5*-29.79)*(((-5--5)+(-29.79--5))+-29.79))))-(-5+-5)))*-5)))/-5)--5)+(-5*(((-29.79*(-29.79-(-5/-5)))*(-29.79-(-29.79/(-5*-29.79))))-(-5/-5)))))</f>
        <v>-134066.056895</v>
      </c>
      <c r="C7022" t="n" s="0">
        <v>-134066.056895</v>
      </c>
    </row>
    <row r="7023">
      <c r="A7023" t="n" s="0">
        <v>-29.78</v>
      </c>
      <c r="B7023" t="n" s="0">
        <f>(-5-((((-5*(-5/((-5/(((-5*(-29.78--5))-(-5+((-5*-29.78)*(((-5--5)+(-29.78--5))+-29.78))))-(-5+-5)))*-5)))/-5)--5)+(-5*(((-29.78*(-29.78-(-5/-5)))*(-29.78-(-29.78/(-5*-29.78))))-(-5/-5)))))</f>
        <v>-133931.76356</v>
      </c>
      <c r="C7023" t="n" s="0">
        <v>-133931.76356000002</v>
      </c>
    </row>
    <row r="7024">
      <c r="A7024" t="n" s="0">
        <v>-29.77</v>
      </c>
      <c r="B7024" t="n" s="0">
        <f>(-5-((((-5*(-5/((-5/(((-5*(-29.77--5))-(-5+((-5*-29.77)*(((-5--5)+(-29.77--5))+-29.77))))-(-5+-5)))*-5)))/-5)--5)+(-5*(((-29.77*(-29.77-(-5/-5)))*(-29.77-(-29.77/(-5*-29.77))))-(-5/-5)))))</f>
        <v>-133797.559965</v>
      </c>
      <c r="C7024" t="n" s="0">
        <v>-133797.559965</v>
      </c>
    </row>
    <row r="7025">
      <c r="A7025" t="n" s="0">
        <v>-29.76</v>
      </c>
      <c r="B7025" t="n" s="0">
        <f>(-5-((((-5*(-5/((-5/(((-5*(-29.76--5))-(-5+((-5*-29.76)*(((-5--5)+(-29.76--5))+-29.76))))-(-5+-5)))*-5)))/-5)--5)+(-5*(((-29.76*(-29.76-(-5/-5)))*(-29.76-(-29.76/(-5*-29.76))))-(-5/-5)))))</f>
        <v>-133663.44608</v>
      </c>
      <c r="C7025" t="n" s="0">
        <v>-133663.44608000002</v>
      </c>
    </row>
    <row r="7026">
      <c r="A7026" t="n" s="0">
        <v>-29.75</v>
      </c>
      <c r="B7026" t="n" s="0">
        <f>(-5-((((-5*(-5/((-5/(((-5*(-29.75--5))-(-5+((-5*-29.75)*(((-5--5)+(-29.75--5))+-29.75))))-(-5+-5)))*-5)))/-5)--5)+(-5*(((-29.75*(-29.75-(-5/-5)))*(-29.75-(-29.75/(-5*-29.75))))-(-5/-5)))))</f>
        <v>-133529.421875</v>
      </c>
      <c r="C7026" t="n" s="0">
        <v>-133529.421875</v>
      </c>
    </row>
    <row r="7027">
      <c r="A7027" t="n" s="0">
        <v>-29.74</v>
      </c>
      <c r="B7027" t="n" s="0">
        <f>(-5-((((-5*(-5/((-5/(((-5*(-29.74--5))-(-5+((-5*-29.74)*(((-5--5)+(-29.74--5))+-29.74))))-(-5+-5)))*-5)))/-5)--5)+(-5*(((-29.74*(-29.74-(-5/-5)))*(-29.74-(-29.74/(-5*-29.74))))-(-5/-5)))))</f>
        <v>-133395.48732000001</v>
      </c>
      <c r="C7027" t="n" s="0">
        <v>-133395.48732</v>
      </c>
    </row>
    <row r="7028">
      <c r="A7028" t="n" s="0">
        <v>-29.73</v>
      </c>
      <c r="B7028" t="n" s="0">
        <f>(-5-((((-5*(-5/((-5/(((-5*(-29.73--5))-(-5+((-5*-29.73)*(((-5--5)+(-29.73--5))+-29.73))))-(-5+-5)))*-5)))/-5)--5)+(-5*(((-29.73*(-29.73-(-5/-5)))*(-29.73-(-29.73/(-5*-29.73))))-(-5/-5)))))</f>
        <v>-133261.642385</v>
      </c>
      <c r="C7028" t="n" s="0">
        <v>-133261.642385</v>
      </c>
    </row>
    <row r="7029">
      <c r="A7029" t="n" s="0">
        <v>-29.72</v>
      </c>
      <c r="B7029" t="n" s="0">
        <f>(-5-((((-5*(-5/((-5/(((-5*(-29.72--5))-(-5+((-5*-29.72)*(((-5--5)+(-29.72--5))+-29.72))))-(-5+-5)))*-5)))/-5)--5)+(-5*(((-29.72*(-29.72-(-5/-5)))*(-29.72-(-29.72/(-5*-29.72))))-(-5/-5)))))</f>
        <v>-133127.88704</v>
      </c>
      <c r="C7029" t="n" s="0">
        <v>-133127.88703999997</v>
      </c>
    </row>
    <row r="7030">
      <c r="A7030" t="n" s="0">
        <v>-29.71</v>
      </c>
      <c r="B7030" t="n" s="0">
        <f>(-5-((((-5*(-5/((-5/(((-5*(-29.71--5))-(-5+((-5*-29.71)*(((-5--5)+(-29.71--5))+-29.71))))-(-5+-5)))*-5)))/-5)--5)+(-5*(((-29.71*(-29.71-(-5/-5)))*(-29.71-(-29.71/(-5*-29.71))))-(-5/-5)))))</f>
        <v>-132994.221255</v>
      </c>
      <c r="C7030" t="n" s="0">
        <v>-132994.221255</v>
      </c>
    </row>
    <row r="7031">
      <c r="A7031" t="n" s="0">
        <v>-29.7</v>
      </c>
      <c r="B7031" t="n" s="0">
        <f>(-5-((((-5*(-5/((-5/(((-5*(-29.7--5))-(-5+((-5*-29.7)*(((-5--5)+(-29.7--5))+-29.7))))-(-5+-5)))*-5)))/-5)--5)+(-5*(((-29.7*(-29.7-(-5/-5)))*(-29.7-(-29.7/(-5*-29.7))))-(-5/-5)))))</f>
        <v>-132860.645</v>
      </c>
      <c r="C7031" t="n" s="0">
        <v>-132860.645</v>
      </c>
    </row>
    <row r="7032">
      <c r="A7032" t="n" s="0">
        <v>-29.69</v>
      </c>
      <c r="B7032" t="n" s="0">
        <f>(-5-((((-5*(-5/((-5/(((-5*(-29.69--5))-(-5+((-5*-29.69)*(((-5--5)+(-29.69--5))+-29.69))))-(-5+-5)))*-5)))/-5)--5)+(-5*(((-29.69*(-29.69-(-5/-5)))*(-29.69-(-29.69/(-5*-29.69))))-(-5/-5)))))</f>
        <v>-132727.158245</v>
      </c>
      <c r="C7032" t="n" s="0">
        <v>-132727.15824500003</v>
      </c>
    </row>
    <row r="7033">
      <c r="A7033" t="n" s="0">
        <v>-29.68</v>
      </c>
      <c r="B7033" t="n" s="0">
        <f>(-5-((((-5*(-5/((-5/(((-5*(-29.68--5))-(-5+((-5*-29.68)*(((-5--5)+(-29.68--5))+-29.68))))-(-5+-5)))*-5)))/-5)--5)+(-5*(((-29.68*(-29.68-(-5/-5)))*(-29.68-(-29.68/(-5*-29.68))))-(-5/-5)))))</f>
        <v>-132593.76095999999</v>
      </c>
      <c r="C7033" t="n" s="0">
        <v>-132593.76096</v>
      </c>
    </row>
    <row r="7034">
      <c r="A7034" t="n" s="0">
        <v>-29.67</v>
      </c>
      <c r="B7034" t="n" s="0">
        <f>(-5-((((-5*(-5/((-5/(((-5*(-29.67--5))-(-5+((-5*-29.67)*(((-5--5)+(-29.67--5))+-29.67))))-(-5+-5)))*-5)))/-5)--5)+(-5*(((-29.67*(-29.67-(-5/-5)))*(-29.67-(-29.67/(-5*-29.67))))-(-5/-5)))))</f>
        <v>-132460.45311499998</v>
      </c>
      <c r="C7034" t="n" s="0">
        <v>-132460.45311500004</v>
      </c>
    </row>
    <row r="7035">
      <c r="A7035" t="n" s="0">
        <v>-29.66</v>
      </c>
      <c r="B7035" t="n" s="0">
        <f>(-5-((((-5*(-5/((-5/(((-5*(-29.66--5))-(-5+((-5*-29.66)*(((-5--5)+(-29.66--5))+-29.66))))-(-5+-5)))*-5)))/-5)--5)+(-5*(((-29.66*(-29.66-(-5/-5)))*(-29.66-(-29.66/(-5*-29.66))))-(-5/-5)))))</f>
        <v>-132327.23468</v>
      </c>
      <c r="C7035" t="n" s="0">
        <v>-132327.23468000002</v>
      </c>
    </row>
    <row r="7036">
      <c r="A7036" t="n" s="0">
        <v>-29.65</v>
      </c>
      <c r="B7036" t="n" s="0">
        <f>(-5-((((-5*(-5/((-5/(((-5*(-29.65--5))-(-5+((-5*-29.65)*(((-5--5)+(-29.65--5))+-29.65))))-(-5+-5)))*-5)))/-5)--5)+(-5*(((-29.65*(-29.65-(-5/-5)))*(-29.65-(-29.65/(-5*-29.65))))-(-5/-5)))))</f>
        <v>-132194.105625</v>
      </c>
      <c r="C7036" t="n" s="0">
        <v>-132194.105625</v>
      </c>
    </row>
    <row r="7037">
      <c r="A7037" t="n" s="0">
        <v>-29.64</v>
      </c>
      <c r="B7037" t="n" s="0">
        <f>(-5-((((-5*(-5/((-5/(((-5*(-29.64--5))-(-5+((-5*-29.64)*(((-5--5)+(-29.64--5))+-29.64))))-(-5+-5)))*-5)))/-5)--5)+(-5*(((-29.64*(-29.64-(-5/-5)))*(-29.64-(-29.64/(-5*-29.64))))-(-5/-5)))))</f>
        <v>-132061.06592000002</v>
      </c>
      <c r="C7037" t="n" s="0">
        <v>-132061.06592000002</v>
      </c>
    </row>
    <row r="7038">
      <c r="A7038" t="n" s="0">
        <v>-29.63</v>
      </c>
      <c r="B7038" t="n" s="0">
        <f>(-5-((((-5*(-5/((-5/(((-5*(-29.63--5))-(-5+((-5*-29.63)*(((-5--5)+(-29.63--5))+-29.63))))-(-5+-5)))*-5)))/-5)--5)+(-5*(((-29.63*(-29.63-(-5/-5)))*(-29.63-(-29.63/(-5*-29.63))))-(-5/-5)))))</f>
        <v>-131928.115535</v>
      </c>
      <c r="C7038" t="n" s="0">
        <v>-131928.115535</v>
      </c>
    </row>
    <row r="7039">
      <c r="A7039" t="n" s="0">
        <v>-29.62</v>
      </c>
      <c r="B7039" t="n" s="0">
        <f>(-5-((((-5*(-5/((-5/(((-5*(-29.62--5))-(-5+((-5*-29.62)*(((-5--5)+(-29.62--5))+-29.62))))-(-5+-5)))*-5)))/-5)--5)+(-5*(((-29.62*(-29.62-(-5/-5)))*(-29.62-(-29.62/(-5*-29.62))))-(-5/-5)))))</f>
        <v>-131795.25444000002</v>
      </c>
      <c r="C7039" t="n" s="0">
        <v>-131795.25444</v>
      </c>
    </row>
    <row r="7040">
      <c r="A7040" t="n" s="0">
        <v>-29.61</v>
      </c>
      <c r="B7040" t="n" s="0">
        <f>(-5-((((-5*(-5/((-5/(((-5*(-29.61--5))-(-5+((-5*-29.61)*(((-5--5)+(-29.61--5))+-29.61))))-(-5+-5)))*-5)))/-5)--5)+(-5*(((-29.61*(-29.61-(-5/-5)))*(-29.61-(-29.61/(-5*-29.61))))-(-5/-5)))))</f>
        <v>-131662.482605</v>
      </c>
      <c r="C7040" t="n" s="0">
        <v>-131662.48260499997</v>
      </c>
    </row>
    <row r="7041">
      <c r="A7041" t="n" s="0">
        <v>-29.6</v>
      </c>
      <c r="B7041" t="n" s="0">
        <f>(-5-((((-5*(-5/((-5/(((-5*(-29.6--5))-(-5+((-5*-29.6)*(((-5--5)+(-29.6--5))+-29.6))))-(-5+-5)))*-5)))/-5)--5)+(-5*(((-29.6*(-29.6-(-5/-5)))*(-29.6-(-29.6/(-5*-29.6))))-(-5/-5)))))</f>
        <v>-131529.8</v>
      </c>
      <c r="C7041" t="n" s="0">
        <v>-131529.80000000002</v>
      </c>
    </row>
    <row r="7042">
      <c r="A7042" t="n" s="0">
        <v>-29.59</v>
      </c>
      <c r="B7042" t="n" s="0">
        <f>(-5-((((-5*(-5/((-5/(((-5*(-29.59--5))-(-5+((-5*-29.59)*(((-5--5)+(-29.59--5))+-29.59))))-(-5+-5)))*-5)))/-5)--5)+(-5*(((-29.59*(-29.59-(-5/-5)))*(-29.59-(-29.59/(-5*-29.59))))-(-5/-5)))))</f>
        <v>-131397.206595</v>
      </c>
      <c r="C7042" t="n" s="0">
        <v>-131397.206595</v>
      </c>
    </row>
    <row r="7043">
      <c r="A7043" t="n" s="0">
        <v>-29.58</v>
      </c>
      <c r="B7043" t="n" s="0">
        <f>(-5-((((-5*(-5/((-5/(((-5*(-29.58--5))-(-5+((-5*-29.58)*(((-5--5)+(-29.58--5))+-29.58))))-(-5+-5)))*-5)))/-5)--5)+(-5*(((-29.58*(-29.58-(-5/-5)))*(-29.58-(-29.58/(-5*-29.58))))-(-5/-5)))))</f>
        <v>-131264.70236</v>
      </c>
      <c r="C7043" t="n" s="0">
        <v>-131264.70235999997</v>
      </c>
    </row>
    <row r="7044">
      <c r="A7044" t="n" s="0">
        <v>-29.57</v>
      </c>
      <c r="B7044" t="n" s="0">
        <f>(-5-((((-5*(-5/((-5/(((-5*(-29.57--5))-(-5+((-5*-29.57)*(((-5--5)+(-29.57--5))+-29.57))))-(-5+-5)))*-5)))/-5)--5)+(-5*(((-29.57*(-29.57-(-5/-5)))*(-29.57-(-29.57/(-5*-29.57))))-(-5/-5)))))</f>
        <v>-131132.287265</v>
      </c>
      <c r="C7044" t="n" s="0">
        <v>-131132.287265</v>
      </c>
    </row>
    <row r="7045">
      <c r="A7045" t="n" s="0">
        <v>-29.56</v>
      </c>
      <c r="B7045" t="n" s="0">
        <f>(-5-((((-5*(-5/((-5/(((-5*(-29.56--5))-(-5+((-5*-29.56)*(((-5--5)+(-29.56--5))+-29.56))))-(-5+-5)))*-5)))/-5)--5)+(-5*(((-29.56*(-29.56-(-5/-5)))*(-29.56-(-29.56/(-5*-29.56))))-(-5/-5)))))</f>
        <v>-130999.96128</v>
      </c>
      <c r="C7045" t="n" s="0">
        <v>-130999.96127999997</v>
      </c>
    </row>
    <row r="7046">
      <c r="A7046" t="n" s="0">
        <v>-29.55</v>
      </c>
      <c r="B7046" t="n" s="0">
        <f>(-5-((((-5*(-5/((-5/(((-5*(-29.55--5))-(-5+((-5*-29.55)*(((-5--5)+(-29.55--5))+-29.55))))-(-5+-5)))*-5)))/-5)--5)+(-5*(((-29.55*(-29.55-(-5/-5)))*(-29.55-(-29.55/(-5*-29.55))))-(-5/-5)))))</f>
        <v>-130867.724375</v>
      </c>
      <c r="C7046" t="n" s="0">
        <v>-130867.724375</v>
      </c>
    </row>
    <row r="7047">
      <c r="A7047" t="n" s="0">
        <v>-29.54</v>
      </c>
      <c r="B7047" t="n" s="0">
        <f>(-5-((((-5*(-5/((-5/(((-5*(-29.54--5))-(-5+((-5*-29.54)*(((-5--5)+(-29.54--5))+-29.54))))-(-5+-5)))*-5)))/-5)--5)+(-5*(((-29.54*(-29.54-(-5/-5)))*(-29.54-(-29.54/(-5*-29.54))))-(-5/-5)))))</f>
        <v>-130735.57652</v>
      </c>
      <c r="C7047" t="n" s="0">
        <v>-130735.57651999999</v>
      </c>
    </row>
    <row r="7048">
      <c r="A7048" t="n" s="0">
        <v>-29.53</v>
      </c>
      <c r="B7048" t="n" s="0">
        <f>(-5-((((-5*(-5/((-5/(((-5*(-29.53--5))-(-5+((-5*-29.53)*(((-5--5)+(-29.53--5))+-29.53))))-(-5+-5)))*-5)))/-5)--5)+(-5*(((-29.53*(-29.53-(-5/-5)))*(-29.53-(-29.53/(-5*-29.53))))-(-5/-5)))))</f>
        <v>-130603.51768500001</v>
      </c>
      <c r="C7048" t="n" s="0">
        <v>-130603.51768500003</v>
      </c>
    </row>
    <row r="7049">
      <c r="A7049" t="n" s="0">
        <v>-29.52</v>
      </c>
      <c r="B7049" t="n" s="0">
        <f>(-5-((((-5*(-5/((-5/(((-5*(-29.52--5))-(-5+((-5*-29.52)*(((-5--5)+(-29.52--5))+-29.52))))-(-5+-5)))*-5)))/-5)--5)+(-5*(((-29.52*(-29.52-(-5/-5)))*(-29.52-(-29.52/(-5*-29.52))))-(-5/-5)))))</f>
        <v>-130471.54784</v>
      </c>
      <c r="C7049" t="n" s="0">
        <v>-130471.54783999998</v>
      </c>
    </row>
    <row r="7050">
      <c r="A7050" t="n" s="0">
        <v>-29.51</v>
      </c>
      <c r="B7050" t="n" s="0">
        <f>(-5-((((-5*(-5/((-5/(((-5*(-29.51--5))-(-5+((-5*-29.51)*(((-5--5)+(-29.51--5))+-29.51))))-(-5+-5)))*-5)))/-5)--5)+(-5*(((-29.51*(-29.51-(-5/-5)))*(-29.51-(-29.51/(-5*-29.51))))-(-5/-5)))))</f>
        <v>-130339.666955</v>
      </c>
      <c r="C7050" t="n" s="0">
        <v>-130339.66695500002</v>
      </c>
    </row>
    <row r="7051">
      <c r="A7051" t="n" s="0">
        <v>-29.5</v>
      </c>
      <c r="B7051" t="n" s="0">
        <f>(-5-((((-5*(-5/((-5/(((-5*(-29.5--5))-(-5+((-5*-29.5)*(((-5--5)+(-29.5--5))+-29.5))))-(-5+-5)))*-5)))/-5)--5)+(-5*(((-29.5*(-29.5-(-5/-5)))*(-29.5-(-29.5/(-5*-29.5))))-(-5/-5)))))</f>
        <v>-130207.875</v>
      </c>
      <c r="C7051" t="n" s="0">
        <v>-130207.875</v>
      </c>
    </row>
    <row r="7052">
      <c r="A7052" t="n" s="0">
        <v>-29.49</v>
      </c>
      <c r="B7052" t="n" s="0">
        <f>(-5-((((-5*(-5/((-5/(((-5*(-29.49--5))-(-5+((-5*-29.49)*(((-5--5)+(-29.49--5))+-29.49))))-(-5+-5)))*-5)))/-5)--5)+(-5*(((-29.49*(-29.49-(-5/-5)))*(-29.49-(-29.49/(-5*-29.49))))-(-5/-5)))))</f>
        <v>-130076.17194500001</v>
      </c>
      <c r="C7052" t="n" s="0">
        <v>-130076.17194499998</v>
      </c>
    </row>
    <row r="7053">
      <c r="A7053" t="n" s="0">
        <v>-29.48</v>
      </c>
      <c r="B7053" t="n" s="0">
        <f>(-5-((((-5*(-5/((-5/(((-5*(-29.48--5))-(-5+((-5*-29.48)*(((-5--5)+(-29.48--5))+-29.48))))-(-5+-5)))*-5)))/-5)--5)+(-5*(((-29.48*(-29.48-(-5/-5)))*(-29.48-(-29.48/(-5*-29.48))))-(-5/-5)))))</f>
        <v>-129944.55776000001</v>
      </c>
      <c r="C7053" t="n" s="0">
        <v>-129944.55776</v>
      </c>
    </row>
    <row r="7054">
      <c r="A7054" t="n" s="0">
        <v>-29.47</v>
      </c>
      <c r="B7054" t="n" s="0">
        <f>(-5-((((-5*(-5/((-5/(((-5*(-29.47--5))-(-5+((-5*-29.47)*(((-5--5)+(-29.47--5))+-29.47))))-(-5+-5)))*-5)))/-5)--5)+(-5*(((-29.47*(-29.47-(-5/-5)))*(-29.47-(-29.47/(-5*-29.47))))-(-5/-5)))))</f>
        <v>-129813.03241500001</v>
      </c>
      <c r="C7054" t="n" s="0">
        <v>-129813.03241499998</v>
      </c>
    </row>
    <row r="7055">
      <c r="A7055" t="n" s="0">
        <v>-29.46</v>
      </c>
      <c r="B7055" t="n" s="0">
        <f>(-5-((((-5*(-5/((-5/(((-5*(-29.46--5))-(-5+((-5*-29.46)*(((-5--5)+(-29.46--5))+-29.46))))-(-5+-5)))*-5)))/-5)--5)+(-5*(((-29.46*(-29.46-(-5/-5)))*(-29.46-(-29.46/(-5*-29.46))))-(-5/-5)))))</f>
        <v>-129681.59588</v>
      </c>
      <c r="C7055" t="n" s="0">
        <v>-129681.59588000002</v>
      </c>
    </row>
    <row r="7056">
      <c r="A7056" t="n" s="0">
        <v>-29.45</v>
      </c>
      <c r="B7056" t="n" s="0">
        <f>(-5-((((-5*(-5/((-5/(((-5*(-29.45--5))-(-5+((-5*-29.45)*(((-5--5)+(-29.45--5))+-29.45))))-(-5+-5)))*-5)))/-5)--5)+(-5*(((-29.45*(-29.45-(-5/-5)))*(-29.45-(-29.45/(-5*-29.45))))-(-5/-5)))))</f>
        <v>-129550.24812500001</v>
      </c>
      <c r="C7056" t="n" s="0">
        <v>-129550.248125</v>
      </c>
    </row>
    <row r="7057">
      <c r="A7057" t="n" s="0">
        <v>-29.44</v>
      </c>
      <c r="B7057" t="n" s="0">
        <f>(-5-((((-5*(-5/((-5/(((-5*(-29.44--5))-(-5+((-5*-29.44)*(((-5--5)+(-29.44--5))+-29.44))))-(-5+-5)))*-5)))/-5)--5)+(-5*(((-29.44*(-29.44-(-5/-5)))*(-29.44-(-29.44/(-5*-29.44))))-(-5/-5)))))</f>
        <v>-129418.98912</v>
      </c>
      <c r="C7057" t="n" s="0">
        <v>-129418.98912000001</v>
      </c>
    </row>
    <row r="7058">
      <c r="A7058" t="n" s="0">
        <v>-29.43</v>
      </c>
      <c r="B7058" t="n" s="0">
        <f>(-5-((((-5*(-5/((-5/(((-5*(-29.43--5))-(-5+((-5*-29.43)*(((-5--5)+(-29.43--5))+-29.43))))-(-5+-5)))*-5)))/-5)--5)+(-5*(((-29.43*(-29.43-(-5/-5)))*(-29.43-(-29.43/(-5*-29.43))))-(-5/-5)))))</f>
        <v>-129287.818835</v>
      </c>
      <c r="C7058" t="n" s="0">
        <v>-129287.818835</v>
      </c>
    </row>
    <row r="7059">
      <c r="A7059" t="n" s="0">
        <v>-29.42</v>
      </c>
      <c r="B7059" t="n" s="0">
        <f>(-5-((((-5*(-5/((-5/(((-5*(-29.42--5))-(-5+((-5*-29.42)*(((-5--5)+(-29.42--5))+-29.42))))-(-5+-5)))*-5)))/-5)--5)+(-5*(((-29.42*(-29.42-(-5/-5)))*(-29.42-(-29.42/(-5*-29.42))))-(-5/-5)))))</f>
        <v>-129156.73724</v>
      </c>
      <c r="C7059" t="n" s="0">
        <v>-129156.73724</v>
      </c>
    </row>
    <row r="7060">
      <c r="A7060" t="n" s="0">
        <v>-29.41</v>
      </c>
      <c r="B7060" t="n" s="0">
        <f>(-5-((((-5*(-5/((-5/(((-5*(-29.41--5))-(-5+((-5*-29.41)*(((-5--5)+(-29.41--5))+-29.41))))-(-5+-5)))*-5)))/-5)--5)+(-5*(((-29.41*(-29.41-(-5/-5)))*(-29.41-(-29.41/(-5*-29.41))))-(-5/-5)))))</f>
        <v>-129025.744305</v>
      </c>
      <c r="C7060" t="n" s="0">
        <v>-129025.744305</v>
      </c>
    </row>
    <row r="7061">
      <c r="A7061" t="n" s="0">
        <v>-29.4</v>
      </c>
      <c r="B7061" t="n" s="0">
        <f>(-5-((((-5*(-5/((-5/(((-5*(-29.4--5))-(-5+((-5*-29.4)*(((-5--5)+(-29.4--5))+-29.4))))-(-5+-5)))*-5)))/-5)--5)+(-5*(((-29.4*(-29.4-(-5/-5)))*(-29.4-(-29.4/(-5*-29.4))))-(-5/-5)))))</f>
        <v>-128894.84000000001</v>
      </c>
      <c r="C7061" t="n" s="0">
        <v>-128894.83999999998</v>
      </c>
    </row>
    <row r="7062">
      <c r="A7062" t="n" s="0">
        <v>-29.39</v>
      </c>
      <c r="B7062" t="n" s="0">
        <f>(-5-((((-5*(-5/((-5/(((-5*(-29.39--5))-(-5+((-5*-29.39)*(((-5--5)+(-29.39--5))+-29.39))))-(-5+-5)))*-5)))/-5)--5)+(-5*(((-29.39*(-29.39-(-5/-5)))*(-29.39-(-29.39/(-5*-29.39))))-(-5/-5)))))</f>
        <v>-128764.024295</v>
      </c>
      <c r="C7062" t="n" s="0">
        <v>-128764.02429500001</v>
      </c>
    </row>
    <row r="7063">
      <c r="A7063" t="n" s="0">
        <v>-29.38</v>
      </c>
      <c r="B7063" t="n" s="0">
        <f>(-5-((((-5*(-5/((-5/(((-5*(-29.38--5))-(-5+((-5*-29.38)*(((-5--5)+(-29.38--5))+-29.38))))-(-5+-5)))*-5)))/-5)--5)+(-5*(((-29.38*(-29.38-(-5/-5)))*(-29.38-(-29.38/(-5*-29.38))))-(-5/-5)))))</f>
        <v>-128633.29715999999</v>
      </c>
      <c r="C7063" t="n" s="0">
        <v>-128633.29715999999</v>
      </c>
    </row>
    <row r="7064">
      <c r="A7064" t="n" s="0">
        <v>-29.37</v>
      </c>
      <c r="B7064" t="n" s="0">
        <f>(-5-((((-5*(-5/((-5/(((-5*(-29.37--5))-(-5+((-5*-29.37)*(((-5--5)+(-29.37--5))+-29.37))))-(-5+-5)))*-5)))/-5)--5)+(-5*(((-29.37*(-29.37-(-5/-5)))*(-29.37-(-29.37/(-5*-29.37))))-(-5/-5)))))</f>
        <v>-128502.658565</v>
      </c>
      <c r="C7064" t="n" s="0">
        <v>-128502.65856500002</v>
      </c>
    </row>
    <row r="7065">
      <c r="A7065" t="n" s="0">
        <v>-29.36</v>
      </c>
      <c r="B7065" t="n" s="0">
        <f>(-5-((((-5*(-5/((-5/(((-5*(-29.36--5))-(-5+((-5*-29.36)*(((-5--5)+(-29.36--5))+-29.36))))-(-5+-5)))*-5)))/-5)--5)+(-5*(((-29.36*(-29.36-(-5/-5)))*(-29.36-(-29.36/(-5*-29.36))))-(-5/-5)))))</f>
        <v>-128372.10848000001</v>
      </c>
      <c r="C7065" t="n" s="0">
        <v>-128372.10847999998</v>
      </c>
    </row>
    <row r="7066">
      <c r="A7066" t="n" s="0">
        <v>-29.35</v>
      </c>
      <c r="B7066" t="n" s="0">
        <f>(-5-((((-5*(-5/((-5/(((-5*(-29.35--5))-(-5+((-5*-29.35)*(((-5--5)+(-29.35--5))+-29.35))))-(-5+-5)))*-5)))/-5)--5)+(-5*(((-29.35*(-29.35-(-5/-5)))*(-29.35-(-29.35/(-5*-29.35))))-(-5/-5)))))</f>
        <v>-128241.64687499999</v>
      </c>
      <c r="C7066" t="n" s="0">
        <v>-128241.64687500002</v>
      </c>
    </row>
    <row r="7067">
      <c r="A7067" t="n" s="0">
        <v>-29.34</v>
      </c>
      <c r="B7067" t="n" s="0">
        <f>(-5-((((-5*(-5/((-5/(((-5*(-29.34--5))-(-5+((-5*-29.34)*(((-5--5)+(-29.34--5))+-29.34))))-(-5+-5)))*-5)))/-5)--5)+(-5*(((-29.34*(-29.34-(-5/-5)))*(-29.34-(-29.34/(-5*-29.34))))-(-5/-5)))))</f>
        <v>-128111.27372</v>
      </c>
      <c r="C7067" t="n" s="0">
        <v>-128111.27372</v>
      </c>
    </row>
    <row r="7068">
      <c r="A7068" t="n" s="0">
        <v>-29.33</v>
      </c>
      <c r="B7068" t="n" s="0">
        <f>(-5-((((-5*(-5/((-5/(((-5*(-29.33--5))-(-5+((-5*-29.33)*(((-5--5)+(-29.33--5))+-29.33))))-(-5+-5)))*-5)))/-5)--5)+(-5*(((-29.33*(-29.33-(-5/-5)))*(-29.33-(-29.33/(-5*-29.33))))-(-5/-5)))))</f>
        <v>-127980.98898499999</v>
      </c>
      <c r="C7068" t="n" s="0">
        <v>-127980.98898499997</v>
      </c>
    </row>
    <row r="7069">
      <c r="A7069" t="n" s="0">
        <v>-29.32</v>
      </c>
      <c r="B7069" t="n" s="0">
        <f>(-5-((((-5*(-5/((-5/(((-5*(-29.32--5))-(-5+((-5*-29.32)*(((-5--5)+(-29.32--5))+-29.32))))-(-5+-5)))*-5)))/-5)--5)+(-5*(((-29.32*(-29.32-(-5/-5)))*(-29.32-(-29.32/(-5*-29.32))))-(-5/-5)))))</f>
        <v>-127850.79264</v>
      </c>
      <c r="C7069" t="n" s="0">
        <v>-127850.79264</v>
      </c>
    </row>
    <row r="7070">
      <c r="A7070" t="n" s="0">
        <v>-29.31</v>
      </c>
      <c r="B7070" t="n" s="0">
        <f>(-5-((((-5*(-5/((-5/(((-5*(-29.31--5))-(-5+((-5*-29.31)*(((-5--5)+(-29.31--5))+-29.31))))-(-5+-5)))*-5)))/-5)--5)+(-5*(((-29.31*(-29.31-(-5/-5)))*(-29.31-(-29.31/(-5*-29.31))))-(-5/-5)))))</f>
        <v>-127720.68465499999</v>
      </c>
      <c r="C7070" t="n" s="0">
        <v>-127720.68465499998</v>
      </c>
    </row>
    <row r="7071">
      <c r="A7071" t="n" s="0">
        <v>-29.3</v>
      </c>
      <c r="B7071" t="n" s="0">
        <f>(-5-((((-5*(-5/((-5/(((-5*(-29.3--5))-(-5+((-5*-29.3)*(((-5--5)+(-29.3--5))+-29.3))))-(-5+-5)))*-5)))/-5)--5)+(-5*(((-29.3*(-29.3-(-5/-5)))*(-29.3-(-29.3/(-5*-29.3))))-(-5/-5)))))</f>
        <v>-127590.66500000001</v>
      </c>
      <c r="C7071" t="n" s="0">
        <v>-127590.665</v>
      </c>
    </row>
    <row r="7072">
      <c r="A7072" t="n" s="0">
        <v>-29.29</v>
      </c>
      <c r="B7072" t="n" s="0">
        <f>(-5-((((-5*(-5/((-5/(((-5*(-29.29--5))-(-5+((-5*-29.29)*(((-5--5)+(-29.29--5))+-29.29))))-(-5+-5)))*-5)))/-5)--5)+(-5*(((-29.29*(-29.29-(-5/-5)))*(-29.29-(-29.29/(-5*-29.29))))-(-5/-5)))))</f>
        <v>-127460.733645</v>
      </c>
      <c r="C7072" t="n" s="0">
        <v>-127460.73364499997</v>
      </c>
    </row>
    <row r="7073">
      <c r="A7073" t="n" s="0">
        <v>-29.28</v>
      </c>
      <c r="B7073" t="n" s="0">
        <f>(-5-((((-5*(-5/((-5/(((-5*(-29.28--5))-(-5+((-5*-29.28)*(((-5--5)+(-29.28--5))+-29.28))))-(-5+-5)))*-5)))/-5)--5)+(-5*(((-29.28*(-29.28-(-5/-5)))*(-29.28-(-29.28/(-5*-29.28))))-(-5/-5)))))</f>
        <v>-127330.89056</v>
      </c>
      <c r="C7073" t="n" s="0">
        <v>-127330.89056</v>
      </c>
    </row>
    <row r="7074">
      <c r="A7074" t="n" s="0">
        <v>-29.27</v>
      </c>
      <c r="B7074" t="n" s="0">
        <f>(-5-((((-5*(-5/((-5/(((-5*(-29.27--5))-(-5+((-5*-29.27)*(((-5--5)+(-29.27--5))+-29.27))))-(-5+-5)))*-5)))/-5)--5)+(-5*(((-29.27*(-29.27-(-5/-5)))*(-29.27-(-29.27/(-5*-29.27))))-(-5/-5)))))</f>
        <v>-127201.135715</v>
      </c>
      <c r="C7074" t="n" s="0">
        <v>-127201.135715</v>
      </c>
    </row>
    <row r="7075">
      <c r="A7075" t="n" s="0">
        <v>-29.26</v>
      </c>
      <c r="B7075" t="n" s="0">
        <f>(-5-((((-5*(-5/((-5/(((-5*(-29.26--5))-(-5+((-5*-29.26)*(((-5--5)+(-29.26--5))+-29.26))))-(-5+-5)))*-5)))/-5)--5)+(-5*(((-29.26*(-29.26-(-5/-5)))*(-29.26-(-29.26/(-5*-29.26))))-(-5/-5)))))</f>
        <v>-127071.46908</v>
      </c>
      <c r="C7075" t="n" s="0">
        <v>-127071.46908000001</v>
      </c>
    </row>
    <row r="7076">
      <c r="A7076" t="n" s="0">
        <v>-29.25</v>
      </c>
      <c r="B7076" t="n" s="0">
        <f>(-5-((((-5*(-5/((-5/(((-5*(-29.25--5))-(-5+((-5*-29.25)*(((-5--5)+(-29.25--5))+-29.25))))-(-5+-5)))*-5)))/-5)--5)+(-5*(((-29.25*(-29.25-(-5/-5)))*(-29.25-(-29.25/(-5*-29.25))))-(-5/-5)))))</f>
        <v>-126941.890625</v>
      </c>
      <c r="C7076" t="n" s="0">
        <v>-126941.890625</v>
      </c>
    </row>
    <row r="7077">
      <c r="A7077" t="n" s="0">
        <v>-29.24</v>
      </c>
      <c r="B7077" t="n" s="0">
        <f>(-5-((((-5*(-5/((-5/(((-5*(-29.24--5))-(-5+((-5*-29.24)*(((-5--5)+(-29.24--5))+-29.24))))-(-5+-5)))*-5)))/-5)--5)+(-5*(((-29.24*(-29.24-(-5/-5)))*(-29.24-(-29.24/(-5*-29.24))))-(-5/-5)))))</f>
        <v>-126812.40032</v>
      </c>
      <c r="C7077" t="n" s="0">
        <v>-126812.40031999997</v>
      </c>
    </row>
    <row r="7078">
      <c r="A7078" t="n" s="0">
        <v>-29.23</v>
      </c>
      <c r="B7078" t="n" s="0">
        <f>(-5-((((-5*(-5/((-5/(((-5*(-29.23--5))-(-5+((-5*-29.23)*(((-5--5)+(-29.23--5))+-29.23))))-(-5+-5)))*-5)))/-5)--5)+(-5*(((-29.23*(-29.23-(-5/-5)))*(-29.23-(-29.23/(-5*-29.23))))-(-5/-5)))))</f>
        <v>-126682.998135</v>
      </c>
      <c r="C7078" t="n" s="0">
        <v>-126682.998135</v>
      </c>
    </row>
    <row r="7079">
      <c r="A7079" t="n" s="0">
        <v>-29.22</v>
      </c>
      <c r="B7079" t="n" s="0">
        <f>(-5-((((-5*(-5/((-5/(((-5*(-29.22--5))-(-5+((-5*-29.22)*(((-5--5)+(-29.22--5))+-29.22))))-(-5+-5)))*-5)))/-5)--5)+(-5*(((-29.22*(-29.22-(-5/-5)))*(-29.22-(-29.22/(-5*-29.22))))-(-5/-5)))))</f>
        <v>-126553.68404000001</v>
      </c>
      <c r="C7079" t="n" s="0">
        <v>-126553.68404</v>
      </c>
    </row>
    <row r="7080">
      <c r="A7080" t="n" s="0">
        <v>-29.21</v>
      </c>
      <c r="B7080" t="n" s="0">
        <f>(-5-((((-5*(-5/((-5/(((-5*(-29.21--5))-(-5+((-5*-29.21)*(((-5--5)+(-29.21--5))+-29.21))))-(-5+-5)))*-5)))/-5)--5)+(-5*(((-29.21*(-29.21-(-5/-5)))*(-29.21-(-29.21/(-5*-29.21))))-(-5/-5)))))</f>
        <v>-126424.458005</v>
      </c>
      <c r="C7080" t="n" s="0">
        <v>-126424.45800500001</v>
      </c>
    </row>
    <row r="7081">
      <c r="A7081" t="n" s="0">
        <v>-29.2</v>
      </c>
      <c r="B7081" t="n" s="0">
        <f>(-5-((((-5*(-5/((-5/(((-5*(-29.2--5))-(-5+((-5*-29.2)*(((-5--5)+(-29.2--5))+-29.2))))-(-5+-5)))*-5)))/-5)--5)+(-5*(((-29.2*(-29.2-(-5/-5)))*(-29.2-(-29.2/(-5*-29.2))))-(-5/-5)))))</f>
        <v>-126295.32</v>
      </c>
      <c r="C7081" t="n" s="0">
        <v>-126295.32</v>
      </c>
    </row>
    <row r="7082">
      <c r="A7082" t="n" s="0">
        <v>-29.19</v>
      </c>
      <c r="B7082" t="n" s="0">
        <f>(-5-((((-5*(-5/((-5/(((-5*(-29.19--5))-(-5+((-5*-29.19)*(((-5--5)+(-29.19--5))+-29.19))))-(-5+-5)))*-5)))/-5)--5)+(-5*(((-29.19*(-29.19-(-5/-5)))*(-29.19-(-29.19/(-5*-29.19))))-(-5/-5)))))</f>
        <v>-126166.26999500001</v>
      </c>
      <c r="C7082" t="n" s="0">
        <v>-126166.26999500002</v>
      </c>
    </row>
    <row r="7083">
      <c r="A7083" t="n" s="0">
        <v>-29.18</v>
      </c>
      <c r="B7083" t="n" s="0">
        <f>(-5-((((-5*(-5/((-5/(((-5*(-29.18--5))-(-5+((-5*-29.18)*(((-5--5)+(-29.18--5))+-29.18))))-(-5+-5)))*-5)))/-5)--5)+(-5*(((-29.18*(-29.18-(-5/-5)))*(-29.18-(-29.18/(-5*-29.18))))-(-5/-5)))))</f>
        <v>-126037.30796</v>
      </c>
      <c r="C7083" t="n" s="0">
        <v>-126037.30795999999</v>
      </c>
    </row>
    <row r="7084">
      <c r="A7084" t="n" s="0">
        <v>-29.17</v>
      </c>
      <c r="B7084" t="n" s="0">
        <f>(-5-((((-5*(-5/((-5/(((-5*(-29.17--5))-(-5+((-5*-29.17)*(((-5--5)+(-29.17--5))+-29.17))))-(-5+-5)))*-5)))/-5)--5)+(-5*(((-29.17*(-29.17-(-5/-5)))*(-29.17-(-29.17/(-5*-29.17))))-(-5/-5)))))</f>
        <v>-125908.433865</v>
      </c>
      <c r="C7084" t="n" s="0">
        <v>-125908.433865</v>
      </c>
    </row>
    <row r="7085">
      <c r="A7085" t="n" s="0">
        <v>-29.16</v>
      </c>
      <c r="B7085" t="n" s="0">
        <f>(-5-((((-5*(-5/((-5/(((-5*(-29.16--5))-(-5+((-5*-29.16)*(((-5--5)+(-29.16--5))+-29.16))))-(-5+-5)))*-5)))/-5)--5)+(-5*(((-29.16*(-29.16-(-5/-5)))*(-29.16-(-29.16/(-5*-29.16))))-(-5/-5)))))</f>
        <v>-125779.64768</v>
      </c>
      <c r="C7085" t="n" s="0">
        <v>-125779.64768000001</v>
      </c>
    </row>
    <row r="7086">
      <c r="A7086" t="n" s="0">
        <v>-29.15</v>
      </c>
      <c r="B7086" t="n" s="0">
        <f>(-5-((((-5*(-5/((-5/(((-5*(-29.15--5))-(-5+((-5*-29.15)*(((-5--5)+(-29.15--5))+-29.15))))-(-5+-5)))*-5)))/-5)--5)+(-5*(((-29.15*(-29.15-(-5/-5)))*(-29.15-(-29.15/(-5*-29.15))))-(-5/-5)))))</f>
        <v>-125650.949375</v>
      </c>
      <c r="C7086" t="n" s="0">
        <v>-125650.949375</v>
      </c>
    </row>
    <row r="7087">
      <c r="A7087" t="n" s="0">
        <v>-29.14</v>
      </c>
      <c r="B7087" t="n" s="0">
        <f>(-5-((((-5*(-5/((-5/(((-5*(-29.14--5))-(-5+((-5*-29.14)*(((-5--5)+(-29.14--5))+-29.14))))-(-5+-5)))*-5)))/-5)--5)+(-5*(((-29.14*(-29.14-(-5/-5)))*(-29.14-(-29.14/(-5*-29.14))))-(-5/-5)))))</f>
        <v>-125522.33892</v>
      </c>
      <c r="C7087" t="n" s="0">
        <v>-125522.33892000001</v>
      </c>
    </row>
    <row r="7088">
      <c r="A7088" t="n" s="0">
        <v>-29.13</v>
      </c>
      <c r="B7088" t="n" s="0">
        <f>(-5-((((-5*(-5/((-5/(((-5*(-29.13--5))-(-5+((-5*-29.13)*(((-5--5)+(-29.13--5))+-29.13))))-(-5+-5)))*-5)))/-5)--5)+(-5*(((-29.13*(-29.13-(-5/-5)))*(-29.13-(-29.13/(-5*-29.13))))-(-5/-5)))))</f>
        <v>-125393.816285</v>
      </c>
      <c r="C7088" t="n" s="0">
        <v>-125393.816285</v>
      </c>
    </row>
    <row r="7089">
      <c r="A7089" t="n" s="0">
        <v>-29.12</v>
      </c>
      <c r="B7089" t="n" s="0">
        <f>(-5-((((-5*(-5/((-5/(((-5*(-29.12--5))-(-5+((-5*-29.12)*(((-5--5)+(-29.12--5))+-29.12))))-(-5+-5)))*-5)))/-5)--5)+(-5*(((-29.12*(-29.12-(-5/-5)))*(-29.12-(-29.12/(-5*-29.12))))-(-5/-5)))))</f>
        <v>-125265.38144</v>
      </c>
      <c r="C7089" t="n" s="0">
        <v>-125265.38144000001</v>
      </c>
    </row>
    <row r="7090">
      <c r="A7090" t="n" s="0">
        <v>-29.11</v>
      </c>
      <c r="B7090" t="n" s="0">
        <f>(-5-((((-5*(-5/((-5/(((-5*(-29.11--5))-(-5+((-5*-29.11)*(((-5--5)+(-29.11--5))+-29.11))))-(-5+-5)))*-5)))/-5)--5)+(-5*(((-29.11*(-29.11-(-5/-5)))*(-29.11-(-29.11/(-5*-29.11))))-(-5/-5)))))</f>
        <v>-125137.034355</v>
      </c>
      <c r="C7090" t="n" s="0">
        <v>-125137.034355</v>
      </c>
    </row>
    <row r="7091">
      <c r="A7091" t="n" s="0">
        <v>-29.1</v>
      </c>
      <c r="B7091" t="n" s="0">
        <f>(-5-((((-5*(-5/((-5/(((-5*(-29.1--5))-(-5+((-5*-29.1)*(((-5--5)+(-29.1--5))+-29.1))))-(-5+-5)))*-5)))/-5)--5)+(-5*(((-29.1*(-29.1-(-5/-5)))*(-29.1-(-29.1/(-5*-29.1))))-(-5/-5)))))</f>
        <v>-125008.775</v>
      </c>
      <c r="C7091" t="n" s="0">
        <v>-125008.77500000001</v>
      </c>
    </row>
    <row r="7092">
      <c r="A7092" t="n" s="0">
        <v>-29.09</v>
      </c>
      <c r="B7092" t="n" s="0">
        <f>(-5-((((-5*(-5/((-5/(((-5*(-29.09--5))-(-5+((-5*-29.09)*(((-5--5)+(-29.09--5))+-29.09))))-(-5+-5)))*-5)))/-5)--5)+(-5*(((-29.09*(-29.09-(-5/-5)))*(-29.09-(-29.09/(-5*-29.09))))-(-5/-5)))))</f>
        <v>-124880.603345</v>
      </c>
      <c r="C7092" t="n" s="0">
        <v>-124880.60334500001</v>
      </c>
    </row>
    <row r="7093">
      <c r="A7093" t="n" s="0">
        <v>-29.08</v>
      </c>
      <c r="B7093" t="n" s="0">
        <f>(-5-((((-5*(-5/((-5/(((-5*(-29.08--5))-(-5+((-5*-29.08)*(((-5--5)+(-29.08--5))+-29.08))))-(-5+-5)))*-5)))/-5)--5)+(-5*(((-29.08*(-29.08-(-5/-5)))*(-29.08-(-29.08/(-5*-29.08))))-(-5/-5)))))</f>
        <v>-124752.51935999999</v>
      </c>
      <c r="C7093" t="n" s="0">
        <v>-124752.51935999999</v>
      </c>
    </row>
    <row r="7094">
      <c r="A7094" t="n" s="0">
        <v>-29.07</v>
      </c>
      <c r="B7094" t="n" s="0">
        <f>(-5-((((-5*(-5/((-5/(((-5*(-29.07--5))-(-5+((-5*-29.07)*(((-5--5)+(-29.07--5))+-29.07))))-(-5+-5)))*-5)))/-5)--5)+(-5*(((-29.07*(-29.07-(-5/-5)))*(-29.07-(-29.07/(-5*-29.07))))-(-5/-5)))))</f>
        <v>-124624.523015</v>
      </c>
      <c r="C7094" t="n" s="0">
        <v>-124624.523015</v>
      </c>
    </row>
    <row r="7095">
      <c r="A7095" t="n" s="0">
        <v>-29.06</v>
      </c>
      <c r="B7095" t="n" s="0">
        <f>(-5-((((-5*(-5/((-5/(((-5*(-29.06--5))-(-5+((-5*-29.06)*(((-5--5)+(-29.06--5))+-29.06))))-(-5+-5)))*-5)))/-5)--5)+(-5*(((-29.06*(-29.06-(-5/-5)))*(-29.06-(-29.06/(-5*-29.06))))-(-5/-5)))))</f>
        <v>-124496.61428000001</v>
      </c>
      <c r="C7095" t="n" s="0">
        <v>-124496.61427999998</v>
      </c>
    </row>
    <row r="7096">
      <c r="A7096" t="n" s="0">
        <v>-29.05</v>
      </c>
      <c r="B7096" t="n" s="0">
        <f>(-5-((((-5*(-5/((-5/(((-5*(-29.05--5))-(-5+((-5*-29.05)*(((-5--5)+(-29.05--5))+-29.05))))-(-5+-5)))*-5)))/-5)--5)+(-5*(((-29.05*(-29.05-(-5/-5)))*(-29.05-(-29.05/(-5*-29.05))))-(-5/-5)))))</f>
        <v>-124368.79312500001</v>
      </c>
      <c r="C7096" t="n" s="0">
        <v>-124368.793125</v>
      </c>
    </row>
    <row r="7097">
      <c r="A7097" t="n" s="0">
        <v>-29.04</v>
      </c>
      <c r="B7097" t="n" s="0">
        <f>(-5-((((-5*(-5/((-5/(((-5*(-29.04--5))-(-5+((-5*-29.04)*(((-5--5)+(-29.04--5))+-29.04))))-(-5+-5)))*-5)))/-5)--5)+(-5*(((-29.04*(-29.04-(-5/-5)))*(-29.04-(-29.04/(-5*-29.04))))-(-5/-5)))))</f>
        <v>-124241.05952</v>
      </c>
      <c r="C7097" t="n" s="0">
        <v>-124241.05952</v>
      </c>
    </row>
    <row r="7098">
      <c r="A7098" t="n" s="0">
        <v>-29.03</v>
      </c>
      <c r="B7098" t="n" s="0">
        <f>(-5-((((-5*(-5/((-5/(((-5*(-29.03--5))-(-5+((-5*-29.03)*(((-5--5)+(-29.03--5))+-29.03))))-(-5+-5)))*-5)))/-5)--5)+(-5*(((-29.03*(-29.03-(-5/-5)))*(-29.03-(-29.03/(-5*-29.03))))-(-5/-5)))))</f>
        <v>-124113.413435</v>
      </c>
      <c r="C7098" t="n" s="0">
        <v>-124113.413435</v>
      </c>
    </row>
    <row r="7099">
      <c r="A7099" t="n" s="0">
        <v>-29.02</v>
      </c>
      <c r="B7099" t="n" s="0">
        <f>(-5-((((-5*(-5/((-5/(((-5*(-29.02--5))-(-5+((-5*-29.02)*(((-5--5)+(-29.02--5))+-29.02))))-(-5+-5)))*-5)))/-5)--5)+(-5*(((-29.02*(-29.02-(-5/-5)))*(-29.02-(-29.02/(-5*-29.02))))-(-5/-5)))))</f>
        <v>-123985.85484</v>
      </c>
      <c r="C7099" t="n" s="0">
        <v>-123985.85484</v>
      </c>
    </row>
    <row r="7100">
      <c r="A7100" t="n" s="0">
        <v>-29.01</v>
      </c>
      <c r="B7100" t="n" s="0">
        <f>(-5-((((-5*(-5/((-5/(((-5*(-29.01--5))-(-5+((-5*-29.01)*(((-5--5)+(-29.01--5))+-29.01))))-(-5+-5)))*-5)))/-5)--5)+(-5*(((-29.01*(-29.01-(-5/-5)))*(-29.01-(-29.01/(-5*-29.01))))-(-5/-5)))))</f>
        <v>-123858.383705</v>
      </c>
      <c r="C7100" t="n" s="0">
        <v>-123858.38370500003</v>
      </c>
    </row>
    <row r="7101">
      <c r="A7101" t="n" s="0">
        <v>-29.0</v>
      </c>
      <c r="B7101" t="n" s="0">
        <f>(-5-((((-5*(-5/((-5/(((-5*(-29--5))-(-5+((-5*-29)*(((-5--5)+(-29--5))+-29))))-(-5+-5)))*-5)))/-5)--5)+(-5*(((-29*(-29-(-5/-5)))*(-29-(-29/(-5*-29))))-(-5/-5)))))</f>
        <v>-123731.0</v>
      </c>
      <c r="C7101" t="n" s="0">
        <v>-123731.0</v>
      </c>
    </row>
    <row r="7102">
      <c r="A7102" t="n" s="0">
        <v>-28.99</v>
      </c>
      <c r="B7102" t="n" s="0">
        <f>(-5-((((-5*(-5/((-5/(((-5*(-28.99--5))-(-5+((-5*-28.99)*(((-5--5)+(-28.99--5))+-28.99))))-(-5+-5)))*-5)))/-5)--5)+(-5*(((-28.99*(-28.99-(-5/-5)))*(-28.99-(-28.99/(-5*-28.99))))-(-5/-5)))))</f>
        <v>-123603.703695</v>
      </c>
      <c r="C7102" t="n" s="0">
        <v>-123603.70369499997</v>
      </c>
    </row>
    <row r="7103">
      <c r="A7103" t="n" s="0">
        <v>-28.98</v>
      </c>
      <c r="B7103" t="n" s="0">
        <f>(-5-((((-5*(-5/((-5/(((-5*(-28.98--5))-(-5+((-5*-28.98)*(((-5--5)+(-28.98--5))+-28.98))))-(-5+-5)))*-5)))/-5)--5)+(-5*(((-28.98*(-28.98-(-5/-5)))*(-28.98-(-28.98/(-5*-28.98))))-(-5/-5)))))</f>
        <v>-123476.49476</v>
      </c>
      <c r="C7103" t="n" s="0">
        <v>-123476.49476</v>
      </c>
    </row>
    <row r="7104">
      <c r="A7104" t="n" s="0">
        <v>-28.97</v>
      </c>
      <c r="B7104" t="n" s="0">
        <f>(-5-((((-5*(-5/((-5/(((-5*(-28.97--5))-(-5+((-5*-28.97)*(((-5--5)+(-28.97--5))+-28.97))))-(-5+-5)))*-5)))/-5)--5)+(-5*(((-28.97*(-28.97-(-5/-5)))*(-28.97-(-28.97/(-5*-28.97))))-(-5/-5)))))</f>
        <v>-123349.373165</v>
      </c>
      <c r="C7104" t="n" s="0">
        <v>-123349.37316499998</v>
      </c>
    </row>
    <row r="7105">
      <c r="A7105" t="n" s="0">
        <v>-28.96</v>
      </c>
      <c r="B7105" t="n" s="0">
        <f>(-5-((((-5*(-5/((-5/(((-5*(-28.96--5))-(-5+((-5*-28.96)*(((-5--5)+(-28.96--5))+-28.96))))-(-5+-5)))*-5)))/-5)--5)+(-5*(((-28.96*(-28.96-(-5/-5)))*(-28.96-(-28.96/(-5*-28.96))))-(-5/-5)))))</f>
        <v>-123222.33888000001</v>
      </c>
      <c r="C7105" t="n" s="0">
        <v>-123222.33888000002</v>
      </c>
    </row>
    <row r="7106">
      <c r="A7106" t="n" s="0">
        <v>-28.95</v>
      </c>
      <c r="B7106" t="n" s="0">
        <f>(-5-((((-5*(-5/((-5/(((-5*(-28.95--5))-(-5+((-5*-28.95)*(((-5--5)+(-28.95--5))+-28.95))))-(-5+-5)))*-5)))/-5)--5)+(-5*(((-28.95*(-28.95-(-5/-5)))*(-28.95-(-28.95/(-5*-28.95))))-(-5/-5)))))</f>
        <v>-123095.391875</v>
      </c>
      <c r="C7106" t="n" s="0">
        <v>-123095.391875</v>
      </c>
    </row>
    <row r="7107">
      <c r="A7107" t="n" s="0">
        <v>-28.94</v>
      </c>
      <c r="B7107" t="n" s="0">
        <f>(-5-((((-5*(-5/((-5/(((-5*(-28.94--5))-(-5+((-5*-28.94)*(((-5--5)+(-28.94--5))+-28.94))))-(-5+-5)))*-5)))/-5)--5)+(-5*(((-28.94*(-28.94-(-5/-5)))*(-28.94-(-28.94/(-5*-28.94))))-(-5/-5)))))</f>
        <v>-122968.53211999999</v>
      </c>
      <c r="C7107" t="n" s="0">
        <v>-122968.53212000002</v>
      </c>
    </row>
    <row r="7108">
      <c r="A7108" t="n" s="0">
        <v>-28.93</v>
      </c>
      <c r="B7108" t="n" s="0">
        <f>(-5-((((-5*(-5/((-5/(((-5*(-28.93--5))-(-5+((-5*-28.93)*(((-5--5)+(-28.93--5))+-28.93))))-(-5+-5)))*-5)))/-5)--5)+(-5*(((-28.93*(-28.93-(-5/-5)))*(-28.93-(-28.93/(-5*-28.93))))-(-5/-5)))))</f>
        <v>-122841.75958499999</v>
      </c>
      <c r="C7108" t="n" s="0">
        <v>-122841.75958499999</v>
      </c>
    </row>
    <row r="7109">
      <c r="A7109" t="n" s="0">
        <v>-28.92</v>
      </c>
      <c r="B7109" t="n" s="0">
        <f>(-5-((((-5*(-5/((-5/(((-5*(-28.92--5))-(-5+((-5*-28.92)*(((-5--5)+(-28.92--5))+-28.92))))-(-5+-5)))*-5)))/-5)--5)+(-5*(((-28.92*(-28.92-(-5/-5)))*(-28.92-(-28.92/(-5*-28.92))))-(-5/-5)))))</f>
        <v>-122715.07424</v>
      </c>
      <c r="C7109" t="n" s="0">
        <v>-122715.07424</v>
      </c>
    </row>
    <row r="7110">
      <c r="A7110" t="n" s="0">
        <v>-28.91</v>
      </c>
      <c r="B7110" t="n" s="0">
        <f>(-5-((((-5*(-5/((-5/(((-5*(-28.91--5))-(-5+((-5*-28.91)*(((-5--5)+(-28.91--5))+-28.91))))-(-5+-5)))*-5)))/-5)--5)+(-5*(((-28.91*(-28.91-(-5/-5)))*(-28.91-(-28.91/(-5*-28.91))))-(-5/-5)))))</f>
        <v>-122588.476055</v>
      </c>
      <c r="C7110" t="n" s="0">
        <v>-122588.47605499999</v>
      </c>
    </row>
    <row r="7111">
      <c r="A7111" t="n" s="0">
        <v>-28.9</v>
      </c>
      <c r="B7111" t="n" s="0">
        <f>(-5-((((-5*(-5/((-5/(((-5*(-28.9--5))-(-5+((-5*-28.9)*(((-5--5)+(-28.9--5))+-28.9))))-(-5+-5)))*-5)))/-5)--5)+(-5*(((-28.9*(-28.9-(-5/-5)))*(-28.9-(-28.9/(-5*-28.9))))-(-5/-5)))))</f>
        <v>-122461.965</v>
      </c>
      <c r="C7111" t="n" s="0">
        <v>-122461.96499999997</v>
      </c>
    </row>
    <row r="7112">
      <c r="A7112" t="n" s="0">
        <v>-28.89</v>
      </c>
      <c r="B7112" t="n" s="0">
        <f>(-5-((((-5*(-5/((-5/(((-5*(-28.89--5))-(-5+((-5*-28.89)*(((-5--5)+(-28.89--5))+-28.89))))-(-5+-5)))*-5)))/-5)--5)+(-5*(((-28.89*(-28.89-(-5/-5)))*(-28.89-(-28.89/(-5*-28.89))))-(-5/-5)))))</f>
        <v>-122335.541045</v>
      </c>
      <c r="C7112" t="n" s="0">
        <v>-122335.541045</v>
      </c>
    </row>
    <row r="7113">
      <c r="A7113" t="n" s="0">
        <v>-28.88</v>
      </c>
      <c r="B7113" t="n" s="0">
        <f>(-5-((((-5*(-5/((-5/(((-5*(-28.88--5))-(-5+((-5*-28.88)*(((-5--5)+(-28.88--5))+-28.88))))-(-5+-5)))*-5)))/-5)--5)+(-5*(((-28.88*(-28.88-(-5/-5)))*(-28.88-(-28.88/(-5*-28.88))))-(-5/-5)))))</f>
        <v>-122209.20416000001</v>
      </c>
      <c r="C7113" t="n" s="0">
        <v>-122209.20416</v>
      </c>
    </row>
    <row r="7114">
      <c r="A7114" t="n" s="0">
        <v>-28.87</v>
      </c>
      <c r="B7114" t="n" s="0">
        <f>(-5-((((-5*(-5/((-5/(((-5*(-28.87--5))-(-5+((-5*-28.87)*(((-5--5)+(-28.87--5))+-28.87))))-(-5+-5)))*-5)))/-5)--5)+(-5*(((-28.87*(-28.87-(-5/-5)))*(-28.87-(-28.87/(-5*-28.87))))-(-5/-5)))))</f>
        <v>-122082.954315</v>
      </c>
      <c r="C7114" t="n" s="0">
        <v>-122082.95431500001</v>
      </c>
    </row>
    <row r="7115">
      <c r="A7115" t="n" s="0">
        <v>-28.86</v>
      </c>
      <c r="B7115" t="n" s="0">
        <f>(-5-((((-5*(-5/((-5/(((-5*(-28.86--5))-(-5+((-5*-28.86)*(((-5--5)+(-28.86--5))+-28.86))))-(-5+-5)))*-5)))/-5)--5)+(-5*(((-28.86*(-28.86-(-5/-5)))*(-28.86-(-28.86/(-5*-28.86))))-(-5/-5)))))</f>
        <v>-121956.79148</v>
      </c>
      <c r="C7115" t="n" s="0">
        <v>-121956.79147999999</v>
      </c>
    </row>
    <row r="7116">
      <c r="A7116" t="n" s="0">
        <v>-28.85</v>
      </c>
      <c r="B7116" t="n" s="0">
        <f>(-5-((((-5*(-5/((-5/(((-5*(-28.85--5))-(-5+((-5*-28.85)*(((-5--5)+(-28.85--5))+-28.85))))-(-5+-5)))*-5)))/-5)--5)+(-5*(((-28.85*(-28.85-(-5/-5)))*(-28.85-(-28.85/(-5*-28.85))))-(-5/-5)))))</f>
        <v>-121830.71562500001</v>
      </c>
      <c r="C7116" t="n" s="0">
        <v>-121830.71562500003</v>
      </c>
    </row>
    <row r="7117">
      <c r="A7117" t="n" s="0">
        <v>-28.84</v>
      </c>
      <c r="B7117" t="n" s="0">
        <f>(-5-((((-5*(-5/((-5/(((-5*(-28.84--5))-(-5+((-5*-28.84)*(((-5--5)+(-28.84--5))+-28.84))))-(-5+-5)))*-5)))/-5)--5)+(-5*(((-28.84*(-28.84-(-5/-5)))*(-28.84-(-28.84/(-5*-28.84))))-(-5/-5)))))</f>
        <v>-121704.72671999999</v>
      </c>
      <c r="C7117" t="n" s="0">
        <v>-121704.72672</v>
      </c>
    </row>
    <row r="7118">
      <c r="A7118" t="n" s="0">
        <v>-28.83</v>
      </c>
      <c r="B7118" t="n" s="0">
        <f>(-5-((((-5*(-5/((-5/(((-5*(-28.83--5))-(-5+((-5*-28.83)*(((-5--5)+(-28.83--5))+-28.83))))-(-5+-5)))*-5)))/-5)--5)+(-5*(((-28.83*(-28.83-(-5/-5)))*(-28.83-(-28.83/(-5*-28.83))))-(-5/-5)))))</f>
        <v>-121578.824735</v>
      </c>
      <c r="C7118" t="n" s="0">
        <v>-121578.82473499997</v>
      </c>
    </row>
    <row r="7119">
      <c r="A7119" t="n" s="0">
        <v>-28.82</v>
      </c>
      <c r="B7119" t="n" s="0">
        <f>(-5-((((-5*(-5/((-5/(((-5*(-28.82--5))-(-5+((-5*-28.82)*(((-5--5)+(-28.82--5))+-28.82))))-(-5+-5)))*-5)))/-5)--5)+(-5*(((-28.82*(-28.82-(-5/-5)))*(-28.82-(-28.82/(-5*-28.82))))-(-5/-5)))))</f>
        <v>-121453.00963999999</v>
      </c>
      <c r="C7119" t="n" s="0">
        <v>-121453.00964</v>
      </c>
    </row>
    <row r="7120">
      <c r="A7120" t="n" s="0">
        <v>-28.81</v>
      </c>
      <c r="B7120" t="n" s="0">
        <f>(-5-((((-5*(-5/((-5/(((-5*(-28.81--5))-(-5+((-5*-28.81)*(((-5--5)+(-28.81--5))+-28.81))))-(-5+-5)))*-5)))/-5)--5)+(-5*(((-28.81*(-28.81-(-5/-5)))*(-28.81-(-28.81/(-5*-28.81))))-(-5/-5)))))</f>
        <v>-121327.281405</v>
      </c>
      <c r="C7120" t="n" s="0">
        <v>-121327.28140499997</v>
      </c>
    </row>
    <row r="7121">
      <c r="A7121" t="n" s="0">
        <v>-28.8</v>
      </c>
      <c r="B7121" t="n" s="0">
        <f>(-5-((((-5*(-5/((-5/(((-5*(-28.8--5))-(-5+((-5*-28.8)*(((-5--5)+(-28.8--5))+-28.8))))-(-5+-5)))*-5)))/-5)--5)+(-5*(((-28.8*(-28.8-(-5/-5)))*(-28.8-(-28.8/(-5*-28.8))))-(-5/-5)))))</f>
        <v>-121201.64000000001</v>
      </c>
      <c r="C7121" t="n" s="0">
        <v>-121201.64000000001</v>
      </c>
    </row>
    <row r="7122">
      <c r="A7122" t="n" s="0">
        <v>-28.79</v>
      </c>
      <c r="B7122" t="n" s="0">
        <f>(-5-((((-5*(-5/((-5/(((-5*(-28.79--5))-(-5+((-5*-28.79)*(((-5--5)+(-28.79--5))+-28.79))))-(-5+-5)))*-5)))/-5)--5)+(-5*(((-28.79*(-28.79-(-5/-5)))*(-28.79-(-28.79/(-5*-28.79))))-(-5/-5)))))</f>
        <v>-121076.085395</v>
      </c>
      <c r="C7122" t="n" s="0">
        <v>-121076.08539499999</v>
      </c>
    </row>
    <row r="7123">
      <c r="A7123" t="n" s="0">
        <v>-28.78</v>
      </c>
      <c r="B7123" t="n" s="0">
        <f>(-5-((((-5*(-5/((-5/(((-5*(-28.78--5))-(-5+((-5*-28.78)*(((-5--5)+(-28.78--5))+-28.78))))-(-5+-5)))*-5)))/-5)--5)+(-5*(((-28.78*(-28.78-(-5/-5)))*(-28.78-(-28.78/(-5*-28.78))))-(-5/-5)))))</f>
        <v>-120950.61756</v>
      </c>
      <c r="C7123" t="n" s="0">
        <v>-120950.61756000001</v>
      </c>
    </row>
    <row r="7124">
      <c r="A7124" t="n" s="0">
        <v>-28.77</v>
      </c>
      <c r="B7124" t="n" s="0">
        <f>(-5-((((-5*(-5/((-5/(((-5*(-28.77--5))-(-5+((-5*-28.77)*(((-5--5)+(-28.77--5))+-28.77))))-(-5+-5)))*-5)))/-5)--5)+(-5*(((-28.77*(-28.77-(-5/-5)))*(-28.77-(-28.77/(-5*-28.77))))-(-5/-5)))))</f>
        <v>-120825.23646500001</v>
      </c>
      <c r="C7124" t="n" s="0">
        <v>-120825.236465</v>
      </c>
    </row>
    <row r="7125">
      <c r="A7125" t="n" s="0">
        <v>-28.76</v>
      </c>
      <c r="B7125" t="n" s="0">
        <f>(-5-((((-5*(-5/((-5/(((-5*(-28.76--5))-(-5+((-5*-28.76)*(((-5--5)+(-28.76--5))+-28.76))))-(-5+-5)))*-5)))/-5)--5)+(-5*(((-28.76*(-28.76-(-5/-5)))*(-28.76-(-28.76/(-5*-28.76))))-(-5/-5)))))</f>
        <v>-120699.94208000001</v>
      </c>
      <c r="C7125" t="n" s="0">
        <v>-120699.94208000001</v>
      </c>
    </row>
    <row r="7126">
      <c r="A7126" t="n" s="0">
        <v>-28.75</v>
      </c>
      <c r="B7126" t="n" s="0">
        <f>(-5-((((-5*(-5/((-5/(((-5*(-28.75--5))-(-5+((-5*-28.75)*(((-5--5)+(-28.75--5))+-28.75))))-(-5+-5)))*-5)))/-5)--5)+(-5*(((-28.75*(-28.75-(-5/-5)))*(-28.75-(-28.75/(-5*-28.75))))-(-5/-5)))))</f>
        <v>-120574.734375</v>
      </c>
      <c r="C7126" t="n" s="0">
        <v>-120574.734375</v>
      </c>
    </row>
    <row r="7127">
      <c r="A7127" t="n" s="0">
        <v>-28.74</v>
      </c>
      <c r="B7127" t="n" s="0">
        <f>(-5-((((-5*(-5/((-5/(((-5*(-28.74--5))-(-5+((-5*-28.74)*(((-5--5)+(-28.74--5))+-28.74))))-(-5+-5)))*-5)))/-5)--5)+(-5*(((-28.74*(-28.74-(-5/-5)))*(-28.74-(-28.74/(-5*-28.74))))-(-5/-5)))))</f>
        <v>-120449.61332</v>
      </c>
      <c r="C7127" t="n" s="0">
        <v>-120449.61331999997</v>
      </c>
    </row>
    <row r="7128">
      <c r="A7128" t="n" s="0">
        <v>-28.73</v>
      </c>
      <c r="B7128" t="n" s="0">
        <f>(-5-((((-5*(-5/((-5/(((-5*(-28.73--5))-(-5+((-5*-28.73)*(((-5--5)+(-28.73--5))+-28.73))))-(-5+-5)))*-5)))/-5)--5)+(-5*(((-28.73*(-28.73-(-5/-5)))*(-28.73-(-28.73/(-5*-28.73))))-(-5/-5)))))</f>
        <v>-120324.57888500001</v>
      </c>
      <c r="C7128" t="n" s="0">
        <v>-120324.57888500002</v>
      </c>
    </row>
    <row r="7129">
      <c r="A7129" t="n" s="0">
        <v>-28.72</v>
      </c>
      <c r="B7129" t="n" s="0">
        <f>(-5-((((-5*(-5/((-5/(((-5*(-28.72--5))-(-5+((-5*-28.72)*(((-5--5)+(-28.72--5))+-28.72))))-(-5+-5)))*-5)))/-5)--5)+(-5*(((-28.72*(-28.72-(-5/-5)))*(-28.72-(-28.72/(-5*-28.72))))-(-5/-5)))))</f>
        <v>-120199.63104000001</v>
      </c>
      <c r="C7129" t="n" s="0">
        <v>-120199.63104</v>
      </c>
    </row>
    <row r="7130">
      <c r="A7130" t="n" s="0">
        <v>-28.71</v>
      </c>
      <c r="B7130" t="n" s="0">
        <f>(-5-((((-5*(-5/((-5/(((-5*(-28.71--5))-(-5+((-5*-28.71)*(((-5--5)+(-28.71--5))+-28.71))))-(-5+-5)))*-5)))/-5)--5)+(-5*(((-28.71*(-28.71-(-5/-5)))*(-28.71-(-28.71/(-5*-28.71))))-(-5/-5)))))</f>
        <v>-120074.769755</v>
      </c>
      <c r="C7130" t="n" s="0">
        <v>-120074.76975500002</v>
      </c>
    </row>
    <row r="7131">
      <c r="A7131" t="n" s="0">
        <v>-28.7</v>
      </c>
      <c r="B7131" t="n" s="0">
        <f>(-5-((((-5*(-5/((-5/(((-5*(-28.7--5))-(-5+((-5*-28.7)*(((-5--5)+(-28.7--5))+-28.7))))-(-5+-5)))*-5)))/-5)--5)+(-5*(((-28.7*(-28.7-(-5/-5)))*(-28.7-(-28.7/(-5*-28.7))))-(-5/-5)))))</f>
        <v>-119949.995</v>
      </c>
      <c r="C7131" t="n" s="0">
        <v>-119949.995</v>
      </c>
    </row>
    <row r="7132">
      <c r="A7132" t="n" s="0">
        <v>-28.69</v>
      </c>
      <c r="B7132" t="n" s="0">
        <f>(-5-((((-5*(-5/((-5/(((-5*(-28.69--5))-(-5+((-5*-28.69)*(((-5--5)+(-28.69--5))+-28.69))))-(-5+-5)))*-5)))/-5)--5)+(-5*(((-28.69*(-28.69-(-5/-5)))*(-28.69-(-28.69/(-5*-28.69))))-(-5/-5)))))</f>
        <v>-119825.306745</v>
      </c>
      <c r="C7132" t="n" s="0">
        <v>-119825.30674500002</v>
      </c>
    </row>
    <row r="7133">
      <c r="A7133" t="n" s="0">
        <v>-28.68</v>
      </c>
      <c r="B7133" t="n" s="0">
        <f>(-5-((((-5*(-5/((-5/(((-5*(-28.68--5))-(-5+((-5*-28.68)*(((-5--5)+(-28.68--5))+-28.68))))-(-5+-5)))*-5)))/-5)--5)+(-5*(((-28.68*(-28.68-(-5/-5)))*(-28.68-(-28.68/(-5*-28.68))))-(-5/-5)))))</f>
        <v>-119700.70496</v>
      </c>
      <c r="C7133" t="n" s="0">
        <v>-119700.70495999999</v>
      </c>
    </row>
    <row r="7134">
      <c r="A7134" t="n" s="0">
        <v>-28.67</v>
      </c>
      <c r="B7134" t="n" s="0">
        <f>(-5-((((-5*(-5/((-5/(((-5*(-28.67--5))-(-5+((-5*-28.67)*(((-5--5)+(-28.67--5))+-28.67))))-(-5+-5)))*-5)))/-5)--5)+(-5*(((-28.67*(-28.67-(-5/-5)))*(-28.67-(-28.67/(-5*-28.67))))-(-5/-5)))))</f>
        <v>-119576.189615</v>
      </c>
      <c r="C7134" t="n" s="0">
        <v>-119576.18961500001</v>
      </c>
    </row>
    <row r="7135">
      <c r="A7135" t="n" s="0">
        <v>-28.66</v>
      </c>
      <c r="B7135" t="n" s="0">
        <f>(-5-((((-5*(-5/((-5/(((-5*(-28.66--5))-(-5+((-5*-28.66)*(((-5--5)+(-28.66--5))+-28.66))))-(-5+-5)))*-5)))/-5)--5)+(-5*(((-28.66*(-28.66-(-5/-5)))*(-28.66-(-28.66/(-5*-28.66))))-(-5/-5)))))</f>
        <v>-119451.76068</v>
      </c>
      <c r="C7135" t="n" s="0">
        <v>-119451.76068</v>
      </c>
    </row>
    <row r="7136">
      <c r="A7136" t="n" s="0">
        <v>-28.65</v>
      </c>
      <c r="B7136" t="n" s="0">
        <f>(-5-((((-5*(-5/((-5/(((-5*(-28.65--5))-(-5+((-5*-28.65)*(((-5--5)+(-28.65--5))+-28.65))))-(-5+-5)))*-5)))/-5)--5)+(-5*(((-28.65*(-28.65-(-5/-5)))*(-28.65-(-28.65/(-5*-28.65))))-(-5/-5)))))</f>
        <v>-119327.418125</v>
      </c>
      <c r="C7136" t="n" s="0">
        <v>-119327.41812499998</v>
      </c>
    </row>
    <row r="7137">
      <c r="A7137" t="n" s="0">
        <v>-28.64</v>
      </c>
      <c r="B7137" t="n" s="0">
        <f>(-5-((((-5*(-5/((-5/(((-5*(-28.64--5))-(-5+((-5*-28.64)*(((-5--5)+(-28.64--5))+-28.64))))-(-5+-5)))*-5)))/-5)--5)+(-5*(((-28.64*(-28.64-(-5/-5)))*(-28.64-(-28.64/(-5*-28.64))))-(-5/-5)))))</f>
        <v>-119203.16192000001</v>
      </c>
      <c r="C7137" t="n" s="0">
        <v>-119203.16192000001</v>
      </c>
    </row>
    <row r="7138">
      <c r="A7138" t="n" s="0">
        <v>-28.63</v>
      </c>
      <c r="B7138" t="n" s="0">
        <f>(-5-((((-5*(-5/((-5/(((-5*(-28.63--5))-(-5+((-5*-28.63)*(((-5--5)+(-28.63--5))+-28.63))))-(-5+-5)))*-5)))/-5)--5)+(-5*(((-28.63*(-28.63-(-5/-5)))*(-28.63-(-28.63/(-5*-28.63))))-(-5/-5)))))</f>
        <v>-119078.992035</v>
      </c>
      <c r="C7138" t="n" s="0">
        <v>-119078.99203499999</v>
      </c>
    </row>
    <row r="7139">
      <c r="A7139" t="n" s="0">
        <v>-28.62</v>
      </c>
      <c r="B7139" t="n" s="0">
        <f>(-5-((((-5*(-5/((-5/(((-5*(-28.62--5))-(-5+((-5*-28.62)*(((-5--5)+(-28.62--5))+-28.62))))-(-5+-5)))*-5)))/-5)--5)+(-5*(((-28.62*(-28.62-(-5/-5)))*(-28.62-(-28.62/(-5*-28.62))))-(-5/-5)))))</f>
        <v>-118954.90844</v>
      </c>
      <c r="C7139" t="n" s="0">
        <v>-118954.90844</v>
      </c>
    </row>
    <row r="7140">
      <c r="A7140" t="n" s="0">
        <v>-28.61</v>
      </c>
      <c r="B7140" t="n" s="0">
        <f>(-5-((((-5*(-5/((-5/(((-5*(-28.61--5))-(-5+((-5*-28.61)*(((-5--5)+(-28.61--5))+-28.61))))-(-5+-5)))*-5)))/-5)--5)+(-5*(((-28.61*(-28.61-(-5/-5)))*(-28.61-(-28.61/(-5*-28.61))))-(-5/-5)))))</f>
        <v>-118830.91110499999</v>
      </c>
      <c r="C7140" t="n" s="0">
        <v>-118830.91110499999</v>
      </c>
    </row>
    <row r="7141">
      <c r="A7141" t="n" s="0">
        <v>-28.6</v>
      </c>
      <c r="B7141" t="n" s="0">
        <f>(-5-((((-5*(-5/((-5/(((-5*(-28.6--5))-(-5+((-5*-28.6)*(((-5--5)+(-28.6--5))+-28.6))))-(-5+-5)))*-5)))/-5)--5)+(-5*(((-28.6*(-28.6-(-5/-5)))*(-28.6-(-28.6/(-5*-28.6))))-(-5/-5)))))</f>
        <v>-118707.0</v>
      </c>
      <c r="C7141" t="n" s="0">
        <v>-118707.00000000001</v>
      </c>
    </row>
    <row r="7142">
      <c r="A7142" t="n" s="0">
        <v>-28.59</v>
      </c>
      <c r="B7142" t="n" s="0">
        <f>(-5-((((-5*(-5/((-5/(((-5*(-28.59--5))-(-5+((-5*-28.59)*(((-5--5)+(-28.59--5))+-28.59))))-(-5+-5)))*-5)))/-5)--5)+(-5*(((-28.59*(-28.59-(-5/-5)))*(-28.59-(-28.59/(-5*-28.59))))-(-5/-5)))))</f>
        <v>-118583.175095</v>
      </c>
      <c r="C7142" t="n" s="0">
        <v>-118583.17509499998</v>
      </c>
    </row>
    <row r="7143">
      <c r="A7143" t="n" s="0">
        <v>-28.58</v>
      </c>
      <c r="B7143" t="n" s="0">
        <f>(-5-((((-5*(-5/((-5/(((-5*(-28.58--5))-(-5+((-5*-28.58)*(((-5--5)+(-28.58--5))+-28.58))))-(-5+-5)))*-5)))/-5)--5)+(-5*(((-28.58*(-28.58-(-5/-5)))*(-28.58-(-28.58/(-5*-28.58))))-(-5/-5)))))</f>
        <v>-118459.43636</v>
      </c>
      <c r="C7143" t="n" s="0">
        <v>-118459.43635999999</v>
      </c>
    </row>
    <row r="7144">
      <c r="A7144" t="n" s="0">
        <v>-28.57</v>
      </c>
      <c r="B7144" t="n" s="0">
        <f>(-5-((((-5*(-5/((-5/(((-5*(-28.57--5))-(-5+((-5*-28.57)*(((-5--5)+(-28.57--5))+-28.57))))-(-5+-5)))*-5)))/-5)--5)+(-5*(((-28.57*(-28.57-(-5/-5)))*(-28.57-(-28.57/(-5*-28.57))))-(-5/-5)))))</f>
        <v>-118335.783765</v>
      </c>
      <c r="C7144" t="n" s="0">
        <v>-118335.783765</v>
      </c>
    </row>
    <row r="7145">
      <c r="A7145" t="n" s="0">
        <v>-28.56</v>
      </c>
      <c r="B7145" t="n" s="0">
        <f>(-5-((((-5*(-5/((-5/(((-5*(-28.56--5))-(-5+((-5*-28.56)*(((-5--5)+(-28.56--5))+-28.56))))-(-5+-5)))*-5)))/-5)--5)+(-5*(((-28.56*(-28.56-(-5/-5)))*(-28.56-(-28.56/(-5*-28.56))))-(-5/-5)))))</f>
        <v>-118212.21728</v>
      </c>
      <c r="C7145" t="n" s="0">
        <v>-118212.21727999998</v>
      </c>
    </row>
    <row r="7146">
      <c r="A7146" t="n" s="0">
        <v>-28.55</v>
      </c>
      <c r="B7146" t="n" s="0">
        <f>(-5-((((-5*(-5/((-5/(((-5*(-28.55--5))-(-5+((-5*-28.55)*(((-5--5)+(-28.55--5))+-28.55))))-(-5+-5)))*-5)))/-5)--5)+(-5*(((-28.55*(-28.55-(-5/-5)))*(-28.55-(-28.55/(-5*-28.55))))-(-5/-5)))))</f>
        <v>-118088.736875</v>
      </c>
      <c r="C7146" t="n" s="0">
        <v>-118088.73687500002</v>
      </c>
    </row>
    <row r="7147">
      <c r="A7147" t="n" s="0">
        <v>-28.54</v>
      </c>
      <c r="B7147" t="n" s="0">
        <f>(-5-((((-5*(-5/((-5/(((-5*(-28.54--5))-(-5+((-5*-28.54)*(((-5--5)+(-28.54--5))+-28.54))))-(-5+-5)))*-5)))/-5)--5)+(-5*(((-28.54*(-28.54-(-5/-5)))*(-28.54-(-28.54/(-5*-28.54))))-(-5/-5)))))</f>
        <v>-117965.34252</v>
      </c>
      <c r="C7147" t="n" s="0">
        <v>-117965.34251999999</v>
      </c>
    </row>
    <row r="7148">
      <c r="A7148" t="n" s="0">
        <v>-28.53</v>
      </c>
      <c r="B7148" t="n" s="0">
        <f>(-5-((((-5*(-5/((-5/(((-5*(-28.53--5))-(-5+((-5*-28.53)*(((-5--5)+(-28.53--5))+-28.53))))-(-5+-5)))*-5)))/-5)--5)+(-5*(((-28.53*(-28.53-(-5/-5)))*(-28.53-(-28.53/(-5*-28.53))))-(-5/-5)))))</f>
        <v>-117842.034185</v>
      </c>
      <c r="C7148" t="n" s="0">
        <v>-117842.034185</v>
      </c>
    </row>
    <row r="7149">
      <c r="A7149" t="n" s="0">
        <v>-28.52</v>
      </c>
      <c r="B7149" t="n" s="0">
        <f>(-5-((((-5*(-5/((-5/(((-5*(-28.52--5))-(-5+((-5*-28.52)*(((-5--5)+(-28.52--5))+-28.52))))-(-5+-5)))*-5)))/-5)--5)+(-5*(((-28.52*(-28.52-(-5/-5)))*(-28.52-(-28.52/(-5*-28.52))))-(-5/-5)))))</f>
        <v>-117718.81184</v>
      </c>
      <c r="C7149" t="n" s="0">
        <v>-117718.81183999998</v>
      </c>
    </row>
    <row r="7150">
      <c r="A7150" t="n" s="0">
        <v>-28.51</v>
      </c>
      <c r="B7150" t="n" s="0">
        <f>(-5-((((-5*(-5/((-5/(((-5*(-28.51--5))-(-5+((-5*-28.51)*(((-5--5)+(-28.51--5))+-28.51))))-(-5+-5)))*-5)))/-5)--5)+(-5*(((-28.51*(-28.51-(-5/-5)))*(-28.51-(-28.51/(-5*-28.51))))-(-5/-5)))))</f>
        <v>-117595.675455</v>
      </c>
      <c r="C7150" t="n" s="0">
        <v>-117595.675455</v>
      </c>
    </row>
    <row r="7151">
      <c r="A7151" t="n" s="0">
        <v>-28.5</v>
      </c>
      <c r="B7151" t="n" s="0">
        <f>(-5-((((-5*(-5/((-5/(((-5*(-28.5--5))-(-5+((-5*-28.5)*(((-5--5)+(-28.5--5))+-28.5))))-(-5+-5)))*-5)))/-5)--5)+(-5*(((-28.5*(-28.5-(-5/-5)))*(-28.5-(-28.5/(-5*-28.5))))-(-5/-5)))))</f>
        <v>-117472.625</v>
      </c>
      <c r="C7151" t="n" s="0">
        <v>-117472.625</v>
      </c>
    </row>
    <row r="7152">
      <c r="A7152" t="n" s="0">
        <v>-28.49</v>
      </c>
      <c r="B7152" t="n" s="0">
        <f>(-5-((((-5*(-5/((-5/(((-5*(-28.49--5))-(-5+((-5*-28.49)*(((-5--5)+(-28.49--5))+-28.49))))-(-5+-5)))*-5)))/-5)--5)+(-5*(((-28.49*(-28.49-(-5/-5)))*(-28.49-(-28.49/(-5*-28.49))))-(-5/-5)))))</f>
        <v>-117349.660445</v>
      </c>
      <c r="C7152" t="n" s="0">
        <v>-117349.66044499997</v>
      </c>
    </row>
    <row r="7153">
      <c r="A7153" t="n" s="0">
        <v>-28.48</v>
      </c>
      <c r="B7153" t="n" s="0">
        <f>(-5-((((-5*(-5/((-5/(((-5*(-28.48--5))-(-5+((-5*-28.48)*(((-5--5)+(-28.48--5))+-28.48))))-(-5+-5)))*-5)))/-5)--5)+(-5*(((-28.48*(-28.48-(-5/-5)))*(-28.48-(-28.48/(-5*-28.48))))-(-5/-5)))))</f>
        <v>-117226.78176</v>
      </c>
      <c r="C7153" t="n" s="0">
        <v>-117226.78176000001</v>
      </c>
    </row>
    <row r="7154">
      <c r="A7154" t="n" s="0">
        <v>-28.47</v>
      </c>
      <c r="B7154" t="n" s="0">
        <f>(-5-((((-5*(-5/((-5/(((-5*(-28.47--5))-(-5+((-5*-28.47)*(((-5--5)+(-28.47--5))+-28.47))))-(-5+-5)))*-5)))/-5)--5)+(-5*(((-28.47*(-28.47-(-5/-5)))*(-28.47-(-28.47/(-5*-28.47))))-(-5/-5)))))</f>
        <v>-117103.98891500001</v>
      </c>
      <c r="C7154" t="n" s="0">
        <v>-117103.98891499998</v>
      </c>
    </row>
    <row r="7155">
      <c r="A7155" t="n" s="0">
        <v>-28.46</v>
      </c>
      <c r="B7155" t="n" s="0">
        <f>(-5-((((-5*(-5/((-5/(((-5*(-28.46--5))-(-5+((-5*-28.46)*(((-5--5)+(-28.46--5))+-28.46))))-(-5+-5)))*-5)))/-5)--5)+(-5*(((-28.46*(-28.46-(-5/-5)))*(-28.46-(-28.46/(-5*-28.46))))-(-5/-5)))))</f>
        <v>-116981.28188</v>
      </c>
      <c r="C7155" t="n" s="0">
        <v>-116981.28188000001</v>
      </c>
    </row>
    <row r="7156">
      <c r="A7156" t="n" s="0">
        <v>-28.45</v>
      </c>
      <c r="B7156" t="n" s="0">
        <f>(-5-((((-5*(-5/((-5/(((-5*(-28.45--5))-(-5+((-5*-28.45)*(((-5--5)+(-28.45--5))+-28.45))))-(-5+-5)))*-5)))/-5)--5)+(-5*(((-28.45*(-28.45-(-5/-5)))*(-28.45-(-28.45/(-5*-28.45))))-(-5/-5)))))</f>
        <v>-116858.66062499999</v>
      </c>
      <c r="C7156" t="n" s="0">
        <v>-116858.66062499999</v>
      </c>
    </row>
    <row r="7157">
      <c r="A7157" t="n" s="0">
        <v>-28.44</v>
      </c>
      <c r="B7157" t="n" s="0">
        <f>(-5-((((-5*(-5/((-5/(((-5*(-28.44--5))-(-5+((-5*-28.44)*(((-5--5)+(-28.44--5))+-28.44))))-(-5+-5)))*-5)))/-5)--5)+(-5*(((-28.44*(-28.44-(-5/-5)))*(-28.44-(-28.44/(-5*-28.44))))-(-5/-5)))))</f>
        <v>-116736.12512</v>
      </c>
      <c r="C7157" t="n" s="0">
        <v>-116736.12512000003</v>
      </c>
    </row>
    <row r="7158">
      <c r="A7158" t="n" s="0">
        <v>-28.43</v>
      </c>
      <c r="B7158" t="n" s="0">
        <f>(-5-((((-5*(-5/((-5/(((-5*(-28.43--5))-(-5+((-5*-28.43)*(((-5--5)+(-28.43--5))+-28.43))))-(-5+-5)))*-5)))/-5)--5)+(-5*(((-28.43*(-28.43-(-5/-5)))*(-28.43-(-28.43/(-5*-28.43))))-(-5/-5)))))</f>
        <v>-116613.67533499999</v>
      </c>
      <c r="C7158" t="n" s="0">
        <v>-116613.67533499998</v>
      </c>
    </row>
    <row r="7159">
      <c r="A7159" t="n" s="0">
        <v>-28.42</v>
      </c>
      <c r="B7159" t="n" s="0">
        <f>(-5-((((-5*(-5/((-5/(((-5*(-28.42--5))-(-5+((-5*-28.42)*(((-5--5)+(-28.42--5))+-28.42))))-(-5+-5)))*-5)))/-5)--5)+(-5*(((-28.42*(-28.42-(-5/-5)))*(-28.42-(-28.42/(-5*-28.42))))-(-5/-5)))))</f>
        <v>-116491.31124000001</v>
      </c>
      <c r="C7159" t="n" s="0">
        <v>-116491.31124000001</v>
      </c>
    </row>
    <row r="7160">
      <c r="A7160" t="n" s="0">
        <v>-28.41</v>
      </c>
      <c r="B7160" t="n" s="0">
        <f>(-5-((((-5*(-5/((-5/(((-5*(-28.41--5))-(-5+((-5*-28.41)*(((-5--5)+(-28.41--5))+-28.41))))-(-5+-5)))*-5)))/-5)--5)+(-5*(((-28.41*(-28.41-(-5/-5)))*(-28.41-(-28.41/(-5*-28.41))))-(-5/-5)))))</f>
        <v>-116369.032805</v>
      </c>
      <c r="C7160" t="n" s="0">
        <v>-116369.03280500001</v>
      </c>
    </row>
    <row r="7161">
      <c r="A7161" t="n" s="0">
        <v>-28.4</v>
      </c>
      <c r="B7161" t="n" s="0">
        <f>(-5-((((-5*(-5/((-5/(((-5*(-28.4--5))-(-5+((-5*-28.4)*(((-5--5)+(-28.4--5))+-28.4))))-(-5+-5)))*-5)))/-5)--5)+(-5*(((-28.4*(-28.4-(-5/-5)))*(-28.4-(-28.4/(-5*-28.4))))-(-5/-5)))))</f>
        <v>-116246.84</v>
      </c>
      <c r="C7161" t="n" s="0">
        <v>-116246.83999999998</v>
      </c>
    </row>
    <row r="7162">
      <c r="A7162" t="n" s="0">
        <v>-28.39</v>
      </c>
      <c r="B7162" t="n" s="0">
        <f>(-5-((((-5*(-5/((-5/(((-5*(-28.39--5))-(-5+((-5*-28.39)*(((-5--5)+(-28.39--5))+-28.39))))-(-5+-5)))*-5)))/-5)--5)+(-5*(((-28.39*(-28.39-(-5/-5)))*(-28.39-(-28.39/(-5*-28.39))))-(-5/-5)))))</f>
        <v>-116124.732795</v>
      </c>
      <c r="C7162" t="n" s="0">
        <v>-116124.732795</v>
      </c>
    </row>
    <row r="7163">
      <c r="A7163" t="n" s="0">
        <v>-28.38</v>
      </c>
      <c r="B7163" t="n" s="0">
        <f>(-5-((((-5*(-5/((-5/(((-5*(-28.38--5))-(-5+((-5*-28.38)*(((-5--5)+(-28.38--5))+-28.38))))-(-5+-5)))*-5)))/-5)--5)+(-5*(((-28.38*(-28.38-(-5/-5)))*(-28.38-(-28.38/(-5*-28.38))))-(-5/-5)))))</f>
        <v>-116002.71115999999</v>
      </c>
      <c r="C7163" t="n" s="0">
        <v>-116002.71116</v>
      </c>
    </row>
    <row r="7164">
      <c r="A7164" t="n" s="0">
        <v>-28.37</v>
      </c>
      <c r="B7164" t="n" s="0">
        <f>(-5-((((-5*(-5/((-5/(((-5*(-28.37--5))-(-5+((-5*-28.37)*(((-5--5)+(-28.37--5))+-28.37))))-(-5+-5)))*-5)))/-5)--5)+(-5*(((-28.37*(-28.37-(-5/-5)))*(-28.37-(-28.37/(-5*-28.37))))-(-5/-5)))))</f>
        <v>-115880.775065</v>
      </c>
      <c r="C7164" t="n" s="0">
        <v>-115880.77506500001</v>
      </c>
    </row>
    <row r="7165">
      <c r="A7165" t="n" s="0">
        <v>-28.36</v>
      </c>
      <c r="B7165" t="n" s="0">
        <f>(-5-((((-5*(-5/((-5/(((-5*(-28.36--5))-(-5+((-5*-28.36)*(((-5--5)+(-28.36--5))+-28.36))))-(-5+-5)))*-5)))/-5)--5)+(-5*(((-28.36*(-28.36-(-5/-5)))*(-28.36-(-28.36/(-5*-28.36))))-(-5/-5)))))</f>
        <v>-115758.92448</v>
      </c>
      <c r="C7165" t="n" s="0">
        <v>-115758.92447999999</v>
      </c>
    </row>
    <row r="7166">
      <c r="A7166" t="n" s="0">
        <v>-28.35</v>
      </c>
      <c r="B7166" t="n" s="0">
        <f>(-5-((((-5*(-5/((-5/(((-5*(-28.35--5))-(-5+((-5*-28.35)*(((-5--5)+(-28.35--5))+-28.35))))-(-5+-5)))*-5)))/-5)--5)+(-5*(((-28.35*(-28.35-(-5/-5)))*(-28.35-(-28.35/(-5*-28.35))))-(-5/-5)))))</f>
        <v>-115637.159375</v>
      </c>
      <c r="C7166" t="n" s="0">
        <v>-115637.15937500003</v>
      </c>
    </row>
    <row r="7167">
      <c r="A7167" t="n" s="0">
        <v>-28.34</v>
      </c>
      <c r="B7167" t="n" s="0">
        <f>(-5-((((-5*(-5/((-5/(((-5*(-28.34--5))-(-5+((-5*-28.34)*(((-5--5)+(-28.34--5))+-28.34))))-(-5+-5)))*-5)))/-5)--5)+(-5*(((-28.34*(-28.34-(-5/-5)))*(-28.34-(-28.34/(-5*-28.34))))-(-5/-5)))))</f>
        <v>-115515.47972</v>
      </c>
      <c r="C7167" t="n" s="0">
        <v>-115515.47971999999</v>
      </c>
    </row>
    <row r="7168">
      <c r="A7168" t="n" s="0">
        <v>-28.33</v>
      </c>
      <c r="B7168" t="n" s="0">
        <f>(-5-((((-5*(-5/((-5/(((-5*(-28.33--5))-(-5+((-5*-28.33)*(((-5--5)+(-28.33--5))+-28.33))))-(-5+-5)))*-5)))/-5)--5)+(-5*(((-28.33*(-28.33-(-5/-5)))*(-28.33-(-28.33/(-5*-28.33))))-(-5/-5)))))</f>
        <v>-115393.885485</v>
      </c>
      <c r="C7168" t="n" s="0">
        <v>-115393.88548499999</v>
      </c>
    </row>
    <row r="7169">
      <c r="A7169" t="n" s="0">
        <v>-28.32</v>
      </c>
      <c r="B7169" t="n" s="0">
        <f>(-5-((((-5*(-5/((-5/(((-5*(-28.32--5))-(-5+((-5*-28.32)*(((-5--5)+(-28.32--5))+-28.32))))-(-5+-5)))*-5)))/-5)--5)+(-5*(((-28.32*(-28.32-(-5/-5)))*(-28.32-(-28.32/(-5*-28.32))))-(-5/-5)))))</f>
        <v>-115272.37664</v>
      </c>
      <c r="C7169" t="n" s="0">
        <v>-115272.37664000002</v>
      </c>
    </row>
    <row r="7170">
      <c r="A7170" t="n" s="0">
        <v>-28.31</v>
      </c>
      <c r="B7170" t="n" s="0">
        <f>(-5-((((-5*(-5/((-5/(((-5*(-28.31--5))-(-5+((-5*-28.31)*(((-5--5)+(-28.31--5))+-28.31))))-(-5+-5)))*-5)))/-5)--5)+(-5*(((-28.31*(-28.31-(-5/-5)))*(-28.31-(-28.31/(-5*-28.31))))-(-5/-5)))))</f>
        <v>-115150.953155</v>
      </c>
      <c r="C7170" t="n" s="0">
        <v>-115150.95315499998</v>
      </c>
    </row>
    <row r="7171">
      <c r="A7171" t="n" s="0">
        <v>-28.3</v>
      </c>
      <c r="B7171" t="n" s="0">
        <f>(-5-((((-5*(-5/((-5/(((-5*(-28.3--5))-(-5+((-5*-28.3)*(((-5--5)+(-28.3--5))+-28.3))))-(-5+-5)))*-5)))/-5)--5)+(-5*(((-28.3*(-28.3-(-5/-5)))*(-28.3-(-28.3/(-5*-28.3))))-(-5/-5)))))</f>
        <v>-115029.615</v>
      </c>
      <c r="C7171" t="n" s="0">
        <v>-115029.615</v>
      </c>
    </row>
    <row r="7172">
      <c r="A7172" t="n" s="0">
        <v>-28.29</v>
      </c>
      <c r="B7172" t="n" s="0">
        <f>(-5-((((-5*(-5/((-5/(((-5*(-28.29--5))-(-5+((-5*-28.29)*(((-5--5)+(-28.29--5))+-28.29))))-(-5+-5)))*-5)))/-5)--5)+(-5*(((-28.29*(-28.29-(-5/-5)))*(-28.29-(-28.29/(-5*-28.29))))-(-5/-5)))))</f>
        <v>-114908.36214499999</v>
      </c>
      <c r="C7172" t="n" s="0">
        <v>-114908.36214499999</v>
      </c>
    </row>
    <row r="7173">
      <c r="A7173" t="n" s="0">
        <v>-28.28</v>
      </c>
      <c r="B7173" t="n" s="0">
        <f>(-5-((((-5*(-5/((-5/(((-5*(-28.28--5))-(-5+((-5*-28.28)*(((-5--5)+(-28.28--5))+-28.28))))-(-5+-5)))*-5)))/-5)--5)+(-5*(((-28.28*(-28.28-(-5/-5)))*(-28.28-(-28.28/(-5*-28.28))))-(-5/-5)))))</f>
        <v>-114787.19456</v>
      </c>
      <c r="C7173" t="n" s="0">
        <v>-114787.19456</v>
      </c>
    </row>
    <row r="7174">
      <c r="A7174" t="n" s="0">
        <v>-28.27</v>
      </c>
      <c r="B7174" t="n" s="0">
        <f>(-5-((((-5*(-5/((-5/(((-5*(-28.27--5))-(-5+((-5*-28.27)*(((-5--5)+(-28.27--5))+-28.27))))-(-5+-5)))*-5)))/-5)--5)+(-5*(((-28.27*(-28.27-(-5/-5)))*(-28.27-(-28.27/(-5*-28.27))))-(-5/-5)))))</f>
        <v>-114666.112215</v>
      </c>
      <c r="C7174" t="n" s="0">
        <v>-114666.11221499999</v>
      </c>
    </row>
    <row r="7175">
      <c r="A7175" t="n" s="0">
        <v>-28.26</v>
      </c>
      <c r="B7175" t="n" s="0">
        <f>(-5-((((-5*(-5/((-5/(((-5*(-28.26--5))-(-5+((-5*-28.26)*(((-5--5)+(-28.26--5))+-28.26))))-(-5+-5)))*-5)))/-5)--5)+(-5*(((-28.26*(-28.26-(-5/-5)))*(-28.26-(-28.26/(-5*-28.26))))-(-5/-5)))))</f>
        <v>-114545.11507999999</v>
      </c>
      <c r="C7175" t="n" s="0">
        <v>-114545.11508000002</v>
      </c>
    </row>
    <row r="7176">
      <c r="A7176" t="n" s="0">
        <v>-28.25</v>
      </c>
      <c r="B7176" t="n" s="0">
        <f>(-5-((((-5*(-5/((-5/(((-5*(-28.25--5))-(-5+((-5*-28.25)*(((-5--5)+(-28.25--5))+-28.25))))-(-5+-5)))*-5)))/-5)--5)+(-5*(((-28.25*(-28.25-(-5/-5)))*(-28.25-(-28.25/(-5*-28.25))))-(-5/-5)))))</f>
        <v>-114424.203125</v>
      </c>
      <c r="C7176" t="n" s="0">
        <v>-114424.203125</v>
      </c>
    </row>
    <row r="7177">
      <c r="A7177" t="n" s="0">
        <v>-28.24</v>
      </c>
      <c r="B7177" t="n" s="0">
        <f>(-5-((((-5*(-5/((-5/(((-5*(-28.24--5))-(-5+((-5*-28.24)*(((-5--5)+(-28.24--5))+-28.24))))-(-5+-5)))*-5)))/-5)--5)+(-5*(((-28.24*(-28.24-(-5/-5)))*(-28.24-(-28.24/(-5*-28.24))))-(-5/-5)))))</f>
        <v>-114303.37632</v>
      </c>
      <c r="C7177" t="n" s="0">
        <v>-114303.37632</v>
      </c>
    </row>
    <row r="7178">
      <c r="A7178" t="n" s="0">
        <v>-28.23</v>
      </c>
      <c r="B7178" t="n" s="0">
        <f>(-5-((((-5*(-5/((-5/(((-5*(-28.23--5))-(-5+((-5*-28.23)*(((-5--5)+(-28.23--5))+-28.23))))-(-5+-5)))*-5)))/-5)--5)+(-5*(((-28.23*(-28.23-(-5/-5)))*(-28.23-(-28.23/(-5*-28.23))))-(-5/-5)))))</f>
        <v>-114182.634635</v>
      </c>
      <c r="C7178" t="n" s="0">
        <v>-114182.63463500001</v>
      </c>
    </row>
    <row r="7179">
      <c r="A7179" t="n" s="0">
        <v>-28.22</v>
      </c>
      <c r="B7179" t="n" s="0">
        <f>(-5-((((-5*(-5/((-5/(((-5*(-28.22--5))-(-5+((-5*-28.22)*(((-5--5)+(-28.22--5))+-28.22))))-(-5+-5)))*-5)))/-5)--5)+(-5*(((-28.22*(-28.22-(-5/-5)))*(-28.22-(-28.22/(-5*-28.22))))-(-5/-5)))))</f>
        <v>-114061.97804</v>
      </c>
      <c r="C7179" t="n" s="0">
        <v>-114061.97803999999</v>
      </c>
    </row>
    <row r="7180">
      <c r="A7180" t="n" s="0">
        <v>-28.21</v>
      </c>
      <c r="B7180" t="n" s="0">
        <f>(-5-((((-5*(-5/((-5/(((-5*(-28.21--5))-(-5+((-5*-28.21)*(((-5--5)+(-28.21--5))+-28.21))))-(-5+-5)))*-5)))/-5)--5)+(-5*(((-28.21*(-28.21-(-5/-5)))*(-28.21-(-28.21/(-5*-28.21))))-(-5/-5)))))</f>
        <v>-113941.40650499999</v>
      </c>
      <c r="C7180" t="n" s="0">
        <v>-113941.40650500002</v>
      </c>
    </row>
    <row r="7181">
      <c r="A7181" t="n" s="0">
        <v>-28.2</v>
      </c>
      <c r="B7181" t="n" s="0">
        <f>(-5-((((-5*(-5/((-5/(((-5*(-28.2--5))-(-5+((-5*-28.2)*(((-5--5)+(-28.2--5))+-28.2))))-(-5+-5)))*-5)))/-5)--5)+(-5*(((-28.2*(-28.2-(-5/-5)))*(-28.2-(-28.2/(-5*-28.2))))-(-5/-5)))))</f>
        <v>-113820.92000000001</v>
      </c>
      <c r="C7181" t="n" s="0">
        <v>-113820.92</v>
      </c>
    </row>
    <row r="7182">
      <c r="A7182" t="n" s="0">
        <v>-28.19</v>
      </c>
      <c r="B7182" t="n" s="0">
        <f>(-5-((((-5*(-5/((-5/(((-5*(-28.19--5))-(-5+((-5*-28.19)*(((-5--5)+(-28.19--5))+-28.19))))-(-5+-5)))*-5)))/-5)--5)+(-5*(((-28.19*(-28.19-(-5/-5)))*(-28.19-(-28.19/(-5*-28.19))))-(-5/-5)))))</f>
        <v>-113700.518495</v>
      </c>
      <c r="C7182" t="n" s="0">
        <v>-113700.51849500001</v>
      </c>
    </row>
    <row r="7183">
      <c r="A7183" t="n" s="0">
        <v>-28.18</v>
      </c>
      <c r="B7183" t="n" s="0">
        <f>(-5-((((-5*(-5/((-5/(((-5*(-28.18--5))-(-5+((-5*-28.18)*(((-5--5)+(-28.18--5))+-28.18))))-(-5+-5)))*-5)))/-5)--5)+(-5*(((-28.18*(-28.18-(-5/-5)))*(-28.18-(-28.18/(-5*-28.18))))-(-5/-5)))))</f>
        <v>-113580.20196</v>
      </c>
      <c r="C7183" t="n" s="0">
        <v>-113580.20195999999</v>
      </c>
    </row>
    <row r="7184">
      <c r="A7184" t="n" s="0">
        <v>-28.17</v>
      </c>
      <c r="B7184" t="n" s="0">
        <f>(-5-((((-5*(-5/((-5/(((-5*(-28.17--5))-(-5+((-5*-28.17)*(((-5--5)+(-28.17--5))+-28.17))))-(-5+-5)))*-5)))/-5)--5)+(-5*(((-28.17*(-28.17-(-5/-5)))*(-28.17-(-28.17/(-5*-28.17))))-(-5/-5)))))</f>
        <v>-113459.970365</v>
      </c>
      <c r="C7184" t="n" s="0">
        <v>-113459.97036500002</v>
      </c>
    </row>
    <row r="7185">
      <c r="A7185" t="n" s="0">
        <v>-28.16</v>
      </c>
      <c r="B7185" t="n" s="0">
        <f>(-5-((((-5*(-5/((-5/(((-5*(-28.16--5))-(-5+((-5*-28.16)*(((-5--5)+(-28.16--5))+-28.16))))-(-5+-5)))*-5)))/-5)--5)+(-5*(((-28.16*(-28.16-(-5/-5)))*(-28.16-(-28.16/(-5*-28.16))))-(-5/-5)))))</f>
        <v>-113339.82368</v>
      </c>
      <c r="C7185" t="n" s="0">
        <v>-113339.82367999999</v>
      </c>
    </row>
    <row r="7186">
      <c r="A7186" t="n" s="0">
        <v>-28.15</v>
      </c>
      <c r="B7186" t="n" s="0">
        <f>(-5-((((-5*(-5/((-5/(((-5*(-28.15--5))-(-5+((-5*-28.15)*(((-5--5)+(-28.15--5))+-28.15))))-(-5+-5)))*-5)))/-5)--5)+(-5*(((-28.15*(-28.15-(-5/-5)))*(-28.15-(-28.15/(-5*-28.15))))-(-5/-5)))))</f>
        <v>-113219.76187500001</v>
      </c>
      <c r="C7186" t="n" s="0">
        <v>-113219.76187499998</v>
      </c>
    </row>
    <row r="7187">
      <c r="A7187" t="n" s="0">
        <v>-28.14</v>
      </c>
      <c r="B7187" t="n" s="0">
        <f>(-5-((((-5*(-5/((-5/(((-5*(-28.14--5))-(-5+((-5*-28.14)*(((-5--5)+(-28.14--5))+-28.14))))-(-5+-5)))*-5)))/-5)--5)+(-5*(((-28.14*(-28.14-(-5/-5)))*(-28.14-(-28.14/(-5*-28.14))))-(-5/-5)))))</f>
        <v>-113099.78492</v>
      </c>
      <c r="C7187" t="n" s="0">
        <v>-113099.78492</v>
      </c>
    </row>
    <row r="7188">
      <c r="A7188" t="n" s="0">
        <v>-28.13</v>
      </c>
      <c r="B7188" t="n" s="0">
        <f>(-5-((((-5*(-5/((-5/(((-5*(-28.13--5))-(-5+((-5*-28.13)*(((-5--5)+(-28.13--5))+-28.13))))-(-5+-5)))*-5)))/-5)--5)+(-5*(((-28.13*(-28.13-(-5/-5)))*(-28.13-(-28.13/(-5*-28.13))))-(-5/-5)))))</f>
        <v>-112979.892785</v>
      </c>
      <c r="C7188" t="n" s="0">
        <v>-112979.89278499999</v>
      </c>
    </row>
    <row r="7189">
      <c r="A7189" t="n" s="0">
        <v>-28.12</v>
      </c>
      <c r="B7189" t="n" s="0">
        <f>(-5-((((-5*(-5/((-5/(((-5*(-28.12--5))-(-5+((-5*-28.12)*(((-5--5)+(-28.12--5))+-28.12))))-(-5+-5)))*-5)))/-5)--5)+(-5*(((-28.12*(-28.12-(-5/-5)))*(-28.12-(-28.12/(-5*-28.12))))-(-5/-5)))))</f>
        <v>-112860.08544</v>
      </c>
      <c r="C7189" t="n" s="0">
        <v>-112860.08544000001</v>
      </c>
    </row>
    <row r="7190">
      <c r="A7190" t="n" s="0">
        <v>-28.11</v>
      </c>
      <c r="B7190" t="n" s="0">
        <f>(-5-((((-5*(-5/((-5/(((-5*(-28.11--5))-(-5+((-5*-28.11)*(((-5--5)+(-28.11--5))+-28.11))))-(-5+-5)))*-5)))/-5)--5)+(-5*(((-28.11*(-28.11-(-5/-5)))*(-28.11-(-28.11/(-5*-28.11))))-(-5/-5)))))</f>
        <v>-112740.362855</v>
      </c>
      <c r="C7190" t="n" s="0">
        <v>-112740.362855</v>
      </c>
    </row>
    <row r="7191">
      <c r="A7191" t="n" s="0">
        <v>-28.1</v>
      </c>
      <c r="B7191" t="n" s="0">
        <f>(-5-((((-5*(-5/((-5/(((-5*(-28.1--5))-(-5+((-5*-28.1)*(((-5--5)+(-28.1--5))+-28.1))))-(-5+-5)))*-5)))/-5)--5)+(-5*(((-28.1*(-28.1-(-5/-5)))*(-28.1-(-28.1/(-5*-28.1))))-(-5/-5)))))</f>
        <v>-112620.72499999999</v>
      </c>
      <c r="C7191" t="n" s="0">
        <v>-112620.72500000002</v>
      </c>
    </row>
    <row r="7192">
      <c r="A7192" t="n" s="0">
        <v>-28.09</v>
      </c>
      <c r="B7192" t="n" s="0">
        <f>(-5-((((-5*(-5/((-5/(((-5*(-28.09--5))-(-5+((-5*-28.09)*(((-5--5)+(-28.09--5))+-28.09))))-(-5+-5)))*-5)))/-5)--5)+(-5*(((-28.09*(-28.09-(-5/-5)))*(-28.09-(-28.09/(-5*-28.09))))-(-5/-5)))))</f>
        <v>-112501.171845</v>
      </c>
      <c r="C7192" t="n" s="0">
        <v>-112501.171845</v>
      </c>
    </row>
    <row r="7193">
      <c r="A7193" t="n" s="0">
        <v>-28.08</v>
      </c>
      <c r="B7193" t="n" s="0">
        <f>(-5-((((-5*(-5/((-5/(((-5*(-28.08--5))-(-5+((-5*-28.08)*(((-5--5)+(-28.08--5))+-28.08))))-(-5+-5)))*-5)))/-5)--5)+(-5*(((-28.08*(-28.08-(-5/-5)))*(-28.08-(-28.08/(-5*-28.08))))-(-5/-5)))))</f>
        <v>-112381.70336</v>
      </c>
      <c r="C7193" t="n" s="0">
        <v>-112381.70335999998</v>
      </c>
    </row>
    <row r="7194">
      <c r="A7194" t="n" s="0">
        <v>-28.07</v>
      </c>
      <c r="B7194" t="n" s="0">
        <f>(-5-((((-5*(-5/((-5/(((-5*(-28.07--5))-(-5+((-5*-28.07)*(((-5--5)+(-28.07--5))+-28.07))))-(-5+-5)))*-5)))/-5)--5)+(-5*(((-28.07*(-28.07-(-5/-5)))*(-28.07-(-28.07/(-5*-28.07))))-(-5/-5)))))</f>
        <v>-112262.319515</v>
      </c>
      <c r="C7194" t="n" s="0">
        <v>-112262.31951500001</v>
      </c>
    </row>
    <row r="7195">
      <c r="A7195" t="n" s="0">
        <v>-28.06</v>
      </c>
      <c r="B7195" t="n" s="0">
        <f>(-5-((((-5*(-5/((-5/(((-5*(-28.06--5))-(-5+((-5*-28.06)*(((-5--5)+(-28.06--5))+-28.06))))-(-5+-5)))*-5)))/-5)--5)+(-5*(((-28.06*(-28.06-(-5/-5)))*(-28.06-(-28.06/(-5*-28.06))))-(-5/-5)))))</f>
        <v>-112143.02028</v>
      </c>
      <c r="C7195" t="n" s="0">
        <v>-112143.02027999997</v>
      </c>
    </row>
    <row r="7196">
      <c r="A7196" t="n" s="0">
        <v>-28.05</v>
      </c>
      <c r="B7196" t="n" s="0">
        <f>(-5-((((-5*(-5/((-5/(((-5*(-28.05--5))-(-5+((-5*-28.05)*(((-5--5)+(-28.05--5))+-28.05))))-(-5+-5)))*-5)))/-5)--5)+(-5*(((-28.05*(-28.05-(-5/-5)))*(-28.05-(-28.05/(-5*-28.05))))-(-5/-5)))))</f>
        <v>-112023.80562500001</v>
      </c>
      <c r="C7196" t="n" s="0">
        <v>-112023.805625</v>
      </c>
    </row>
    <row r="7197">
      <c r="A7197" t="n" s="0">
        <v>-28.04</v>
      </c>
      <c r="B7197" t="n" s="0">
        <f>(-5-((((-5*(-5/((-5/(((-5*(-28.04--5))-(-5+((-5*-28.04)*(((-5--5)+(-28.04--5))+-28.04))))-(-5+-5)))*-5)))/-5)--5)+(-5*(((-28.04*(-28.04-(-5/-5)))*(-28.04-(-28.04/(-5*-28.04))))-(-5/-5)))))</f>
        <v>-111904.67552</v>
      </c>
      <c r="C7197" t="n" s="0">
        <v>-111904.67551999998</v>
      </c>
    </row>
    <row r="7198">
      <c r="A7198" t="n" s="0">
        <v>-28.03</v>
      </c>
      <c r="B7198" t="n" s="0">
        <f>(-5-((((-5*(-5/((-5/(((-5*(-28.03--5))-(-5+((-5*-28.03)*(((-5--5)+(-28.03--5))+-28.03))))-(-5+-5)))*-5)))/-5)--5)+(-5*(((-28.03*(-28.03-(-5/-5)))*(-28.03-(-28.03/(-5*-28.03))))-(-5/-5)))))</f>
        <v>-111785.62993499999</v>
      </c>
      <c r="C7198" t="n" s="0">
        <v>-111785.62993500002</v>
      </c>
    </row>
    <row r="7199">
      <c r="A7199" t="n" s="0">
        <v>-28.02</v>
      </c>
      <c r="B7199" t="n" s="0">
        <f>(-5-((((-5*(-5/((-5/(((-5*(-28.02--5))-(-5+((-5*-28.02)*(((-5--5)+(-28.02--5))+-28.02))))-(-5+-5)))*-5)))/-5)--5)+(-5*(((-28.02*(-28.02-(-5/-5)))*(-28.02-(-28.02/(-5*-28.02))))-(-5/-5)))))</f>
        <v>-111666.66884</v>
      </c>
      <c r="C7199" t="n" s="0">
        <v>-111666.66884</v>
      </c>
    </row>
    <row r="7200">
      <c r="A7200" t="n" s="0">
        <v>-28.01</v>
      </c>
      <c r="B7200" t="n" s="0">
        <f>(-5-((((-5*(-5/((-5/(((-5*(-28.01--5))-(-5+((-5*-28.01)*(((-5--5)+(-28.01--5))+-28.01))))-(-5+-5)))*-5)))/-5)--5)+(-5*(((-28.01*(-28.01-(-5/-5)))*(-28.01-(-28.01/(-5*-28.01))))-(-5/-5)))))</f>
        <v>-111547.792205</v>
      </c>
      <c r="C7200" t="n" s="0">
        <v>-111547.79220500002</v>
      </c>
    </row>
    <row r="7201">
      <c r="A7201" t="n" s="0">
        <v>-28.0</v>
      </c>
      <c r="B7201" t="n" s="0">
        <f>(-5-((((-5*(-5/((-5/(((-5*(-28--5))-(-5+((-5*-28)*(((-5--5)+(-28--5))+-28))))-(-5+-5)))*-5)))/-5)--5)+(-5*(((-28*(-28-(-5/-5)))*(-28-(-28/(-5*-28))))-(-5/-5)))))</f>
        <v>-111429.0</v>
      </c>
      <c r="C7201" t="n" s="0">
        <v>-111429.0</v>
      </c>
    </row>
    <row r="7202">
      <c r="A7202" t="n" s="0">
        <v>-27.99</v>
      </c>
      <c r="B7202" t="n" s="0">
        <f>(-5-((((-5*(-5/((-5/(((-5*(-27.99--5))-(-5+((-5*-27.99)*(((-5--5)+(-27.99--5))+-27.99))))-(-5+-5)))*-5)))/-5)--5)+(-5*(((-27.99*(-27.99-(-5/-5)))*(-27.99-(-27.99/(-5*-27.99))))-(-5/-5)))))</f>
        <v>-111310.292195</v>
      </c>
      <c r="C7202" t="n" s="0">
        <v>-111310.29219499999</v>
      </c>
    </row>
    <row r="7203">
      <c r="A7203" t="n" s="0">
        <v>-27.98</v>
      </c>
      <c r="B7203" t="n" s="0">
        <f>(-5-((((-5*(-5/((-5/(((-5*(-27.98--5))-(-5+((-5*-27.98)*(((-5--5)+(-27.98--5))+-27.98))))-(-5+-5)))*-5)))/-5)--5)+(-5*(((-27.98*(-27.98-(-5/-5)))*(-27.98-(-27.98/(-5*-27.98))))-(-5/-5)))))</f>
        <v>-111191.66876</v>
      </c>
      <c r="C7203" t="n" s="0">
        <v>-111191.66876000002</v>
      </c>
    </row>
    <row r="7204">
      <c r="A7204" t="n" s="0">
        <v>-27.97</v>
      </c>
      <c r="B7204" t="n" s="0">
        <f>(-5-((((-5*(-5/((-5/(((-5*(-27.97--5))-(-5+((-5*-27.97)*(((-5--5)+(-27.97--5))+-27.97))))-(-5+-5)))*-5)))/-5)--5)+(-5*(((-27.97*(-27.97-(-5/-5)))*(-27.97-(-27.97/(-5*-27.97))))-(-5/-5)))))</f>
        <v>-111073.129665</v>
      </c>
      <c r="C7204" t="n" s="0">
        <v>-111073.12966499999</v>
      </c>
    </row>
    <row r="7205">
      <c r="A7205" t="n" s="0">
        <v>-27.96</v>
      </c>
      <c r="B7205" t="n" s="0">
        <f>(-5-((((-5*(-5/((-5/(((-5*(-27.96--5))-(-5+((-5*-27.96)*(((-5--5)+(-27.96--5))+-27.96))))-(-5+-5)))*-5)))/-5)--5)+(-5*(((-27.96*(-27.96-(-5/-5)))*(-27.96-(-27.96/(-5*-27.96))))-(-5/-5)))))</f>
        <v>-110954.67488</v>
      </c>
      <c r="C7205" t="n" s="0">
        <v>-110954.67488</v>
      </c>
    </row>
    <row r="7206">
      <c r="A7206" t="n" s="0">
        <v>-27.95</v>
      </c>
      <c r="B7206" t="n" s="0">
        <f>(-5-((((-5*(-5/((-5/(((-5*(-27.95--5))-(-5+((-5*-27.95)*(((-5--5)+(-27.95--5))+-27.95))))-(-5+-5)))*-5)))/-5)--5)+(-5*(((-27.95*(-27.95-(-5/-5)))*(-27.95-(-27.95/(-5*-27.95))))-(-5/-5)))))</f>
        <v>-110836.304375</v>
      </c>
      <c r="C7206" t="n" s="0">
        <v>-110836.30437499999</v>
      </c>
    </row>
    <row r="7207">
      <c r="A7207" t="n" s="0">
        <v>-27.94</v>
      </c>
      <c r="B7207" t="n" s="0">
        <f>(-5-((((-5*(-5/((-5/(((-5*(-27.94--5))-(-5+((-5*-27.94)*(((-5--5)+(-27.94--5))+-27.94))))-(-5+-5)))*-5)))/-5)--5)+(-5*(((-27.94*(-27.94-(-5/-5)))*(-27.94-(-27.94/(-5*-27.94))))-(-5/-5)))))</f>
        <v>-110718.01812000001</v>
      </c>
      <c r="C7207" t="n" s="0">
        <v>-110718.01812000004</v>
      </c>
    </row>
    <row r="7208">
      <c r="A7208" t="n" s="0">
        <v>-27.93</v>
      </c>
      <c r="B7208" t="n" s="0">
        <f>(-5-((((-5*(-5/((-5/(((-5*(-27.93--5))-(-5+((-5*-27.93)*(((-5--5)+(-27.93--5))+-27.93))))-(-5+-5)))*-5)))/-5)--5)+(-5*(((-27.93*(-27.93-(-5/-5)))*(-27.93-(-27.93/(-5*-27.93))))-(-5/-5)))))</f>
        <v>-110599.816085</v>
      </c>
      <c r="C7208" t="n" s="0">
        <v>-110599.816085</v>
      </c>
    </row>
    <row r="7209">
      <c r="A7209" t="n" s="0">
        <v>-27.92</v>
      </c>
      <c r="B7209" t="n" s="0">
        <f>(-5-((((-5*(-5/((-5/(((-5*(-27.92--5))-(-5+((-5*-27.92)*(((-5--5)+(-27.92--5))+-27.92))))-(-5+-5)))*-5)))/-5)--5)+(-5*(((-27.92*(-27.92-(-5/-5)))*(-27.92-(-27.92/(-5*-27.92))))-(-5/-5)))))</f>
        <v>-110481.69824</v>
      </c>
      <c r="C7209" t="n" s="0">
        <v>-110481.69824000003</v>
      </c>
    </row>
    <row r="7210">
      <c r="A7210" t="n" s="0">
        <v>-27.91</v>
      </c>
      <c r="B7210" t="n" s="0">
        <f>(-5-((((-5*(-5/((-5/(((-5*(-27.91--5))-(-5+((-5*-27.91)*(((-5--5)+(-27.91--5))+-27.91))))-(-5+-5)))*-5)))/-5)--5)+(-5*(((-27.91*(-27.91-(-5/-5)))*(-27.91-(-27.91/(-5*-27.91))))-(-5/-5)))))</f>
        <v>-110363.664555</v>
      </c>
      <c r="C7210" t="n" s="0">
        <v>-110363.664555</v>
      </c>
    </row>
    <row r="7211">
      <c r="A7211" t="n" s="0">
        <v>-27.9</v>
      </c>
      <c r="B7211" t="n" s="0">
        <f>(-5-((((-5*(-5/((-5/(((-5*(-27.9--5))-(-5+((-5*-27.9)*(((-5--5)+(-27.9--5))+-27.9))))-(-5+-5)))*-5)))/-5)--5)+(-5*(((-27.9*(-27.9-(-5/-5)))*(-27.9-(-27.9/(-5*-27.9))))-(-5/-5)))))</f>
        <v>-110245.715</v>
      </c>
      <c r="C7211" t="n" s="0">
        <v>-110245.71499999998</v>
      </c>
    </row>
    <row r="7212">
      <c r="A7212" t="n" s="0">
        <v>-27.89</v>
      </c>
      <c r="B7212" t="n" s="0">
        <f>(-5-((((-5*(-5/((-5/(((-5*(-27.89--5))-(-5+((-5*-27.89)*(((-5--5)+(-27.89--5))+-27.89))))-(-5+-5)))*-5)))/-5)--5)+(-5*(((-27.89*(-27.89-(-5/-5)))*(-27.89-(-27.89/(-5*-27.89))))-(-5/-5)))))</f>
        <v>-110127.849545</v>
      </c>
      <c r="C7212" t="n" s="0">
        <v>-110127.84954499999</v>
      </c>
    </row>
    <row r="7213">
      <c r="A7213" t="n" s="0">
        <v>-27.88</v>
      </c>
      <c r="B7213" t="n" s="0">
        <f>(-5-((((-5*(-5/((-5/(((-5*(-27.88--5))-(-5+((-5*-27.88)*(((-5--5)+(-27.88--5))+-27.88))))-(-5+-5)))*-5)))/-5)--5)+(-5*(((-27.88*(-27.88-(-5/-5)))*(-27.88-(-27.88/(-5*-27.88))))-(-5/-5)))))</f>
        <v>-110010.06816000001</v>
      </c>
      <c r="C7213" t="n" s="0">
        <v>-110010.06815999998</v>
      </c>
    </row>
    <row r="7214">
      <c r="A7214" t="n" s="0">
        <v>-27.87</v>
      </c>
      <c r="B7214" t="n" s="0">
        <f>(-5-((((-5*(-5/((-5/(((-5*(-27.87--5))-(-5+((-5*-27.87)*(((-5--5)+(-27.87--5))+-27.87))))-(-5+-5)))*-5)))/-5)--5)+(-5*(((-27.87*(-27.87-(-5/-5)))*(-27.87-(-27.87/(-5*-27.87))))-(-5/-5)))))</f>
        <v>-109892.370815</v>
      </c>
      <c r="C7214" t="n" s="0">
        <v>-109892.37081500002</v>
      </c>
    </row>
    <row r="7215">
      <c r="A7215" t="n" s="0">
        <v>-27.86</v>
      </c>
      <c r="B7215" t="n" s="0">
        <f>(-5-((((-5*(-5/((-5/(((-5*(-27.86--5))-(-5+((-5*-27.86)*(((-5--5)+(-27.86--5))+-27.86))))-(-5+-5)))*-5)))/-5)--5)+(-5*(((-27.86*(-27.86-(-5/-5)))*(-27.86-(-27.86/(-5*-27.86))))-(-5/-5)))))</f>
        <v>-109774.75748</v>
      </c>
      <c r="C7215" t="n" s="0">
        <v>-109774.75748</v>
      </c>
    </row>
    <row r="7216">
      <c r="A7216" t="n" s="0">
        <v>-27.85</v>
      </c>
      <c r="B7216" t="n" s="0">
        <f>(-5-((((-5*(-5/((-5/(((-5*(-27.85--5))-(-5+((-5*-27.85)*(((-5--5)+(-27.85--5))+-27.85))))-(-5+-5)))*-5)))/-5)--5)+(-5*(((-27.85*(-27.85-(-5/-5)))*(-27.85-(-27.85/(-5*-27.85))))-(-5/-5)))))</f>
        <v>-109657.228125</v>
      </c>
      <c r="C7216" t="n" s="0">
        <v>-109657.22812500001</v>
      </c>
    </row>
    <row r="7217">
      <c r="A7217" t="n" s="0">
        <v>-27.84</v>
      </c>
      <c r="B7217" t="n" s="0">
        <f>(-5-((((-5*(-5/((-5/(((-5*(-27.84--5))-(-5+((-5*-27.84)*(((-5--5)+(-27.84--5))+-27.84))))-(-5+-5)))*-5)))/-5)--5)+(-5*(((-27.84*(-27.84-(-5/-5)))*(-27.84-(-27.84/(-5*-27.84))))-(-5/-5)))))</f>
        <v>-109539.78272</v>
      </c>
      <c r="C7217" t="n" s="0">
        <v>-109539.78272</v>
      </c>
    </row>
    <row r="7218">
      <c r="A7218" t="n" s="0">
        <v>-27.83</v>
      </c>
      <c r="B7218" t="n" s="0">
        <f>(-5-((((-5*(-5/((-5/(((-5*(-27.83--5))-(-5+((-5*-27.83)*(((-5--5)+(-27.83--5))+-27.83))))-(-5+-5)))*-5)))/-5)--5)+(-5*(((-27.83*(-27.83-(-5/-5)))*(-27.83-(-27.83/(-5*-27.83))))-(-5/-5)))))</f>
        <v>-109422.421235</v>
      </c>
      <c r="C7218" t="n" s="0">
        <v>-109422.42123499997</v>
      </c>
    </row>
    <row r="7219">
      <c r="A7219" t="n" s="0">
        <v>-27.82</v>
      </c>
      <c r="B7219" t="n" s="0">
        <f>(-5-((((-5*(-5/((-5/(((-5*(-27.82--5))-(-5+((-5*-27.82)*(((-5--5)+(-27.82--5))+-27.82))))-(-5+-5)))*-5)))/-5)--5)+(-5*(((-27.82*(-27.82-(-5/-5)))*(-27.82-(-27.82/(-5*-27.82))))-(-5/-5)))))</f>
        <v>-109305.14364</v>
      </c>
      <c r="C7219" t="n" s="0">
        <v>-109305.14364000002</v>
      </c>
    </row>
    <row r="7220">
      <c r="A7220" t="n" s="0">
        <v>-27.81</v>
      </c>
      <c r="B7220" t="n" s="0">
        <f>(-5-((((-5*(-5/((-5/(((-5*(-27.81--5))-(-5+((-5*-27.81)*(((-5--5)+(-27.81--5))+-27.81))))-(-5+-5)))*-5)))/-5)--5)+(-5*(((-27.81*(-27.81-(-5/-5)))*(-27.81-(-27.81/(-5*-27.81))))-(-5/-5)))))</f>
        <v>-109187.949905</v>
      </c>
      <c r="C7220" t="n" s="0">
        <v>-109187.94990499999</v>
      </c>
    </row>
    <row r="7221">
      <c r="A7221" t="n" s="0">
        <v>-27.8</v>
      </c>
      <c r="B7221" t="n" s="0">
        <f>(-5-((((-5*(-5/((-5/(((-5*(-27.8--5))-(-5+((-5*-27.8)*(((-5--5)+(-27.8--5))+-27.8))))-(-5+-5)))*-5)))/-5)--5)+(-5*(((-27.8*(-27.8-(-5/-5)))*(-27.8-(-27.8/(-5*-27.8))))-(-5/-5)))))</f>
        <v>-109070.84000000001</v>
      </c>
      <c r="C7221" t="n" s="0">
        <v>-109070.84</v>
      </c>
    </row>
    <row r="7222">
      <c r="A7222" t="n" s="0">
        <v>-27.79</v>
      </c>
      <c r="B7222" t="n" s="0">
        <f>(-5-((((-5*(-5/((-5/(((-5*(-27.79--5))-(-5+((-5*-27.79)*(((-5--5)+(-27.79--5))+-27.79))))-(-5+-5)))*-5)))/-5)--5)+(-5*(((-27.79*(-27.79-(-5/-5)))*(-27.79-(-27.79/(-5*-27.79))))-(-5/-5)))))</f>
        <v>-108953.813895</v>
      </c>
      <c r="C7222" t="n" s="0">
        <v>-108953.81389499998</v>
      </c>
    </row>
    <row r="7223">
      <c r="A7223" t="n" s="0">
        <v>-27.78</v>
      </c>
      <c r="B7223" t="n" s="0">
        <f>(-5-((((-5*(-5/((-5/(((-5*(-27.78--5))-(-5+((-5*-27.78)*(((-5--5)+(-27.78--5))+-27.78))))-(-5+-5)))*-5)))/-5)--5)+(-5*(((-27.78*(-27.78-(-5/-5)))*(-27.78-(-27.78/(-5*-27.78))))-(-5/-5)))))</f>
        <v>-108836.87156</v>
      </c>
      <c r="C7223" t="n" s="0">
        <v>-108836.87156000001</v>
      </c>
    </row>
    <row r="7224">
      <c r="A7224" t="n" s="0">
        <v>-27.77</v>
      </c>
      <c r="B7224" t="n" s="0">
        <f>(-5-((((-5*(-5/((-5/(((-5*(-27.77--5))-(-5+((-5*-27.77)*(((-5--5)+(-27.77--5))+-27.77))))-(-5+-5)))*-5)))/-5)--5)+(-5*(((-27.77*(-27.77-(-5/-5)))*(-27.77-(-27.77/(-5*-27.77))))-(-5/-5)))))</f>
        <v>-108720.012965</v>
      </c>
      <c r="C7224" t="n" s="0">
        <v>-108720.01296499999</v>
      </c>
    </row>
    <row r="7225">
      <c r="A7225" t="n" s="0">
        <v>-27.76</v>
      </c>
      <c r="B7225" t="n" s="0">
        <f>(-5-((((-5*(-5/((-5/(((-5*(-27.76--5))-(-5+((-5*-27.76)*(((-5--5)+(-27.76--5))+-27.76))))-(-5+-5)))*-5)))/-5)--5)+(-5*(((-27.76*(-27.76-(-5/-5)))*(-27.76-(-27.76/(-5*-27.76))))-(-5/-5)))))</f>
        <v>-108603.23808</v>
      </c>
      <c r="C7225" t="n" s="0">
        <v>-108603.23808000001</v>
      </c>
    </row>
    <row r="7226">
      <c r="A7226" t="n" s="0">
        <v>-27.75</v>
      </c>
      <c r="B7226" t="n" s="0">
        <f>(-5-((((-5*(-5/((-5/(((-5*(-27.75--5))-(-5+((-5*-27.75)*(((-5--5)+(-27.75--5))+-27.75))))-(-5+-5)))*-5)))/-5)--5)+(-5*(((-27.75*(-27.75-(-5/-5)))*(-27.75-(-27.75/(-5*-27.75))))-(-5/-5)))))</f>
        <v>-108486.546875</v>
      </c>
      <c r="C7226" t="n" s="0">
        <v>-108486.546875</v>
      </c>
    </row>
    <row r="7227">
      <c r="A7227" t="n" s="0">
        <v>-27.74</v>
      </c>
      <c r="B7227" t="n" s="0">
        <f>(-5-((((-5*(-5/((-5/(((-5*(-27.74--5))-(-5+((-5*-27.74)*(((-5--5)+(-27.74--5))+-27.74))))-(-5+-5)))*-5)))/-5)--5)+(-5*(((-27.74*(-27.74-(-5/-5)))*(-27.74-(-27.74/(-5*-27.74))))-(-5/-5)))))</f>
        <v>-108369.93931999999</v>
      </c>
      <c r="C7227" t="n" s="0">
        <v>-108369.93931999998</v>
      </c>
    </row>
    <row r="7228">
      <c r="A7228" t="n" s="0">
        <v>-27.73</v>
      </c>
      <c r="B7228" t="n" s="0">
        <f>(-5-((((-5*(-5/((-5/(((-5*(-27.73--5))-(-5+((-5*-27.73)*(((-5--5)+(-27.73--5))+-27.73))))-(-5+-5)))*-5)))/-5)--5)+(-5*(((-27.73*(-27.73-(-5/-5)))*(-27.73-(-27.73/(-5*-27.73))))-(-5/-5)))))</f>
        <v>-108253.415385</v>
      </c>
      <c r="C7228" t="n" s="0">
        <v>-108253.41538499999</v>
      </c>
    </row>
    <row r="7229">
      <c r="A7229" t="n" s="0">
        <v>-27.72</v>
      </c>
      <c r="B7229" t="n" s="0">
        <f>(-5-((((-5*(-5/((-5/(((-5*(-27.72--5))-(-5+((-5*-27.72)*(((-5--5)+(-27.72--5))+-27.72))))-(-5+-5)))*-5)))/-5)--5)+(-5*(((-27.72*(-27.72-(-5/-5)))*(-27.72-(-27.72/(-5*-27.72))))-(-5/-5)))))</f>
        <v>-108136.97503999999</v>
      </c>
      <c r="C7229" t="n" s="0">
        <v>-108136.97503999999</v>
      </c>
    </row>
    <row r="7230">
      <c r="A7230" t="n" s="0">
        <v>-27.71</v>
      </c>
      <c r="B7230" t="n" s="0">
        <f>(-5-((((-5*(-5/((-5/(((-5*(-27.71--5))-(-5+((-5*-27.71)*(((-5--5)+(-27.71--5))+-27.71))))-(-5+-5)))*-5)))/-5)--5)+(-5*(((-27.71*(-27.71-(-5/-5)))*(-27.71-(-27.71/(-5*-27.71))))-(-5/-5)))))</f>
        <v>-108020.61825500001</v>
      </c>
      <c r="C7230" t="n" s="0">
        <v>-108020.61825500002</v>
      </c>
    </row>
    <row r="7231">
      <c r="A7231" t="n" s="0">
        <v>-27.7</v>
      </c>
      <c r="B7231" t="n" s="0">
        <f>(-5-((((-5*(-5/((-5/(((-5*(-27.7--5))-(-5+((-5*-27.7)*(((-5--5)+(-27.7--5))+-27.7))))-(-5+-5)))*-5)))/-5)--5)+(-5*(((-27.7*(-27.7-(-5/-5)))*(-27.7-(-27.7/(-5*-27.7))))-(-5/-5)))))</f>
        <v>-107904.345</v>
      </c>
      <c r="C7231" t="n" s="0">
        <v>-107904.34499999999</v>
      </c>
    </row>
    <row r="7232">
      <c r="A7232" t="n" s="0">
        <v>-27.69</v>
      </c>
      <c r="B7232" t="n" s="0">
        <f>(-5-((((-5*(-5/((-5/(((-5*(-27.69--5))-(-5+((-5*-27.69)*(((-5--5)+(-27.69--5))+-27.69))))-(-5+-5)))*-5)))/-5)--5)+(-5*(((-27.69*(-27.69-(-5/-5)))*(-27.69-(-27.69/(-5*-27.69))))-(-5/-5)))))</f>
        <v>-107788.155245</v>
      </c>
      <c r="C7232" t="n" s="0">
        <v>-107788.15524500003</v>
      </c>
    </row>
    <row r="7233">
      <c r="A7233" t="n" s="0">
        <v>-27.68</v>
      </c>
      <c r="B7233" t="n" s="0">
        <f>(-5-((((-5*(-5/((-5/(((-5*(-27.68--5))-(-5+((-5*-27.68)*(((-5--5)+(-27.68--5))+-27.68))))-(-5+-5)))*-5)))/-5)--5)+(-5*(((-27.68*(-27.68-(-5/-5)))*(-27.68-(-27.68/(-5*-27.68))))-(-5/-5)))))</f>
        <v>-107672.04896</v>
      </c>
      <c r="C7233" t="n" s="0">
        <v>-107672.04895999999</v>
      </c>
    </row>
    <row r="7234">
      <c r="A7234" t="n" s="0">
        <v>-27.67</v>
      </c>
      <c r="B7234" t="n" s="0">
        <f>(-5-((((-5*(-5/((-5/(((-5*(-27.67--5))-(-5+((-5*-27.67)*(((-5--5)+(-27.67--5))+-27.67))))-(-5+-5)))*-5)))/-5)--5)+(-5*(((-27.67*(-27.67-(-5/-5)))*(-27.67-(-27.67/(-5*-27.67))))-(-5/-5)))))</f>
        <v>-107556.026115</v>
      </c>
      <c r="C7234" t="n" s="0">
        <v>-107556.02611500002</v>
      </c>
    </row>
    <row r="7235">
      <c r="A7235" t="n" s="0">
        <v>-27.66</v>
      </c>
      <c r="B7235" t="n" s="0">
        <f>(-5-((((-5*(-5/((-5/(((-5*(-27.66--5))-(-5+((-5*-27.66)*(((-5--5)+(-27.66--5))+-27.66))))-(-5+-5)))*-5)))/-5)--5)+(-5*(((-27.66*(-27.66-(-5/-5)))*(-27.66-(-27.66/(-5*-27.66))))-(-5/-5)))))</f>
        <v>-107440.08668000001</v>
      </c>
      <c r="C7235" t="n" s="0">
        <v>-107440.08668</v>
      </c>
    </row>
    <row r="7236">
      <c r="A7236" t="n" s="0">
        <v>-27.65</v>
      </c>
      <c r="B7236" t="n" s="0">
        <f>(-5-((((-5*(-5/((-5/(((-5*(-27.65--5))-(-5+((-5*-27.65)*(((-5--5)+(-27.65--5))+-27.65))))-(-5+-5)))*-5)))/-5)--5)+(-5*(((-27.65*(-27.65-(-5/-5)))*(-27.65-(-27.65/(-5*-27.65))))-(-5/-5)))))</f>
        <v>-107324.230625</v>
      </c>
      <c r="C7236" t="n" s="0">
        <v>-107324.23062499998</v>
      </c>
    </row>
    <row r="7237">
      <c r="A7237" t="n" s="0">
        <v>-27.64</v>
      </c>
      <c r="B7237" t="n" s="0">
        <f>(-5-((((-5*(-5/((-5/(((-5*(-27.64--5))-(-5+((-5*-27.64)*(((-5--5)+(-27.64--5))+-27.64))))-(-5+-5)))*-5)))/-5)--5)+(-5*(((-27.64*(-27.64-(-5/-5)))*(-27.64-(-27.64/(-5*-27.64))))-(-5/-5)))))</f>
        <v>-107208.45792</v>
      </c>
      <c r="C7237" t="n" s="0">
        <v>-107208.45791999999</v>
      </c>
    </row>
    <row r="7238">
      <c r="A7238" t="n" s="0">
        <v>-27.63</v>
      </c>
      <c r="B7238" t="n" s="0">
        <f>(-5-((((-5*(-5/((-5/(((-5*(-27.63--5))-(-5+((-5*-27.63)*(((-5--5)+(-27.63--5))+-27.63))))-(-5+-5)))*-5)))/-5)--5)+(-5*(((-27.63*(-27.63-(-5/-5)))*(-27.63-(-27.63/(-5*-27.63))))-(-5/-5)))))</f>
        <v>-107092.768535</v>
      </c>
      <c r="C7238" t="n" s="0">
        <v>-107092.768535</v>
      </c>
    </row>
    <row r="7239">
      <c r="A7239" t="n" s="0">
        <v>-27.62</v>
      </c>
      <c r="B7239" t="n" s="0">
        <f>(-5-((((-5*(-5/((-5/(((-5*(-27.62--5))-(-5+((-5*-27.62)*(((-5--5)+(-27.62--5))+-27.62))))-(-5+-5)))*-5)))/-5)--5)+(-5*(((-27.62*(-27.62-(-5/-5)))*(-27.62-(-27.62/(-5*-27.62))))-(-5/-5)))))</f>
        <v>-106977.16244</v>
      </c>
      <c r="C7239" t="n" s="0">
        <v>-106977.16244</v>
      </c>
    </row>
    <row r="7240">
      <c r="A7240" t="n" s="0">
        <v>-27.61</v>
      </c>
      <c r="B7240" t="n" s="0">
        <f>(-5-((((-5*(-5/((-5/(((-5*(-27.61--5))-(-5+((-5*-27.61)*(((-5--5)+(-27.61--5))+-27.61))))-(-5+-5)))*-5)))/-5)--5)+(-5*(((-27.61*(-27.61-(-5/-5)))*(-27.61-(-27.61/(-5*-27.61))))-(-5/-5)))))</f>
        <v>-106861.639605</v>
      </c>
      <c r="C7240" t="n" s="0">
        <v>-106861.639605</v>
      </c>
    </row>
    <row r="7241">
      <c r="A7241" t="n" s="0">
        <v>-27.6</v>
      </c>
      <c r="B7241" t="n" s="0">
        <f>(-5-((((-5*(-5/((-5/(((-5*(-27.6--5))-(-5+((-5*-27.6)*(((-5--5)+(-27.6--5))+-27.6))))-(-5+-5)))*-5)))/-5)--5)+(-5*(((-27.6*(-27.6-(-5/-5)))*(-27.6-(-27.6/(-5*-27.6))))-(-5/-5)))))</f>
        <v>-106746.20000000001</v>
      </c>
      <c r="C7241" t="n" s="0">
        <v>-106746.20000000003</v>
      </c>
    </row>
    <row r="7242">
      <c r="A7242" t="n" s="0">
        <v>-27.59</v>
      </c>
      <c r="B7242" t="n" s="0">
        <f>(-5-((((-5*(-5/((-5/(((-5*(-27.59--5))-(-5+((-5*-27.59)*(((-5--5)+(-27.59--5))+-27.59))))-(-5+-5)))*-5)))/-5)--5)+(-5*(((-27.59*(-27.59-(-5/-5)))*(-27.59-(-27.59/(-5*-27.59))))-(-5/-5)))))</f>
        <v>-106630.843595</v>
      </c>
      <c r="C7242" t="n" s="0">
        <v>-106630.843595</v>
      </c>
    </row>
    <row r="7243">
      <c r="A7243" t="n" s="0">
        <v>-27.58</v>
      </c>
      <c r="B7243" t="n" s="0">
        <f>(-5-((((-5*(-5/((-5/(((-5*(-27.58--5))-(-5+((-5*-27.58)*(((-5--5)+(-27.58--5))+-27.58))))-(-5+-5)))*-5)))/-5)--5)+(-5*(((-27.58*(-27.58-(-5/-5)))*(-27.58-(-27.58/(-5*-27.58))))-(-5/-5)))))</f>
        <v>-106515.57036000001</v>
      </c>
      <c r="C7243" t="n" s="0">
        <v>-106515.57035999998</v>
      </c>
    </row>
    <row r="7244">
      <c r="A7244" t="n" s="0">
        <v>-27.57</v>
      </c>
      <c r="B7244" t="n" s="0">
        <f>(-5-((((-5*(-5/((-5/(((-5*(-27.57--5))-(-5+((-5*-27.57)*(((-5--5)+(-27.57--5))+-27.57))))-(-5+-5)))*-5)))/-5)--5)+(-5*(((-27.57*(-27.57-(-5/-5)))*(-27.57-(-27.57/(-5*-27.57))))-(-5/-5)))))</f>
        <v>-106400.380265</v>
      </c>
      <c r="C7244" t="n" s="0">
        <v>-106400.380265</v>
      </c>
    </row>
    <row r="7245">
      <c r="A7245" t="n" s="0">
        <v>-27.56</v>
      </c>
      <c r="B7245" t="n" s="0">
        <f>(-5-((((-5*(-5/((-5/(((-5*(-27.56--5))-(-5+((-5*-27.56)*(((-5--5)+(-27.56--5))+-27.56))))-(-5+-5)))*-5)))/-5)--5)+(-5*(((-27.56*(-27.56-(-5/-5)))*(-27.56-(-27.56/(-5*-27.56))))-(-5/-5)))))</f>
        <v>-106285.27328000001</v>
      </c>
      <c r="C7245" t="n" s="0">
        <v>-106285.27327999996</v>
      </c>
    </row>
    <row r="7246">
      <c r="A7246" t="n" s="0">
        <v>-27.55</v>
      </c>
      <c r="B7246" t="n" s="0">
        <f>(-5-((((-5*(-5/((-5/(((-5*(-27.55--5))-(-5+((-5*-27.55)*(((-5--5)+(-27.55--5))+-27.55))))-(-5+-5)))*-5)))/-5)--5)+(-5*(((-27.55*(-27.55-(-5/-5)))*(-27.55-(-27.55/(-5*-27.55))))-(-5/-5)))))</f>
        <v>-106170.24937500001</v>
      </c>
      <c r="C7246" t="n" s="0">
        <v>-106170.24937500001</v>
      </c>
    </row>
    <row r="7247">
      <c r="A7247" t="n" s="0">
        <v>-27.54</v>
      </c>
      <c r="B7247" t="n" s="0">
        <f>(-5-((((-5*(-5/((-5/(((-5*(-27.54--5))-(-5+((-5*-27.54)*(((-5--5)+(-27.54--5))+-27.54))))-(-5+-5)))*-5)))/-5)--5)+(-5*(((-27.54*(-27.54-(-5/-5)))*(-27.54-(-27.54/(-5*-27.54))))-(-5/-5)))))</f>
        <v>-106055.30852</v>
      </c>
      <c r="C7247" t="n" s="0">
        <v>-106055.30851999999</v>
      </c>
    </row>
    <row r="7248">
      <c r="A7248" t="n" s="0">
        <v>-27.53</v>
      </c>
      <c r="B7248" t="n" s="0">
        <f>(-5-((((-5*(-5/((-5/(((-5*(-27.53--5))-(-5+((-5*-27.53)*(((-5--5)+(-27.53--5))+-27.53))))-(-5+-5)))*-5)))/-5)--5)+(-5*(((-27.53*(-27.53-(-5/-5)))*(-27.53-(-27.53/(-5*-27.53))))-(-5/-5)))))</f>
        <v>-105940.45068499999</v>
      </c>
      <c r="C7248" t="n" s="0">
        <v>-105940.45068500002</v>
      </c>
    </row>
    <row r="7249">
      <c r="A7249" t="n" s="0">
        <v>-27.52</v>
      </c>
      <c r="B7249" t="n" s="0">
        <f>(-5-((((-5*(-5/((-5/(((-5*(-27.52--5))-(-5+((-5*-27.52)*(((-5--5)+(-27.52--5))+-27.52))))-(-5+-5)))*-5)))/-5)--5)+(-5*(((-27.52*(-27.52-(-5/-5)))*(-27.52-(-27.52/(-5*-27.52))))-(-5/-5)))))</f>
        <v>-105825.67584</v>
      </c>
      <c r="C7249" t="n" s="0">
        <v>-105825.67584</v>
      </c>
    </row>
    <row r="7250">
      <c r="A7250" t="n" s="0">
        <v>-27.51</v>
      </c>
      <c r="B7250" t="n" s="0">
        <f>(-5-((((-5*(-5/((-5/(((-5*(-27.51--5))-(-5+((-5*-27.51)*(((-5--5)+(-27.51--5))+-27.51))))-(-5+-5)))*-5)))/-5)--5)+(-5*(((-27.51*(-27.51-(-5/-5)))*(-27.51-(-27.51/(-5*-27.51))))-(-5/-5)))))</f>
        <v>-105710.983955</v>
      </c>
      <c r="C7250" t="n" s="0">
        <v>-105710.98395500002</v>
      </c>
    </row>
    <row r="7251">
      <c r="A7251" t="n" s="0">
        <v>-27.5</v>
      </c>
      <c r="B7251" t="n" s="0">
        <f>(-5-((((-5*(-5/((-5/(((-5*(-27.5--5))-(-5+((-5*-27.5)*(((-5--5)+(-27.5--5))+-27.5))))-(-5+-5)))*-5)))/-5)--5)+(-5*(((-27.5*(-27.5-(-5/-5)))*(-27.5-(-27.5/(-5*-27.5))))-(-5/-5)))))</f>
        <v>-105596.375</v>
      </c>
      <c r="C7251" t="n" s="0">
        <v>-105596.375</v>
      </c>
    </row>
    <row r="7252">
      <c r="A7252" t="n" s="0">
        <v>-27.49</v>
      </c>
      <c r="B7252" t="n" s="0">
        <f>(-5-((((-5*(-5/((-5/(((-5*(-27.49--5))-(-5+((-5*-27.49)*(((-5--5)+(-27.49--5))+-27.49))))-(-5+-5)))*-5)))/-5)--5)+(-5*(((-27.49*(-27.49-(-5/-5)))*(-27.49-(-27.49/(-5*-27.49))))-(-5/-5)))))</f>
        <v>-105481.848945</v>
      </c>
      <c r="C7252" t="n" s="0">
        <v>-105481.84894499998</v>
      </c>
    </row>
    <row r="7253">
      <c r="A7253" t="n" s="0">
        <v>-27.48</v>
      </c>
      <c r="B7253" t="n" s="0">
        <f>(-5-((((-5*(-5/((-5/(((-5*(-27.48--5))-(-5+((-5*-27.48)*(((-5--5)+(-27.48--5))+-27.48))))-(-5+-5)))*-5)))/-5)--5)+(-5*(((-27.48*(-27.48-(-5/-5)))*(-27.48-(-27.48/(-5*-27.48))))-(-5/-5)))))</f>
        <v>-105367.40576</v>
      </c>
      <c r="C7253" t="n" s="0">
        <v>-105367.40576</v>
      </c>
    </row>
    <row r="7254">
      <c r="A7254" t="n" s="0">
        <v>-27.47</v>
      </c>
      <c r="B7254" t="n" s="0">
        <f>(-5-((((-5*(-5/((-5/(((-5*(-27.47--5))-(-5+((-5*-27.47)*(((-5--5)+(-27.47--5))+-27.47))))-(-5+-5)))*-5)))/-5)--5)+(-5*(((-27.47*(-27.47-(-5/-5)))*(-27.47-(-27.47/(-5*-27.47))))-(-5/-5)))))</f>
        <v>-105253.045415</v>
      </c>
      <c r="C7254" t="n" s="0">
        <v>-105253.04541499999</v>
      </c>
    </row>
    <row r="7255">
      <c r="A7255" t="n" s="0">
        <v>-27.46</v>
      </c>
      <c r="B7255" t="n" s="0">
        <f>(-5-((((-5*(-5/((-5/(((-5*(-27.46--5))-(-5+((-5*-27.46)*(((-5--5)+(-27.46--5))+-27.46))))-(-5+-5)))*-5)))/-5)--5)+(-5*(((-27.46*(-27.46-(-5/-5)))*(-27.46-(-27.46/(-5*-27.46))))-(-5/-5)))))</f>
        <v>-105138.76788</v>
      </c>
      <c r="C7255" t="n" s="0">
        <v>-105138.76788000001</v>
      </c>
    </row>
    <row r="7256">
      <c r="A7256" t="n" s="0">
        <v>-27.45</v>
      </c>
      <c r="B7256" t="n" s="0">
        <f>(-5-((((-5*(-5/((-5/(((-5*(-27.45--5))-(-5+((-5*-27.45)*(((-5--5)+(-27.45--5))+-27.45))))-(-5+-5)))*-5)))/-5)--5)+(-5*(((-27.45*(-27.45-(-5/-5)))*(-27.45-(-27.45/(-5*-27.45))))-(-5/-5)))))</f>
        <v>-105024.573125</v>
      </c>
      <c r="C7256" t="n" s="0">
        <v>-105024.573125</v>
      </c>
    </row>
    <row r="7257">
      <c r="A7257" t="n" s="0">
        <v>-27.44</v>
      </c>
      <c r="B7257" t="n" s="0">
        <f>(-5-((((-5*(-5/((-5/(((-5*(-27.44--5))-(-5+((-5*-27.44)*(((-5--5)+(-27.44--5))+-27.44))))-(-5+-5)))*-5)))/-5)--5)+(-5*(((-27.44*(-27.44-(-5/-5)))*(-27.44-(-27.44/(-5*-27.44))))-(-5/-5)))))</f>
        <v>-104910.46111999999</v>
      </c>
      <c r="C7257" t="n" s="0">
        <v>-104910.46112000002</v>
      </c>
    </row>
    <row r="7258">
      <c r="A7258" t="n" s="0">
        <v>-27.43</v>
      </c>
      <c r="B7258" t="n" s="0">
        <f>(-5-((((-5*(-5/((-5/(((-5*(-27.43--5))-(-5+((-5*-27.43)*(((-5--5)+(-27.43--5))+-27.43))))-(-5+-5)))*-5)))/-5)--5)+(-5*(((-27.43*(-27.43-(-5/-5)))*(-27.43-(-27.43/(-5*-27.43))))-(-5/-5)))))</f>
        <v>-104796.431835</v>
      </c>
      <c r="C7258" t="n" s="0">
        <v>-104796.431835</v>
      </c>
    </row>
    <row r="7259">
      <c r="A7259" t="n" s="0">
        <v>-27.42</v>
      </c>
      <c r="B7259" t="n" s="0">
        <f>(-5-((((-5*(-5/((-5/(((-5*(-27.42--5))-(-5+((-5*-27.42)*(((-5--5)+(-27.42--5))+-27.42))))-(-5+-5)))*-5)))/-5)--5)+(-5*(((-27.42*(-27.42-(-5/-5)))*(-27.42-(-27.42/(-5*-27.42))))-(-5/-5)))))</f>
        <v>-104682.48524</v>
      </c>
      <c r="C7259" t="n" s="0">
        <v>-104682.48524000001</v>
      </c>
    </row>
    <row r="7260">
      <c r="A7260" t="n" s="0">
        <v>-27.41</v>
      </c>
      <c r="B7260" t="n" s="0">
        <f>(-5-((((-5*(-5/((-5/(((-5*(-27.41--5))-(-5+((-5*-27.41)*(((-5--5)+(-27.41--5))+-27.41))))-(-5+-5)))*-5)))/-5)--5)+(-5*(((-27.41*(-27.41-(-5/-5)))*(-27.41-(-27.41/(-5*-27.41))))-(-5/-5)))))</f>
        <v>-104568.621305</v>
      </c>
      <c r="C7260" t="n" s="0">
        <v>-104568.621305</v>
      </c>
    </row>
    <row r="7261">
      <c r="A7261" t="n" s="0">
        <v>-27.4</v>
      </c>
      <c r="B7261" t="n" s="0">
        <f>(-5-((((-5*(-5/((-5/(((-5*(-27.4--5))-(-5+((-5*-27.4)*(((-5--5)+(-27.4--5))+-27.4))))-(-5+-5)))*-5)))/-5)--5)+(-5*(((-27.4*(-27.4-(-5/-5)))*(-27.4-(-27.4/(-5*-27.4))))-(-5/-5)))))</f>
        <v>-104454.84</v>
      </c>
      <c r="C7261" t="n" s="0">
        <v>-104454.83999999998</v>
      </c>
    </row>
    <row r="7262">
      <c r="A7262" t="n" s="0">
        <v>-27.39</v>
      </c>
      <c r="B7262" t="n" s="0">
        <f>(-5-((((-5*(-5/((-5/(((-5*(-27.39--5))-(-5+((-5*-27.39)*(((-5--5)+(-27.39--5))+-27.39))))-(-5+-5)))*-5)))/-5)--5)+(-5*(((-27.39*(-27.39-(-5/-5)))*(-27.39-(-27.39/(-5*-27.39))))-(-5/-5)))))</f>
        <v>-104341.14129500001</v>
      </c>
      <c r="C7262" t="n" s="0">
        <v>-104341.141295</v>
      </c>
    </row>
    <row r="7263">
      <c r="A7263" t="n" s="0">
        <v>-27.38</v>
      </c>
      <c r="B7263" t="n" s="0">
        <f>(-5-((((-5*(-5/((-5/(((-5*(-27.38--5))-(-5+((-5*-27.38)*(((-5--5)+(-27.38--5))+-27.38))))-(-5+-5)))*-5)))/-5)--5)+(-5*(((-27.38*(-27.38-(-5/-5)))*(-27.38-(-27.38/(-5*-27.38))))-(-5/-5)))))</f>
        <v>-104227.52516</v>
      </c>
      <c r="C7263" t="n" s="0">
        <v>-104227.52515999999</v>
      </c>
    </row>
    <row r="7264">
      <c r="A7264" t="n" s="0">
        <v>-27.37</v>
      </c>
      <c r="B7264" t="n" s="0">
        <f>(-5-((((-5*(-5/((-5/(((-5*(-27.37--5))-(-5+((-5*-27.37)*(((-5--5)+(-27.37--5))+-27.37))))-(-5+-5)))*-5)))/-5)--5)+(-5*(((-27.37*(-27.37-(-5/-5)))*(-27.37-(-27.37/(-5*-27.37))))-(-5/-5)))))</f>
        <v>-104113.99156499999</v>
      </c>
      <c r="C7264" t="n" s="0">
        <v>-104113.99156500002</v>
      </c>
    </row>
    <row r="7265">
      <c r="A7265" t="n" s="0">
        <v>-27.36</v>
      </c>
      <c r="B7265" t="n" s="0">
        <f>(-5-((((-5*(-5/((-5/(((-5*(-27.36--5))-(-5+((-5*-27.36)*(((-5--5)+(-27.36--5))+-27.36))))-(-5+-5)))*-5)))/-5)--5)+(-5*(((-27.36*(-27.36-(-5/-5)))*(-27.36-(-27.36/(-5*-27.36))))-(-5/-5)))))</f>
        <v>-104000.54048</v>
      </c>
      <c r="C7265" t="n" s="0">
        <v>-104000.54048</v>
      </c>
    </row>
    <row r="7266">
      <c r="A7266" t="n" s="0">
        <v>-27.35</v>
      </c>
      <c r="B7266" t="n" s="0">
        <f>(-5-((((-5*(-5/((-5/(((-5*(-27.35--5))-(-5+((-5*-27.35)*(((-5--5)+(-27.35--5))+-27.35))))-(-5+-5)))*-5)))/-5)--5)+(-5*(((-27.35*(-27.35-(-5/-5)))*(-27.35-(-27.35/(-5*-27.35))))-(-5/-5)))))</f>
        <v>-103887.171875</v>
      </c>
      <c r="C7266" t="n" s="0">
        <v>-103887.17187500003</v>
      </c>
    </row>
    <row r="7267">
      <c r="A7267" t="n" s="0">
        <v>-27.34</v>
      </c>
      <c r="B7267" t="n" s="0">
        <f>(-5-((((-5*(-5/((-5/(((-5*(-27.34--5))-(-5+((-5*-27.34)*(((-5--5)+(-27.34--5))+-27.34))))-(-5+-5)))*-5)))/-5)--5)+(-5*(((-27.34*(-27.34-(-5/-5)))*(-27.34-(-27.34/(-5*-27.34))))-(-5/-5)))))</f>
        <v>-103773.88572</v>
      </c>
      <c r="C7267" t="n" s="0">
        <v>-103773.88572</v>
      </c>
    </row>
    <row r="7268">
      <c r="A7268" t="n" s="0">
        <v>-27.33</v>
      </c>
      <c r="B7268" t="n" s="0">
        <f>(-5-((((-5*(-5/((-5/(((-5*(-27.33--5))-(-5+((-5*-27.33)*(((-5--5)+(-27.33--5))+-27.33))))-(-5+-5)))*-5)))/-5)--5)+(-5*(((-27.33*(-27.33-(-5/-5)))*(-27.33-(-27.33/(-5*-27.33))))-(-5/-5)))))</f>
        <v>-103660.68198499999</v>
      </c>
      <c r="C7268" t="n" s="0">
        <v>-103660.68198499997</v>
      </c>
    </row>
    <row r="7269">
      <c r="A7269" t="n" s="0">
        <v>-27.32</v>
      </c>
      <c r="B7269" t="n" s="0">
        <f>(-5-((((-5*(-5/((-5/(((-5*(-27.32--5))-(-5+((-5*-27.32)*(((-5--5)+(-27.32--5))+-27.32))))-(-5+-5)))*-5)))/-5)--5)+(-5*(((-27.32*(-27.32-(-5/-5)))*(-27.32-(-27.32/(-5*-27.32))))-(-5/-5)))))</f>
        <v>-103547.56064</v>
      </c>
      <c r="C7269" t="n" s="0">
        <v>-103547.56064000001</v>
      </c>
    </row>
    <row r="7270">
      <c r="A7270" t="n" s="0">
        <v>-27.31</v>
      </c>
      <c r="B7270" t="n" s="0">
        <f>(-5-((((-5*(-5/((-5/(((-5*(-27.31--5))-(-5+((-5*-27.31)*(((-5--5)+(-27.31--5))+-27.31))))-(-5+-5)))*-5)))/-5)--5)+(-5*(((-27.31*(-27.31-(-5/-5)))*(-27.31-(-27.31/(-5*-27.31))))-(-5/-5)))))</f>
        <v>-103434.521655</v>
      </c>
      <c r="C7270" t="n" s="0">
        <v>-103434.52165499997</v>
      </c>
    </row>
    <row r="7271">
      <c r="A7271" t="n" s="0">
        <v>-27.3</v>
      </c>
      <c r="B7271" t="n" s="0">
        <f>(-5-((((-5*(-5/((-5/(((-5*(-27.3--5))-(-5+((-5*-27.3)*(((-5--5)+(-27.3--5))+-27.3))))-(-5+-5)))*-5)))/-5)--5)+(-5*(((-27.3*(-27.3-(-5/-5)))*(-27.3-(-27.3/(-5*-27.3))))-(-5/-5)))))</f>
        <v>-103321.565</v>
      </c>
      <c r="C7271" t="n" s="0">
        <v>-103321.565</v>
      </c>
    </row>
    <row r="7272">
      <c r="A7272" t="n" s="0">
        <v>-27.29</v>
      </c>
      <c r="B7272" t="n" s="0">
        <f>(-5-((((-5*(-5/((-5/(((-5*(-27.29--5))-(-5+((-5*-27.29)*(((-5--5)+(-27.29--5))+-27.29))))-(-5+-5)))*-5)))/-5)--5)+(-5*(((-27.29*(-27.29-(-5/-5)))*(-27.29-(-27.29/(-5*-27.29))))-(-5/-5)))))</f>
        <v>-103208.690645</v>
      </c>
      <c r="C7272" t="n" s="0">
        <v>-103208.69064499998</v>
      </c>
    </row>
    <row r="7273">
      <c r="A7273" t="n" s="0">
        <v>-27.28</v>
      </c>
      <c r="B7273" t="n" s="0">
        <f>(-5-((((-5*(-5/((-5/(((-5*(-27.28--5))-(-5+((-5*-27.28)*(((-5--5)+(-27.28--5))+-27.28))))-(-5+-5)))*-5)))/-5)--5)+(-5*(((-27.28*(-27.28-(-5/-5)))*(-27.28-(-27.28/(-5*-27.28))))-(-5/-5)))))</f>
        <v>-103095.89855999999</v>
      </c>
      <c r="C7273" t="n" s="0">
        <v>-103095.89856000002</v>
      </c>
    </row>
    <row r="7274">
      <c r="A7274" t="n" s="0">
        <v>-27.27</v>
      </c>
      <c r="B7274" t="n" s="0">
        <f>(-5-((((-5*(-5/((-5/(((-5*(-27.27--5))-(-5+((-5*-27.27)*(((-5--5)+(-27.27--5))+-27.27))))-(-5+-5)))*-5)))/-5)--5)+(-5*(((-27.27*(-27.27-(-5/-5)))*(-27.27-(-27.27/(-5*-27.27))))-(-5/-5)))))</f>
        <v>-102983.188715</v>
      </c>
      <c r="C7274" t="n" s="0">
        <v>-102983.188715</v>
      </c>
    </row>
    <row r="7275">
      <c r="A7275" t="n" s="0">
        <v>-27.26</v>
      </c>
      <c r="B7275" t="n" s="0">
        <f>(-5-((((-5*(-5/((-5/(((-5*(-27.26--5))-(-5+((-5*-27.26)*(((-5--5)+(-27.26--5))+-27.26))))-(-5+-5)))*-5)))/-5)--5)+(-5*(((-27.26*(-27.26-(-5/-5)))*(-27.26-(-27.26/(-5*-27.26))))-(-5/-5)))))</f>
        <v>-102870.56108</v>
      </c>
      <c r="C7275" t="n" s="0">
        <v>-102870.56108000001</v>
      </c>
    </row>
    <row r="7276">
      <c r="A7276" t="n" s="0">
        <v>-27.25</v>
      </c>
      <c r="B7276" t="n" s="0">
        <f>(-5-((((-5*(-5/((-5/(((-5*(-27.25--5))-(-5+((-5*-27.25)*(((-5--5)+(-27.25--5))+-27.25))))-(-5+-5)))*-5)))/-5)--5)+(-5*(((-27.25*(-27.25-(-5/-5)))*(-27.25-(-27.25/(-5*-27.25))))-(-5/-5)))))</f>
        <v>-102758.015625</v>
      </c>
      <c r="C7276" t="n" s="0">
        <v>-102758.015625</v>
      </c>
    </row>
    <row r="7277">
      <c r="A7277" t="n" s="0">
        <v>-27.24</v>
      </c>
      <c r="B7277" t="n" s="0">
        <f>(-5-((((-5*(-5/((-5/(((-5*(-27.24--5))-(-5+((-5*-27.24)*(((-5--5)+(-27.24--5))+-27.24))))-(-5+-5)))*-5)))/-5)--5)+(-5*(((-27.24*(-27.24-(-5/-5)))*(-27.24-(-27.24/(-5*-27.24))))-(-5/-5)))))</f>
        <v>-102645.55231999999</v>
      </c>
      <c r="C7277" t="n" s="0">
        <v>-102645.55231999997</v>
      </c>
    </row>
    <row r="7278">
      <c r="A7278" t="n" s="0">
        <v>-27.23</v>
      </c>
      <c r="B7278" t="n" s="0">
        <f>(-5-((((-5*(-5/((-5/(((-5*(-27.23--5))-(-5+((-5*-27.23)*(((-5--5)+(-27.23--5))+-27.23))))-(-5+-5)))*-5)))/-5)--5)+(-5*(((-27.23*(-27.23-(-5/-5)))*(-27.23-(-27.23/(-5*-27.23))))-(-5/-5)))))</f>
        <v>-102533.171135</v>
      </c>
      <c r="C7278" t="n" s="0">
        <v>-102533.17113500001</v>
      </c>
    </row>
    <row r="7279">
      <c r="A7279" t="n" s="0">
        <v>-27.22</v>
      </c>
      <c r="B7279" t="n" s="0">
        <f>(-5-((((-5*(-5/((-5/(((-5*(-27.22--5))-(-5+((-5*-27.22)*(((-5--5)+(-27.22--5))+-27.22))))-(-5+-5)))*-5)))/-5)--5)+(-5*(((-27.22*(-27.22-(-5/-5)))*(-27.22-(-27.22/(-5*-27.22))))-(-5/-5)))))</f>
        <v>-102420.87204</v>
      </c>
      <c r="C7279" t="n" s="0">
        <v>-102420.87203999999</v>
      </c>
    </row>
    <row r="7280">
      <c r="A7280" t="n" s="0">
        <v>-27.21</v>
      </c>
      <c r="B7280" t="n" s="0">
        <f>(-5-((((-5*(-5/((-5/(((-5*(-27.21--5))-(-5+((-5*-27.21)*(((-5--5)+(-27.21--5))+-27.21))))-(-5+-5)))*-5)))/-5)--5)+(-5*(((-27.21*(-27.21-(-5/-5)))*(-27.21-(-27.21/(-5*-27.21))))-(-5/-5)))))</f>
        <v>-102308.65500500001</v>
      </c>
      <c r="C7280" t="n" s="0">
        <v>-102308.65500500002</v>
      </c>
    </row>
    <row r="7281">
      <c r="A7281" t="n" s="0">
        <v>-27.2</v>
      </c>
      <c r="B7281" t="n" s="0">
        <f>(-5-((((-5*(-5/((-5/(((-5*(-27.2--5))-(-5+((-5*-27.2)*(((-5--5)+(-27.2--5))+-27.2))))-(-5+-5)))*-5)))/-5)--5)+(-5*(((-27.2*(-27.2-(-5/-5)))*(-27.2-(-27.2/(-5*-27.2))))-(-5/-5)))))</f>
        <v>-102196.51999999999</v>
      </c>
      <c r="C7281" t="n" s="0">
        <v>-102196.51999999999</v>
      </c>
    </row>
    <row r="7282">
      <c r="A7282" t="n" s="0">
        <v>-27.19</v>
      </c>
      <c r="B7282" t="n" s="0">
        <f>(-5-((((-5*(-5/((-5/(((-5*(-27.19--5))-(-5+((-5*-27.19)*(((-5--5)+(-27.19--5))+-27.19))))-(-5+-5)))*-5)))/-5)--5)+(-5*(((-27.19*(-27.19-(-5/-5)))*(-27.19-(-27.19/(-5*-27.19))))-(-5/-5)))))</f>
        <v>-102084.466995</v>
      </c>
      <c r="C7282" t="n" s="0">
        <v>-102084.46699500002</v>
      </c>
    </row>
    <row r="7283">
      <c r="A7283" t="n" s="0">
        <v>-27.18</v>
      </c>
      <c r="B7283" t="n" s="0">
        <f>(-5-((((-5*(-5/((-5/(((-5*(-27.18--5))-(-5+((-5*-27.18)*(((-5--5)+(-27.18--5))+-27.18))))-(-5+-5)))*-5)))/-5)--5)+(-5*(((-27.18*(-27.18-(-5/-5)))*(-27.18-(-27.18/(-5*-27.18))))-(-5/-5)))))</f>
        <v>-101972.49596</v>
      </c>
      <c r="C7283" t="n" s="0">
        <v>-101972.49595999999</v>
      </c>
    </row>
    <row r="7284">
      <c r="A7284" t="n" s="0">
        <v>-27.17</v>
      </c>
      <c r="B7284" t="n" s="0">
        <f>(-5-((((-5*(-5/((-5/(((-5*(-27.17--5))-(-5+((-5*-27.17)*(((-5--5)+(-27.17--5))+-27.17))))-(-5+-5)))*-5)))/-5)--5)+(-5*(((-27.17*(-27.17-(-5/-5)))*(-27.17-(-27.17/(-5*-27.17))))-(-5/-5)))))</f>
        <v>-101860.606865</v>
      </c>
      <c r="C7284" t="n" s="0">
        <v>-101860.60686500001</v>
      </c>
    </row>
    <row r="7285">
      <c r="A7285" t="n" s="0">
        <v>-27.16</v>
      </c>
      <c r="B7285" t="n" s="0">
        <f>(-5-((((-5*(-5/((-5/(((-5*(-27.16--5))-(-5+((-5*-27.16)*(((-5--5)+(-27.16--5))+-27.16))))-(-5+-5)))*-5)))/-5)--5)+(-5*(((-27.16*(-27.16-(-5/-5)))*(-27.16-(-27.16/(-5*-27.16))))-(-5/-5)))))</f>
        <v>-101748.79968</v>
      </c>
      <c r="C7285" t="n" s="0">
        <v>-101748.79968</v>
      </c>
    </row>
    <row r="7286">
      <c r="A7286" t="n" s="0">
        <v>-27.15</v>
      </c>
      <c r="B7286" t="n" s="0">
        <f>(-5-((((-5*(-5/((-5/(((-5*(-27.15--5))-(-5+((-5*-27.15)*(((-5--5)+(-27.15--5))+-27.15))))-(-5+-5)))*-5)))/-5)--5)+(-5*(((-27.15*(-27.15-(-5/-5)))*(-27.15-(-27.15/(-5*-27.15))))-(-5/-5)))))</f>
        <v>-101637.074375</v>
      </c>
      <c r="C7286" t="n" s="0">
        <v>-101637.07437499998</v>
      </c>
    </row>
    <row r="7287">
      <c r="A7287" t="n" s="0">
        <v>-27.14</v>
      </c>
      <c r="B7287" t="n" s="0">
        <f>(-5-((((-5*(-5/((-5/(((-5*(-27.14--5))-(-5+((-5*-27.14)*(((-5--5)+(-27.14--5))+-27.14))))-(-5+-5)))*-5)))/-5)--5)+(-5*(((-27.14*(-27.14-(-5/-5)))*(-27.14-(-27.14/(-5*-27.14))))-(-5/-5)))))</f>
        <v>-101525.43092</v>
      </c>
      <c r="C7287" t="n" s="0">
        <v>-101525.43092</v>
      </c>
    </row>
    <row r="7288">
      <c r="A7288" t="n" s="0">
        <v>-27.13</v>
      </c>
      <c r="B7288" t="n" s="0">
        <f>(-5-((((-5*(-5/((-5/(((-5*(-27.13--5))-(-5+((-5*-27.13)*(((-5--5)+(-27.13--5))+-27.13))))-(-5+-5)))*-5)))/-5)--5)+(-5*(((-27.13*(-27.13-(-5/-5)))*(-27.13-(-27.13/(-5*-27.13))))-(-5/-5)))))</f>
        <v>-101413.86928500001</v>
      </c>
      <c r="C7288" t="n" s="0">
        <v>-101413.86928499998</v>
      </c>
    </row>
    <row r="7289">
      <c r="A7289" t="n" s="0">
        <v>-27.12</v>
      </c>
      <c r="B7289" t="n" s="0">
        <f>(-5-((((-5*(-5/((-5/(((-5*(-27.12--5))-(-5+((-5*-27.12)*(((-5--5)+(-27.12--5))+-27.12))))-(-5+-5)))*-5)))/-5)--5)+(-5*(((-27.12*(-27.12-(-5/-5)))*(-27.12-(-27.12/(-5*-27.12))))-(-5/-5)))))</f>
        <v>-101302.38944</v>
      </c>
      <c r="C7289" t="n" s="0">
        <v>-101302.38944000003</v>
      </c>
    </row>
    <row r="7290">
      <c r="A7290" t="n" s="0">
        <v>-27.11</v>
      </c>
      <c r="B7290" t="n" s="0">
        <f>(-5-((((-5*(-5/((-5/(((-5*(-27.11--5))-(-5+((-5*-27.11)*(((-5--5)+(-27.11--5))+-27.11))))-(-5+-5)))*-5)))/-5)--5)+(-5*(((-27.11*(-27.11-(-5/-5)))*(-27.11-(-27.11/(-5*-27.11))))-(-5/-5)))))</f>
        <v>-101190.99135499999</v>
      </c>
      <c r="C7290" t="n" s="0">
        <v>-101190.991355</v>
      </c>
    </row>
    <row r="7291">
      <c r="A7291" t="n" s="0">
        <v>-27.1</v>
      </c>
      <c r="B7291" t="n" s="0">
        <f>(-5-((((-5*(-5/((-5/(((-5*(-27.1--5))-(-5+((-5*-27.1)*(((-5--5)+(-27.1--5))+-27.1))))-(-5+-5)))*-5)))/-5)--5)+(-5*(((-27.1*(-27.1-(-5/-5)))*(-27.1-(-27.1/(-5*-27.1))))-(-5/-5)))))</f>
        <v>-101079.675</v>
      </c>
      <c r="C7291" t="n" s="0">
        <v>-101079.67500000002</v>
      </c>
    </row>
    <row r="7292">
      <c r="A7292" t="n" s="0">
        <v>-27.09</v>
      </c>
      <c r="B7292" t="n" s="0">
        <f>(-5-((((-5*(-5/((-5/(((-5*(-27.09--5))-(-5+((-5*-27.09)*(((-5--5)+(-27.09--5))+-27.09))))-(-5+-5)))*-5)))/-5)--5)+(-5*(((-27.09*(-27.09-(-5/-5)))*(-27.09-(-27.09/(-5*-27.09))))-(-5/-5)))))</f>
        <v>-100968.440345</v>
      </c>
      <c r="C7292" t="n" s="0">
        <v>-100968.44034500001</v>
      </c>
    </row>
    <row r="7293">
      <c r="A7293" t="n" s="0">
        <v>-27.08</v>
      </c>
      <c r="B7293" t="n" s="0">
        <f>(-5-((((-5*(-5/((-5/(((-5*(-27.08--5))-(-5+((-5*-27.08)*(((-5--5)+(-27.08--5))+-27.08))))-(-5+-5)))*-5)))/-5)--5)+(-5*(((-27.08*(-27.08-(-5/-5)))*(-27.08-(-27.08/(-5*-27.08))))-(-5/-5)))))</f>
        <v>-100857.28736</v>
      </c>
      <c r="C7293" t="n" s="0">
        <v>-100857.28735999997</v>
      </c>
    </row>
    <row r="7294">
      <c r="A7294" t="n" s="0">
        <v>-27.07</v>
      </c>
      <c r="B7294" t="n" s="0">
        <f>(-5-((((-5*(-5/((-5/(((-5*(-27.07--5))-(-5+((-5*-27.07)*(((-5--5)+(-27.07--5))+-27.07))))-(-5+-5)))*-5)))/-5)--5)+(-5*(((-27.07*(-27.07-(-5/-5)))*(-27.07-(-27.07/(-5*-27.07))))-(-5/-5)))))</f>
        <v>-100746.216015</v>
      </c>
      <c r="C7294" t="n" s="0">
        <v>-100746.216015</v>
      </c>
    </row>
    <row r="7295">
      <c r="A7295" t="n" s="0">
        <v>-27.06</v>
      </c>
      <c r="B7295" t="n" s="0">
        <f>(-5-((((-5*(-5/((-5/(((-5*(-27.06--5))-(-5+((-5*-27.06)*(((-5--5)+(-27.06--5))+-27.06))))-(-5+-5)))*-5)))/-5)--5)+(-5*(((-27.06*(-27.06-(-5/-5)))*(-27.06-(-27.06/(-5*-27.06))))-(-5/-5)))))</f>
        <v>-100635.22628</v>
      </c>
      <c r="C7295" t="n" s="0">
        <v>-100635.22627999999</v>
      </c>
    </row>
    <row r="7296">
      <c r="A7296" t="n" s="0">
        <v>-27.05</v>
      </c>
      <c r="B7296" t="n" s="0">
        <f>(-5-((((-5*(-5/((-5/(((-5*(-27.05--5))-(-5+((-5*-27.05)*(((-5--5)+(-27.05--5))+-27.05))))-(-5+-5)))*-5)))/-5)--5)+(-5*(((-27.05*(-27.05-(-5/-5)))*(-27.05-(-27.05/(-5*-27.05))))-(-5/-5)))))</f>
        <v>-100524.318125</v>
      </c>
      <c r="C7296" t="n" s="0">
        <v>-100524.31812499999</v>
      </c>
    </row>
    <row r="7297">
      <c r="A7297" t="n" s="0">
        <v>-27.04</v>
      </c>
      <c r="B7297" t="n" s="0">
        <f>(-5-((((-5*(-5/((-5/(((-5*(-27.04--5))-(-5+((-5*-27.04)*(((-5--5)+(-27.04--5))+-27.04))))-(-5+-5)))*-5)))/-5)--5)+(-5*(((-27.04*(-27.04-(-5/-5)))*(-27.04-(-27.04/(-5*-27.04))))-(-5/-5)))))</f>
        <v>-100413.49152000001</v>
      </c>
      <c r="C7297" t="n" s="0">
        <v>-100413.49152</v>
      </c>
    </row>
    <row r="7298">
      <c r="A7298" t="n" s="0">
        <v>-27.03</v>
      </c>
      <c r="B7298" t="n" s="0">
        <f>(-5-((((-5*(-5/((-5/(((-5*(-27.03--5))-(-5+((-5*-27.03)*(((-5--5)+(-27.03--5))+-27.03))))-(-5+-5)))*-5)))/-5)--5)+(-5*(((-27.03*(-27.03-(-5/-5)))*(-27.03-(-27.03/(-5*-27.03))))-(-5/-5)))))</f>
        <v>-100302.74643500001</v>
      </c>
      <c r="C7298" t="n" s="0">
        <v>-100302.74643500001</v>
      </c>
    </row>
    <row r="7299">
      <c r="A7299" t="n" s="0">
        <v>-27.02</v>
      </c>
      <c r="B7299" t="n" s="0">
        <f>(-5-((((-5*(-5/((-5/(((-5*(-27.02--5))-(-5+((-5*-27.02)*(((-5--5)+(-27.02--5))+-27.02))))-(-5+-5)))*-5)))/-5)--5)+(-5*(((-27.02*(-27.02-(-5/-5)))*(-27.02-(-27.02/(-5*-27.02))))-(-5/-5)))))</f>
        <v>-100192.08284</v>
      </c>
      <c r="C7299" t="n" s="0">
        <v>-100192.08284</v>
      </c>
    </row>
    <row r="7300">
      <c r="A7300" t="n" s="0">
        <v>-27.01</v>
      </c>
      <c r="B7300" t="n" s="0">
        <f>(-5-((((-5*(-5/((-5/(((-5*(-27.01--5))-(-5+((-5*-27.01)*(((-5--5)+(-27.01--5))+-27.01))))-(-5+-5)))*-5)))/-5)--5)+(-5*(((-27.01*(-27.01-(-5/-5)))*(-27.01-(-27.01/(-5*-27.01))))-(-5/-5)))))</f>
        <v>-100081.500705</v>
      </c>
      <c r="C7300" t="n" s="0">
        <v>-100081.50070500001</v>
      </c>
    </row>
    <row r="7301">
      <c r="A7301" t="n" s="0">
        <v>-27.0</v>
      </c>
      <c r="B7301" t="n" s="0">
        <f>(-5-((((-5*(-5/((-5/(((-5*(-27--5))-(-5+((-5*-27)*(((-5--5)+(-27--5))+-27))))-(-5+-5)))*-5)))/-5)--5)+(-5*(((-27*(-27-(-5/-5)))*(-27-(-27/(-5*-27))))-(-5/-5)))))</f>
        <v>-99971.0</v>
      </c>
      <c r="C7301" t="n" s="0">
        <v>-99971.0</v>
      </c>
    </row>
    <row r="7302">
      <c r="A7302" t="n" s="0">
        <v>-26.99</v>
      </c>
      <c r="B7302" t="n" s="0">
        <f>(-5-((((-5*(-5/((-5/(((-5*(-26.99--5))-(-5+((-5*-26.99)*(((-5--5)+(-26.99--5))+-26.99))))-(-5+-5)))*-5)))/-5)--5)+(-5*(((-26.99*(-26.99-(-5/-5)))*(-26.99-(-26.99/(-5*-26.99))))-(-5/-5)))))</f>
        <v>-99860.580695</v>
      </c>
      <c r="C7302" t="n" s="0">
        <v>-99860.58069499998</v>
      </c>
    </row>
    <row r="7303">
      <c r="A7303" t="n" s="0">
        <v>-26.98</v>
      </c>
      <c r="B7303" t="n" s="0">
        <f>(-5-((((-5*(-5/((-5/(((-5*(-26.98--5))-(-5+((-5*-26.98)*(((-5--5)+(-26.98--5))+-26.98))))-(-5+-5)))*-5)))/-5)--5)+(-5*(((-26.98*(-26.98-(-5/-5)))*(-26.98-(-26.98/(-5*-26.98))))-(-5/-5)))))</f>
        <v>-99750.24276</v>
      </c>
      <c r="C7303" t="n" s="0">
        <v>-99750.24276000001</v>
      </c>
    </row>
    <row r="7304">
      <c r="A7304" t="n" s="0">
        <v>-26.97</v>
      </c>
      <c r="B7304" t="n" s="0">
        <f>(-5-((((-5*(-5/((-5/(((-5*(-26.97--5))-(-5+((-5*-26.97)*(((-5--5)+(-26.97--5))+-26.97))))-(-5+-5)))*-5)))/-5)--5)+(-5*(((-26.97*(-26.97-(-5/-5)))*(-26.97-(-26.97/(-5*-26.97))))-(-5/-5)))))</f>
        <v>-99639.986165</v>
      </c>
      <c r="C7304" t="n" s="0">
        <v>-99639.98616499998</v>
      </c>
    </row>
    <row r="7305">
      <c r="A7305" t="n" s="0">
        <v>-26.96</v>
      </c>
      <c r="B7305" t="n" s="0">
        <f>(-5-((((-5*(-5/((-5/(((-5*(-26.96--5))-(-5+((-5*-26.96)*(((-5--5)+(-26.96--5))+-26.96))))-(-5+-5)))*-5)))/-5)--5)+(-5*(((-26.96*(-26.96-(-5/-5)))*(-26.96-(-26.96/(-5*-26.96))))-(-5/-5)))))</f>
        <v>-99529.81087999999</v>
      </c>
      <c r="C7305" t="n" s="0">
        <v>-99529.81088</v>
      </c>
    </row>
    <row r="7306">
      <c r="A7306" t="n" s="0">
        <v>-26.95</v>
      </c>
      <c r="B7306" t="n" s="0">
        <f>(-5-((((-5*(-5/((-5/(((-5*(-26.95--5))-(-5+((-5*-26.95)*(((-5--5)+(-26.95--5))+-26.95))))-(-5+-5)))*-5)))/-5)--5)+(-5*(((-26.95*(-26.95-(-5/-5)))*(-26.95-(-26.95/(-5*-26.95))))-(-5/-5)))))</f>
        <v>-99419.71687500001</v>
      </c>
      <c r="C7306" t="n" s="0">
        <v>-99419.716875</v>
      </c>
    </row>
    <row r="7307">
      <c r="A7307" t="n" s="0">
        <v>-26.94</v>
      </c>
      <c r="B7307" t="n" s="0">
        <f>(-5-((((-5*(-5/((-5/(((-5*(-26.94--5))-(-5+((-5*-26.94)*(((-5--5)+(-26.94--5))+-26.94))))-(-5+-5)))*-5)))/-5)--5)+(-5*(((-26.94*(-26.94-(-5/-5)))*(-26.94-(-26.94/(-5*-26.94))))-(-5/-5)))))</f>
        <v>-99309.70412</v>
      </c>
      <c r="C7307" t="n" s="0">
        <v>-99309.70412000002</v>
      </c>
    </row>
    <row r="7308">
      <c r="A7308" t="n" s="0">
        <v>-26.93</v>
      </c>
      <c r="B7308" t="n" s="0">
        <f>(-5-((((-5*(-5/((-5/(((-5*(-26.93--5))-(-5+((-5*-26.93)*(((-5--5)+(-26.93--5))+-26.93))))-(-5+-5)))*-5)))/-5)--5)+(-5*(((-26.93*(-26.93-(-5/-5)))*(-26.93-(-26.93/(-5*-26.93))))-(-5/-5)))))</f>
        <v>-99199.772585</v>
      </c>
      <c r="C7308" t="n" s="0">
        <v>-99199.772585</v>
      </c>
    </row>
    <row r="7309">
      <c r="A7309" t="n" s="0">
        <v>-26.92</v>
      </c>
      <c r="B7309" t="n" s="0">
        <f>(-5-((((-5*(-5/((-5/(((-5*(-26.92--5))-(-5+((-5*-26.92)*(((-5--5)+(-26.92--5))+-26.92))))-(-5+-5)))*-5)))/-5)--5)+(-5*(((-26.92*(-26.92-(-5/-5)))*(-26.92-(-26.92/(-5*-26.92))))-(-5/-5)))))</f>
        <v>-99089.92224</v>
      </c>
      <c r="C7309" t="n" s="0">
        <v>-99089.92224000001</v>
      </c>
    </row>
    <row r="7310">
      <c r="A7310" t="n" s="0">
        <v>-26.91</v>
      </c>
      <c r="B7310" t="n" s="0">
        <f>(-5-((((-5*(-5/((-5/(((-5*(-26.91--5))-(-5+((-5*-26.91)*(((-5--5)+(-26.91--5))+-26.91))))-(-5+-5)))*-5)))/-5)--5)+(-5*(((-26.91*(-26.91-(-5/-5)))*(-26.91-(-26.91/(-5*-26.91))))-(-5/-5)))))</f>
        <v>-98980.153055</v>
      </c>
      <c r="C7310" t="n" s="0">
        <v>-98980.15305499999</v>
      </c>
    </row>
    <row r="7311">
      <c r="A7311" t="n" s="0">
        <v>-26.9</v>
      </c>
      <c r="B7311" t="n" s="0">
        <f>(-5-((((-5*(-5/((-5/(((-5*(-26.9--5))-(-5+((-5*-26.9)*(((-5--5)+(-26.9--5))+-26.9))))-(-5+-5)))*-5)))/-5)--5)+(-5*(((-26.9*(-26.9-(-5/-5)))*(-26.9-(-26.9/(-5*-26.9))))-(-5/-5)))))</f>
        <v>-98870.46500000001</v>
      </c>
      <c r="C7311" t="n" s="0">
        <v>-98870.46499999998</v>
      </c>
    </row>
    <row r="7312">
      <c r="A7312" t="n" s="0">
        <v>-26.89</v>
      </c>
      <c r="B7312" t="n" s="0">
        <f>(-5-((((-5*(-5/((-5/(((-5*(-26.89--5))-(-5+((-5*-26.89)*(((-5--5)+(-26.89--5))+-26.89))))-(-5+-5)))*-5)))/-5)--5)+(-5*(((-26.89*(-26.89-(-5/-5)))*(-26.89-(-26.89/(-5*-26.89))))-(-5/-5)))))</f>
        <v>-98760.858045</v>
      </c>
      <c r="C7312" t="n" s="0">
        <v>-98760.858045</v>
      </c>
    </row>
    <row r="7313">
      <c r="A7313" t="n" s="0">
        <v>-26.88</v>
      </c>
      <c r="B7313" t="n" s="0">
        <f>(-5-((((-5*(-5/((-5/(((-5*(-26.88--5))-(-5+((-5*-26.88)*(((-5--5)+(-26.88--5))+-26.88))))-(-5+-5)))*-5)))/-5)--5)+(-5*(((-26.88*(-26.88-(-5/-5)))*(-26.88-(-26.88/(-5*-26.88))))-(-5/-5)))))</f>
        <v>-98651.33215999999</v>
      </c>
      <c r="C7313" t="n" s="0">
        <v>-98651.33215999998</v>
      </c>
    </row>
    <row r="7314">
      <c r="A7314" t="n" s="0">
        <v>-26.87</v>
      </c>
      <c r="B7314" t="n" s="0">
        <f>(-5-((((-5*(-5/((-5/(((-5*(-26.87--5))-(-5+((-5*-26.87)*(((-5--5)+(-26.87--5))+-26.87))))-(-5+-5)))*-5)))/-5)--5)+(-5*(((-26.87*(-26.87-(-5/-5)))*(-26.87-(-26.87/(-5*-26.87))))-(-5/-5)))))</f>
        <v>-98541.887315</v>
      </c>
      <c r="C7314" t="n" s="0">
        <v>-98541.88731500001</v>
      </c>
    </row>
    <row r="7315">
      <c r="A7315" t="n" s="0">
        <v>-26.86</v>
      </c>
      <c r="B7315" t="n" s="0">
        <f>(-5-((((-5*(-5/((-5/(((-5*(-26.86--5))-(-5+((-5*-26.86)*(((-5--5)+(-26.86--5))+-26.86))))-(-5+-5)))*-5)))/-5)--5)+(-5*(((-26.86*(-26.86-(-5/-5)))*(-26.86-(-26.86/(-5*-26.86))))-(-5/-5)))))</f>
        <v>-98432.52348</v>
      </c>
      <c r="C7315" t="n" s="0">
        <v>-98432.52347999999</v>
      </c>
    </row>
    <row r="7316">
      <c r="A7316" t="n" s="0">
        <v>-26.85</v>
      </c>
      <c r="B7316" t="n" s="0">
        <f>(-5-((((-5*(-5/((-5/(((-5*(-26.85--5))-(-5+((-5*-26.85)*(((-5--5)+(-26.85--5))+-26.85))))-(-5+-5)))*-5)))/-5)--5)+(-5*(((-26.85*(-26.85-(-5/-5)))*(-26.85-(-26.85/(-5*-26.85))))-(-5/-5)))))</f>
        <v>-98323.24062499999</v>
      </c>
      <c r="C7316" t="n" s="0">
        <v>-98323.24062500002</v>
      </c>
    </row>
    <row r="7317">
      <c r="A7317" t="n" s="0">
        <v>-26.84</v>
      </c>
      <c r="B7317" t="n" s="0">
        <f>(-5-((((-5*(-5/((-5/(((-5*(-26.84--5))-(-5+((-5*-26.84)*(((-5--5)+(-26.84--5))+-26.84))))-(-5+-5)))*-5)))/-5)--5)+(-5*(((-26.84*(-26.84-(-5/-5)))*(-26.84-(-26.84/(-5*-26.84))))-(-5/-5)))))</f>
        <v>-98214.03872</v>
      </c>
      <c r="C7317" t="n" s="0">
        <v>-98214.03872000001</v>
      </c>
    </row>
    <row r="7318">
      <c r="A7318" t="n" s="0">
        <v>-26.83</v>
      </c>
      <c r="B7318" t="n" s="0">
        <f>(-5-((((-5*(-5/((-5/(((-5*(-26.83--5))-(-5+((-5*-26.83)*(((-5--5)+(-26.83--5))+-26.83))))-(-5+-5)))*-5)))/-5)--5)+(-5*(((-26.83*(-26.83-(-5/-5)))*(-26.83-(-26.83/(-5*-26.83))))-(-5/-5)))))</f>
        <v>-98104.917735</v>
      </c>
      <c r="C7318" t="n" s="0">
        <v>-98104.91773499998</v>
      </c>
    </row>
    <row r="7319">
      <c r="A7319" t="n" s="0">
        <v>-26.82</v>
      </c>
      <c r="B7319" t="n" s="0">
        <f>(-5-((((-5*(-5/((-5/(((-5*(-26.82--5))-(-5+((-5*-26.82)*(((-5--5)+(-26.82--5))+-26.82))))-(-5+-5)))*-5)))/-5)--5)+(-5*(((-26.82*(-26.82-(-5/-5)))*(-26.82-(-26.82/(-5*-26.82))))-(-5/-5)))))</f>
        <v>-97995.87763999999</v>
      </c>
      <c r="C7319" t="n" s="0">
        <v>-97995.87764000002</v>
      </c>
    </row>
    <row r="7320">
      <c r="A7320" t="n" s="0">
        <v>-26.81</v>
      </c>
      <c r="B7320" t="n" s="0">
        <f>(-5-((((-5*(-5/((-5/(((-5*(-26.81--5))-(-5+((-5*-26.81)*(((-5--5)+(-26.81--5))+-26.81))))-(-5+-5)))*-5)))/-5)--5)+(-5*(((-26.81*(-26.81-(-5/-5)))*(-26.81-(-26.81/(-5*-26.81))))-(-5/-5)))))</f>
        <v>-97886.918405</v>
      </c>
      <c r="C7320" t="n" s="0">
        <v>-97886.91840499997</v>
      </c>
    </row>
    <row r="7321">
      <c r="A7321" t="n" s="0">
        <v>-26.8</v>
      </c>
      <c r="B7321" t="n" s="0">
        <f>(-5-((((-5*(-5/((-5/(((-5*(-26.8--5))-(-5+((-5*-26.8)*(((-5--5)+(-26.8--5))+-26.8))))-(-5+-5)))*-5)))/-5)--5)+(-5*(((-26.8*(-26.8-(-5/-5)))*(-26.8-(-26.8/(-5*-26.8))))-(-5/-5)))))</f>
        <v>-97778.04000000001</v>
      </c>
      <c r="C7321" t="n" s="0">
        <v>-97778.04</v>
      </c>
    </row>
    <row r="7322">
      <c r="A7322" t="n" s="0">
        <v>-26.79</v>
      </c>
      <c r="B7322" t="n" s="0">
        <f>(-5-((((-5*(-5/((-5/(((-5*(-26.79--5))-(-5+((-5*-26.79)*(((-5--5)+(-26.79--5))+-26.79))))-(-5+-5)))*-5)))/-5)--5)+(-5*(((-26.79*(-26.79-(-5/-5)))*(-26.79-(-26.79/(-5*-26.79))))-(-5/-5)))))</f>
        <v>-97669.242395</v>
      </c>
      <c r="C7322" t="n" s="0">
        <v>-97669.242395</v>
      </c>
    </row>
    <row r="7323">
      <c r="A7323" t="n" s="0">
        <v>-26.78</v>
      </c>
      <c r="B7323" t="n" s="0">
        <f>(-5-((((-5*(-5/((-5/(((-5*(-26.78--5))-(-5+((-5*-26.78)*(((-5--5)+(-26.78--5))+-26.78))))-(-5+-5)))*-5)))/-5)--5)+(-5*(((-26.78*(-26.78-(-5/-5)))*(-26.78-(-26.78/(-5*-26.78))))-(-5/-5)))))</f>
        <v>-97560.52556000001</v>
      </c>
      <c r="C7323" t="n" s="0">
        <v>-97560.52556000002</v>
      </c>
    </row>
    <row r="7324">
      <c r="A7324" t="n" s="0">
        <v>-26.77</v>
      </c>
      <c r="B7324" t="n" s="0">
        <f>(-5-((((-5*(-5/((-5/(((-5*(-26.77--5))-(-5+((-5*-26.77)*(((-5--5)+(-26.77--5))+-26.77))))-(-5+-5)))*-5)))/-5)--5)+(-5*(((-26.77*(-26.77-(-5/-5)))*(-26.77-(-26.77/(-5*-26.77))))-(-5/-5)))))</f>
        <v>-97451.889465</v>
      </c>
      <c r="C7324" t="n" s="0">
        <v>-97451.88946499999</v>
      </c>
    </row>
    <row r="7325">
      <c r="A7325" t="n" s="0">
        <v>-26.76</v>
      </c>
      <c r="B7325" t="n" s="0">
        <f>(-5-((((-5*(-5/((-5/(((-5*(-26.76--5))-(-5+((-5*-26.76)*(((-5--5)+(-26.76--5))+-26.76))))-(-5+-5)))*-5)))/-5)--5)+(-5*(((-26.76*(-26.76-(-5/-5)))*(-26.76-(-26.76/(-5*-26.76))))-(-5/-5)))))</f>
        <v>-97343.33408</v>
      </c>
      <c r="C7325" t="n" s="0">
        <v>-97343.33408000003</v>
      </c>
    </row>
    <row r="7326">
      <c r="A7326" t="n" s="0">
        <v>-26.75</v>
      </c>
      <c r="B7326" t="n" s="0">
        <f>(-5-((((-5*(-5/((-5/(((-5*(-26.75--5))-(-5+((-5*-26.75)*(((-5--5)+(-26.75--5))+-26.75))))-(-5+-5)))*-5)))/-5)--5)+(-5*(((-26.75*(-26.75-(-5/-5)))*(-26.75-(-26.75/(-5*-26.75))))-(-5/-5)))))</f>
        <v>-97234.859375</v>
      </c>
      <c r="C7326" t="n" s="0">
        <v>-97234.859375</v>
      </c>
    </row>
    <row r="7327">
      <c r="A7327" t="n" s="0">
        <v>-26.74</v>
      </c>
      <c r="B7327" t="n" s="0">
        <f>(-5-((((-5*(-5/((-5/(((-5*(-26.74--5))-(-5+((-5*-26.74)*(((-5--5)+(-26.74--5))+-26.74))))-(-5+-5)))*-5)))/-5)--5)+(-5*(((-26.74*(-26.74-(-5/-5)))*(-26.74-(-26.74/(-5*-26.74))))-(-5/-5)))))</f>
        <v>-97126.46532</v>
      </c>
      <c r="C7327" t="n" s="0">
        <v>-97126.46531999999</v>
      </c>
    </row>
    <row r="7328">
      <c r="A7328" t="n" s="0">
        <v>-26.73</v>
      </c>
      <c r="B7328" t="n" s="0">
        <f>(-5-((((-5*(-5/((-5/(((-5*(-26.73--5))-(-5+((-5*-26.73)*(((-5--5)+(-26.73--5))+-26.73))))-(-5+-5)))*-5)))/-5)--5)+(-5*(((-26.73*(-26.73-(-5/-5)))*(-26.73-(-26.73/(-5*-26.73))))-(-5/-5)))))</f>
        <v>-97018.151885</v>
      </c>
      <c r="C7328" t="n" s="0">
        <v>-97018.151885</v>
      </c>
    </row>
    <row r="7329">
      <c r="A7329" t="n" s="0">
        <v>-26.72</v>
      </c>
      <c r="B7329" t="n" s="0">
        <f>(-5-((((-5*(-5/((-5/(((-5*(-26.72--5))-(-5+((-5*-26.72)*(((-5--5)+(-26.72--5))+-26.72))))-(-5+-5)))*-5)))/-5)--5)+(-5*(((-26.72*(-26.72-(-5/-5)))*(-26.72-(-26.72/(-5*-26.72))))-(-5/-5)))))</f>
        <v>-96909.91904</v>
      </c>
      <c r="C7329" t="n" s="0">
        <v>-96909.91904</v>
      </c>
    </row>
    <row r="7330">
      <c r="A7330" t="n" s="0">
        <v>-26.71</v>
      </c>
      <c r="B7330" t="n" s="0">
        <f>(-5-((((-5*(-5/((-5/(((-5*(-26.71--5))-(-5+((-5*-26.71)*(((-5--5)+(-26.71--5))+-26.71))))-(-5+-5)))*-5)))/-5)--5)+(-5*(((-26.71*(-26.71-(-5/-5)))*(-26.71-(-26.71/(-5*-26.71))))-(-5/-5)))))</f>
        <v>-96801.766755</v>
      </c>
      <c r="C7330" t="n" s="0">
        <v>-96801.766755</v>
      </c>
    </row>
    <row r="7331">
      <c r="A7331" t="n" s="0">
        <v>-26.7</v>
      </c>
      <c r="B7331" t="n" s="0">
        <f>(-5-((((-5*(-5/((-5/(((-5*(-26.7--5))-(-5+((-5*-26.7)*(((-5--5)+(-26.7--5))+-26.7))))-(-5+-5)))*-5)))/-5)--5)+(-5*(((-26.7*(-26.7-(-5/-5)))*(-26.7-(-26.7/(-5*-26.7))))-(-5/-5)))))</f>
        <v>-96693.695</v>
      </c>
      <c r="C7331" t="n" s="0">
        <v>-96693.69499999999</v>
      </c>
    </row>
    <row r="7332">
      <c r="A7332" t="n" s="0">
        <v>-26.69</v>
      </c>
      <c r="B7332" t="n" s="0">
        <f>(-5-((((-5*(-5/((-5/(((-5*(-26.69--5))-(-5+((-5*-26.69)*(((-5--5)+(-26.69--5))+-26.69))))-(-5+-5)))*-5)))/-5)--5)+(-5*(((-26.69*(-26.69-(-5/-5)))*(-26.69-(-26.69/(-5*-26.69))))-(-5/-5)))))</f>
        <v>-96585.703745</v>
      </c>
      <c r="C7332" t="n" s="0">
        <v>-96585.70374500002</v>
      </c>
    </row>
    <row r="7333">
      <c r="A7333" t="n" s="0">
        <v>-26.68</v>
      </c>
      <c r="B7333" t="n" s="0">
        <f>(-5-((((-5*(-5/((-5/(((-5*(-26.68--5))-(-5+((-5*-26.68)*(((-5--5)+(-26.68--5))+-26.68))))-(-5+-5)))*-5)))/-5)--5)+(-5*(((-26.68*(-26.68-(-5/-5)))*(-26.68-(-26.68/(-5*-26.68))))-(-5/-5)))))</f>
        <v>-96477.79296</v>
      </c>
      <c r="C7333" t="n" s="0">
        <v>-96477.79295999998</v>
      </c>
    </row>
    <row r="7334">
      <c r="A7334" t="n" s="0">
        <v>-26.67</v>
      </c>
      <c r="B7334" t="n" s="0">
        <f>(-5-((((-5*(-5/((-5/(((-5*(-26.67--5))-(-5+((-5*-26.67)*(((-5--5)+(-26.67--5))+-26.67))))-(-5+-5)))*-5)))/-5)--5)+(-5*(((-26.67*(-26.67-(-5/-5)))*(-26.67-(-26.67/(-5*-26.67))))-(-5/-5)))))</f>
        <v>-96369.962615</v>
      </c>
      <c r="C7334" t="n" s="0">
        <v>-96369.96261500001</v>
      </c>
    </row>
    <row r="7335">
      <c r="A7335" t="n" s="0">
        <v>-26.66</v>
      </c>
      <c r="B7335" t="n" s="0">
        <f>(-5-((((-5*(-5/((-5/(((-5*(-26.66--5))-(-5+((-5*-26.66)*(((-5--5)+(-26.66--5))+-26.66))))-(-5+-5)))*-5)))/-5)--5)+(-5*(((-26.66*(-26.66-(-5/-5)))*(-26.66-(-26.66/(-5*-26.66))))-(-5/-5)))))</f>
        <v>-96262.21268000001</v>
      </c>
      <c r="C7335" t="n" s="0">
        <v>-96262.21268</v>
      </c>
    </row>
    <row r="7336">
      <c r="A7336" t="n" s="0">
        <v>-26.65</v>
      </c>
      <c r="B7336" t="n" s="0">
        <f>(-5-((((-5*(-5/((-5/(((-5*(-26.65--5))-(-5+((-5*-26.65)*(((-5--5)+(-26.65--5))+-26.65))))-(-5+-5)))*-5)))/-5)--5)+(-5*(((-26.65*(-26.65-(-5/-5)))*(-26.65-(-26.65/(-5*-26.65))))-(-5/-5)))))</f>
        <v>-96154.543125</v>
      </c>
      <c r="C7336" t="n" s="0">
        <v>-96154.54312499998</v>
      </c>
    </row>
    <row r="7337">
      <c r="A7337" t="n" s="0">
        <v>-26.64</v>
      </c>
      <c r="B7337" t="n" s="0">
        <f>(-5-((((-5*(-5/((-5/(((-5*(-26.64--5))-(-5+((-5*-26.64)*(((-5--5)+(-26.64--5))+-26.64))))-(-5+-5)))*-5)))/-5)--5)+(-5*(((-26.64*(-26.64-(-5/-5)))*(-26.64-(-26.64/(-5*-26.64))))-(-5/-5)))))</f>
        <v>-96046.95392</v>
      </c>
      <c r="C7337" t="n" s="0">
        <v>-96046.95392</v>
      </c>
    </row>
    <row r="7338">
      <c r="A7338" t="n" s="0">
        <v>-26.63</v>
      </c>
      <c r="B7338" t="n" s="0">
        <f>(-5-((((-5*(-5/((-5/(((-5*(-26.63--5))-(-5+((-5*-26.63)*(((-5--5)+(-26.63--5))+-26.63))))-(-5+-5)))*-5)))/-5)--5)+(-5*(((-26.63*(-26.63-(-5/-5)))*(-26.63-(-26.63/(-5*-26.63))))-(-5/-5)))))</f>
        <v>-95939.445035</v>
      </c>
      <c r="C7338" t="n" s="0">
        <v>-95939.445035</v>
      </c>
    </row>
    <row r="7339">
      <c r="A7339" t="n" s="0">
        <v>-26.62</v>
      </c>
      <c r="B7339" t="n" s="0">
        <f>(-5-((((-5*(-5/((-5/(((-5*(-26.62--5))-(-5+((-5*-26.62)*(((-5--5)+(-26.62--5))+-26.62))))-(-5+-5)))*-5)))/-5)--5)+(-5*(((-26.62*(-26.62-(-5/-5)))*(-26.62-(-26.62/(-5*-26.62))))-(-5/-5)))))</f>
        <v>-95832.01643999999</v>
      </c>
      <c r="C7339" t="n" s="0">
        <v>-95832.01644000002</v>
      </c>
    </row>
    <row r="7340">
      <c r="A7340" t="n" s="0">
        <v>-26.61</v>
      </c>
      <c r="B7340" t="n" s="0">
        <f>(-5-((((-5*(-5/((-5/(((-5*(-26.61--5))-(-5+((-5*-26.61)*(((-5--5)+(-26.61--5))+-26.61))))-(-5+-5)))*-5)))/-5)--5)+(-5*(((-26.61*(-26.61-(-5/-5)))*(-26.61-(-26.61/(-5*-26.61))))-(-5/-5)))))</f>
        <v>-95724.668105</v>
      </c>
      <c r="C7340" t="n" s="0">
        <v>-95724.668105</v>
      </c>
    </row>
    <row r="7341">
      <c r="A7341" t="n" s="0">
        <v>-26.6</v>
      </c>
      <c r="B7341" t="n" s="0">
        <f>(-5-((((-5*(-5/((-5/(((-5*(-26.6--5))-(-5+((-5*-26.6)*(((-5--5)+(-26.6--5))+-26.6))))-(-5+-5)))*-5)))/-5)--5)+(-5*(((-26.6*(-26.6-(-5/-5)))*(-26.6-(-26.6/(-5*-26.6))))-(-5/-5)))))</f>
        <v>-95617.4</v>
      </c>
      <c r="C7341" t="n" s="0">
        <v>-95617.40000000001</v>
      </c>
    </row>
    <row r="7342">
      <c r="A7342" t="n" s="0">
        <v>-26.59</v>
      </c>
      <c r="B7342" t="n" s="0">
        <f>(-5-((((-5*(-5/((-5/(((-5*(-26.59--5))-(-5+((-5*-26.59)*(((-5--5)+(-26.59--5))+-26.59))))-(-5+-5)))*-5)))/-5)--5)+(-5*(((-26.59*(-26.59-(-5/-5)))*(-26.59-(-26.59/(-5*-26.59))))-(-5/-5)))))</f>
        <v>-95510.212095</v>
      </c>
      <c r="C7342" t="n" s="0">
        <v>-95510.21209500001</v>
      </c>
    </row>
    <row r="7343">
      <c r="A7343" t="n" s="0">
        <v>-26.58</v>
      </c>
      <c r="B7343" t="n" s="0">
        <f>(-5-((((-5*(-5/((-5/(((-5*(-26.58--5))-(-5+((-5*-26.58)*(((-5--5)+(-26.58--5))+-26.58))))-(-5+-5)))*-5)))/-5)--5)+(-5*(((-26.58*(-26.58-(-5/-5)))*(-26.58-(-26.58/(-5*-26.58))))-(-5/-5)))))</f>
        <v>-95403.10436</v>
      </c>
      <c r="C7343" t="n" s="0">
        <v>-95403.10435999997</v>
      </c>
    </row>
    <row r="7344">
      <c r="A7344" t="n" s="0">
        <v>-26.57</v>
      </c>
      <c r="B7344" t="n" s="0">
        <f>(-5-((((-5*(-5/((-5/(((-5*(-26.57--5))-(-5+((-5*-26.57)*(((-5--5)+(-26.57--5))+-26.57))))-(-5+-5)))*-5)))/-5)--5)+(-5*(((-26.57*(-26.57-(-5/-5)))*(-26.57-(-26.57/(-5*-26.57))))-(-5/-5)))))</f>
        <v>-95296.076765</v>
      </c>
      <c r="C7344" t="n" s="0">
        <v>-95296.076765</v>
      </c>
    </row>
    <row r="7345">
      <c r="A7345" t="n" s="0">
        <v>-26.56</v>
      </c>
      <c r="B7345" t="n" s="0">
        <f>(-5-((((-5*(-5/((-5/(((-5*(-26.56--5))-(-5+((-5*-26.56)*(((-5--5)+(-26.56--5))+-26.56))))-(-5+-5)))*-5)))/-5)--5)+(-5*(((-26.56*(-26.56-(-5/-5)))*(-26.56-(-26.56/(-5*-26.56))))-(-5/-5)))))</f>
        <v>-95189.12928</v>
      </c>
      <c r="C7345" t="n" s="0">
        <v>-95189.12927999998</v>
      </c>
    </row>
    <row r="7346">
      <c r="A7346" t="n" s="0">
        <v>-26.55</v>
      </c>
      <c r="B7346" t="n" s="0">
        <f>(-5-((((-5*(-5/((-5/(((-5*(-26.55--5))-(-5+((-5*-26.55)*(((-5--5)+(-26.55--5))+-26.55))))-(-5+-5)))*-5)))/-5)--5)+(-5*(((-26.55*(-26.55-(-5/-5)))*(-26.55-(-26.55/(-5*-26.55))))-(-5/-5)))))</f>
        <v>-95082.26187500001</v>
      </c>
      <c r="C7346" t="n" s="0">
        <v>-95082.261875</v>
      </c>
    </row>
    <row r="7347">
      <c r="A7347" t="n" s="0">
        <v>-26.54</v>
      </c>
      <c r="B7347" t="n" s="0">
        <f>(-5-((((-5*(-5/((-5/(((-5*(-26.54--5))-(-5+((-5*-26.54)*(((-5--5)+(-26.54--5))+-26.54))))-(-5+-5)))*-5)))/-5)--5)+(-5*(((-26.54*(-26.54-(-5/-5)))*(-26.54-(-26.54/(-5*-26.54))))-(-5/-5)))))</f>
        <v>-94975.47452</v>
      </c>
      <c r="C7347" t="n" s="0">
        <v>-94975.47451999999</v>
      </c>
    </row>
    <row r="7348">
      <c r="A7348" t="n" s="0">
        <v>-26.53</v>
      </c>
      <c r="B7348" t="n" s="0">
        <f>(-5-((((-5*(-5/((-5/(((-5*(-26.53--5))-(-5+((-5*-26.53)*(((-5--5)+(-26.53--5))+-26.53))))-(-5+-5)))*-5)))/-5)--5)+(-5*(((-26.53*(-26.53-(-5/-5)))*(-26.53-(-26.53/(-5*-26.53))))-(-5/-5)))))</f>
        <v>-94868.767185</v>
      </c>
      <c r="C7348" t="n" s="0">
        <v>-94868.76718500002</v>
      </c>
    </row>
    <row r="7349">
      <c r="A7349" t="n" s="0">
        <v>-26.52</v>
      </c>
      <c r="B7349" t="n" s="0">
        <f>(-5-((((-5*(-5/((-5/(((-5*(-26.52--5))-(-5+((-5*-26.52)*(((-5--5)+(-26.52--5))+-26.52))))-(-5+-5)))*-5)))/-5)--5)+(-5*(((-26.52*(-26.52-(-5/-5)))*(-26.52-(-26.52/(-5*-26.52))))-(-5/-5)))))</f>
        <v>-94762.13984</v>
      </c>
      <c r="C7349" t="n" s="0">
        <v>-94762.13983999999</v>
      </c>
    </row>
    <row r="7350">
      <c r="A7350" t="n" s="0">
        <v>-26.51</v>
      </c>
      <c r="B7350" t="n" s="0">
        <f>(-5-((((-5*(-5/((-5/(((-5*(-26.51--5))-(-5+((-5*-26.51)*(((-5--5)+(-26.51--5))+-26.51))))-(-5+-5)))*-5)))/-5)--5)+(-5*(((-26.51*(-26.51-(-5/-5)))*(-26.51-(-26.51/(-5*-26.51))))-(-5/-5)))))</f>
        <v>-94655.592455</v>
      </c>
      <c r="C7350" t="n" s="0">
        <v>-94655.59245500003</v>
      </c>
    </row>
    <row r="7351">
      <c r="A7351" t="n" s="0">
        <v>-26.5</v>
      </c>
      <c r="B7351" t="n" s="0">
        <f>(-5-((((-5*(-5/((-5/(((-5*(-26.5--5))-(-5+((-5*-26.5)*(((-5--5)+(-26.5--5))+-26.5))))-(-5+-5)))*-5)))/-5)--5)+(-5*(((-26.5*(-26.5-(-5/-5)))*(-26.5-(-26.5/(-5*-26.5))))-(-5/-5)))))</f>
        <v>-94549.125</v>
      </c>
      <c r="C7351" t="n" s="0">
        <v>-94549.125</v>
      </c>
    </row>
    <row r="7352">
      <c r="A7352" t="n" s="0">
        <v>-26.49</v>
      </c>
      <c r="B7352" t="n" s="0">
        <f>(-5-((((-5*(-5/((-5/(((-5*(-26.49--5))-(-5+((-5*-26.49)*(((-5--5)+(-26.49--5))+-26.49))))-(-5+-5)))*-5)))/-5)--5)+(-5*(((-26.49*(-26.49-(-5/-5)))*(-26.49-(-26.49/(-5*-26.49))))-(-5/-5)))))</f>
        <v>-94442.73744499999</v>
      </c>
      <c r="C7352" t="n" s="0">
        <v>-94442.73744499999</v>
      </c>
    </row>
    <row r="7353">
      <c r="A7353" t="n" s="0">
        <v>-26.48</v>
      </c>
      <c r="B7353" t="n" s="0">
        <f>(-5-((((-5*(-5/((-5/(((-5*(-26.48--5))-(-5+((-5*-26.48)*(((-5--5)+(-26.48--5))+-26.48))))-(-5+-5)))*-5)))/-5)--5)+(-5*(((-26.48*(-26.48-(-5/-5)))*(-26.48-(-26.48/(-5*-26.48))))-(-5/-5)))))</f>
        <v>-94336.42976</v>
      </c>
      <c r="C7353" t="n" s="0">
        <v>-94336.42976</v>
      </c>
    </row>
    <row r="7354">
      <c r="A7354" t="n" s="0">
        <v>-26.47</v>
      </c>
      <c r="B7354" t="n" s="0">
        <f>(-5-((((-5*(-5/((-5/(((-5*(-26.47--5))-(-5+((-5*-26.47)*(((-5--5)+(-26.47--5))+-26.47))))-(-5+-5)))*-5)))/-5)--5)+(-5*(((-26.47*(-26.47-(-5/-5)))*(-26.47-(-26.47/(-5*-26.47))))-(-5/-5)))))</f>
        <v>-94230.201915</v>
      </c>
      <c r="C7354" t="n" s="0">
        <v>-94230.20191500001</v>
      </c>
    </row>
    <row r="7355">
      <c r="A7355" t="n" s="0">
        <v>-26.46</v>
      </c>
      <c r="B7355" t="n" s="0">
        <f>(-5-((((-5*(-5/((-5/(((-5*(-26.46--5))-(-5+((-5*-26.46)*(((-5--5)+(-26.46--5))+-26.46))))-(-5+-5)))*-5)))/-5)--5)+(-5*(((-26.46*(-26.46-(-5/-5)))*(-26.46-(-26.46/(-5*-26.46))))-(-5/-5)))))</f>
        <v>-94124.05387999999</v>
      </c>
      <c r="C7355" t="n" s="0">
        <v>-94124.05388000002</v>
      </c>
    </row>
    <row r="7356">
      <c r="A7356" t="n" s="0">
        <v>-26.45</v>
      </c>
      <c r="B7356" t="n" s="0">
        <f>(-5-((((-5*(-5/((-5/(((-5*(-26.45--5))-(-5+((-5*-26.45)*(((-5--5)+(-26.45--5))+-26.45))))-(-5+-5)))*-5)))/-5)--5)+(-5*(((-26.45*(-26.45-(-5/-5)))*(-26.45-(-26.45/(-5*-26.45))))-(-5/-5)))))</f>
        <v>-94017.985625</v>
      </c>
      <c r="C7356" t="n" s="0">
        <v>-94017.985625</v>
      </c>
    </row>
    <row r="7357">
      <c r="A7357" t="n" s="0">
        <v>-26.44</v>
      </c>
      <c r="B7357" t="n" s="0">
        <f>(-5-((((-5*(-5/((-5/(((-5*(-26.44--5))-(-5+((-5*-26.44)*(((-5--5)+(-26.44--5))+-26.44))))-(-5+-5)))*-5)))/-5)--5)+(-5*(((-26.44*(-26.44-(-5/-5)))*(-26.44-(-26.44/(-5*-26.44))))-(-5/-5)))))</f>
        <v>-93911.99712</v>
      </c>
      <c r="C7357" t="n" s="0">
        <v>-93911.99712000003</v>
      </c>
    </row>
    <row r="7358">
      <c r="A7358" t="n" s="0">
        <v>-26.43</v>
      </c>
      <c r="B7358" t="n" s="0">
        <f>(-5-((((-5*(-5/((-5/(((-5*(-26.43--5))-(-5+((-5*-26.43)*(((-5--5)+(-26.43--5))+-26.43))))-(-5+-5)))*-5)))/-5)--5)+(-5*(((-26.43*(-26.43-(-5/-5)))*(-26.43-(-26.43/(-5*-26.43))))-(-5/-5)))))</f>
        <v>-93806.088335</v>
      </c>
      <c r="C7358" t="n" s="0">
        <v>-93806.088335</v>
      </c>
    </row>
    <row r="7359">
      <c r="A7359" t="n" s="0">
        <v>-26.42</v>
      </c>
      <c r="B7359" t="n" s="0">
        <f>(-5-((((-5*(-5/((-5/(((-5*(-26.42--5))-(-5+((-5*-26.42)*(((-5--5)+(-26.42--5))+-26.42))))-(-5+-5)))*-5)))/-5)--5)+(-5*(((-26.42*(-26.42-(-5/-5)))*(-26.42-(-26.42/(-5*-26.42))))-(-5/-5)))))</f>
        <v>-93700.25924000001</v>
      </c>
      <c r="C7359" t="n" s="0">
        <v>-93700.25924000001</v>
      </c>
    </row>
    <row r="7360">
      <c r="A7360" t="n" s="0">
        <v>-26.41</v>
      </c>
      <c r="B7360" t="n" s="0">
        <f>(-5-((((-5*(-5/((-5/(((-5*(-26.41--5))-(-5+((-5*-26.41)*(((-5--5)+(-26.41--5))+-26.41))))-(-5+-5)))*-5)))/-5)--5)+(-5*(((-26.41*(-26.41-(-5/-5)))*(-26.41-(-26.41/(-5*-26.41))))-(-5/-5)))))</f>
        <v>-93594.509805</v>
      </c>
      <c r="C7360" t="n" s="0">
        <v>-93594.509805</v>
      </c>
    </row>
    <row r="7361">
      <c r="A7361" t="n" s="0">
        <v>-26.4</v>
      </c>
      <c r="B7361" t="n" s="0">
        <f>(-5-((((-5*(-5/((-5/(((-5*(-26.4--5))-(-5+((-5*-26.4)*(((-5--5)+(-26.4--5))+-26.4))))-(-5+-5)))*-5)))/-5)--5)+(-5*(((-26.4*(-26.4-(-5/-5)))*(-26.4-(-26.4/(-5*-26.4))))-(-5/-5)))))</f>
        <v>-93488.84</v>
      </c>
      <c r="C7361" t="n" s="0">
        <v>-93488.84</v>
      </c>
    </row>
    <row r="7362">
      <c r="A7362" t="n" s="0">
        <v>-26.39</v>
      </c>
      <c r="B7362" t="n" s="0">
        <f>(-5-((((-5*(-5/((-5/(((-5*(-26.39--5))-(-5+((-5*-26.39)*(((-5--5)+(-26.39--5))+-26.39))))-(-5+-5)))*-5)))/-5)--5)+(-5*(((-26.39*(-26.39-(-5/-5)))*(-26.39-(-26.39/(-5*-26.39))))-(-5/-5)))))</f>
        <v>-93383.249795</v>
      </c>
      <c r="C7362" t="n" s="0">
        <v>-93383.249795</v>
      </c>
    </row>
    <row r="7363">
      <c r="A7363" t="n" s="0">
        <v>-26.38</v>
      </c>
      <c r="B7363" t="n" s="0">
        <f>(-5-((((-5*(-5/((-5/(((-5*(-26.38--5))-(-5+((-5*-26.38)*(((-5--5)+(-26.38--5))+-26.38))))-(-5+-5)))*-5)))/-5)--5)+(-5*(((-26.38*(-26.38-(-5/-5)))*(-26.38-(-26.38/(-5*-26.38))))-(-5/-5)))))</f>
        <v>-93277.73916000001</v>
      </c>
      <c r="C7363" t="n" s="0">
        <v>-93277.73915999998</v>
      </c>
    </row>
    <row r="7364">
      <c r="A7364" t="n" s="0">
        <v>-26.37</v>
      </c>
      <c r="B7364" t="n" s="0">
        <f>(-5-((((-5*(-5/((-5/(((-5*(-26.37--5))-(-5+((-5*-26.37)*(((-5--5)+(-26.37--5))+-26.37))))-(-5+-5)))*-5)))/-5)--5)+(-5*(((-26.37*(-26.37-(-5/-5)))*(-26.37-(-26.37/(-5*-26.37))))-(-5/-5)))))</f>
        <v>-93172.308065</v>
      </c>
      <c r="C7364" t="n" s="0">
        <v>-93172.308065</v>
      </c>
    </row>
    <row r="7365">
      <c r="A7365" t="n" s="0">
        <v>-26.36</v>
      </c>
      <c r="B7365" t="n" s="0">
        <f>(-5-((((-5*(-5/((-5/(((-5*(-26.36--5))-(-5+((-5*-26.36)*(((-5--5)+(-26.36--5))+-26.36))))-(-5+-5)))*-5)))/-5)--5)+(-5*(((-26.36*(-26.36-(-5/-5)))*(-26.36-(-26.36/(-5*-26.36))))-(-5/-5)))))</f>
        <v>-93066.95648</v>
      </c>
      <c r="C7365" t="n" s="0">
        <v>-93066.95648</v>
      </c>
    </row>
    <row r="7366">
      <c r="A7366" t="n" s="0">
        <v>-26.35</v>
      </c>
      <c r="B7366" t="n" s="0">
        <f>(-5-((((-5*(-5/((-5/(((-5*(-26.35--5))-(-5+((-5*-26.35)*(((-5--5)+(-26.35--5))+-26.35))))-(-5+-5)))*-5)))/-5)--5)+(-5*(((-26.35*(-26.35-(-5/-5)))*(-26.35-(-26.35/(-5*-26.35))))-(-5/-5)))))</f>
        <v>-92961.68437500001</v>
      </c>
      <c r="C7366" t="n" s="0">
        <v>-92961.68437500001</v>
      </c>
    </row>
    <row r="7367">
      <c r="A7367" t="n" s="0">
        <v>-26.34</v>
      </c>
      <c r="B7367" t="n" s="0">
        <f>(-5-((((-5*(-5/((-5/(((-5*(-26.34--5))-(-5+((-5*-26.34)*(((-5--5)+(-26.34--5))+-26.34))))-(-5+-5)))*-5)))/-5)--5)+(-5*(((-26.34*(-26.34-(-5/-5)))*(-26.34-(-26.34/(-5*-26.34))))-(-5/-5)))))</f>
        <v>-92856.49172</v>
      </c>
      <c r="C7367" t="n" s="0">
        <v>-92856.49172</v>
      </c>
    </row>
    <row r="7368">
      <c r="A7368" t="n" s="0">
        <v>-26.33</v>
      </c>
      <c r="B7368" t="n" s="0">
        <f>(-5-((((-5*(-5/((-5/(((-5*(-26.33--5))-(-5+((-5*-26.33)*(((-5--5)+(-26.33--5))+-26.33))))-(-5+-5)))*-5)))/-5)--5)+(-5*(((-26.33*(-26.33-(-5/-5)))*(-26.33-(-26.33/(-5*-26.33))))-(-5/-5)))))</f>
        <v>-92751.37848500001</v>
      </c>
      <c r="C7368" t="n" s="0">
        <v>-92751.378485</v>
      </c>
    </row>
    <row r="7369">
      <c r="A7369" t="n" s="0">
        <v>-26.32</v>
      </c>
      <c r="B7369" t="n" s="0">
        <f>(-5-((((-5*(-5/((-5/(((-5*(-26.32--5))-(-5+((-5*-26.32)*(((-5--5)+(-26.32--5))+-26.32))))-(-5+-5)))*-5)))/-5)--5)+(-5*(((-26.32*(-26.32-(-5/-5)))*(-26.32-(-26.32/(-5*-26.32))))-(-5/-5)))))</f>
        <v>-92646.34464</v>
      </c>
      <c r="C7369" t="n" s="0">
        <v>-92646.34464000001</v>
      </c>
    </row>
    <row r="7370">
      <c r="A7370" t="n" s="0">
        <v>-26.31</v>
      </c>
      <c r="B7370" t="n" s="0">
        <f>(-5-((((-5*(-5/((-5/(((-5*(-26.31--5))-(-5+((-5*-26.31)*(((-5--5)+(-26.31--5))+-26.31))))-(-5+-5)))*-5)))/-5)--5)+(-5*(((-26.31*(-26.31-(-5/-5)))*(-26.31-(-26.31/(-5*-26.31))))-(-5/-5)))))</f>
        <v>-92541.390155</v>
      </c>
      <c r="C7370" t="n" s="0">
        <v>-92541.39015499999</v>
      </c>
    </row>
    <row r="7371">
      <c r="A7371" t="n" s="0">
        <v>-26.3</v>
      </c>
      <c r="B7371" t="n" s="0">
        <f>(-5-((((-5*(-5/((-5/(((-5*(-26.3--5))-(-5+((-5*-26.3)*(((-5--5)+(-26.3--5))+-26.3))))-(-5+-5)))*-5)))/-5)--5)+(-5*(((-26.3*(-26.3-(-5/-5)))*(-26.3-(-26.3/(-5*-26.3))))-(-5/-5)))))</f>
        <v>-92436.51500000001</v>
      </c>
      <c r="C7371" t="n" s="0">
        <v>-92436.515</v>
      </c>
    </row>
    <row r="7372">
      <c r="A7372" t="n" s="0">
        <v>-26.29</v>
      </c>
      <c r="B7372" t="n" s="0">
        <f>(-5-((((-5*(-5/((-5/(((-5*(-26.29--5))-(-5+((-5*-26.29)*(((-5--5)+(-26.29--5))+-26.29))))-(-5+-5)))*-5)))/-5)--5)+(-5*(((-26.29*(-26.29-(-5/-5)))*(-26.29-(-26.29/(-5*-26.29))))-(-5/-5)))))</f>
        <v>-92331.719145</v>
      </c>
      <c r="C7372" t="n" s="0">
        <v>-92331.719145</v>
      </c>
    </row>
    <row r="7373">
      <c r="A7373" t="n" s="0">
        <v>-26.28</v>
      </c>
      <c r="B7373" t="n" s="0">
        <f>(-5-((((-5*(-5/((-5/(((-5*(-26.28--5))-(-5+((-5*-26.28)*(((-5--5)+(-26.28--5))+-26.28))))-(-5+-5)))*-5)))/-5)--5)+(-5*(((-26.28*(-26.28-(-5/-5)))*(-26.28-(-26.28/(-5*-26.28))))-(-5/-5)))))</f>
        <v>-92227.00256000001</v>
      </c>
      <c r="C7373" t="n" s="0">
        <v>-92227.00256000002</v>
      </c>
    </row>
    <row r="7374">
      <c r="A7374" t="n" s="0">
        <v>-26.27</v>
      </c>
      <c r="B7374" t="n" s="0">
        <f>(-5-((((-5*(-5/((-5/(((-5*(-26.27--5))-(-5+((-5*-26.27)*(((-5--5)+(-26.27--5))+-26.27))))-(-5+-5)))*-5)))/-5)--5)+(-5*(((-26.27*(-26.27-(-5/-5)))*(-26.27-(-26.27/(-5*-26.27))))-(-5/-5)))))</f>
        <v>-92122.365215</v>
      </c>
      <c r="C7374" t="n" s="0">
        <v>-92122.365215</v>
      </c>
    </row>
    <row r="7375">
      <c r="A7375" t="n" s="0">
        <v>-26.26</v>
      </c>
      <c r="B7375" t="n" s="0">
        <f>(-5-((((-5*(-5/((-5/(((-5*(-26.26--5))-(-5+((-5*-26.26)*(((-5--5)+(-26.26--5))+-26.26))))-(-5+-5)))*-5)))/-5)--5)+(-5*(((-26.26*(-26.26-(-5/-5)))*(-26.26-(-26.26/(-5*-26.26))))-(-5/-5)))))</f>
        <v>-92017.80708</v>
      </c>
      <c r="C7375" t="n" s="0">
        <v>-92017.80708000001</v>
      </c>
    </row>
    <row r="7376">
      <c r="A7376" t="n" s="0">
        <v>-26.25</v>
      </c>
      <c r="B7376" t="n" s="0">
        <f>(-5-((((-5*(-5/((-5/(((-5*(-26.25--5))-(-5+((-5*-26.25)*(((-5--5)+(-26.25--5))+-26.25))))-(-5+-5)))*-5)))/-5)--5)+(-5*(((-26.25*(-26.25-(-5/-5)))*(-26.25-(-26.25/(-5*-26.25))))-(-5/-5)))))</f>
        <v>-91913.328125</v>
      </c>
      <c r="C7376" t="n" s="0">
        <v>-91913.328125</v>
      </c>
    </row>
    <row r="7377">
      <c r="A7377" t="n" s="0">
        <v>-26.24</v>
      </c>
      <c r="B7377" t="n" s="0">
        <f>(-5-((((-5*(-5/((-5/(((-5*(-26.24--5))-(-5+((-5*-26.24)*(((-5--5)+(-26.24--5))+-26.24))))-(-5+-5)))*-5)))/-5)--5)+(-5*(((-26.24*(-26.24-(-5/-5)))*(-26.24-(-26.24/(-5*-26.24))))-(-5/-5)))))</f>
        <v>-91808.92832</v>
      </c>
      <c r="C7377" t="n" s="0">
        <v>-91808.92831999999</v>
      </c>
    </row>
    <row r="7378">
      <c r="A7378" t="n" s="0">
        <v>-26.23</v>
      </c>
      <c r="B7378" t="n" s="0">
        <f>(-5-((((-5*(-5/((-5/(((-5*(-26.23--5))-(-5+((-5*-26.23)*(((-5--5)+(-26.23--5))+-26.23))))-(-5+-5)))*-5)))/-5)--5)+(-5*(((-26.23*(-26.23-(-5/-5)))*(-26.23-(-26.23/(-5*-26.23))))-(-5/-5)))))</f>
        <v>-91704.607635</v>
      </c>
      <c r="C7378" t="n" s="0">
        <v>-91704.60763500002</v>
      </c>
    </row>
    <row r="7379">
      <c r="A7379" t="n" s="0">
        <v>-26.22</v>
      </c>
      <c r="B7379" t="n" s="0">
        <f>(-5-((((-5*(-5/((-5/(((-5*(-26.22--5))-(-5+((-5*-26.22)*(((-5--5)+(-26.22--5))+-26.22))))-(-5+-5)))*-5)))/-5)--5)+(-5*(((-26.22*(-26.22-(-5/-5)))*(-26.22-(-26.22/(-5*-26.22))))-(-5/-5)))))</f>
        <v>-91600.36604</v>
      </c>
      <c r="C7379" t="n" s="0">
        <v>-91600.36604000001</v>
      </c>
    </row>
    <row r="7380">
      <c r="A7380" t="n" s="0">
        <v>-26.21</v>
      </c>
      <c r="B7380" t="n" s="0">
        <f>(-5-((((-5*(-5/((-5/(((-5*(-26.21--5))-(-5+((-5*-26.21)*(((-5--5)+(-26.21--5))+-26.21))))-(-5+-5)))*-5)))/-5)--5)+(-5*(((-26.21*(-26.21-(-5/-5)))*(-26.21-(-26.21/(-5*-26.21))))-(-5/-5)))))</f>
        <v>-91496.203505</v>
      </c>
      <c r="C7380" t="n" s="0">
        <v>-91496.203505</v>
      </c>
    </row>
    <row r="7381">
      <c r="A7381" t="n" s="0">
        <v>-26.2</v>
      </c>
      <c r="B7381" t="n" s="0">
        <f>(-5-((((-5*(-5/((-5/(((-5*(-26.2--5))-(-5+((-5*-26.2)*(((-5--5)+(-26.2--5))+-26.2))))-(-5+-5)))*-5)))/-5)--5)+(-5*(((-26.2*(-26.2-(-5/-5)))*(-26.2-(-26.2/(-5*-26.2))))-(-5/-5)))))</f>
        <v>-91392.12</v>
      </c>
      <c r="C7381" t="n" s="0">
        <v>-91392.12000000001</v>
      </c>
    </row>
    <row r="7382">
      <c r="A7382" t="n" s="0">
        <v>-26.19</v>
      </c>
      <c r="B7382" t="n" s="0">
        <f>(-5-((((-5*(-5/((-5/(((-5*(-26.19--5))-(-5+((-5*-26.19)*(((-5--5)+(-26.19--5))+-26.19))))-(-5+-5)))*-5)))/-5)--5)+(-5*(((-26.19*(-26.19-(-5/-5)))*(-26.19-(-26.19/(-5*-26.19))))-(-5/-5)))))</f>
        <v>-91288.115495</v>
      </c>
      <c r="C7382" t="n" s="0">
        <v>-91288.11549500002</v>
      </c>
    </row>
    <row r="7383">
      <c r="A7383" t="n" s="0">
        <v>-26.18</v>
      </c>
      <c r="B7383" t="n" s="0">
        <f>(-5-((((-5*(-5/((-5/(((-5*(-26.18--5))-(-5+((-5*-26.18)*(((-5--5)+(-26.18--5))+-26.18))))-(-5+-5)))*-5)))/-5)--5)+(-5*(((-26.18*(-26.18-(-5/-5)))*(-26.18-(-26.18/(-5*-26.18))))-(-5/-5)))))</f>
        <v>-91184.18995999999</v>
      </c>
      <c r="C7383" t="n" s="0">
        <v>-91184.18995999999</v>
      </c>
    </row>
    <row r="7384">
      <c r="A7384" t="n" s="0">
        <v>-26.17</v>
      </c>
      <c r="B7384" t="n" s="0">
        <f>(-5-((((-5*(-5/((-5/(((-5*(-26.17--5))-(-5+((-5*-26.17)*(((-5--5)+(-26.17--5))+-26.17))))-(-5+-5)))*-5)))/-5)--5)+(-5*(((-26.17*(-26.17-(-5/-5)))*(-26.17-(-26.17/(-5*-26.17))))-(-5/-5)))))</f>
        <v>-91080.34336500001</v>
      </c>
      <c r="C7384" t="n" s="0">
        <v>-91080.34336500001</v>
      </c>
    </row>
    <row r="7385">
      <c r="A7385" t="n" s="0">
        <v>-26.16</v>
      </c>
      <c r="B7385" t="n" s="0">
        <f>(-5-((((-5*(-5/((-5/(((-5*(-26.16--5))-(-5+((-5*-26.16)*(((-5--5)+(-26.16--5))+-26.16))))-(-5+-5)))*-5)))/-5)--5)+(-5*(((-26.16*(-26.16-(-5/-5)))*(-26.16-(-26.16/(-5*-26.16))))-(-5/-5)))))</f>
        <v>-90976.57568</v>
      </c>
      <c r="C7385" t="n" s="0">
        <v>-90976.57568</v>
      </c>
    </row>
    <row r="7386">
      <c r="A7386" t="n" s="0">
        <v>-26.15</v>
      </c>
      <c r="B7386" t="n" s="0">
        <f>(-5-((((-5*(-5/((-5/(((-5*(-26.15--5))-(-5+((-5*-26.15)*(((-5--5)+(-26.15--5))+-26.15))))-(-5+-5)))*-5)))/-5)--5)+(-5*(((-26.15*(-26.15-(-5/-5)))*(-26.15-(-26.15/(-5*-26.15))))-(-5/-5)))))</f>
        <v>-90872.886875</v>
      </c>
      <c r="C7386" t="n" s="0">
        <v>-90872.886875</v>
      </c>
    </row>
    <row r="7387">
      <c r="A7387" t="n" s="0">
        <v>-26.14</v>
      </c>
      <c r="B7387" t="n" s="0">
        <f>(-5-((((-5*(-5/((-5/(((-5*(-26.14--5))-(-5+((-5*-26.14)*(((-5--5)+(-26.14--5))+-26.14))))-(-5+-5)))*-5)))/-5)--5)+(-5*(((-26.14*(-26.14-(-5/-5)))*(-26.14-(-26.14/(-5*-26.14))))-(-5/-5)))))</f>
        <v>-90769.27692</v>
      </c>
      <c r="C7387" t="n" s="0">
        <v>-90769.27691999999</v>
      </c>
    </row>
    <row r="7388">
      <c r="A7388" t="n" s="0">
        <v>-26.13</v>
      </c>
      <c r="B7388" t="n" s="0">
        <f>(-5-((((-5*(-5/((-5/(((-5*(-26.13--5))-(-5+((-5*-26.13)*(((-5--5)+(-26.13--5))+-26.13))))-(-5+-5)))*-5)))/-5)--5)+(-5*(((-26.13*(-26.13-(-5/-5)))*(-26.13-(-26.13/(-5*-26.13))))-(-5/-5)))))</f>
        <v>-90665.74578499999</v>
      </c>
      <c r="C7388" t="n" s="0">
        <v>-90665.74578499999</v>
      </c>
    </row>
    <row r="7389">
      <c r="A7389" t="n" s="0">
        <v>-26.12</v>
      </c>
      <c r="B7389" t="n" s="0">
        <f>(-5-((((-5*(-5/((-5/(((-5*(-26.12--5))-(-5+((-5*-26.12)*(((-5--5)+(-26.12--5))+-26.12))))-(-5+-5)))*-5)))/-5)--5)+(-5*(((-26.12*(-26.12-(-5/-5)))*(-26.12-(-26.12/(-5*-26.12))))-(-5/-5)))))</f>
        <v>-90562.29344</v>
      </c>
      <c r="C7389" t="n" s="0">
        <v>-90562.29344000001</v>
      </c>
    </row>
    <row r="7390">
      <c r="A7390" t="n" s="0">
        <v>-26.11</v>
      </c>
      <c r="B7390" t="n" s="0">
        <f>(-5-((((-5*(-5/((-5/(((-5*(-26.11--5))-(-5+((-5*-26.11)*(((-5--5)+(-26.11--5))+-26.11))))-(-5+-5)))*-5)))/-5)--5)+(-5*(((-26.11*(-26.11-(-5/-5)))*(-26.11-(-26.11/(-5*-26.11))))-(-5/-5)))))</f>
        <v>-90458.919855</v>
      </c>
      <c r="C7390" t="n" s="0">
        <v>-90458.919855</v>
      </c>
    </row>
    <row r="7391">
      <c r="A7391" t="n" s="0">
        <v>-26.1</v>
      </c>
      <c r="B7391" t="n" s="0">
        <f>(-5-((((-5*(-5/((-5/(((-5*(-26.1--5))-(-5+((-5*-26.1)*(((-5--5)+(-26.1--5))+-26.1))))-(-5+-5)))*-5)))/-5)--5)+(-5*(((-26.1*(-26.1-(-5/-5)))*(-26.1-(-26.1/(-5*-26.1))))-(-5/-5)))))</f>
        <v>-90355.625</v>
      </c>
      <c r="C7391" t="n" s="0">
        <v>-90355.62500000001</v>
      </c>
    </row>
    <row r="7392">
      <c r="A7392" t="n" s="0">
        <v>-26.09</v>
      </c>
      <c r="B7392" t="n" s="0">
        <f>(-5-((((-5*(-5/((-5/(((-5*(-26.09--5))-(-5+((-5*-26.09)*(((-5--5)+(-26.09--5))+-26.09))))-(-5+-5)))*-5)))/-5)--5)+(-5*(((-26.09*(-26.09-(-5/-5)))*(-26.09-(-26.09/(-5*-26.09))))-(-5/-5)))))</f>
        <v>-90252.408845</v>
      </c>
      <c r="C7392" t="n" s="0">
        <v>-90252.408845</v>
      </c>
    </row>
    <row r="7393">
      <c r="A7393" t="n" s="0">
        <v>-26.08</v>
      </c>
      <c r="B7393" t="n" s="0">
        <f>(-5-((((-5*(-5/((-5/(((-5*(-26.08--5))-(-5+((-5*-26.08)*(((-5--5)+(-26.08--5))+-26.08))))-(-5+-5)))*-5)))/-5)--5)+(-5*(((-26.08*(-26.08-(-5/-5)))*(-26.08-(-26.08/(-5*-26.08))))-(-5/-5)))))</f>
        <v>-90149.27136</v>
      </c>
      <c r="C7393" t="n" s="0">
        <v>-90149.27135999998</v>
      </c>
    </row>
    <row r="7394">
      <c r="A7394" t="n" s="0">
        <v>-26.07</v>
      </c>
      <c r="B7394" t="n" s="0">
        <f>(-5-((((-5*(-5/((-5/(((-5*(-26.07--5))-(-5+((-5*-26.07)*(((-5--5)+(-26.07--5))+-26.07))))-(-5+-5)))*-5)))/-5)--5)+(-5*(((-26.07*(-26.07-(-5/-5)))*(-26.07-(-26.07/(-5*-26.07))))-(-5/-5)))))</f>
        <v>-90046.212515</v>
      </c>
      <c r="C7394" t="n" s="0">
        <v>-90046.212515</v>
      </c>
    </row>
    <row r="7395">
      <c r="A7395" t="n" s="0">
        <v>-26.06</v>
      </c>
      <c r="B7395" t="n" s="0">
        <f>(-5-((((-5*(-5/((-5/(((-5*(-26.06--5))-(-5+((-5*-26.06)*(((-5--5)+(-26.06--5))+-26.06))))-(-5+-5)))*-5)))/-5)--5)+(-5*(((-26.06*(-26.06-(-5/-5)))*(-26.06-(-26.06/(-5*-26.06))))-(-5/-5)))))</f>
        <v>-89943.23228</v>
      </c>
      <c r="C7395" t="n" s="0">
        <v>-89943.23227999998</v>
      </c>
    </row>
    <row r="7396">
      <c r="A7396" t="n" s="0">
        <v>-26.05</v>
      </c>
      <c r="B7396" t="n" s="0">
        <f>(-5-((((-5*(-5/((-5/(((-5*(-26.05--5))-(-5+((-5*-26.05)*(((-5--5)+(-26.05--5))+-26.05))))-(-5+-5)))*-5)))/-5)--5)+(-5*(((-26.05*(-26.05-(-5/-5)))*(-26.05-(-26.05/(-5*-26.05))))-(-5/-5)))))</f>
        <v>-89840.330625</v>
      </c>
      <c r="C7396" t="n" s="0">
        <v>-89840.33062499999</v>
      </c>
    </row>
    <row r="7397">
      <c r="A7397" t="n" s="0">
        <v>-26.04</v>
      </c>
      <c r="B7397" t="n" s="0">
        <f>(-5-((((-5*(-5/((-5/(((-5*(-26.04--5))-(-5+((-5*-26.04)*(((-5--5)+(-26.04--5))+-26.04))))-(-5+-5)))*-5)))/-5)--5)+(-5*(((-26.04*(-26.04-(-5/-5)))*(-26.04-(-26.04/(-5*-26.04))))-(-5/-5)))))</f>
        <v>-89737.50752</v>
      </c>
      <c r="C7397" t="n" s="0">
        <v>-89737.50751999997</v>
      </c>
    </row>
    <row r="7398">
      <c r="A7398" t="n" s="0">
        <v>-26.03</v>
      </c>
      <c r="B7398" t="n" s="0">
        <f>(-5-((((-5*(-5/((-5/(((-5*(-26.03--5))-(-5+((-5*-26.03)*(((-5--5)+(-26.03--5))+-26.03))))-(-5+-5)))*-5)))/-5)--5)+(-5*(((-26.03*(-26.03-(-5/-5)))*(-26.03-(-26.03/(-5*-26.03))))-(-5/-5)))))</f>
        <v>-89634.762935</v>
      </c>
      <c r="C7398" t="n" s="0">
        <v>-89634.762935</v>
      </c>
    </row>
    <row r="7399">
      <c r="A7399" t="n" s="0">
        <v>-26.02</v>
      </c>
      <c r="B7399" t="n" s="0">
        <f>(-5-((((-5*(-5/((-5/(((-5*(-26.02--5))-(-5+((-5*-26.02)*(((-5--5)+(-26.02--5))+-26.02))))-(-5+-5)))*-5)))/-5)--5)+(-5*(((-26.02*(-26.02-(-5/-5)))*(-26.02-(-26.02/(-5*-26.02))))-(-5/-5)))))</f>
        <v>-89532.09684000001</v>
      </c>
      <c r="C7399" t="n" s="0">
        <v>-89532.09683999998</v>
      </c>
    </row>
    <row r="7400">
      <c r="A7400" t="n" s="0">
        <v>-26.01</v>
      </c>
      <c r="B7400" t="n" s="0">
        <f>(-5-((((-5*(-5/((-5/(((-5*(-26.01--5))-(-5+((-5*-26.01)*(((-5--5)+(-26.01--5))+-26.01))))-(-5+-5)))*-5)))/-5)--5)+(-5*(((-26.01*(-26.01-(-5/-5)))*(-26.01-(-26.01/(-5*-26.01))))-(-5/-5)))))</f>
        <v>-89429.50920500001</v>
      </c>
      <c r="C7400" t="n" s="0">
        <v>-89429.50920500001</v>
      </c>
    </row>
    <row r="7401">
      <c r="A7401" t="n" s="0">
        <v>-26.0</v>
      </c>
      <c r="B7401" t="n" s="0">
        <f>(-5-((((-5*(-5/((-5/(((-5*(-26--5))-(-5+((-5*-26)*(((-5--5)+(-26--5))+-26))))-(-5+-5)))*-5)))/-5)--5)+(-5*(((-26*(-26-(-5/-5)))*(-26-(-26/(-5*-26))))-(-5/-5)))))</f>
        <v>-89327.0</v>
      </c>
      <c r="C7401" t="n" s="0">
        <v>-89327.0</v>
      </c>
    </row>
    <row r="7402">
      <c r="A7402" t="n" s="0">
        <v>-25.99</v>
      </c>
      <c r="B7402" t="n" s="0">
        <f>(-5-((((-5*(-5/((-5/(((-5*(-25.99--5))-(-5+((-5*-25.99)*(((-5--5)+(-25.99--5))+-25.99))))-(-5+-5)))*-5)))/-5)--5)+(-5*(((-25.99*(-25.99-(-5/-5)))*(-25.99-(-25.99/(-5*-25.99))))-(-5/-5)))))</f>
        <v>-89224.569195</v>
      </c>
      <c r="C7402" t="n" s="0">
        <v>-89224.56919499999</v>
      </c>
    </row>
    <row r="7403">
      <c r="A7403" t="n" s="0">
        <v>-25.98</v>
      </c>
      <c r="B7403" t="n" s="0">
        <f>(-5-((((-5*(-5/((-5/(((-5*(-25.98--5))-(-5+((-5*-25.98)*(((-5--5)+(-25.98--5))+-25.98))))-(-5+-5)))*-5)))/-5)--5)+(-5*(((-25.98*(-25.98-(-5/-5)))*(-25.98-(-25.98/(-5*-25.98))))-(-5/-5)))))</f>
        <v>-89122.21676000001</v>
      </c>
      <c r="C7403" t="n" s="0">
        <v>-89122.21676000001</v>
      </c>
    </row>
    <row r="7404">
      <c r="A7404" t="n" s="0">
        <v>-25.97</v>
      </c>
      <c r="B7404" t="n" s="0">
        <f>(-5-((((-5*(-5/((-5/(((-5*(-25.97--5))-(-5+((-5*-25.97)*(((-5--5)+(-25.97--5))+-25.97))))-(-5+-5)))*-5)))/-5)--5)+(-5*(((-25.97*(-25.97-(-5/-5)))*(-25.97-(-25.97/(-5*-25.97))))-(-5/-5)))))</f>
        <v>-89019.942665</v>
      </c>
      <c r="C7404" t="n" s="0">
        <v>-89019.94266499998</v>
      </c>
    </row>
    <row r="7405">
      <c r="A7405" t="n" s="0">
        <v>-25.96</v>
      </c>
      <c r="B7405" t="n" s="0">
        <f>(-5-((((-5*(-5/((-5/(((-5*(-25.96--5))-(-5+((-5*-25.96)*(((-5--5)+(-25.96--5))+-25.96))))-(-5+-5)))*-5)))/-5)--5)+(-5*(((-25.96*(-25.96-(-5/-5)))*(-25.96-(-25.96/(-5*-25.96))))-(-5/-5)))))</f>
        <v>-88917.74687999999</v>
      </c>
      <c r="C7405" t="n" s="0">
        <v>-88917.74688000002</v>
      </c>
    </row>
    <row r="7406">
      <c r="A7406" t="n" s="0">
        <v>-25.95</v>
      </c>
      <c r="B7406" t="n" s="0">
        <f>(-5-((((-5*(-5/((-5/(((-5*(-25.95--5))-(-5+((-5*-25.95)*(((-5--5)+(-25.95--5))+-25.95))))-(-5+-5)))*-5)))/-5)--5)+(-5*(((-25.95*(-25.95-(-5/-5)))*(-25.95-(-25.95/(-5*-25.95))))-(-5/-5)))))</f>
        <v>-88815.62937499999</v>
      </c>
      <c r="C7406" t="n" s="0">
        <v>-88815.62937499999</v>
      </c>
    </row>
    <row r="7407">
      <c r="A7407" t="n" s="0">
        <v>-25.94</v>
      </c>
      <c r="B7407" t="n" s="0">
        <f>(-5-((((-5*(-5/((-5/(((-5*(-25.94--5))-(-5+((-5*-25.94)*(((-5--5)+(-25.94--5))+-25.94))))-(-5+-5)))*-5)))/-5)--5)+(-5*(((-25.94*(-25.94-(-5/-5)))*(-25.94-(-25.94/(-5*-25.94))))-(-5/-5)))))</f>
        <v>-88713.59012000001</v>
      </c>
      <c r="C7407" t="n" s="0">
        <v>-88713.59012000002</v>
      </c>
    </row>
    <row r="7408">
      <c r="A7408" t="n" s="0">
        <v>-25.93</v>
      </c>
      <c r="B7408" t="n" s="0">
        <f>(-5-((((-5*(-5/((-5/(((-5*(-25.93--5))-(-5+((-5*-25.93)*(((-5--5)+(-25.93--5))+-25.93))))-(-5+-5)))*-5)))/-5)--5)+(-5*(((-25.93*(-25.93-(-5/-5)))*(-25.93-(-25.93/(-5*-25.93))))-(-5/-5)))))</f>
        <v>-88611.629085</v>
      </c>
      <c r="C7408" t="n" s="0">
        <v>-88611.62908500001</v>
      </c>
    </row>
    <row r="7409">
      <c r="A7409" t="n" s="0">
        <v>-25.92</v>
      </c>
      <c r="B7409" t="n" s="0">
        <f>(-5-((((-5*(-5/((-5/(((-5*(-25.92--5))-(-5+((-5*-25.92)*(((-5--5)+(-25.92--5))+-25.92))))-(-5+-5)))*-5)))/-5)--5)+(-5*(((-25.92*(-25.92-(-5/-5)))*(-25.92-(-25.92/(-5*-25.92))))-(-5/-5)))))</f>
        <v>-88509.74624000001</v>
      </c>
      <c r="C7409" t="n" s="0">
        <v>-88509.74624000001</v>
      </c>
    </row>
    <row r="7410">
      <c r="A7410" t="n" s="0">
        <v>-25.91</v>
      </c>
      <c r="B7410" t="n" s="0">
        <f>(-5-((((-5*(-5/((-5/(((-5*(-25.91--5))-(-5+((-5*-25.91)*(((-5--5)+(-25.91--5))+-25.91))))-(-5+-5)))*-5)))/-5)--5)+(-5*(((-25.91*(-25.91-(-5/-5)))*(-25.91-(-25.91/(-5*-25.91))))-(-5/-5)))))</f>
        <v>-88407.941555</v>
      </c>
      <c r="C7410" t="n" s="0">
        <v>-88407.94155499998</v>
      </c>
    </row>
    <row r="7411">
      <c r="A7411" t="n" s="0">
        <v>-25.9</v>
      </c>
      <c r="B7411" t="n" s="0">
        <f>(-5-((((-5*(-5/((-5/(((-5*(-25.9--5))-(-5+((-5*-25.9)*(((-5--5)+(-25.9--5))+-25.9))))-(-5+-5)))*-5)))/-5)--5)+(-5*(((-25.9*(-25.9-(-5/-5)))*(-25.9-(-25.9/(-5*-25.9))))-(-5/-5)))))</f>
        <v>-88306.215</v>
      </c>
      <c r="C7411" t="n" s="0">
        <v>-88306.21499999997</v>
      </c>
    </row>
    <row r="7412">
      <c r="A7412" t="n" s="0">
        <v>-25.89</v>
      </c>
      <c r="B7412" t="n" s="0">
        <f>(-5-((((-5*(-5/((-5/(((-5*(-25.89--5))-(-5+((-5*-25.89)*(((-5--5)+(-25.89--5))+-25.89))))-(-5+-5)))*-5)))/-5)--5)+(-5*(((-25.89*(-25.89-(-5/-5)))*(-25.89-(-25.89/(-5*-25.89))))-(-5/-5)))))</f>
        <v>-88204.566545</v>
      </c>
      <c r="C7412" t="n" s="0">
        <v>-88204.566545</v>
      </c>
    </row>
    <row r="7413">
      <c r="A7413" t="n" s="0">
        <v>-25.88</v>
      </c>
      <c r="B7413" t="n" s="0">
        <f>(-5-((((-5*(-5/((-5/(((-5*(-25.88--5))-(-5+((-5*-25.88)*(((-5--5)+(-25.88--5))+-25.88))))-(-5+-5)))*-5)))/-5)--5)+(-5*(((-25.88*(-25.88-(-5/-5)))*(-25.88-(-25.88/(-5*-25.88))))-(-5/-5)))))</f>
        <v>-88102.99616</v>
      </c>
      <c r="C7413" t="n" s="0">
        <v>-88102.99616</v>
      </c>
    </row>
    <row r="7414">
      <c r="A7414" t="n" s="0">
        <v>-25.87</v>
      </c>
      <c r="B7414" t="n" s="0">
        <f>(-5-((((-5*(-5/((-5/(((-5*(-25.87--5))-(-5+((-5*-25.87)*(((-5--5)+(-25.87--5))+-25.87))))-(-5+-5)))*-5)))/-5)--5)+(-5*(((-25.87*(-25.87-(-5/-5)))*(-25.87-(-25.87/(-5*-25.87))))-(-5/-5)))))</f>
        <v>-88001.50381499999</v>
      </c>
      <c r="C7414" t="n" s="0">
        <v>-88001.503815</v>
      </c>
    </row>
    <row r="7415">
      <c r="A7415" t="n" s="0">
        <v>-25.86</v>
      </c>
      <c r="B7415" t="n" s="0">
        <f>(-5-((((-5*(-5/((-5/(((-5*(-25.86--5))-(-5+((-5*-25.86)*(((-5--5)+(-25.86--5))+-25.86))))-(-5+-5)))*-5)))/-5)--5)+(-5*(((-25.86*(-25.86-(-5/-5)))*(-25.86-(-25.86/(-5*-25.86))))-(-5/-5)))))</f>
        <v>-87900.08948</v>
      </c>
      <c r="C7415" t="n" s="0">
        <v>-87900.08948000001</v>
      </c>
    </row>
    <row r="7416">
      <c r="A7416" t="n" s="0">
        <v>-25.85</v>
      </c>
      <c r="B7416" t="n" s="0">
        <f>(-5-((((-5*(-5/((-5/(((-5*(-25.85--5))-(-5+((-5*-25.85)*(((-5--5)+(-25.85--5))+-25.85))))-(-5+-5)))*-5)))/-5)--5)+(-5*(((-25.85*(-25.85-(-5/-5)))*(-25.85-(-25.85/(-5*-25.85))))-(-5/-5)))))</f>
        <v>-87798.753125</v>
      </c>
      <c r="C7416" t="n" s="0">
        <v>-87798.75312500003</v>
      </c>
    </row>
    <row r="7417">
      <c r="A7417" t="n" s="0">
        <v>-25.84</v>
      </c>
      <c r="B7417" t="n" s="0">
        <f>(-5-((((-5*(-5/((-5/(((-5*(-25.84--5))-(-5+((-5*-25.84)*(((-5--5)+(-25.84--5))+-25.84))))-(-5+-5)))*-5)))/-5)--5)+(-5*(((-25.84*(-25.84-(-5/-5)))*(-25.84-(-25.84/(-5*-25.84))))-(-5/-5)))))</f>
        <v>-87697.49472</v>
      </c>
      <c r="C7417" t="n" s="0">
        <v>-87697.49472</v>
      </c>
    </row>
    <row r="7418">
      <c r="A7418" t="n" s="0">
        <v>-25.83</v>
      </c>
      <c r="B7418" t="n" s="0">
        <f>(-5-((((-5*(-5/((-5/(((-5*(-25.83--5))-(-5+((-5*-25.83)*(((-5--5)+(-25.83--5))+-25.83))))-(-5+-5)))*-5)))/-5)--5)+(-5*(((-25.83*(-25.83-(-5/-5)))*(-25.83-(-25.83/(-5*-25.83))))-(-5/-5)))))</f>
        <v>-87596.314235</v>
      </c>
      <c r="C7418" t="n" s="0">
        <v>-87596.314235</v>
      </c>
    </row>
    <row r="7419">
      <c r="A7419" t="n" s="0">
        <v>-25.82</v>
      </c>
      <c r="B7419" t="n" s="0">
        <f>(-5-((((-5*(-5/((-5/(((-5*(-25.82--5))-(-5+((-5*-25.82)*(((-5--5)+(-25.82--5))+-25.82))))-(-5+-5)))*-5)))/-5)--5)+(-5*(((-25.82*(-25.82-(-5/-5)))*(-25.82-(-25.82/(-5*-25.82))))-(-5/-5)))))</f>
        <v>-87495.21164</v>
      </c>
      <c r="C7419" t="n" s="0">
        <v>-87495.21164000002</v>
      </c>
    </row>
    <row r="7420">
      <c r="A7420" t="n" s="0">
        <v>-25.81</v>
      </c>
      <c r="B7420" t="n" s="0">
        <f>(-5-((((-5*(-5/((-5/(((-5*(-25.81--5))-(-5+((-5*-25.81)*(((-5--5)+(-25.81--5))+-25.81))))-(-5+-5)))*-5)))/-5)--5)+(-5*(((-25.81*(-25.81-(-5/-5)))*(-25.81-(-25.81/(-5*-25.81))))-(-5/-5)))))</f>
        <v>-87394.18690500001</v>
      </c>
      <c r="C7420" t="n" s="0">
        <v>-87394.18690499997</v>
      </c>
    </row>
    <row r="7421">
      <c r="A7421" t="n" s="0">
        <v>-25.8</v>
      </c>
      <c r="B7421" t="n" s="0">
        <f>(-5-((((-5*(-5/((-5/(((-5*(-25.8--5))-(-5+((-5*-25.8)*(((-5--5)+(-25.8--5))+-25.8))))-(-5+-5)))*-5)))/-5)--5)+(-5*(((-25.8*(-25.8-(-5/-5)))*(-25.8-(-25.8/(-5*-25.8))))-(-5/-5)))))</f>
        <v>-87293.24</v>
      </c>
      <c r="C7421" t="n" s="0">
        <v>-87293.24</v>
      </c>
    </row>
    <row r="7422">
      <c r="A7422" t="n" s="0">
        <v>-25.79</v>
      </c>
      <c r="B7422" t="n" s="0">
        <f>(-5-((((-5*(-5/((-5/(((-5*(-25.79--5))-(-5+((-5*-25.79)*(((-5--5)+(-25.79--5))+-25.79))))-(-5+-5)))*-5)))/-5)--5)+(-5*(((-25.79*(-25.79-(-5/-5)))*(-25.79-(-25.79/(-5*-25.79))))-(-5/-5)))))</f>
        <v>-87192.370895</v>
      </c>
      <c r="C7422" t="n" s="0">
        <v>-87192.370895</v>
      </c>
    </row>
    <row r="7423">
      <c r="A7423" t="n" s="0">
        <v>-25.78</v>
      </c>
      <c r="B7423" t="n" s="0">
        <f>(-5-((((-5*(-5/((-5/(((-5*(-25.78--5))-(-5+((-5*-25.78)*(((-5--5)+(-25.78--5))+-25.78))))-(-5+-5)))*-5)))/-5)--5)+(-5*(((-25.78*(-25.78-(-5/-5)))*(-25.78-(-25.78/(-5*-25.78))))-(-5/-5)))))</f>
        <v>-87091.57956</v>
      </c>
      <c r="C7423" t="n" s="0">
        <v>-87091.57956</v>
      </c>
    </row>
    <row r="7424">
      <c r="A7424" t="n" s="0">
        <v>-25.77</v>
      </c>
      <c r="B7424" t="n" s="0">
        <f>(-5-((((-5*(-5/((-5/(((-5*(-25.77--5))-(-5+((-5*-25.77)*(((-5--5)+(-25.77--5))+-25.77))))-(-5+-5)))*-5)))/-5)--5)+(-5*(((-25.77*(-25.77-(-5/-5)))*(-25.77-(-25.77/(-5*-25.77))))-(-5/-5)))))</f>
        <v>-86990.86596499999</v>
      </c>
      <c r="C7424" t="n" s="0">
        <v>-86990.865965</v>
      </c>
    </row>
    <row r="7425">
      <c r="A7425" t="n" s="0">
        <v>-25.76</v>
      </c>
      <c r="B7425" t="n" s="0">
        <f>(-5-((((-5*(-5/((-5/(((-5*(-25.76--5))-(-5+((-5*-25.76)*(((-5--5)+(-25.76--5))+-25.76))))-(-5+-5)))*-5)))/-5)--5)+(-5*(((-25.76*(-25.76-(-5/-5)))*(-25.76-(-25.76/(-5*-25.76))))-(-5/-5)))))</f>
        <v>-86890.23008</v>
      </c>
      <c r="C7425" t="n" s="0">
        <v>-86890.23008000002</v>
      </c>
    </row>
    <row r="7426">
      <c r="A7426" t="n" s="0">
        <v>-25.75</v>
      </c>
      <c r="B7426" t="n" s="0">
        <f>(-5-((((-5*(-5/((-5/(((-5*(-25.75--5))-(-5+((-5*-25.75)*(((-5--5)+(-25.75--5))+-25.75))))-(-5+-5)))*-5)))/-5)--5)+(-5*(((-25.75*(-25.75-(-5/-5)))*(-25.75-(-25.75/(-5*-25.75))))-(-5/-5)))))</f>
        <v>-86789.671875</v>
      </c>
      <c r="C7426" t="n" s="0">
        <v>-86789.671875</v>
      </c>
    </row>
    <row r="7427">
      <c r="A7427" t="n" s="0">
        <v>-25.74</v>
      </c>
      <c r="B7427" t="n" s="0">
        <f>(-5-((((-5*(-5/((-5/(((-5*(-25.74--5))-(-5+((-5*-25.74)*(((-5--5)+(-25.74--5))+-25.74))))-(-5+-5)))*-5)))/-5)--5)+(-5*(((-25.74*(-25.74-(-5/-5)))*(-25.74-(-25.74/(-5*-25.74))))-(-5/-5)))))</f>
        <v>-86689.19132</v>
      </c>
      <c r="C7427" t="n" s="0">
        <v>-86689.19131999998</v>
      </c>
    </row>
    <row r="7428">
      <c r="A7428" t="n" s="0">
        <v>-25.73</v>
      </c>
      <c r="B7428" t="n" s="0">
        <f>(-5-((((-5*(-5/((-5/(((-5*(-25.73--5))-(-5+((-5*-25.73)*(((-5--5)+(-25.73--5))+-25.73))))-(-5+-5)))*-5)))/-5)--5)+(-5*(((-25.73*(-25.73-(-5/-5)))*(-25.73-(-25.73/(-5*-25.73))))-(-5/-5)))))</f>
        <v>-86588.788385</v>
      </c>
      <c r="C7428" t="n" s="0">
        <v>-86588.788385</v>
      </c>
    </row>
    <row r="7429">
      <c r="A7429" t="n" s="0">
        <v>-25.72</v>
      </c>
      <c r="B7429" t="n" s="0">
        <f>(-5-((((-5*(-5/((-5/(((-5*(-25.72--5))-(-5+((-5*-25.72)*(((-5--5)+(-25.72--5))+-25.72))))-(-5+-5)))*-5)))/-5)--5)+(-5*(((-25.72*(-25.72-(-5/-5)))*(-25.72-(-25.72/(-5*-25.72))))-(-5/-5)))))</f>
        <v>-86488.46304</v>
      </c>
      <c r="C7429" t="n" s="0">
        <v>-86488.46303999999</v>
      </c>
    </row>
    <row r="7430">
      <c r="A7430" t="n" s="0">
        <v>-25.71</v>
      </c>
      <c r="B7430" t="n" s="0">
        <f>(-5-((((-5*(-5/((-5/(((-5*(-25.71--5))-(-5+((-5*-25.71)*(((-5--5)+(-25.71--5))+-25.71))))-(-5+-5)))*-5)))/-5)--5)+(-5*(((-25.71*(-25.71-(-5/-5)))*(-25.71-(-25.71/(-5*-25.71))))-(-5/-5)))))</f>
        <v>-86388.215255</v>
      </c>
      <c r="C7430" t="n" s="0">
        <v>-86388.215255</v>
      </c>
    </row>
    <row r="7431">
      <c r="A7431" t="n" s="0">
        <v>-25.7</v>
      </c>
      <c r="B7431" t="n" s="0">
        <f>(-5-((((-5*(-5/((-5/(((-5*(-25.7--5))-(-5+((-5*-25.7)*(((-5--5)+(-25.7--5))+-25.7))))-(-5+-5)))*-5)))/-5)--5)+(-5*(((-25.7*(-25.7-(-5/-5)))*(-25.7-(-25.7/(-5*-25.7))))-(-5/-5)))))</f>
        <v>-86288.04500000001</v>
      </c>
      <c r="C7431" t="n" s="0">
        <v>-86288.04499999998</v>
      </c>
    </row>
    <row r="7432">
      <c r="A7432" t="n" s="0">
        <v>-25.69</v>
      </c>
      <c r="B7432" t="n" s="0">
        <f>(-5-((((-5*(-5/((-5/(((-5*(-25.69--5))-(-5+((-5*-25.69)*(((-5--5)+(-25.69--5))+-25.69))))-(-5+-5)))*-5)))/-5)--5)+(-5*(((-25.69*(-25.69-(-5/-5)))*(-25.69-(-25.69/(-5*-25.69))))-(-5/-5)))))</f>
        <v>-86187.952245</v>
      </c>
      <c r="C7432" t="n" s="0">
        <v>-86187.95224500002</v>
      </c>
    </row>
    <row r="7433">
      <c r="A7433" t="n" s="0">
        <v>-25.68</v>
      </c>
      <c r="B7433" t="n" s="0">
        <f>(-5-((((-5*(-5/((-5/(((-5*(-25.68--5))-(-5+((-5*-25.68)*(((-5--5)+(-25.68--5))+-25.68))))-(-5+-5)))*-5)))/-5)--5)+(-5*(((-25.68*(-25.68-(-5/-5)))*(-25.68-(-25.68/(-5*-25.68))))-(-5/-5)))))</f>
        <v>-86087.93695999999</v>
      </c>
      <c r="C7433" t="n" s="0">
        <v>-86087.93695999999</v>
      </c>
    </row>
    <row r="7434">
      <c r="A7434" t="n" s="0">
        <v>-25.67</v>
      </c>
      <c r="B7434" t="n" s="0">
        <f>(-5-((((-5*(-5/((-5/(((-5*(-25.67--5))-(-5+((-5*-25.67)*(((-5--5)+(-25.67--5))+-25.67))))-(-5+-5)))*-5)))/-5)--5)+(-5*(((-25.67*(-25.67-(-5/-5)))*(-25.67-(-25.67/(-5*-25.67))))-(-5/-5)))))</f>
        <v>-85987.999115</v>
      </c>
      <c r="C7434" t="n" s="0">
        <v>-85987.99911500001</v>
      </c>
    </row>
    <row r="7435">
      <c r="A7435" t="n" s="0">
        <v>-25.66</v>
      </c>
      <c r="B7435" t="n" s="0">
        <f>(-5-((((-5*(-5/((-5/(((-5*(-25.66--5))-(-5+((-5*-25.66)*(((-5--5)+(-25.66--5))+-25.66))))-(-5+-5)))*-5)))/-5)--5)+(-5*(((-25.66*(-25.66-(-5/-5)))*(-25.66-(-25.66/(-5*-25.66))))-(-5/-5)))))</f>
        <v>-85888.13868</v>
      </c>
      <c r="C7435" t="n" s="0">
        <v>-85888.13867999999</v>
      </c>
    </row>
    <row r="7436">
      <c r="A7436" t="n" s="0">
        <v>-25.65</v>
      </c>
      <c r="B7436" t="n" s="0">
        <f>(-5-((((-5*(-5/((-5/(((-5*(-25.65--5))-(-5+((-5*-25.65)*(((-5--5)+(-25.65--5))+-25.65))))-(-5+-5)))*-5)))/-5)--5)+(-5*(((-25.65*(-25.65-(-5/-5)))*(-25.65-(-25.65/(-5*-25.65))))-(-5/-5)))))</f>
        <v>-85788.35562500001</v>
      </c>
      <c r="C7436" t="n" s="0">
        <v>-85788.35562499998</v>
      </c>
    </row>
    <row r="7437">
      <c r="A7437" t="n" s="0">
        <v>-25.64</v>
      </c>
      <c r="B7437" t="n" s="0">
        <f>(-5-((((-5*(-5/((-5/(((-5*(-25.64--5))-(-5+((-5*-25.64)*(((-5--5)+(-25.64--5))+-25.64))))-(-5+-5)))*-5)))/-5)--5)+(-5*(((-25.64*(-25.64-(-5/-5)))*(-25.64-(-25.64/(-5*-25.64))))-(-5/-5)))))</f>
        <v>-85688.64992</v>
      </c>
      <c r="C7437" t="n" s="0">
        <v>-85688.64992000001</v>
      </c>
    </row>
    <row r="7438">
      <c r="A7438" t="n" s="0">
        <v>-25.63</v>
      </c>
      <c r="B7438" t="n" s="0">
        <f>(-5-((((-5*(-5/((-5/(((-5*(-25.63--5))-(-5+((-5*-25.63)*(((-5--5)+(-25.63--5))+-25.63))))-(-5+-5)))*-5)))/-5)--5)+(-5*(((-25.63*(-25.63-(-5/-5)))*(-25.63-(-25.63/(-5*-25.63))))-(-5/-5)))))</f>
        <v>-85589.021535</v>
      </c>
      <c r="C7438" t="n" s="0">
        <v>-85589.02153499999</v>
      </c>
    </row>
    <row r="7439">
      <c r="A7439" t="n" s="0">
        <v>-25.62</v>
      </c>
      <c r="B7439" t="n" s="0">
        <f>(-5-((((-5*(-5/((-5/(((-5*(-25.62--5))-(-5+((-5*-25.62)*(((-5--5)+(-25.62--5))+-25.62))))-(-5+-5)))*-5)))/-5)--5)+(-5*(((-25.62*(-25.62-(-5/-5)))*(-25.62-(-25.62/(-5*-25.62))))-(-5/-5)))))</f>
        <v>-85489.47044</v>
      </c>
      <c r="C7439" t="n" s="0">
        <v>-85489.47044</v>
      </c>
    </row>
    <row r="7440">
      <c r="A7440" t="n" s="0">
        <v>-25.61</v>
      </c>
      <c r="B7440" t="n" s="0">
        <f>(-5-((((-5*(-5/((-5/(((-5*(-25.61--5))-(-5+((-5*-25.61)*(((-5--5)+(-25.61--5))+-25.61))))-(-5+-5)))*-5)))/-5)--5)+(-5*(((-25.61*(-25.61-(-5/-5)))*(-25.61-(-25.61/(-5*-25.61))))-(-5/-5)))))</f>
        <v>-85389.99660500001</v>
      </c>
      <c r="C7440" t="n" s="0">
        <v>-85389.996605</v>
      </c>
    </row>
    <row r="7441">
      <c r="A7441" t="n" s="0">
        <v>-25.6</v>
      </c>
      <c r="B7441" t="n" s="0">
        <f>(-5-((((-5*(-5/((-5/(((-5*(-25.6--5))-(-5+((-5*-25.6)*(((-5--5)+(-25.6--5))+-25.6))))-(-5+-5)))*-5)))/-5)--5)+(-5*(((-25.6*(-25.6-(-5/-5)))*(-25.6-(-25.6/(-5*-25.6))))-(-5/-5)))))</f>
        <v>-85290.59999999999</v>
      </c>
      <c r="C7441" t="n" s="0">
        <v>-85290.60000000002</v>
      </c>
    </row>
    <row r="7442">
      <c r="A7442" t="n" s="0">
        <v>-25.59</v>
      </c>
      <c r="B7442" t="n" s="0">
        <f>(-5-((((-5*(-5/((-5/(((-5*(-25.59--5))-(-5+((-5*-25.59)*(((-5--5)+(-25.59--5))+-25.59))))-(-5+-5)))*-5)))/-5)--5)+(-5*(((-25.59*(-25.59-(-5/-5)))*(-25.59-(-25.59/(-5*-25.59))))-(-5/-5)))))</f>
        <v>-85191.28059499999</v>
      </c>
      <c r="C7442" t="n" s="0">
        <v>-85191.28059500002</v>
      </c>
    </row>
    <row r="7443">
      <c r="A7443" t="n" s="0">
        <v>-25.58</v>
      </c>
      <c r="B7443" t="n" s="0">
        <f>(-5-((((-5*(-5/((-5/(((-5*(-25.58--5))-(-5+((-5*-25.58)*(((-5--5)+(-25.58--5))+-25.58))))-(-5+-5)))*-5)))/-5)--5)+(-5*(((-25.58*(-25.58-(-5/-5)))*(-25.58-(-25.58/(-5*-25.58))))-(-5/-5)))))</f>
        <v>-85092.03836</v>
      </c>
      <c r="C7443" t="n" s="0">
        <v>-85092.03835999999</v>
      </c>
    </row>
    <row r="7444">
      <c r="A7444" t="n" s="0">
        <v>-25.57</v>
      </c>
      <c r="B7444" t="n" s="0">
        <f>(-5-((((-5*(-5/((-5/(((-5*(-25.57--5))-(-5+((-5*-25.57)*(((-5--5)+(-25.57--5))+-25.57))))-(-5+-5)))*-5)))/-5)--5)+(-5*(((-25.57*(-25.57-(-5/-5)))*(-25.57-(-25.57/(-5*-25.57))))-(-5/-5)))))</f>
        <v>-84992.873265</v>
      </c>
      <c r="C7444" t="n" s="0">
        <v>-84992.87326500002</v>
      </c>
    </row>
    <row r="7445">
      <c r="A7445" t="n" s="0">
        <v>-25.56</v>
      </c>
      <c r="B7445" t="n" s="0">
        <f>(-5-((((-5*(-5/((-5/(((-5*(-25.56--5))-(-5+((-5*-25.56)*(((-5--5)+(-25.56--5))+-25.56))))-(-5+-5)))*-5)))/-5)--5)+(-5*(((-25.56*(-25.56-(-5/-5)))*(-25.56-(-25.56/(-5*-25.56))))-(-5/-5)))))</f>
        <v>-84893.78528</v>
      </c>
      <c r="C7445" t="n" s="0">
        <v>-84893.78527999998</v>
      </c>
    </row>
    <row r="7446">
      <c r="A7446" t="n" s="0">
        <v>-25.55</v>
      </c>
      <c r="B7446" t="n" s="0">
        <f>(-5-((((-5*(-5/((-5/(((-5*(-25.55--5))-(-5+((-5*-25.55)*(((-5--5)+(-25.55--5))+-25.55))))-(-5+-5)))*-5)))/-5)--5)+(-5*(((-25.55*(-25.55-(-5/-5)))*(-25.55-(-25.55/(-5*-25.55))))-(-5/-5)))))</f>
        <v>-84794.77437500001</v>
      </c>
      <c r="C7446" t="n" s="0">
        <v>-84794.774375</v>
      </c>
    </row>
    <row r="7447">
      <c r="A7447" t="n" s="0">
        <v>-25.54</v>
      </c>
      <c r="B7447" t="n" s="0">
        <f>(-5-((((-5*(-5/((-5/(((-5*(-25.54--5))-(-5+((-5*-25.54)*(((-5--5)+(-25.54--5))+-25.54))))-(-5+-5)))*-5)))/-5)--5)+(-5*(((-25.54*(-25.54-(-5/-5)))*(-25.54-(-25.54/(-5*-25.54))))-(-5/-5)))))</f>
        <v>-84695.84052</v>
      </c>
      <c r="C7447" t="n" s="0">
        <v>-84695.84051999998</v>
      </c>
    </row>
    <row r="7448">
      <c r="A7448" t="n" s="0">
        <v>-25.53</v>
      </c>
      <c r="B7448" t="n" s="0">
        <f>(-5-((((-5*(-5/((-5/(((-5*(-25.53--5))-(-5+((-5*-25.53)*(((-5--5)+(-25.53--5))+-25.53))))-(-5+-5)))*-5)))/-5)--5)+(-5*(((-25.53*(-25.53-(-5/-5)))*(-25.53-(-25.53/(-5*-25.53))))-(-5/-5)))))</f>
        <v>-84596.983685</v>
      </c>
      <c r="C7448" t="n" s="0">
        <v>-84596.983685</v>
      </c>
    </row>
    <row r="7449">
      <c r="A7449" t="n" s="0">
        <v>-25.52</v>
      </c>
      <c r="B7449" t="n" s="0">
        <f>(-5-((((-5*(-5/((-5/(((-5*(-25.52--5))-(-5+((-5*-25.52)*(((-5--5)+(-25.52--5))+-25.52))))-(-5+-5)))*-5)))/-5)--5)+(-5*(((-25.52*(-25.52-(-5/-5)))*(-25.52-(-25.52/(-5*-25.52))))-(-5/-5)))))</f>
        <v>-84498.20384</v>
      </c>
      <c r="C7449" t="n" s="0">
        <v>-84498.20384</v>
      </c>
    </row>
    <row r="7450">
      <c r="A7450" t="n" s="0">
        <v>-25.51</v>
      </c>
      <c r="B7450" t="n" s="0">
        <f>(-5-((((-5*(-5/((-5/(((-5*(-25.51--5))-(-5+((-5*-25.51)*(((-5--5)+(-25.51--5))+-25.51))))-(-5+-5)))*-5)))/-5)--5)+(-5*(((-25.51*(-25.51-(-5/-5)))*(-25.51-(-25.51/(-5*-25.51))))-(-5/-5)))))</f>
        <v>-84399.500955</v>
      </c>
      <c r="C7450" t="n" s="0">
        <v>-84399.50095500001</v>
      </c>
    </row>
    <row r="7451">
      <c r="A7451" t="n" s="0">
        <v>-25.5</v>
      </c>
      <c r="B7451" t="n" s="0">
        <f>(-5-((((-5*(-5/((-5/(((-5*(-25.5--5))-(-5+((-5*-25.5)*(((-5--5)+(-25.5--5))+-25.5))))-(-5+-5)))*-5)))/-5)--5)+(-5*(((-25.5*(-25.5-(-5/-5)))*(-25.5-(-25.5/(-5*-25.5))))-(-5/-5)))))</f>
        <v>-84300.875</v>
      </c>
      <c r="C7451" t="n" s="0">
        <v>-84300.875</v>
      </c>
    </row>
    <row r="7452">
      <c r="A7452" t="n" s="0">
        <v>-25.49</v>
      </c>
      <c r="B7452" t="n" s="0">
        <f>(-5-((((-5*(-5/((-5/(((-5*(-25.49--5))-(-5+((-5*-25.49)*(((-5--5)+(-25.49--5))+-25.49))))-(-5+-5)))*-5)))/-5)--5)+(-5*(((-25.49*(-25.49-(-5/-5)))*(-25.49-(-25.49/(-5*-25.49))))-(-5/-5)))))</f>
        <v>-84202.325945</v>
      </c>
      <c r="C7452" t="n" s="0">
        <v>-84202.32594499999</v>
      </c>
    </row>
    <row r="7453">
      <c r="A7453" t="n" s="0">
        <v>-25.48</v>
      </c>
      <c r="B7453" t="n" s="0">
        <f>(-5-((((-5*(-5/((-5/(((-5*(-25.48--5))-(-5+((-5*-25.48)*(((-5--5)+(-25.48--5))+-25.48))))-(-5+-5)))*-5)))/-5)--5)+(-5*(((-25.48*(-25.48-(-5/-5)))*(-25.48-(-25.48/(-5*-25.48))))-(-5/-5)))))</f>
        <v>-84103.85376</v>
      </c>
      <c r="C7453" t="n" s="0">
        <v>-84103.85376</v>
      </c>
    </row>
    <row r="7454">
      <c r="A7454" t="n" s="0">
        <v>-25.47</v>
      </c>
      <c r="B7454" t="n" s="0">
        <f>(-5-((((-5*(-5/((-5/(((-5*(-25.47--5))-(-5+((-5*-25.47)*(((-5--5)+(-25.47--5))+-25.47))))-(-5+-5)))*-5)))/-5)--5)+(-5*(((-25.47*(-25.47-(-5/-5)))*(-25.47-(-25.47/(-5*-25.47))))-(-5/-5)))))</f>
        <v>-84005.458415</v>
      </c>
      <c r="C7454" t="n" s="0">
        <v>-84005.458415</v>
      </c>
    </row>
    <row r="7455">
      <c r="A7455" t="n" s="0">
        <v>-25.46</v>
      </c>
      <c r="B7455" t="n" s="0">
        <f>(-5-((((-5*(-5/((-5/(((-5*(-25.46--5))-(-5+((-5*-25.46)*(((-5--5)+(-25.46--5))+-25.46))))-(-5+-5)))*-5)))/-5)--5)+(-5*(((-25.46*(-25.46-(-5/-5)))*(-25.46-(-25.46/(-5*-25.46))))-(-5/-5)))))</f>
        <v>-83907.13988</v>
      </c>
      <c r="C7455" t="n" s="0">
        <v>-83907.13988000002</v>
      </c>
    </row>
    <row r="7456">
      <c r="A7456" t="n" s="0">
        <v>-25.45</v>
      </c>
      <c r="B7456" t="n" s="0">
        <f>(-5-((((-5*(-5/((-5/(((-5*(-25.45--5))-(-5+((-5*-25.45)*(((-5--5)+(-25.45--5))+-25.45))))-(-5+-5)))*-5)))/-5)--5)+(-5*(((-25.45*(-25.45-(-5/-5)))*(-25.45-(-25.45/(-5*-25.45))))-(-5/-5)))))</f>
        <v>-83808.898125</v>
      </c>
      <c r="C7456" t="n" s="0">
        <v>-83808.898125</v>
      </c>
    </row>
    <row r="7457">
      <c r="A7457" t="n" s="0">
        <v>-25.44</v>
      </c>
      <c r="B7457" t="n" s="0">
        <f>(-5-((((-5*(-5/((-5/(((-5*(-25.44--5))-(-5+((-5*-25.44)*(((-5--5)+(-25.44--5))+-25.44))))-(-5+-5)))*-5)))/-5)--5)+(-5*(((-25.44*(-25.44-(-5/-5)))*(-25.44-(-25.44/(-5*-25.44))))-(-5/-5)))))</f>
        <v>-83710.73312</v>
      </c>
      <c r="C7457" t="n" s="0">
        <v>-83710.73312000002</v>
      </c>
    </row>
    <row r="7458">
      <c r="A7458" t="n" s="0">
        <v>-25.43</v>
      </c>
      <c r="B7458" t="n" s="0">
        <f>(-5-((((-5*(-5/((-5/(((-5*(-25.43--5))-(-5+((-5*-25.43)*(((-5--5)+(-25.43--5))+-25.43))))-(-5+-5)))*-5)))/-5)--5)+(-5*(((-25.43*(-25.43-(-5/-5)))*(-25.43-(-25.43/(-5*-25.43))))-(-5/-5)))))</f>
        <v>-83612.644835</v>
      </c>
      <c r="C7458" t="n" s="0">
        <v>-83612.64483499998</v>
      </c>
    </row>
    <row r="7459">
      <c r="A7459" t="n" s="0">
        <v>-25.42</v>
      </c>
      <c r="B7459" t="n" s="0">
        <f>(-5-((((-5*(-5/((-5/(((-5*(-25.42--5))-(-5+((-5*-25.42)*(((-5--5)+(-25.42--5))+-25.42))))-(-5+-5)))*-5)))/-5)--5)+(-5*(((-25.42*(-25.42-(-5/-5)))*(-25.42-(-25.42/(-5*-25.42))))-(-5/-5)))))</f>
        <v>-83514.63324</v>
      </c>
      <c r="C7459" t="n" s="0">
        <v>-83514.63324000001</v>
      </c>
    </row>
    <row r="7460">
      <c r="A7460" t="n" s="0">
        <v>-25.41</v>
      </c>
      <c r="B7460" t="n" s="0">
        <f>(-5-((((-5*(-5/((-5/(((-5*(-25.41--5))-(-5+((-5*-25.41)*(((-5--5)+(-25.41--5))+-25.41))))-(-5+-5)))*-5)))/-5)--5)+(-5*(((-25.41*(-25.41-(-5/-5)))*(-25.41-(-25.41/(-5*-25.41))))-(-5/-5)))))</f>
        <v>-83416.698305</v>
      </c>
      <c r="C7460" t="n" s="0">
        <v>-83416.698305</v>
      </c>
    </row>
    <row r="7461">
      <c r="A7461" t="n" s="0">
        <v>-25.4</v>
      </c>
      <c r="B7461" t="n" s="0">
        <f>(-5-((((-5*(-5/((-5/(((-5*(-25.4--5))-(-5+((-5*-25.4)*(((-5--5)+(-25.4--5))+-25.4))))-(-5+-5)))*-5)))/-5)--5)+(-5*(((-25.4*(-25.4-(-5/-5)))*(-25.4-(-25.4/(-5*-25.4))))-(-5/-5)))))</f>
        <v>-83318.84</v>
      </c>
      <c r="C7461" t="n" s="0">
        <v>-83318.84</v>
      </c>
    </row>
    <row r="7462">
      <c r="A7462" t="n" s="0">
        <v>-25.39</v>
      </c>
      <c r="B7462" t="n" s="0">
        <f>(-5-((((-5*(-5/((-5/(((-5*(-25.39--5))-(-5+((-5*-25.39)*(((-5--5)+(-25.39--5))+-25.39))))-(-5+-5)))*-5)))/-5)--5)+(-5*(((-25.39*(-25.39-(-5/-5)))*(-25.39-(-25.39/(-5*-25.39))))-(-5/-5)))))</f>
        <v>-83221.058295</v>
      </c>
      <c r="C7462" t="n" s="0">
        <v>-83221.058295</v>
      </c>
    </row>
    <row r="7463">
      <c r="A7463" t="n" s="0">
        <v>-25.38</v>
      </c>
      <c r="B7463" t="n" s="0">
        <f>(-5-((((-5*(-5/((-5/(((-5*(-25.38--5))-(-5+((-5*-25.38)*(((-5--5)+(-25.38--5))+-25.38))))-(-5+-5)))*-5)))/-5)--5)+(-5*(((-25.38*(-25.38-(-5/-5)))*(-25.38-(-25.38/(-5*-25.38))))-(-5/-5)))))</f>
        <v>-83123.35316</v>
      </c>
      <c r="C7463" t="n" s="0">
        <v>-83123.35315999998</v>
      </c>
    </row>
    <row r="7464">
      <c r="A7464" t="n" s="0">
        <v>-25.37</v>
      </c>
      <c r="B7464" t="n" s="0">
        <f>(-5-((((-5*(-5/((-5/(((-5*(-25.37--5))-(-5+((-5*-25.37)*(((-5--5)+(-25.37--5))+-25.37))))-(-5+-5)))*-5)))/-5)--5)+(-5*(((-25.37*(-25.37-(-5/-5)))*(-25.37-(-25.37/(-5*-25.37))))-(-5/-5)))))</f>
        <v>-83025.724565</v>
      </c>
      <c r="C7464" t="n" s="0">
        <v>-83025.72456500001</v>
      </c>
    </row>
    <row r="7465">
      <c r="A7465" t="n" s="0">
        <v>-25.36</v>
      </c>
      <c r="B7465" t="n" s="0">
        <f>(-5-((((-5*(-5/((-5/(((-5*(-25.36--5))-(-5+((-5*-25.36)*(((-5--5)+(-25.36--5))+-25.36))))-(-5+-5)))*-5)))/-5)--5)+(-5*(((-25.36*(-25.36-(-5/-5)))*(-25.36-(-25.36/(-5*-25.36))))-(-5/-5)))))</f>
        <v>-82928.17248000001</v>
      </c>
      <c r="C7465" t="n" s="0">
        <v>-82928.17248</v>
      </c>
    </row>
    <row r="7466">
      <c r="A7466" t="n" s="0">
        <v>-25.35</v>
      </c>
      <c r="B7466" t="n" s="0">
        <f>(-5-((((-5*(-5/((-5/(((-5*(-25.35--5))-(-5+((-5*-25.35)*(((-5--5)+(-25.35--5))+-25.35))))-(-5+-5)))*-5)))/-5)--5)+(-5*(((-25.35*(-25.35-(-5/-5)))*(-25.35-(-25.35/(-5*-25.35))))-(-5/-5)))))</f>
        <v>-82830.696875</v>
      </c>
      <c r="C7466" t="n" s="0">
        <v>-82830.69687500001</v>
      </c>
    </row>
    <row r="7467">
      <c r="A7467" t="n" s="0">
        <v>-25.34</v>
      </c>
      <c r="B7467" t="n" s="0">
        <f>(-5-((((-5*(-5/((-5/(((-5*(-25.34--5))-(-5+((-5*-25.34)*(((-5--5)+(-25.34--5))+-25.34))))-(-5+-5)))*-5)))/-5)--5)+(-5*(((-25.34*(-25.34-(-5/-5)))*(-25.34-(-25.34/(-5*-25.34))))-(-5/-5)))))</f>
        <v>-82733.29772</v>
      </c>
      <c r="C7467" t="n" s="0">
        <v>-82733.29772</v>
      </c>
    </row>
    <row r="7468">
      <c r="A7468" t="n" s="0">
        <v>-25.33</v>
      </c>
      <c r="B7468" t="n" s="0">
        <f>(-5-((((-5*(-5/((-5/(((-5*(-25.33--5))-(-5+((-5*-25.33)*(((-5--5)+(-25.33--5))+-25.33))))-(-5+-5)))*-5)))/-5)--5)+(-5*(((-25.33*(-25.33-(-5/-5)))*(-25.33-(-25.33/(-5*-25.33))))-(-5/-5)))))</f>
        <v>-82635.974985</v>
      </c>
      <c r="C7468" t="n" s="0">
        <v>-82635.97498499998</v>
      </c>
    </row>
    <row r="7469">
      <c r="A7469" t="n" s="0">
        <v>-25.32</v>
      </c>
      <c r="B7469" t="n" s="0">
        <f>(-5-((((-5*(-5/((-5/(((-5*(-25.32--5))-(-5+((-5*-25.32)*(((-5--5)+(-25.32--5))+-25.32))))-(-5+-5)))*-5)))/-5)--5)+(-5*(((-25.32*(-25.32-(-5/-5)))*(-25.32-(-25.32/(-5*-25.32))))-(-5/-5)))))</f>
        <v>-82538.72864</v>
      </c>
      <c r="C7469" t="n" s="0">
        <v>-82538.72864000002</v>
      </c>
    </row>
    <row r="7470">
      <c r="A7470" t="n" s="0">
        <v>-25.31</v>
      </c>
      <c r="B7470" t="n" s="0">
        <f>(-5-((((-5*(-5/((-5/(((-5*(-25.31--5))-(-5+((-5*-25.31)*(((-5--5)+(-25.31--5))+-25.31))))-(-5+-5)))*-5)))/-5)--5)+(-5*(((-25.31*(-25.31-(-5/-5)))*(-25.31-(-25.31/(-5*-25.31))))-(-5/-5)))))</f>
        <v>-82441.558655</v>
      </c>
      <c r="C7470" t="n" s="0">
        <v>-82441.55865499999</v>
      </c>
    </row>
    <row r="7471">
      <c r="A7471" t="n" s="0">
        <v>-25.3</v>
      </c>
      <c r="B7471" t="n" s="0">
        <f>(-5-((((-5*(-5/((-5/(((-5*(-25.3--5))-(-5+((-5*-25.3)*(((-5--5)+(-25.3--5))+-25.3))))-(-5+-5)))*-5)))/-5)--5)+(-5*(((-25.3*(-25.3-(-5/-5)))*(-25.3-(-25.3/(-5*-25.3))))-(-5/-5)))))</f>
        <v>-82344.46500000001</v>
      </c>
      <c r="C7471" t="n" s="0">
        <v>-82344.465</v>
      </c>
    </row>
    <row r="7472">
      <c r="A7472" t="n" s="0">
        <v>-25.29</v>
      </c>
      <c r="B7472" t="n" s="0">
        <f>(-5-((((-5*(-5/((-5/(((-5*(-25.29--5))-(-5+((-5*-25.29)*(((-5--5)+(-25.29--5))+-25.29))))-(-5+-5)))*-5)))/-5)--5)+(-5*(((-25.29*(-25.29-(-5/-5)))*(-25.29-(-25.29/(-5*-25.29))))-(-5/-5)))))</f>
        <v>-82247.44764500001</v>
      </c>
      <c r="C7472" t="n" s="0">
        <v>-82247.447645</v>
      </c>
    </row>
    <row r="7473">
      <c r="A7473" t="n" s="0">
        <v>-25.28</v>
      </c>
      <c r="B7473" t="n" s="0">
        <f>(-5-((((-5*(-5/((-5/(((-5*(-25.28--5))-(-5+((-5*-25.28)*(((-5--5)+(-25.28--5))+-25.28))))-(-5+-5)))*-5)))/-5)--5)+(-5*(((-25.28*(-25.28-(-5/-5)))*(-25.28-(-25.28/(-5*-25.28))))-(-5/-5)))))</f>
        <v>-82150.50656</v>
      </c>
      <c r="C7473" t="n" s="0">
        <v>-82150.50656000001</v>
      </c>
    </row>
    <row r="7474">
      <c r="A7474" t="n" s="0">
        <v>-25.27</v>
      </c>
      <c r="B7474" t="n" s="0">
        <f>(-5-((((-5*(-5/((-5/(((-5*(-25.27--5))-(-5+((-5*-25.27)*(((-5--5)+(-25.27--5))+-25.27))))-(-5+-5)))*-5)))/-5)--5)+(-5*(((-25.27*(-25.27-(-5/-5)))*(-25.27-(-25.27/(-5*-25.27))))-(-5/-5)))))</f>
        <v>-82053.641715</v>
      </c>
      <c r="C7474" t="n" s="0">
        <v>-82053.64171499999</v>
      </c>
    </row>
    <row r="7475">
      <c r="A7475" t="n" s="0">
        <v>-25.26</v>
      </c>
      <c r="B7475" t="n" s="0">
        <f>(-5-((((-5*(-5/((-5/(((-5*(-25.26--5))-(-5+((-5*-25.26)*(((-5--5)+(-25.26--5))+-25.26))))-(-5+-5)))*-5)))/-5)--5)+(-5*(((-25.26*(-25.26-(-5/-5)))*(-25.26-(-25.26/(-5*-25.26))))-(-5/-5)))))</f>
        <v>-81956.85308</v>
      </c>
      <c r="C7475" t="n" s="0">
        <v>-81956.85308000002</v>
      </c>
    </row>
    <row r="7476">
      <c r="A7476" t="n" s="0">
        <v>-25.25</v>
      </c>
      <c r="B7476" t="n" s="0">
        <f>(-5-((((-5*(-5/((-5/(((-5*(-25.25--5))-(-5+((-5*-25.25)*(((-5--5)+(-25.25--5))+-25.25))))-(-5+-5)))*-5)))/-5)--5)+(-5*(((-25.25*(-25.25-(-5/-5)))*(-25.25-(-25.25/(-5*-25.25))))-(-5/-5)))))</f>
        <v>-81860.140625</v>
      </c>
      <c r="C7476" t="n" s="0">
        <v>-81860.140625</v>
      </c>
    </row>
    <row r="7477">
      <c r="A7477" t="n" s="0">
        <v>-25.24</v>
      </c>
      <c r="B7477" t="n" s="0">
        <f>(-5-((((-5*(-5/((-5/(((-5*(-25.24--5))-(-5+((-5*-25.24)*(((-5--5)+(-25.24--5))+-25.24))))-(-5+-5)))*-5)))/-5)--5)+(-5*(((-25.24*(-25.24-(-5/-5)))*(-25.24-(-25.24/(-5*-25.24))))-(-5/-5)))))</f>
        <v>-81763.50432000001</v>
      </c>
      <c r="C7477" t="n" s="0">
        <v>-81763.50432</v>
      </c>
    </row>
    <row r="7478">
      <c r="A7478" t="n" s="0">
        <v>-25.23</v>
      </c>
      <c r="B7478" t="n" s="0">
        <f>(-5-((((-5*(-5/((-5/(((-5*(-25.23--5))-(-5+((-5*-25.23)*(((-5--5)+(-25.23--5))+-25.23))))-(-5+-5)))*-5)))/-5)--5)+(-5*(((-25.23*(-25.23-(-5/-5)))*(-25.23-(-25.23/(-5*-25.23))))-(-5/-5)))))</f>
        <v>-81666.944135</v>
      </c>
      <c r="C7478" t="n" s="0">
        <v>-81666.94413500001</v>
      </c>
    </row>
    <row r="7479">
      <c r="A7479" t="n" s="0">
        <v>-25.22</v>
      </c>
      <c r="B7479" t="n" s="0">
        <f>(-5-((((-5*(-5/((-5/(((-5*(-25.22--5))-(-5+((-5*-25.22)*(((-5--5)+(-25.22--5))+-25.22))))-(-5+-5)))*-5)))/-5)--5)+(-5*(((-25.22*(-25.22-(-5/-5)))*(-25.22-(-25.22/(-5*-25.22))))-(-5/-5)))))</f>
        <v>-81570.46004</v>
      </c>
      <c r="C7479" t="n" s="0">
        <v>-81570.46003999999</v>
      </c>
    </row>
    <row r="7480">
      <c r="A7480" t="n" s="0">
        <v>-25.21</v>
      </c>
      <c r="B7480" t="n" s="0">
        <f>(-5-((((-5*(-5/((-5/(((-5*(-25.21--5))-(-5+((-5*-25.21)*(((-5--5)+(-25.21--5))+-25.21))))-(-5+-5)))*-5)))/-5)--5)+(-5*(((-25.21*(-25.21-(-5/-5)))*(-25.21-(-25.21/(-5*-25.21))))-(-5/-5)))))</f>
        <v>-81474.052005</v>
      </c>
      <c r="C7480" t="n" s="0">
        <v>-81474.052005</v>
      </c>
    </row>
    <row r="7481">
      <c r="A7481" t="n" s="0">
        <v>-25.2</v>
      </c>
      <c r="B7481" t="n" s="0">
        <f>(-5-((((-5*(-5/((-5/(((-5*(-25.2--5))-(-5+((-5*-25.2)*(((-5--5)+(-25.2--5))+-25.2))))-(-5+-5)))*-5)))/-5)--5)+(-5*(((-25.2*(-25.2-(-5/-5)))*(-25.2-(-25.2/(-5*-25.2))))-(-5/-5)))))</f>
        <v>-81377.72</v>
      </c>
      <c r="C7481" t="n" s="0">
        <v>-81377.72</v>
      </c>
    </row>
    <row r="7482">
      <c r="A7482" t="n" s="0">
        <v>-25.19</v>
      </c>
      <c r="B7482" t="n" s="0">
        <f>(-5-((((-5*(-5/((-5/(((-5*(-25.19--5))-(-5+((-5*-25.19)*(((-5--5)+(-25.19--5))+-25.19))))-(-5+-5)))*-5)))/-5)--5)+(-5*(((-25.19*(-25.19-(-5/-5)))*(-25.19-(-25.19/(-5*-25.19))))-(-5/-5)))))</f>
        <v>-81281.463995</v>
      </c>
      <c r="C7482" t="n" s="0">
        <v>-81281.46399500001</v>
      </c>
    </row>
    <row r="7483">
      <c r="A7483" t="n" s="0">
        <v>-25.18</v>
      </c>
      <c r="B7483" t="n" s="0">
        <f>(-5-((((-5*(-5/((-5/(((-5*(-25.18--5))-(-5+((-5*-25.18)*(((-5--5)+(-25.18--5))+-25.18))))-(-5+-5)))*-5)))/-5)--5)+(-5*(((-25.18*(-25.18-(-5/-5)))*(-25.18-(-25.18/(-5*-25.18))))-(-5/-5)))))</f>
        <v>-81185.28396</v>
      </c>
      <c r="C7483" t="n" s="0">
        <v>-81185.28395999999</v>
      </c>
    </row>
    <row r="7484">
      <c r="A7484" t="n" s="0">
        <v>-25.17</v>
      </c>
      <c r="B7484" t="n" s="0">
        <f>(-5-((((-5*(-5/((-5/(((-5*(-25.17--5))-(-5+((-5*-25.17)*(((-5--5)+(-25.17--5))+-25.17))))-(-5+-5)))*-5)))/-5)--5)+(-5*(((-25.17*(-25.17-(-5/-5)))*(-25.17-(-25.17/(-5*-25.17))))-(-5/-5)))))</f>
        <v>-81089.179865</v>
      </c>
      <c r="C7484" t="n" s="0">
        <v>-81089.17986500001</v>
      </c>
    </row>
    <row r="7485">
      <c r="A7485" t="n" s="0">
        <v>-25.16</v>
      </c>
      <c r="B7485" t="n" s="0">
        <f>(-5-((((-5*(-5/((-5/(((-5*(-25.16--5))-(-5+((-5*-25.16)*(((-5--5)+(-25.16--5))+-25.16))))-(-5+-5)))*-5)))/-5)--5)+(-5*(((-25.16*(-25.16-(-5/-5)))*(-25.16-(-25.16/(-5*-25.16))))-(-5/-5)))))</f>
        <v>-80993.15168</v>
      </c>
      <c r="C7485" t="n" s="0">
        <v>-80993.15168</v>
      </c>
    </row>
    <row r="7486">
      <c r="A7486" t="n" s="0">
        <v>-25.15</v>
      </c>
      <c r="B7486" t="n" s="0">
        <f>(-5-((((-5*(-5/((-5/(((-5*(-25.15--5))-(-5+((-5*-25.15)*(((-5--5)+(-25.15--5))+-25.15))))-(-5+-5)))*-5)))/-5)--5)+(-5*(((-25.15*(-25.15-(-5/-5)))*(-25.15-(-25.15/(-5*-25.15))))-(-5/-5)))))</f>
        <v>-80897.199375</v>
      </c>
      <c r="C7486" t="n" s="0">
        <v>-80897.19937499998</v>
      </c>
    </row>
    <row r="7487">
      <c r="A7487" t="n" s="0">
        <v>-25.14</v>
      </c>
      <c r="B7487" t="n" s="0">
        <f>(-5-((((-5*(-5/((-5/(((-5*(-25.14--5))-(-5+((-5*-25.14)*(((-5--5)+(-25.14--5))+-25.14))))-(-5+-5)))*-5)))/-5)--5)+(-5*(((-25.14*(-25.14-(-5/-5)))*(-25.14-(-25.14/(-5*-25.14))))-(-5/-5)))))</f>
        <v>-80801.32291999999</v>
      </c>
      <c r="C7487" t="n" s="0">
        <v>-80801.32292</v>
      </c>
    </row>
    <row r="7488">
      <c r="A7488" t="n" s="0">
        <v>-25.13</v>
      </c>
      <c r="B7488" t="n" s="0">
        <f>(-5-((((-5*(-5/((-5/(((-5*(-25.13--5))-(-5+((-5*-25.13)*(((-5--5)+(-25.13--5))+-25.13))))-(-5+-5)))*-5)))/-5)--5)+(-5*(((-25.13*(-25.13-(-5/-5)))*(-25.13-(-25.13/(-5*-25.13))))-(-5/-5)))))</f>
        <v>-80705.522285</v>
      </c>
      <c r="C7488" t="n" s="0">
        <v>-80705.522285</v>
      </c>
    </row>
    <row r="7489">
      <c r="A7489" t="n" s="0">
        <v>-25.12</v>
      </c>
      <c r="B7489" t="n" s="0">
        <f>(-5-((((-5*(-5/((-5/(((-5*(-25.12--5))-(-5+((-5*-25.12)*(((-5--5)+(-25.12--5))+-25.12))))-(-5+-5)))*-5)))/-5)--5)+(-5*(((-25.12*(-25.12-(-5/-5)))*(-25.12-(-25.12/(-5*-25.12))))-(-5/-5)))))</f>
        <v>-80609.79744</v>
      </c>
      <c r="C7489" t="n" s="0">
        <v>-80609.79744000001</v>
      </c>
    </row>
    <row r="7490">
      <c r="A7490" t="n" s="0">
        <v>-25.11</v>
      </c>
      <c r="B7490" t="n" s="0">
        <f>(-5-((((-5*(-5/((-5/(((-5*(-25.11--5))-(-5+((-5*-25.11)*(((-5--5)+(-25.11--5))+-25.11))))-(-5+-5)))*-5)))/-5)--5)+(-5*(((-25.11*(-25.11-(-5/-5)))*(-25.11-(-25.11/(-5*-25.11))))-(-5/-5)))))</f>
        <v>-80514.148355</v>
      </c>
      <c r="C7490" t="n" s="0">
        <v>-80514.148355</v>
      </c>
    </row>
    <row r="7491">
      <c r="A7491" t="n" s="0">
        <v>-25.1</v>
      </c>
      <c r="B7491" t="n" s="0">
        <f>(-5-((((-5*(-5/((-5/(((-5*(-25.1--5))-(-5+((-5*-25.1)*(((-5--5)+(-25.1--5))+-25.1))))-(-5+-5)))*-5)))/-5)--5)+(-5*(((-25.1*(-25.1-(-5/-5)))*(-25.1-(-25.1/(-5*-25.1))))-(-5/-5)))))</f>
        <v>-80418.57500000001</v>
      </c>
      <c r="C7491" t="n" s="0">
        <v>-80418.57500000001</v>
      </c>
    </row>
    <row r="7492">
      <c r="A7492" t="n" s="0">
        <v>-25.09</v>
      </c>
      <c r="B7492" t="n" s="0">
        <f>(-5-((((-5*(-5/((-5/(((-5*(-25.09--5))-(-5+((-5*-25.09)*(((-5--5)+(-25.09--5))+-25.09))))-(-5+-5)))*-5)))/-5)--5)+(-5*(((-25.09*(-25.09-(-5/-5)))*(-25.09-(-25.09/(-5*-25.09))))-(-5/-5)))))</f>
        <v>-80323.077345</v>
      </c>
      <c r="C7492" t="n" s="0">
        <v>-80323.077345</v>
      </c>
    </row>
    <row r="7493">
      <c r="A7493" t="n" s="0">
        <v>-25.08</v>
      </c>
      <c r="B7493" t="n" s="0">
        <f>(-5-((((-5*(-5/((-5/(((-5*(-25.08--5))-(-5+((-5*-25.08)*(((-5--5)+(-25.08--5))+-25.08))))-(-5+-5)))*-5)))/-5)--5)+(-5*(((-25.08*(-25.08-(-5/-5)))*(-25.08-(-25.08/(-5*-25.08))))-(-5/-5)))))</f>
        <v>-80227.65535999999</v>
      </c>
      <c r="C7493" t="n" s="0">
        <v>-80227.65535999999</v>
      </c>
    </row>
    <row r="7494">
      <c r="A7494" t="n" s="0">
        <v>-25.07</v>
      </c>
      <c r="B7494" t="n" s="0">
        <f>(-5-((((-5*(-5/((-5/(((-5*(-25.07--5))-(-5+((-5*-25.07)*(((-5--5)+(-25.07--5))+-25.07))))-(-5+-5)))*-5)))/-5)--5)+(-5*(((-25.07*(-25.07-(-5/-5)))*(-25.07-(-25.07/(-5*-25.07))))-(-5/-5)))))</f>
        <v>-80132.309015</v>
      </c>
      <c r="C7494" t="n" s="0">
        <v>-80132.309015</v>
      </c>
    </row>
    <row r="7495">
      <c r="A7495" t="n" s="0">
        <v>-25.06</v>
      </c>
      <c r="B7495" t="n" s="0">
        <f>(-5-((((-5*(-5/((-5/(((-5*(-25.06--5))-(-5+((-5*-25.06)*(((-5--5)+(-25.06--5))+-25.06))))-(-5+-5)))*-5)))/-5)--5)+(-5*(((-25.06*(-25.06-(-5/-5)))*(-25.06-(-25.06/(-5*-25.06))))-(-5/-5)))))</f>
        <v>-80037.03828</v>
      </c>
      <c r="C7495" t="n" s="0">
        <v>-80037.03827999998</v>
      </c>
    </row>
    <row r="7496">
      <c r="A7496" t="n" s="0">
        <v>-25.05</v>
      </c>
      <c r="B7496" t="n" s="0">
        <f>(-5-((((-5*(-5/((-5/(((-5*(-25.05--5))-(-5+((-5*-25.05)*(((-5--5)+(-25.05--5))+-25.05))))-(-5+-5)))*-5)))/-5)--5)+(-5*(((-25.05*(-25.05-(-5/-5)))*(-25.05-(-25.05/(-5*-25.05))))-(-5/-5)))))</f>
        <v>-79941.84312500001</v>
      </c>
      <c r="C7496" t="n" s="0">
        <v>-79941.843125</v>
      </c>
    </row>
    <row r="7497">
      <c r="A7497" t="n" s="0">
        <v>-25.04</v>
      </c>
      <c r="B7497" t="n" s="0">
        <f>(-5-((((-5*(-5/((-5/(((-5*(-25.04--5))-(-5+((-5*-25.04)*(((-5--5)+(-25.04--5))+-25.04))))-(-5+-5)))*-5)))/-5)--5)+(-5*(((-25.04*(-25.04-(-5/-5)))*(-25.04-(-25.04/(-5*-25.04))))-(-5/-5)))))</f>
        <v>-79846.72352</v>
      </c>
      <c r="C7497" t="n" s="0">
        <v>-79846.72352</v>
      </c>
    </row>
    <row r="7498">
      <c r="A7498" t="n" s="0">
        <v>-25.03</v>
      </c>
      <c r="B7498" t="n" s="0">
        <f>(-5-((((-5*(-5/((-5/(((-5*(-25.03--5))-(-5+((-5*-25.03)*(((-5--5)+(-25.03--5))+-25.03))))-(-5+-5)))*-5)))/-5)--5)+(-5*(((-25.03*(-25.03-(-5/-5)))*(-25.03-(-25.03/(-5*-25.03))))-(-5/-5)))))</f>
        <v>-79751.679435</v>
      </c>
      <c r="C7498" t="n" s="0">
        <v>-79751.67943500001</v>
      </c>
    </row>
    <row r="7499">
      <c r="A7499" t="n" s="0">
        <v>-25.02</v>
      </c>
      <c r="B7499" t="n" s="0">
        <f>(-5-((((-5*(-5/((-5/(((-5*(-25.02--5))-(-5+((-5*-25.02)*(((-5--5)+(-25.02--5))+-25.02))))-(-5+-5)))*-5)))/-5)--5)+(-5*(((-25.02*(-25.02-(-5/-5)))*(-25.02-(-25.02/(-5*-25.02))))-(-5/-5)))))</f>
        <v>-79656.71084</v>
      </c>
      <c r="C7499" t="n" s="0">
        <v>-79656.71083999999</v>
      </c>
    </row>
    <row r="7500">
      <c r="A7500" t="n" s="0">
        <v>-25.01</v>
      </c>
      <c r="B7500" t="n" s="0">
        <f>(-5-((((-5*(-5/((-5/(((-5*(-25.01--5))-(-5+((-5*-25.01)*(((-5--5)+(-25.01--5))+-25.01))))-(-5+-5)))*-5)))/-5)--5)+(-5*(((-25.01*(-25.01-(-5/-5)))*(-25.01-(-25.01/(-5*-25.01))))-(-5/-5)))))</f>
        <v>-79561.817705</v>
      </c>
      <c r="C7500" t="n" s="0">
        <v>-79561.81770500001</v>
      </c>
    </row>
    <row r="7501">
      <c r="A7501" t="n" s="0">
        <v>-25.0</v>
      </c>
      <c r="B7501" t="n" s="0">
        <f>(-5-((((-5*(-5/((-5/(((-5*(-25--5))-(-5+((-5*-25)*(((-5--5)+(-25--5))+-25))))-(-5+-5)))*-5)))/-5)--5)+(-5*(((-25*(-25-(-5/-5)))*(-25-(-25/(-5*-25))))-(-5/-5)))))</f>
        <v>-79467.0</v>
      </c>
      <c r="C7501" t="n" s="0">
        <v>-79467.0</v>
      </c>
    </row>
    <row r="7502">
      <c r="A7502" t="n" s="0">
        <v>-24.99</v>
      </c>
      <c r="B7502" t="n" s="0">
        <f>(-5-((((-5*(-5/((-5/(((-5*(-24.99--5))-(-5+((-5*-24.99)*(((-5--5)+(-24.99--5))+-24.99))))-(-5+-5)))*-5)))/-5)--5)+(-5*(((-24.99*(-24.99-(-5/-5)))*(-24.99-(-24.99/(-5*-24.99))))-(-5/-5)))))</f>
        <v>-79372.257695</v>
      </c>
      <c r="C7502" t="n" s="0">
        <v>-79372.25769499998</v>
      </c>
    </row>
    <row r="7503">
      <c r="A7503" t="n" s="0">
        <v>-24.98</v>
      </c>
      <c r="B7503" t="n" s="0">
        <f>(-5-((((-5*(-5/((-5/(((-5*(-24.98--5))-(-5+((-5*-24.98)*(((-5--5)+(-24.98--5))+-24.98))))-(-5+-5)))*-5)))/-5)--5)+(-5*(((-24.98*(-24.98-(-5/-5)))*(-24.98-(-24.98/(-5*-24.98))))-(-5/-5)))))</f>
        <v>-79277.59076</v>
      </c>
      <c r="C7503" t="n" s="0">
        <v>-79277.59076</v>
      </c>
    </row>
    <row r="7504">
      <c r="A7504" t="n" s="0">
        <v>-24.97</v>
      </c>
      <c r="B7504" t="n" s="0">
        <f>(-5-((((-5*(-5/((-5/(((-5*(-24.97--5))-(-5+((-5*-24.97)*(((-5--5)+(-24.97--5))+-24.97))))-(-5+-5)))*-5)))/-5)--5)+(-5*(((-24.97*(-24.97-(-5/-5)))*(-24.97-(-24.97/(-5*-24.97))))-(-5/-5)))))</f>
        <v>-79182.999165</v>
      </c>
      <c r="C7504" t="n" s="0">
        <v>-79182.99916499999</v>
      </c>
    </row>
    <row r="7505">
      <c r="A7505" t="n" s="0">
        <v>-24.96</v>
      </c>
      <c r="B7505" t="n" s="0">
        <f>(-5-((((-5*(-5/((-5/(((-5*(-24.96--5))-(-5+((-5*-24.96)*(((-5--5)+(-24.96--5))+-24.96))))-(-5+-5)))*-5)))/-5)--5)+(-5*(((-24.96*(-24.96-(-5/-5)))*(-24.96-(-24.96/(-5*-24.96))))-(-5/-5)))))</f>
        <v>-79088.48288000001</v>
      </c>
      <c r="C7505" t="n" s="0">
        <v>-79088.48288000001</v>
      </c>
    </row>
    <row r="7506">
      <c r="A7506" t="n" s="0">
        <v>-24.95</v>
      </c>
      <c r="B7506" t="n" s="0">
        <f>(-5-((((-5*(-5/((-5/(((-5*(-24.95--5))-(-5+((-5*-24.95)*(((-5--5)+(-24.95--5))+-24.95))))-(-5+-5)))*-5)))/-5)--5)+(-5*(((-24.95*(-24.95-(-5/-5)))*(-24.95-(-24.95/(-5*-24.95))))-(-5/-5)))))</f>
        <v>-78994.041875</v>
      </c>
      <c r="C7506" t="n" s="0">
        <v>-78994.04187500001</v>
      </c>
    </row>
    <row r="7507">
      <c r="A7507" t="n" s="0">
        <v>-24.94</v>
      </c>
      <c r="B7507" t="n" s="0">
        <f>(-5-((((-5*(-5/((-5/(((-5*(-24.94--5))-(-5+((-5*-24.94)*(((-5--5)+(-24.94--5))+-24.94))))-(-5+-5)))*-5)))/-5)--5)+(-5*(((-24.94*(-24.94-(-5/-5)))*(-24.94-(-24.94/(-5*-24.94))))-(-5/-5)))))</f>
        <v>-78899.67612</v>
      </c>
      <c r="C7507" t="n" s="0">
        <v>-78899.67612000002</v>
      </c>
    </row>
    <row r="7508">
      <c r="A7508" t="n" s="0">
        <v>-24.93</v>
      </c>
      <c r="B7508" t="n" s="0">
        <f>(-5-((((-5*(-5/((-5/(((-5*(-24.93--5))-(-5+((-5*-24.93)*(((-5--5)+(-24.93--5))+-24.93))))-(-5+-5)))*-5)))/-5)--5)+(-5*(((-24.93*(-24.93-(-5/-5)))*(-24.93-(-24.93/(-5*-24.93))))-(-5/-5)))))</f>
        <v>-78805.385585</v>
      </c>
      <c r="C7508" t="n" s="0">
        <v>-78805.38558499998</v>
      </c>
    </row>
    <row r="7509">
      <c r="A7509" t="n" s="0">
        <v>-24.92</v>
      </c>
      <c r="B7509" t="n" s="0">
        <f>(-5-((((-5*(-5/((-5/(((-5*(-24.92--5))-(-5+((-5*-24.92)*(((-5--5)+(-24.92--5))+-24.92))))-(-5+-5)))*-5)))/-5)--5)+(-5*(((-24.92*(-24.92-(-5/-5)))*(-24.92-(-24.92/(-5*-24.92))))-(-5/-5)))))</f>
        <v>-78711.17023999999</v>
      </c>
      <c r="C7509" t="n" s="0">
        <v>-78711.17024</v>
      </c>
    </row>
    <row r="7510">
      <c r="A7510" t="n" s="0">
        <v>-24.91</v>
      </c>
      <c r="B7510" t="n" s="0">
        <f>(-5-((((-5*(-5/((-5/(((-5*(-24.91--5))-(-5+((-5*-24.91)*(((-5--5)+(-24.91--5))+-24.91))))-(-5+-5)))*-5)))/-5)--5)+(-5*(((-24.91*(-24.91-(-5/-5)))*(-24.91-(-24.91/(-5*-24.91))))-(-5/-5)))))</f>
        <v>-78617.030055</v>
      </c>
      <c r="C7510" t="n" s="0">
        <v>-78617.030055</v>
      </c>
    </row>
    <row r="7511">
      <c r="A7511" t="n" s="0">
        <v>-24.9</v>
      </c>
      <c r="B7511" t="n" s="0">
        <f>(-5-((((-5*(-5/((-5/(((-5*(-24.9--5))-(-5+((-5*-24.9)*(((-5--5)+(-24.9--5))+-24.9))))-(-5+-5)))*-5)))/-5)--5)+(-5*(((-24.9*(-24.9-(-5/-5)))*(-24.9-(-24.9/(-5*-24.9))))-(-5/-5)))))</f>
        <v>-78522.965</v>
      </c>
      <c r="C7511" t="n" s="0">
        <v>-78522.965</v>
      </c>
    </row>
    <row r="7512">
      <c r="A7512" t="n" s="0">
        <v>-24.89</v>
      </c>
      <c r="B7512" t="n" s="0">
        <f>(-5-((((-5*(-5/((-5/(((-5*(-24.89--5))-(-5+((-5*-24.89)*(((-5--5)+(-24.89--5))+-24.89))))-(-5+-5)))*-5)))/-5)--5)+(-5*(((-24.89*(-24.89-(-5/-5)))*(-24.89-(-24.89/(-5*-24.89))))-(-5/-5)))))</f>
        <v>-78428.975045</v>
      </c>
      <c r="C7512" t="n" s="0">
        <v>-78428.975045</v>
      </c>
    </row>
    <row r="7513">
      <c r="A7513" t="n" s="0">
        <v>-24.88</v>
      </c>
      <c r="B7513" t="n" s="0">
        <f>(-5-((((-5*(-5/((-5/(((-5*(-24.88--5))-(-5+((-5*-24.88)*(((-5--5)+(-24.88--5))+-24.88))))-(-5+-5)))*-5)))/-5)--5)+(-5*(((-24.88*(-24.88-(-5/-5)))*(-24.88-(-24.88/(-5*-24.88))))-(-5/-5)))))</f>
        <v>-78335.06016000001</v>
      </c>
      <c r="C7513" t="n" s="0">
        <v>-78335.06016</v>
      </c>
    </row>
    <row r="7514">
      <c r="A7514" t="n" s="0">
        <v>-24.87</v>
      </c>
      <c r="B7514" t="n" s="0">
        <f>(-5-((((-5*(-5/((-5/(((-5*(-24.87--5))-(-5+((-5*-24.87)*(((-5--5)+(-24.87--5))+-24.87))))-(-5+-5)))*-5)))/-5)--5)+(-5*(((-24.87*(-24.87-(-5/-5)))*(-24.87-(-24.87/(-5*-24.87))))-(-5/-5)))))</f>
        <v>-78241.220315</v>
      </c>
      <c r="C7514" t="n" s="0">
        <v>-78241.22031500001</v>
      </c>
    </row>
    <row r="7515">
      <c r="A7515" t="n" s="0">
        <v>-24.86</v>
      </c>
      <c r="B7515" t="n" s="0">
        <f>(-5-((((-5*(-5/((-5/(((-5*(-24.86--5))-(-5+((-5*-24.86)*(((-5--5)+(-24.86--5))+-24.86))))-(-5+-5)))*-5)))/-5)--5)+(-5*(((-24.86*(-24.86-(-5/-5)))*(-24.86-(-24.86/(-5*-24.86))))-(-5/-5)))))</f>
        <v>-78147.45548</v>
      </c>
      <c r="C7515" t="n" s="0">
        <v>-78147.45547999999</v>
      </c>
    </row>
    <row r="7516">
      <c r="A7516" t="n" s="0">
        <v>-24.85</v>
      </c>
      <c r="B7516" t="n" s="0">
        <f>(-5-((((-5*(-5/((-5/(((-5*(-24.85--5))-(-5+((-5*-24.85)*(((-5--5)+(-24.85--5))+-24.85))))-(-5+-5)))*-5)))/-5)--5)+(-5*(((-24.85*(-24.85-(-5/-5)))*(-24.85-(-24.85/(-5*-24.85))))-(-5/-5)))))</f>
        <v>-78053.765625</v>
      </c>
      <c r="C7516" t="n" s="0">
        <v>-78053.76562500001</v>
      </c>
    </row>
    <row r="7517">
      <c r="A7517" t="n" s="0">
        <v>-24.84</v>
      </c>
      <c r="B7517" t="n" s="0">
        <f>(-5-((((-5*(-5/((-5/(((-5*(-24.84--5))-(-5+((-5*-24.84)*(((-5--5)+(-24.84--5))+-24.84))))-(-5+-5)))*-5)))/-5)--5)+(-5*(((-24.84*(-24.84-(-5/-5)))*(-24.84-(-24.84/(-5*-24.84))))-(-5/-5)))))</f>
        <v>-77960.15072</v>
      </c>
      <c r="C7517" t="n" s="0">
        <v>-77960.15072</v>
      </c>
    </row>
    <row r="7518">
      <c r="A7518" t="n" s="0">
        <v>-24.83</v>
      </c>
      <c r="B7518" t="n" s="0">
        <f>(-5-((((-5*(-5/((-5/(((-5*(-24.83--5))-(-5+((-5*-24.83)*(((-5--5)+(-24.83--5))+-24.83))))-(-5+-5)))*-5)))/-5)--5)+(-5*(((-24.83*(-24.83-(-5/-5)))*(-24.83-(-24.83/(-5*-24.83))))-(-5/-5)))))</f>
        <v>-77866.610735</v>
      </c>
      <c r="C7518" t="n" s="0">
        <v>-77866.61073499998</v>
      </c>
    </row>
    <row r="7519">
      <c r="A7519" t="n" s="0">
        <v>-24.82</v>
      </c>
      <c r="B7519" t="n" s="0">
        <f>(-5-((((-5*(-5/((-5/(((-5*(-24.82--5))-(-5+((-5*-24.82)*(((-5--5)+(-24.82--5))+-24.82))))-(-5+-5)))*-5)))/-5)--5)+(-5*(((-24.82*(-24.82-(-5/-5)))*(-24.82-(-24.82/(-5*-24.82))))-(-5/-5)))))</f>
        <v>-77773.14564</v>
      </c>
      <c r="C7519" t="n" s="0">
        <v>-77773.14564000002</v>
      </c>
    </row>
    <row r="7520">
      <c r="A7520" t="n" s="0">
        <v>-24.81</v>
      </c>
      <c r="B7520" t="n" s="0">
        <f>(-5-((((-5*(-5/((-5/(((-5*(-24.81--5))-(-5+((-5*-24.81)*(((-5--5)+(-24.81--5))+-24.81))))-(-5+-5)))*-5)))/-5)--5)+(-5*(((-24.81*(-24.81-(-5/-5)))*(-24.81-(-24.81/(-5*-24.81))))-(-5/-5)))))</f>
        <v>-77679.75540499999</v>
      </c>
      <c r="C7520" t="n" s="0">
        <v>-77679.75540499997</v>
      </c>
    </row>
    <row r="7521">
      <c r="A7521" t="n" s="0">
        <v>-24.8</v>
      </c>
      <c r="B7521" t="n" s="0">
        <f>(-5-((((-5*(-5/((-5/(((-5*(-24.8--5))-(-5+((-5*-24.8)*(((-5--5)+(-24.8--5))+-24.8))))-(-5+-5)))*-5)))/-5)--5)+(-5*(((-24.8*(-24.8-(-5/-5)))*(-24.8-(-24.8/(-5*-24.8))))-(-5/-5)))))</f>
        <v>-77586.44</v>
      </c>
      <c r="C7521" t="n" s="0">
        <v>-77586.44</v>
      </c>
    </row>
    <row r="7522">
      <c r="A7522" t="n" s="0">
        <v>-24.79</v>
      </c>
      <c r="B7522" t="n" s="0">
        <f>(-5-((((-5*(-5/((-5/(((-5*(-24.79--5))-(-5+((-5*-24.79)*(((-5--5)+(-24.79--5))+-24.79))))-(-5+-5)))*-5)))/-5)--5)+(-5*(((-24.79*(-24.79-(-5/-5)))*(-24.79-(-24.79/(-5*-24.79))))-(-5/-5)))))</f>
        <v>-77493.199395</v>
      </c>
      <c r="C7522" t="n" s="0">
        <v>-77493.19939499999</v>
      </c>
    </row>
    <row r="7523">
      <c r="A7523" t="n" s="0">
        <v>-24.78</v>
      </c>
      <c r="B7523" t="n" s="0">
        <f>(-5-((((-5*(-5/((-5/(((-5*(-24.78--5))-(-5+((-5*-24.78)*(((-5--5)+(-24.78--5))+-24.78))))-(-5+-5)))*-5)))/-5)--5)+(-5*(((-24.78*(-24.78-(-5/-5)))*(-24.78-(-24.78/(-5*-24.78))))-(-5/-5)))))</f>
        <v>-77400.03356</v>
      </c>
      <c r="C7523" t="n" s="0">
        <v>-77400.03356000001</v>
      </c>
    </row>
    <row r="7524">
      <c r="A7524" t="n" s="0">
        <v>-24.77</v>
      </c>
      <c r="B7524" t="n" s="0">
        <f>(-5-((((-5*(-5/((-5/(((-5*(-24.77--5))-(-5+((-5*-24.77)*(((-5--5)+(-24.77--5))+-24.77))))-(-5+-5)))*-5)))/-5)--5)+(-5*(((-24.77*(-24.77-(-5/-5)))*(-24.77-(-24.77/(-5*-24.77))))-(-5/-5)))))</f>
        <v>-77306.942465</v>
      </c>
      <c r="C7524" t="n" s="0">
        <v>-77306.942465</v>
      </c>
    </row>
    <row r="7525">
      <c r="A7525" t="n" s="0">
        <v>-24.76</v>
      </c>
      <c r="B7525" t="n" s="0">
        <f>(-5-((((-5*(-5/((-5/(((-5*(-24.76--5))-(-5+((-5*-24.76)*(((-5--5)+(-24.76--5))+-24.76))))-(-5+-5)))*-5)))/-5)--5)+(-5*(((-24.76*(-24.76-(-5/-5)))*(-24.76-(-24.76/(-5*-24.76))))-(-5/-5)))))</f>
        <v>-77213.92607999999</v>
      </c>
      <c r="C7525" t="n" s="0">
        <v>-77213.92608000002</v>
      </c>
    </row>
    <row r="7526">
      <c r="A7526" t="n" s="0">
        <v>-24.75</v>
      </c>
      <c r="B7526" t="n" s="0">
        <f>(-5-((((-5*(-5/((-5/(((-5*(-24.75--5))-(-5+((-5*-24.75)*(((-5--5)+(-24.75--5))+-24.75))))-(-5+-5)))*-5)))/-5)--5)+(-5*(((-24.75*(-24.75-(-5/-5)))*(-24.75-(-24.75/(-5*-24.75))))-(-5/-5)))))</f>
        <v>-77120.984375</v>
      </c>
      <c r="C7526" t="n" s="0">
        <v>-77120.984375</v>
      </c>
    </row>
    <row r="7527">
      <c r="A7527" t="n" s="0">
        <v>-24.74</v>
      </c>
      <c r="B7527" t="n" s="0">
        <f>(-5-((((-5*(-5/((-5/(((-5*(-24.74--5))-(-5+((-5*-24.74)*(((-5--5)+(-24.74--5))+-24.74))))-(-5+-5)))*-5)))/-5)--5)+(-5*(((-24.74*(-24.74-(-5/-5)))*(-24.74-(-24.74/(-5*-24.74))))-(-5/-5)))))</f>
        <v>-77028.11732</v>
      </c>
      <c r="C7527" t="n" s="0">
        <v>-77028.11731999999</v>
      </c>
    </row>
    <row r="7528">
      <c r="A7528" t="n" s="0">
        <v>-24.73</v>
      </c>
      <c r="B7528" t="n" s="0">
        <f>(-5-((((-5*(-5/((-5/(((-5*(-24.73--5))-(-5+((-5*-24.73)*(((-5--5)+(-24.73--5))+-24.73))))-(-5+-5)))*-5)))/-5)--5)+(-5*(((-24.73*(-24.73-(-5/-5)))*(-24.73-(-24.73/(-5*-24.73))))-(-5/-5)))))</f>
        <v>-76935.324885</v>
      </c>
      <c r="C7528" t="n" s="0">
        <v>-76935.32488500001</v>
      </c>
    </row>
    <row r="7529">
      <c r="A7529" t="n" s="0">
        <v>-24.72</v>
      </c>
      <c r="B7529" t="n" s="0">
        <f>(-5-((((-5*(-5/((-5/(((-5*(-24.72--5))-(-5+((-5*-24.72)*(((-5--5)+(-24.72--5))+-24.72))))-(-5+-5)))*-5)))/-5)--5)+(-5*(((-24.72*(-24.72-(-5/-5)))*(-24.72-(-24.72/(-5*-24.72))))-(-5/-5)))))</f>
        <v>-76842.60703999999</v>
      </c>
      <c r="C7529" t="n" s="0">
        <v>-76842.60703999999</v>
      </c>
    </row>
    <row r="7530">
      <c r="A7530" t="n" s="0">
        <v>-24.71</v>
      </c>
      <c r="B7530" t="n" s="0">
        <f>(-5-((((-5*(-5/((-5/(((-5*(-24.71--5))-(-5+((-5*-24.71)*(((-5--5)+(-24.71--5))+-24.71))))-(-5+-5)))*-5)))/-5)--5)+(-5*(((-24.71*(-24.71-(-5/-5)))*(-24.71-(-24.71/(-5*-24.71))))-(-5/-5)))))</f>
        <v>-76749.96375499999</v>
      </c>
      <c r="C7530" t="n" s="0">
        <v>-76749.96375500002</v>
      </c>
    </row>
    <row r="7531">
      <c r="A7531" t="n" s="0">
        <v>-24.7</v>
      </c>
      <c r="B7531" t="n" s="0">
        <f>(-5-((((-5*(-5/((-5/(((-5*(-24.7--5))-(-5+((-5*-24.7)*(((-5--5)+(-24.7--5))+-24.7))))-(-5+-5)))*-5)))/-5)--5)+(-5*(((-24.7*(-24.7-(-5/-5)))*(-24.7-(-24.7/(-5*-24.7))))-(-5/-5)))))</f>
        <v>-76657.39499999999</v>
      </c>
      <c r="C7531" t="n" s="0">
        <v>-76657.39499999999</v>
      </c>
    </row>
    <row r="7532">
      <c r="A7532" t="n" s="0">
        <v>-24.69</v>
      </c>
      <c r="B7532" t="n" s="0">
        <f>(-5-((((-5*(-5/((-5/(((-5*(-24.69--5))-(-5+((-5*-24.69)*(((-5--5)+(-24.69--5))+-24.69))))-(-5+-5)))*-5)))/-5)--5)+(-5*(((-24.69*(-24.69-(-5/-5)))*(-24.69-(-24.69/(-5*-24.69))))-(-5/-5)))))</f>
        <v>-76564.900745</v>
      </c>
      <c r="C7532" t="n" s="0">
        <v>-76564.90074500004</v>
      </c>
    </row>
    <row r="7533">
      <c r="A7533" t="n" s="0">
        <v>-24.68</v>
      </c>
      <c r="B7533" t="n" s="0">
        <f>(-5-((((-5*(-5/((-5/(((-5*(-24.68--5))-(-5+((-5*-24.68)*(((-5--5)+(-24.68--5))+-24.68))))-(-5+-5)))*-5)))/-5)--5)+(-5*(((-24.68*(-24.68-(-5/-5)))*(-24.68-(-24.68/(-5*-24.68))))-(-5/-5)))))</f>
        <v>-76472.48096</v>
      </c>
      <c r="C7533" t="n" s="0">
        <v>-76472.48096</v>
      </c>
    </row>
    <row r="7534">
      <c r="A7534" t="n" s="0">
        <v>-24.67</v>
      </c>
      <c r="B7534" t="n" s="0">
        <f>(-5-((((-5*(-5/((-5/(((-5*(-24.67--5))-(-5+((-5*-24.67)*(((-5--5)+(-24.67--5))+-24.67))))-(-5+-5)))*-5)))/-5)--5)+(-5*(((-24.67*(-24.67-(-5/-5)))*(-24.67-(-24.67/(-5*-24.67))))-(-5/-5)))))</f>
        <v>-76380.13561499999</v>
      </c>
      <c r="C7534" t="n" s="0">
        <v>-76380.135615</v>
      </c>
    </row>
    <row r="7535">
      <c r="A7535" t="n" s="0">
        <v>-24.66</v>
      </c>
      <c r="B7535" t="n" s="0">
        <f>(-5-((((-5*(-5/((-5/(((-5*(-24.66--5))-(-5+((-5*-24.66)*(((-5--5)+(-24.66--5))+-24.66))))-(-5+-5)))*-5)))/-5)--5)+(-5*(((-24.66*(-24.66-(-5/-5)))*(-24.66-(-24.66/(-5*-24.66))))-(-5/-5)))))</f>
        <v>-76287.86468</v>
      </c>
      <c r="C7535" t="n" s="0">
        <v>-76287.86468</v>
      </c>
    </row>
    <row r="7536">
      <c r="A7536" t="n" s="0">
        <v>-24.65</v>
      </c>
      <c r="B7536" t="n" s="0">
        <f>(-5-((((-5*(-5/((-5/(((-5*(-24.65--5))-(-5+((-5*-24.65)*(((-5--5)+(-24.65--5))+-24.65))))-(-5+-5)))*-5)))/-5)--5)+(-5*(((-24.65*(-24.65-(-5/-5)))*(-24.65-(-24.65/(-5*-24.65))))-(-5/-5)))))</f>
        <v>-76195.668125</v>
      </c>
      <c r="C7536" t="n" s="0">
        <v>-76195.66812499998</v>
      </c>
    </row>
    <row r="7537">
      <c r="A7537" t="n" s="0">
        <v>-24.64</v>
      </c>
      <c r="B7537" t="n" s="0">
        <f>(-5-((((-5*(-5/((-5/(((-5*(-24.64--5))-(-5+((-5*-24.64)*(((-5--5)+(-24.64--5))+-24.64))))-(-5+-5)))*-5)))/-5)--5)+(-5*(((-24.64*(-24.64-(-5/-5)))*(-24.64-(-24.64/(-5*-24.64))))-(-5/-5)))))</f>
        <v>-76103.54592</v>
      </c>
      <c r="C7537" t="n" s="0">
        <v>-76103.54592</v>
      </c>
    </row>
    <row r="7538">
      <c r="A7538" t="n" s="0">
        <v>-24.63</v>
      </c>
      <c r="B7538" t="n" s="0">
        <f>(-5-((((-5*(-5/((-5/(((-5*(-24.63--5))-(-5+((-5*-24.63)*(((-5--5)+(-24.63--5))+-24.63))))-(-5+-5)))*-5)))/-5)--5)+(-5*(((-24.63*(-24.63-(-5/-5)))*(-24.63-(-24.63/(-5*-24.63))))-(-5/-5)))))</f>
        <v>-76011.498035</v>
      </c>
      <c r="C7538" t="n" s="0">
        <v>-76011.49803499998</v>
      </c>
    </row>
    <row r="7539">
      <c r="A7539" t="n" s="0">
        <v>-24.62</v>
      </c>
      <c r="B7539" t="n" s="0">
        <f>(-5-((((-5*(-5/((-5/(((-5*(-24.62--5))-(-5+((-5*-24.62)*(((-5--5)+(-24.62--5))+-24.62))))-(-5+-5)))*-5)))/-5)--5)+(-5*(((-24.62*(-24.62-(-5/-5)))*(-24.62-(-24.62/(-5*-24.62))))-(-5/-5)))))</f>
        <v>-75919.52444000001</v>
      </c>
      <c r="C7539" t="n" s="0">
        <v>-75919.52444000001</v>
      </c>
    </row>
    <row r="7540">
      <c r="A7540" t="n" s="0">
        <v>-24.61</v>
      </c>
      <c r="B7540" t="n" s="0">
        <f>(-5-((((-5*(-5/((-5/(((-5*(-24.61--5))-(-5+((-5*-24.61)*(((-5--5)+(-24.61--5))+-24.61))))-(-5+-5)))*-5)))/-5)--5)+(-5*(((-24.61*(-24.61-(-5/-5)))*(-24.61-(-24.61/(-5*-24.61))))-(-5/-5)))))</f>
        <v>-75827.625105</v>
      </c>
      <c r="C7540" t="n" s="0">
        <v>-75827.625105</v>
      </c>
    </row>
    <row r="7541">
      <c r="A7541" t="n" s="0">
        <v>-24.6</v>
      </c>
      <c r="B7541" t="n" s="0">
        <f>(-5-((((-5*(-5/((-5/(((-5*(-24.6--5))-(-5+((-5*-24.6)*(((-5--5)+(-24.6--5))+-24.6))))-(-5+-5)))*-5)))/-5)--5)+(-5*(((-24.6*(-24.6-(-5/-5)))*(-24.6-(-24.6/(-5*-24.6))))-(-5/-5)))))</f>
        <v>-75735.8</v>
      </c>
      <c r="C7541" t="n" s="0">
        <v>-75735.80000000003</v>
      </c>
    </row>
    <row r="7542">
      <c r="A7542" t="n" s="0">
        <v>-24.59</v>
      </c>
      <c r="B7542" t="n" s="0">
        <f>(-5-((((-5*(-5/((-5/(((-5*(-24.59--5))-(-5+((-5*-24.59)*(((-5--5)+(-24.59--5))+-24.59))))-(-5+-5)))*-5)))/-5)--5)+(-5*(((-24.59*(-24.59-(-5/-5)))*(-24.59-(-24.59/(-5*-24.59))))-(-5/-5)))))</f>
        <v>-75644.049095</v>
      </c>
      <c r="C7542" t="n" s="0">
        <v>-75644.04909500001</v>
      </c>
    </row>
    <row r="7543">
      <c r="A7543" t="n" s="0">
        <v>-24.58</v>
      </c>
      <c r="B7543" t="n" s="0">
        <f>(-5-((((-5*(-5/((-5/(((-5*(-24.58--5))-(-5+((-5*-24.58)*(((-5--5)+(-24.58--5))+-24.58))))-(-5+-5)))*-5)))/-5)--5)+(-5*(((-24.58*(-24.58-(-5/-5)))*(-24.58-(-24.58/(-5*-24.58))))-(-5/-5)))))</f>
        <v>-75552.37236</v>
      </c>
      <c r="C7543" t="n" s="0">
        <v>-75552.37235999998</v>
      </c>
    </row>
    <row r="7544">
      <c r="A7544" t="n" s="0">
        <v>-24.57</v>
      </c>
      <c r="B7544" t="n" s="0">
        <f>(-5-((((-5*(-5/((-5/(((-5*(-24.57--5))-(-5+((-5*-24.57)*(((-5--5)+(-24.57--5))+-24.57))))-(-5+-5)))*-5)))/-5)--5)+(-5*(((-24.57*(-24.57-(-5/-5)))*(-24.57-(-24.57/(-5*-24.57))))-(-5/-5)))))</f>
        <v>-75460.769765</v>
      </c>
      <c r="C7544" t="n" s="0">
        <v>-75460.769765</v>
      </c>
    </row>
    <row r="7545">
      <c r="A7545" t="n" s="0">
        <v>-24.56</v>
      </c>
      <c r="B7545" t="n" s="0">
        <f>(-5-((((-5*(-5/((-5/(((-5*(-24.56--5))-(-5+((-5*-24.56)*(((-5--5)+(-24.56--5))+-24.56))))-(-5+-5)))*-5)))/-5)--5)+(-5*(((-24.56*(-24.56-(-5/-5)))*(-24.56-(-24.56/(-5*-24.56))))-(-5/-5)))))</f>
        <v>-75369.24127999999</v>
      </c>
      <c r="C7545" t="n" s="0">
        <v>-75369.24127999997</v>
      </c>
    </row>
    <row r="7546">
      <c r="A7546" t="n" s="0">
        <v>-24.55</v>
      </c>
      <c r="B7546" t="n" s="0">
        <f>(-5-((((-5*(-5/((-5/(((-5*(-24.55--5))-(-5+((-5*-24.55)*(((-5--5)+(-24.55--5))+-24.55))))-(-5+-5)))*-5)))/-5)--5)+(-5*(((-24.55*(-24.55-(-5/-5)))*(-24.55-(-24.55/(-5*-24.55))))-(-5/-5)))))</f>
        <v>-75277.786875</v>
      </c>
      <c r="C7546" t="n" s="0">
        <v>-75277.78687499999</v>
      </c>
    </row>
    <row r="7547">
      <c r="A7547" t="n" s="0">
        <v>-24.54</v>
      </c>
      <c r="B7547" t="n" s="0">
        <f>(-5-((((-5*(-5/((-5/(((-5*(-24.54--5))-(-5+((-5*-24.54)*(((-5--5)+(-24.54--5))+-24.54))))-(-5+-5)))*-5)))/-5)--5)+(-5*(((-24.54*(-24.54-(-5/-5)))*(-24.54-(-24.54/(-5*-24.54))))-(-5/-5)))))</f>
        <v>-75186.40652</v>
      </c>
      <c r="C7547" t="n" s="0">
        <v>-75186.40651999999</v>
      </c>
    </row>
    <row r="7548">
      <c r="A7548" t="n" s="0">
        <v>-24.53</v>
      </c>
      <c r="B7548" t="n" s="0">
        <f>(-5-((((-5*(-5/((-5/(((-5*(-24.53--5))-(-5+((-5*-24.53)*(((-5--5)+(-24.53--5))+-24.53))))-(-5+-5)))*-5)))/-5)--5)+(-5*(((-24.53*(-24.53-(-5/-5)))*(-24.53-(-24.53/(-5*-24.53))))-(-5/-5)))))</f>
        <v>-75095.10018499999</v>
      </c>
      <c r="C7548" t="n" s="0">
        <v>-75095.100185</v>
      </c>
    </row>
    <row r="7549">
      <c r="A7549" t="n" s="0">
        <v>-24.52</v>
      </c>
      <c r="B7549" t="n" s="0">
        <f>(-5-((((-5*(-5/((-5/(((-5*(-24.52--5))-(-5+((-5*-24.52)*(((-5--5)+(-24.52--5))+-24.52))))-(-5+-5)))*-5)))/-5)--5)+(-5*(((-24.52*(-24.52-(-5/-5)))*(-24.52-(-24.52/(-5*-24.52))))-(-5/-5)))))</f>
        <v>-75003.86784</v>
      </c>
      <c r="C7549" t="n" s="0">
        <v>-75003.86783999999</v>
      </c>
    </row>
    <row r="7550">
      <c r="A7550" t="n" s="0">
        <v>-24.51</v>
      </c>
      <c r="B7550" t="n" s="0">
        <f>(-5-((((-5*(-5/((-5/(((-5*(-24.51--5))-(-5+((-5*-24.51)*(((-5--5)+(-24.51--5))+-24.51))))-(-5+-5)))*-5)))/-5)--5)+(-5*(((-24.51*(-24.51-(-5/-5)))*(-24.51-(-24.51/(-5*-24.51))))-(-5/-5)))))</f>
        <v>-74912.709455</v>
      </c>
      <c r="C7550" t="n" s="0">
        <v>-74912.70945500002</v>
      </c>
    </row>
    <row r="7551">
      <c r="A7551" t="n" s="0">
        <v>-24.5</v>
      </c>
      <c r="B7551" t="n" s="0">
        <f>(-5-((((-5*(-5/((-5/(((-5*(-24.5--5))-(-5+((-5*-24.5)*(((-5--5)+(-24.5--5))+-24.5))))-(-5+-5)))*-5)))/-5)--5)+(-5*(((-24.5*(-24.5-(-5/-5)))*(-24.5-(-24.5/(-5*-24.5))))-(-5/-5)))))</f>
        <v>-74821.625</v>
      </c>
      <c r="C7551" t="n" s="0">
        <v>-74821.625</v>
      </c>
    </row>
    <row r="7552">
      <c r="A7552" t="n" s="0">
        <v>-24.49</v>
      </c>
      <c r="B7552" t="n" s="0">
        <f>(-5-((((-5*(-5/((-5/(((-5*(-24.49--5))-(-5+((-5*-24.49)*(((-5--5)+(-24.49--5))+-24.49))))-(-5+-5)))*-5)))/-5)--5)+(-5*(((-24.49*(-24.49-(-5/-5)))*(-24.49-(-24.49/(-5*-24.49))))-(-5/-5)))))</f>
        <v>-74730.61444500001</v>
      </c>
      <c r="C7552" t="n" s="0">
        <v>-74730.61444499998</v>
      </c>
    </row>
    <row r="7553">
      <c r="A7553" t="n" s="0">
        <v>-24.48</v>
      </c>
      <c r="B7553" t="n" s="0">
        <f>(-5-((((-5*(-5/((-5/(((-5*(-24.48--5))-(-5+((-5*-24.48)*(((-5--5)+(-24.48--5))+-24.48))))-(-5+-5)))*-5)))/-5)--5)+(-5*(((-24.48*(-24.48-(-5/-5)))*(-24.48-(-24.48/(-5*-24.48))))-(-5/-5)))))</f>
        <v>-74639.67775999999</v>
      </c>
      <c r="C7553" t="n" s="0">
        <v>-74639.67776</v>
      </c>
    </row>
    <row r="7554">
      <c r="A7554" t="n" s="0">
        <v>-24.47</v>
      </c>
      <c r="B7554" t="n" s="0">
        <f>(-5-((((-5*(-5/((-5/(((-5*(-24.47--5))-(-5+((-5*-24.47)*(((-5--5)+(-24.47--5))+-24.47))))-(-5+-5)))*-5)))/-5)--5)+(-5*(((-24.47*(-24.47-(-5/-5)))*(-24.47-(-24.47/(-5*-24.47))))-(-5/-5)))))</f>
        <v>-74548.814915</v>
      </c>
      <c r="C7554" t="n" s="0">
        <v>-74548.814915</v>
      </c>
    </row>
    <row r="7555">
      <c r="A7555" t="n" s="0">
        <v>-24.46</v>
      </c>
      <c r="B7555" t="n" s="0">
        <f>(-5-((((-5*(-5/((-5/(((-5*(-24.46--5))-(-5+((-5*-24.46)*(((-5--5)+(-24.46--5))+-24.46))))-(-5+-5)))*-5)))/-5)--5)+(-5*(((-24.46*(-24.46-(-5/-5)))*(-24.46-(-24.46/(-5*-24.46))))-(-5/-5)))))</f>
        <v>-74458.02588</v>
      </c>
      <c r="C7555" t="n" s="0">
        <v>-74458.02588</v>
      </c>
    </row>
    <row r="7556">
      <c r="A7556" t="n" s="0">
        <v>-24.45</v>
      </c>
      <c r="B7556" t="n" s="0">
        <f>(-5-((((-5*(-5/((-5/(((-5*(-24.45--5))-(-5+((-5*-24.45)*(((-5--5)+(-24.45--5))+-24.45))))-(-5+-5)))*-5)))/-5)--5)+(-5*(((-24.45*(-24.45-(-5/-5)))*(-24.45-(-24.45/(-5*-24.45))))-(-5/-5)))))</f>
        <v>-74367.31062500001</v>
      </c>
      <c r="C7556" t="n" s="0">
        <v>-74367.310625</v>
      </c>
    </row>
    <row r="7557">
      <c r="A7557" t="n" s="0">
        <v>-24.44</v>
      </c>
      <c r="B7557" t="n" s="0">
        <f>(-5-((((-5*(-5/((-5/(((-5*(-24.44--5))-(-5+((-5*-24.44)*(((-5--5)+(-24.44--5))+-24.44))))-(-5+-5)))*-5)))/-5)--5)+(-5*(((-24.44*(-24.44-(-5/-5)))*(-24.44-(-24.44/(-5*-24.44))))-(-5/-5)))))</f>
        <v>-74276.66912</v>
      </c>
      <c r="C7557" t="n" s="0">
        <v>-74276.66912000002</v>
      </c>
    </row>
    <row r="7558">
      <c r="A7558" t="n" s="0">
        <v>-24.43</v>
      </c>
      <c r="B7558" t="n" s="0">
        <f>(-5-((((-5*(-5/((-5/(((-5*(-24.43--5))-(-5+((-5*-24.43)*(((-5--5)+(-24.43--5))+-24.43))))-(-5+-5)))*-5)))/-5)--5)+(-5*(((-24.43*(-24.43-(-5/-5)))*(-24.43-(-24.43/(-5*-24.43))))-(-5/-5)))))</f>
        <v>-74186.101335</v>
      </c>
      <c r="C7558" t="n" s="0">
        <v>-74186.10133499998</v>
      </c>
    </row>
    <row r="7559">
      <c r="A7559" t="n" s="0">
        <v>-24.42</v>
      </c>
      <c r="B7559" t="n" s="0">
        <f>(-5-((((-5*(-5/((-5/(((-5*(-24.42--5))-(-5+((-5*-24.42)*(((-5--5)+(-24.42--5))+-24.42))))-(-5+-5)))*-5)))/-5)--5)+(-5*(((-24.42*(-24.42-(-5/-5)))*(-24.42-(-24.42/(-5*-24.42))))-(-5/-5)))))</f>
        <v>-74095.60724000001</v>
      </c>
      <c r="C7559" t="n" s="0">
        <v>-74095.60724000001</v>
      </c>
    </row>
    <row r="7560">
      <c r="A7560" t="n" s="0">
        <v>-24.41</v>
      </c>
      <c r="B7560" t="n" s="0">
        <f>(-5-((((-5*(-5/((-5/(((-5*(-24.41--5))-(-5+((-5*-24.41)*(((-5--5)+(-24.41--5))+-24.41))))-(-5+-5)))*-5)))/-5)--5)+(-5*(((-24.41*(-24.41-(-5/-5)))*(-24.41-(-24.41/(-5*-24.41))))-(-5/-5)))))</f>
        <v>-74005.18680499999</v>
      </c>
      <c r="C7560" t="n" s="0">
        <v>-74005.186805</v>
      </c>
    </row>
    <row r="7561">
      <c r="A7561" t="n" s="0">
        <v>-24.4</v>
      </c>
      <c r="B7561" t="n" s="0">
        <f>(-5-((((-5*(-5/((-5/(((-5*(-24.4--5))-(-5+((-5*-24.4)*(((-5--5)+(-24.4--5))+-24.4))))-(-5+-5)))*-5)))/-5)--5)+(-5*(((-24.4*(-24.4-(-5/-5)))*(-24.4-(-24.4/(-5*-24.4))))-(-5/-5)))))</f>
        <v>-73914.84000000001</v>
      </c>
      <c r="C7561" t="n" s="0">
        <v>-73914.83999999998</v>
      </c>
    </row>
    <row r="7562">
      <c r="A7562" t="n" s="0">
        <v>-24.39</v>
      </c>
      <c r="B7562" t="n" s="0">
        <f>(-5-((((-5*(-5/((-5/(((-5*(-24.39--5))-(-5+((-5*-24.39)*(((-5--5)+(-24.39--5))+-24.39))))-(-5+-5)))*-5)))/-5)--5)+(-5*(((-24.39*(-24.39-(-5/-5)))*(-24.39-(-24.39/(-5*-24.39))))-(-5/-5)))))</f>
        <v>-73824.56679499999</v>
      </c>
      <c r="C7562" t="n" s="0">
        <v>-73824.566795</v>
      </c>
    </row>
    <row r="7563">
      <c r="A7563" t="n" s="0">
        <v>-24.38</v>
      </c>
      <c r="B7563" t="n" s="0">
        <f>(-5-((((-5*(-5/((-5/(((-5*(-24.38--5))-(-5+((-5*-24.38)*(((-5--5)+(-24.38--5))+-24.38))))-(-5+-5)))*-5)))/-5)--5)+(-5*(((-24.38*(-24.38-(-5/-5)))*(-24.38-(-24.38/(-5*-24.38))))-(-5/-5)))))</f>
        <v>-73734.36716</v>
      </c>
      <c r="C7563" t="n" s="0">
        <v>-73734.36716</v>
      </c>
    </row>
    <row r="7564">
      <c r="A7564" t="n" s="0">
        <v>-24.37</v>
      </c>
      <c r="B7564" t="n" s="0">
        <f>(-5-((((-5*(-5/((-5/(((-5*(-24.37--5))-(-5+((-5*-24.37)*(((-5--5)+(-24.37--5))+-24.37))))-(-5+-5)))*-5)))/-5)--5)+(-5*(((-24.37*(-24.37-(-5/-5)))*(-24.37-(-24.37/(-5*-24.37))))-(-5/-5)))))</f>
        <v>-73644.241065</v>
      </c>
      <c r="C7564" t="n" s="0">
        <v>-73644.24106500001</v>
      </c>
    </row>
    <row r="7565">
      <c r="A7565" t="n" s="0">
        <v>-24.36</v>
      </c>
      <c r="B7565" t="n" s="0">
        <f>(-5-((((-5*(-5/((-5/(((-5*(-24.36--5))-(-5+((-5*-24.36)*(((-5--5)+(-24.36--5))+-24.36))))-(-5+-5)))*-5)))/-5)--5)+(-5*(((-24.36*(-24.36-(-5/-5)))*(-24.36-(-24.36/(-5*-24.36))))-(-5/-5)))))</f>
        <v>-73554.18848</v>
      </c>
      <c r="C7565" t="n" s="0">
        <v>-73554.18848</v>
      </c>
    </row>
    <row r="7566">
      <c r="A7566" t="n" s="0">
        <v>-24.35</v>
      </c>
      <c r="B7566" t="n" s="0">
        <f>(-5-((((-5*(-5/((-5/(((-5*(-24.35--5))-(-5+((-5*-24.35)*(((-5--5)+(-24.35--5))+-24.35))))-(-5+-5)))*-5)))/-5)--5)+(-5*(((-24.35*(-24.35-(-5/-5)))*(-24.35-(-24.35/(-5*-24.35))))-(-5/-5)))))</f>
        <v>-73464.20937499999</v>
      </c>
      <c r="C7566" t="n" s="0">
        <v>-73464.20937500002</v>
      </c>
    </row>
    <row r="7567">
      <c r="A7567" t="n" s="0">
        <v>-24.34</v>
      </c>
      <c r="B7567" t="n" s="0">
        <f>(-5-((((-5*(-5/((-5/(((-5*(-24.34--5))-(-5+((-5*-24.34)*(((-5--5)+(-24.34--5))+-24.34))))-(-5+-5)))*-5)))/-5)--5)+(-5*(((-24.34*(-24.34-(-5/-5)))*(-24.34-(-24.34/(-5*-24.34))))-(-5/-5)))))</f>
        <v>-73374.30372000001</v>
      </c>
      <c r="C7567" t="n" s="0">
        <v>-73374.30372</v>
      </c>
    </row>
    <row r="7568">
      <c r="A7568" t="n" s="0">
        <v>-24.33</v>
      </c>
      <c r="B7568" t="n" s="0">
        <f>(-5-((((-5*(-5/((-5/(((-5*(-24.33--5))-(-5+((-5*-24.33)*(((-5--5)+(-24.33--5))+-24.33))))-(-5+-5)))*-5)))/-5)--5)+(-5*(((-24.33*(-24.33-(-5/-5)))*(-24.33-(-24.33/(-5*-24.33))))-(-5/-5)))))</f>
        <v>-73284.471485</v>
      </c>
      <c r="C7568" t="n" s="0">
        <v>-73284.471485</v>
      </c>
    </row>
    <row r="7569">
      <c r="A7569" t="n" s="0">
        <v>-24.32</v>
      </c>
      <c r="B7569" t="n" s="0">
        <f>(-5-((((-5*(-5/((-5/(((-5*(-24.32--5))-(-5+((-5*-24.32)*(((-5--5)+(-24.32--5))+-24.32))))-(-5+-5)))*-5)))/-5)--5)+(-5*(((-24.32*(-24.32-(-5/-5)))*(-24.32-(-24.32/(-5*-24.32))))-(-5/-5)))))</f>
        <v>-73194.71264000001</v>
      </c>
      <c r="C7569" t="n" s="0">
        <v>-73194.71264000001</v>
      </c>
    </row>
    <row r="7570">
      <c r="A7570" t="n" s="0">
        <v>-24.31</v>
      </c>
      <c r="B7570" t="n" s="0">
        <f>(-5-((((-5*(-5/((-5/(((-5*(-24.31--5))-(-5+((-5*-24.31)*(((-5--5)+(-24.31--5))+-24.31))))-(-5+-5)))*-5)))/-5)--5)+(-5*(((-24.31*(-24.31-(-5/-5)))*(-24.31-(-24.31/(-5*-24.31))))-(-5/-5)))))</f>
        <v>-73105.027155</v>
      </c>
      <c r="C7570" t="n" s="0">
        <v>-73105.02715499999</v>
      </c>
    </row>
    <row r="7571">
      <c r="A7571" t="n" s="0">
        <v>-24.3</v>
      </c>
      <c r="B7571" t="n" s="0">
        <f>(-5-((((-5*(-5/((-5/(((-5*(-24.3--5))-(-5+((-5*-24.3)*(((-5--5)+(-24.3--5))+-24.3))))-(-5+-5)))*-5)))/-5)--5)+(-5*(((-24.3*(-24.3-(-5/-5)))*(-24.3-(-24.3/(-5*-24.3))))-(-5/-5)))))</f>
        <v>-73015.41500000001</v>
      </c>
      <c r="C7571" t="n" s="0">
        <v>-73015.415</v>
      </c>
    </row>
    <row r="7572">
      <c r="A7572" t="n" s="0">
        <v>-24.29</v>
      </c>
      <c r="B7572" t="n" s="0">
        <f>(-5-((((-5*(-5/((-5/(((-5*(-24.29--5))-(-5+((-5*-24.29)*(((-5--5)+(-24.29--5))+-24.29))))-(-5+-5)))*-5)))/-5)--5)+(-5*(((-24.29*(-24.29-(-5/-5)))*(-24.29-(-24.29/(-5*-24.29))))-(-5/-5)))))</f>
        <v>-72925.876145</v>
      </c>
      <c r="C7572" t="n" s="0">
        <v>-72925.87614499999</v>
      </c>
    </row>
    <row r="7573">
      <c r="A7573" t="n" s="0">
        <v>-24.28</v>
      </c>
      <c r="B7573" t="n" s="0">
        <f>(-5-((((-5*(-5/((-5/(((-5*(-24.28--5))-(-5+((-5*-24.28)*(((-5--5)+(-24.28--5))+-24.28))))-(-5+-5)))*-5)))/-5)--5)+(-5*(((-24.28*(-24.28-(-5/-5)))*(-24.28-(-24.28/(-5*-24.28))))-(-5/-5)))))</f>
        <v>-72836.41055999999</v>
      </c>
      <c r="C7573" t="n" s="0">
        <v>-72836.41056</v>
      </c>
    </row>
    <row r="7574">
      <c r="A7574" t="n" s="0">
        <v>-24.27</v>
      </c>
      <c r="B7574" t="n" s="0">
        <f>(-5-((((-5*(-5/((-5/(((-5*(-24.27--5))-(-5+((-5*-24.27)*(((-5--5)+(-24.27--5))+-24.27))))-(-5+-5)))*-5)))/-5)--5)+(-5*(((-24.27*(-24.27-(-5/-5)))*(-24.27-(-24.27/(-5*-24.27))))-(-5/-5)))))</f>
        <v>-72747.018215</v>
      </c>
      <c r="C7574" t="n" s="0">
        <v>-72747.01821499999</v>
      </c>
    </row>
    <row r="7575">
      <c r="A7575" t="n" s="0">
        <v>-24.26</v>
      </c>
      <c r="B7575" t="n" s="0">
        <f>(-5-((((-5*(-5/((-5/(((-5*(-24.26--5))-(-5+((-5*-24.26)*(((-5--5)+(-24.26--5))+-24.26))))-(-5+-5)))*-5)))/-5)--5)+(-5*(((-24.26*(-24.26-(-5/-5)))*(-24.26-(-24.26/(-5*-24.26))))-(-5/-5)))))</f>
        <v>-72657.69907999999</v>
      </c>
      <c r="C7575" t="n" s="0">
        <v>-72657.69908</v>
      </c>
    </row>
    <row r="7576">
      <c r="A7576" t="n" s="0">
        <v>-24.25</v>
      </c>
      <c r="B7576" t="n" s="0">
        <f>(-5-((((-5*(-5/((-5/(((-5*(-24.25--5))-(-5+((-5*-24.25)*(((-5--5)+(-24.25--5))+-24.25))))-(-5+-5)))*-5)))/-5)--5)+(-5*(((-24.25*(-24.25-(-5/-5)))*(-24.25-(-24.25/(-5*-24.25))))-(-5/-5)))))</f>
        <v>-72568.453125</v>
      </c>
      <c r="C7576" t="n" s="0">
        <v>-72568.453125</v>
      </c>
    </row>
    <row r="7577">
      <c r="A7577" t="n" s="0">
        <v>-24.24</v>
      </c>
      <c r="B7577" t="n" s="0">
        <f>(-5-((((-5*(-5/((-5/(((-5*(-24.24--5))-(-5+((-5*-24.24)*(((-5--5)+(-24.24--5))+-24.24))))-(-5+-5)))*-5)))/-5)--5)+(-5*(((-24.24*(-24.24-(-5/-5)))*(-24.24-(-24.24/(-5*-24.24))))-(-5/-5)))))</f>
        <v>-72479.28032</v>
      </c>
      <c r="C7577" t="n" s="0">
        <v>-72479.28031999998</v>
      </c>
    </row>
    <row r="7578">
      <c r="A7578" t="n" s="0">
        <v>-24.23</v>
      </c>
      <c r="B7578" t="n" s="0">
        <f>(-5-((((-5*(-5/((-5/(((-5*(-24.23--5))-(-5+((-5*-24.23)*(((-5--5)+(-24.23--5))+-24.23))))-(-5+-5)))*-5)))/-5)--5)+(-5*(((-24.23*(-24.23-(-5/-5)))*(-24.23-(-24.23/(-5*-24.23))))-(-5/-5)))))</f>
        <v>-72390.18063500001</v>
      </c>
      <c r="C7578" t="n" s="0">
        <v>-72390.18063500001</v>
      </c>
    </row>
    <row r="7579">
      <c r="A7579" t="n" s="0">
        <v>-24.22</v>
      </c>
      <c r="B7579" t="n" s="0">
        <f>(-5-((((-5*(-5/((-5/(((-5*(-24.22--5))-(-5+((-5*-24.22)*(((-5--5)+(-24.22--5))+-24.22))))-(-5+-5)))*-5)))/-5)--5)+(-5*(((-24.22*(-24.22-(-5/-5)))*(-24.22-(-24.22/(-5*-24.22))))-(-5/-5)))))</f>
        <v>-72301.15404</v>
      </c>
      <c r="C7579" t="n" s="0">
        <v>-72301.15404</v>
      </c>
    </row>
    <row r="7580">
      <c r="A7580" t="n" s="0">
        <v>-24.21</v>
      </c>
      <c r="B7580" t="n" s="0">
        <f>(-5-((((-5*(-5/((-5/(((-5*(-24.21--5))-(-5+((-5*-24.21)*(((-5--5)+(-24.21--5))+-24.21))))-(-5+-5)))*-5)))/-5)--5)+(-5*(((-24.21*(-24.21-(-5/-5)))*(-24.21-(-24.21/(-5*-24.21))))-(-5/-5)))))</f>
        <v>-72212.200505</v>
      </c>
      <c r="C7580" t="n" s="0">
        <v>-72212.20050500002</v>
      </c>
    </row>
    <row r="7581">
      <c r="A7581" t="n" s="0">
        <v>-24.2</v>
      </c>
      <c r="B7581" t="n" s="0">
        <f>(-5-((((-5*(-5/((-5/(((-5*(-24.2--5))-(-5+((-5*-24.2)*(((-5--5)+(-24.2--5))+-24.2))))-(-5+-5)))*-5)))/-5)--5)+(-5*(((-24.2*(-24.2-(-5/-5)))*(-24.2-(-24.2/(-5*-24.2))))-(-5/-5)))))</f>
        <v>-72123.32</v>
      </c>
      <c r="C7581" t="n" s="0">
        <v>-72123.32</v>
      </c>
    </row>
    <row r="7582">
      <c r="A7582" t="n" s="0">
        <v>-24.19</v>
      </c>
      <c r="B7582" t="n" s="0">
        <f>(-5-((((-5*(-5/((-5/(((-5*(-24.19--5))-(-5+((-5*-24.19)*(((-5--5)+(-24.19--5))+-24.19))))-(-5+-5)))*-5)))/-5)--5)+(-5*(((-24.19*(-24.19-(-5/-5)))*(-24.19-(-24.19/(-5*-24.19))))-(-5/-5)))))</f>
        <v>-72034.51249499999</v>
      </c>
      <c r="C7582" t="n" s="0">
        <v>-72034.51249500002</v>
      </c>
    </row>
    <row r="7583">
      <c r="A7583" t="n" s="0">
        <v>-24.18</v>
      </c>
      <c r="B7583" t="n" s="0">
        <f>(-5-((((-5*(-5/((-5/(((-5*(-24.18--5))-(-5+((-5*-24.18)*(((-5--5)+(-24.18--5))+-24.18))))-(-5+-5)))*-5)))/-5)--5)+(-5*(((-24.18*(-24.18-(-5/-5)))*(-24.18-(-24.18/(-5*-24.18))))-(-5/-5)))))</f>
        <v>-71945.77795999999</v>
      </c>
      <c r="C7583" t="n" s="0">
        <v>-71945.77796</v>
      </c>
    </row>
    <row r="7584">
      <c r="A7584" t="n" s="0">
        <v>-24.17</v>
      </c>
      <c r="B7584" t="n" s="0">
        <f>(-5-((((-5*(-5/((-5/(((-5*(-24.17--5))-(-5+((-5*-24.17)*(((-5--5)+(-24.17--5))+-24.17))))-(-5+-5)))*-5)))/-5)--5)+(-5*(((-24.17*(-24.17-(-5/-5)))*(-24.17-(-24.17/(-5*-24.17))))-(-5/-5)))))</f>
        <v>-71857.11636500001</v>
      </c>
      <c r="C7584" t="n" s="0">
        <v>-71857.11636500001</v>
      </c>
    </row>
    <row r="7585">
      <c r="A7585" t="n" s="0">
        <v>-24.16</v>
      </c>
      <c r="B7585" t="n" s="0">
        <f>(-5-((((-5*(-5/((-5/(((-5*(-24.16--5))-(-5+((-5*-24.16)*(((-5--5)+(-24.16--5))+-24.16))))-(-5+-5)))*-5)))/-5)--5)+(-5*(((-24.16*(-24.16-(-5/-5)))*(-24.16-(-24.16/(-5*-24.16))))-(-5/-5)))))</f>
        <v>-71768.52768</v>
      </c>
      <c r="C7585" t="n" s="0">
        <v>-71768.52768</v>
      </c>
    </row>
    <row r="7586">
      <c r="A7586" t="n" s="0">
        <v>-24.15</v>
      </c>
      <c r="B7586" t="n" s="0">
        <f>(-5-((((-5*(-5/((-5/(((-5*(-24.15--5))-(-5+((-5*-24.15)*(((-5--5)+(-24.15--5))+-24.15))))-(-5+-5)))*-5)))/-5)--5)+(-5*(((-24.15*(-24.15-(-5/-5)))*(-24.15-(-24.15/(-5*-24.15))))-(-5/-5)))))</f>
        <v>-71680.011875</v>
      </c>
      <c r="C7586" t="n" s="0">
        <v>-71680.011875</v>
      </c>
    </row>
    <row r="7587">
      <c r="A7587" t="n" s="0">
        <v>-24.14</v>
      </c>
      <c r="B7587" t="n" s="0">
        <f>(-5-((((-5*(-5/((-5/(((-5*(-24.14--5))-(-5+((-5*-24.14)*(((-5--5)+(-24.14--5))+-24.14))))-(-5+-5)))*-5)))/-5)--5)+(-5*(((-24.14*(-24.14-(-5/-5)))*(-24.14-(-24.14/(-5*-24.14))))-(-5/-5)))))</f>
        <v>-71591.56891999999</v>
      </c>
      <c r="C7587" t="n" s="0">
        <v>-71591.56892</v>
      </c>
    </row>
    <row r="7588">
      <c r="A7588" t="n" s="0">
        <v>-24.13</v>
      </c>
      <c r="B7588" t="n" s="0">
        <f>(-5-((((-5*(-5/((-5/(((-5*(-24.13--5))-(-5+((-5*-24.13)*(((-5--5)+(-24.13--5))+-24.13))))-(-5+-5)))*-5)))/-5)--5)+(-5*(((-24.13*(-24.13-(-5/-5)))*(-24.13-(-24.13/(-5*-24.13))))-(-5/-5)))))</f>
        <v>-71503.198785</v>
      </c>
      <c r="C7588" t="n" s="0">
        <v>-71503.19878499999</v>
      </c>
    </row>
    <row r="7589">
      <c r="A7589" t="n" s="0">
        <v>-24.12</v>
      </c>
      <c r="B7589" t="n" s="0">
        <f>(-5-((((-5*(-5/((-5/(((-5*(-24.12--5))-(-5+((-5*-24.12)*(((-5--5)+(-24.12--5))+-24.12))))-(-5+-5)))*-5)))/-5)--5)+(-5*(((-24.12*(-24.12-(-5/-5)))*(-24.12-(-24.12/(-5*-24.12))))-(-5/-5)))))</f>
        <v>-71414.90144</v>
      </c>
      <c r="C7589" t="n" s="0">
        <v>-71414.90144000002</v>
      </c>
    </row>
    <row r="7590">
      <c r="A7590" t="n" s="0">
        <v>-24.11</v>
      </c>
      <c r="B7590" t="n" s="0">
        <f>(-5-((((-5*(-5/((-5/(((-5*(-24.11--5))-(-5+((-5*-24.11)*(((-5--5)+(-24.11--5))+-24.11))))-(-5+-5)))*-5)))/-5)--5)+(-5*(((-24.11*(-24.11-(-5/-5)))*(-24.11-(-24.11/(-5*-24.11))))-(-5/-5)))))</f>
        <v>-71326.676855</v>
      </c>
      <c r="C7590" t="n" s="0">
        <v>-71326.676855</v>
      </c>
    </row>
    <row r="7591">
      <c r="A7591" t="n" s="0">
        <v>-24.1</v>
      </c>
      <c r="B7591" t="n" s="0">
        <f>(-5-((((-5*(-5/((-5/(((-5*(-24.1--5))-(-5+((-5*-24.1)*(((-5--5)+(-24.1--5))+-24.1))))-(-5+-5)))*-5)))/-5)--5)+(-5*(((-24.1*(-24.1-(-5/-5)))*(-24.1-(-24.1/(-5*-24.1))))-(-5/-5)))))</f>
        <v>-71238.525</v>
      </c>
      <c r="C7591" t="n" s="0">
        <v>-71238.52500000001</v>
      </c>
    </row>
    <row r="7592">
      <c r="A7592" t="n" s="0">
        <v>-24.09</v>
      </c>
      <c r="B7592" t="n" s="0">
        <f>(-5-((((-5*(-5/((-5/(((-5*(-24.09--5))-(-5+((-5*-24.09)*(((-5--5)+(-24.09--5))+-24.09))))-(-5+-5)))*-5)))/-5)--5)+(-5*(((-24.09*(-24.09-(-5/-5)))*(-24.09-(-24.09/(-5*-24.09))))-(-5/-5)))))</f>
        <v>-71150.44584500001</v>
      </c>
      <c r="C7592" t="n" s="0">
        <v>-71150.445845</v>
      </c>
    </row>
    <row r="7593">
      <c r="A7593" t="n" s="0">
        <v>-24.08</v>
      </c>
      <c r="B7593" t="n" s="0">
        <f>(-5-((((-5*(-5/((-5/(((-5*(-24.08--5))-(-5+((-5*-24.08)*(((-5--5)+(-24.08--5))+-24.08))))-(-5+-5)))*-5)))/-5)--5)+(-5*(((-24.08*(-24.08-(-5/-5)))*(-24.08-(-24.08/(-5*-24.08))))-(-5/-5)))))</f>
        <v>-71062.43936</v>
      </c>
      <c r="C7593" t="n" s="0">
        <v>-71062.43935999999</v>
      </c>
    </row>
    <row r="7594">
      <c r="A7594" t="n" s="0">
        <v>-24.07</v>
      </c>
      <c r="B7594" t="n" s="0">
        <f>(-5-((((-5*(-5/((-5/(((-5*(-24.07--5))-(-5+((-5*-24.07)*(((-5--5)+(-24.07--5))+-24.07))))-(-5+-5)))*-5)))/-5)--5)+(-5*(((-24.07*(-24.07-(-5/-5)))*(-24.07-(-24.07/(-5*-24.07))))-(-5/-5)))))</f>
        <v>-70974.505515</v>
      </c>
      <c r="C7594" t="n" s="0">
        <v>-70974.50551500001</v>
      </c>
    </row>
    <row r="7595">
      <c r="A7595" t="n" s="0">
        <v>-24.06</v>
      </c>
      <c r="B7595" t="n" s="0">
        <f>(-5-((((-5*(-5/((-5/(((-5*(-24.06--5))-(-5+((-5*-24.06)*(((-5--5)+(-24.06--5))+-24.06))))-(-5+-5)))*-5)))/-5)--5)+(-5*(((-24.06*(-24.06-(-5/-5)))*(-24.06-(-24.06/(-5*-24.06))))-(-5/-5)))))</f>
        <v>-70886.64428000001</v>
      </c>
      <c r="C7595" t="n" s="0">
        <v>-70886.64427999998</v>
      </c>
    </row>
    <row r="7596">
      <c r="A7596" t="n" s="0">
        <v>-24.05</v>
      </c>
      <c r="B7596" t="n" s="0">
        <f>(-5-((((-5*(-5/((-5/(((-5*(-24.05--5))-(-5+((-5*-24.05)*(((-5--5)+(-24.05--5))+-24.05))))-(-5+-5)))*-5)))/-5)--5)+(-5*(((-24.05*(-24.05-(-5/-5)))*(-24.05-(-24.05/(-5*-24.05))))-(-5/-5)))))</f>
        <v>-70798.85562500001</v>
      </c>
      <c r="C7596" t="n" s="0">
        <v>-70798.855625</v>
      </c>
    </row>
    <row r="7597">
      <c r="A7597" t="n" s="0">
        <v>-24.04</v>
      </c>
      <c r="B7597" t="n" s="0">
        <f>(-5-((((-5*(-5/((-5/(((-5*(-24.04--5))-(-5+((-5*-24.04)*(((-5--5)+(-24.04--5))+-24.04))))-(-5+-5)))*-5)))/-5)--5)+(-5*(((-24.04*(-24.04-(-5/-5)))*(-24.04-(-24.04/(-5*-24.04))))-(-5/-5)))))</f>
        <v>-70711.13952</v>
      </c>
      <c r="C7597" t="n" s="0">
        <v>-70711.13952</v>
      </c>
    </row>
    <row r="7598">
      <c r="A7598" t="n" s="0">
        <v>-24.03</v>
      </c>
      <c r="B7598" t="n" s="0">
        <f>(-5-((((-5*(-5/((-5/(((-5*(-24.03--5))-(-5+((-5*-24.03)*(((-5--5)+(-24.03--5))+-24.03))))-(-5+-5)))*-5)))/-5)--5)+(-5*(((-24.03*(-24.03-(-5/-5)))*(-24.03-(-24.03/(-5*-24.03))))-(-5/-5)))))</f>
        <v>-70623.49593500001</v>
      </c>
      <c r="C7598" t="n" s="0">
        <v>-70623.49593500001</v>
      </c>
    </row>
    <row r="7599">
      <c r="A7599" t="n" s="0">
        <v>-24.02</v>
      </c>
      <c r="B7599" t="n" s="0">
        <f>(-5-((((-5*(-5/((-5/(((-5*(-24.02--5))-(-5+((-5*-24.02)*(((-5--5)+(-24.02--5))+-24.02))))-(-5+-5)))*-5)))/-5)--5)+(-5*(((-24.02*(-24.02-(-5/-5)))*(-24.02-(-24.02/(-5*-24.02))))-(-5/-5)))))</f>
        <v>-70535.92483999999</v>
      </c>
      <c r="C7599" t="n" s="0">
        <v>-70535.92483999999</v>
      </c>
    </row>
    <row r="7600">
      <c r="A7600" t="n" s="0">
        <v>-24.01</v>
      </c>
      <c r="B7600" t="n" s="0">
        <f>(-5-((((-5*(-5/((-5/(((-5*(-24.01--5))-(-5+((-5*-24.01)*(((-5--5)+(-24.01--5))+-24.01))))-(-5+-5)))*-5)))/-5)--5)+(-5*(((-24.01*(-24.01-(-5/-5)))*(-24.01-(-24.01/(-5*-24.01))))-(-5/-5)))))</f>
        <v>-70448.42620500001</v>
      </c>
      <c r="C7600" t="n" s="0">
        <v>-70448.42620500001</v>
      </c>
    </row>
    <row r="7601">
      <c r="A7601" t="n" s="0">
        <v>-24.0</v>
      </c>
      <c r="B7601" t="n" s="0">
        <f>(-5-((((-5*(-5/((-5/(((-5*(-24--5))-(-5+((-5*-24)*(((-5--5)+(-24--5))+-24))))-(-5+-5)))*-5)))/-5)--5)+(-5*(((-24*(-24-(-5/-5)))*(-24-(-24/(-5*-24))))-(-5/-5)))))</f>
        <v>-70361.0</v>
      </c>
      <c r="C7601" t="n" s="0">
        <v>-70361.0</v>
      </c>
    </row>
    <row r="7602">
      <c r="A7602" t="n" s="0">
        <v>-23.99</v>
      </c>
      <c r="B7602" t="n" s="0">
        <f>(-5-((((-5*(-5/((-5/(((-5*(-23.99--5))-(-5+((-5*-23.99)*(((-5--5)+(-23.99--5))+-23.99))))-(-5+-5)))*-5)))/-5)--5)+(-5*(((-23.99*(-23.99-(-5/-5)))*(-23.99-(-23.99/(-5*-23.99))))-(-5/-5)))))</f>
        <v>-70273.64619500001</v>
      </c>
      <c r="C7602" t="n" s="0">
        <v>-70273.646195</v>
      </c>
    </row>
    <row r="7603">
      <c r="A7603" t="n" s="0">
        <v>-23.98</v>
      </c>
      <c r="B7603" t="n" s="0">
        <f>(-5-((((-5*(-5/((-5/(((-5*(-23.98--5))-(-5+((-5*-23.98)*(((-5--5)+(-23.98--5))+-23.98))))-(-5+-5)))*-5)))/-5)--5)+(-5*(((-23.98*(-23.98-(-5/-5)))*(-23.98-(-23.98/(-5*-23.98))))-(-5/-5)))))</f>
        <v>-70186.36476</v>
      </c>
      <c r="C7603" t="n" s="0">
        <v>-70186.36476000001</v>
      </c>
    </row>
    <row r="7604">
      <c r="A7604" t="n" s="0">
        <v>-23.97</v>
      </c>
      <c r="B7604" t="n" s="0">
        <f>(-5-((((-5*(-5/((-5/(((-5*(-23.97--5))-(-5+((-5*-23.97)*(((-5--5)+(-23.97--5))+-23.97))))-(-5+-5)))*-5)))/-5)--5)+(-5*(((-23.97*(-23.97-(-5/-5)))*(-23.97-(-23.97/(-5*-23.97))))-(-5/-5)))))</f>
        <v>-70099.155665</v>
      </c>
      <c r="C7604" t="n" s="0">
        <v>-70099.15566499998</v>
      </c>
    </row>
    <row r="7605">
      <c r="A7605" t="n" s="0">
        <v>-23.96</v>
      </c>
      <c r="B7605" t="n" s="0">
        <f>(-5-((((-5*(-5/((-5/(((-5*(-23.96--5))-(-5+((-5*-23.96)*(((-5--5)+(-23.96--5))+-23.96))))-(-5+-5)))*-5)))/-5)--5)+(-5*(((-23.96*(-23.96-(-5/-5)))*(-23.96-(-23.96/(-5*-23.96))))-(-5/-5)))))</f>
        <v>-70012.01888</v>
      </c>
      <c r="C7605" t="n" s="0">
        <v>-70012.01888</v>
      </c>
    </row>
    <row r="7606">
      <c r="A7606" t="n" s="0">
        <v>-23.95</v>
      </c>
      <c r="B7606" t="n" s="0">
        <f>(-5-((((-5*(-5/((-5/(((-5*(-23.95--5))-(-5+((-5*-23.95)*(((-5--5)+(-23.95--5))+-23.95))))-(-5+-5)))*-5)))/-5)--5)+(-5*(((-23.95*(-23.95-(-5/-5)))*(-23.95-(-23.95/(-5*-23.95))))-(-5/-5)))))</f>
        <v>-69924.954375</v>
      </c>
      <c r="C7606" t="n" s="0">
        <v>-69924.954375</v>
      </c>
    </row>
    <row r="7607">
      <c r="A7607" t="n" s="0">
        <v>-23.94</v>
      </c>
      <c r="B7607" t="n" s="0">
        <f>(-5-((((-5*(-5/((-5/(((-5*(-23.94--5))-(-5+((-5*-23.94)*(((-5--5)+(-23.94--5))+-23.94))))-(-5+-5)))*-5)))/-5)--5)+(-5*(((-23.94*(-23.94-(-5/-5)))*(-23.94-(-23.94/(-5*-23.94))))-(-5/-5)))))</f>
        <v>-69837.96212</v>
      </c>
      <c r="C7607" t="n" s="0">
        <v>-69837.96212000001</v>
      </c>
    </row>
    <row r="7608">
      <c r="A7608" t="n" s="0">
        <v>-23.93</v>
      </c>
      <c r="B7608" t="n" s="0">
        <f>(-5-((((-5*(-5/((-5/(((-5*(-23.93--5))-(-5+((-5*-23.93)*(((-5--5)+(-23.93--5))+-23.93))))-(-5+-5)))*-5)))/-5)--5)+(-5*(((-23.93*(-23.93-(-5/-5)))*(-23.93-(-23.93/(-5*-23.93))))-(-5/-5)))))</f>
        <v>-69751.04208500001</v>
      </c>
      <c r="C7608" t="n" s="0">
        <v>-69751.042085</v>
      </c>
    </row>
    <row r="7609">
      <c r="A7609" t="n" s="0">
        <v>-23.92</v>
      </c>
      <c r="B7609" t="n" s="0">
        <f>(-5-((((-5*(-5/((-5/(((-5*(-23.92--5))-(-5+((-5*-23.92)*(((-5--5)+(-23.92--5))+-23.92))))-(-5+-5)))*-5)))/-5)--5)+(-5*(((-23.92*(-23.92-(-5/-5)))*(-23.92-(-23.92/(-5*-23.92))))-(-5/-5)))))</f>
        <v>-69664.19424</v>
      </c>
      <c r="C7609" t="n" s="0">
        <v>-69664.19424000001</v>
      </c>
    </row>
    <row r="7610">
      <c r="A7610" t="n" s="0">
        <v>-23.91</v>
      </c>
      <c r="B7610" t="n" s="0">
        <f>(-5-((((-5*(-5/((-5/(((-5*(-23.91--5))-(-5+((-5*-23.91)*(((-5--5)+(-23.91--5))+-23.91))))-(-5+-5)))*-5)))/-5)--5)+(-5*(((-23.91*(-23.91-(-5/-5)))*(-23.91-(-23.91/(-5*-23.91))))-(-5/-5)))))</f>
        <v>-69577.418555</v>
      </c>
      <c r="C7610" t="n" s="0">
        <v>-69577.418555</v>
      </c>
    </row>
    <row r="7611">
      <c r="A7611" t="n" s="0">
        <v>-23.9</v>
      </c>
      <c r="B7611" t="n" s="0">
        <f>(-5-((((-5*(-5/((-5/(((-5*(-23.9--5))-(-5+((-5*-23.9)*(((-5--5)+(-23.9--5))+-23.9))))-(-5+-5)))*-5)))/-5)--5)+(-5*(((-23.9*(-23.9-(-5/-5)))*(-23.9-(-23.9/(-5*-23.9))))-(-5/-5)))))</f>
        <v>-69490.715</v>
      </c>
      <c r="C7611" t="n" s="0">
        <v>-69490.71499999998</v>
      </c>
    </row>
    <row r="7612">
      <c r="A7612" t="n" s="0">
        <v>-23.89</v>
      </c>
      <c r="B7612" t="n" s="0">
        <f>(-5-((((-5*(-5/((-5/(((-5*(-23.89--5))-(-5+((-5*-23.89)*(((-5--5)+(-23.89--5))+-23.89))))-(-5+-5)))*-5)))/-5)--5)+(-5*(((-23.89*(-23.89-(-5/-5)))*(-23.89-(-23.89/(-5*-23.89))))-(-5/-5)))))</f>
        <v>-69404.083545</v>
      </c>
      <c r="C7612" t="n" s="0">
        <v>-69404.083545</v>
      </c>
    </row>
    <row r="7613">
      <c r="A7613" t="n" s="0">
        <v>-23.88</v>
      </c>
      <c r="B7613" t="n" s="0">
        <f>(-5-((((-5*(-5/((-5/(((-5*(-23.88--5))-(-5+((-5*-23.88)*(((-5--5)+(-23.88--5))+-23.88))))-(-5+-5)))*-5)))/-5)--5)+(-5*(((-23.88*(-23.88-(-5/-5)))*(-23.88-(-23.88/(-5*-23.88))))-(-5/-5)))))</f>
        <v>-69317.52415999999</v>
      </c>
      <c r="C7613" t="n" s="0">
        <v>-69317.52415999999</v>
      </c>
    </row>
    <row r="7614">
      <c r="A7614" t="n" s="0">
        <v>-23.87</v>
      </c>
      <c r="B7614" t="n" s="0">
        <f>(-5-((((-5*(-5/((-5/(((-5*(-23.87--5))-(-5+((-5*-23.87)*(((-5--5)+(-23.87--5))+-23.87))))-(-5+-5)))*-5)))/-5)--5)+(-5*(((-23.87*(-23.87-(-5/-5)))*(-23.87-(-23.87/(-5*-23.87))))-(-5/-5)))))</f>
        <v>-69231.036815</v>
      </c>
      <c r="C7614" t="n" s="0">
        <v>-69231.036815</v>
      </c>
    </row>
    <row r="7615">
      <c r="A7615" t="n" s="0">
        <v>-23.86</v>
      </c>
      <c r="B7615" t="n" s="0">
        <f>(-5-((((-5*(-5/((-5/(((-5*(-23.86--5))-(-5+((-5*-23.86)*(((-5--5)+(-23.86--5))+-23.86))))-(-5+-5)))*-5)))/-5)--5)+(-5*(((-23.86*(-23.86-(-5/-5)))*(-23.86-(-23.86/(-5*-23.86))))-(-5/-5)))))</f>
        <v>-69144.62148</v>
      </c>
      <c r="C7615" t="n" s="0">
        <v>-69144.62147999999</v>
      </c>
    </row>
    <row r="7616">
      <c r="A7616" t="n" s="0">
        <v>-23.85</v>
      </c>
      <c r="B7616" t="n" s="0">
        <f>(-5-((((-5*(-5/((-5/(((-5*(-23.85--5))-(-5+((-5*-23.85)*(((-5--5)+(-23.85--5))+-23.85))))-(-5+-5)))*-5)))/-5)--5)+(-5*(((-23.85*(-23.85-(-5/-5)))*(-23.85-(-23.85/(-5*-23.85))))-(-5/-5)))))</f>
        <v>-69058.27812500001</v>
      </c>
      <c r="C7616" t="n" s="0">
        <v>-69058.27812500001</v>
      </c>
    </row>
    <row r="7617">
      <c r="A7617" t="n" s="0">
        <v>-23.84</v>
      </c>
      <c r="B7617" t="n" s="0">
        <f>(-5-((((-5*(-5/((-5/(((-5*(-23.84--5))-(-5+((-5*-23.84)*(((-5--5)+(-23.84--5))+-23.84))))-(-5+-5)))*-5)))/-5)--5)+(-5*(((-23.84*(-23.84-(-5/-5)))*(-23.84-(-23.84/(-5*-23.84))))-(-5/-5)))))</f>
        <v>-68972.00672</v>
      </c>
      <c r="C7617" t="n" s="0">
        <v>-68972.00672</v>
      </c>
    </row>
    <row r="7618">
      <c r="A7618" t="n" s="0">
        <v>-23.83</v>
      </c>
      <c r="B7618" t="n" s="0">
        <f>(-5-((((-5*(-5/((-5/(((-5*(-23.83--5))-(-5+((-5*-23.83)*(((-5--5)+(-23.83--5))+-23.83))))-(-5+-5)))*-5)))/-5)--5)+(-5*(((-23.83*(-23.83-(-5/-5)))*(-23.83-(-23.83/(-5*-23.83))))-(-5/-5)))))</f>
        <v>-68885.807235</v>
      </c>
      <c r="C7618" t="n" s="0">
        <v>-68885.807235</v>
      </c>
    </row>
    <row r="7619">
      <c r="A7619" t="n" s="0">
        <v>-23.82</v>
      </c>
      <c r="B7619" t="n" s="0">
        <f>(-5-((((-5*(-5/((-5/(((-5*(-23.82--5))-(-5+((-5*-23.82)*(((-5--5)+(-23.82--5))+-23.82))))-(-5+-5)))*-5)))/-5)--5)+(-5*(((-23.82*(-23.82-(-5/-5)))*(-23.82-(-23.82/(-5*-23.82))))-(-5/-5)))))</f>
        <v>-68799.67964</v>
      </c>
      <c r="C7619" t="n" s="0">
        <v>-68799.67964</v>
      </c>
    </row>
    <row r="7620">
      <c r="A7620" t="n" s="0">
        <v>-23.81</v>
      </c>
      <c r="B7620" t="n" s="0">
        <f>(-5-((((-5*(-5/((-5/(((-5*(-23.81--5))-(-5+((-5*-23.81)*(((-5--5)+(-23.81--5))+-23.81))))-(-5+-5)))*-5)))/-5)--5)+(-5*(((-23.81*(-23.81-(-5/-5)))*(-23.81-(-23.81/(-5*-23.81))))-(-5/-5)))))</f>
        <v>-68713.623905</v>
      </c>
      <c r="C7620" t="n" s="0">
        <v>-68713.62390499999</v>
      </c>
    </row>
    <row r="7621">
      <c r="A7621" t="n" s="0">
        <v>-23.8</v>
      </c>
      <c r="B7621" t="n" s="0">
        <f>(-5-((((-5*(-5/((-5/(((-5*(-23.8--5))-(-5+((-5*-23.8)*(((-5--5)+(-23.8--5))+-23.8))))-(-5+-5)))*-5)))/-5)--5)+(-5*(((-23.8*(-23.8-(-5/-5)))*(-23.8-(-23.8/(-5*-23.8))))-(-5/-5)))))</f>
        <v>-68627.64000000001</v>
      </c>
      <c r="C7621" t="n" s="0">
        <v>-68627.64</v>
      </c>
    </row>
    <row r="7622">
      <c r="A7622" t="n" s="0">
        <v>-23.79</v>
      </c>
      <c r="B7622" t="n" s="0">
        <f>(-5-((((-5*(-5/((-5/(((-5*(-23.79--5))-(-5+((-5*-23.79)*(((-5--5)+(-23.79--5))+-23.79))))-(-5+-5)))*-5)))/-5)--5)+(-5*(((-23.79*(-23.79-(-5/-5)))*(-23.79-(-23.79/(-5*-23.79))))-(-5/-5)))))</f>
        <v>-68541.72789499999</v>
      </c>
      <c r="C7622" t="n" s="0">
        <v>-68541.72789499999</v>
      </c>
    </row>
    <row r="7623">
      <c r="A7623" t="n" s="0">
        <v>-23.78</v>
      </c>
      <c r="B7623" t="n" s="0">
        <f>(-5-((((-5*(-5/((-5/(((-5*(-23.78--5))-(-5+((-5*-23.78)*(((-5--5)+(-23.78--5))+-23.78))))-(-5+-5)))*-5)))/-5)--5)+(-5*(((-23.78*(-23.78-(-5/-5)))*(-23.78-(-23.78/(-5*-23.78))))-(-5/-5)))))</f>
        <v>-68455.88756</v>
      </c>
      <c r="C7623" t="n" s="0">
        <v>-68455.88756000002</v>
      </c>
    </row>
    <row r="7624">
      <c r="A7624" t="n" s="0">
        <v>-23.77</v>
      </c>
      <c r="B7624" t="n" s="0">
        <f>(-5-((((-5*(-5/((-5/(((-5*(-23.77--5))-(-5+((-5*-23.77)*(((-5--5)+(-23.77--5))+-23.77))))-(-5+-5)))*-5)))/-5)--5)+(-5*(((-23.77*(-23.77-(-5/-5)))*(-23.77-(-23.77/(-5*-23.77))))-(-5/-5)))))</f>
        <v>-68370.118965</v>
      </c>
      <c r="C7624" t="n" s="0">
        <v>-68370.118965</v>
      </c>
    </row>
    <row r="7625">
      <c r="A7625" t="n" s="0">
        <v>-23.76</v>
      </c>
      <c r="B7625" t="n" s="0">
        <f>(-5-((((-5*(-5/((-5/(((-5*(-23.76--5))-(-5+((-5*-23.76)*(((-5--5)+(-23.76--5))+-23.76))))-(-5+-5)))*-5)))/-5)--5)+(-5*(((-23.76*(-23.76-(-5/-5)))*(-23.76-(-23.76/(-5*-23.76))))-(-5/-5)))))</f>
        <v>-68284.42208</v>
      </c>
      <c r="C7625" t="n" s="0">
        <v>-68284.42208000002</v>
      </c>
    </row>
    <row r="7626">
      <c r="A7626" t="n" s="0">
        <v>-23.75</v>
      </c>
      <c r="B7626" t="n" s="0">
        <f>(-5-((((-5*(-5/((-5/(((-5*(-23.75--5))-(-5+((-5*-23.75)*(((-5--5)+(-23.75--5))+-23.75))))-(-5+-5)))*-5)))/-5)--5)+(-5*(((-23.75*(-23.75-(-5/-5)))*(-23.75-(-23.75/(-5*-23.75))))-(-5/-5)))))</f>
        <v>-68198.796875</v>
      </c>
      <c r="C7626" t="n" s="0">
        <v>-68198.796875</v>
      </c>
    </row>
    <row r="7627">
      <c r="A7627" t="n" s="0">
        <v>-23.74</v>
      </c>
      <c r="B7627" t="n" s="0">
        <f>(-5-((((-5*(-5/((-5/(((-5*(-23.74--5))-(-5+((-5*-23.74)*(((-5--5)+(-23.74--5))+-23.74))))-(-5+-5)))*-5)))/-5)--5)+(-5*(((-23.74*(-23.74-(-5/-5)))*(-23.74-(-23.74/(-5*-23.74))))-(-5/-5)))))</f>
        <v>-68113.24332</v>
      </c>
      <c r="C7627" t="n" s="0">
        <v>-68113.24332</v>
      </c>
    </row>
    <row r="7628">
      <c r="A7628" t="n" s="0">
        <v>-23.73</v>
      </c>
      <c r="B7628" t="n" s="0">
        <f>(-5-((((-5*(-5/((-5/(((-5*(-23.73--5))-(-5+((-5*-23.73)*(((-5--5)+(-23.73--5))+-23.73))))-(-5+-5)))*-5)))/-5)--5)+(-5*(((-23.73*(-23.73-(-5/-5)))*(-23.73-(-23.73/(-5*-23.73))))-(-5/-5)))))</f>
        <v>-68027.761385</v>
      </c>
      <c r="C7628" t="n" s="0">
        <v>-68027.761385</v>
      </c>
    </row>
    <row r="7629">
      <c r="A7629" t="n" s="0">
        <v>-23.72</v>
      </c>
      <c r="B7629" t="n" s="0">
        <f>(-5-((((-5*(-5/((-5/(((-5*(-23.72--5))-(-5+((-5*-23.72)*(((-5--5)+(-23.72--5))+-23.72))))-(-5+-5)))*-5)))/-5)--5)+(-5*(((-23.72*(-23.72-(-5/-5)))*(-23.72-(-23.72/(-5*-23.72))))-(-5/-5)))))</f>
        <v>-67942.35104</v>
      </c>
      <c r="C7629" t="n" s="0">
        <v>-67942.35104000001</v>
      </c>
    </row>
    <row r="7630">
      <c r="A7630" t="n" s="0">
        <v>-23.71</v>
      </c>
      <c r="B7630" t="n" s="0">
        <f>(-5-((((-5*(-5/((-5/(((-5*(-23.71--5))-(-5+((-5*-23.71)*(((-5--5)+(-23.71--5))+-23.71))))-(-5+-5)))*-5)))/-5)--5)+(-5*(((-23.71*(-23.71-(-5/-5)))*(-23.71-(-23.71/(-5*-23.71))))-(-5/-5)))))</f>
        <v>-67857.012255</v>
      </c>
      <c r="C7630" t="n" s="0">
        <v>-67857.01225500002</v>
      </c>
    </row>
    <row r="7631">
      <c r="A7631" t="n" s="0">
        <v>-23.7</v>
      </c>
      <c r="B7631" t="n" s="0">
        <f>(-5-((((-5*(-5/((-5/(((-5*(-23.7--5))-(-5+((-5*-23.7)*(((-5--5)+(-23.7--5))+-23.7))))-(-5+-5)))*-5)))/-5)--5)+(-5*(((-23.7*(-23.7-(-5/-5)))*(-23.7-(-23.7/(-5*-23.7))))-(-5/-5)))))</f>
        <v>-67771.745</v>
      </c>
      <c r="C7631" t="n" s="0">
        <v>-67771.745</v>
      </c>
    </row>
    <row r="7632">
      <c r="A7632" t="n" s="0">
        <v>-23.69</v>
      </c>
      <c r="B7632" t="n" s="0">
        <f>(-5-((((-5*(-5/((-5/(((-5*(-23.69--5))-(-5+((-5*-23.69)*(((-5--5)+(-23.69--5))+-23.69))))-(-5+-5)))*-5)))/-5)--5)+(-5*(((-23.69*(-23.69-(-5/-5)))*(-23.69-(-23.69/(-5*-23.69))))-(-5/-5)))))</f>
        <v>-67686.549245</v>
      </c>
      <c r="C7632" t="n" s="0">
        <v>-67686.54924500002</v>
      </c>
    </row>
    <row r="7633">
      <c r="A7633" t="n" s="0">
        <v>-23.68</v>
      </c>
      <c r="B7633" t="n" s="0">
        <f>(-5-((((-5*(-5/((-5/(((-5*(-23.68--5))-(-5+((-5*-23.68)*(((-5--5)+(-23.68--5))+-23.68))))-(-5+-5)))*-5)))/-5)--5)+(-5*(((-23.68*(-23.68-(-5/-5)))*(-23.68-(-23.68/(-5*-23.68))))-(-5/-5)))))</f>
        <v>-67601.42495999999</v>
      </c>
      <c r="C7633" t="n" s="0">
        <v>-67601.42495999999</v>
      </c>
    </row>
    <row r="7634">
      <c r="A7634" t="n" s="0">
        <v>-23.67</v>
      </c>
      <c r="B7634" t="n" s="0">
        <f>(-5-((((-5*(-5/((-5/(((-5*(-23.67--5))-(-5+((-5*-23.67)*(((-5--5)+(-23.67--5))+-23.67))))-(-5+-5)))*-5)))/-5)--5)+(-5*(((-23.67*(-23.67-(-5/-5)))*(-23.67-(-23.67/(-5*-23.67))))-(-5/-5)))))</f>
        <v>-67516.372115</v>
      </c>
      <c r="C7634" t="n" s="0">
        <v>-67516.37211500002</v>
      </c>
    </row>
    <row r="7635">
      <c r="A7635" t="n" s="0">
        <v>-23.66</v>
      </c>
      <c r="B7635" t="n" s="0">
        <f>(-5-((((-5*(-5/((-5/(((-5*(-23.66--5))-(-5+((-5*-23.66)*(((-5--5)+(-23.66--5))+-23.66))))-(-5+-5)))*-5)))/-5)--5)+(-5*(((-23.66*(-23.66-(-5/-5)))*(-23.66-(-23.66/(-5*-23.66))))-(-5/-5)))))</f>
        <v>-67431.39068000001</v>
      </c>
      <c r="C7635" t="n" s="0">
        <v>-67431.39068</v>
      </c>
    </row>
    <row r="7636">
      <c r="A7636" t="n" s="0">
        <v>-23.65</v>
      </c>
      <c r="B7636" t="n" s="0">
        <f>(-5-((((-5*(-5/((-5/(((-5*(-23.65--5))-(-5+((-5*-23.65)*(((-5--5)+(-23.65--5))+-23.65))))-(-5+-5)))*-5)))/-5)--5)+(-5*(((-23.65*(-23.65-(-5/-5)))*(-23.65-(-23.65/(-5*-23.65))))-(-5/-5)))))</f>
        <v>-67346.480625</v>
      </c>
      <c r="C7636" t="n" s="0">
        <v>-67346.480625</v>
      </c>
    </row>
    <row r="7637">
      <c r="A7637" t="n" s="0">
        <v>-23.64</v>
      </c>
      <c r="B7637" t="n" s="0">
        <f>(-5-((((-5*(-5/((-5/(((-5*(-23.64--5))-(-5+((-5*-23.64)*(((-5--5)+(-23.64--5))+-23.64))))-(-5+-5)))*-5)))/-5)--5)+(-5*(((-23.64*(-23.64-(-5/-5)))*(-23.64-(-23.64/(-5*-23.64))))-(-5/-5)))))</f>
        <v>-67261.64192</v>
      </c>
      <c r="C7637" t="n" s="0">
        <v>-67261.64192000001</v>
      </c>
    </row>
    <row r="7638">
      <c r="A7638" t="n" s="0">
        <v>-23.63</v>
      </c>
      <c r="B7638" t="n" s="0">
        <f>(-5-((((-5*(-5/((-5/(((-5*(-23.63--5))-(-5+((-5*-23.63)*(((-5--5)+(-23.63--5))+-23.63))))-(-5+-5)))*-5)))/-5)--5)+(-5*(((-23.63*(-23.63-(-5/-5)))*(-23.63-(-23.63/(-5*-23.63))))-(-5/-5)))))</f>
        <v>-67176.874535</v>
      </c>
      <c r="C7638" t="n" s="0">
        <v>-67176.874535</v>
      </c>
    </row>
    <row r="7639">
      <c r="A7639" t="n" s="0">
        <v>-23.62</v>
      </c>
      <c r="B7639" t="n" s="0">
        <f>(-5-((((-5*(-5/((-5/(((-5*(-23.62--5))-(-5+((-5*-23.62)*(((-5--5)+(-23.62--5))+-23.62))))-(-5+-5)))*-5)))/-5)--5)+(-5*(((-23.62*(-23.62-(-5/-5)))*(-23.62-(-23.62/(-5*-23.62))))-(-5/-5)))))</f>
        <v>-67092.17844</v>
      </c>
      <c r="C7639" t="n" s="0">
        <v>-67092.17844</v>
      </c>
    </row>
    <row r="7640">
      <c r="A7640" t="n" s="0">
        <v>-23.61</v>
      </c>
      <c r="B7640" t="n" s="0">
        <f>(-5-((((-5*(-5/((-5/(((-5*(-23.61--5))-(-5+((-5*-23.61)*(((-5--5)+(-23.61--5))+-23.61))))-(-5+-5)))*-5)))/-5)--5)+(-5*(((-23.61*(-23.61-(-5/-5)))*(-23.61-(-23.61/(-5*-23.61))))-(-5/-5)))))</f>
        <v>-67007.55360500001</v>
      </c>
      <c r="C7640" t="n" s="0">
        <v>-67007.553605</v>
      </c>
    </row>
    <row r="7641">
      <c r="A7641" t="n" s="0">
        <v>-23.6</v>
      </c>
      <c r="B7641" t="n" s="0">
        <f>(-5-((((-5*(-5/((-5/(((-5*(-23.6--5))-(-5+((-5*-23.6)*(((-5--5)+(-23.6--5))+-23.6))))-(-5+-5)))*-5)))/-5)--5)+(-5*(((-23.6*(-23.6-(-5/-5)))*(-23.6-(-23.6/(-5*-23.6))))-(-5/-5)))))</f>
        <v>-66923.0</v>
      </c>
      <c r="C7641" t="n" s="0">
        <v>-66923.00000000001</v>
      </c>
    </row>
    <row r="7642">
      <c r="A7642" t="n" s="0">
        <v>-23.59</v>
      </c>
      <c r="B7642" t="n" s="0">
        <f>(-5-((((-5*(-5/((-5/(((-5*(-23.59--5))-(-5+((-5*-23.59)*(((-5--5)+(-23.59--5))+-23.59))))-(-5+-5)))*-5)))/-5)--5)+(-5*(((-23.59*(-23.59-(-5/-5)))*(-23.59-(-23.59/(-5*-23.59))))-(-5/-5)))))</f>
        <v>-66838.517595</v>
      </c>
      <c r="C7642" t="n" s="0">
        <v>-66838.51759500001</v>
      </c>
    </row>
    <row r="7643">
      <c r="A7643" t="n" s="0">
        <v>-23.58</v>
      </c>
      <c r="B7643" t="n" s="0">
        <f>(-5-((((-5*(-5/((-5/(((-5*(-23.58--5))-(-5+((-5*-23.58)*(((-5--5)+(-23.58--5))+-23.58))))-(-5+-5)))*-5)))/-5)--5)+(-5*(((-23.58*(-23.58-(-5/-5)))*(-23.58-(-23.58/(-5*-23.58))))-(-5/-5)))))</f>
        <v>-66754.10636</v>
      </c>
      <c r="C7643" t="n" s="0">
        <v>-66754.10635999999</v>
      </c>
    </row>
    <row r="7644">
      <c r="A7644" t="n" s="0">
        <v>-23.57</v>
      </c>
      <c r="B7644" t="n" s="0">
        <f>(-5-((((-5*(-5/((-5/(((-5*(-23.57--5))-(-5+((-5*-23.57)*(((-5--5)+(-23.57--5))+-23.57))))-(-5+-5)))*-5)))/-5)--5)+(-5*(((-23.57*(-23.57-(-5/-5)))*(-23.57-(-23.57/(-5*-23.57))))-(-5/-5)))))</f>
        <v>-66669.766265</v>
      </c>
      <c r="C7644" t="n" s="0">
        <v>-66669.76626500001</v>
      </c>
    </row>
    <row r="7645">
      <c r="A7645" t="n" s="0">
        <v>-23.56</v>
      </c>
      <c r="B7645" t="n" s="0">
        <f>(-5-((((-5*(-5/((-5/(((-5*(-23.56--5))-(-5+((-5*-23.56)*(((-5--5)+(-23.56--5))+-23.56))))-(-5+-5)))*-5)))/-5)--5)+(-5*(((-23.56*(-23.56-(-5/-5)))*(-23.56-(-23.56/(-5*-23.56))))-(-5/-5)))))</f>
        <v>-66585.49728</v>
      </c>
      <c r="C7645" t="n" s="0">
        <v>-66585.49727999998</v>
      </c>
    </row>
    <row r="7646">
      <c r="A7646" t="n" s="0">
        <v>-23.55</v>
      </c>
      <c r="B7646" t="n" s="0">
        <f>(-5-((((-5*(-5/((-5/(((-5*(-23.55--5))-(-5+((-5*-23.55)*(((-5--5)+(-23.55--5))+-23.55))))-(-5+-5)))*-5)))/-5)--5)+(-5*(((-23.55*(-23.55-(-5/-5)))*(-23.55-(-23.55/(-5*-23.55))))-(-5/-5)))))</f>
        <v>-66501.299375</v>
      </c>
      <c r="C7646" t="n" s="0">
        <v>-66501.299375</v>
      </c>
    </row>
    <row r="7647">
      <c r="A7647" t="n" s="0">
        <v>-23.54</v>
      </c>
      <c r="B7647" t="n" s="0">
        <f>(-5-((((-5*(-5/((-5/(((-5*(-23.54--5))-(-5+((-5*-23.54)*(((-5--5)+(-23.54--5))+-23.54))))-(-5+-5)))*-5)))/-5)--5)+(-5*(((-23.54*(-23.54-(-5/-5)))*(-23.54-(-23.54/(-5*-23.54))))-(-5/-5)))))</f>
        <v>-66417.17252000001</v>
      </c>
      <c r="C7647" t="n" s="0">
        <v>-66417.17252</v>
      </c>
    </row>
    <row r="7648">
      <c r="A7648" t="n" s="0">
        <v>-23.53</v>
      </c>
      <c r="B7648" t="n" s="0">
        <f>(-5-((((-5*(-5/((-5/(((-5*(-23.53--5))-(-5+((-5*-23.53)*(((-5--5)+(-23.53--5))+-23.53))))-(-5+-5)))*-5)))/-5)--5)+(-5*(((-23.53*(-23.53-(-5/-5)))*(-23.53-(-23.53/(-5*-23.53))))-(-5/-5)))))</f>
        <v>-66333.116685</v>
      </c>
      <c r="C7648" t="n" s="0">
        <v>-66333.11668500002</v>
      </c>
    </row>
    <row r="7649">
      <c r="A7649" t="n" s="0">
        <v>-23.52</v>
      </c>
      <c r="B7649" t="n" s="0">
        <f>(-5-((((-5*(-5/((-5/(((-5*(-23.52--5))-(-5+((-5*-23.52)*(((-5--5)+(-23.52--5))+-23.52))))-(-5+-5)))*-5)))/-5)--5)+(-5*(((-23.52*(-23.52-(-5/-5)))*(-23.52-(-23.52/(-5*-23.52))))-(-5/-5)))))</f>
        <v>-66249.13184</v>
      </c>
      <c r="C7649" t="n" s="0">
        <v>-66249.13184</v>
      </c>
    </row>
    <row r="7650">
      <c r="A7650" t="n" s="0">
        <v>-23.51</v>
      </c>
      <c r="B7650" t="n" s="0">
        <f>(-5-((((-5*(-5/((-5/(((-5*(-23.51--5))-(-5+((-5*-23.51)*(((-5--5)+(-23.51--5))+-23.51))))-(-5+-5)))*-5)))/-5)--5)+(-5*(((-23.51*(-23.51-(-5/-5)))*(-23.51-(-23.51/(-5*-23.51))))-(-5/-5)))))</f>
        <v>-66165.217955</v>
      </c>
      <c r="C7650" t="n" s="0">
        <v>-66165.21795500001</v>
      </c>
    </row>
    <row r="7651">
      <c r="A7651" t="n" s="0">
        <v>-23.5</v>
      </c>
      <c r="B7651" t="n" s="0">
        <f>(-5-((((-5*(-5/((-5/(((-5*(-23.5--5))-(-5+((-5*-23.5)*(((-5--5)+(-23.5--5))+-23.5))))-(-5+-5)))*-5)))/-5)--5)+(-5*(((-23.5*(-23.5-(-5/-5)))*(-23.5-(-23.5/(-5*-23.5))))-(-5/-5)))))</f>
        <v>-66081.375</v>
      </c>
      <c r="C7651" t="n" s="0">
        <v>-66081.375</v>
      </c>
    </row>
    <row r="7652">
      <c r="A7652" t="n" s="0">
        <v>-23.49</v>
      </c>
      <c r="B7652" t="n" s="0">
        <f>(-5-((((-5*(-5/((-5/(((-5*(-23.49--5))-(-5+((-5*-23.49)*(((-5--5)+(-23.49--5))+-23.49))))-(-5+-5)))*-5)))/-5)--5)+(-5*(((-23.49*(-23.49-(-5/-5)))*(-23.49-(-23.49/(-5*-23.49))))-(-5/-5)))))</f>
        <v>-65997.602945</v>
      </c>
      <c r="C7652" t="n" s="0">
        <v>-65997.60294499999</v>
      </c>
    </row>
    <row r="7653">
      <c r="A7653" t="n" s="0">
        <v>-23.48</v>
      </c>
      <c r="B7653" t="n" s="0">
        <f>(-5-((((-5*(-5/((-5/(((-5*(-23.48--5))-(-5+((-5*-23.48)*(((-5--5)+(-23.48--5))+-23.48))))-(-5+-5)))*-5)))/-5)--5)+(-5*(((-23.48*(-23.48-(-5/-5)))*(-23.48-(-23.48/(-5*-23.48))))-(-5/-5)))))</f>
        <v>-65913.90176</v>
      </c>
      <c r="C7653" t="n" s="0">
        <v>-65913.90176000001</v>
      </c>
    </row>
    <row r="7654">
      <c r="A7654" t="n" s="0">
        <v>-23.47</v>
      </c>
      <c r="B7654" t="n" s="0">
        <f>(-5-((((-5*(-5/((-5/(((-5*(-23.47--5))-(-5+((-5*-23.47)*(((-5--5)+(-23.47--5))+-23.47))))-(-5+-5)))*-5)))/-5)--5)+(-5*(((-23.47*(-23.47-(-5/-5)))*(-23.47-(-23.47/(-5*-23.47))))-(-5/-5)))))</f>
        <v>-65830.271415</v>
      </c>
      <c r="C7654" t="n" s="0">
        <v>-65830.271415</v>
      </c>
    </row>
    <row r="7655">
      <c r="A7655" t="n" s="0">
        <v>-23.46</v>
      </c>
      <c r="B7655" t="n" s="0">
        <f>(-5-((((-5*(-5/((-5/(((-5*(-23.46--5))-(-5+((-5*-23.46)*(((-5--5)+(-23.46--5))+-23.46))))-(-5+-5)))*-5)))/-5)--5)+(-5*(((-23.46*(-23.46-(-5/-5)))*(-23.46-(-23.46/(-5*-23.46))))-(-5/-5)))))</f>
        <v>-65746.71188</v>
      </c>
      <c r="C7655" t="n" s="0">
        <v>-65746.71188</v>
      </c>
    </row>
    <row r="7656">
      <c r="A7656" t="n" s="0">
        <v>-23.45</v>
      </c>
      <c r="B7656" t="n" s="0">
        <f>(-5-((((-5*(-5/((-5/(((-5*(-23.45--5))-(-5+((-5*-23.45)*(((-5--5)+(-23.45--5))+-23.45))))-(-5+-5)))*-5)))/-5)--5)+(-5*(((-23.45*(-23.45-(-5/-5)))*(-23.45-(-23.45/(-5*-23.45))))-(-5/-5)))))</f>
        <v>-65663.22312499999</v>
      </c>
      <c r="C7656" t="n" s="0">
        <v>-65663.22312499999</v>
      </c>
    </row>
    <row r="7657">
      <c r="A7657" t="n" s="0">
        <v>-23.44</v>
      </c>
      <c r="B7657" t="n" s="0">
        <f>(-5-((((-5*(-5/((-5/(((-5*(-23.44--5))-(-5+((-5*-23.44)*(((-5--5)+(-23.44--5))+-23.44))))-(-5+-5)))*-5)))/-5)--5)+(-5*(((-23.44*(-23.44-(-5/-5)))*(-23.44-(-23.44/(-5*-23.44))))-(-5/-5)))))</f>
        <v>-65579.80512</v>
      </c>
      <c r="C7657" t="n" s="0">
        <v>-65579.80512</v>
      </c>
    </row>
    <row r="7658">
      <c r="A7658" t="n" s="0">
        <v>-23.43</v>
      </c>
      <c r="B7658" t="n" s="0">
        <f>(-5-((((-5*(-5/((-5/(((-5*(-23.43--5))-(-5+((-5*-23.43)*(((-5--5)+(-23.43--5))+-23.43))))-(-5+-5)))*-5)))/-5)--5)+(-5*(((-23.43*(-23.43-(-5/-5)))*(-23.43-(-23.43/(-5*-23.43))))-(-5/-5)))))</f>
        <v>-65496.45783500001</v>
      </c>
      <c r="C7658" t="n" s="0">
        <v>-65496.457834999994</v>
      </c>
    </row>
    <row r="7659">
      <c r="A7659" t="n" s="0">
        <v>-23.42</v>
      </c>
      <c r="B7659" t="n" s="0">
        <f>(-5-((((-5*(-5/((-5/(((-5*(-23.42--5))-(-5+((-5*-23.42)*(((-5--5)+(-23.42--5))+-23.42))))-(-5+-5)))*-5)))/-5)--5)+(-5*(((-23.42*(-23.42-(-5/-5)))*(-23.42-(-23.42/(-5*-23.42))))-(-5/-5)))))</f>
        <v>-65413.181240000005</v>
      </c>
      <c r="C7659" t="n" s="0">
        <v>-65413.18124000002</v>
      </c>
    </row>
    <row r="7660">
      <c r="A7660" t="n" s="0">
        <v>-23.41</v>
      </c>
      <c r="B7660" t="n" s="0">
        <f>(-5-((((-5*(-5/((-5/(((-5*(-23.41--5))-(-5+((-5*-23.41)*(((-5--5)+(-23.41--5))+-23.41))))-(-5+-5)))*-5)))/-5)--5)+(-5*(((-23.41*(-23.41-(-5/-5)))*(-23.41-(-23.41/(-5*-23.41))))-(-5/-5)))))</f>
        <v>-65329.97530500001</v>
      </c>
      <c r="C7660" t="n" s="0">
        <v>-65329.97530500001</v>
      </c>
    </row>
    <row r="7661">
      <c r="A7661" t="n" s="0">
        <v>-23.4</v>
      </c>
      <c r="B7661" t="n" s="0">
        <f>(-5-((((-5*(-5/((-5/(((-5*(-23.4--5))-(-5+((-5*-23.4)*(((-5--5)+(-23.4--5))+-23.4))))-(-5+-5)))*-5)))/-5)--5)+(-5*(((-23.4*(-23.4-(-5/-5)))*(-23.4-(-23.4/(-5*-23.4))))-(-5/-5)))))</f>
        <v>-65246.840000000004</v>
      </c>
      <c r="C7661" t="n" s="0">
        <v>-65246.83999999998</v>
      </c>
    </row>
    <row r="7662">
      <c r="A7662" t="n" s="0">
        <v>-23.39</v>
      </c>
      <c r="B7662" t="n" s="0">
        <f>(-5-((((-5*(-5/((-5/(((-5*(-23.39--5))-(-5+((-5*-23.39)*(((-5--5)+(-23.39--5))+-23.39))))-(-5+-5)))*-5)))/-5)--5)+(-5*(((-23.39*(-23.39-(-5/-5)))*(-23.39-(-23.39/(-5*-23.39))))-(-5/-5)))))</f>
        <v>-65163.77529500001</v>
      </c>
      <c r="C7662" t="n" s="0">
        <v>-65163.775295000014</v>
      </c>
    </row>
    <row r="7663">
      <c r="A7663" t="n" s="0">
        <v>-23.38</v>
      </c>
      <c r="B7663" t="n" s="0">
        <f>(-5-((((-5*(-5/((-5/(((-5*(-23.38--5))-(-5+((-5*-23.38)*(((-5--5)+(-23.38--5))+-23.38))))-(-5+-5)))*-5)))/-5)--5)+(-5*(((-23.38*(-23.38-(-5/-5)))*(-23.38-(-23.38/(-5*-23.38))))-(-5/-5)))))</f>
        <v>-65080.78115999999</v>
      </c>
      <c r="C7663" t="n" s="0">
        <v>-65080.78116</v>
      </c>
    </row>
    <row r="7664">
      <c r="A7664" t="n" s="0">
        <v>-23.37</v>
      </c>
      <c r="B7664" t="n" s="0">
        <f>(-5-((((-5*(-5/((-5/(((-5*(-23.37--5))-(-5+((-5*-23.37)*(((-5--5)+(-23.37--5))+-23.37))))-(-5+-5)))*-5)))/-5)--5)+(-5*(((-23.37*(-23.37-(-5/-5)))*(-23.37-(-23.37/(-5*-23.37))))-(-5/-5)))))</f>
        <v>-64997.857565000006</v>
      </c>
      <c r="C7664" t="n" s="0">
        <v>-64997.85756500001</v>
      </c>
    </row>
    <row r="7665">
      <c r="A7665" t="n" s="0">
        <v>-23.36</v>
      </c>
      <c r="B7665" t="n" s="0">
        <f>(-5-((((-5*(-5/((-5/(((-5*(-23.36--5))-(-5+((-5*-23.36)*(((-5--5)+(-23.36--5))+-23.36))))-(-5+-5)))*-5)))/-5)--5)+(-5*(((-23.36*(-23.36-(-5/-5)))*(-23.36-(-23.36/(-5*-23.36))))-(-5/-5)))))</f>
        <v>-64915.004479999996</v>
      </c>
      <c r="C7665" t="n" s="0">
        <v>-64915.004479999996</v>
      </c>
    </row>
    <row r="7666">
      <c r="A7666" t="n" s="0">
        <v>-23.35</v>
      </c>
      <c r="B7666" t="n" s="0">
        <f>(-5-((((-5*(-5/((-5/(((-5*(-23.35--5))-(-5+((-5*-23.35)*(((-5--5)+(-23.35--5))+-23.35))))-(-5+-5)))*-5)))/-5)--5)+(-5*(((-23.35*(-23.35-(-5/-5)))*(-23.35-(-23.35/(-5*-23.35))))-(-5/-5)))))</f>
        <v>-64832.221875</v>
      </c>
      <c r="C7666" t="n" s="0">
        <v>-64832.22187500002</v>
      </c>
    </row>
    <row r="7667">
      <c r="A7667" t="n" s="0">
        <v>-23.34</v>
      </c>
      <c r="B7667" t="n" s="0">
        <f>(-5-((((-5*(-5/((-5/(((-5*(-23.34--5))-(-5+((-5*-23.34)*(((-5--5)+(-23.34--5))+-23.34))))-(-5+-5)))*-5)))/-5)--5)+(-5*(((-23.34*(-23.34-(-5/-5)))*(-23.34-(-23.34/(-5*-23.34))))-(-5/-5)))))</f>
        <v>-64749.509719999995</v>
      </c>
      <c r="C7667" t="n" s="0">
        <v>-64749.509719999995</v>
      </c>
    </row>
    <row r="7668">
      <c r="A7668" t="n" s="0">
        <v>-23.33</v>
      </c>
      <c r="B7668" t="n" s="0">
        <f>(-5-((((-5*(-5/((-5/(((-5*(-23.33--5))-(-5+((-5*-23.33)*(((-5--5)+(-23.33--5))+-23.33))))-(-5+-5)))*-5)))/-5)--5)+(-5*(((-23.33*(-23.33-(-5/-5)))*(-23.33-(-23.33/(-5*-23.33))))-(-5/-5)))))</f>
        <v>-64666.86798499999</v>
      </c>
      <c r="C7668" t="n" s="0">
        <v>-64666.86798499998</v>
      </c>
    </row>
    <row r="7669">
      <c r="A7669" t="n" s="0">
        <v>-23.32</v>
      </c>
      <c r="B7669" t="n" s="0">
        <f>(-5-((((-5*(-5/((-5/(((-5*(-23.32--5))-(-5+((-5*-23.32)*(((-5--5)+(-23.32--5))+-23.32))))-(-5+-5)))*-5)))/-5)--5)+(-5*(((-23.32*(-23.32-(-5/-5)))*(-23.32-(-23.32/(-5*-23.32))))-(-5/-5)))))</f>
        <v>-64584.29663999999</v>
      </c>
      <c r="C7669" t="n" s="0">
        <v>-64584.29664000001</v>
      </c>
    </row>
    <row r="7670">
      <c r="A7670" t="n" s="0">
        <v>-23.31</v>
      </c>
      <c r="B7670" t="n" s="0">
        <f>(-5-((((-5*(-5/((-5/(((-5*(-23.31--5))-(-5+((-5*-23.31)*(((-5--5)+(-23.31--5))+-23.31))))-(-5+-5)))*-5)))/-5)--5)+(-5*(((-23.31*(-23.31-(-5/-5)))*(-23.31-(-23.31/(-5*-23.31))))-(-5/-5)))))</f>
        <v>-64501.795655</v>
      </c>
      <c r="C7670" t="n" s="0">
        <v>-64501.795654999994</v>
      </c>
    </row>
    <row r="7671">
      <c r="A7671" t="n" s="0">
        <v>-23.3</v>
      </c>
      <c r="B7671" t="n" s="0">
        <f>(-5-((((-5*(-5/((-5/(((-5*(-23.3--5))-(-5+((-5*-23.3)*(((-5--5)+(-23.3--5))+-23.3))))-(-5+-5)))*-5)))/-5)--5)+(-5*(((-23.3*(-23.3-(-5/-5)))*(-23.3-(-23.3/(-5*-23.3))))-(-5/-5)))))</f>
        <v>-64419.365000000005</v>
      </c>
      <c r="C7671" t="n" s="0">
        <v>-64419.365000000005</v>
      </c>
    </row>
    <row r="7672">
      <c r="A7672" t="n" s="0">
        <v>-23.29</v>
      </c>
      <c r="B7672" t="n" s="0">
        <f>(-5-((((-5*(-5/((-5/(((-5*(-23.29--5))-(-5+((-5*-23.29)*(((-5--5)+(-23.29--5))+-23.29))))-(-5+-5)))*-5)))/-5)--5)+(-5*(((-23.29*(-23.29-(-5/-5)))*(-23.29-(-23.29/(-5*-23.29))))-(-5/-5)))))</f>
        <v>-64337.00464499999</v>
      </c>
      <c r="C7672" t="n" s="0">
        <v>-64337.00464499999</v>
      </c>
    </row>
    <row r="7673">
      <c r="A7673" t="n" s="0">
        <v>-23.28</v>
      </c>
      <c r="B7673" t="n" s="0">
        <f>(-5-((((-5*(-5/((-5/(((-5*(-23.28--5))-(-5+((-5*-23.28)*(((-5--5)+(-23.28--5))+-23.28))))-(-5+-5)))*-5)))/-5)--5)+(-5*(((-23.28*(-23.28-(-5/-5)))*(-23.28-(-23.28/(-5*-23.28))))-(-5/-5)))))</f>
        <v>-64254.71456</v>
      </c>
      <c r="C7673" t="n" s="0">
        <v>-64254.71456000001</v>
      </c>
    </row>
    <row r="7674">
      <c r="A7674" t="n" s="0">
        <v>-23.27</v>
      </c>
      <c r="B7674" t="n" s="0">
        <f>(-5-((((-5*(-5/((-5/(((-5*(-23.27--5))-(-5+((-5*-23.27)*(((-5--5)+(-23.27--5))+-23.27))))-(-5+-5)))*-5)))/-5)--5)+(-5*(((-23.27*(-23.27-(-5/-5)))*(-23.27-(-23.27/(-5*-23.27))))-(-5/-5)))))</f>
        <v>-64172.49471500001</v>
      </c>
      <c r="C7674" t="n" s="0">
        <v>-64172.494715</v>
      </c>
    </row>
    <row r="7675">
      <c r="A7675" t="n" s="0">
        <v>-23.26</v>
      </c>
      <c r="B7675" t="n" s="0">
        <f>(-5-((((-5*(-5/((-5/(((-5*(-23.26--5))-(-5+((-5*-23.26)*(((-5--5)+(-23.26--5))+-23.26))))-(-5+-5)))*-5)))/-5)--5)+(-5*(((-23.26*(-23.26-(-5/-5)))*(-23.26-(-23.26/(-5*-23.26))))-(-5/-5)))))</f>
        <v>-64090.34508000001</v>
      </c>
      <c r="C7675" t="n" s="0">
        <v>-64090.345080000014</v>
      </c>
    </row>
    <row r="7676">
      <c r="A7676" t="n" s="0">
        <v>-23.25</v>
      </c>
      <c r="B7676" t="n" s="0">
        <f>(-5-((((-5*(-5/((-5/(((-5*(-23.25--5))-(-5+((-5*-23.25)*(((-5--5)+(-23.25--5))+-23.25))))-(-5+-5)))*-5)))/-5)--5)+(-5*(((-23.25*(-23.25-(-5/-5)))*(-23.25-(-23.25/(-5*-23.25))))-(-5/-5)))))</f>
        <v>-64008.265625</v>
      </c>
      <c r="C7676" t="n" s="0">
        <v>-64008.265625</v>
      </c>
    </row>
    <row r="7677">
      <c r="A7677" t="n" s="0">
        <v>-23.24</v>
      </c>
      <c r="B7677" t="n" s="0">
        <f>(-5-((((-5*(-5/((-5/(((-5*(-23.24--5))-(-5+((-5*-23.24)*(((-5--5)+(-23.24--5))+-23.24))))-(-5+-5)))*-5)))/-5)--5)+(-5*(((-23.24*(-23.24-(-5/-5)))*(-23.24-(-23.24/(-5*-23.24))))-(-5/-5)))))</f>
        <v>-63926.25632</v>
      </c>
      <c r="C7677" t="n" s="0">
        <v>-63926.25631999999</v>
      </c>
    </row>
    <row r="7678">
      <c r="A7678" t="n" s="0">
        <v>-23.23</v>
      </c>
      <c r="B7678" t="n" s="0">
        <f>(-5-((((-5*(-5/((-5/(((-5*(-23.23--5))-(-5+((-5*-23.23)*(((-5--5)+(-23.23--5))+-23.23))))-(-5+-5)))*-5)))/-5)--5)+(-5*(((-23.23*(-23.23-(-5/-5)))*(-23.23-(-23.23/(-5*-23.23))))-(-5/-5)))))</f>
        <v>-63844.317135000005</v>
      </c>
      <c r="C7678" t="n" s="0">
        <v>-63844.317135000005</v>
      </c>
    </row>
    <row r="7679">
      <c r="A7679" t="n" s="0">
        <v>-23.22</v>
      </c>
      <c r="B7679" t="n" s="0">
        <f>(-5-((((-5*(-5/((-5/(((-5*(-23.22--5))-(-5+((-5*-23.22)*(((-5--5)+(-23.22--5))+-23.22))))-(-5+-5)))*-5)))/-5)--5)+(-5*(((-23.22*(-23.22-(-5/-5)))*(-23.22-(-23.22/(-5*-23.22))))-(-5/-5)))))</f>
        <v>-63762.448039999996</v>
      </c>
      <c r="C7679" t="n" s="0">
        <v>-63762.448039999996</v>
      </c>
    </row>
    <row r="7680">
      <c r="A7680" t="n" s="0">
        <v>-23.21</v>
      </c>
      <c r="B7680" t="n" s="0">
        <f>(-5-((((-5*(-5/((-5/(((-5*(-23.21--5))-(-5+((-5*-23.21)*(((-5--5)+(-23.21--5))+-23.21))))-(-5+-5)))*-5)))/-5)--5)+(-5*(((-23.21*(-23.21-(-5/-5)))*(-23.21-(-23.21/(-5*-23.21))))-(-5/-5)))))</f>
        <v>-63680.649005</v>
      </c>
      <c r="C7680" t="n" s="0">
        <v>-63680.64900500001</v>
      </c>
    </row>
    <row r="7681">
      <c r="A7681" t="n" s="0">
        <v>-23.2</v>
      </c>
      <c r="B7681" t="n" s="0">
        <f>(-5-((((-5*(-5/((-5/(((-5*(-23.2--5))-(-5+((-5*-23.2)*(((-5--5)+(-23.2--5))+-23.2))))-(-5+-5)))*-5)))/-5)--5)+(-5*(((-23.2*(-23.2-(-5/-5)))*(-23.2-(-23.2/(-5*-23.2))))-(-5/-5)))))</f>
        <v>-63598.91999999999</v>
      </c>
      <c r="C7681" t="n" s="0">
        <v>-63598.92</v>
      </c>
    </row>
    <row r="7682">
      <c r="A7682" t="n" s="0">
        <v>-23.19</v>
      </c>
      <c r="B7682" t="n" s="0">
        <f>(-5-((((-5*(-5/((-5/(((-5*(-23.19--5))-(-5+((-5*-23.19)*(((-5--5)+(-23.19--5))+-23.19))))-(-5+-5)))*-5)))/-5)--5)+(-5*(((-23.19*(-23.19-(-5/-5)))*(-23.19-(-23.19/(-5*-23.19))))-(-5/-5)))))</f>
        <v>-63517.260995</v>
      </c>
      <c r="C7682" t="n" s="0">
        <v>-63517.26099500001</v>
      </c>
    </row>
    <row r="7683">
      <c r="A7683" t="n" s="0">
        <v>-23.18</v>
      </c>
      <c r="B7683" t="n" s="0">
        <f>(-5-((((-5*(-5/((-5/(((-5*(-23.18--5))-(-5+((-5*-23.18)*(((-5--5)+(-23.18--5))+-23.18))))-(-5+-5)))*-5)))/-5)--5)+(-5*(((-23.18*(-23.18-(-5/-5)))*(-23.18-(-23.18/(-5*-23.18))))-(-5/-5)))))</f>
        <v>-63435.67196</v>
      </c>
      <c r="C7683" t="n" s="0">
        <v>-63435.67195999999</v>
      </c>
    </row>
    <row r="7684">
      <c r="A7684" t="n" s="0">
        <v>-23.17</v>
      </c>
      <c r="B7684" t="n" s="0">
        <f>(-5-((((-5*(-5/((-5/(((-5*(-23.17--5))-(-5+((-5*-23.17)*(((-5--5)+(-23.17--5))+-23.17))))-(-5+-5)))*-5)))/-5)--5)+(-5*(((-23.17*(-23.17-(-5/-5)))*(-23.17-(-23.17/(-5*-23.17))))-(-5/-5)))))</f>
        <v>-63354.152865</v>
      </c>
      <c r="C7684" t="n" s="0">
        <v>-63354.15286500002</v>
      </c>
    </row>
    <row r="7685">
      <c r="A7685" t="n" s="0">
        <v>-23.16</v>
      </c>
      <c r="B7685" t="n" s="0">
        <f>(-5-((((-5*(-5/((-5/(((-5*(-23.16--5))-(-5+((-5*-23.16)*(((-5--5)+(-23.16--5))+-23.16))))-(-5+-5)))*-5)))/-5)--5)+(-5*(((-23.16*(-23.16-(-5/-5)))*(-23.16-(-23.16/(-5*-23.16))))-(-5/-5)))))</f>
        <v>-63272.703680000006</v>
      </c>
      <c r="C7685" t="n" s="0">
        <v>-63272.70368000001</v>
      </c>
    </row>
    <row r="7686">
      <c r="A7686" t="n" s="0">
        <v>-23.15</v>
      </c>
      <c r="B7686" t="n" s="0">
        <f>(-5-((((-5*(-5/((-5/(((-5*(-23.15--5))-(-5+((-5*-23.15)*(((-5--5)+(-23.15--5))+-23.15))))-(-5+-5)))*-5)))/-5)--5)+(-5*(((-23.15*(-23.15-(-5/-5)))*(-23.15-(-23.15/(-5*-23.15))))-(-5/-5)))))</f>
        <v>-63191.324375000004</v>
      </c>
      <c r="C7686" t="n" s="0">
        <v>-63191.32437499998</v>
      </c>
    </row>
    <row r="7687">
      <c r="A7687" t="n" s="0">
        <v>-23.14</v>
      </c>
      <c r="B7687" t="n" s="0">
        <f>(-5-((((-5*(-5/((-5/(((-5*(-23.14--5))-(-5+((-5*-23.14)*(((-5--5)+(-23.14--5))+-23.14))))-(-5+-5)))*-5)))/-5)--5)+(-5*(((-23.14*(-23.14-(-5/-5)))*(-23.14-(-23.14/(-5*-23.14))))-(-5/-5)))))</f>
        <v>-63110.01492</v>
      </c>
      <c r="C7687" t="n" s="0">
        <v>-63110.01492</v>
      </c>
    </row>
    <row r="7688">
      <c r="A7688" t="n" s="0">
        <v>-23.13</v>
      </c>
      <c r="B7688" t="n" s="0">
        <f>(-5-((((-5*(-5/((-5/(((-5*(-23.13--5))-(-5+((-5*-23.13)*(((-5--5)+(-23.13--5))+-23.13))))-(-5+-5)))*-5)))/-5)--5)+(-5*(((-23.13*(-23.13-(-5/-5)))*(-23.13-(-23.13/(-5*-23.13))))-(-5/-5)))))</f>
        <v>-63028.77528500001</v>
      </c>
      <c r="C7688" t="n" s="0">
        <v>-63028.77528499998</v>
      </c>
    </row>
    <row r="7689">
      <c r="A7689" t="n" s="0">
        <v>-23.12</v>
      </c>
      <c r="B7689" t="n" s="0">
        <f>(-5-((((-5*(-5/((-5/(((-5*(-23.12--5))-(-5+((-5*-23.12)*(((-5--5)+(-23.12--5))+-23.12))))-(-5+-5)))*-5)))/-5)--5)+(-5*(((-23.12*(-23.12-(-5/-5)))*(-23.12-(-23.12/(-5*-23.12))))-(-5/-5)))))</f>
        <v>-62947.60543999999</v>
      </c>
      <c r="C7689" t="n" s="0">
        <v>-62947.60544000001</v>
      </c>
    </row>
    <row r="7690">
      <c r="A7690" t="n" s="0">
        <v>-23.11</v>
      </c>
      <c r="B7690" t="n" s="0">
        <f>(-5-((((-5*(-5/((-5/(((-5*(-23.11--5))-(-5+((-5*-23.11)*(((-5--5)+(-23.11--5))+-23.11))))-(-5+-5)))*-5)))/-5)--5)+(-5*(((-23.11*(-23.11-(-5/-5)))*(-23.11-(-23.11/(-5*-23.11))))-(-5/-5)))))</f>
        <v>-62866.505355</v>
      </c>
      <c r="C7690" t="n" s="0">
        <v>-62866.505355</v>
      </c>
    </row>
    <row r="7691">
      <c r="A7691" t="n" s="0">
        <v>-23.1</v>
      </c>
      <c r="B7691" t="n" s="0">
        <f>(-5-((((-5*(-5/((-5/(((-5*(-23.1--5))-(-5+((-5*-23.1)*(((-5--5)+(-23.1--5))+-23.1))))-(-5+-5)))*-5)))/-5)--5)+(-5*(((-23.1*(-23.1-(-5/-5)))*(-23.1-(-23.1/(-5*-23.1))))-(-5/-5)))))</f>
        <v>-62785.475000000006</v>
      </c>
      <c r="C7691" t="n" s="0">
        <v>-62785.47500000001</v>
      </c>
    </row>
    <row r="7692">
      <c r="A7692" t="n" s="0">
        <v>-23.09</v>
      </c>
      <c r="B7692" t="n" s="0">
        <f>(-5-((((-5*(-5/((-5/(((-5*(-23.09--5))-(-5+((-5*-23.09)*(((-5--5)+(-23.09--5))+-23.09))))-(-5+-5)))*-5)))/-5)--5)+(-5*(((-23.09*(-23.09-(-5/-5)))*(-23.09-(-23.09/(-5*-23.09))))-(-5/-5)))))</f>
        <v>-62704.514344999996</v>
      </c>
      <c r="C7692" t="n" s="0">
        <v>-62704.51434499999</v>
      </c>
    </row>
    <row r="7693">
      <c r="A7693" t="n" s="0">
        <v>-23.08</v>
      </c>
      <c r="B7693" t="n" s="0">
        <f>(-5-((((-5*(-5/((-5/(((-5*(-23.08--5))-(-5+((-5*-23.08)*(((-5--5)+(-23.08--5))+-23.08))))-(-5+-5)))*-5)))/-5)--5)+(-5*(((-23.08*(-23.08-(-5/-5)))*(-23.08-(-23.08/(-5*-23.08))))-(-5/-5)))))</f>
        <v>-62623.623360000005</v>
      </c>
      <c r="C7693" t="n" s="0">
        <v>-62623.62335999998</v>
      </c>
    </row>
    <row r="7694">
      <c r="A7694" t="n" s="0">
        <v>-23.07</v>
      </c>
      <c r="B7694" t="n" s="0">
        <f>(-5-((((-5*(-5/((-5/(((-5*(-23.07--5))-(-5+((-5*-23.07)*(((-5--5)+(-23.07--5))+-23.07))))-(-5+-5)))*-5)))/-5)--5)+(-5*(((-23.07*(-23.07-(-5/-5)))*(-23.07-(-23.07/(-5*-23.07))))-(-5/-5)))))</f>
        <v>-62542.802014999994</v>
      </c>
      <c r="C7694" t="n" s="0">
        <v>-62542.802015</v>
      </c>
    </row>
    <row r="7695">
      <c r="A7695" t="n" s="0">
        <v>-23.06</v>
      </c>
      <c r="B7695" t="n" s="0">
        <f>(-5-((((-5*(-5/((-5/(((-5*(-23.06--5))-(-5+((-5*-23.06)*(((-5--5)+(-23.06--5))+-23.06))))-(-5+-5)))*-5)))/-5)--5)+(-5*(((-23.06*(-23.06-(-5/-5)))*(-23.06-(-23.06/(-5*-23.06))))-(-5/-5)))))</f>
        <v>-62462.05028</v>
      </c>
      <c r="C7695" t="n" s="0">
        <v>-62462.05027999999</v>
      </c>
    </row>
    <row r="7696">
      <c r="A7696" t="n" s="0">
        <v>-23.05</v>
      </c>
      <c r="B7696" t="n" s="0">
        <f>(-5-((((-5*(-5/((-5/(((-5*(-23.05--5))-(-5+((-5*-23.05)*(((-5--5)+(-23.05--5))+-23.05))))-(-5+-5)))*-5)))/-5)--5)+(-5*(((-23.05*(-23.05-(-5/-5)))*(-23.05-(-23.05/(-5*-23.05))))-(-5/-5)))))</f>
        <v>-62381.368125</v>
      </c>
      <c r="C7696" t="n" s="0">
        <v>-62381.36812500001</v>
      </c>
    </row>
    <row r="7697">
      <c r="A7697" t="n" s="0">
        <v>-23.04</v>
      </c>
      <c r="B7697" t="n" s="0">
        <f>(-5-((((-5*(-5/((-5/(((-5*(-23.04--5))-(-5+((-5*-23.04)*(((-5--5)+(-23.04--5))+-23.04))))-(-5+-5)))*-5)))/-5)--5)+(-5*(((-23.04*(-23.04-(-5/-5)))*(-23.04-(-23.04/(-5*-23.04))))-(-5/-5)))))</f>
        <v>-62300.755520000006</v>
      </c>
      <c r="C7697" t="n" s="0">
        <v>-62300.75552</v>
      </c>
    </row>
    <row r="7698">
      <c r="A7698" t="n" s="0">
        <v>-23.03</v>
      </c>
      <c r="B7698" t="n" s="0">
        <f>(-5-((((-5*(-5/((-5/(((-5*(-23.03--5))-(-5+((-5*-23.03)*(((-5--5)+(-23.03--5))+-23.03))))-(-5+-5)))*-5)))/-5)--5)+(-5*(((-23.03*(-23.03-(-5/-5)))*(-23.03-(-23.03/(-5*-23.03))))-(-5/-5)))))</f>
        <v>-62220.212435</v>
      </c>
      <c r="C7698" t="n" s="0">
        <v>-62220.212435</v>
      </c>
    </row>
    <row r="7699">
      <c r="A7699" t="n" s="0">
        <v>-23.02</v>
      </c>
      <c r="B7699" t="n" s="0">
        <f>(-5-((((-5*(-5/((-5/(((-5*(-23.02--5))-(-5+((-5*-23.02)*(((-5--5)+(-23.02--5))+-23.02))))-(-5+-5)))*-5)))/-5)--5)+(-5*(((-23.02*(-23.02-(-5/-5)))*(-23.02-(-23.02/(-5*-23.02))))-(-5/-5)))))</f>
        <v>-62139.738840000005</v>
      </c>
      <c r="C7699" t="n" s="0">
        <v>-62139.73884</v>
      </c>
    </row>
    <row r="7700">
      <c r="A7700" t="n" s="0">
        <v>-23.01</v>
      </c>
      <c r="B7700" t="n" s="0">
        <f>(-5-((((-5*(-5/((-5/(((-5*(-23.01--5))-(-5+((-5*-23.01)*(((-5--5)+(-23.01--5))+-23.01))))-(-5+-5)))*-5)))/-5)--5)+(-5*(((-23.01*(-23.01-(-5/-5)))*(-23.01-(-23.01/(-5*-23.01))))-(-5/-5)))))</f>
        <v>-62059.334704999994</v>
      </c>
      <c r="C7700" t="n" s="0">
        <v>-62059.334705000016</v>
      </c>
    </row>
    <row r="7701">
      <c r="A7701" t="n" s="0">
        <v>-23.0</v>
      </c>
      <c r="B7701" t="n" s="0">
        <f>(-5-((((-5*(-5/((-5/(((-5*(-23--5))-(-5+((-5*-23)*(((-5--5)+(-23--5))+-23))))-(-5+-5)))*-5)))/-5)--5)+(-5*(((-23*(-23-(-5/-5)))*(-23-(-23/(-5*-23))))-(-5/-5)))))</f>
        <v>-61979.0</v>
      </c>
      <c r="C7701" t="n" s="0">
        <v>-61979.0</v>
      </c>
    </row>
    <row r="7702">
      <c r="A7702" t="n" s="0">
        <v>-22.99</v>
      </c>
      <c r="B7702" t="n" s="0">
        <f>(-5-((((-5*(-5/((-5/(((-5*(-22.99--5))-(-5+((-5*-22.99)*(((-5--5)+(-22.99--5))+-22.99))))-(-5+-5)))*-5)))/-5)--5)+(-5*(((-22.99*(-22.99-(-5/-5)))*(-22.99-(-22.99/(-5*-22.99))))-(-5/-5)))))</f>
        <v>-61898.73469499999</v>
      </c>
      <c r="C7702" t="n" s="0">
        <v>-61898.734694999985</v>
      </c>
    </row>
    <row r="7703">
      <c r="A7703" t="n" s="0">
        <v>-22.98</v>
      </c>
      <c r="B7703" t="n" s="0">
        <f>(-5-((((-5*(-5/((-5/(((-5*(-22.98--5))-(-5+((-5*-22.98)*(((-5--5)+(-22.98--5))+-22.98))))-(-5+-5)))*-5)))/-5)--5)+(-5*(((-22.98*(-22.98-(-5/-5)))*(-22.98-(-22.98/(-5*-22.98))))-(-5/-5)))))</f>
        <v>-61818.53876</v>
      </c>
      <c r="C7703" t="n" s="0">
        <v>-61818.53876</v>
      </c>
    </row>
    <row r="7704">
      <c r="A7704" t="n" s="0">
        <v>-22.97</v>
      </c>
      <c r="B7704" t="n" s="0">
        <f>(-5-((((-5*(-5/((-5/(((-5*(-22.97--5))-(-5+((-5*-22.97)*(((-5--5)+(-22.97--5))+-22.97))))-(-5+-5)))*-5)))/-5)--5)+(-5*(((-22.97*(-22.97-(-5/-5)))*(-22.97-(-22.97/(-5*-22.97))))-(-5/-5)))))</f>
        <v>-61738.412165</v>
      </c>
      <c r="C7704" t="n" s="0">
        <v>-61738.412165</v>
      </c>
    </row>
    <row r="7705">
      <c r="A7705" t="n" s="0">
        <v>-22.96</v>
      </c>
      <c r="B7705" t="n" s="0">
        <f>(-5-((((-5*(-5/((-5/(((-5*(-22.96--5))-(-5+((-5*-22.96)*(((-5--5)+(-22.96--5))+-22.96))))-(-5+-5)))*-5)))/-5)--5)+(-5*(((-22.96*(-22.96-(-5/-5)))*(-22.96-(-22.96/(-5*-22.96))))-(-5/-5)))))</f>
        <v>-61658.35488</v>
      </c>
      <c r="C7705" t="n" s="0">
        <v>-61658.354880000006</v>
      </c>
    </row>
    <row r="7706">
      <c r="A7706" t="n" s="0">
        <v>-22.95</v>
      </c>
      <c r="B7706" t="n" s="0">
        <f>(-5-((((-5*(-5/((-5/(((-5*(-22.95--5))-(-5+((-5*-22.95)*(((-5--5)+(-22.95--5))+-22.95))))-(-5+-5)))*-5)))/-5)--5)+(-5*(((-22.95*(-22.95-(-5/-5)))*(-22.95-(-22.95/(-5*-22.95))))-(-5/-5)))))</f>
        <v>-61578.36687500001</v>
      </c>
      <c r="C7706" t="n" s="0">
        <v>-61578.366875</v>
      </c>
    </row>
    <row r="7707">
      <c r="A7707" t="n" s="0">
        <v>-22.94</v>
      </c>
      <c r="B7707" t="n" s="0">
        <f>(-5-((((-5*(-5/((-5/(((-5*(-22.94--5))-(-5+((-5*-22.94)*(((-5--5)+(-22.94--5))+-22.94))))-(-5+-5)))*-5)))/-5)--5)+(-5*(((-22.94*(-22.94-(-5/-5)))*(-22.94-(-22.94/(-5*-22.94))))-(-5/-5)))))</f>
        <v>-61498.44812</v>
      </c>
      <c r="C7707" t="n" s="0">
        <v>-61498.448120000015</v>
      </c>
    </row>
    <row r="7708">
      <c r="A7708" t="n" s="0">
        <v>-22.93</v>
      </c>
      <c r="B7708" t="n" s="0">
        <f>(-5-((((-5*(-5/((-5/(((-5*(-22.93--5))-(-5+((-5*-22.93)*(((-5--5)+(-22.93--5))+-22.93))))-(-5+-5)))*-5)))/-5)--5)+(-5*(((-22.93*(-22.93-(-5/-5)))*(-22.93-(-22.93/(-5*-22.93))))-(-5/-5)))))</f>
        <v>-61418.598585</v>
      </c>
      <c r="C7708" t="n" s="0">
        <v>-61418.59858499999</v>
      </c>
    </row>
    <row r="7709">
      <c r="A7709" t="n" s="0">
        <v>-22.92</v>
      </c>
      <c r="B7709" t="n" s="0">
        <f>(-5-((((-5*(-5/((-5/(((-5*(-22.92--5))-(-5+((-5*-22.92)*(((-5--5)+(-22.92--5))+-22.92))))-(-5+-5)))*-5)))/-5)--5)+(-5*(((-22.92*(-22.92-(-5/-5)))*(-22.92-(-22.92/(-5*-22.92))))-(-5/-5)))))</f>
        <v>-61338.81823999999</v>
      </c>
      <c r="C7709" t="n" s="0">
        <v>-61338.818240000015</v>
      </c>
    </row>
    <row r="7710">
      <c r="A7710" t="n" s="0">
        <v>-22.91</v>
      </c>
      <c r="B7710" t="n" s="0">
        <f>(-5-((((-5*(-5/((-5/(((-5*(-22.91--5))-(-5+((-5*-22.91)*(((-5--5)+(-22.91--5))+-22.91))))-(-5+-5)))*-5)))/-5)--5)+(-5*(((-22.91*(-22.91-(-5/-5)))*(-22.91-(-22.91/(-5*-22.91))))-(-5/-5)))))</f>
        <v>-61259.10705500001</v>
      </c>
      <c r="C7710" t="n" s="0">
        <v>-61259.10705500001</v>
      </c>
    </row>
    <row r="7711">
      <c r="A7711" t="n" s="0">
        <v>-22.9</v>
      </c>
      <c r="B7711" t="n" s="0">
        <f>(-5-((((-5*(-5/((-5/(((-5*(-22.9--5))-(-5+((-5*-22.9)*(((-5--5)+(-22.9--5))+-22.9))))-(-5+-5)))*-5)))/-5)--5)+(-5*(((-22.9*(-22.9-(-5/-5)))*(-22.9-(-22.9/(-5*-22.9))))-(-5/-5)))))</f>
        <v>-61179.465000000004</v>
      </c>
      <c r="C7711" t="n" s="0">
        <v>-61179.46499999999</v>
      </c>
    </row>
    <row r="7712">
      <c r="A7712" t="n" s="0">
        <v>-22.89</v>
      </c>
      <c r="B7712" t="n" s="0">
        <f>(-5-((((-5*(-5/((-5/(((-5*(-22.89--5))-(-5+((-5*-22.89)*(((-5--5)+(-22.89--5))+-22.89))))-(-5+-5)))*-5)))/-5)--5)+(-5*(((-22.89*(-22.89-(-5/-5)))*(-22.89-(-22.89/(-5*-22.89))))-(-5/-5)))))</f>
        <v>-61099.892045</v>
      </c>
      <c r="C7712" t="n" s="0">
        <v>-61099.892045</v>
      </c>
    </row>
    <row r="7713">
      <c r="A7713" t="n" s="0">
        <v>-22.88</v>
      </c>
      <c r="B7713" t="n" s="0">
        <f>(-5-((((-5*(-5/((-5/(((-5*(-22.88--5))-(-5+((-5*-22.88)*(((-5--5)+(-22.88--5))+-22.88))))-(-5+-5)))*-5)))/-5)--5)+(-5*(((-22.88*(-22.88-(-5/-5)))*(-22.88-(-22.88/(-5*-22.88))))-(-5/-5)))))</f>
        <v>-61020.388159999995</v>
      </c>
      <c r="C7713" t="n" s="0">
        <v>-61020.38815999999</v>
      </c>
    </row>
    <row r="7714">
      <c r="A7714" t="n" s="0">
        <v>-22.87</v>
      </c>
      <c r="B7714" t="n" s="0">
        <f>(-5-((((-5*(-5/((-5/(((-5*(-22.87--5))-(-5+((-5*-22.87)*(((-5--5)+(-22.87--5))+-22.87))))-(-5+-5)))*-5)))/-5)--5)+(-5*(((-22.87*(-22.87-(-5/-5)))*(-22.87-(-22.87/(-5*-22.87))))-(-5/-5)))))</f>
        <v>-60940.953315</v>
      </c>
      <c r="C7714" t="n" s="0">
        <v>-60940.953315000006</v>
      </c>
    </row>
    <row r="7715">
      <c r="A7715" t="n" s="0">
        <v>-22.86</v>
      </c>
      <c r="B7715" t="n" s="0">
        <f>(-5-((((-5*(-5/((-5/(((-5*(-22.86--5))-(-5+((-5*-22.86)*(((-5--5)+(-22.86--5))+-22.86))))-(-5+-5)))*-5)))/-5)--5)+(-5*(((-22.86*(-22.86-(-5/-5)))*(-22.86-(-22.86/(-5*-22.86))))-(-5/-5)))))</f>
        <v>-60861.58748</v>
      </c>
      <c r="C7715" t="n" s="0">
        <v>-60861.587479999995</v>
      </c>
    </row>
    <row r="7716">
      <c r="A7716" t="n" s="0">
        <v>-22.85</v>
      </c>
      <c r="B7716" t="n" s="0">
        <f>(-5-((((-5*(-5/((-5/(((-5*(-22.85--5))-(-5+((-5*-22.85)*(((-5--5)+(-22.85--5))+-22.85))))-(-5+-5)))*-5)))/-5)--5)+(-5*(((-22.85*(-22.85-(-5/-5)))*(-22.85-(-22.85/(-5*-22.85))))-(-5/-5)))))</f>
        <v>-60782.290625</v>
      </c>
      <c r="C7716" t="n" s="0">
        <v>-60782.290625000016</v>
      </c>
    </row>
    <row r="7717">
      <c r="A7717" t="n" s="0">
        <v>-22.84</v>
      </c>
      <c r="B7717" t="n" s="0">
        <f>(-5-((((-5*(-5/((-5/(((-5*(-22.84--5))-(-5+((-5*-22.84)*(((-5--5)+(-22.84--5))+-22.84))))-(-5+-5)))*-5)))/-5)--5)+(-5*(((-22.84*(-22.84-(-5/-5)))*(-22.84-(-22.84/(-5*-22.84))))-(-5/-5)))))</f>
        <v>-60703.06272</v>
      </c>
      <c r="C7717" t="n" s="0">
        <v>-60703.062719999994</v>
      </c>
    </row>
    <row r="7718">
      <c r="A7718" t="n" s="0">
        <v>-22.83</v>
      </c>
      <c r="B7718" t="n" s="0">
        <f>(-5-((((-5*(-5/((-5/(((-5*(-22.83--5))-(-5+((-5*-22.83)*(((-5--5)+(-22.83--5))+-22.83))))-(-5+-5)))*-5)))/-5)--5)+(-5*(((-22.83*(-22.83-(-5/-5)))*(-22.83-(-22.83/(-5*-22.83))))-(-5/-5)))))</f>
        <v>-60623.903735</v>
      </c>
      <c r="C7718" t="n" s="0">
        <v>-60623.903734999985</v>
      </c>
    </row>
    <row r="7719">
      <c r="A7719" t="n" s="0">
        <v>-22.82</v>
      </c>
      <c r="B7719" t="n" s="0">
        <f>(-5-((((-5*(-5/((-5/(((-5*(-22.82--5))-(-5+((-5*-22.82)*(((-5--5)+(-22.82--5))+-22.82))))-(-5+-5)))*-5)))/-5)--5)+(-5*(((-22.82*(-22.82-(-5/-5)))*(-22.82-(-22.82/(-5*-22.82))))-(-5/-5)))))</f>
        <v>-60544.81364</v>
      </c>
      <c r="C7719" t="n" s="0">
        <v>-60544.81364000001</v>
      </c>
    </row>
    <row r="7720">
      <c r="A7720" t="n" s="0">
        <v>-22.81</v>
      </c>
      <c r="B7720" t="n" s="0">
        <f>(-5-((((-5*(-5/((-5/(((-5*(-22.81--5))-(-5+((-5*-22.81)*(((-5--5)+(-22.81--5))+-22.81))))-(-5+-5)))*-5)))/-5)--5)+(-5*(((-22.81*(-22.81-(-5/-5)))*(-22.81-(-22.81/(-5*-22.81))))-(-5/-5)))))</f>
        <v>-60465.792405</v>
      </c>
      <c r="C7720" t="n" s="0">
        <v>-60465.792404999986</v>
      </c>
    </row>
    <row r="7721">
      <c r="A7721" t="n" s="0">
        <v>-22.8</v>
      </c>
      <c r="B7721" t="n" s="0">
        <f>(-5-((((-5*(-5/((-5/(((-5*(-22.8--5))-(-5+((-5*-22.8)*(((-5--5)+(-22.8--5))+-22.8))))-(-5+-5)))*-5)))/-5)--5)+(-5*(((-22.8*(-22.8-(-5/-5)))*(-22.8-(-22.8/(-5*-22.8))))-(-5/-5)))))</f>
        <v>-60386.84</v>
      </c>
      <c r="C7721" t="n" s="0">
        <v>-60386.840000000004</v>
      </c>
    </row>
    <row r="7722">
      <c r="A7722" t="n" s="0">
        <v>-22.79</v>
      </c>
      <c r="B7722" t="n" s="0">
        <f>(-5-((((-5*(-5/((-5/(((-5*(-22.79--5))-(-5+((-5*-22.79)*(((-5--5)+(-22.79--5))+-22.79))))-(-5+-5)))*-5)))/-5)--5)+(-5*(((-22.79*(-22.79-(-5/-5)))*(-22.79-(-22.79/(-5*-22.79))))-(-5/-5)))))</f>
        <v>-60307.956395</v>
      </c>
      <c r="C7722" t="n" s="0">
        <v>-60307.956394999994</v>
      </c>
    </row>
    <row r="7723">
      <c r="A7723" t="n" s="0">
        <v>-22.78</v>
      </c>
      <c r="B7723" t="n" s="0">
        <f>(-5-((((-5*(-5/((-5/(((-5*(-22.78--5))-(-5+((-5*-22.78)*(((-5--5)+(-22.78--5))+-22.78))))-(-5+-5)))*-5)))/-5)--5)+(-5*(((-22.78*(-22.78-(-5/-5)))*(-22.78-(-22.78/(-5*-22.78))))-(-5/-5)))))</f>
        <v>-60229.141560000004</v>
      </c>
      <c r="C7723" t="n" s="0">
        <v>-60229.14156000001</v>
      </c>
    </row>
    <row r="7724">
      <c r="A7724" t="n" s="0">
        <v>-22.77</v>
      </c>
      <c r="B7724" t="n" s="0">
        <f>(-5-((((-5*(-5/((-5/(((-5*(-22.77--5))-(-5+((-5*-22.77)*(((-5--5)+(-22.77--5))+-22.77))))-(-5+-5)))*-5)))/-5)--5)+(-5*(((-22.77*(-22.77-(-5/-5)))*(-22.77-(-22.77/(-5*-22.77))))-(-5/-5)))))</f>
        <v>-60150.395464999994</v>
      </c>
      <c r="C7724" t="n" s="0">
        <v>-60150.395464999994</v>
      </c>
    </row>
    <row r="7725">
      <c r="A7725" t="n" s="0">
        <v>-22.76</v>
      </c>
      <c r="B7725" t="n" s="0">
        <f>(-5-((((-5*(-5/((-5/(((-5*(-22.76--5))-(-5+((-5*-22.76)*(((-5--5)+(-22.76--5))+-22.76))))-(-5+-5)))*-5)))/-5)--5)+(-5*(((-22.76*(-22.76-(-5/-5)))*(-22.76-(-22.76/(-5*-22.76))))-(-5/-5)))))</f>
        <v>-60071.71808</v>
      </c>
      <c r="C7725" t="n" s="0">
        <v>-60071.718080000006</v>
      </c>
    </row>
    <row r="7726">
      <c r="A7726" t="n" s="0">
        <v>-22.75</v>
      </c>
      <c r="B7726" t="n" s="0">
        <f>(-5-((((-5*(-5/((-5/(((-5*(-22.75--5))-(-5+((-5*-22.75)*(((-5--5)+(-22.75--5))+-22.75))))-(-5+-5)))*-5)))/-5)--5)+(-5*(((-22.75*(-22.75-(-5/-5)))*(-22.75-(-22.75/(-5*-22.75))))-(-5/-5)))))</f>
        <v>-59993.109375</v>
      </c>
      <c r="C7726" t="n" s="0">
        <v>-59993.109375</v>
      </c>
    </row>
    <row r="7727">
      <c r="A7727" t="n" s="0">
        <v>-22.74</v>
      </c>
      <c r="B7727" t="n" s="0">
        <f>(-5-((((-5*(-5/((-5/(((-5*(-22.74--5))-(-5+((-5*-22.74)*(((-5--5)+(-22.74--5))+-22.74))))-(-5+-5)))*-5)))/-5)--5)+(-5*(((-22.74*(-22.74-(-5/-5)))*(-22.74-(-22.74/(-5*-22.74))))-(-5/-5)))))</f>
        <v>-59914.569319999995</v>
      </c>
      <c r="C7727" t="n" s="0">
        <v>-59914.56931999999</v>
      </c>
    </row>
    <row r="7728">
      <c r="A7728" t="n" s="0">
        <v>-22.73</v>
      </c>
      <c r="B7728" t="n" s="0">
        <f>(-5-((((-5*(-5/((-5/(((-5*(-22.73--5))-(-5+((-5*-22.73)*(((-5--5)+(-22.73--5))+-22.73))))-(-5+-5)))*-5)))/-5)--5)+(-5*(((-22.73*(-22.73-(-5/-5)))*(-22.73-(-22.73/(-5*-22.73))))-(-5/-5)))))</f>
        <v>-59836.097884999996</v>
      </c>
      <c r="C7728" t="n" s="0">
        <v>-59836.09788500001</v>
      </c>
    </row>
    <row r="7729">
      <c r="A7729" t="n" s="0">
        <v>-22.72</v>
      </c>
      <c r="B7729" t="n" s="0">
        <f>(-5-((((-5*(-5/((-5/(((-5*(-22.72--5))-(-5+((-5*-22.72)*(((-5--5)+(-22.72--5))+-22.72))))-(-5+-5)))*-5)))/-5)--5)+(-5*(((-22.72*(-22.72-(-5/-5)))*(-22.72-(-22.72/(-5*-22.72))))-(-5/-5)))))</f>
        <v>-59757.69504</v>
      </c>
      <c r="C7729" t="n" s="0">
        <v>-59757.69503999999</v>
      </c>
    </row>
    <row r="7730">
      <c r="A7730" t="n" s="0">
        <v>-22.71</v>
      </c>
      <c r="B7730" t="n" s="0">
        <f>(-5-((((-5*(-5/((-5/(((-5*(-22.71--5))-(-5+((-5*-22.71)*(((-5--5)+(-22.71--5))+-22.71))))-(-5+-5)))*-5)))/-5)--5)+(-5*(((-22.71*(-22.71-(-5/-5)))*(-22.71-(-22.71/(-5*-22.71))))-(-5/-5)))))</f>
        <v>-59679.360754999994</v>
      </c>
      <c r="C7730" t="n" s="0">
        <v>-59679.360755</v>
      </c>
    </row>
    <row r="7731">
      <c r="A7731" t="n" s="0">
        <v>-22.7</v>
      </c>
      <c r="B7731" t="n" s="0">
        <f>(-5-((((-5*(-5/((-5/(((-5*(-22.7--5))-(-5+((-5*-22.7)*(((-5--5)+(-22.7--5))+-22.7))))-(-5+-5)))*-5)))/-5)--5)+(-5*(((-22.7*(-22.7-(-5/-5)))*(-22.7-(-22.7/(-5*-22.7))))-(-5/-5)))))</f>
        <v>-59601.095</v>
      </c>
      <c r="C7731" t="n" s="0">
        <v>-59601.094999999994</v>
      </c>
    </row>
    <row r="7732">
      <c r="A7732" t="n" s="0">
        <v>-22.69</v>
      </c>
      <c r="B7732" t="n" s="0">
        <f>(-5-((((-5*(-5/((-5/(((-5*(-22.69--5))-(-5+((-5*-22.69)*(((-5--5)+(-22.69--5))+-22.69))))-(-5+-5)))*-5)))/-5)--5)+(-5*(((-22.69*(-22.69-(-5/-5)))*(-22.69-(-22.69/(-5*-22.69))))-(-5/-5)))))</f>
        <v>-59522.897745</v>
      </c>
      <c r="C7732" t="n" s="0">
        <v>-59522.89774500001</v>
      </c>
    </row>
    <row r="7733">
      <c r="A7733" t="n" s="0">
        <v>-22.68</v>
      </c>
      <c r="B7733" t="n" s="0">
        <f>(-5-((((-5*(-5/((-5/(((-5*(-22.68--5))-(-5+((-5*-22.68)*(((-5--5)+(-22.68--5))+-22.68))))-(-5+-5)))*-5)))/-5)--5)+(-5*(((-22.68*(-22.68-(-5/-5)))*(-22.68-(-22.68/(-5*-22.68))))-(-5/-5)))))</f>
        <v>-59444.768959999994</v>
      </c>
      <c r="C7733" t="n" s="0">
        <v>-59444.768959999994</v>
      </c>
    </row>
    <row r="7734">
      <c r="A7734" t="n" s="0">
        <v>-22.67</v>
      </c>
      <c r="B7734" t="n" s="0">
        <f>(-5-((((-5*(-5/((-5/(((-5*(-22.67--5))-(-5+((-5*-22.67)*(((-5--5)+(-22.67--5))+-22.67))))-(-5+-5)))*-5)))/-5)--5)+(-5*(((-22.67*(-22.67-(-5/-5)))*(-22.67-(-22.67/(-5*-22.67))))-(-5/-5)))))</f>
        <v>-59366.708615</v>
      </c>
      <c r="C7734" t="n" s="0">
        <v>-59366.70861500001</v>
      </c>
    </row>
    <row r="7735">
      <c r="A7735" t="n" s="0">
        <v>-22.66</v>
      </c>
      <c r="B7735" t="n" s="0">
        <f>(-5-((((-5*(-5/((-5/(((-5*(-22.66--5))-(-5+((-5*-22.66)*(((-5--5)+(-22.66--5))+-22.66))))-(-5+-5)))*-5)))/-5)--5)+(-5*(((-22.66*(-22.66-(-5/-5)))*(-22.66-(-22.66/(-5*-22.66))))-(-5/-5)))))</f>
        <v>-59288.71668</v>
      </c>
      <c r="C7735" t="n" s="0">
        <v>-59288.716680000005</v>
      </c>
    </row>
    <row r="7736">
      <c r="A7736" t="n" s="0">
        <v>-22.65</v>
      </c>
      <c r="B7736" t="n" s="0">
        <f>(-5-((((-5*(-5/((-5/(((-5*(-22.65--5))-(-5+((-5*-22.65)*(((-5--5)+(-22.65--5))+-22.65))))-(-5+-5)))*-5)))/-5)--5)+(-5*(((-22.65*(-22.65-(-5/-5)))*(-22.65-(-22.65/(-5*-22.65))))-(-5/-5)))))</f>
        <v>-59210.793125000004</v>
      </c>
      <c r="C7736" t="n" s="0">
        <v>-59210.79312499998</v>
      </c>
    </row>
    <row r="7737">
      <c r="A7737" t="n" s="0">
        <v>-22.64</v>
      </c>
      <c r="B7737" t="n" s="0">
        <f>(-5-((((-5*(-5/((-5/(((-5*(-22.64--5))-(-5+((-5*-22.64)*(((-5--5)+(-22.64--5))+-22.64))))-(-5+-5)))*-5)))/-5)--5)+(-5*(((-22.64*(-22.64-(-5/-5)))*(-22.64-(-22.64/(-5*-22.64))))-(-5/-5)))))</f>
        <v>-59132.93792</v>
      </c>
      <c r="C7737" t="n" s="0">
        <v>-59132.937920000004</v>
      </c>
    </row>
    <row r="7738">
      <c r="A7738" t="n" s="0">
        <v>-22.63</v>
      </c>
      <c r="B7738" t="n" s="0">
        <f>(-5-((((-5*(-5/((-5/(((-5*(-22.63--5))-(-5+((-5*-22.63)*(((-5--5)+(-22.63--5))+-22.63))))-(-5+-5)))*-5)))/-5)--5)+(-5*(((-22.63*(-22.63-(-5/-5)))*(-22.63-(-22.63/(-5*-22.63))))-(-5/-5)))))</f>
        <v>-59055.151035</v>
      </c>
      <c r="C7738" t="n" s="0">
        <v>-59055.151034999995</v>
      </c>
    </row>
    <row r="7739">
      <c r="A7739" t="n" s="0">
        <v>-22.62</v>
      </c>
      <c r="B7739" t="n" s="0">
        <f>(-5-((((-5*(-5/((-5/(((-5*(-22.62--5))-(-5+((-5*-22.62)*(((-5--5)+(-22.62--5))+-22.62))))-(-5+-5)))*-5)))/-5)--5)+(-5*(((-22.62*(-22.62-(-5/-5)))*(-22.62-(-22.62/(-5*-22.62))))-(-5/-5)))))</f>
        <v>-58977.432440000004</v>
      </c>
      <c r="C7739" t="n" s="0">
        <v>-58977.432440000004</v>
      </c>
    </row>
    <row r="7740">
      <c r="A7740" t="n" s="0">
        <v>-22.61</v>
      </c>
      <c r="B7740" t="n" s="0">
        <f>(-5-((((-5*(-5/((-5/(((-5*(-22.61--5))-(-5+((-5*-22.61)*(((-5--5)+(-22.61--5))+-22.61))))-(-5+-5)))*-5)))/-5)--5)+(-5*(((-22.61*(-22.61-(-5/-5)))*(-22.61-(-22.61/(-5*-22.61))))-(-5/-5)))))</f>
        <v>-58899.782105</v>
      </c>
      <c r="C7740" t="n" s="0">
        <v>-58899.782105</v>
      </c>
    </row>
    <row r="7741">
      <c r="A7741" t="n" s="0">
        <v>-22.6</v>
      </c>
      <c r="B7741" t="n" s="0">
        <f>(-5-((((-5*(-5/((-5/(((-5*(-22.6--5))-(-5+((-5*-22.6)*(((-5--5)+(-22.6--5))+-22.6))))-(-5+-5)))*-5)))/-5)--5)+(-5*(((-22.6*(-22.6-(-5/-5)))*(-22.6-(-22.6/(-5*-22.6))))-(-5/-5)))))</f>
        <v>-58822.200000000004</v>
      </c>
      <c r="C7741" t="n" s="0">
        <v>-58822.200000000004</v>
      </c>
    </row>
    <row r="7742">
      <c r="A7742" t="n" s="0">
        <v>-22.59</v>
      </c>
      <c r="B7742" t="n" s="0">
        <f>(-5-((((-5*(-5/((-5/(((-5*(-22.59--5))-(-5+((-5*-22.59)*(((-5--5)+(-22.59--5))+-22.59))))-(-5+-5)))*-5)))/-5)--5)+(-5*(((-22.59*(-22.59-(-5/-5)))*(-22.59-(-22.59/(-5*-22.59))))-(-5/-5)))))</f>
        <v>-58744.686095000005</v>
      </c>
      <c r="C7742" t="n" s="0">
        <v>-58744.68609499999</v>
      </c>
    </row>
    <row r="7743">
      <c r="A7743" t="n" s="0">
        <v>-22.58</v>
      </c>
      <c r="B7743" t="n" s="0">
        <f>(-5-((((-5*(-5/((-5/(((-5*(-22.58--5))-(-5+((-5*-22.58)*(((-5--5)+(-22.58--5))+-22.58))))-(-5+-5)))*-5)))/-5)--5)+(-5*(((-22.58*(-22.58-(-5/-5)))*(-22.58-(-22.58/(-5*-22.58))))-(-5/-5)))))</f>
        <v>-58667.24036</v>
      </c>
      <c r="C7743" t="n" s="0">
        <v>-58667.24035999999</v>
      </c>
    </row>
    <row r="7744">
      <c r="A7744" t="n" s="0">
        <v>-22.57</v>
      </c>
      <c r="B7744" t="n" s="0">
        <f>(-5-((((-5*(-5/((-5/(((-5*(-22.57--5))-(-5+((-5*-22.57)*(((-5--5)+(-22.57--5))+-22.57))))-(-5+-5)))*-5)))/-5)--5)+(-5*(((-22.57*(-22.57-(-5/-5)))*(-22.57-(-22.57/(-5*-22.57))))-(-5/-5)))))</f>
        <v>-58589.862765000005</v>
      </c>
      <c r="C7744" t="n" s="0">
        <v>-58589.862765000005</v>
      </c>
    </row>
    <row r="7745">
      <c r="A7745" t="n" s="0">
        <v>-22.56</v>
      </c>
      <c r="B7745" t="n" s="0">
        <f>(-5-((((-5*(-5/((-5/(((-5*(-22.56--5))-(-5+((-5*-22.56)*(((-5--5)+(-22.56--5))+-22.56))))-(-5+-5)))*-5)))/-5)--5)+(-5*(((-22.56*(-22.56-(-5/-5)))*(-22.56-(-22.56/(-5*-22.56))))-(-5/-5)))))</f>
        <v>-58512.55328</v>
      </c>
      <c r="C7745" t="n" s="0">
        <v>-58512.55328</v>
      </c>
    </row>
    <row r="7746">
      <c r="A7746" t="n" s="0">
        <v>-22.55</v>
      </c>
      <c r="B7746" t="n" s="0">
        <f>(-5-((((-5*(-5/((-5/(((-5*(-22.55--5))-(-5+((-5*-22.55)*(((-5--5)+(-22.55--5))+-22.55))))-(-5+-5)))*-5)))/-5)--5)+(-5*(((-22.55*(-22.55-(-5/-5)))*(-22.55-(-22.55/(-5*-22.55))))-(-5/-5)))))</f>
        <v>-58435.31187499999</v>
      </c>
      <c r="C7746" t="n" s="0">
        <v>-58435.31187500001</v>
      </c>
    </row>
    <row r="7747">
      <c r="A7747" t="n" s="0">
        <v>-22.54</v>
      </c>
      <c r="B7747" t="n" s="0">
        <f>(-5-((((-5*(-5/((-5/(((-5*(-22.54--5))-(-5+((-5*-22.54)*(((-5--5)+(-22.54--5))+-22.54))))-(-5+-5)))*-5)))/-5)--5)+(-5*(((-22.54*(-22.54-(-5/-5)))*(-22.54-(-22.54/(-5*-22.54))))-(-5/-5)))))</f>
        <v>-58358.13852</v>
      </c>
      <c r="C7747" t="n" s="0">
        <v>-58358.13851999999</v>
      </c>
    </row>
    <row r="7748">
      <c r="A7748" t="n" s="0">
        <v>-22.53</v>
      </c>
      <c r="B7748" t="n" s="0">
        <f>(-5-((((-5*(-5/((-5/(((-5*(-22.53--5))-(-5+((-5*-22.53)*(((-5--5)+(-22.53--5))+-22.53))))-(-5+-5)))*-5)))/-5)--5)+(-5*(((-22.53*(-22.53-(-5/-5)))*(-22.53-(-22.53/(-5*-22.53))))-(-5/-5)))))</f>
        <v>-58281.033185</v>
      </c>
      <c r="C7748" t="n" s="0">
        <v>-58281.033185000015</v>
      </c>
    </row>
    <row r="7749">
      <c r="A7749" t="n" s="0">
        <v>-22.52</v>
      </c>
      <c r="B7749" t="n" s="0">
        <f>(-5-((((-5*(-5/((-5/(((-5*(-22.52--5))-(-5+((-5*-22.52)*(((-5--5)+(-22.52--5))+-22.52))))-(-5+-5)))*-5)))/-5)--5)+(-5*(((-22.52*(-22.52-(-5/-5)))*(-22.52-(-22.52/(-5*-22.52))))-(-5/-5)))))</f>
        <v>-58203.995839999996</v>
      </c>
      <c r="C7749" t="n" s="0">
        <v>-58203.99583999999</v>
      </c>
    </row>
    <row r="7750">
      <c r="A7750" t="n" s="0">
        <v>-22.51</v>
      </c>
      <c r="B7750" t="n" s="0">
        <f>(-5-((((-5*(-5/((-5/(((-5*(-22.51--5))-(-5+((-5*-22.51)*(((-5--5)+(-22.51--5))+-22.51))))-(-5+-5)))*-5)))/-5)--5)+(-5*(((-22.51*(-22.51-(-5/-5)))*(-22.51-(-22.51/(-5*-22.51))))-(-5/-5)))))</f>
        <v>-58127.02645500001</v>
      </c>
      <c r="C7750" t="n" s="0">
        <v>-58127.026455000014</v>
      </c>
    </row>
    <row r="7751">
      <c r="A7751" t="n" s="0">
        <v>-22.5</v>
      </c>
      <c r="B7751" t="n" s="0">
        <f>(-5-((((-5*(-5/((-5/(((-5*(-22.5--5))-(-5+((-5*-22.5)*(((-5--5)+(-22.5--5))+-22.5))))-(-5+-5)))*-5)))/-5)--5)+(-5*(((-22.5*(-22.5-(-5/-5)))*(-22.5-(-22.5/(-5*-22.5))))-(-5/-5)))))</f>
        <v>-58050.125</v>
      </c>
      <c r="C7751" t="n" s="0">
        <v>-58050.125</v>
      </c>
    </row>
    <row r="7752">
      <c r="A7752" t="n" s="0">
        <v>-22.49</v>
      </c>
      <c r="B7752" t="n" s="0">
        <f>(-5-((((-5*(-5/((-5/(((-5*(-22.49--5))-(-5+((-5*-22.49)*(((-5--5)+(-22.49--5))+-22.49))))-(-5+-5)))*-5)))/-5)--5)+(-5*(((-22.49*(-22.49-(-5/-5)))*(-22.49-(-22.49/(-5*-22.49))))-(-5/-5)))))</f>
        <v>-57973.291444999995</v>
      </c>
      <c r="C7752" t="n" s="0">
        <v>-57973.291444999995</v>
      </c>
    </row>
    <row r="7753">
      <c r="A7753" t="n" s="0">
        <v>-22.48</v>
      </c>
      <c r="B7753" t="n" s="0">
        <f>(-5-((((-5*(-5/((-5/(((-5*(-22.48--5))-(-5+((-5*-22.48)*(((-5--5)+(-22.48--5))+-22.48))))-(-5+-5)))*-5)))/-5)--5)+(-5*(((-22.48*(-22.48-(-5/-5)))*(-22.48-(-22.48/(-5*-22.48))))-(-5/-5)))))</f>
        <v>-57896.52576</v>
      </c>
      <c r="C7753" t="n" s="0">
        <v>-57896.525760000004</v>
      </c>
    </row>
    <row r="7754">
      <c r="A7754" t="n" s="0">
        <v>-22.47</v>
      </c>
      <c r="B7754" t="n" s="0">
        <f>(-5-((((-5*(-5/((-5/(((-5*(-22.47--5))-(-5+((-5*-22.47)*(((-5--5)+(-22.47--5))+-22.47))))-(-5+-5)))*-5)))/-5)--5)+(-5*(((-22.47*(-22.47-(-5/-5)))*(-22.47-(-22.47/(-5*-22.47))))-(-5/-5)))))</f>
        <v>-57819.827914999994</v>
      </c>
      <c r="C7754" t="n" s="0">
        <v>-57819.827915</v>
      </c>
    </row>
    <row r="7755">
      <c r="A7755" t="n" s="0">
        <v>-22.46</v>
      </c>
      <c r="B7755" t="n" s="0">
        <f>(-5-((((-5*(-5/((-5/(((-5*(-22.46--5))-(-5+((-5*-22.46)*(((-5--5)+(-22.46--5))+-22.46))))-(-5+-5)))*-5)))/-5)--5)+(-5*(((-22.46*(-22.46-(-5/-5)))*(-22.46-(-22.46/(-5*-22.46))))-(-5/-5)))))</f>
        <v>-57743.19787999999</v>
      </c>
      <c r="C7755" t="n" s="0">
        <v>-57743.19788000001</v>
      </c>
    </row>
    <row r="7756">
      <c r="A7756" t="n" s="0">
        <v>-22.45</v>
      </c>
      <c r="B7756" t="n" s="0">
        <f>(-5-((((-5*(-5/((-5/(((-5*(-22.45--5))-(-5+((-5*-22.45)*(((-5--5)+(-22.45--5))+-22.45))))-(-5+-5)))*-5)))/-5)--5)+(-5*(((-22.45*(-22.45-(-5/-5)))*(-22.45-(-22.45/(-5*-22.45))))-(-5/-5)))))</f>
        <v>-57666.635625</v>
      </c>
      <c r="C7756" t="n" s="0">
        <v>-57666.63562499999</v>
      </c>
    </row>
    <row r="7757">
      <c r="A7757" t="n" s="0">
        <v>-22.44</v>
      </c>
      <c r="B7757" t="n" s="0">
        <f>(-5-((((-5*(-5/((-5/(((-5*(-22.44--5))-(-5+((-5*-22.44)*(((-5--5)+(-22.44--5))+-22.44))))-(-5+-5)))*-5)))/-5)--5)+(-5*(((-22.44*(-22.44-(-5/-5)))*(-22.44-(-22.44/(-5*-22.44))))-(-5/-5)))))</f>
        <v>-57590.14112</v>
      </c>
      <c r="C7757" t="n" s="0">
        <v>-57590.14112000001</v>
      </c>
    </row>
    <row r="7758">
      <c r="A7758" t="n" s="0">
        <v>-22.43</v>
      </c>
      <c r="B7758" t="n" s="0">
        <f>(-5-((((-5*(-5/((-5/(((-5*(-22.43--5))-(-5+((-5*-22.43)*(((-5--5)+(-22.43--5))+-22.43))))-(-5+-5)))*-5)))/-5)--5)+(-5*(((-22.43*(-22.43-(-5/-5)))*(-22.43-(-22.43/(-5*-22.43))))-(-5/-5)))))</f>
        <v>-57513.714335</v>
      </c>
      <c r="C7758" t="n" s="0">
        <v>-57513.714335</v>
      </c>
    </row>
    <row r="7759">
      <c r="A7759" t="n" s="0">
        <v>-22.42</v>
      </c>
      <c r="B7759" t="n" s="0">
        <f>(-5-((((-5*(-5/((-5/(((-5*(-22.42--5))-(-5+((-5*-22.42)*(((-5--5)+(-22.42--5))+-22.42))))-(-5+-5)))*-5)))/-5)--5)+(-5*(((-22.42*(-22.42-(-5/-5)))*(-22.42-(-22.42/(-5*-22.42))))-(-5/-5)))))</f>
        <v>-57437.35524</v>
      </c>
      <c r="C7759" t="n" s="0">
        <v>-57437.35524000001</v>
      </c>
    </row>
    <row r="7760">
      <c r="A7760" t="n" s="0">
        <v>-22.41</v>
      </c>
      <c r="B7760" t="n" s="0">
        <f>(-5-((((-5*(-5/((-5/(((-5*(-22.41--5))-(-5+((-5*-22.41)*(((-5--5)+(-22.41--5))+-22.41))))-(-5+-5)))*-5)))/-5)--5)+(-5*(((-22.41*(-22.41-(-5/-5)))*(-22.41-(-22.41/(-5*-22.41))))-(-5/-5)))))</f>
        <v>-57361.063805</v>
      </c>
      <c r="C7760" t="n" s="0">
        <v>-57361.063805000005</v>
      </c>
    </row>
    <row r="7761">
      <c r="A7761" t="n" s="0">
        <v>-22.4</v>
      </c>
      <c r="B7761" t="n" s="0">
        <f>(-5-((((-5*(-5/((-5/(((-5*(-22.4--5))-(-5+((-5*-22.4)*(((-5--5)+(-22.4--5))+-22.4))))-(-5+-5)))*-5)))/-5)--5)+(-5*(((-22.4*(-22.4-(-5/-5)))*(-22.4-(-22.4/(-5*-22.4))))-(-5/-5)))))</f>
        <v>-57284.840000000004</v>
      </c>
      <c r="C7761" t="n" s="0">
        <v>-57284.83999999998</v>
      </c>
    </row>
    <row r="7762">
      <c r="A7762" t="n" s="0">
        <v>-22.39</v>
      </c>
      <c r="B7762" t="n" s="0">
        <f>(-5-((((-5*(-5/((-5/(((-5*(-22.39--5))-(-5+((-5*-22.39)*(((-5--5)+(-22.39--5))+-22.39))))-(-5+-5)))*-5)))/-5)--5)+(-5*(((-22.39*(-22.39-(-5/-5)))*(-22.39-(-22.39/(-5*-22.39))))-(-5/-5)))))</f>
        <v>-57208.683795</v>
      </c>
      <c r="C7762" t="n" s="0">
        <v>-57208.683795</v>
      </c>
    </row>
    <row r="7763">
      <c r="A7763" t="n" s="0">
        <v>-22.38</v>
      </c>
      <c r="B7763" t="n" s="0">
        <f>(-5-((((-5*(-5/((-5/(((-5*(-22.38--5))-(-5+((-5*-22.38)*(((-5--5)+(-22.38--5))+-22.38))))-(-5+-5)))*-5)))/-5)--5)+(-5*(((-22.38*(-22.38-(-5/-5)))*(-22.38-(-22.38/(-5*-22.38))))-(-5/-5)))))</f>
        <v>-57132.59516</v>
      </c>
      <c r="C7763" t="n" s="0">
        <v>-57132.59515999999</v>
      </c>
    </row>
    <row r="7764">
      <c r="A7764" t="n" s="0">
        <v>-22.37</v>
      </c>
      <c r="B7764" t="n" s="0">
        <f>(-5-((((-5*(-5/((-5/(((-5*(-22.37--5))-(-5+((-5*-22.37)*(((-5--5)+(-22.37--5))+-22.37))))-(-5+-5)))*-5)))/-5)--5)+(-5*(((-22.37*(-22.37-(-5/-5)))*(-22.37-(-22.37/(-5*-22.37))))-(-5/-5)))))</f>
        <v>-57056.574065</v>
      </c>
      <c r="C7764" t="n" s="0">
        <v>-57056.574065</v>
      </c>
    </row>
    <row r="7765">
      <c r="A7765" t="n" s="0">
        <v>-22.36</v>
      </c>
      <c r="B7765" t="n" s="0">
        <f>(-5-((((-5*(-5/((-5/(((-5*(-22.36--5))-(-5+((-5*-22.36)*(((-5--5)+(-22.36--5))+-22.36))))-(-5+-5)))*-5)))/-5)--5)+(-5*(((-22.36*(-22.36-(-5/-5)))*(-22.36-(-22.36/(-5*-22.36))))-(-5/-5)))))</f>
        <v>-56980.620480000005</v>
      </c>
      <c r="C7765" t="n" s="0">
        <v>-56980.62048</v>
      </c>
    </row>
    <row r="7766">
      <c r="A7766" t="n" s="0">
        <v>-22.35</v>
      </c>
      <c r="B7766" t="n" s="0">
        <f>(-5-((((-5*(-5/((-5/(((-5*(-22.35--5))-(-5+((-5*-22.35)*(((-5--5)+(-22.35--5))+-22.35))))-(-5+-5)))*-5)))/-5)--5)+(-5*(((-22.35*(-22.35-(-5/-5)))*(-22.35-(-22.35/(-5*-22.35))))-(-5/-5)))))</f>
        <v>-56904.734375</v>
      </c>
      <c r="C7766" t="n" s="0">
        <v>-56904.734375000015</v>
      </c>
    </row>
    <row r="7767">
      <c r="A7767" t="n" s="0">
        <v>-22.34</v>
      </c>
      <c r="B7767" t="n" s="0">
        <f>(-5-((((-5*(-5/((-5/(((-5*(-22.34--5))-(-5+((-5*-22.34)*(((-5--5)+(-22.34--5))+-22.34))))-(-5+-5)))*-5)))/-5)--5)+(-5*(((-22.34*(-22.34-(-5/-5)))*(-22.34-(-22.34/(-5*-22.34))))-(-5/-5)))))</f>
        <v>-56828.91572</v>
      </c>
      <c r="C7767" t="n" s="0">
        <v>-56828.91572</v>
      </c>
    </row>
    <row r="7768">
      <c r="A7768" t="n" s="0">
        <v>-22.33</v>
      </c>
      <c r="B7768" t="n" s="0">
        <f>(-5-((((-5*(-5/((-5/(((-5*(-22.33--5))-(-5+((-5*-22.33)*(((-5--5)+(-22.33--5))+-22.33))))-(-5+-5)))*-5)))/-5)--5)+(-5*(((-22.33*(-22.33-(-5/-5)))*(-22.33-(-22.33/(-5*-22.33))))-(-5/-5)))))</f>
        <v>-56753.164485</v>
      </c>
      <c r="C7768" t="n" s="0">
        <v>-56753.16448499999</v>
      </c>
    </row>
    <row r="7769">
      <c r="A7769" t="n" s="0">
        <v>-22.32</v>
      </c>
      <c r="B7769" t="n" s="0">
        <f>(-5-((((-5*(-5/((-5/(((-5*(-22.32--5))-(-5+((-5*-22.32)*(((-5--5)+(-22.32--5))+-22.32))))-(-5+-5)))*-5)))/-5)--5)+(-5*(((-22.32*(-22.32-(-5/-5)))*(-22.32-(-22.32/(-5*-22.32))))-(-5/-5)))))</f>
        <v>-56677.48064</v>
      </c>
      <c r="C7769" t="n" s="0">
        <v>-56677.48064000001</v>
      </c>
    </row>
    <row r="7770">
      <c r="A7770" t="n" s="0">
        <v>-22.31</v>
      </c>
      <c r="B7770" t="n" s="0">
        <f>(-5-((((-5*(-5/((-5/(((-5*(-22.31--5))-(-5+((-5*-22.31)*(((-5--5)+(-22.31--5))+-22.31))))-(-5+-5)))*-5)))/-5)--5)+(-5*(((-22.31*(-22.31-(-5/-5)))*(-22.31-(-22.31/(-5*-22.31))))-(-5/-5)))))</f>
        <v>-56601.864155</v>
      </c>
      <c r="C7770" t="n" s="0">
        <v>-56601.86415499999</v>
      </c>
    </row>
    <row r="7771">
      <c r="A7771" t="n" s="0">
        <v>-22.3</v>
      </c>
      <c r="B7771" t="n" s="0">
        <f>(-5-((((-5*(-5/((-5/(((-5*(-22.3--5))-(-5+((-5*-22.3)*(((-5--5)+(-22.3--5))+-22.3))))-(-5+-5)))*-5)))/-5)--5)+(-5*(((-22.3*(-22.3-(-5/-5)))*(-22.3-(-22.3/(-5*-22.3))))-(-5/-5)))))</f>
        <v>-56526.315</v>
      </c>
      <c r="C7771" t="n" s="0">
        <v>-56526.31500000001</v>
      </c>
    </row>
    <row r="7772">
      <c r="A7772" t="n" s="0">
        <v>-22.29</v>
      </c>
      <c r="B7772" t="n" s="0">
        <f>(-5-((((-5*(-5/((-5/(((-5*(-22.29--5))-(-5+((-5*-22.29)*(((-5--5)+(-22.29--5))+-22.29))))-(-5+-5)))*-5)))/-5)--5)+(-5*(((-22.29*(-22.29-(-5/-5)))*(-22.29-(-22.29/(-5*-22.29))))-(-5/-5)))))</f>
        <v>-56450.833145</v>
      </c>
      <c r="C7772" t="n" s="0">
        <v>-56450.833145</v>
      </c>
    </row>
    <row r="7773">
      <c r="A7773" t="n" s="0">
        <v>-22.28</v>
      </c>
      <c r="B7773" t="n" s="0">
        <f>(-5-((((-5*(-5/((-5/(((-5*(-22.28--5))-(-5+((-5*-22.28)*(((-5--5)+(-22.28--5))+-22.28))))-(-5+-5)))*-5)))/-5)--5)+(-5*(((-22.28*(-22.28-(-5/-5)))*(-22.28-(-22.28/(-5*-22.28))))-(-5/-5)))))</f>
        <v>-56375.41856</v>
      </c>
      <c r="C7773" t="n" s="0">
        <v>-56375.418560000006</v>
      </c>
    </row>
    <row r="7774">
      <c r="A7774" t="n" s="0">
        <v>-22.27</v>
      </c>
      <c r="B7774" t="n" s="0">
        <f>(-5-((((-5*(-5/((-5/(((-5*(-22.27--5))-(-5+((-5*-22.27)*(((-5--5)+(-22.27--5))+-22.27))))-(-5+-5)))*-5)))/-5)--5)+(-5*(((-22.27*(-22.27-(-5/-5)))*(-22.27-(-22.27/(-5*-22.27))))-(-5/-5)))))</f>
        <v>-56300.071215</v>
      </c>
      <c r="C7774" t="n" s="0">
        <v>-56300.071214999996</v>
      </c>
    </row>
    <row r="7775">
      <c r="A7775" t="n" s="0">
        <v>-22.26</v>
      </c>
      <c r="B7775" t="n" s="0">
        <f>(-5-((((-5*(-5/((-5/(((-5*(-22.26--5))-(-5+((-5*-22.26)*(((-5--5)+(-22.26--5))+-22.26))))-(-5+-5)))*-5)))/-5)--5)+(-5*(((-22.26*(-22.26-(-5/-5)))*(-22.26-(-22.26/(-5*-22.26))))-(-5/-5)))))</f>
        <v>-56224.79108</v>
      </c>
      <c r="C7775" t="n" s="0">
        <v>-56224.79108000002</v>
      </c>
    </row>
    <row r="7776">
      <c r="A7776" t="n" s="0">
        <v>-22.25</v>
      </c>
      <c r="B7776" t="n" s="0">
        <f>(-5-((((-5*(-5/((-5/(((-5*(-22.25--5))-(-5+((-5*-22.25)*(((-5--5)+(-22.25--5))+-22.25))))-(-5+-5)))*-5)))/-5)--5)+(-5*(((-22.25*(-22.25-(-5/-5)))*(-22.25-(-22.25/(-5*-22.25))))-(-5/-5)))))</f>
        <v>-56149.578125</v>
      </c>
      <c r="C7776" t="n" s="0">
        <v>-56149.578125</v>
      </c>
    </row>
    <row r="7777">
      <c r="A7777" t="n" s="0">
        <v>-22.24</v>
      </c>
      <c r="B7777" t="n" s="0">
        <f>(-5-((((-5*(-5/((-5/(((-5*(-22.24--5))-(-5+((-5*-22.24)*(((-5--5)+(-22.24--5))+-22.24))))-(-5+-5)))*-5)))/-5)--5)+(-5*(((-22.24*(-22.24-(-5/-5)))*(-22.24-(-22.24/(-5*-22.24))))-(-5/-5)))))</f>
        <v>-56074.43232</v>
      </c>
      <c r="C7777" t="n" s="0">
        <v>-56074.43231999999</v>
      </c>
    </row>
    <row r="7778">
      <c r="A7778" t="n" s="0">
        <v>-22.23</v>
      </c>
      <c r="B7778" t="n" s="0">
        <f>(-5-((((-5*(-5/((-5/(((-5*(-22.23--5))-(-5+((-5*-22.23)*(((-5--5)+(-22.23--5))+-22.23))))-(-5+-5)))*-5)))/-5)--5)+(-5*(((-22.23*(-22.23-(-5/-5)))*(-22.23-(-22.23/(-5*-22.23))))-(-5/-5)))))</f>
        <v>-55999.35363499999</v>
      </c>
      <c r="C7778" t="n" s="0">
        <v>-55999.35363500001</v>
      </c>
    </row>
    <row r="7779">
      <c r="A7779" t="n" s="0">
        <v>-22.22</v>
      </c>
      <c r="B7779" t="n" s="0">
        <f>(-5-((((-5*(-5/((-5/(((-5*(-22.22--5))-(-5+((-5*-22.22)*(((-5--5)+(-22.22--5))+-22.22))))-(-5+-5)))*-5)))/-5)--5)+(-5*(((-22.22*(-22.22-(-5/-5)))*(-22.22-(-22.22/(-5*-22.22))))-(-5/-5)))))</f>
        <v>-55924.34204</v>
      </c>
      <c r="C7779" t="n" s="0">
        <v>-55924.342039999996</v>
      </c>
    </row>
    <row r="7780">
      <c r="A7780" t="n" s="0">
        <v>-22.21</v>
      </c>
      <c r="B7780" t="n" s="0">
        <f>(-5-((((-5*(-5/((-5/(((-5*(-22.21--5))-(-5+((-5*-22.21)*(((-5--5)+(-22.21--5))+-22.21))))-(-5+-5)))*-5)))/-5)--5)+(-5*(((-22.21*(-22.21-(-5/-5)))*(-22.21-(-22.21/(-5*-22.21))))-(-5/-5)))))</f>
        <v>-55849.39750499999</v>
      </c>
      <c r="C7780" t="n" s="0">
        <v>-55849.397505</v>
      </c>
    </row>
    <row r="7781">
      <c r="A7781" t="n" s="0">
        <v>-22.2</v>
      </c>
      <c r="B7781" t="n" s="0">
        <f>(-5-((((-5*(-5/((-5/(((-5*(-22.2--5))-(-5+((-5*-22.2)*(((-5--5)+(-22.2--5))+-22.2))))-(-5+-5)))*-5)))/-5)--5)+(-5*(((-22.2*(-22.2-(-5/-5)))*(-22.2-(-22.2/(-5*-22.2))))-(-5/-5)))))</f>
        <v>-55774.520000000004</v>
      </c>
      <c r="C7781" t="n" s="0">
        <v>-55774.51999999999</v>
      </c>
    </row>
    <row r="7782">
      <c r="A7782" t="n" s="0">
        <v>-22.19</v>
      </c>
      <c r="B7782" t="n" s="0">
        <f>(-5-((((-5*(-5/((-5/(((-5*(-22.19--5))-(-5+((-5*-22.19)*(((-5--5)+(-22.19--5))+-22.19))))-(-5+-5)))*-5)))/-5)--5)+(-5*(((-22.19*(-22.19-(-5/-5)))*(-22.19-(-22.19/(-5*-22.19))))-(-5/-5)))))</f>
        <v>-55699.709494999996</v>
      </c>
      <c r="C7782" t="n" s="0">
        <v>-55699.70949500001</v>
      </c>
    </row>
    <row r="7783">
      <c r="A7783" t="n" s="0">
        <v>-22.18</v>
      </c>
      <c r="B7783" t="n" s="0">
        <f>(-5-((((-5*(-5/((-5/(((-5*(-22.18--5))-(-5+((-5*-22.18)*(((-5--5)+(-22.18--5))+-22.18))))-(-5+-5)))*-5)))/-5)--5)+(-5*(((-22.18*(-22.18-(-5/-5)))*(-22.18-(-22.18/(-5*-22.18))))-(-5/-5)))))</f>
        <v>-55624.965959999994</v>
      </c>
      <c r="C7783" t="n" s="0">
        <v>-55624.965959999994</v>
      </c>
    </row>
    <row r="7784">
      <c r="A7784" t="n" s="0">
        <v>-22.17</v>
      </c>
      <c r="B7784" t="n" s="0">
        <f>(-5-((((-5*(-5/((-5/(((-5*(-22.17--5))-(-5+((-5*-22.17)*(((-5--5)+(-22.17--5))+-22.17))))-(-5+-5)))*-5)))/-5)--5)+(-5*(((-22.17*(-22.17-(-5/-5)))*(-22.17-(-22.17/(-5*-22.17))))-(-5/-5)))))</f>
        <v>-55550.289365</v>
      </c>
      <c r="C7784" t="n" s="0">
        <v>-55550.28936500002</v>
      </c>
    </row>
    <row r="7785">
      <c r="A7785" t="n" s="0">
        <v>-22.16</v>
      </c>
      <c r="B7785" t="n" s="0">
        <f>(-5-((((-5*(-5/((-5/(((-5*(-22.16--5))-(-5+((-5*-22.16)*(((-5--5)+(-22.16--5))+-22.16))))-(-5+-5)))*-5)))/-5)--5)+(-5*(((-22.16*(-22.16-(-5/-5)))*(-22.16-(-22.16/(-5*-22.16))))-(-5/-5)))))</f>
        <v>-55475.679679999994</v>
      </c>
      <c r="C7785" t="n" s="0">
        <v>-55475.67968000001</v>
      </c>
    </row>
    <row r="7786">
      <c r="A7786" t="n" s="0">
        <v>-22.15</v>
      </c>
      <c r="B7786" t="n" s="0">
        <f>(-5-((((-5*(-5/((-5/(((-5*(-22.15--5))-(-5+((-5*-22.15)*(((-5--5)+(-22.15--5))+-22.15))))-(-5+-5)))*-5)))/-5)--5)+(-5*(((-22.15*(-22.15-(-5/-5)))*(-22.15-(-22.15/(-5*-22.15))))-(-5/-5)))))</f>
        <v>-55401.136875000004</v>
      </c>
      <c r="C7786" t="n" s="0">
        <v>-55401.13687499999</v>
      </c>
    </row>
    <row r="7787">
      <c r="A7787" t="n" s="0">
        <v>-22.14</v>
      </c>
      <c r="B7787" t="n" s="0">
        <f>(-5-((((-5*(-5/((-5/(((-5*(-22.14--5))-(-5+((-5*-22.14)*(((-5--5)+(-22.14--5))+-22.14))))-(-5+-5)))*-5)))/-5)--5)+(-5*(((-22.14*(-22.14-(-5/-5)))*(-22.14-(-22.14/(-5*-22.14))))-(-5/-5)))))</f>
        <v>-55326.66092</v>
      </c>
      <c r="C7787" t="n" s="0">
        <v>-55326.66092</v>
      </c>
    </row>
    <row r="7788">
      <c r="A7788" t="n" s="0">
        <v>-22.13</v>
      </c>
      <c r="B7788" t="n" s="0">
        <f>(-5-((((-5*(-5/((-5/(((-5*(-22.13--5))-(-5+((-5*-22.13)*(((-5--5)+(-22.13--5))+-22.13))))-(-5+-5)))*-5)))/-5)--5)+(-5*(((-22.13*(-22.13-(-5/-5)))*(-22.13-(-22.13/(-5*-22.13))))-(-5/-5)))))</f>
        <v>-55252.251785</v>
      </c>
      <c r="C7788" t="n" s="0">
        <v>-55252.25178499999</v>
      </c>
    </row>
    <row r="7789">
      <c r="A7789" t="n" s="0">
        <v>-22.12</v>
      </c>
      <c r="B7789" t="n" s="0">
        <f>(-5-((((-5*(-5/((-5/(((-5*(-22.12--5))-(-5+((-5*-22.12)*(((-5--5)+(-22.12--5))+-22.12))))-(-5+-5)))*-5)))/-5)--5)+(-5*(((-22.12*(-22.12-(-5/-5)))*(-22.12-(-22.12/(-5*-22.12))))-(-5/-5)))))</f>
        <v>-55177.909439999996</v>
      </c>
      <c r="C7789" t="n" s="0">
        <v>-55177.90944</v>
      </c>
    </row>
    <row r="7790">
      <c r="A7790" t="n" s="0">
        <v>-22.11</v>
      </c>
      <c r="B7790" t="n" s="0">
        <f>(-5-((((-5*(-5/((-5/(((-5*(-22.11--5))-(-5+((-5*-22.11)*(((-5--5)+(-22.11--5))+-22.11))))-(-5+-5)))*-5)))/-5)--5)+(-5*(((-22.11*(-22.11-(-5/-5)))*(-22.11-(-22.11/(-5*-22.11))))-(-5/-5)))))</f>
        <v>-55103.63385499999</v>
      </c>
      <c r="C7790" t="n" s="0">
        <v>-55103.633855</v>
      </c>
    </row>
    <row r="7791">
      <c r="A7791" t="n" s="0">
        <v>-22.1</v>
      </c>
      <c r="B7791" t="n" s="0">
        <f>(-5-((((-5*(-5/((-5/(((-5*(-22.1--5))-(-5+((-5*-22.1)*(((-5--5)+(-22.1--5))+-22.1))))-(-5+-5)))*-5)))/-5)--5)+(-5*(((-22.1*(-22.1-(-5/-5)))*(-22.1-(-22.1/(-5*-22.1))))-(-5/-5)))))</f>
        <v>-55029.425</v>
      </c>
      <c r="C7791" t="n" s="0">
        <v>-55029.42500000002</v>
      </c>
    </row>
    <row r="7792">
      <c r="A7792" t="n" s="0">
        <v>-22.09</v>
      </c>
      <c r="B7792" t="n" s="0">
        <f>(-5-((((-5*(-5/((-5/(((-5*(-22.09--5))-(-5+((-5*-22.09)*(((-5--5)+(-22.09--5))+-22.09))))-(-5+-5)))*-5)))/-5)--5)+(-5*(((-22.09*(-22.09-(-5/-5)))*(-22.09-(-22.09/(-5*-22.09))))-(-5/-5)))))</f>
        <v>-54955.282845</v>
      </c>
      <c r="C7792" t="n" s="0">
        <v>-54955.282844999994</v>
      </c>
    </row>
    <row r="7793">
      <c r="A7793" t="n" s="0">
        <v>-22.08</v>
      </c>
      <c r="B7793" t="n" s="0">
        <f>(-5-((((-5*(-5/((-5/(((-5*(-22.08--5))-(-5+((-5*-22.08)*(((-5--5)+(-22.08--5))+-22.08))))-(-5+-5)))*-5)))/-5)--5)+(-5*(((-22.08*(-22.08-(-5/-5)))*(-22.08-(-22.08/(-5*-22.08))))-(-5/-5)))))</f>
        <v>-54881.20736</v>
      </c>
      <c r="C7793" t="n" s="0">
        <v>-54881.207359999986</v>
      </c>
    </row>
    <row r="7794">
      <c r="A7794" t="n" s="0">
        <v>-22.07</v>
      </c>
      <c r="B7794" t="n" s="0">
        <f>(-5-((((-5*(-5/((-5/(((-5*(-22.07--5))-(-5+((-5*-22.07)*(((-5--5)+(-22.07--5))+-22.07))))-(-5+-5)))*-5)))/-5)--5)+(-5*(((-22.07*(-22.07-(-5/-5)))*(-22.07-(-22.07/(-5*-22.07))))-(-5/-5)))))</f>
        <v>-54807.198515000004</v>
      </c>
      <c r="C7794" t="n" s="0">
        <v>-54807.198515000004</v>
      </c>
    </row>
    <row r="7795">
      <c r="A7795" t="n" s="0">
        <v>-22.06</v>
      </c>
      <c r="B7795" t="n" s="0">
        <f>(-5-((((-5*(-5/((-5/(((-5*(-22.06--5))-(-5+((-5*-22.06)*(((-5--5)+(-22.06--5))+-22.06))))-(-5+-5)))*-5)))/-5)--5)+(-5*(((-22.06*(-22.06-(-5/-5)))*(-22.06-(-22.06/(-5*-22.06))))-(-5/-5)))))</f>
        <v>-54733.25628</v>
      </c>
      <c r="C7795" t="n" s="0">
        <v>-54733.25627999999</v>
      </c>
    </row>
    <row r="7796">
      <c r="A7796" t="n" s="0">
        <v>-22.05</v>
      </c>
      <c r="B7796" t="n" s="0">
        <f>(-5-((((-5*(-5/((-5/(((-5*(-22.05--5))-(-5+((-5*-22.05)*(((-5--5)+(-22.05--5))+-22.05))))-(-5+-5)))*-5)))/-5)--5)+(-5*(((-22.05*(-22.05-(-5/-5)))*(-22.05-(-22.05/(-5*-22.05))))-(-5/-5)))))</f>
        <v>-54659.380625</v>
      </c>
      <c r="C7796" t="n" s="0">
        <v>-54659.38062500001</v>
      </c>
    </row>
    <row r="7797">
      <c r="A7797" t="n" s="0">
        <v>-22.04</v>
      </c>
      <c r="B7797" t="n" s="0">
        <f>(-5-((((-5*(-5/((-5/(((-5*(-22.04--5))-(-5+((-5*-22.04)*(((-5--5)+(-22.04--5))+-22.04))))-(-5+-5)))*-5)))/-5)--5)+(-5*(((-22.04*(-22.04-(-5/-5)))*(-22.04-(-22.04/(-5*-22.04))))-(-5/-5)))))</f>
        <v>-54585.57152</v>
      </c>
      <c r="C7797" t="n" s="0">
        <v>-54585.57152</v>
      </c>
    </row>
    <row r="7798">
      <c r="A7798" t="n" s="0">
        <v>-22.03</v>
      </c>
      <c r="B7798" t="n" s="0">
        <f>(-5-((((-5*(-5/((-5/(((-5*(-22.03--5))-(-5+((-5*-22.03)*(((-5--5)+(-22.03--5))+-22.03))))-(-5+-5)))*-5)))/-5)--5)+(-5*(((-22.03*(-22.03-(-5/-5)))*(-22.03-(-22.03/(-5*-22.03))))-(-5/-5)))))</f>
        <v>-54511.828935</v>
      </c>
      <c r="C7798" t="n" s="0">
        <v>-54511.828935</v>
      </c>
    </row>
    <row r="7799">
      <c r="A7799" t="n" s="0">
        <v>-22.02</v>
      </c>
      <c r="B7799" t="n" s="0">
        <f>(-5-((((-5*(-5/((-5/(((-5*(-22.02--5))-(-5+((-5*-22.02)*(((-5--5)+(-22.02--5))+-22.02))))-(-5+-5)))*-5)))/-5)--5)+(-5*(((-22.02*(-22.02-(-5/-5)))*(-22.02-(-22.02/(-5*-22.02))))-(-5/-5)))))</f>
        <v>-54438.15284</v>
      </c>
      <c r="C7799" t="n" s="0">
        <v>-54438.152839999995</v>
      </c>
    </row>
    <row r="7800">
      <c r="A7800" t="n" s="0">
        <v>-22.01</v>
      </c>
      <c r="B7800" t="n" s="0">
        <f>(-5-((((-5*(-5/((-5/(((-5*(-22.01--5))-(-5+((-5*-22.01)*(((-5--5)+(-22.01--5))+-22.01))))-(-5+-5)))*-5)))/-5)--5)+(-5*(((-22.01*(-22.01-(-5/-5)))*(-22.01-(-22.01/(-5*-22.01))))-(-5/-5)))))</f>
        <v>-54364.543205</v>
      </c>
      <c r="C7800" t="n" s="0">
        <v>-54364.54320500001</v>
      </c>
    </row>
    <row r="7801">
      <c r="A7801" t="n" s="0">
        <v>-22.0</v>
      </c>
      <c r="B7801" t="n" s="0">
        <f>(-5-((((-5*(-5/((-5/(((-5*(-22--5))-(-5+((-5*-22)*(((-5--5)+(-22--5))+-22))))-(-5+-5)))*-5)))/-5)--5)+(-5*(((-22*(-22-(-5/-5)))*(-22-(-22/(-5*-22))))-(-5/-5)))))</f>
        <v>-54291.0</v>
      </c>
      <c r="C7801" t="n" s="0">
        <v>-54291.0</v>
      </c>
    </row>
    <row r="7802">
      <c r="A7802" t="n" s="0">
        <v>-21.99</v>
      </c>
      <c r="B7802" t="n" s="0">
        <f>(-5-((((-5*(-5/((-5/(((-5*(-21.99--5))-(-5+((-5*-21.99)*(((-5--5)+(-21.99--5))+-21.99))))-(-5+-5)))*-5)))/-5)--5)+(-5*(((-21.99*(-21.99-(-5/-5)))*(-21.99-(-21.99/(-5*-21.99))))-(-5/-5)))))</f>
        <v>-54217.523195</v>
      </c>
      <c r="C7802" t="n" s="0">
        <v>-54217.52319499999</v>
      </c>
    </row>
    <row r="7803">
      <c r="A7803" t="n" s="0">
        <v>-21.98</v>
      </c>
      <c r="B7803" t="n" s="0">
        <f>(-5-((((-5*(-5/((-5/(((-5*(-21.98--5))-(-5+((-5*-21.98)*(((-5--5)+(-21.98--5))+-21.98))))-(-5+-5)))*-5)))/-5)--5)+(-5*(((-21.98*(-21.98-(-5/-5)))*(-21.98-(-21.98/(-5*-21.98))))-(-5/-5)))))</f>
        <v>-54144.11276</v>
      </c>
      <c r="C7803" t="n" s="0">
        <v>-54144.11276</v>
      </c>
    </row>
    <row r="7804">
      <c r="A7804" t="n" s="0">
        <v>-21.97</v>
      </c>
      <c r="B7804" t="n" s="0">
        <f>(-5-((((-5*(-5/((-5/(((-5*(-21.97--5))-(-5+((-5*-21.97)*(((-5--5)+(-21.97--5))+-21.97))))-(-5+-5)))*-5)))/-5)--5)+(-5*(((-21.97*(-21.97-(-5/-5)))*(-21.97-(-21.97/(-5*-21.97))))-(-5/-5)))))</f>
        <v>-54070.768665</v>
      </c>
      <c r="C7804" t="n" s="0">
        <v>-54070.768664999996</v>
      </c>
    </row>
    <row r="7805">
      <c r="A7805" t="n" s="0">
        <v>-21.96</v>
      </c>
      <c r="B7805" t="n" s="0">
        <f>(-5-((((-5*(-5/((-5/(((-5*(-21.96--5))-(-5+((-5*-21.96)*(((-5--5)+(-21.96--5))+-21.96))))-(-5+-5)))*-5)))/-5)--5)+(-5*(((-21.96*(-21.96-(-5/-5)))*(-21.96-(-21.96/(-5*-21.96))))-(-5/-5)))))</f>
        <v>-53997.490880000005</v>
      </c>
      <c r="C7805" t="n" s="0">
        <v>-53997.490880000005</v>
      </c>
    </row>
    <row r="7806">
      <c r="A7806" t="n" s="0">
        <v>-21.95</v>
      </c>
      <c r="B7806" t="n" s="0">
        <f>(-5-((((-5*(-5/((-5/(((-5*(-21.95--5))-(-5+((-5*-21.95)*(((-5--5)+(-21.95--5))+-21.95))))-(-5+-5)))*-5)))/-5)--5)+(-5*(((-21.95*(-21.95-(-5/-5)))*(-21.95-(-21.95/(-5*-21.95))))-(-5/-5)))))</f>
        <v>-53924.279375</v>
      </c>
      <c r="C7806" t="n" s="0">
        <v>-53924.27937499999</v>
      </c>
    </row>
    <row r="7807">
      <c r="A7807" t="n" s="0">
        <v>-21.94</v>
      </c>
      <c r="B7807" t="n" s="0">
        <f>(-5-((((-5*(-5/((-5/(((-5*(-21.94--5))-(-5+((-5*-21.94)*(((-5--5)+(-21.94--5))+-21.94))))-(-5+-5)))*-5)))/-5)--5)+(-5*(((-21.94*(-21.94-(-5/-5)))*(-21.94-(-21.94/(-5*-21.94))))-(-5/-5)))))</f>
        <v>-53851.13412</v>
      </c>
      <c r="C7807" t="n" s="0">
        <v>-53851.13412</v>
      </c>
    </row>
    <row r="7808">
      <c r="A7808" t="n" s="0">
        <v>-21.93</v>
      </c>
      <c r="B7808" t="n" s="0">
        <f>(-5-((((-5*(-5/((-5/(((-5*(-21.93--5))-(-5+((-5*-21.93)*(((-5--5)+(-21.93--5))+-21.93))))-(-5+-5)))*-5)))/-5)--5)+(-5*(((-21.93*(-21.93-(-5/-5)))*(-21.93-(-21.93/(-5*-21.93))))-(-5/-5)))))</f>
        <v>-53778.055085</v>
      </c>
      <c r="C7808" t="n" s="0">
        <v>-53778.05508500001</v>
      </c>
    </row>
    <row r="7809">
      <c r="A7809" t="n" s="0">
        <v>-21.92</v>
      </c>
      <c r="B7809" t="n" s="0">
        <f>(-5-((((-5*(-5/((-5/(((-5*(-21.92--5))-(-5+((-5*-21.92)*(((-5--5)+(-21.92--5))+-21.92))))-(-5+-5)))*-5)))/-5)--5)+(-5*(((-21.92*(-21.92-(-5/-5)))*(-21.92-(-21.92/(-5*-21.92))))-(-5/-5)))))</f>
        <v>-53705.042239999995</v>
      </c>
      <c r="C7809" t="n" s="0">
        <v>-53705.04224000002</v>
      </c>
    </row>
    <row r="7810">
      <c r="A7810" t="n" s="0">
        <v>-21.91</v>
      </c>
      <c r="B7810" t="n" s="0">
        <f>(-5-((((-5*(-5/((-5/(((-5*(-21.91--5))-(-5+((-5*-21.91)*(((-5--5)+(-21.91--5))+-21.91))))-(-5+-5)))*-5)))/-5)--5)+(-5*(((-21.91*(-21.91-(-5/-5)))*(-21.91-(-21.91/(-5*-21.91))))-(-5/-5)))))</f>
        <v>-53632.09555500001</v>
      </c>
      <c r="C7810" t="n" s="0">
        <v>-53632.095555</v>
      </c>
    </row>
    <row r="7811">
      <c r="A7811" t="n" s="0">
        <v>-21.9</v>
      </c>
      <c r="B7811" t="n" s="0">
        <f>(-5-((((-5*(-5/((-5/(((-5*(-21.9--5))-(-5+((-5*-21.9)*(((-5--5)+(-21.9--5))+-21.9))))-(-5+-5)))*-5)))/-5)--5)+(-5*(((-21.9*(-21.9-(-5/-5)))*(-21.9-(-21.9/(-5*-21.9))))-(-5/-5)))))</f>
        <v>-53559.215</v>
      </c>
      <c r="C7811" t="n" s="0">
        <v>-53559.21499999998</v>
      </c>
    </row>
    <row r="7812">
      <c r="A7812" t="n" s="0">
        <v>-21.89</v>
      </c>
      <c r="B7812" t="n" s="0">
        <f>(-5-((((-5*(-5/((-5/(((-5*(-21.89--5))-(-5+((-5*-21.89)*(((-5--5)+(-21.89--5))+-21.89))))-(-5+-5)))*-5)))/-5)--5)+(-5*(((-21.89*(-21.89-(-5/-5)))*(-21.89-(-21.89/(-5*-21.89))))-(-5/-5)))))</f>
        <v>-53486.400545000004</v>
      </c>
      <c r="C7812" t="n" s="0">
        <v>-53486.400545000004</v>
      </c>
    </row>
    <row r="7813">
      <c r="A7813" t="n" s="0">
        <v>-21.88</v>
      </c>
      <c r="B7813" t="n" s="0">
        <f>(-5-((((-5*(-5/((-5/(((-5*(-21.88--5))-(-5+((-5*-21.88)*(((-5--5)+(-21.88--5))+-21.88))))-(-5+-5)))*-5)))/-5)--5)+(-5*(((-21.88*(-21.88-(-5/-5)))*(-21.88-(-21.88/(-5*-21.88))))-(-5/-5)))))</f>
        <v>-53413.65216</v>
      </c>
      <c r="C7813" t="n" s="0">
        <v>-53413.65216</v>
      </c>
    </row>
    <row r="7814">
      <c r="A7814" t="n" s="0">
        <v>-21.87</v>
      </c>
      <c r="B7814" t="n" s="0">
        <f>(-5-((((-5*(-5/((-5/(((-5*(-21.87--5))-(-5+((-5*-21.87)*(((-5--5)+(-21.87--5))+-21.87))))-(-5+-5)))*-5)))/-5)--5)+(-5*(((-21.87*(-21.87-(-5/-5)))*(-21.87-(-21.87/(-5*-21.87))))-(-5/-5)))))</f>
        <v>-53340.969815000004</v>
      </c>
      <c r="C7814" t="n" s="0">
        <v>-53340.969815000004</v>
      </c>
    </row>
    <row r="7815">
      <c r="A7815" t="n" s="0">
        <v>-21.86</v>
      </c>
      <c r="B7815" t="n" s="0">
        <f>(-5-((((-5*(-5/((-5/(((-5*(-21.86--5))-(-5+((-5*-21.86)*(((-5--5)+(-21.86--5))+-21.86))))-(-5+-5)))*-5)))/-5)--5)+(-5*(((-21.86*(-21.86-(-5/-5)))*(-21.86-(-21.86/(-5*-21.86))))-(-5/-5)))))</f>
        <v>-53268.353480000005</v>
      </c>
      <c r="C7815" t="n" s="0">
        <v>-53268.35348</v>
      </c>
    </row>
    <row r="7816">
      <c r="A7816" t="n" s="0">
        <v>-21.85</v>
      </c>
      <c r="B7816" t="n" s="0">
        <f>(-5-((((-5*(-5/((-5/(((-5*(-21.85--5))-(-5+((-5*-21.85)*(((-5--5)+(-21.85--5))+-21.85))))-(-5+-5)))*-5)))/-5)--5)+(-5*(((-21.85*(-21.85-(-5/-5)))*(-21.85-(-21.85/(-5*-21.85))))-(-5/-5)))))</f>
        <v>-53195.803125000006</v>
      </c>
      <c r="C7816" t="n" s="0">
        <v>-53195.80312500002</v>
      </c>
    </row>
    <row r="7817">
      <c r="A7817" t="n" s="0">
        <v>-21.84</v>
      </c>
      <c r="B7817" t="n" s="0">
        <f>(-5-((((-5*(-5/((-5/(((-5*(-21.84--5))-(-5+((-5*-21.84)*(((-5--5)+(-21.84--5))+-21.84))))-(-5+-5)))*-5)))/-5)--5)+(-5*(((-21.84*(-21.84-(-5/-5)))*(-21.84-(-21.84/(-5*-21.84))))-(-5/-5)))))</f>
        <v>-53123.31872</v>
      </c>
      <c r="C7817" t="n" s="0">
        <v>-53123.318719999996</v>
      </c>
    </row>
    <row r="7818">
      <c r="A7818" t="n" s="0">
        <v>-21.83</v>
      </c>
      <c r="B7818" t="n" s="0">
        <f>(-5-((((-5*(-5/((-5/(((-5*(-21.83--5))-(-5+((-5*-21.83)*(((-5--5)+(-21.83--5))+-21.83))))-(-5+-5)))*-5)))/-5)--5)+(-5*(((-21.83*(-21.83-(-5/-5)))*(-21.83-(-21.83/(-5*-21.83))))-(-5/-5)))))</f>
        <v>-53050.900234999994</v>
      </c>
      <c r="C7818" t="n" s="0">
        <v>-53050.90023499999</v>
      </c>
    </row>
    <row r="7819">
      <c r="A7819" t="n" s="0">
        <v>-21.82</v>
      </c>
      <c r="B7819" t="n" s="0">
        <f>(-5-((((-5*(-5/((-5/(((-5*(-21.82--5))-(-5+((-5*-21.82)*(((-5--5)+(-21.82--5))+-21.82))))-(-5+-5)))*-5)))/-5)--5)+(-5*(((-21.82*(-21.82-(-5/-5)))*(-21.82-(-21.82/(-5*-21.82))))-(-5/-5)))))</f>
        <v>-52978.547640000004</v>
      </c>
      <c r="C7819" t="n" s="0">
        <v>-52978.547640000004</v>
      </c>
    </row>
    <row r="7820">
      <c r="A7820" t="n" s="0">
        <v>-21.81</v>
      </c>
      <c r="B7820" t="n" s="0">
        <f>(-5-((((-5*(-5/((-5/(((-5*(-21.81--5))-(-5+((-5*-21.81)*(((-5--5)+(-21.81--5))+-21.81))))-(-5+-5)))*-5)))/-5)--5)+(-5*(((-21.81*(-21.81-(-5/-5)))*(-21.81-(-21.81/(-5*-21.81))))-(-5/-5)))))</f>
        <v>-52906.260904999996</v>
      </c>
      <c r="C7820" t="n" s="0">
        <v>-52906.260904999996</v>
      </c>
    </row>
    <row r="7821">
      <c r="A7821" t="n" s="0">
        <v>-21.8</v>
      </c>
      <c r="B7821" t="n" s="0">
        <f>(-5-((((-5*(-5/((-5/(((-5*(-21.8--5))-(-5+((-5*-21.8)*(((-5--5)+(-21.8--5))+-21.8))))-(-5+-5)))*-5)))/-5)--5)+(-5*(((-21.8*(-21.8-(-5/-5)))*(-21.8-(-21.8/(-5*-21.8))))-(-5/-5)))))</f>
        <v>-52834.03999999999</v>
      </c>
      <c r="C7821" t="n" s="0">
        <v>-52834.040000000015</v>
      </c>
    </row>
    <row r="7822">
      <c r="A7822" t="n" s="0">
        <v>-21.79</v>
      </c>
      <c r="B7822" t="n" s="0">
        <f>(-5-((((-5*(-5/((-5/(((-5*(-21.79--5))-(-5+((-5*-21.79)*(((-5--5)+(-21.79--5))+-21.79))))-(-5+-5)))*-5)))/-5)--5)+(-5*(((-21.79*(-21.79-(-5/-5)))*(-21.79-(-21.79/(-5*-21.79))))-(-5/-5)))))</f>
        <v>-52761.884895</v>
      </c>
      <c r="C7822" t="n" s="0">
        <v>-52761.884894999996</v>
      </c>
    </row>
    <row r="7823">
      <c r="A7823" t="n" s="0">
        <v>-21.78</v>
      </c>
      <c r="B7823" t="n" s="0">
        <f>(-5-((((-5*(-5/((-5/(((-5*(-21.78--5))-(-5+((-5*-21.78)*(((-5--5)+(-21.78--5))+-21.78))))-(-5+-5)))*-5)))/-5)--5)+(-5*(((-21.78*(-21.78-(-5/-5)))*(-21.78-(-21.78/(-5*-21.78))))-(-5/-5)))))</f>
        <v>-52689.79556</v>
      </c>
      <c r="C7823" t="n" s="0">
        <v>-52689.795560000006</v>
      </c>
    </row>
    <row r="7824">
      <c r="A7824" t="n" s="0">
        <v>-21.77</v>
      </c>
      <c r="B7824" t="n" s="0">
        <f>(-5-((((-5*(-5/((-5/(((-5*(-21.77--5))-(-5+((-5*-21.77)*(((-5--5)+(-21.77--5))+-21.77))))-(-5+-5)))*-5)))/-5)--5)+(-5*(((-21.77*(-21.77-(-5/-5)))*(-21.77-(-21.77/(-5*-21.77))))-(-5/-5)))))</f>
        <v>-52617.771965</v>
      </c>
      <c r="C7824" t="n" s="0">
        <v>-52617.77196499999</v>
      </c>
    </row>
    <row r="7825">
      <c r="A7825" t="n" s="0">
        <v>-21.76</v>
      </c>
      <c r="B7825" t="n" s="0">
        <f>(-5-((((-5*(-5/((-5/(((-5*(-21.76--5))-(-5+((-5*-21.76)*(((-5--5)+(-21.76--5))+-21.76))))-(-5+-5)))*-5)))/-5)--5)+(-5*(((-21.76*(-21.76-(-5/-5)))*(-21.76-(-21.76/(-5*-21.76))))-(-5/-5)))))</f>
        <v>-52545.814080000004</v>
      </c>
      <c r="C7825" t="n" s="0">
        <v>-52545.814080000004</v>
      </c>
    </row>
    <row r="7826">
      <c r="A7826" t="n" s="0">
        <v>-21.75</v>
      </c>
      <c r="B7826" t="n" s="0">
        <f>(-5-((((-5*(-5/((-5/(((-5*(-21.75--5))-(-5+((-5*-21.75)*(((-5--5)+(-21.75--5))+-21.75))))-(-5+-5)))*-5)))/-5)--5)+(-5*(((-21.75*(-21.75-(-5/-5)))*(-21.75-(-21.75/(-5*-21.75))))-(-5/-5)))))</f>
        <v>-52473.921875</v>
      </c>
      <c r="C7826" t="n" s="0">
        <v>-52473.921875</v>
      </c>
    </row>
    <row r="7827">
      <c r="A7827" t="n" s="0">
        <v>-21.74</v>
      </c>
      <c r="B7827" t="n" s="0">
        <f>(-5-((((-5*(-5/((-5/(((-5*(-21.74--5))-(-5+((-5*-21.74)*(((-5--5)+(-21.74--5))+-21.74))))-(-5+-5)))*-5)))/-5)--5)+(-5*(((-21.74*(-21.74-(-5/-5)))*(-21.74-(-21.74/(-5*-21.74))))-(-5/-5)))))</f>
        <v>-52402.09532</v>
      </c>
      <c r="C7827" t="n" s="0">
        <v>-52402.09531999999</v>
      </c>
    </row>
    <row r="7828">
      <c r="A7828" t="n" s="0">
        <v>-21.73</v>
      </c>
      <c r="B7828" t="n" s="0">
        <f>(-5-((((-5*(-5/((-5/(((-5*(-21.73--5))-(-5+((-5*-21.73)*(((-5--5)+(-21.73--5))+-21.73))))-(-5+-5)))*-5)))/-5)--5)+(-5*(((-21.73*(-21.73-(-5/-5)))*(-21.73-(-21.73/(-5*-21.73))))-(-5/-5)))))</f>
        <v>-52330.334385</v>
      </c>
      <c r="C7828" t="n" s="0">
        <v>-52330.33438500001</v>
      </c>
    </row>
    <row r="7829">
      <c r="A7829" t="n" s="0">
        <v>-21.72</v>
      </c>
      <c r="B7829" t="n" s="0">
        <f>(-5-((((-5*(-5/((-5/(((-5*(-21.72--5))-(-5+((-5*-21.72)*(((-5--5)+(-21.72--5))+-21.72))))-(-5+-5)))*-5)))/-5)--5)+(-5*(((-21.72*(-21.72-(-5/-5)))*(-21.72-(-21.72/(-5*-21.72))))-(-5/-5)))))</f>
        <v>-52258.63904</v>
      </c>
      <c r="C7829" t="n" s="0">
        <v>-52258.63903999999</v>
      </c>
    </row>
    <row r="7830">
      <c r="A7830" t="n" s="0">
        <v>-21.71</v>
      </c>
      <c r="B7830" t="n" s="0">
        <f>(-5-((((-5*(-5/((-5/(((-5*(-21.71--5))-(-5+((-5*-21.71)*(((-5--5)+(-21.71--5))+-21.71))))-(-5+-5)))*-5)))/-5)--5)+(-5*(((-21.71*(-21.71-(-5/-5)))*(-21.71-(-21.71/(-5*-21.71))))-(-5/-5)))))</f>
        <v>-52187.009255</v>
      </c>
      <c r="C7830" t="n" s="0">
        <v>-52187.009255000004</v>
      </c>
    </row>
    <row r="7831">
      <c r="A7831" t="n" s="0">
        <v>-21.7</v>
      </c>
      <c r="B7831" t="n" s="0">
        <f>(-5-((((-5*(-5/((-5/(((-5*(-21.7--5))-(-5+((-5*-21.7)*(((-5--5)+(-21.7--5))+-21.7))))-(-5+-5)))*-5)))/-5)--5)+(-5*(((-21.7*(-21.7-(-5/-5)))*(-21.7-(-21.7/(-5*-21.7))))-(-5/-5)))))</f>
        <v>-52115.445</v>
      </c>
      <c r="C7831" t="n" s="0">
        <v>-52115.444999999985</v>
      </c>
    </row>
    <row r="7832">
      <c r="A7832" t="n" s="0">
        <v>-21.69</v>
      </c>
      <c r="B7832" t="n" s="0">
        <f>(-5-((((-5*(-5/((-5/(((-5*(-21.69--5))-(-5+((-5*-21.69)*(((-5--5)+(-21.69--5))+-21.69))))-(-5+-5)))*-5)))/-5)--5)+(-5*(((-21.69*(-21.69-(-5/-5)))*(-21.69-(-21.69/(-5*-21.69))))-(-5/-5)))))</f>
        <v>-52043.94624500001</v>
      </c>
      <c r="C7832" t="n" s="0">
        <v>-52043.94624500001</v>
      </c>
    </row>
    <row r="7833">
      <c r="A7833" t="n" s="0">
        <v>-21.68</v>
      </c>
      <c r="B7833" t="n" s="0">
        <f>(-5-((((-5*(-5/((-5/(((-5*(-21.68--5))-(-5+((-5*-21.68)*(((-5--5)+(-21.68--5))+-21.68))))-(-5+-5)))*-5)))/-5)--5)+(-5*(((-21.68*(-21.68-(-5/-5)))*(-21.68-(-21.68/(-5*-21.68))))-(-5/-5)))))</f>
        <v>-51972.51296000001</v>
      </c>
      <c r="C7833" t="n" s="0">
        <v>-51972.51296000001</v>
      </c>
    </row>
    <row r="7834">
      <c r="A7834" t="n" s="0">
        <v>-21.67</v>
      </c>
      <c r="B7834" t="n" s="0">
        <f>(-5-((((-5*(-5/((-5/(((-5*(-21.67--5))-(-5+((-5*-21.67)*(((-5--5)+(-21.67--5))+-21.67))))-(-5+-5)))*-5)))/-5)--5)+(-5*(((-21.67*(-21.67-(-5/-5)))*(-21.67-(-21.67/(-5*-21.67))))-(-5/-5)))))</f>
        <v>-51901.14511499999</v>
      </c>
      <c r="C7834" t="n" s="0">
        <v>-51901.14511500001</v>
      </c>
    </row>
    <row r="7835">
      <c r="A7835" t="n" s="0">
        <v>-21.66</v>
      </c>
      <c r="B7835" t="n" s="0">
        <f>(-5-((((-5*(-5/((-5/(((-5*(-21.66--5))-(-5+((-5*-21.66)*(((-5--5)+(-21.66--5))+-21.66))))-(-5+-5)))*-5)))/-5)--5)+(-5*(((-21.66*(-21.66-(-5/-5)))*(-21.66-(-21.66/(-5*-21.66))))-(-5/-5)))))</f>
        <v>-51829.842679999994</v>
      </c>
      <c r="C7835" t="n" s="0">
        <v>-51829.84268</v>
      </c>
    </row>
    <row r="7836">
      <c r="A7836" t="n" s="0">
        <v>-21.65</v>
      </c>
      <c r="B7836" t="n" s="0">
        <f>(-5-((((-5*(-5/((-5/(((-5*(-21.65--5))-(-5+((-5*-21.65)*(((-5--5)+(-21.65--5))+-21.65))))-(-5+-5)))*-5)))/-5)--5)+(-5*(((-21.65*(-21.65-(-5/-5)))*(-21.65-(-21.65/(-5*-21.65))))-(-5/-5)))))</f>
        <v>-51758.605625</v>
      </c>
      <c r="C7836" t="n" s="0">
        <v>-51758.60562499998</v>
      </c>
    </row>
    <row r="7837">
      <c r="A7837" t="n" s="0">
        <v>-21.64</v>
      </c>
      <c r="B7837" t="n" s="0">
        <f>(-5-((((-5*(-5/((-5/(((-5*(-21.64--5))-(-5+((-5*-21.64)*(((-5--5)+(-21.64--5))+-21.64))))-(-5+-5)))*-5)))/-5)--5)+(-5*(((-21.64*(-21.64-(-5/-5)))*(-21.64-(-21.64/(-5*-21.64))))-(-5/-5)))))</f>
        <v>-51687.433919999996</v>
      </c>
      <c r="C7837" t="n" s="0">
        <v>-51687.43392</v>
      </c>
    </row>
    <row r="7838">
      <c r="A7838" t="n" s="0">
        <v>-21.63</v>
      </c>
      <c r="B7838" t="n" s="0">
        <f>(-5-((((-5*(-5/((-5/(((-5*(-21.63--5))-(-5+((-5*-21.63)*(((-5--5)+(-21.63--5))+-21.63))))-(-5+-5)))*-5)))/-5)--5)+(-5*(((-21.63*(-21.63-(-5/-5)))*(-21.63-(-21.63/(-5*-21.63))))-(-5/-5)))))</f>
        <v>-51616.327535</v>
      </c>
      <c r="C7838" t="n" s="0">
        <v>-51616.32753499999</v>
      </c>
    </row>
    <row r="7839">
      <c r="A7839" t="n" s="0">
        <v>-21.62</v>
      </c>
      <c r="B7839" t="n" s="0">
        <f>(-5-((((-5*(-5/((-5/(((-5*(-21.62--5))-(-5+((-5*-21.62)*(((-5--5)+(-21.62--5))+-21.62))))-(-5+-5)))*-5)))/-5)--5)+(-5*(((-21.62*(-21.62-(-5/-5)))*(-21.62-(-21.62/(-5*-21.62))))-(-5/-5)))))</f>
        <v>-51545.28644</v>
      </c>
      <c r="C7839" t="n" s="0">
        <v>-51545.28644</v>
      </c>
    </row>
    <row r="7840">
      <c r="A7840" t="n" s="0">
        <v>-21.61</v>
      </c>
      <c r="B7840" t="n" s="0">
        <f>(-5-((((-5*(-5/((-5/(((-5*(-21.61--5))-(-5+((-5*-21.61)*(((-5--5)+(-21.61--5))+-21.61))))-(-5+-5)))*-5)))/-5)--5)+(-5*(((-21.61*(-21.61-(-5/-5)))*(-21.61-(-21.61/(-5*-21.61))))-(-5/-5)))))</f>
        <v>-51474.310605</v>
      </c>
      <c r="C7840" t="n" s="0">
        <v>-51474.310605</v>
      </c>
    </row>
    <row r="7841">
      <c r="A7841" t="n" s="0">
        <v>-21.6</v>
      </c>
      <c r="B7841" t="n" s="0">
        <f>(-5-((((-5*(-5/((-5/(((-5*(-21.6--5))-(-5+((-5*-21.6)*(((-5--5)+(-21.6--5))+-21.6))))-(-5+-5)))*-5)))/-5)--5)+(-5*(((-21.6*(-21.6-(-5/-5)))*(-21.6-(-21.6/(-5*-21.6))))-(-5/-5)))))</f>
        <v>-51403.40000000001</v>
      </c>
      <c r="C7841" t="n" s="0">
        <v>-51403.400000000016</v>
      </c>
    </row>
    <row r="7842">
      <c r="A7842" t="n" s="0">
        <v>-21.59</v>
      </c>
      <c r="B7842" t="n" s="0">
        <f>(-5-((((-5*(-5/((-5/(((-5*(-21.59--5))-(-5+((-5*-21.59)*(((-5--5)+(-21.59--5))+-21.59))))-(-5+-5)))*-5)))/-5)--5)+(-5*(((-21.59*(-21.59-(-5/-5)))*(-21.59-(-21.59/(-5*-21.59))))-(-5/-5)))))</f>
        <v>-51332.554594999994</v>
      </c>
      <c r="C7842" t="n" s="0">
        <v>-51332.554595</v>
      </c>
    </row>
    <row r="7843">
      <c r="A7843" t="n" s="0">
        <v>-21.58</v>
      </c>
      <c r="B7843" t="n" s="0">
        <f>(-5-((((-5*(-5/((-5/(((-5*(-21.58--5))-(-5+((-5*-21.58)*(((-5--5)+(-21.58--5))+-21.58))))-(-5+-5)))*-5)))/-5)--5)+(-5*(((-21.58*(-21.58-(-5/-5)))*(-21.58-(-21.58/(-5*-21.58))))-(-5/-5)))))</f>
        <v>-51261.77436</v>
      </c>
      <c r="C7843" t="n" s="0">
        <v>-51261.77435999999</v>
      </c>
    </row>
    <row r="7844">
      <c r="A7844" t="n" s="0">
        <v>-21.57</v>
      </c>
      <c r="B7844" t="n" s="0">
        <f>(-5-((((-5*(-5/((-5/(((-5*(-21.57--5))-(-5+((-5*-21.57)*(((-5--5)+(-21.57--5))+-21.57))))-(-5+-5)))*-5)))/-5)--5)+(-5*(((-21.57*(-21.57-(-5/-5)))*(-21.57-(-21.57/(-5*-21.57))))-(-5/-5)))))</f>
        <v>-51191.059264999996</v>
      </c>
      <c r="C7844" t="n" s="0">
        <v>-51191.059265</v>
      </c>
    </row>
    <row r="7845">
      <c r="A7845" t="n" s="0">
        <v>-21.56</v>
      </c>
      <c r="B7845" t="n" s="0">
        <f>(-5-((((-5*(-5/((-5/(((-5*(-21.56--5))-(-5+((-5*-21.56)*(((-5--5)+(-21.56--5))+-21.56))))-(-5+-5)))*-5)))/-5)--5)+(-5*(((-21.56*(-21.56-(-5/-5)))*(-21.56-(-21.56/(-5*-21.56))))-(-5/-5)))))</f>
        <v>-51120.40927999999</v>
      </c>
      <c r="C7845" t="n" s="0">
        <v>-51120.40928</v>
      </c>
    </row>
    <row r="7846">
      <c r="A7846" t="n" s="0">
        <v>-21.55</v>
      </c>
      <c r="B7846" t="n" s="0">
        <f>(-5-((((-5*(-5/((-5/(((-5*(-21.55--5))-(-5+((-5*-21.55)*(((-5--5)+(-21.55--5))+-21.55))))-(-5+-5)))*-5)))/-5)--5)+(-5*(((-21.55*(-21.55-(-5/-5)))*(-21.55-(-21.55/(-5*-21.55))))-(-5/-5)))))</f>
        <v>-51049.824375</v>
      </c>
      <c r="C7846" t="n" s="0">
        <v>-51049.82437500001</v>
      </c>
    </row>
    <row r="7847">
      <c r="A7847" t="n" s="0">
        <v>-21.54</v>
      </c>
      <c r="B7847" t="n" s="0">
        <f>(-5-((((-5*(-5/((-5/(((-5*(-21.54--5))-(-5+((-5*-21.54)*(((-5--5)+(-21.54--5))+-21.54))))-(-5+-5)))*-5)))/-5)--5)+(-5*(((-21.54*(-21.54-(-5/-5)))*(-21.54-(-21.54/(-5*-21.54))))-(-5/-5)))))</f>
        <v>-50979.304520000005</v>
      </c>
      <c r="C7847" t="n" s="0">
        <v>-50979.30452</v>
      </c>
    </row>
    <row r="7848">
      <c r="A7848" t="n" s="0">
        <v>-21.53</v>
      </c>
      <c r="B7848" t="n" s="0">
        <f>(-5-((((-5*(-5/((-5/(((-5*(-21.53--5))-(-5+((-5*-21.53)*(((-5--5)+(-21.53--5))+-21.53))))-(-5+-5)))*-5)))/-5)--5)+(-5*(((-21.53*(-21.53-(-5/-5)))*(-21.53-(-21.53/(-5*-21.53))))-(-5/-5)))))</f>
        <v>-50908.849684999994</v>
      </c>
      <c r="C7848" t="n" s="0">
        <v>-50908.84968500001</v>
      </c>
    </row>
    <row r="7849">
      <c r="A7849" t="n" s="0">
        <v>-21.52</v>
      </c>
      <c r="B7849" t="n" s="0">
        <f>(-5-((((-5*(-5/((-5/(((-5*(-21.52--5))-(-5+((-5*-21.52)*(((-5--5)+(-21.52--5))+-21.52))))-(-5+-5)))*-5)))/-5)--5)+(-5*(((-21.52*(-21.52-(-5/-5)))*(-21.52-(-21.52/(-5*-21.52))))-(-5/-5)))))</f>
        <v>-50838.459839999996</v>
      </c>
      <c r="C7849" t="n" s="0">
        <v>-50838.459839999996</v>
      </c>
    </row>
    <row r="7850">
      <c r="A7850" t="n" s="0">
        <v>-21.51</v>
      </c>
      <c r="B7850" t="n" s="0">
        <f>(-5-((((-5*(-5/((-5/(((-5*(-21.51--5))-(-5+((-5*-21.51)*(((-5--5)+(-21.51--5))+-21.51))))-(-5+-5)))*-5)))/-5)--5)+(-5*(((-21.51*(-21.51-(-5/-5)))*(-21.51-(-21.51/(-5*-21.51))))-(-5/-5)))))</f>
        <v>-50768.134955</v>
      </c>
      <c r="C7850" t="n" s="0">
        <v>-50768.13495500001</v>
      </c>
    </row>
    <row r="7851">
      <c r="A7851" t="n" s="0">
        <v>-21.5</v>
      </c>
      <c r="B7851" t="n" s="0">
        <f>(-5-((((-5*(-5/((-5/(((-5*(-21.5--5))-(-5+((-5*-21.5)*(((-5--5)+(-21.5--5))+-21.5))))-(-5+-5)))*-5)))/-5)--5)+(-5*(((-21.5*(-21.5-(-5/-5)))*(-21.5-(-21.5/(-5*-21.5))))-(-5/-5)))))</f>
        <v>-50697.875</v>
      </c>
      <c r="C7851" t="n" s="0">
        <v>-50697.875</v>
      </c>
    </row>
    <row r="7852">
      <c r="A7852" t="n" s="0">
        <v>-21.49</v>
      </c>
      <c r="B7852" t="n" s="0">
        <f>(-5-((((-5*(-5/((-5/(((-5*(-21.49--5))-(-5+((-5*-21.49)*(((-5--5)+(-21.49--5))+-21.49))))-(-5+-5)))*-5)))/-5)--5)+(-5*(((-21.49*(-21.49-(-5/-5)))*(-21.49-(-21.49/(-5*-21.49))))-(-5/-5)))))</f>
        <v>-50627.679945</v>
      </c>
      <c r="C7852" t="n" s="0">
        <v>-50627.679944999996</v>
      </c>
    </row>
    <row r="7853">
      <c r="A7853" t="n" s="0">
        <v>-21.48</v>
      </c>
      <c r="B7853" t="n" s="0">
        <f>(-5-((((-5*(-5/((-5/(((-5*(-21.48--5))-(-5+((-5*-21.48)*(((-5--5)+(-21.48--5))+-21.48))))-(-5+-5)))*-5)))/-5)--5)+(-5*(((-21.48*(-21.48-(-5/-5)))*(-21.48-(-21.48/(-5*-21.48))))-(-5/-5)))))</f>
        <v>-50557.54976</v>
      </c>
      <c r="C7853" t="n" s="0">
        <v>-50557.54976</v>
      </c>
    </row>
    <row r="7854">
      <c r="A7854" t="n" s="0">
        <v>-21.47</v>
      </c>
      <c r="B7854" t="n" s="0">
        <f>(-5-((((-5*(-5/((-5/(((-5*(-21.47--5))-(-5+((-5*-21.47)*(((-5--5)+(-21.47--5))+-21.47))))-(-5+-5)))*-5)))/-5)--5)+(-5*(((-21.47*(-21.47-(-5/-5)))*(-21.47-(-21.47/(-5*-21.47))))-(-5/-5)))))</f>
        <v>-50487.484415</v>
      </c>
      <c r="C7854" t="n" s="0">
        <v>-50487.48441499999</v>
      </c>
    </row>
    <row r="7855">
      <c r="A7855" t="n" s="0">
        <v>-21.46</v>
      </c>
      <c r="B7855" t="n" s="0">
        <f>(-5-((((-5*(-5/((-5/(((-5*(-21.46--5))-(-5+((-5*-21.46)*(((-5--5)+(-21.46--5))+-21.46))))-(-5+-5)))*-5)))/-5)--5)+(-5*(((-21.46*(-21.46-(-5/-5)))*(-21.46-(-21.46/(-5*-21.46))))-(-5/-5)))))</f>
        <v>-50417.48388</v>
      </c>
      <c r="C7855" t="n" s="0">
        <v>-50417.48388</v>
      </c>
    </row>
    <row r="7856">
      <c r="A7856" t="n" s="0">
        <v>-21.45</v>
      </c>
      <c r="B7856" t="n" s="0">
        <f>(-5-((((-5*(-5/((-5/(((-5*(-21.45--5))-(-5+((-5*-21.45)*(((-5--5)+(-21.45--5))+-21.45))))-(-5+-5)))*-5)))/-5)--5)+(-5*(((-21.45*(-21.45-(-5/-5)))*(-21.45-(-21.45/(-5*-21.45))))-(-5/-5)))))</f>
        <v>-50347.548125</v>
      </c>
      <c r="C7856" t="n" s="0">
        <v>-50347.548124999994</v>
      </c>
    </row>
    <row r="7857">
      <c r="A7857" t="n" s="0">
        <v>-21.44</v>
      </c>
      <c r="B7857" t="n" s="0">
        <f>(-5-((((-5*(-5/((-5/(((-5*(-21.44--5))-(-5+((-5*-21.44)*(((-5--5)+(-21.44--5))+-21.44))))-(-5+-5)))*-5)))/-5)--5)+(-5*(((-21.44*(-21.44-(-5/-5)))*(-21.44-(-21.44/(-5*-21.44))))-(-5/-5)))))</f>
        <v>-50277.67712</v>
      </c>
      <c r="C7857" t="n" s="0">
        <v>-50277.677120000015</v>
      </c>
    </row>
    <row r="7858">
      <c r="A7858" t="n" s="0">
        <v>-21.43</v>
      </c>
      <c r="B7858" t="n" s="0">
        <f>(-5-((((-5*(-5/((-5/(((-5*(-21.43--5))-(-5+((-5*-21.43)*(((-5--5)+(-21.43--5))+-21.43))))-(-5+-5)))*-5)))/-5)--5)+(-5*(((-21.43*(-21.43-(-5/-5)))*(-21.43-(-21.43/(-5*-21.43))))-(-5/-5)))))</f>
        <v>-50207.870835</v>
      </c>
      <c r="C7858" t="n" s="0">
        <v>-50207.870835</v>
      </c>
    </row>
    <row r="7859">
      <c r="A7859" t="n" s="0">
        <v>-21.42</v>
      </c>
      <c r="B7859" t="n" s="0">
        <f>(-5-((((-5*(-5/((-5/(((-5*(-21.42--5))-(-5+((-5*-21.42)*(((-5--5)+(-21.42--5))+-21.42))))-(-5+-5)))*-5)))/-5)--5)+(-5*(((-21.42*(-21.42-(-5/-5)))*(-21.42-(-21.42/(-5*-21.42))))-(-5/-5)))))</f>
        <v>-50138.12924</v>
      </c>
      <c r="C7859" t="n" s="0">
        <v>-50138.12924000002</v>
      </c>
    </row>
    <row r="7860">
      <c r="A7860" t="n" s="0">
        <v>-21.41</v>
      </c>
      <c r="B7860" t="n" s="0">
        <f>(-5-((((-5*(-5/((-5/(((-5*(-21.41--5))-(-5+((-5*-21.41)*(((-5--5)+(-21.41--5))+-21.41))))-(-5+-5)))*-5)))/-5)--5)+(-5*(((-21.41*(-21.41-(-5/-5)))*(-21.41-(-21.41/(-5*-21.41))))-(-5/-5)))))</f>
        <v>-50068.452305</v>
      </c>
      <c r="C7860" t="n" s="0">
        <v>-50068.452305000006</v>
      </c>
    </row>
    <row r="7861">
      <c r="A7861" t="n" s="0">
        <v>-21.4</v>
      </c>
      <c r="B7861" t="n" s="0">
        <f>(-5-((((-5*(-5/((-5/(((-5*(-21.4--5))-(-5+((-5*-21.4)*(((-5--5)+(-21.4--5))+-21.4))))-(-5+-5)))*-5)))/-5)--5)+(-5*(((-21.4*(-21.4-(-5/-5)))*(-21.4-(-21.4/(-5*-21.4))))-(-5/-5)))))</f>
        <v>-49998.840000000004</v>
      </c>
      <c r="C7861" t="n" s="0">
        <v>-49998.83999999998</v>
      </c>
    </row>
    <row r="7862">
      <c r="A7862" t="n" s="0">
        <v>-21.39</v>
      </c>
      <c r="B7862" t="n" s="0">
        <f>(-5-((((-5*(-5/((-5/(((-5*(-21.39--5))-(-5+((-5*-21.39)*(((-5--5)+(-21.39--5))+-21.39))))-(-5+-5)))*-5)))/-5)--5)+(-5*(((-21.39*(-21.39-(-5/-5)))*(-21.39-(-21.39/(-5*-21.39))))-(-5/-5)))))</f>
        <v>-49929.292295</v>
      </c>
      <c r="C7862" t="n" s="0">
        <v>-49929.29229500001</v>
      </c>
    </row>
    <row r="7863">
      <c r="A7863" t="n" s="0">
        <v>-21.38</v>
      </c>
      <c r="B7863" t="n" s="0">
        <f>(-5-((((-5*(-5/((-5/(((-5*(-21.38--5))-(-5+((-5*-21.38)*(((-5--5)+(-21.38--5))+-21.38))))-(-5+-5)))*-5)))/-5)--5)+(-5*(((-21.38*(-21.38-(-5/-5)))*(-21.38-(-21.38/(-5*-21.38))))-(-5/-5)))))</f>
        <v>-49859.80916</v>
      </c>
      <c r="C7863" t="n" s="0">
        <v>-49859.80916</v>
      </c>
    </row>
    <row r="7864">
      <c r="A7864" t="n" s="0">
        <v>-21.37</v>
      </c>
      <c r="B7864" t="n" s="0">
        <f>(-5-((((-5*(-5/((-5/(((-5*(-21.37--5))-(-5+((-5*-21.37)*(((-5--5)+(-21.37--5))+-21.37))))-(-5+-5)))*-5)))/-5)--5)+(-5*(((-21.37*(-21.37-(-5/-5)))*(-21.37-(-21.37/(-5*-21.37))))-(-5/-5)))))</f>
        <v>-49790.390565</v>
      </c>
      <c r="C7864" t="n" s="0">
        <v>-49790.390565</v>
      </c>
    </row>
    <row r="7865">
      <c r="A7865" t="n" s="0">
        <v>-21.36</v>
      </c>
      <c r="B7865" t="n" s="0">
        <f>(-5-((((-5*(-5/((-5/(((-5*(-21.36--5))-(-5+((-5*-21.36)*(((-5--5)+(-21.36--5))+-21.36))))-(-5+-5)))*-5)))/-5)--5)+(-5*(((-21.36*(-21.36-(-5/-5)))*(-21.36-(-21.36/(-5*-21.36))))-(-5/-5)))))</f>
        <v>-49721.036479999995</v>
      </c>
      <c r="C7865" t="n" s="0">
        <v>-49721.03648</v>
      </c>
    </row>
    <row r="7866">
      <c r="A7866" t="n" s="0">
        <v>-21.35</v>
      </c>
      <c r="B7866" t="n" s="0">
        <f>(-5-((((-5*(-5/((-5/(((-5*(-21.35--5))-(-5+((-5*-21.35)*(((-5--5)+(-21.35--5))+-21.35))))-(-5+-5)))*-5)))/-5)--5)+(-5*(((-21.35*(-21.35-(-5/-5)))*(-21.35-(-21.35/(-5*-21.35))))-(-5/-5)))))</f>
        <v>-49651.746875</v>
      </c>
      <c r="C7866" t="n" s="0">
        <v>-49651.74687500001</v>
      </c>
    </row>
    <row r="7867">
      <c r="A7867" t="n" s="0">
        <v>-21.34</v>
      </c>
      <c r="B7867" t="n" s="0">
        <f>(-5-((((-5*(-5/((-5/(((-5*(-21.34--5))-(-5+((-5*-21.34)*(((-5--5)+(-21.34--5))+-21.34))))-(-5+-5)))*-5)))/-5)--5)+(-5*(((-21.34*(-21.34-(-5/-5)))*(-21.34-(-21.34/(-5*-21.34))))-(-5/-5)))))</f>
        <v>-49582.521720000004</v>
      </c>
      <c r="C7867" t="n" s="0">
        <v>-49582.52172</v>
      </c>
    </row>
    <row r="7868">
      <c r="A7868" t="n" s="0">
        <v>-21.33</v>
      </c>
      <c r="B7868" t="n" s="0">
        <f>(-5-((((-5*(-5/((-5/(((-5*(-21.33--5))-(-5+((-5*-21.33)*(((-5--5)+(-21.33--5))+-21.33))))-(-5+-5)))*-5)))/-5)--5)+(-5*(((-21.33*(-21.33-(-5/-5)))*(-21.33-(-21.33/(-5*-21.33))))-(-5/-5)))))</f>
        <v>-49513.360985</v>
      </c>
      <c r="C7868" t="n" s="0">
        <v>-49513.360984999985</v>
      </c>
    </row>
    <row r="7869">
      <c r="A7869" t="n" s="0">
        <v>-21.32</v>
      </c>
      <c r="B7869" t="n" s="0">
        <f>(-5-((((-5*(-5/((-5/(((-5*(-21.32--5))-(-5+((-5*-21.32)*(((-5--5)+(-21.32--5))+-21.32))))-(-5+-5)))*-5)))/-5)--5)+(-5*(((-21.32*(-21.32-(-5/-5)))*(-21.32-(-21.32/(-5*-21.32))))-(-5/-5)))))</f>
        <v>-49444.26464</v>
      </c>
      <c r="C7869" t="n" s="0">
        <v>-49444.26464</v>
      </c>
    </row>
    <row r="7870">
      <c r="A7870" t="n" s="0">
        <v>-21.31</v>
      </c>
      <c r="B7870" t="n" s="0">
        <f>(-5-((((-5*(-5/((-5/(((-5*(-21.31--5))-(-5+((-5*-21.31)*(((-5--5)+(-21.31--5))+-21.31))))-(-5+-5)))*-5)))/-5)--5)+(-5*(((-21.31*(-21.31-(-5/-5)))*(-21.31-(-21.31/(-5*-21.31))))-(-5/-5)))))</f>
        <v>-49375.232655</v>
      </c>
      <c r="C7870" t="n" s="0">
        <v>-49375.23265499999</v>
      </c>
    </row>
    <row r="7871">
      <c r="A7871" t="n" s="0">
        <v>-21.3</v>
      </c>
      <c r="B7871" t="n" s="0">
        <f>(-5-((((-5*(-5/((-5/(((-5*(-21.3--5))-(-5+((-5*-21.3)*(((-5--5)+(-21.3--5))+-21.3))))-(-5+-5)))*-5)))/-5)--5)+(-5*(((-21.3*(-21.3-(-5/-5)))*(-21.3-(-21.3/(-5*-21.3))))-(-5/-5)))))</f>
        <v>-49306.265</v>
      </c>
      <c r="C7871" t="n" s="0">
        <v>-49306.26500000001</v>
      </c>
    </row>
    <row r="7872">
      <c r="A7872" t="n" s="0">
        <v>-21.29</v>
      </c>
      <c r="B7872" t="n" s="0">
        <f>(-5-((((-5*(-5/((-5/(((-5*(-21.29--5))-(-5+((-5*-21.29)*(((-5--5)+(-21.29--5))+-21.29))))-(-5+-5)))*-5)))/-5)--5)+(-5*(((-21.29*(-21.29-(-5/-5)))*(-21.29-(-21.29/(-5*-21.29))))-(-5/-5)))))</f>
        <v>-49237.361645000005</v>
      </c>
      <c r="C7872" t="n" s="0">
        <v>-49237.361645</v>
      </c>
    </row>
    <row r="7873">
      <c r="A7873" t="n" s="0">
        <v>-21.28</v>
      </c>
      <c r="B7873" t="n" s="0">
        <f>(-5-((((-5*(-5/((-5/(((-5*(-21.28--5))-(-5+((-5*-21.28)*(((-5--5)+(-21.28--5))+-21.28))))-(-5+-5)))*-5)))/-5)--5)+(-5*(((-21.28*(-21.28-(-5/-5)))*(-21.28-(-21.28/(-5*-21.28))))-(-5/-5)))))</f>
        <v>-49168.522560000005</v>
      </c>
      <c r="C7873" t="n" s="0">
        <v>-49168.52256000001</v>
      </c>
    </row>
    <row r="7874">
      <c r="A7874" t="n" s="0">
        <v>-21.27</v>
      </c>
      <c r="B7874" t="n" s="0">
        <f>(-5-((((-5*(-5/((-5/(((-5*(-21.27--5))-(-5+((-5*-21.27)*(((-5--5)+(-21.27--5))+-21.27))))-(-5+-5)))*-5)))/-5)--5)+(-5*(((-21.27*(-21.27-(-5/-5)))*(-21.27-(-21.27/(-5*-21.27))))-(-5/-5)))))</f>
        <v>-49099.747715000005</v>
      </c>
      <c r="C7874" t="n" s="0">
        <v>-49099.74771499999</v>
      </c>
    </row>
    <row r="7875">
      <c r="A7875" t="n" s="0">
        <v>-21.26</v>
      </c>
      <c r="B7875" t="n" s="0">
        <f>(-5-((((-5*(-5/((-5/(((-5*(-21.26--5))-(-5+((-5*-21.26)*(((-5--5)+(-21.26--5))+-21.26))))-(-5+-5)))*-5)))/-5)--5)+(-5*(((-21.26*(-21.26-(-5/-5)))*(-21.26-(-21.26/(-5*-21.26))))-(-5/-5)))))</f>
        <v>-49031.03708</v>
      </c>
      <c r="C7875" t="n" s="0">
        <v>-49031.03708000002</v>
      </c>
    </row>
    <row r="7876">
      <c r="A7876" t="n" s="0">
        <v>-21.25</v>
      </c>
      <c r="B7876" t="n" s="0">
        <f>(-5-((((-5*(-5/((-5/(((-5*(-21.25--5))-(-5+((-5*-21.25)*(((-5--5)+(-21.25--5))+-21.25))))-(-5+-5)))*-5)))/-5)--5)+(-5*(((-21.25*(-21.25-(-5/-5)))*(-21.25-(-21.25/(-5*-21.25))))-(-5/-5)))))</f>
        <v>-48962.390625</v>
      </c>
      <c r="C7876" t="n" s="0">
        <v>-48962.390625</v>
      </c>
    </row>
    <row r="7877">
      <c r="A7877" t="n" s="0">
        <v>-21.24</v>
      </c>
      <c r="B7877" t="n" s="0">
        <f>(-5-((((-5*(-5/((-5/(((-5*(-21.24--5))-(-5+((-5*-21.24)*(((-5--5)+(-21.24--5))+-21.24))))-(-5+-5)))*-5)))/-5)--5)+(-5*(((-21.24*(-21.24-(-5/-5)))*(-21.24-(-21.24/(-5*-21.24))))-(-5/-5)))))</f>
        <v>-48893.808320000004</v>
      </c>
      <c r="C7877" t="n" s="0">
        <v>-48893.80831999999</v>
      </c>
    </row>
    <row r="7878">
      <c r="A7878" t="n" s="0">
        <v>-21.23</v>
      </c>
      <c r="B7878" t="n" s="0">
        <f>(-5-((((-5*(-5/((-5/(((-5*(-21.23--5))-(-5+((-5*-21.23)*(((-5--5)+(-21.23--5))+-21.23))))-(-5+-5)))*-5)))/-5)--5)+(-5*(((-21.23*(-21.23-(-5/-5)))*(-21.23-(-21.23/(-5*-21.23))))-(-5/-5)))))</f>
        <v>-48825.290135</v>
      </c>
      <c r="C7878" t="n" s="0">
        <v>-48825.290135</v>
      </c>
    </row>
    <row r="7879">
      <c r="A7879" t="n" s="0">
        <v>-21.22</v>
      </c>
      <c r="B7879" t="n" s="0">
        <f>(-5-((((-5*(-5/((-5/(((-5*(-21.22--5))-(-5+((-5*-21.22)*(((-5--5)+(-21.22--5))+-21.22))))-(-5+-5)))*-5)))/-5)--5)+(-5*(((-21.22*(-21.22-(-5/-5)))*(-21.22-(-21.22/(-5*-21.22))))-(-5/-5)))))</f>
        <v>-48756.83604</v>
      </c>
      <c r="C7879" t="n" s="0">
        <v>-48756.83604</v>
      </c>
    </row>
    <row r="7880">
      <c r="A7880" t="n" s="0">
        <v>-21.21</v>
      </c>
      <c r="B7880" t="n" s="0">
        <f>(-5-((((-5*(-5/((-5/(((-5*(-21.21--5))-(-5+((-5*-21.21)*(((-5--5)+(-21.21--5))+-21.21))))-(-5+-5)))*-5)))/-5)--5)+(-5*(((-21.21*(-21.21-(-5/-5)))*(-21.21-(-21.21/(-5*-21.21))))-(-5/-5)))))</f>
        <v>-48688.446005</v>
      </c>
      <c r="C7880" t="n" s="0">
        <v>-48688.446005</v>
      </c>
    </row>
    <row r="7881">
      <c r="A7881" t="n" s="0">
        <v>-21.2</v>
      </c>
      <c r="B7881" t="n" s="0">
        <f>(-5-((((-5*(-5/((-5/(((-5*(-21.2--5))-(-5+((-5*-21.2)*(((-5--5)+(-21.2--5))+-21.2))))-(-5+-5)))*-5)))/-5)--5)+(-5*(((-21.2*(-21.2-(-5/-5)))*(-21.2-(-21.2/(-5*-21.2))))-(-5/-5)))))</f>
        <v>-48620.119999999995</v>
      </c>
      <c r="C7881" t="n" s="0">
        <v>-48620.11999999999</v>
      </c>
    </row>
    <row r="7882">
      <c r="A7882" t="n" s="0">
        <v>-21.19</v>
      </c>
      <c r="B7882" t="n" s="0">
        <f>(-5-((((-5*(-5/((-5/(((-5*(-21.19--5))-(-5+((-5*-21.19)*(((-5--5)+(-21.19--5))+-21.19))))-(-5+-5)))*-5)))/-5)--5)+(-5*(((-21.19*(-21.19-(-5/-5)))*(-21.19-(-21.19/(-5*-21.19))))-(-5/-5)))))</f>
        <v>-48551.857995</v>
      </c>
      <c r="C7882" t="n" s="0">
        <v>-48551.857995000006</v>
      </c>
    </row>
    <row r="7883">
      <c r="A7883" t="n" s="0">
        <v>-21.18</v>
      </c>
      <c r="B7883" t="n" s="0">
        <f>(-5-((((-5*(-5/((-5/(((-5*(-21.18--5))-(-5+((-5*-21.18)*(((-5--5)+(-21.18--5))+-21.18))))-(-5+-5)))*-5)))/-5)--5)+(-5*(((-21.18*(-21.18-(-5/-5)))*(-21.18-(-21.18/(-5*-21.18))))-(-5/-5)))))</f>
        <v>-48483.65996</v>
      </c>
      <c r="C7883" t="n" s="0">
        <v>-48483.659960000005</v>
      </c>
    </row>
    <row r="7884">
      <c r="A7884" t="n" s="0">
        <v>-21.17</v>
      </c>
      <c r="B7884" t="n" s="0">
        <f>(-5-((((-5*(-5/((-5/(((-5*(-21.17--5))-(-5+((-5*-21.17)*(((-5--5)+(-21.17--5))+-21.17))))-(-5+-5)))*-5)))/-5)--5)+(-5*(((-21.17*(-21.17-(-5/-5)))*(-21.17-(-21.17/(-5*-21.17))))-(-5/-5)))))</f>
        <v>-48415.525864999996</v>
      </c>
      <c r="C7884" t="n" s="0">
        <v>-48415.52586500002</v>
      </c>
    </row>
    <row r="7885">
      <c r="A7885" t="n" s="0">
        <v>-21.16</v>
      </c>
      <c r="B7885" t="n" s="0">
        <f>(-5-((((-5*(-5/((-5/(((-5*(-21.16--5))-(-5+((-5*-21.16)*(((-5--5)+(-21.16--5))+-21.16))))-(-5+-5)))*-5)))/-5)--5)+(-5*(((-21.16*(-21.16-(-5/-5)))*(-21.16-(-21.16/(-5*-21.16))))-(-5/-5)))))</f>
        <v>-48347.45567999999</v>
      </c>
      <c r="C7885" t="n" s="0">
        <v>-48347.45568</v>
      </c>
    </row>
    <row r="7886">
      <c r="A7886" t="n" s="0">
        <v>-21.15</v>
      </c>
      <c r="B7886" t="n" s="0">
        <f>(-5-((((-5*(-5/((-5/(((-5*(-21.15--5))-(-5+((-5*-21.15)*(((-5--5)+(-21.15--5))+-21.15))))-(-5+-5)))*-5)))/-5)--5)+(-5*(((-21.15*(-21.15-(-5/-5)))*(-21.15-(-21.15/(-5*-21.15))))-(-5/-5)))))</f>
        <v>-48279.449375000004</v>
      </c>
      <c r="C7886" t="n" s="0">
        <v>-48279.44937499999</v>
      </c>
    </row>
    <row r="7887">
      <c r="A7887" t="n" s="0">
        <v>-21.14</v>
      </c>
      <c r="B7887" t="n" s="0">
        <f>(-5-((((-5*(-5/((-5/(((-5*(-21.14--5))-(-5+((-5*-21.14)*(((-5--5)+(-21.14--5))+-21.14))))-(-5+-5)))*-5)))/-5)--5)+(-5*(((-21.14*(-21.14-(-5/-5)))*(-21.14-(-21.14/(-5*-21.14))))-(-5/-5)))))</f>
        <v>-48211.50692000001</v>
      </c>
      <c r="C7887" t="n" s="0">
        <v>-48211.50692000001</v>
      </c>
    </row>
    <row r="7888">
      <c r="A7888" t="n" s="0">
        <v>-21.13</v>
      </c>
      <c r="B7888" t="n" s="0">
        <f>(-5-((((-5*(-5/((-5/(((-5*(-21.13--5))-(-5+((-5*-21.13)*(((-5--5)+(-21.13--5))+-21.13))))-(-5+-5)))*-5)))/-5)--5)+(-5*(((-21.13*(-21.13-(-5/-5)))*(-21.13-(-21.13/(-5*-21.13))))-(-5/-5)))))</f>
        <v>-48143.628285</v>
      </c>
      <c r="C7888" t="n" s="0">
        <v>-48143.628285</v>
      </c>
    </row>
    <row r="7889">
      <c r="A7889" t="n" s="0">
        <v>-21.12</v>
      </c>
      <c r="B7889" t="n" s="0">
        <f>(-5-((((-5*(-5/((-5/(((-5*(-21.12--5))-(-5+((-5*-21.12)*(((-5--5)+(-21.12--5))+-21.12))))-(-5+-5)))*-5)))/-5)--5)+(-5*(((-21.12*(-21.12-(-5/-5)))*(-21.12-(-21.12/(-5*-21.12))))-(-5/-5)))))</f>
        <v>-48075.81344</v>
      </c>
      <c r="C7889" t="n" s="0">
        <v>-48075.813440000005</v>
      </c>
    </row>
    <row r="7890">
      <c r="A7890" t="n" s="0">
        <v>-21.11</v>
      </c>
      <c r="B7890" t="n" s="0">
        <f>(-5-((((-5*(-5/((-5/(((-5*(-21.11--5))-(-5+((-5*-21.11)*(((-5--5)+(-21.11--5))+-21.11))))-(-5+-5)))*-5)))/-5)--5)+(-5*(((-21.11*(-21.11-(-5/-5)))*(-21.11-(-21.11/(-5*-21.11))))-(-5/-5)))))</f>
        <v>-48008.062354999995</v>
      </c>
      <c r="C7890" t="n" s="0">
        <v>-48008.062354999995</v>
      </c>
    </row>
    <row r="7891">
      <c r="A7891" t="n" s="0">
        <v>-21.1</v>
      </c>
      <c r="B7891" t="n" s="0">
        <f>(-5-((((-5*(-5/((-5/(((-5*(-21.1--5))-(-5+((-5*-21.1)*(((-5--5)+(-21.1--5))+-21.1))))-(-5+-5)))*-5)))/-5)--5)+(-5*(((-21.1*(-21.1-(-5/-5)))*(-21.1-(-21.1/(-5*-21.1))))-(-5/-5)))))</f>
        <v>-47940.375</v>
      </c>
      <c r="C7891" t="n" s="0">
        <v>-47940.375000000015</v>
      </c>
    </row>
    <row r="7892">
      <c r="A7892" t="n" s="0">
        <v>-21.09</v>
      </c>
      <c r="B7892" t="n" s="0">
        <f>(-5-((((-5*(-5/((-5/(((-5*(-21.09--5))-(-5+((-5*-21.09)*(((-5--5)+(-21.09--5))+-21.09))))-(-5+-5)))*-5)))/-5)--5)+(-5*(((-21.09*(-21.09-(-5/-5)))*(-21.09-(-21.09/(-5*-21.09))))-(-5/-5)))))</f>
        <v>-47872.751345</v>
      </c>
      <c r="C7892" t="n" s="0">
        <v>-47872.751345</v>
      </c>
    </row>
    <row r="7893">
      <c r="A7893" t="n" s="0">
        <v>-21.08</v>
      </c>
      <c r="B7893" t="n" s="0">
        <f>(-5-((((-5*(-5/((-5/(((-5*(-21.08--5))-(-5+((-5*-21.08)*(((-5--5)+(-21.08--5))+-21.08))))-(-5+-5)))*-5)))/-5)--5)+(-5*(((-21.08*(-21.08-(-5/-5)))*(-21.08-(-21.08/(-5*-21.08))))-(-5/-5)))))</f>
        <v>-47805.191360000004</v>
      </c>
      <c r="C7893" t="n" s="0">
        <v>-47805.19135999998</v>
      </c>
    </row>
    <row r="7894">
      <c r="A7894" t="n" s="0">
        <v>-21.07</v>
      </c>
      <c r="B7894" t="n" s="0">
        <f>(-5-((((-5*(-5/((-5/(((-5*(-21.07--5))-(-5+((-5*-21.07)*(((-5--5)+(-21.07--5))+-21.07))))-(-5+-5)))*-5)))/-5)--5)+(-5*(((-21.07*(-21.07-(-5/-5)))*(-21.07-(-21.07/(-5*-21.07))))-(-5/-5)))))</f>
        <v>-47737.695015000005</v>
      </c>
      <c r="C7894" t="n" s="0">
        <v>-47737.695015</v>
      </c>
    </row>
    <row r="7895">
      <c r="A7895" t="n" s="0">
        <v>-21.06</v>
      </c>
      <c r="B7895" t="n" s="0">
        <f>(-5-((((-5*(-5/((-5/(((-5*(-21.06--5))-(-5+((-5*-21.06)*(((-5--5)+(-21.06--5))+-21.06))))-(-5+-5)))*-5)))/-5)--5)+(-5*(((-21.06*(-21.06-(-5/-5)))*(-21.06-(-21.06/(-5*-21.06))))-(-5/-5)))))</f>
        <v>-47670.262279999995</v>
      </c>
      <c r="C7895" t="n" s="0">
        <v>-47670.26227999999</v>
      </c>
    </row>
    <row r="7896">
      <c r="A7896" t="n" s="0">
        <v>-21.05</v>
      </c>
      <c r="B7896" t="n" s="0">
        <f>(-5-((((-5*(-5/((-5/(((-5*(-21.05--5))-(-5+((-5*-21.05)*(((-5--5)+(-21.05--5))+-21.05))))-(-5+-5)))*-5)))/-5)--5)+(-5*(((-21.05*(-21.05-(-5/-5)))*(-21.05-(-21.05/(-5*-21.05))))-(-5/-5)))))</f>
        <v>-47602.893125</v>
      </c>
      <c r="C7896" t="n" s="0">
        <v>-47602.89312500001</v>
      </c>
    </row>
    <row r="7897">
      <c r="A7897" t="n" s="0">
        <v>-21.04</v>
      </c>
      <c r="B7897" t="n" s="0">
        <f>(-5-((((-5*(-5/((-5/(((-5*(-21.04--5))-(-5+((-5*-21.04)*(((-5--5)+(-21.04--5))+-21.04))))-(-5+-5)))*-5)))/-5)--5)+(-5*(((-21.04*(-21.04-(-5/-5)))*(-21.04-(-21.04/(-5*-21.04))))-(-5/-5)))))</f>
        <v>-47535.587519999994</v>
      </c>
      <c r="C7897" t="n" s="0">
        <v>-47535.587519999994</v>
      </c>
    </row>
    <row r="7898">
      <c r="A7898" t="n" s="0">
        <v>-21.03</v>
      </c>
      <c r="B7898" t="n" s="0">
        <f>(-5-((((-5*(-5/((-5/(((-5*(-21.03--5))-(-5+((-5*-21.03)*(((-5--5)+(-21.03--5))+-21.03))))-(-5+-5)))*-5)))/-5)--5)+(-5*(((-21.03*(-21.03-(-5/-5)))*(-21.03-(-21.03/(-5*-21.03))))-(-5/-5)))))</f>
        <v>-47468.345435</v>
      </c>
      <c r="C7898" t="n" s="0">
        <v>-47468.34543500001</v>
      </c>
    </row>
    <row r="7899">
      <c r="A7899" t="n" s="0">
        <v>-21.02</v>
      </c>
      <c r="B7899" t="n" s="0">
        <f>(-5-((((-5*(-5/((-5/(((-5*(-21.02--5))-(-5+((-5*-21.02)*(((-5--5)+(-21.02--5))+-21.02))))-(-5+-5)))*-5)))/-5)--5)+(-5*(((-21.02*(-21.02-(-5/-5)))*(-21.02-(-21.02/(-5*-21.02))))-(-5/-5)))))</f>
        <v>-47401.16684</v>
      </c>
      <c r="C7899" t="n" s="0">
        <v>-47401.16684</v>
      </c>
    </row>
    <row r="7900">
      <c r="A7900" t="n" s="0">
        <v>-21.01</v>
      </c>
      <c r="B7900" t="n" s="0">
        <f>(-5-((((-5*(-5/((-5/(((-5*(-21.01--5))-(-5+((-5*-21.01)*(((-5--5)+(-21.01--5))+-21.01))))-(-5+-5)))*-5)))/-5)--5)+(-5*(((-21.01*(-21.01-(-5/-5)))*(-21.01-(-21.01/(-5*-21.01))))-(-5/-5)))))</f>
        <v>-47334.051705</v>
      </c>
      <c r="C7900" t="n" s="0">
        <v>-47334.05170500001</v>
      </c>
    </row>
    <row r="7901">
      <c r="A7901" t="n" s="0">
        <v>-21.0</v>
      </c>
      <c r="B7901" t="n" s="0">
        <f>(-5-((((-5*(-5/((-5/(((-5*(-21--5))-(-5+((-5*-21)*(((-5--5)+(-21--5))+-21))))-(-5+-5)))*-5)))/-5)--5)+(-5*(((-21*(-21-(-5/-5)))*(-21-(-21/(-5*-21))))-(-5/-5)))))</f>
        <v>-47267.00000000001</v>
      </c>
      <c r="C7901" t="n" s="0">
        <v>-47267.0</v>
      </c>
    </row>
    <row r="7902">
      <c r="A7902" t="n" s="0">
        <v>-20.99</v>
      </c>
      <c r="B7902" t="n" s="0">
        <f>(-5-((((-5*(-5/((-5/(((-5*(-20.99--5))-(-5+((-5*-20.99)*(((-5--5)+(-20.99--5))+-20.99))))-(-5+-5)))*-5)))/-5)--5)+(-5*(((-20.99*(-20.99-(-5/-5)))*(-20.99-(-20.99/(-5*-20.99))))-(-5/-5)))))</f>
        <v>-47200.011695</v>
      </c>
      <c r="C7902" t="n" s="0">
        <v>-47200.01169499999</v>
      </c>
    </row>
    <row r="7903">
      <c r="A7903" t="n" s="0">
        <v>-20.98</v>
      </c>
      <c r="B7903" t="n" s="0">
        <f>(-5-((((-5*(-5/((-5/(((-5*(-20.98--5))-(-5+((-5*-20.98)*(((-5--5)+(-20.98--5))+-20.98))))-(-5+-5)))*-5)))/-5)--5)+(-5*(((-20.98*(-20.98-(-5/-5)))*(-20.98-(-20.98/(-5*-20.98))))-(-5/-5)))))</f>
        <v>-47133.08676</v>
      </c>
      <c r="C7903" t="n" s="0">
        <v>-47133.086760000006</v>
      </c>
    </row>
    <row r="7904">
      <c r="A7904" t="n" s="0">
        <v>-20.97</v>
      </c>
      <c r="B7904" t="n" s="0">
        <f>(-5-((((-5*(-5/((-5/(((-5*(-20.97--5))-(-5+((-5*-20.97)*(((-5--5)+(-20.97--5))+-20.97))))-(-5+-5)))*-5)))/-5)--5)+(-5*(((-20.97*(-20.97-(-5/-5)))*(-20.97-(-20.97/(-5*-20.97))))-(-5/-5)))))</f>
        <v>-47066.225164999996</v>
      </c>
      <c r="C7904" t="n" s="0">
        <v>-47066.225164999996</v>
      </c>
    </row>
    <row r="7905">
      <c r="A7905" t="n" s="0">
        <v>-20.96</v>
      </c>
      <c r="B7905" t="n" s="0">
        <f>(-5-((((-5*(-5/((-5/(((-5*(-20.96--5))-(-5+((-5*-20.96)*(((-5--5)+(-20.96--5))+-20.96))))-(-5+-5)))*-5)))/-5)--5)+(-5*(((-20.96*(-20.96-(-5/-5)))*(-20.96-(-20.96/(-5*-20.96))))-(-5/-5)))))</f>
        <v>-46999.426880000006</v>
      </c>
      <c r="C7905" t="n" s="0">
        <v>-46999.42688</v>
      </c>
    </row>
    <row r="7906">
      <c r="A7906" t="n" s="0">
        <v>-20.95</v>
      </c>
      <c r="B7906" t="n" s="0">
        <f>(-5-((((-5*(-5/((-5/(((-5*(-20.95--5))-(-5+((-5*-20.95)*(((-5--5)+(-20.95--5))+-20.95))))-(-5+-5)))*-5)))/-5)--5)+(-5*(((-20.95*(-20.95-(-5/-5)))*(-20.95-(-20.95/(-5*-20.95))))-(-5/-5)))))</f>
        <v>-46932.691875000004</v>
      </c>
      <c r="C7906" t="n" s="0">
        <v>-46932.691875</v>
      </c>
    </row>
    <row r="7907">
      <c r="A7907" t="n" s="0">
        <v>-20.94</v>
      </c>
      <c r="B7907" t="n" s="0">
        <f>(-5-((((-5*(-5/((-5/(((-5*(-20.94--5))-(-5+((-5*-20.94)*(((-5--5)+(-20.94--5))+-20.94))))-(-5+-5)))*-5)))/-5)--5)+(-5*(((-20.94*(-20.94-(-5/-5)))*(-20.94-(-20.94/(-5*-20.94))))-(-5/-5)))))</f>
        <v>-46866.02012</v>
      </c>
      <c r="C7907" t="n" s="0">
        <v>-46866.02012</v>
      </c>
    </row>
    <row r="7908">
      <c r="A7908" t="n" s="0">
        <v>-20.93</v>
      </c>
      <c r="B7908" t="n" s="0">
        <f>(-5-((((-5*(-5/((-5/(((-5*(-20.93--5))-(-5+((-5*-20.93)*(((-5--5)+(-20.93--5))+-20.93))))-(-5+-5)))*-5)))/-5)--5)+(-5*(((-20.93*(-20.93-(-5/-5)))*(-20.93-(-20.93/(-5*-20.93))))-(-5/-5)))))</f>
        <v>-46799.411585</v>
      </c>
      <c r="C7908" t="n" s="0">
        <v>-46799.411585</v>
      </c>
    </row>
    <row r="7909">
      <c r="A7909" t="n" s="0">
        <v>-20.92</v>
      </c>
      <c r="B7909" t="n" s="0">
        <f>(-5-((((-5*(-5/((-5/(((-5*(-20.92--5))-(-5+((-5*-20.92)*(((-5--5)+(-20.92--5))+-20.92))))-(-5+-5)))*-5)))/-5)--5)+(-5*(((-20.92*(-20.92-(-5/-5)))*(-20.92-(-20.92/(-5*-20.92))))-(-5/-5)))))</f>
        <v>-46732.866239999996</v>
      </c>
      <c r="C7909" t="n" s="0">
        <v>-46732.86624000002</v>
      </c>
    </row>
    <row r="7910">
      <c r="A7910" t="n" s="0">
        <v>-20.91</v>
      </c>
      <c r="B7910" t="n" s="0">
        <f>(-5-((((-5*(-5/((-5/(((-5*(-20.91--5))-(-5+((-5*-20.91)*(((-5--5)+(-20.91--5))+-20.91))))-(-5+-5)))*-5)))/-5)--5)+(-5*(((-20.91*(-20.91-(-5/-5)))*(-20.91-(-20.91/(-5*-20.91))))-(-5/-5)))))</f>
        <v>-46666.384055</v>
      </c>
      <c r="C7910" t="n" s="0">
        <v>-46666.38405500001</v>
      </c>
    </row>
    <row r="7911">
      <c r="A7911" t="n" s="0">
        <v>-20.9</v>
      </c>
      <c r="B7911" t="n" s="0">
        <f>(-5-((((-5*(-5/((-5/(((-5*(-20.9--5))-(-5+((-5*-20.9)*(((-5--5)+(-20.9--5))+-20.9))))-(-5+-5)))*-5)))/-5)--5)+(-5*(((-20.9*(-20.9-(-5/-5)))*(-20.9-(-20.9/(-5*-20.9))))-(-5/-5)))))</f>
        <v>-46599.965000000004</v>
      </c>
      <c r="C7911" t="n" s="0">
        <v>-46599.96499999999</v>
      </c>
    </row>
    <row r="7912">
      <c r="A7912" t="n" s="0">
        <v>-20.89</v>
      </c>
      <c r="B7912" t="n" s="0">
        <f>(-5-((((-5*(-5/((-5/(((-5*(-20.89--5))-(-5+((-5*-20.89)*(((-5--5)+(-20.89--5))+-20.89))))-(-5+-5)))*-5)))/-5)--5)+(-5*(((-20.89*(-20.89-(-5/-5)))*(-20.89-(-20.89/(-5*-20.89))))-(-5/-5)))))</f>
        <v>-46533.609045000005</v>
      </c>
      <c r="C7912" t="n" s="0">
        <v>-46533.609045</v>
      </c>
    </row>
    <row r="7913">
      <c r="A7913" t="n" s="0">
        <v>-20.88</v>
      </c>
      <c r="B7913" t="n" s="0">
        <f>(-5-((((-5*(-5/((-5/(((-5*(-20.88--5))-(-5+((-5*-20.88)*(((-5--5)+(-20.88--5))+-20.88))))-(-5+-5)))*-5)))/-5)--5)+(-5*(((-20.88*(-20.88-(-5/-5)))*(-20.88-(-20.88/(-5*-20.88))))-(-5/-5)))))</f>
        <v>-46467.31616</v>
      </c>
      <c r="C7913" t="n" s="0">
        <v>-46467.31615999999</v>
      </c>
    </row>
    <row r="7914">
      <c r="A7914" t="n" s="0">
        <v>-20.87</v>
      </c>
      <c r="B7914" t="n" s="0">
        <f>(-5-((((-5*(-5/((-5/(((-5*(-20.87--5))-(-5+((-5*-20.87)*(((-5--5)+(-20.87--5))+-20.87))))-(-5+-5)))*-5)))/-5)--5)+(-5*(((-20.87*(-20.87-(-5/-5)))*(-20.87-(-20.87/(-5*-20.87))))-(-5/-5)))))</f>
        <v>-46401.08631499999</v>
      </c>
      <c r="C7914" t="n" s="0">
        <v>-46401.08631500001</v>
      </c>
    </row>
    <row r="7915">
      <c r="A7915" t="n" s="0">
        <v>-20.86</v>
      </c>
      <c r="B7915" t="n" s="0">
        <f>(-5-((((-5*(-5/((-5/(((-5*(-20.86--5))-(-5+((-5*-20.86)*(((-5--5)+(-20.86--5))+-20.86))))-(-5+-5)))*-5)))/-5)--5)+(-5*(((-20.86*(-20.86-(-5/-5)))*(-20.86-(-20.86/(-5*-20.86))))-(-5/-5)))))</f>
        <v>-46334.919480000004</v>
      </c>
      <c r="C7915" t="n" s="0">
        <v>-46334.91948</v>
      </c>
    </row>
    <row r="7916">
      <c r="A7916" t="n" s="0">
        <v>-20.85</v>
      </c>
      <c r="B7916" t="n" s="0">
        <f>(-5-((((-5*(-5/((-5/(((-5*(-20.85--5))-(-5+((-5*-20.85)*(((-5--5)+(-20.85--5))+-20.85))))-(-5+-5)))*-5)))/-5)--5)+(-5*(((-20.85*(-20.85-(-5/-5)))*(-20.85-(-20.85/(-5*-20.85))))-(-5/-5)))))</f>
        <v>-46268.815625</v>
      </c>
      <c r="C7916" t="n" s="0">
        <v>-46268.81562500001</v>
      </c>
    </row>
    <row r="7917">
      <c r="A7917" t="n" s="0">
        <v>-20.84</v>
      </c>
      <c r="B7917" t="n" s="0">
        <f>(-5-((((-5*(-5/((-5/(((-5*(-20.84--5))-(-5+((-5*-20.84)*(((-5--5)+(-20.84--5))+-20.84))))-(-5+-5)))*-5)))/-5)--5)+(-5*(((-20.84*(-20.84-(-5/-5)))*(-20.84-(-20.84/(-5*-20.84))))-(-5/-5)))))</f>
        <v>-46202.77472</v>
      </c>
      <c r="C7917" t="n" s="0">
        <v>-46202.774719999994</v>
      </c>
    </row>
    <row r="7918">
      <c r="A7918" t="n" s="0">
        <v>-20.83</v>
      </c>
      <c r="B7918" t="n" s="0">
        <f>(-5-((((-5*(-5/((-5/(((-5*(-20.83--5))-(-5+((-5*-20.83)*(((-5--5)+(-20.83--5))+-20.83))))-(-5+-5)))*-5)))/-5)--5)+(-5*(((-20.83*(-20.83-(-5/-5)))*(-20.83-(-20.83/(-5*-20.83))))-(-5/-5)))))</f>
        <v>-46136.796734999996</v>
      </c>
      <c r="C7918" t="n" s="0">
        <v>-46136.79673499999</v>
      </c>
    </row>
    <row r="7919">
      <c r="A7919" t="n" s="0">
        <v>-20.82</v>
      </c>
      <c r="B7919" t="n" s="0">
        <f>(-5-((((-5*(-5/((-5/(((-5*(-20.82--5))-(-5+((-5*-20.82)*(((-5--5)+(-20.82--5))+-20.82))))-(-5+-5)))*-5)))/-5)--5)+(-5*(((-20.82*(-20.82-(-5/-5)))*(-20.82-(-20.82/(-5*-20.82))))-(-5/-5)))))</f>
        <v>-46070.88164</v>
      </c>
      <c r="C7919" t="n" s="0">
        <v>-46070.88163999999</v>
      </c>
    </row>
    <row r="7920">
      <c r="A7920" t="n" s="0">
        <v>-20.81</v>
      </c>
      <c r="B7920" t="n" s="0">
        <f>(-5-((((-5*(-5/((-5/(((-5*(-20.81--5))-(-5+((-5*-20.81)*(((-5--5)+(-20.81--5))+-20.81))))-(-5+-5)))*-5)))/-5)--5)+(-5*(((-20.81*(-20.81-(-5/-5)))*(-20.81-(-20.81/(-5*-20.81))))-(-5/-5)))))</f>
        <v>-46005.029404999994</v>
      </c>
      <c r="C7920" t="n" s="0">
        <v>-46005.029405</v>
      </c>
    </row>
    <row r="7921">
      <c r="A7921" t="n" s="0">
        <v>-20.8</v>
      </c>
      <c r="B7921" t="n" s="0">
        <f>(-5-((((-5*(-5/((-5/(((-5*(-20.8--5))-(-5+((-5*-20.8)*(((-5--5)+(-20.8--5))+-20.8))))-(-5+-5)))*-5)))/-5)--5)+(-5*(((-20.8*(-20.8-(-5/-5)))*(-20.8-(-20.8/(-5*-20.8))))-(-5/-5)))))</f>
        <v>-45939.24</v>
      </c>
      <c r="C7921" t="n" s="0">
        <v>-45939.24</v>
      </c>
    </row>
    <row r="7922">
      <c r="A7922" t="n" s="0">
        <v>-20.79</v>
      </c>
      <c r="B7922" t="n" s="0">
        <f>(-5-((((-5*(-5/((-5/(((-5*(-20.79--5))-(-5+((-5*-20.79)*(((-5--5)+(-20.79--5))+-20.79))))-(-5+-5)))*-5)))/-5)--5)+(-5*(((-20.79*(-20.79-(-5/-5)))*(-20.79-(-20.79/(-5*-20.79))))-(-5/-5)))))</f>
        <v>-45873.513395</v>
      </c>
      <c r="C7922" t="n" s="0">
        <v>-45873.513394999994</v>
      </c>
    </row>
    <row r="7923">
      <c r="A7923" t="n" s="0">
        <v>-20.78</v>
      </c>
      <c r="B7923" t="n" s="0">
        <f>(-5-((((-5*(-5/((-5/(((-5*(-20.78--5))-(-5+((-5*-20.78)*(((-5--5)+(-20.78--5))+-20.78))))-(-5+-5)))*-5)))/-5)--5)+(-5*(((-20.78*(-20.78-(-5/-5)))*(-20.78-(-20.78/(-5*-20.78))))-(-5/-5)))))</f>
        <v>-45807.84956</v>
      </c>
      <c r="C7923" t="n" s="0">
        <v>-45807.84956000001</v>
      </c>
    </row>
    <row r="7924">
      <c r="A7924" t="n" s="0">
        <v>-20.77</v>
      </c>
      <c r="B7924" t="n" s="0">
        <f>(-5-((((-5*(-5/((-5/(((-5*(-20.77--5))-(-5+((-5*-20.77)*(((-5--5)+(-20.77--5))+-20.77))))-(-5+-5)))*-5)))/-5)--5)+(-5*(((-20.77*(-20.77-(-5/-5)))*(-20.77-(-20.77/(-5*-20.77))))-(-5/-5)))))</f>
        <v>-45742.248465</v>
      </c>
      <c r="C7924" t="n" s="0">
        <v>-45742.24846499999</v>
      </c>
    </row>
    <row r="7925">
      <c r="A7925" t="n" s="0">
        <v>-20.76</v>
      </c>
      <c r="B7925" t="n" s="0">
        <f>(-5-((((-5*(-5/((-5/(((-5*(-20.76--5))-(-5+((-5*-20.76)*(((-5--5)+(-20.76--5))+-20.76))))-(-5+-5)))*-5)))/-5)--5)+(-5*(((-20.76*(-20.76-(-5/-5)))*(-20.76-(-20.76/(-5*-20.76))))-(-5/-5)))))</f>
        <v>-45676.71008</v>
      </c>
      <c r="C7925" t="n" s="0">
        <v>-45676.710080000004</v>
      </c>
    </row>
    <row r="7926">
      <c r="A7926" t="n" s="0">
        <v>-20.75</v>
      </c>
      <c r="B7926" t="n" s="0">
        <f>(-5-((((-5*(-5/((-5/(((-5*(-20.75--5))-(-5+((-5*-20.75)*(((-5--5)+(-20.75--5))+-20.75))))-(-5+-5)))*-5)))/-5)--5)+(-5*(((-20.75*(-20.75-(-5/-5)))*(-20.75-(-20.75/(-5*-20.75))))-(-5/-5)))))</f>
        <v>-45611.23437500001</v>
      </c>
      <c r="C7926" t="n" s="0">
        <v>-45611.234375</v>
      </c>
    </row>
    <row r="7927">
      <c r="A7927" t="n" s="0">
        <v>-20.74</v>
      </c>
      <c r="B7927" t="n" s="0">
        <f>(-5-((((-5*(-5/((-5/(((-5*(-20.74--5))-(-5+((-5*-20.74)*(((-5--5)+(-20.74--5))+-20.74))))-(-5+-5)))*-5)))/-5)--5)+(-5*(((-20.74*(-20.74-(-5/-5)))*(-20.74-(-20.74/(-5*-20.74))))-(-5/-5)))))</f>
        <v>-45545.821319999995</v>
      </c>
      <c r="C7927" t="n" s="0">
        <v>-45545.821319999995</v>
      </c>
    </row>
    <row r="7928">
      <c r="A7928" t="n" s="0">
        <v>-20.73</v>
      </c>
      <c r="B7928" t="n" s="0">
        <f>(-5-((((-5*(-5/((-5/(((-5*(-20.73--5))-(-5+((-5*-20.73)*(((-5--5)+(-20.73--5))+-20.73))))-(-5+-5)))*-5)))/-5)--5)+(-5*(((-20.73*(-20.73-(-5/-5)))*(-20.73-(-20.73/(-5*-20.73))))-(-5/-5)))))</f>
        <v>-45480.470885</v>
      </c>
      <c r="C7928" t="n" s="0">
        <v>-45480.470884999995</v>
      </c>
    </row>
    <row r="7929">
      <c r="A7929" t="n" s="0">
        <v>-20.72</v>
      </c>
      <c r="B7929" t="n" s="0">
        <f>(-5-((((-5*(-5/((-5/(((-5*(-20.72--5))-(-5+((-5*-20.72)*(((-5--5)+(-20.72--5))+-20.72))))-(-5+-5)))*-5)))/-5)--5)+(-5*(((-20.72*(-20.72-(-5/-5)))*(-20.72-(-20.72/(-5*-20.72))))-(-5/-5)))))</f>
        <v>-45415.18304</v>
      </c>
      <c r="C7929" t="n" s="0">
        <v>-45415.183039999996</v>
      </c>
    </row>
    <row r="7930">
      <c r="A7930" t="n" s="0">
        <v>-20.71</v>
      </c>
      <c r="B7930" t="n" s="0">
        <f>(-5-((((-5*(-5/((-5/(((-5*(-20.71--5))-(-5+((-5*-20.71)*(((-5--5)+(-20.71--5))+-20.71))))-(-5+-5)))*-5)))/-5)--5)+(-5*(((-20.71*(-20.71-(-5/-5)))*(-20.71-(-20.71/(-5*-20.71))))-(-5/-5)))))</f>
        <v>-45349.957754999996</v>
      </c>
      <c r="C7930" t="n" s="0">
        <v>-45349.957755</v>
      </c>
    </row>
    <row r="7931">
      <c r="A7931" t="n" s="0">
        <v>-20.7</v>
      </c>
      <c r="B7931" t="n" s="0">
        <f>(-5-((((-5*(-5/((-5/(((-5*(-20.7--5))-(-5+((-5*-20.7)*(((-5--5)+(-20.7--5))+-20.7))))-(-5+-5)))*-5)))/-5)--5)+(-5*(((-20.7*(-20.7-(-5/-5)))*(-20.7-(-20.7/(-5*-20.7))))-(-5/-5)))))</f>
        <v>-45284.795</v>
      </c>
      <c r="C7931" t="n" s="0">
        <v>-45284.795</v>
      </c>
    </row>
    <row r="7932">
      <c r="A7932" t="n" s="0">
        <v>-20.69</v>
      </c>
      <c r="B7932" t="n" s="0">
        <f>(-5-((((-5*(-5/((-5/(((-5*(-20.69--5))-(-5+((-5*-20.69)*(((-5--5)+(-20.69--5))+-20.69))))-(-5+-5)))*-5)))/-5)--5)+(-5*(((-20.69*(-20.69-(-5/-5)))*(-20.69-(-20.69/(-5*-20.69))))-(-5/-5)))))</f>
        <v>-45219.694745</v>
      </c>
      <c r="C7932" t="n" s="0">
        <v>-45219.69474500001</v>
      </c>
    </row>
    <row r="7933">
      <c r="A7933" t="n" s="0">
        <v>-20.68</v>
      </c>
      <c r="B7933" t="n" s="0">
        <f>(-5-((((-5*(-5/((-5/(((-5*(-20.68--5))-(-5+((-5*-20.68)*(((-5--5)+(-20.68--5))+-20.68))))-(-5+-5)))*-5)))/-5)--5)+(-5*(((-20.68*(-20.68-(-5/-5)))*(-20.68-(-20.68/(-5*-20.68))))-(-5/-5)))))</f>
        <v>-45154.65696000001</v>
      </c>
      <c r="C7933" t="n" s="0">
        <v>-45154.65696</v>
      </c>
    </row>
    <row r="7934">
      <c r="A7934" t="n" s="0">
        <v>-20.67</v>
      </c>
      <c r="B7934" t="n" s="0">
        <f>(-5-((((-5*(-5/((-5/(((-5*(-20.67--5))-(-5+((-5*-20.67)*(((-5--5)+(-20.67--5))+-20.67))))-(-5+-5)))*-5)))/-5)--5)+(-5*(((-20.67*(-20.67-(-5/-5)))*(-20.67-(-20.67/(-5*-20.67))))-(-5/-5)))))</f>
        <v>-45089.681615</v>
      </c>
      <c r="C7934" t="n" s="0">
        <v>-45089.68161500001</v>
      </c>
    </row>
    <row r="7935">
      <c r="A7935" t="n" s="0">
        <v>-20.66</v>
      </c>
      <c r="B7935" t="n" s="0">
        <f>(-5-((((-5*(-5/((-5/(((-5*(-20.66--5))-(-5+((-5*-20.66)*(((-5--5)+(-20.66--5))+-20.66))))-(-5+-5)))*-5)))/-5)--5)+(-5*(((-20.66*(-20.66-(-5/-5)))*(-20.66-(-20.66/(-5*-20.66))))-(-5/-5)))))</f>
        <v>-45024.76868</v>
      </c>
      <c r="C7935" t="n" s="0">
        <v>-45024.76868</v>
      </c>
    </row>
    <row r="7936">
      <c r="A7936" t="n" s="0">
        <v>-20.65</v>
      </c>
      <c r="B7936" t="n" s="0">
        <f>(-5-((((-5*(-5/((-5/(((-5*(-20.65--5))-(-5+((-5*-20.65)*(((-5--5)+(-20.65--5))+-20.65))))-(-5+-5)))*-5)))/-5)--5)+(-5*(((-20.65*(-20.65-(-5/-5)))*(-20.65-(-20.65/(-5*-20.65))))-(-5/-5)))))</f>
        <v>-44959.918125000004</v>
      </c>
      <c r="C7936" t="n" s="0">
        <v>-44959.91812499999</v>
      </c>
    </row>
    <row r="7937">
      <c r="A7937" t="n" s="0">
        <v>-20.64</v>
      </c>
      <c r="B7937" t="n" s="0">
        <f>(-5-((((-5*(-5/((-5/(((-5*(-20.64--5))-(-5+((-5*-20.64)*(((-5--5)+(-20.64--5))+-20.64))))-(-5+-5)))*-5)))/-5)--5)+(-5*(((-20.64*(-20.64-(-5/-5)))*(-20.64-(-20.64/(-5*-20.64))))-(-5/-5)))))</f>
        <v>-44895.12992</v>
      </c>
      <c r="C7937" t="n" s="0">
        <v>-44895.12992000001</v>
      </c>
    </row>
    <row r="7938">
      <c r="A7938" t="n" s="0">
        <v>-20.63</v>
      </c>
      <c r="B7938" t="n" s="0">
        <f>(-5-((((-5*(-5/((-5/(((-5*(-20.63--5))-(-5+((-5*-20.63)*(((-5--5)+(-20.63--5))+-20.63))))-(-5+-5)))*-5)))/-5)--5)+(-5*(((-20.63*(-20.63-(-5/-5)))*(-20.63-(-20.63/(-5*-20.63))))-(-5/-5)))))</f>
        <v>-44830.40403499999</v>
      </c>
      <c r="C7938" t="n" s="0">
        <v>-44830.40403499999</v>
      </c>
    </row>
    <row r="7939">
      <c r="A7939" t="n" s="0">
        <v>-20.62</v>
      </c>
      <c r="B7939" t="n" s="0">
        <f>(-5-((((-5*(-5/((-5/(((-5*(-20.62--5))-(-5+((-5*-20.62)*(((-5--5)+(-20.62--5))+-20.62))))-(-5+-5)))*-5)))/-5)--5)+(-5*(((-20.62*(-20.62-(-5/-5)))*(-20.62-(-20.62/(-5*-20.62))))-(-5/-5)))))</f>
        <v>-44765.74044</v>
      </c>
      <c r="C7939" t="n" s="0">
        <v>-44765.74044000001</v>
      </c>
    </row>
    <row r="7940">
      <c r="A7940" t="n" s="0">
        <v>-20.61</v>
      </c>
      <c r="B7940" t="n" s="0">
        <f>(-5-((((-5*(-5/((-5/(((-5*(-20.61--5))-(-5+((-5*-20.61)*(((-5--5)+(-20.61--5))+-20.61))))-(-5+-5)))*-5)))/-5)--5)+(-5*(((-20.61*(-20.61-(-5/-5)))*(-20.61-(-20.61/(-5*-20.61))))-(-5/-5)))))</f>
        <v>-44701.139105</v>
      </c>
      <c r="C7940" t="n" s="0">
        <v>-44701.139104999995</v>
      </c>
    </row>
    <row r="7941">
      <c r="A7941" t="n" s="0">
        <v>-20.6</v>
      </c>
      <c r="B7941" t="n" s="0">
        <f>(-5-((((-5*(-5/((-5/(((-5*(-20.6--5))-(-5+((-5*-20.6)*(((-5--5)+(-20.6--5))+-20.6))))-(-5+-5)))*-5)))/-5)--5)+(-5*(((-20.6*(-20.6-(-5/-5)))*(-20.6-(-20.6/(-5*-20.6))))-(-5/-5)))))</f>
        <v>-44636.6</v>
      </c>
      <c r="C7941" t="n" s="0">
        <v>-44636.60000000002</v>
      </c>
    </row>
    <row r="7942">
      <c r="A7942" t="n" s="0">
        <v>-20.59</v>
      </c>
      <c r="B7942" t="n" s="0">
        <f>(-5-((((-5*(-5/((-5/(((-5*(-20.59--5))-(-5+((-5*-20.59)*(((-5--5)+(-20.59--5))+-20.59))))-(-5+-5)))*-5)))/-5)--5)+(-5*(((-20.59*(-20.59-(-5/-5)))*(-20.59-(-20.59/(-5*-20.59))))-(-5/-5)))))</f>
        <v>-44572.123094999995</v>
      </c>
      <c r="C7942" t="n" s="0">
        <v>-44572.123094999995</v>
      </c>
    </row>
    <row r="7943">
      <c r="A7943" t="n" s="0">
        <v>-20.58</v>
      </c>
      <c r="B7943" t="n" s="0">
        <f>(-5-((((-5*(-5/((-5/(((-5*(-20.58--5))-(-5+((-5*-20.58)*(((-5--5)+(-20.58--5))+-20.58))))-(-5+-5)))*-5)))/-5)--5)+(-5*(((-20.58*(-20.58-(-5/-5)))*(-20.58-(-20.58/(-5*-20.58))))-(-5/-5)))))</f>
        <v>-44507.708360000004</v>
      </c>
      <c r="C7943" t="n" s="0">
        <v>-44507.70835999999</v>
      </c>
    </row>
    <row r="7944">
      <c r="A7944" t="n" s="0">
        <v>-20.57</v>
      </c>
      <c r="B7944" t="n" s="0">
        <f>(-5-((((-5*(-5/((-5/(((-5*(-20.57--5))-(-5+((-5*-20.57)*(((-5--5)+(-20.57--5))+-20.57))))-(-5+-5)))*-5)))/-5)--5)+(-5*(((-20.57*(-20.57-(-5/-5)))*(-20.57-(-20.57/(-5*-20.57))))-(-5/-5)))))</f>
        <v>-44443.355765</v>
      </c>
      <c r="C7944" t="n" s="0">
        <v>-44443.355765</v>
      </c>
    </row>
    <row r="7945">
      <c r="A7945" t="n" s="0">
        <v>-20.56</v>
      </c>
      <c r="B7945" t="n" s="0">
        <f>(-5-((((-5*(-5/((-5/(((-5*(-20.56--5))-(-5+((-5*-20.56)*(((-5--5)+(-20.56--5))+-20.56))))-(-5+-5)))*-5)))/-5)--5)+(-5*(((-20.56*(-20.56-(-5/-5)))*(-20.56-(-20.56/(-5*-20.56))))-(-5/-5)))))</f>
        <v>-44379.06528</v>
      </c>
      <c r="C7945" t="n" s="0">
        <v>-44379.06527999999</v>
      </c>
    </row>
    <row r="7946">
      <c r="A7946" t="n" s="0">
        <v>-20.55</v>
      </c>
      <c r="B7946" t="n" s="0">
        <f>(-5-((((-5*(-5/((-5/(((-5*(-20.55--5))-(-5+((-5*-20.55)*(((-5--5)+(-20.55--5))+-20.55))))-(-5+-5)))*-5)))/-5)--5)+(-5*(((-20.55*(-20.55-(-5/-5)))*(-20.55-(-20.55/(-5*-20.55))))-(-5/-5)))))</f>
        <v>-44314.83687499999</v>
      </c>
      <c r="C7946" t="n" s="0">
        <v>-44314.83687500001</v>
      </c>
    </row>
    <row r="7947">
      <c r="A7947" t="n" s="0">
        <v>-20.54</v>
      </c>
      <c r="B7947" t="n" s="0">
        <f>(-5-((((-5*(-5/((-5/(((-5*(-20.54--5))-(-5+((-5*-20.54)*(((-5--5)+(-20.54--5))+-20.54))))-(-5+-5)))*-5)))/-5)--5)+(-5*(((-20.54*(-20.54-(-5/-5)))*(-20.54-(-20.54/(-5*-20.54))))-(-5/-5)))))</f>
        <v>-44250.67052</v>
      </c>
      <c r="C7947" t="n" s="0">
        <v>-44250.67052</v>
      </c>
    </row>
    <row r="7948">
      <c r="A7948" t="n" s="0">
        <v>-20.53</v>
      </c>
      <c r="B7948" t="n" s="0">
        <f>(-5-((((-5*(-5/((-5/(((-5*(-20.53--5))-(-5+((-5*-20.53)*(((-5--5)+(-20.53--5))+-20.53))))-(-5+-5)))*-5)))/-5)--5)+(-5*(((-20.53*(-20.53-(-5/-5)))*(-20.53-(-20.53/(-5*-20.53))))-(-5/-5)))))</f>
        <v>-44186.566184999996</v>
      </c>
      <c r="C7948" t="n" s="0">
        <v>-44186.566184999996</v>
      </c>
    </row>
    <row r="7949">
      <c r="A7949" t="n" s="0">
        <v>-20.52</v>
      </c>
      <c r="B7949" t="n" s="0">
        <f>(-5-((((-5*(-5/((-5/(((-5*(-20.52--5))-(-5+((-5*-20.52)*(((-5--5)+(-20.52--5))+-20.52))))-(-5+-5)))*-5)))/-5)--5)+(-5*(((-20.52*(-20.52-(-5/-5)))*(-20.52-(-20.52/(-5*-20.52))))-(-5/-5)))))</f>
        <v>-44122.52384</v>
      </c>
      <c r="C7949" t="n" s="0">
        <v>-44122.52384</v>
      </c>
    </row>
    <row r="7950">
      <c r="A7950" t="n" s="0">
        <v>-20.51</v>
      </c>
      <c r="B7950" t="n" s="0">
        <f>(-5-((((-5*(-5/((-5/(((-5*(-20.51--5))-(-5+((-5*-20.51)*(((-5--5)+(-20.51--5))+-20.51))))-(-5+-5)))*-5)))/-5)--5)+(-5*(((-20.51*(-20.51-(-5/-5)))*(-20.51-(-20.51/(-5*-20.51))))-(-5/-5)))))</f>
        <v>-44058.543455</v>
      </c>
      <c r="C7950" t="n" s="0">
        <v>-44058.543455000006</v>
      </c>
    </row>
    <row r="7951">
      <c r="A7951" t="n" s="0">
        <v>-20.5</v>
      </c>
      <c r="B7951" t="n" s="0">
        <f>(-5-((((-5*(-5/((-5/(((-5*(-20.5--5))-(-5+((-5*-20.5)*(((-5--5)+(-20.5--5))+-20.5))))-(-5+-5)))*-5)))/-5)--5)+(-5*(((-20.5*(-20.5-(-5/-5)))*(-20.5-(-20.5/(-5*-20.5))))-(-5/-5)))))</f>
        <v>-43994.62499999999</v>
      </c>
      <c r="C7951" t="n" s="0">
        <v>-43994.625</v>
      </c>
    </row>
    <row r="7952">
      <c r="A7952" t="n" s="0">
        <v>-20.49</v>
      </c>
      <c r="B7952" t="n" s="0">
        <f>(-5-((((-5*(-5/((-5/(((-5*(-20.49--5))-(-5+((-5*-20.49)*(((-5--5)+(-20.49--5))+-20.49))))-(-5+-5)))*-5)))/-5)--5)+(-5*(((-20.49*(-20.49-(-5/-5)))*(-20.49-(-20.49/(-5*-20.49))))-(-5/-5)))))</f>
        <v>-43930.768444999994</v>
      </c>
      <c r="C7952" t="n" s="0">
        <v>-43930.768444999994</v>
      </c>
    </row>
    <row r="7953">
      <c r="A7953" t="n" s="0">
        <v>-20.48</v>
      </c>
      <c r="B7953" t="n" s="0">
        <f>(-5-((((-5*(-5/((-5/(((-5*(-20.48--5))-(-5+((-5*-20.48)*(((-5--5)+(-20.48--5))+-20.48))))-(-5+-5)))*-5)))/-5)--5)+(-5*(((-20.48*(-20.48-(-5/-5)))*(-20.48-(-20.48/(-5*-20.48))))-(-5/-5)))))</f>
        <v>-43866.97375999999</v>
      </c>
      <c r="C7953" t="n" s="0">
        <v>-43866.973760000015</v>
      </c>
    </row>
    <row r="7954">
      <c r="A7954" t="n" s="0">
        <v>-20.47</v>
      </c>
      <c r="B7954" t="n" s="0">
        <f>(-5-((((-5*(-5/((-5/(((-5*(-20.47--5))-(-5+((-5*-20.47)*(((-5--5)+(-20.47--5))+-20.47))))-(-5+-5)))*-5)))/-5)--5)+(-5*(((-20.47*(-20.47-(-5/-5)))*(-20.47-(-20.47/(-5*-20.47))))-(-5/-5)))))</f>
        <v>-43803.240914999995</v>
      </c>
      <c r="C7954" t="n" s="0">
        <v>-43803.240914999995</v>
      </c>
    </row>
    <row r="7955">
      <c r="A7955" t="n" s="0">
        <v>-20.46</v>
      </c>
      <c r="B7955" t="n" s="0">
        <f>(-5-((((-5*(-5/((-5/(((-5*(-20.46--5))-(-5+((-5*-20.46)*(((-5--5)+(-20.46--5))+-20.46))))-(-5+-5)))*-5)))/-5)--5)+(-5*(((-20.46*(-20.46-(-5/-5)))*(-20.46-(-20.46/(-5*-20.46))))-(-5/-5)))))</f>
        <v>-43739.56988</v>
      </c>
      <c r="C7955" t="n" s="0">
        <v>-43739.56988</v>
      </c>
    </row>
    <row r="7956">
      <c r="A7956" t="n" s="0">
        <v>-20.45</v>
      </c>
      <c r="B7956" t="n" s="0">
        <f>(-5-((((-5*(-5/((-5/(((-5*(-20.45--5))-(-5+((-5*-20.45)*(((-5--5)+(-20.45--5))+-20.45))))-(-5+-5)))*-5)))/-5)--5)+(-5*(((-20.45*(-20.45-(-5/-5)))*(-20.45-(-20.45/(-5*-20.45))))-(-5/-5)))))</f>
        <v>-43675.960625</v>
      </c>
      <c r="C7956" t="n" s="0">
        <v>-43675.96062499999</v>
      </c>
    </row>
    <row r="7957">
      <c r="A7957" t="n" s="0">
        <v>-20.44</v>
      </c>
      <c r="B7957" t="n" s="0">
        <f>(-5-((((-5*(-5/((-5/(((-5*(-20.44--5))-(-5+((-5*-20.44)*(((-5--5)+(-20.44--5))+-20.44))))-(-5+-5)))*-5)))/-5)--5)+(-5*(((-20.44*(-20.44-(-5/-5)))*(-20.44-(-20.44/(-5*-20.44))))-(-5/-5)))))</f>
        <v>-43612.41312</v>
      </c>
      <c r="C7957" t="n" s="0">
        <v>-43612.41312000001</v>
      </c>
    </row>
    <row r="7958">
      <c r="A7958" t="n" s="0">
        <v>-20.43</v>
      </c>
      <c r="B7958" t="n" s="0">
        <f>(-5-((((-5*(-5/((-5/(((-5*(-20.43--5))-(-5+((-5*-20.43)*(((-5--5)+(-20.43--5))+-20.43))))-(-5+-5)))*-5)))/-5)--5)+(-5*(((-20.43*(-20.43-(-5/-5)))*(-20.43-(-20.43/(-5*-20.43))))-(-5/-5)))))</f>
        <v>-43548.927335</v>
      </c>
      <c r="C7958" t="n" s="0">
        <v>-43548.927335</v>
      </c>
    </row>
    <row r="7959">
      <c r="A7959" t="n" s="0">
        <v>-20.42</v>
      </c>
      <c r="B7959" t="n" s="0">
        <f>(-5-((((-5*(-5/((-5/(((-5*(-20.42--5))-(-5+((-5*-20.42)*(((-5--5)+(-20.42--5))+-20.42))))-(-5+-5)))*-5)))/-5)--5)+(-5*(((-20.42*(-20.42-(-5/-5)))*(-20.42-(-20.42/(-5*-20.42))))-(-5/-5)))))</f>
        <v>-43485.50324</v>
      </c>
      <c r="C7959" t="n" s="0">
        <v>-43485.50324000001</v>
      </c>
    </row>
    <row r="7960">
      <c r="A7960" t="n" s="0">
        <v>-20.41</v>
      </c>
      <c r="B7960" t="n" s="0">
        <f>(-5-((((-5*(-5/((-5/(((-5*(-20.41--5))-(-5+((-5*-20.41)*(((-5--5)+(-20.41--5))+-20.41))))-(-5+-5)))*-5)))/-5)--5)+(-5*(((-20.41*(-20.41-(-5/-5)))*(-20.41-(-20.41/(-5*-20.41))))-(-5/-5)))))</f>
        <v>-43422.140804999995</v>
      </c>
      <c r="C7960" t="n" s="0">
        <v>-43422.140805</v>
      </c>
    </row>
    <row r="7961">
      <c r="A7961" t="n" s="0">
        <v>-20.4</v>
      </c>
      <c r="B7961" t="n" s="0">
        <f>(-5-((((-5*(-5/((-5/(((-5*(-20.4--5))-(-5+((-5*-20.4)*(((-5--5)+(-20.4--5))+-20.4))))-(-5+-5)))*-5)))/-5)--5)+(-5*(((-20.4*(-20.4-(-5/-5)))*(-20.4-(-20.4/(-5*-20.4))))-(-5/-5)))))</f>
        <v>-43358.84</v>
      </c>
      <c r="C7961" t="n" s="0">
        <v>-43358.83999999999</v>
      </c>
    </row>
    <row r="7962">
      <c r="A7962" t="n" s="0">
        <v>-20.39</v>
      </c>
      <c r="B7962" t="n" s="0">
        <f>(-5-((((-5*(-5/((-5/(((-5*(-20.39--5))-(-5+((-5*-20.39)*(((-5--5)+(-20.39--5))+-20.39))))-(-5+-5)))*-5)))/-5)--5)+(-5*(((-20.39*(-20.39-(-5/-5)))*(-20.39-(-20.39/(-5*-20.39))))-(-5/-5)))))</f>
        <v>-43295.60079499999</v>
      </c>
      <c r="C7962" t="n" s="0">
        <v>-43295.600795</v>
      </c>
    </row>
    <row r="7963">
      <c r="A7963" t="n" s="0">
        <v>-20.38</v>
      </c>
      <c r="B7963" t="n" s="0">
        <f>(-5-((((-5*(-5/((-5/(((-5*(-20.38--5))-(-5+((-5*-20.38)*(((-5--5)+(-20.38--5))+-20.38))))-(-5+-5)))*-5)))/-5)--5)+(-5*(((-20.38*(-20.38-(-5/-5)))*(-20.38-(-20.38/(-5*-20.38))))-(-5/-5)))))</f>
        <v>-43232.42316</v>
      </c>
      <c r="C7963" t="n" s="0">
        <v>-43232.42315999999</v>
      </c>
    </row>
    <row r="7964">
      <c r="A7964" t="n" s="0">
        <v>-20.37</v>
      </c>
      <c r="B7964" t="n" s="0">
        <f>(-5-((((-5*(-5/((-5/(((-5*(-20.37--5))-(-5+((-5*-20.37)*(((-5--5)+(-20.37--5))+-20.37))))-(-5+-5)))*-5)))/-5)--5)+(-5*(((-20.37*(-20.37-(-5/-5)))*(-20.37-(-20.37/(-5*-20.37))))-(-5/-5)))))</f>
        <v>-43169.307065</v>
      </c>
      <c r="C7964" t="n" s="0">
        <v>-43169.307065000015</v>
      </c>
    </row>
    <row r="7965">
      <c r="A7965" t="n" s="0">
        <v>-20.36</v>
      </c>
      <c r="B7965" t="n" s="0">
        <f>(-5-((((-5*(-5/((-5/(((-5*(-20.36--5))-(-5+((-5*-20.36)*(((-5--5)+(-20.36--5))+-20.36))))-(-5+-5)))*-5)))/-5)--5)+(-5*(((-20.36*(-20.36-(-5/-5)))*(-20.36-(-20.36/(-5*-20.36))))-(-5/-5)))))</f>
        <v>-43106.25248</v>
      </c>
      <c r="C7965" t="n" s="0">
        <v>-43106.252479999996</v>
      </c>
    </row>
    <row r="7966">
      <c r="A7966" t="n" s="0">
        <v>-20.35</v>
      </c>
      <c r="B7966" t="n" s="0">
        <f>(-5-((((-5*(-5/((-5/(((-5*(-20.35--5))-(-5+((-5*-20.35)*(((-5--5)+(-20.35--5))+-20.35))))-(-5+-5)))*-5)))/-5)--5)+(-5*(((-20.35*(-20.35-(-5/-5)))*(-20.35-(-20.35/(-5*-20.35))))-(-5/-5)))))</f>
        <v>-43043.259375</v>
      </c>
      <c r="C7966" t="n" s="0">
        <v>-43043.259375000016</v>
      </c>
    </row>
    <row r="7967">
      <c r="A7967" t="n" s="0">
        <v>-20.34</v>
      </c>
      <c r="B7967" t="n" s="0">
        <f>(-5-((((-5*(-5/((-5/(((-5*(-20.34--5))-(-5+((-5*-20.34)*(((-5--5)+(-20.34--5))+-20.34))))-(-5+-5)))*-5)))/-5)--5)+(-5*(((-20.34*(-20.34-(-5/-5)))*(-20.34-(-20.34/(-5*-20.34))))-(-5/-5)))))</f>
        <v>-42980.32772</v>
      </c>
      <c r="C7967" t="n" s="0">
        <v>-42980.327719999994</v>
      </c>
    </row>
    <row r="7968">
      <c r="A7968" t="n" s="0">
        <v>-20.33</v>
      </c>
      <c r="B7968" t="n" s="0">
        <f>(-5-((((-5*(-5/((-5/(((-5*(-20.33--5))-(-5+((-5*-20.33)*(((-5--5)+(-20.33--5))+-20.33))))-(-5+-5)))*-5)))/-5)--5)+(-5*(((-20.33*(-20.33-(-5/-5)))*(-20.33-(-20.33/(-5*-20.33))))-(-5/-5)))))</f>
        <v>-42917.457485</v>
      </c>
      <c r="C7968" t="n" s="0">
        <v>-42917.45748499999</v>
      </c>
    </row>
    <row r="7969">
      <c r="A7969" t="n" s="0">
        <v>-20.32</v>
      </c>
      <c r="B7969" t="n" s="0">
        <f>(-5-((((-5*(-5/((-5/(((-5*(-20.32--5))-(-5+((-5*-20.32)*(((-5--5)+(-20.32--5))+-20.32))))-(-5+-5)))*-5)))/-5)--5)+(-5*(((-20.32*(-20.32-(-5/-5)))*(-20.32-(-20.32/(-5*-20.32))))-(-5/-5)))))</f>
        <v>-42854.64864</v>
      </c>
      <c r="C7969" t="n" s="0">
        <v>-42854.64864000001</v>
      </c>
    </row>
    <row r="7970">
      <c r="A7970" t="n" s="0">
        <v>-20.31</v>
      </c>
      <c r="B7970" t="n" s="0">
        <f>(-5-((((-5*(-5/((-5/(((-5*(-20.31--5))-(-5+((-5*-20.31)*(((-5--5)+(-20.31--5))+-20.31))))-(-5+-5)))*-5)))/-5)--5)+(-5*(((-20.31*(-20.31-(-5/-5)))*(-20.31-(-20.31/(-5*-20.31))))-(-5/-5)))))</f>
        <v>-42791.901155</v>
      </c>
      <c r="C7970" t="n" s="0">
        <v>-42791.90115499999</v>
      </c>
    </row>
    <row r="7971">
      <c r="A7971" t="n" s="0">
        <v>-20.3</v>
      </c>
      <c r="B7971" t="n" s="0">
        <f>(-5-((((-5*(-5/((-5/(((-5*(-20.3--5))-(-5+((-5*-20.3)*(((-5--5)+(-20.3--5))+-20.3))))-(-5+-5)))*-5)))/-5)--5)+(-5*(((-20.3*(-20.3-(-5/-5)))*(-20.3-(-20.3/(-5*-20.3))))-(-5/-5)))))</f>
        <v>-42729.215</v>
      </c>
      <c r="C7971" t="n" s="0">
        <v>-42729.21500000001</v>
      </c>
    </row>
    <row r="7972">
      <c r="A7972" t="n" s="0">
        <v>-20.29</v>
      </c>
      <c r="B7972" t="n" s="0">
        <f>(-5-((((-5*(-5/((-5/(((-5*(-20.29--5))-(-5+((-5*-20.29)*(((-5--5)+(-20.29--5))+-20.29))))-(-5+-5)))*-5)))/-5)--5)+(-5*(((-20.29*(-20.29-(-5/-5)))*(-20.29-(-20.29/(-5*-20.29))))-(-5/-5)))))</f>
        <v>-42666.590145</v>
      </c>
      <c r="C7972" t="n" s="0">
        <v>-42666.590144999995</v>
      </c>
    </row>
    <row r="7973">
      <c r="A7973" t="n" s="0">
        <v>-20.28</v>
      </c>
      <c r="B7973" t="n" s="0">
        <f>(-5-((((-5*(-5/((-5/(((-5*(-20.28--5))-(-5+((-5*-20.28)*(((-5--5)+(-20.28--5))+-20.28))))-(-5+-5)))*-5)))/-5)--5)+(-5*(((-20.28*(-20.28-(-5/-5)))*(-20.28-(-20.28/(-5*-20.28))))-(-5/-5)))))</f>
        <v>-42604.026560000006</v>
      </c>
      <c r="C7973" t="n" s="0">
        <v>-42604.02656</v>
      </c>
    </row>
    <row r="7974">
      <c r="A7974" t="n" s="0">
        <v>-20.27</v>
      </c>
      <c r="B7974" t="n" s="0">
        <f>(-5-((((-5*(-5/((-5/(((-5*(-20.27--5))-(-5+((-5*-20.27)*(((-5--5)+(-20.27--5))+-20.27))))-(-5+-5)))*-5)))/-5)--5)+(-5*(((-20.27*(-20.27-(-5/-5)))*(-20.27-(-20.27/(-5*-20.27))))-(-5/-5)))))</f>
        <v>-42541.524215</v>
      </c>
      <c r="C7974" t="n" s="0">
        <v>-42541.524215</v>
      </c>
    </row>
    <row r="7975">
      <c r="A7975" t="n" s="0">
        <v>-20.26</v>
      </c>
      <c r="B7975" t="n" s="0">
        <f>(-5-((((-5*(-5/((-5/(((-5*(-20.26--5))-(-5+((-5*-20.26)*(((-5--5)+(-20.26--5))+-20.26))))-(-5+-5)))*-5)))/-5)--5)+(-5*(((-20.26*(-20.26-(-5/-5)))*(-20.26-(-20.26/(-5*-20.26))))-(-5/-5)))))</f>
        <v>-42479.083080000004</v>
      </c>
      <c r="C7975" t="n" s="0">
        <v>-42479.08308000001</v>
      </c>
    </row>
    <row r="7976">
      <c r="A7976" t="n" s="0">
        <v>-20.25</v>
      </c>
      <c r="B7976" t="n" s="0">
        <f>(-5-((((-5*(-5/((-5/(((-5*(-20.25--5))-(-5+((-5*-20.25)*(((-5--5)+(-20.25--5))+-20.25))))-(-5+-5)))*-5)))/-5)--5)+(-5*(((-20.25*(-20.25-(-5/-5)))*(-20.25-(-20.25/(-5*-20.25))))-(-5/-5)))))</f>
        <v>-42416.703125</v>
      </c>
      <c r="C7976" t="n" s="0">
        <v>-42416.703125</v>
      </c>
    </row>
    <row r="7977">
      <c r="A7977" t="n" s="0">
        <v>-20.24</v>
      </c>
      <c r="B7977" t="n" s="0">
        <f>(-5-((((-5*(-5/((-5/(((-5*(-20.24--5))-(-5+((-5*-20.24)*(((-5--5)+(-20.24--5))+-20.24))))-(-5+-5)))*-5)))/-5)--5)+(-5*(((-20.24*(-20.24-(-5/-5)))*(-20.24-(-20.24/(-5*-20.24))))-(-5/-5)))))</f>
        <v>-42354.384320000005</v>
      </c>
      <c r="C7977" t="n" s="0">
        <v>-42354.38431999999</v>
      </c>
    </row>
    <row r="7978">
      <c r="A7978" t="n" s="0">
        <v>-20.23</v>
      </c>
      <c r="B7978" t="n" s="0">
        <f>(-5-((((-5*(-5/((-5/(((-5*(-20.23--5))-(-5+((-5*-20.23)*(((-5--5)+(-20.23--5))+-20.23))))-(-5+-5)))*-5)))/-5)--5)+(-5*(((-20.23*(-20.23-(-5/-5)))*(-20.23-(-20.23/(-5*-20.23))))-(-5/-5)))))</f>
        <v>-42292.126635</v>
      </c>
      <c r="C7978" t="n" s="0">
        <v>-42292.126635</v>
      </c>
    </row>
    <row r="7979">
      <c r="A7979" t="n" s="0">
        <v>-20.22</v>
      </c>
      <c r="B7979" t="n" s="0">
        <f>(-5-((((-5*(-5/((-5/(((-5*(-20.22--5))-(-5+((-5*-20.22)*(((-5--5)+(-20.22--5))+-20.22))))-(-5+-5)))*-5)))/-5)--5)+(-5*(((-20.22*(-20.22-(-5/-5)))*(-20.22-(-20.22/(-5*-20.22))))-(-5/-5)))))</f>
        <v>-42229.93004</v>
      </c>
      <c r="C7979" t="n" s="0">
        <v>-42229.93003999999</v>
      </c>
    </row>
    <row r="7980">
      <c r="A7980" t="n" s="0">
        <v>-20.21</v>
      </c>
      <c r="B7980" t="n" s="0">
        <f>(-5-((((-5*(-5/((-5/(((-5*(-20.21--5))-(-5+((-5*-20.21)*(((-5--5)+(-20.21--5))+-20.21))))-(-5+-5)))*-5)))/-5)--5)+(-5*(((-20.21*(-20.21-(-5/-5)))*(-20.21-(-20.21/(-5*-20.21))))-(-5/-5)))))</f>
        <v>-42167.794505000005</v>
      </c>
      <c r="C7980" t="n" s="0">
        <v>-42167.794505000005</v>
      </c>
    </row>
    <row r="7981">
      <c r="A7981" t="n" s="0">
        <v>-20.2</v>
      </c>
      <c r="B7981" t="n" s="0">
        <f>(-5-((((-5*(-5/((-5/(((-5*(-20.2--5))-(-5+((-5*-20.2)*(((-5--5)+(-20.2--5))+-20.2))))-(-5+-5)))*-5)))/-5)--5)+(-5*(((-20.2*(-20.2-(-5/-5)))*(-20.2-(-20.2/(-5*-20.2))))-(-5/-5)))))</f>
        <v>-42105.72</v>
      </c>
      <c r="C7981" t="n" s="0">
        <v>-42105.719999999994</v>
      </c>
    </row>
    <row r="7982">
      <c r="A7982" t="n" s="0">
        <v>-20.19</v>
      </c>
      <c r="B7982" t="n" s="0">
        <f>(-5-((((-5*(-5/((-5/(((-5*(-20.19--5))-(-5+((-5*-20.19)*(((-5--5)+(-20.19--5))+-20.19))))-(-5+-5)))*-5)))/-5)--5)+(-5*(((-20.19*(-20.19-(-5/-5)))*(-20.19-(-20.19/(-5*-20.19))))-(-5/-5)))))</f>
        <v>-42043.706495000006</v>
      </c>
      <c r="C7982" t="n" s="0">
        <v>-42043.706495000006</v>
      </c>
    </row>
    <row r="7983">
      <c r="A7983" t="n" s="0">
        <v>-20.18</v>
      </c>
      <c r="B7983" t="n" s="0">
        <f>(-5-((((-5*(-5/((-5/(((-5*(-20.18--5))-(-5+((-5*-20.18)*(((-5--5)+(-20.18--5))+-20.18))))-(-5+-5)))*-5)))/-5)--5)+(-5*(((-20.18*(-20.18-(-5/-5)))*(-20.18-(-20.18/(-5*-20.18))))-(-5/-5)))))</f>
        <v>-41981.75396</v>
      </c>
      <c r="C7983" t="n" s="0">
        <v>-41981.75396</v>
      </c>
    </row>
    <row r="7984">
      <c r="A7984" t="n" s="0">
        <v>-20.17</v>
      </c>
      <c r="B7984" t="n" s="0">
        <f>(-5-((((-5*(-5/((-5/(((-5*(-20.17--5))-(-5+((-5*-20.17)*(((-5--5)+(-20.17--5))+-20.17))))-(-5+-5)))*-5)))/-5)--5)+(-5*(((-20.17*(-20.17-(-5/-5)))*(-20.17-(-20.17/(-5*-20.17))))-(-5/-5)))))</f>
        <v>-41919.862365</v>
      </c>
      <c r="C7984" t="n" s="0">
        <v>-41919.862365000015</v>
      </c>
    </row>
    <row r="7985">
      <c r="A7985" t="n" s="0">
        <v>-20.16</v>
      </c>
      <c r="B7985" t="n" s="0">
        <f>(-5-((((-5*(-5/((-5/(((-5*(-20.16--5))-(-5+((-5*-20.16)*(((-5--5)+(-20.16--5))+-20.16))))-(-5+-5)))*-5)))/-5)--5)+(-5*(((-20.16*(-20.16-(-5/-5)))*(-20.16-(-20.16/(-5*-20.16))))-(-5/-5)))))</f>
        <v>-41858.03167999999</v>
      </c>
      <c r="C7985" t="n" s="0">
        <v>-41858.03168</v>
      </c>
    </row>
    <row r="7986">
      <c r="A7986" t="n" s="0">
        <v>-20.15</v>
      </c>
      <c r="B7986" t="n" s="0">
        <f>(-5-((((-5*(-5/((-5/(((-5*(-20.15--5))-(-5+((-5*-20.15)*(((-5--5)+(-20.15--5))+-20.15))))-(-5+-5)))*-5)))/-5)--5)+(-5*(((-20.15*(-20.15-(-5/-5)))*(-20.15-(-20.15/(-5*-20.15))))-(-5/-5)))))</f>
        <v>-41796.261875000004</v>
      </c>
      <c r="C7986" t="n" s="0">
        <v>-41796.26187499998</v>
      </c>
    </row>
    <row r="7987">
      <c r="A7987" t="n" s="0">
        <v>-20.14</v>
      </c>
      <c r="B7987" t="n" s="0">
        <f>(-5-((((-5*(-5/((-5/(((-5*(-20.14--5))-(-5+((-5*-20.14)*(((-5--5)+(-20.14--5))+-20.14))))-(-5+-5)))*-5)))/-5)--5)+(-5*(((-20.14*(-20.14-(-5/-5)))*(-20.14-(-20.14/(-5*-20.14))))-(-5/-5)))))</f>
        <v>-41734.55292</v>
      </c>
      <c r="C7987" t="n" s="0">
        <v>-41734.55292000001</v>
      </c>
    </row>
    <row r="7988">
      <c r="A7988" t="n" s="0">
        <v>-20.13</v>
      </c>
      <c r="B7988" t="n" s="0">
        <f>(-5-((((-5*(-5/((-5/(((-5*(-20.13--5))-(-5+((-5*-20.13)*(((-5--5)+(-20.13--5))+-20.13))))-(-5+-5)))*-5)))/-5)--5)+(-5*(((-20.13*(-20.13-(-5/-5)))*(-20.13-(-20.13/(-5*-20.13))))-(-5/-5)))))</f>
        <v>-41672.904785000006</v>
      </c>
      <c r="C7988" t="n" s="0">
        <v>-41672.90478499999</v>
      </c>
    </row>
    <row r="7989">
      <c r="A7989" t="n" s="0">
        <v>-20.12</v>
      </c>
      <c r="B7989" t="n" s="0">
        <f>(-5-((((-5*(-5/((-5/(((-5*(-20.12--5))-(-5+((-5*-20.12)*(((-5--5)+(-20.12--5))+-20.12))))-(-5+-5)))*-5)))/-5)--5)+(-5*(((-20.12*(-20.12-(-5/-5)))*(-20.12-(-20.12/(-5*-20.12))))-(-5/-5)))))</f>
        <v>-41611.31744</v>
      </c>
      <c r="C7989" t="n" s="0">
        <v>-41611.317440000006</v>
      </c>
    </row>
    <row r="7990">
      <c r="A7990" t="n" s="0">
        <v>-20.11</v>
      </c>
      <c r="B7990" t="n" s="0">
        <f>(-5-((((-5*(-5/((-5/(((-5*(-20.11--5))-(-5+((-5*-20.11)*(((-5--5)+(-20.11--5))+-20.11))))-(-5+-5)))*-5)))/-5)--5)+(-5*(((-20.11*(-20.11-(-5/-5)))*(-20.11-(-20.11/(-5*-20.11))))-(-5/-5)))))</f>
        <v>-41549.790855</v>
      </c>
      <c r="C7990" t="n" s="0">
        <v>-41549.790855</v>
      </c>
    </row>
    <row r="7991">
      <c r="A7991" t="n" s="0">
        <v>-20.1</v>
      </c>
      <c r="B7991" t="n" s="0">
        <f>(-5-((((-5*(-5/((-5/(((-5*(-20.1--5))-(-5+((-5*-20.1)*(((-5--5)+(-20.1--5))+-20.1))))-(-5+-5)))*-5)))/-5)--5)+(-5*(((-20.1*(-20.1-(-5/-5)))*(-20.1-(-20.1/(-5*-20.1))))-(-5/-5)))))</f>
        <v>-41488.325</v>
      </c>
      <c r="C7991" t="n" s="0">
        <v>-41488.325000000004</v>
      </c>
    </row>
    <row r="7992">
      <c r="A7992" t="n" s="0">
        <v>-20.09</v>
      </c>
      <c r="B7992" t="n" s="0">
        <f>(-5-((((-5*(-5/((-5/(((-5*(-20.09--5))-(-5+((-5*-20.09)*(((-5--5)+(-20.09--5))+-20.09))))-(-5+-5)))*-5)))/-5)--5)+(-5*(((-20.09*(-20.09-(-5/-5)))*(-20.09-(-20.09/(-5*-20.09))))-(-5/-5)))))</f>
        <v>-41426.919845000004</v>
      </c>
      <c r="C7992" t="n" s="0">
        <v>-41426.919845</v>
      </c>
    </row>
    <row r="7993">
      <c r="A7993" t="n" s="0">
        <v>-20.08</v>
      </c>
      <c r="B7993" t="n" s="0">
        <f>(-5-((((-5*(-5/((-5/(((-5*(-20.08--5))-(-5+((-5*-20.08)*(((-5--5)+(-20.08--5))+-20.08))))-(-5+-5)))*-5)))/-5)--5)+(-5*(((-20.08*(-20.08-(-5/-5)))*(-20.08-(-20.08/(-5*-20.08))))-(-5/-5)))))</f>
        <v>-41365.57536</v>
      </c>
      <c r="C7993" t="n" s="0">
        <v>-41365.57535999999</v>
      </c>
    </row>
    <row r="7994">
      <c r="A7994" t="n" s="0">
        <v>-20.07</v>
      </c>
      <c r="B7994" t="n" s="0">
        <f>(-5-((((-5*(-5/((-5/(((-5*(-20.07--5))-(-5+((-5*-20.07)*(((-5--5)+(-20.07--5))+-20.07))))-(-5+-5)))*-5)))/-5)--5)+(-5*(((-20.07*(-20.07-(-5/-5)))*(-20.07-(-20.07/(-5*-20.07))))-(-5/-5)))))</f>
        <v>-41304.291515</v>
      </c>
      <c r="C7994" t="n" s="0">
        <v>-41304.291515</v>
      </c>
    </row>
    <row r="7995">
      <c r="A7995" t="n" s="0">
        <v>-20.06</v>
      </c>
      <c r="B7995" t="n" s="0">
        <f>(-5-((((-5*(-5/((-5/(((-5*(-20.06--5))-(-5+((-5*-20.06)*(((-5--5)+(-20.06--5))+-20.06))))-(-5+-5)))*-5)))/-5)--5)+(-5*(((-20.06*(-20.06-(-5/-5)))*(-20.06-(-20.06/(-5*-20.06))))-(-5/-5)))))</f>
        <v>-41243.06827999999</v>
      </c>
      <c r="C7995" t="n" s="0">
        <v>-41243.06828</v>
      </c>
    </row>
    <row r="7996">
      <c r="A7996" t="n" s="0">
        <v>-20.05</v>
      </c>
      <c r="B7996" t="n" s="0">
        <f>(-5-((((-5*(-5/((-5/(((-5*(-20.05--5))-(-5+((-5*-20.05)*(((-5--5)+(-20.05--5))+-20.05))))-(-5+-5)))*-5)))/-5)--5)+(-5*(((-20.05*(-20.05-(-5/-5)))*(-20.05-(-20.05/(-5*-20.05))))-(-5/-5)))))</f>
        <v>-41181.905625</v>
      </c>
      <c r="C7996" t="n" s="0">
        <v>-41181.90562500001</v>
      </c>
    </row>
    <row r="7997">
      <c r="A7997" t="n" s="0">
        <v>-20.04</v>
      </c>
      <c r="B7997" t="n" s="0">
        <f>(-5-((((-5*(-5/((-5/(((-5*(-20.04--5))-(-5+((-5*-20.04)*(((-5--5)+(-20.04--5))+-20.04))))-(-5+-5)))*-5)))/-5)--5)+(-5*(((-20.04*(-20.04-(-5/-5)))*(-20.04-(-20.04/(-5*-20.04))))-(-5/-5)))))</f>
        <v>-41120.80352</v>
      </c>
      <c r="C7997" t="n" s="0">
        <v>-41120.803519999994</v>
      </c>
    </row>
    <row r="7998">
      <c r="A7998" t="n" s="0">
        <v>-20.03</v>
      </c>
      <c r="B7998" t="n" s="0">
        <f>(-5-((((-5*(-5/((-5/(((-5*(-20.03--5))-(-5+((-5*-20.03)*(((-5--5)+(-20.03--5))+-20.03))))-(-5+-5)))*-5)))/-5)--5)+(-5*(((-20.03*(-20.03-(-5/-5)))*(-20.03-(-20.03/(-5*-20.03))))-(-5/-5)))))</f>
        <v>-41059.761935</v>
      </c>
      <c r="C7998" t="n" s="0">
        <v>-41059.761935</v>
      </c>
    </row>
    <row r="7999">
      <c r="A7999" t="n" s="0">
        <v>-20.02</v>
      </c>
      <c r="B7999" t="n" s="0">
        <f>(-5-((((-5*(-5/((-5/(((-5*(-20.02--5))-(-5+((-5*-20.02)*(((-5--5)+(-20.02--5))+-20.02))))-(-5+-5)))*-5)))/-5)--5)+(-5*(((-20.02*(-20.02-(-5/-5)))*(-20.02-(-20.02/(-5*-20.02))))-(-5/-5)))))</f>
        <v>-40998.78084</v>
      </c>
      <c r="C7999" t="n" s="0">
        <v>-40998.78083999999</v>
      </c>
    </row>
    <row r="8000">
      <c r="A8000" t="n" s="0">
        <v>-20.01</v>
      </c>
      <c r="B8000" t="n" s="0">
        <f>(-5-((((-5*(-5/((-5/(((-5*(-20.01--5))-(-5+((-5*-20.01)*(((-5--5)+(-20.01--5))+-20.01))))-(-5+-5)))*-5)))/-5)--5)+(-5*(((-20.01*(-20.01-(-5/-5)))*(-20.01-(-20.01/(-5*-20.01))))-(-5/-5)))))</f>
        <v>-40937.860205000004</v>
      </c>
      <c r="C8000" t="n" s="0">
        <v>-40937.860205000004</v>
      </c>
    </row>
    <row r="8001">
      <c r="A8001" t="n" s="0">
        <v>-20.0</v>
      </c>
      <c r="B8001" t="n" s="0">
        <f>(-5-((((-5*(-5/((-5/(((-5*(-20--5))-(-5+((-5*-20)*(((-5--5)+(-20--5))+-20))))-(-5+-5)))*-5)))/-5)--5)+(-5*(((-20*(-20-(-5/-5)))*(-20-(-20/(-5*-20))))-(-5/-5)))))</f>
        <v>-40877.0</v>
      </c>
      <c r="C8001" t="n" s="0">
        <v>-40877.0</v>
      </c>
    </row>
    <row r="8002">
      <c r="A8002" t="n" s="0">
        <v>-19.99</v>
      </c>
      <c r="B8002" t="n" s="0">
        <f>(-5-((((-5*(-5/((-5/(((-5*(-19.99--5))-(-5+((-5*-19.99)*(((-5--5)+(-19.99--5))+-19.99))))-(-5+-5)))*-5)))/-5)--5)+(-5*(((-19.99*(-19.99-(-5/-5)))*(-19.99-(-19.99/(-5*-19.99))))-(-5/-5)))))</f>
        <v>-40816.200195</v>
      </c>
      <c r="C8002" t="n" s="0">
        <v>-40816.20019499999</v>
      </c>
    </row>
    <row r="8003">
      <c r="A8003" t="n" s="0">
        <v>-19.98</v>
      </c>
      <c r="B8003" t="n" s="0">
        <f>(-5-((((-5*(-5/((-5/(((-5*(-19.98--5))-(-5+((-5*-19.98)*(((-5--5)+(-19.98--5))+-19.98))))-(-5+-5)))*-5)))/-5)--5)+(-5*(((-19.98*(-19.98-(-5/-5)))*(-19.98-(-19.98/(-5*-19.98))))-(-5/-5)))))</f>
        <v>-40755.46076</v>
      </c>
      <c r="C8003" t="n" s="0">
        <v>-40755.46076000001</v>
      </c>
    </row>
    <row r="8004">
      <c r="A8004" t="n" s="0">
        <v>-19.97</v>
      </c>
      <c r="B8004" t="n" s="0">
        <f>(-5-((((-5*(-5/((-5/(((-5*(-19.97--5))-(-5+((-5*-19.97)*(((-5--5)+(-19.97--5))+-19.97))))-(-5+-5)))*-5)))/-5)--5)+(-5*(((-19.97*(-19.97-(-5/-5)))*(-19.97-(-19.97/(-5*-19.97))))-(-5/-5)))))</f>
        <v>-40694.781665</v>
      </c>
      <c r="C8004" t="n" s="0">
        <v>-40694.781664999995</v>
      </c>
    </row>
    <row r="8005">
      <c r="A8005" t="n" s="0">
        <v>-19.96</v>
      </c>
      <c r="B8005" t="n" s="0">
        <f>(-5-((((-5*(-5/((-5/(((-5*(-19.96--5))-(-5+((-5*-19.96)*(((-5--5)+(-19.96--5))+-19.96))))-(-5+-5)))*-5)))/-5)--5)+(-5*(((-19.96*(-19.96-(-5/-5)))*(-19.96-(-19.96/(-5*-19.96))))-(-5/-5)))))</f>
        <v>-40634.16288</v>
      </c>
      <c r="C8005" t="n" s="0">
        <v>-40634.16288</v>
      </c>
    </row>
    <row r="8006">
      <c r="A8006" t="n" s="0">
        <v>-19.95</v>
      </c>
      <c r="B8006" t="n" s="0">
        <f>(-5-((((-5*(-5/((-5/(((-5*(-19.95--5))-(-5+((-5*-19.95)*(((-5--5)+(-19.95--5))+-19.95))))-(-5+-5)))*-5)))/-5)--5)+(-5*(((-19.95*(-19.95-(-5/-5)))*(-19.95-(-19.95/(-5*-19.95))))-(-5/-5)))))</f>
        <v>-40573.604374999995</v>
      </c>
      <c r="C8006" t="n" s="0">
        <v>-40573.604374999995</v>
      </c>
    </row>
    <row r="8007">
      <c r="A8007" t="n" s="0">
        <v>-19.94</v>
      </c>
      <c r="B8007" t="n" s="0">
        <f>(-5-((((-5*(-5/((-5/(((-5*(-19.94--5))-(-5+((-5*-19.94)*(((-5--5)+(-19.94--5))+-19.94))))-(-5+-5)))*-5)))/-5)--5)+(-5*(((-19.94*(-19.94-(-5/-5)))*(-19.94-(-19.94/(-5*-19.94))))-(-5/-5)))))</f>
        <v>-40513.106120000004</v>
      </c>
      <c r="C8007" t="n" s="0">
        <v>-40513.106120000004</v>
      </c>
    </row>
    <row r="8008">
      <c r="A8008" t="n" s="0">
        <v>-19.93</v>
      </c>
      <c r="B8008" t="n" s="0">
        <f>(-5-((((-5*(-5/((-5/(((-5*(-19.93--5))-(-5+((-5*-19.93)*(((-5--5)+(-19.93--5))+-19.93))))-(-5+-5)))*-5)))/-5)--5)+(-5*(((-19.93*(-19.93-(-5/-5)))*(-19.93-(-19.93/(-5*-19.93))))-(-5/-5)))))</f>
        <v>-40452.668085</v>
      </c>
      <c r="C8008" t="n" s="0">
        <v>-40452.668085</v>
      </c>
    </row>
    <row r="8009">
      <c r="A8009" t="n" s="0">
        <v>-19.92</v>
      </c>
      <c r="B8009" t="n" s="0">
        <f>(-5-((((-5*(-5/((-5/(((-5*(-19.92--5))-(-5+((-5*-19.92)*(((-5--5)+(-19.92--5))+-19.92))))-(-5+-5)))*-5)))/-5)--5)+(-5*(((-19.92*(-19.92-(-5/-5)))*(-19.92-(-19.92/(-5*-19.92))))-(-5/-5)))))</f>
        <v>-40392.29024</v>
      </c>
      <c r="C8009" t="n" s="0">
        <v>-40392.29024000002</v>
      </c>
    </row>
    <row r="8010">
      <c r="A8010" t="n" s="0">
        <v>-19.91</v>
      </c>
      <c r="B8010" t="n" s="0">
        <f>(-5-((((-5*(-5/((-5/(((-5*(-19.91--5))-(-5+((-5*-19.91)*(((-5--5)+(-19.91--5))+-19.91))))-(-5+-5)))*-5)))/-5)--5)+(-5*(((-19.91*(-19.91-(-5/-5)))*(-19.91-(-19.91/(-5*-19.91))))-(-5/-5)))))</f>
        <v>-40331.972555</v>
      </c>
      <c r="C8010" t="n" s="0">
        <v>-40331.97255500001</v>
      </c>
    </row>
    <row r="8011">
      <c r="A8011" t="n" s="0">
        <v>-19.9</v>
      </c>
      <c r="B8011" t="n" s="0">
        <f>(-5-((((-5*(-5/((-5/(((-5*(-19.9--5))-(-5+((-5*-19.9)*(((-5--5)+(-19.9--5))+-19.9))))-(-5+-5)))*-5)))/-5)--5)+(-5*(((-19.9*(-19.9-(-5/-5)))*(-19.9-(-19.9/(-5*-19.9))))-(-5/-5)))))</f>
        <v>-40271.715000000004</v>
      </c>
      <c r="C8011" t="n" s="0">
        <v>-40271.71499999999</v>
      </c>
    </row>
    <row r="8012">
      <c r="A8012" t="n" s="0">
        <v>-19.89</v>
      </c>
      <c r="B8012" t="n" s="0">
        <f>(-5-((((-5*(-5/((-5/(((-5*(-19.89--5))-(-5+((-5*-19.89)*(((-5--5)+(-19.89--5))+-19.89))))-(-5+-5)))*-5)))/-5)--5)+(-5*(((-19.89*(-19.89-(-5/-5)))*(-19.89-(-19.89/(-5*-19.89))))-(-5/-5)))))</f>
        <v>-40211.517545</v>
      </c>
      <c r="C8012" t="n" s="0">
        <v>-40211.517545</v>
      </c>
    </row>
    <row r="8013">
      <c r="A8013" t="n" s="0">
        <v>-19.88</v>
      </c>
      <c r="B8013" t="n" s="0">
        <f>(-5-((((-5*(-5/((-5/(((-5*(-19.88--5))-(-5+((-5*-19.88)*(((-5--5)+(-19.88--5))+-19.88))))-(-5+-5)))*-5)))/-5)--5)+(-5*(((-19.88*(-19.88-(-5/-5)))*(-19.88-(-19.88/(-5*-19.88))))-(-5/-5)))))</f>
        <v>-40151.38016</v>
      </c>
      <c r="C8013" t="n" s="0">
        <v>-40151.38015999999</v>
      </c>
    </row>
    <row r="8014">
      <c r="A8014" t="n" s="0">
        <v>-19.87</v>
      </c>
      <c r="B8014" t="n" s="0">
        <f>(-5-((((-5*(-5/((-5/(((-5*(-19.87--5))-(-5+((-5*-19.87)*(((-5--5)+(-19.87--5))+-19.87))))-(-5+-5)))*-5)))/-5)--5)+(-5*(((-19.87*(-19.87-(-5/-5)))*(-19.87-(-19.87/(-5*-19.87))))-(-5/-5)))))</f>
        <v>-40091.302815</v>
      </c>
      <c r="C8014" t="n" s="0">
        <v>-40091.30281500001</v>
      </c>
    </row>
    <row r="8015">
      <c r="A8015" t="n" s="0">
        <v>-19.86</v>
      </c>
      <c r="B8015" t="n" s="0">
        <f>(-5-((((-5*(-5/((-5/(((-5*(-19.86--5))-(-5+((-5*-19.86)*(((-5--5)+(-19.86--5))+-19.86))))-(-5+-5)))*-5)))/-5)--5)+(-5*(((-19.86*(-19.86-(-5/-5)))*(-19.86-(-19.86/(-5*-19.86))))-(-5/-5)))))</f>
        <v>-40031.28548</v>
      </c>
      <c r="C8015" t="n" s="0">
        <v>-40031.28548</v>
      </c>
    </row>
    <row r="8016">
      <c r="A8016" t="n" s="0">
        <v>-19.85</v>
      </c>
      <c r="B8016" t="n" s="0">
        <f>(-5-((((-5*(-5/((-5/(((-5*(-19.85--5))-(-5+((-5*-19.85)*(((-5--5)+(-19.85--5))+-19.85))))-(-5+-5)))*-5)))/-5)--5)+(-5*(((-19.85*(-19.85-(-5/-5)))*(-19.85-(-19.85/(-5*-19.85))))-(-5/-5)))))</f>
        <v>-39971.32812499999</v>
      </c>
      <c r="C8016" t="n" s="0">
        <v>-39971.328125000015</v>
      </c>
    </row>
    <row r="8017">
      <c r="A8017" t="n" s="0">
        <v>-19.84</v>
      </c>
      <c r="B8017" t="n" s="0">
        <f>(-5-((((-5*(-5/((-5/(((-5*(-19.84--5))-(-5+((-5*-19.84)*(((-5--5)+(-19.84--5))+-19.84))))-(-5+-5)))*-5)))/-5)--5)+(-5*(((-19.84*(-19.84-(-5/-5)))*(-19.84-(-19.84/(-5*-19.84))))-(-5/-5)))))</f>
        <v>-39911.43072</v>
      </c>
      <c r="C8017" t="n" s="0">
        <v>-39911.43072</v>
      </c>
    </row>
    <row r="8018">
      <c r="A8018" t="n" s="0">
        <v>-19.83</v>
      </c>
      <c r="B8018" t="n" s="0">
        <f>(-5-((((-5*(-5/((-5/(((-5*(-19.83--5))-(-5+((-5*-19.83)*(((-5--5)+(-19.83--5))+-19.83))))-(-5+-5)))*-5)))/-5)--5)+(-5*(((-19.83*(-19.83-(-5/-5)))*(-19.83-(-19.83/(-5*-19.83))))-(-5/-5)))))</f>
        <v>-39851.593235</v>
      </c>
      <c r="C8018" t="n" s="0">
        <v>-39851.593234999986</v>
      </c>
    </row>
    <row r="8019">
      <c r="A8019" t="n" s="0">
        <v>-19.82</v>
      </c>
      <c r="B8019" t="n" s="0">
        <f>(-5-((((-5*(-5/((-5/(((-5*(-19.82--5))-(-5+((-5*-19.82)*(((-5--5)+(-19.82--5))+-19.82))))-(-5+-5)))*-5)))/-5)--5)+(-5*(((-19.82*(-19.82-(-5/-5)))*(-19.82-(-19.82/(-5*-19.82))))-(-5/-5)))))</f>
        <v>-39791.81564</v>
      </c>
      <c r="C8019" t="n" s="0">
        <v>-39791.81564</v>
      </c>
    </row>
    <row r="8020">
      <c r="A8020" t="n" s="0">
        <v>-19.81</v>
      </c>
      <c r="B8020" t="n" s="0">
        <f>(-5-((((-5*(-5/((-5/(((-5*(-19.81--5))-(-5+((-5*-19.81)*(((-5--5)+(-19.81--5))+-19.81))))-(-5+-5)))*-5)))/-5)--5)+(-5*(((-19.81*(-19.81-(-5/-5)))*(-19.81-(-19.81/(-5*-19.81))))-(-5/-5)))))</f>
        <v>-39732.097905</v>
      </c>
      <c r="C8020" t="n" s="0">
        <v>-39732.09790499999</v>
      </c>
    </row>
    <row r="8021">
      <c r="A8021" t="n" s="0">
        <v>-19.8</v>
      </c>
      <c r="B8021" t="n" s="0">
        <f>(-5-((((-5*(-5/((-5/(((-5*(-19.8--5))-(-5+((-5*-19.8)*(((-5--5)+(-19.8--5))+-19.8))))-(-5+-5)))*-5)))/-5)--5)+(-5*(((-19.8*(-19.8-(-5/-5)))*(-19.8-(-19.8/(-5*-19.8))))-(-5/-5)))))</f>
        <v>-39672.439999999995</v>
      </c>
      <c r="C8021" t="n" s="0">
        <v>-39672.44000000001</v>
      </c>
    </row>
    <row r="8022">
      <c r="A8022" t="n" s="0">
        <v>-19.79</v>
      </c>
      <c r="B8022" t="n" s="0">
        <f>(-5-((((-5*(-5/((-5/(((-5*(-19.79--5))-(-5+((-5*-19.79)*(((-5--5)+(-19.79--5))+-19.79))))-(-5+-5)))*-5)))/-5)--5)+(-5*(((-19.79*(-19.79-(-5/-5)))*(-19.79-(-19.79/(-5*-19.79))))-(-5/-5)))))</f>
        <v>-39612.841895</v>
      </c>
      <c r="C8022" t="n" s="0">
        <v>-39612.841895</v>
      </c>
    </row>
    <row r="8023">
      <c r="A8023" t="n" s="0">
        <v>-19.78</v>
      </c>
      <c r="B8023" t="n" s="0">
        <f>(-5-((((-5*(-5/((-5/(((-5*(-19.78--5))-(-5+((-5*-19.78)*(((-5--5)+(-19.78--5))+-19.78))))-(-5+-5)))*-5)))/-5)--5)+(-5*(((-19.78*(-19.78-(-5/-5)))*(-19.78-(-19.78/(-5*-19.78))))-(-5/-5)))))</f>
        <v>-39553.30356</v>
      </c>
      <c r="C8023" t="n" s="0">
        <v>-39553.30356</v>
      </c>
    </row>
    <row r="8024">
      <c r="A8024" t="n" s="0">
        <v>-19.77</v>
      </c>
      <c r="B8024" t="n" s="0">
        <f>(-5-((((-5*(-5/((-5/(((-5*(-19.77--5))-(-5+((-5*-19.77)*(((-5--5)+(-19.77--5))+-19.77))))-(-5+-5)))*-5)))/-5)--5)+(-5*(((-19.77*(-19.77-(-5/-5)))*(-19.77-(-19.77/(-5*-19.77))))-(-5/-5)))))</f>
        <v>-39493.824965</v>
      </c>
      <c r="C8024" t="n" s="0">
        <v>-39493.824965</v>
      </c>
    </row>
    <row r="8025">
      <c r="A8025" t="n" s="0">
        <v>-19.76</v>
      </c>
      <c r="B8025" t="n" s="0">
        <f>(-5-((((-5*(-5/((-5/(((-5*(-19.76--5))-(-5+((-5*-19.76)*(((-5--5)+(-19.76--5))+-19.76))))-(-5+-5)))*-5)))/-5)--5)+(-5*(((-19.76*(-19.76-(-5/-5)))*(-19.76-(-19.76/(-5*-19.76))))-(-5/-5)))))</f>
        <v>-39434.40608000001</v>
      </c>
      <c r="C8025" t="n" s="0">
        <v>-39434.40608000001</v>
      </c>
    </row>
    <row r="8026">
      <c r="A8026" t="n" s="0">
        <v>-19.75</v>
      </c>
      <c r="B8026" t="n" s="0">
        <f>(-5-((((-5*(-5/((-5/(((-5*(-19.75--5))-(-5+((-5*-19.75)*(((-5--5)+(-19.75--5))+-19.75))))-(-5+-5)))*-5)))/-5)--5)+(-5*(((-19.75*(-19.75-(-5/-5)))*(-19.75-(-19.75/(-5*-19.75))))-(-5/-5)))))</f>
        <v>-39375.046875</v>
      </c>
      <c r="C8026" t="n" s="0">
        <v>-39375.046875</v>
      </c>
    </row>
    <row r="8027">
      <c r="A8027" t="n" s="0">
        <v>-19.74</v>
      </c>
      <c r="B8027" t="n" s="0">
        <f>(-5-((((-5*(-5/((-5/(((-5*(-19.74--5))-(-5+((-5*-19.74)*(((-5--5)+(-19.74--5))+-19.74))))-(-5+-5)))*-5)))/-5)--5)+(-5*(((-19.74*(-19.74-(-5/-5)))*(-19.74-(-19.74/(-5*-19.74))))-(-5/-5)))))</f>
        <v>-39315.747319999995</v>
      </c>
      <c r="C8027" t="n" s="0">
        <v>-39315.747319999995</v>
      </c>
    </row>
    <row r="8028">
      <c r="A8028" t="n" s="0">
        <v>-19.73</v>
      </c>
      <c r="B8028" t="n" s="0">
        <f>(-5-((((-5*(-5/((-5/(((-5*(-19.73--5))-(-5+((-5*-19.73)*(((-5--5)+(-19.73--5))+-19.73))))-(-5+-5)))*-5)))/-5)--5)+(-5*(((-19.73*(-19.73-(-5/-5)))*(-19.73-(-19.73/(-5*-19.73))))-(-5/-5)))))</f>
        <v>-39256.507385</v>
      </c>
      <c r="C8028" t="n" s="0">
        <v>-39256.507385000004</v>
      </c>
    </row>
    <row r="8029">
      <c r="A8029" t="n" s="0">
        <v>-19.72</v>
      </c>
      <c r="B8029" t="n" s="0">
        <f>(-5-((((-5*(-5/((-5/(((-5*(-19.72--5))-(-5+((-5*-19.72)*(((-5--5)+(-19.72--5))+-19.72))))-(-5+-5)))*-5)))/-5)--5)+(-5*(((-19.72*(-19.72-(-5/-5)))*(-19.72-(-19.72/(-5*-19.72))))-(-5/-5)))))</f>
        <v>-39197.327040000004</v>
      </c>
      <c r="C8029" t="n" s="0">
        <v>-39197.327040000004</v>
      </c>
    </row>
    <row r="8030">
      <c r="A8030" t="n" s="0">
        <v>-19.71</v>
      </c>
      <c r="B8030" t="n" s="0">
        <f>(-5-((((-5*(-5/((-5/(((-5*(-19.71--5))-(-5+((-5*-19.71)*(((-5--5)+(-19.71--5))+-19.71))))-(-5+-5)))*-5)))/-5)--5)+(-5*(((-19.71*(-19.71-(-5/-5)))*(-19.71-(-19.71/(-5*-19.71))))-(-5/-5)))))</f>
        <v>-39138.206255</v>
      </c>
      <c r="C8030" t="n" s="0">
        <v>-39138.206255000005</v>
      </c>
    </row>
    <row r="8031">
      <c r="A8031" t="n" s="0">
        <v>-19.7</v>
      </c>
      <c r="B8031" t="n" s="0">
        <f>(-5-((((-5*(-5/((-5/(((-5*(-19.7--5))-(-5+((-5*-19.7)*(((-5--5)+(-19.7--5))+-19.7))))-(-5+-5)))*-5)))/-5)--5)+(-5*(((-19.7*(-19.7-(-5/-5)))*(-19.7-(-19.7/(-5*-19.7))))-(-5/-5)))))</f>
        <v>-39079.145000000004</v>
      </c>
      <c r="C8031" t="n" s="0">
        <v>-39079.145</v>
      </c>
    </row>
    <row r="8032">
      <c r="A8032" t="n" s="0">
        <v>-19.69</v>
      </c>
      <c r="B8032" t="n" s="0">
        <f>(-5-((((-5*(-5/((-5/(((-5*(-19.69--5))-(-5+((-5*-19.69)*(((-5--5)+(-19.69--5))+-19.69))))-(-5+-5)))*-5)))/-5)--5)+(-5*(((-19.69*(-19.69-(-5/-5)))*(-19.69-(-19.69/(-5*-19.69))))-(-5/-5)))))</f>
        <v>-39020.143245</v>
      </c>
      <c r="C8032" t="n" s="0">
        <v>-39020.14324500001</v>
      </c>
    </row>
    <row r="8033">
      <c r="A8033" t="n" s="0">
        <v>-19.68</v>
      </c>
      <c r="B8033" t="n" s="0">
        <f>(-5-((((-5*(-5/((-5/(((-5*(-19.68--5))-(-5+((-5*-19.68)*(((-5--5)+(-19.68--5))+-19.68))))-(-5+-5)))*-5)))/-5)--5)+(-5*(((-19.68*(-19.68-(-5/-5)))*(-19.68-(-19.68/(-5*-19.68))))-(-5/-5)))))</f>
        <v>-38961.20096</v>
      </c>
      <c r="C8033" t="n" s="0">
        <v>-38961.200959999995</v>
      </c>
    </row>
    <row r="8034">
      <c r="A8034" t="n" s="0">
        <v>-19.67</v>
      </c>
      <c r="B8034" t="n" s="0">
        <f>(-5-((((-5*(-5/((-5/(((-5*(-19.67--5))-(-5+((-5*-19.67)*(((-5--5)+(-19.67--5))+-19.67))))-(-5+-5)))*-5)))/-5)--5)+(-5*(((-19.67*(-19.67-(-5/-5)))*(-19.67-(-19.67/(-5*-19.67))))-(-5/-5)))))</f>
        <v>-38902.318115</v>
      </c>
      <c r="C8034" t="n" s="0">
        <v>-38902.31811500001</v>
      </c>
    </row>
    <row r="8035">
      <c r="A8035" t="n" s="0">
        <v>-19.66</v>
      </c>
      <c r="B8035" t="n" s="0">
        <f>(-5-((((-5*(-5/((-5/(((-5*(-19.66--5))-(-5+((-5*-19.66)*(((-5--5)+(-19.66--5))+-19.66))))-(-5+-5)))*-5)))/-5)--5)+(-5*(((-19.66*(-19.66-(-5/-5)))*(-19.66-(-19.66/(-5*-19.66))))-(-5/-5)))))</f>
        <v>-38843.49468</v>
      </c>
      <c r="C8035" t="n" s="0">
        <v>-38843.494679999996</v>
      </c>
    </row>
    <row r="8036">
      <c r="A8036" t="n" s="0">
        <v>-19.65</v>
      </c>
      <c r="B8036" t="n" s="0">
        <f>(-5-((((-5*(-5/((-5/(((-5*(-19.65--5))-(-5+((-5*-19.65)*(((-5--5)+(-19.65--5))+-19.65))))-(-5+-5)))*-5)))/-5)--5)+(-5*(((-19.65*(-19.65-(-5/-5)))*(-19.65-(-19.65/(-5*-19.65))))-(-5/-5)))))</f>
        <v>-38784.730625000004</v>
      </c>
      <c r="C8036" t="n" s="0">
        <v>-38784.73062499999</v>
      </c>
    </row>
    <row r="8037">
      <c r="A8037" t="n" s="0">
        <v>-19.64</v>
      </c>
      <c r="B8037" t="n" s="0">
        <f>(-5-((((-5*(-5/((-5/(((-5*(-19.64--5))-(-5+((-5*-19.64)*(((-5--5)+(-19.64--5))+-19.64))))-(-5+-5)))*-5)))/-5)--5)+(-5*(((-19.64*(-19.64-(-5/-5)))*(-19.64-(-19.64/(-5*-19.64))))-(-5/-5)))))</f>
        <v>-38726.02592</v>
      </c>
      <c r="C8037" t="n" s="0">
        <v>-38726.02592</v>
      </c>
    </row>
    <row r="8038">
      <c r="A8038" t="n" s="0">
        <v>-19.63</v>
      </c>
      <c r="B8038" t="n" s="0">
        <f>(-5-((((-5*(-5/((-5/(((-5*(-19.63--5))-(-5+((-5*-19.63)*(((-5--5)+(-19.63--5))+-19.63))))-(-5+-5)))*-5)))/-5)--5)+(-5*(((-19.63*(-19.63-(-5/-5)))*(-19.63-(-19.63/(-5*-19.63))))-(-5/-5)))))</f>
        <v>-38667.380535</v>
      </c>
      <c r="C8038" t="n" s="0">
        <v>-38667.38053499999</v>
      </c>
    </row>
    <row r="8039">
      <c r="A8039" t="n" s="0">
        <v>-19.62</v>
      </c>
      <c r="B8039" t="n" s="0">
        <f>(-5-((((-5*(-5/((-5/(((-5*(-19.62--5))-(-5+((-5*-19.62)*(((-5--5)+(-19.62--5))+-19.62))))-(-5+-5)))*-5)))/-5)--5)+(-5*(((-19.62*(-19.62-(-5/-5)))*(-19.62-(-19.62/(-5*-19.62))))-(-5/-5)))))</f>
        <v>-38608.794440000005</v>
      </c>
      <c r="C8039" t="n" s="0">
        <v>-38608.794440000005</v>
      </c>
    </row>
    <row r="8040">
      <c r="A8040" t="n" s="0">
        <v>-19.61</v>
      </c>
      <c r="B8040" t="n" s="0">
        <f>(-5-((((-5*(-5/((-5/(((-5*(-19.61--5))-(-5+((-5*-19.61)*(((-5--5)+(-19.61--5))+-19.61))))-(-5+-5)))*-5)))/-5)--5)+(-5*(((-19.61*(-19.61-(-5/-5)))*(-19.61-(-19.61/(-5*-19.61))))-(-5/-5)))))</f>
        <v>-38550.267605</v>
      </c>
      <c r="C8040" t="n" s="0">
        <v>-38550.267605</v>
      </c>
    </row>
    <row r="8041">
      <c r="A8041" t="n" s="0">
        <v>-19.6</v>
      </c>
      <c r="B8041" t="n" s="0">
        <f>(-5-((((-5*(-5/((-5/(((-5*(-19.6--5))-(-5+((-5*-19.6)*(((-5--5)+(-19.6--5))+-19.6))))-(-5+-5)))*-5)))/-5)--5)+(-5*(((-19.6*(-19.6-(-5/-5)))*(-19.6-(-19.6/(-5*-19.6))))-(-5/-5)))))</f>
        <v>-38491.8</v>
      </c>
      <c r="C8041" t="n" s="0">
        <v>-38491.80000000001</v>
      </c>
    </row>
    <row r="8042">
      <c r="A8042" t="n" s="0">
        <v>-19.59</v>
      </c>
      <c r="B8042" t="n" s="0">
        <f>(-5-((((-5*(-5/((-5/(((-5*(-19.59--5))-(-5+((-5*-19.59)*(((-5--5)+(-19.59--5))+-19.59))))-(-5+-5)))*-5)))/-5)--5)+(-5*(((-19.59*(-19.59-(-5/-5)))*(-19.59-(-19.59/(-5*-19.59))))-(-5/-5)))))</f>
        <v>-38433.39159500001</v>
      </c>
      <c r="C8042" t="n" s="0">
        <v>-38433.391595</v>
      </c>
    </row>
    <row r="8043">
      <c r="A8043" t="n" s="0">
        <v>-19.58</v>
      </c>
      <c r="B8043" t="n" s="0">
        <f>(-5-((((-5*(-5/((-5/(((-5*(-19.58--5))-(-5+((-5*-19.58)*(((-5--5)+(-19.58--5))+-19.58))))-(-5+-5)))*-5)))/-5)--5)+(-5*(((-19.58*(-19.58-(-5/-5)))*(-19.58-(-19.58/(-5*-19.58))))-(-5/-5)))))</f>
        <v>-38375.04236</v>
      </c>
      <c r="C8043" t="n" s="0">
        <v>-38375.042359999985</v>
      </c>
    </row>
    <row r="8044">
      <c r="A8044" t="n" s="0">
        <v>-19.57</v>
      </c>
      <c r="B8044" t="n" s="0">
        <f>(-5-((((-5*(-5/((-5/(((-5*(-19.57--5))-(-5+((-5*-19.57)*(((-5--5)+(-19.57--5))+-19.57))))-(-5+-5)))*-5)))/-5)--5)+(-5*(((-19.57*(-19.57-(-5/-5)))*(-19.57-(-19.57/(-5*-19.57))))-(-5/-5)))))</f>
        <v>-38316.752265</v>
      </c>
      <c r="C8044" t="n" s="0">
        <v>-38316.752265</v>
      </c>
    </row>
    <row r="8045">
      <c r="A8045" t="n" s="0">
        <v>-19.56</v>
      </c>
      <c r="B8045" t="n" s="0">
        <f>(-5-((((-5*(-5/((-5/(((-5*(-19.56--5))-(-5+((-5*-19.56)*(((-5--5)+(-19.56--5))+-19.56))))-(-5+-5)))*-5)))/-5)--5)+(-5*(((-19.56*(-19.56-(-5/-5)))*(-19.56-(-19.56/(-5*-19.56))))-(-5/-5)))))</f>
        <v>-38258.52128</v>
      </c>
      <c r="C8045" t="n" s="0">
        <v>-38258.52127999999</v>
      </c>
    </row>
    <row r="8046">
      <c r="A8046" t="n" s="0">
        <v>-19.55</v>
      </c>
      <c r="B8046" t="n" s="0">
        <f>(-5-((((-5*(-5/((-5/(((-5*(-19.55--5))-(-5+((-5*-19.55)*(((-5--5)+(-19.55--5))+-19.55))))-(-5+-5)))*-5)))/-5)--5)+(-5*(((-19.55*(-19.55-(-5/-5)))*(-19.55-(-19.55/(-5*-19.55))))-(-5/-5)))))</f>
        <v>-38200.349375000005</v>
      </c>
      <c r="C8046" t="n" s="0">
        <v>-38200.349375000005</v>
      </c>
    </row>
    <row r="8047">
      <c r="A8047" t="n" s="0">
        <v>-19.54</v>
      </c>
      <c r="B8047" t="n" s="0">
        <f>(-5-((((-5*(-5/((-5/(((-5*(-19.54--5))-(-5+((-5*-19.54)*(((-5--5)+(-19.54--5))+-19.54))))-(-5+-5)))*-5)))/-5)--5)+(-5*(((-19.54*(-19.54-(-5/-5)))*(-19.54-(-19.54/(-5*-19.54))))-(-5/-5)))))</f>
        <v>-38142.23652</v>
      </c>
      <c r="C8047" t="n" s="0">
        <v>-38142.23652</v>
      </c>
    </row>
    <row r="8048">
      <c r="A8048" t="n" s="0">
        <v>-19.53</v>
      </c>
      <c r="B8048" t="n" s="0">
        <f>(-5-((((-5*(-5/((-5/(((-5*(-19.53--5))-(-5+((-5*-19.53)*(((-5--5)+(-19.53--5))+-19.53))))-(-5+-5)))*-5)))/-5)--5)+(-5*(((-19.53*(-19.53-(-5/-5)))*(-19.53-(-19.53/(-5*-19.53))))-(-5/-5)))))</f>
        <v>-38084.182685</v>
      </c>
      <c r="C8048" t="n" s="0">
        <v>-38084.18268500001</v>
      </c>
    </row>
    <row r="8049">
      <c r="A8049" t="n" s="0">
        <v>-19.52</v>
      </c>
      <c r="B8049" t="n" s="0">
        <f>(-5-((((-5*(-5/((-5/(((-5*(-19.52--5))-(-5+((-5*-19.52)*(((-5--5)+(-19.52--5))+-19.52))))-(-5+-5)))*-5)))/-5)--5)+(-5*(((-19.52*(-19.52-(-5/-5)))*(-19.52-(-19.52/(-5*-19.52))))-(-5/-5)))))</f>
        <v>-38026.187840000006</v>
      </c>
      <c r="C8049" t="n" s="0">
        <v>-38026.18783999999</v>
      </c>
    </row>
    <row r="8050">
      <c r="A8050" t="n" s="0">
        <v>-19.51</v>
      </c>
      <c r="B8050" t="n" s="0">
        <f>(-5-((((-5*(-5/((-5/(((-5*(-19.51--5))-(-5+((-5*-19.51)*(((-5--5)+(-19.51--5))+-19.51))))-(-5+-5)))*-5)))/-5)--5)+(-5*(((-19.51*(-19.51-(-5/-5)))*(-19.51-(-19.51/(-5*-19.51))))-(-5/-5)))))</f>
        <v>-37968.251955</v>
      </c>
      <c r="C8050" t="n" s="0">
        <v>-37968.25195500001</v>
      </c>
    </row>
    <row r="8051">
      <c r="A8051" t="n" s="0">
        <v>-19.5</v>
      </c>
      <c r="B8051" t="n" s="0">
        <f>(-5-((((-5*(-5/((-5/(((-5*(-19.5--5))-(-5+((-5*-19.5)*(((-5--5)+(-19.5--5))+-19.5))))-(-5+-5)))*-5)))/-5)--5)+(-5*(((-19.5*(-19.5-(-5/-5)))*(-19.5-(-19.5/(-5*-19.5))))-(-5/-5)))))</f>
        <v>-37910.375</v>
      </c>
      <c r="C8051" t="n" s="0">
        <v>-37910.375</v>
      </c>
    </row>
    <row r="8052">
      <c r="A8052" t="n" s="0">
        <v>-19.49</v>
      </c>
      <c r="B8052" t="n" s="0">
        <f>(-5-((((-5*(-5/((-5/(((-5*(-19.49--5))-(-5+((-5*-19.49)*(((-5--5)+(-19.49--5))+-19.49))))-(-5+-5)))*-5)))/-5)--5)+(-5*(((-19.49*(-19.49-(-5/-5)))*(-19.49-(-19.49/(-5*-19.49))))-(-5/-5)))))</f>
        <v>-37852.556945000004</v>
      </c>
      <c r="C8052" t="n" s="0">
        <v>-37852.556945</v>
      </c>
    </row>
    <row r="8053">
      <c r="A8053" t="n" s="0">
        <v>-19.48</v>
      </c>
      <c r="B8053" t="n" s="0">
        <f>(-5-((((-5*(-5/((-5/(((-5*(-19.48--5))-(-5+((-5*-19.48)*(((-5--5)+(-19.48--5))+-19.48))))-(-5+-5)))*-5)))/-5)--5)+(-5*(((-19.48*(-19.48-(-5/-5)))*(-19.48-(-19.48/(-5*-19.48))))-(-5/-5)))))</f>
        <v>-37794.79776</v>
      </c>
      <c r="C8053" t="n" s="0">
        <v>-37794.79776</v>
      </c>
    </row>
    <row r="8054">
      <c r="A8054" t="n" s="0">
        <v>-19.47</v>
      </c>
      <c r="B8054" t="n" s="0">
        <f>(-5-((((-5*(-5/((-5/(((-5*(-19.47--5))-(-5+((-5*-19.47)*(((-5--5)+(-19.47--5))+-19.47))))-(-5+-5)))*-5)))/-5)--5)+(-5*(((-19.47*(-19.47-(-5/-5)))*(-19.47-(-19.47/(-5*-19.47))))-(-5/-5)))))</f>
        <v>-37737.097415</v>
      </c>
      <c r="C8054" t="n" s="0">
        <v>-37737.097415</v>
      </c>
    </row>
    <row r="8055">
      <c r="A8055" t="n" s="0">
        <v>-19.46</v>
      </c>
      <c r="B8055" t="n" s="0">
        <f>(-5-((((-5*(-5/((-5/(((-5*(-19.46--5))-(-5+((-5*-19.46)*(((-5--5)+(-19.46--5))+-19.46))))-(-5+-5)))*-5)))/-5)--5)+(-5*(((-19.46*(-19.46-(-5/-5)))*(-19.46-(-19.46/(-5*-19.46))))-(-5/-5)))))</f>
        <v>-37679.45588</v>
      </c>
      <c r="C8055" t="n" s="0">
        <v>-37679.45588</v>
      </c>
    </row>
    <row r="8056">
      <c r="A8056" t="n" s="0">
        <v>-19.45</v>
      </c>
      <c r="B8056" t="n" s="0">
        <f>(-5-((((-5*(-5/((-5/(((-5*(-19.45--5))-(-5+((-5*-19.45)*(((-5--5)+(-19.45--5))+-19.45))))-(-5+-5)))*-5)))/-5)--5)+(-5*(((-19.45*(-19.45-(-5/-5)))*(-19.45-(-19.45/(-5*-19.45))))-(-5/-5)))))</f>
        <v>-37621.873125</v>
      </c>
      <c r="C8056" t="n" s="0">
        <v>-37621.873125</v>
      </c>
    </row>
    <row r="8057">
      <c r="A8057" t="n" s="0">
        <v>-19.44</v>
      </c>
      <c r="B8057" t="n" s="0">
        <f>(-5-((((-5*(-5/((-5/(((-5*(-19.44--5))-(-5+((-5*-19.44)*(((-5--5)+(-19.44--5))+-19.44))))-(-5+-5)))*-5)))/-5)--5)+(-5*(((-19.44*(-19.44-(-5/-5)))*(-19.44-(-19.44/(-5*-19.44))))-(-5/-5)))))</f>
        <v>-37564.34912</v>
      </c>
      <c r="C8057" t="n" s="0">
        <v>-37564.349120000006</v>
      </c>
    </row>
    <row r="8058">
      <c r="A8058" t="n" s="0">
        <v>-19.43</v>
      </c>
      <c r="B8058" t="n" s="0">
        <f>(-5-((((-5*(-5/((-5/(((-5*(-19.43--5))-(-5+((-5*-19.43)*(((-5--5)+(-19.43--5))+-19.43))))-(-5+-5)))*-5)))/-5)--5)+(-5*(((-19.43*(-19.43-(-5/-5)))*(-19.43-(-19.43/(-5*-19.43))))-(-5/-5)))))</f>
        <v>-37506.883835</v>
      </c>
      <c r="C8058" t="n" s="0">
        <v>-37506.883835</v>
      </c>
    </row>
    <row r="8059">
      <c r="A8059" t="n" s="0">
        <v>-19.42</v>
      </c>
      <c r="B8059" t="n" s="0">
        <f>(-5-((((-5*(-5/((-5/(((-5*(-19.42--5))-(-5+((-5*-19.42)*(((-5--5)+(-19.42--5))+-19.42))))-(-5+-5)))*-5)))/-5)--5)+(-5*(((-19.42*(-19.42-(-5/-5)))*(-19.42-(-19.42/(-5*-19.42))))-(-5/-5)))))</f>
        <v>-37449.47724</v>
      </c>
      <c r="C8059" t="n" s="0">
        <v>-37449.47724000001</v>
      </c>
    </row>
    <row r="8060">
      <c r="A8060" t="n" s="0">
        <v>-19.41</v>
      </c>
      <c r="B8060" t="n" s="0">
        <f>(-5-((((-5*(-5/((-5/(((-5*(-19.41--5))-(-5+((-5*-19.41)*(((-5--5)+(-19.41--5))+-19.41))))-(-5+-5)))*-5)))/-5)--5)+(-5*(((-19.41*(-19.41-(-5/-5)))*(-19.41-(-19.41/(-5*-19.41))))-(-5/-5)))))</f>
        <v>-37392.129305</v>
      </c>
      <c r="C8060" t="n" s="0">
        <v>-37392.12930500001</v>
      </c>
    </row>
    <row r="8061">
      <c r="A8061" t="n" s="0">
        <v>-19.4</v>
      </c>
      <c r="B8061" t="n" s="0">
        <f>(-5-((((-5*(-5/((-5/(((-5*(-19.4--5))-(-5+((-5*-19.4)*(((-5--5)+(-19.4--5))+-19.4))))-(-5+-5)))*-5)))/-5)--5)+(-5*(((-19.4*(-19.4-(-5/-5)))*(-19.4-(-19.4/(-5*-19.4))))-(-5/-5)))))</f>
        <v>-37334.840000000004</v>
      </c>
      <c r="C8061" t="n" s="0">
        <v>-37334.83999999999</v>
      </c>
    </row>
    <row r="8062">
      <c r="A8062" t="n" s="0">
        <v>-19.39</v>
      </c>
      <c r="B8062" t="n" s="0">
        <f>(-5-((((-5*(-5/((-5/(((-5*(-19.39--5))-(-5+((-5*-19.39)*(((-5--5)+(-19.39--5))+-19.39))))-(-5+-5)))*-5)))/-5)--5)+(-5*(((-19.39*(-19.39-(-5/-5)))*(-19.39-(-19.39/(-5*-19.39))))-(-5/-5)))))</f>
        <v>-37277.609295</v>
      </c>
      <c r="C8062" t="n" s="0">
        <v>-37277.609294999995</v>
      </c>
    </row>
    <row r="8063">
      <c r="A8063" t="n" s="0">
        <v>-19.38</v>
      </c>
      <c r="B8063" t="n" s="0">
        <f>(-5-((((-5*(-5/((-5/(((-5*(-19.38--5))-(-5+((-5*-19.38)*(((-5--5)+(-19.38--5))+-19.38))))-(-5+-5)))*-5)))/-5)--5)+(-5*(((-19.38*(-19.38-(-5/-5)))*(-19.38-(-19.38/(-5*-19.38))))-(-5/-5)))))</f>
        <v>-37220.437159999994</v>
      </c>
      <c r="C8063" t="n" s="0">
        <v>-37220.437159999994</v>
      </c>
    </row>
    <row r="8064">
      <c r="A8064" t="n" s="0">
        <v>-19.37</v>
      </c>
      <c r="B8064" t="n" s="0">
        <f>(-5-((((-5*(-5/((-5/(((-5*(-19.37--5))-(-5+((-5*-19.37)*(((-5--5)+(-19.37--5))+-19.37))))-(-5+-5)))*-5)))/-5)--5)+(-5*(((-19.37*(-19.37-(-5/-5)))*(-19.37-(-19.37/(-5*-19.37))))-(-5/-5)))))</f>
        <v>-37163.323565000006</v>
      </c>
      <c r="C8064" t="n" s="0">
        <v>-37163.323565000006</v>
      </c>
    </row>
    <row r="8065">
      <c r="A8065" t="n" s="0">
        <v>-19.36</v>
      </c>
      <c r="B8065" t="n" s="0">
        <f>(-5-((((-5*(-5/((-5/(((-5*(-19.36--5))-(-5+((-5*-19.36)*(((-5--5)+(-19.36--5))+-19.36))))-(-5+-5)))*-5)))/-5)--5)+(-5*(((-19.36*(-19.36-(-5/-5)))*(-19.36-(-19.36/(-5*-19.36))))-(-5/-5)))))</f>
        <v>-37106.26848</v>
      </c>
      <c r="C8065" t="n" s="0">
        <v>-37106.26848</v>
      </c>
    </row>
    <row r="8066">
      <c r="A8066" t="n" s="0">
        <v>-19.35</v>
      </c>
      <c r="B8066" t="n" s="0">
        <f>(-5-((((-5*(-5/((-5/(((-5*(-19.35--5))-(-5+((-5*-19.35)*(((-5--5)+(-19.35--5))+-19.35))))-(-5+-5)))*-5)))/-5)--5)+(-5*(((-19.35*(-19.35-(-5/-5)))*(-19.35-(-19.35/(-5*-19.35))))-(-5/-5)))))</f>
        <v>-37049.271875</v>
      </c>
      <c r="C8066" t="n" s="0">
        <v>-37049.27187500001</v>
      </c>
    </row>
    <row r="8067">
      <c r="A8067" t="n" s="0">
        <v>-19.34</v>
      </c>
      <c r="B8067" t="n" s="0">
        <f>(-5-((((-5*(-5/((-5/(((-5*(-19.34--5))-(-5+((-5*-19.34)*(((-5--5)+(-19.34--5))+-19.34))))-(-5+-5)))*-5)))/-5)--5)+(-5*(((-19.34*(-19.34-(-5/-5)))*(-19.34-(-19.34/(-5*-19.34))))-(-5/-5)))))</f>
        <v>-36992.33372</v>
      </c>
      <c r="C8067" t="n" s="0">
        <v>-36992.333719999995</v>
      </c>
    </row>
    <row r="8068">
      <c r="A8068" t="n" s="0">
        <v>-19.33</v>
      </c>
      <c r="B8068" t="n" s="0">
        <f>(-5-((((-5*(-5/((-5/(((-5*(-19.33--5))-(-5+((-5*-19.33)*(((-5--5)+(-19.33--5))+-19.33))))-(-5+-5)))*-5)))/-5)--5)+(-5*(((-19.33*(-19.33-(-5/-5)))*(-19.33-(-19.33/(-5*-19.33))))-(-5/-5)))))</f>
        <v>-36935.453985</v>
      </c>
      <c r="C8068" t="n" s="0">
        <v>-36935.45398499999</v>
      </c>
    </row>
    <row r="8069">
      <c r="A8069" t="n" s="0">
        <v>-19.32</v>
      </c>
      <c r="B8069" t="n" s="0">
        <f>(-5-((((-5*(-5/((-5/(((-5*(-19.32--5))-(-5+((-5*-19.32)*(((-5--5)+(-19.32--5))+-19.32))))-(-5+-5)))*-5)))/-5)--5)+(-5*(((-19.32*(-19.32-(-5/-5)))*(-19.32-(-19.32/(-5*-19.32))))-(-5/-5)))))</f>
        <v>-36878.632639999996</v>
      </c>
      <c r="C8069" t="n" s="0">
        <v>-36878.63264</v>
      </c>
    </row>
    <row r="8070">
      <c r="A8070" t="n" s="0">
        <v>-19.31</v>
      </c>
      <c r="B8070" t="n" s="0">
        <f>(-5-((((-5*(-5/((-5/(((-5*(-19.31--5))-(-5+((-5*-19.31)*(((-5--5)+(-19.31--5))+-19.31))))-(-5+-5)))*-5)))/-5)--5)+(-5*(((-19.31*(-19.31-(-5/-5)))*(-19.31-(-19.31/(-5*-19.31))))-(-5/-5)))))</f>
        <v>-36821.869655</v>
      </c>
      <c r="C8070" t="n" s="0">
        <v>-36821.869654999995</v>
      </c>
    </row>
    <row r="8071">
      <c r="A8071" t="n" s="0">
        <v>-19.3</v>
      </c>
      <c r="B8071" t="n" s="0">
        <f>(-5-((((-5*(-5/((-5/(((-5*(-19.3--5))-(-5+((-5*-19.3)*(((-5--5)+(-19.3--5))+-19.3))))-(-5+-5)))*-5)))/-5)--5)+(-5*(((-19.3*(-19.3-(-5/-5)))*(-19.3-(-19.3/(-5*-19.3))))-(-5/-5)))))</f>
        <v>-36765.165</v>
      </c>
      <c r="C8071" t="n" s="0">
        <v>-36765.16500000001</v>
      </c>
    </row>
    <row r="8072">
      <c r="A8072" t="n" s="0">
        <v>-19.29</v>
      </c>
      <c r="B8072" t="n" s="0">
        <f>(-5-((((-5*(-5/((-5/(((-5*(-19.29--5))-(-5+((-5*-19.29)*(((-5--5)+(-19.29--5))+-19.29))))-(-5+-5)))*-5)))/-5)--5)+(-5*(((-19.29*(-19.29-(-5/-5)))*(-19.29-(-19.29/(-5*-19.29))))-(-5/-5)))))</f>
        <v>-36708.518645000004</v>
      </c>
      <c r="C8072" t="n" s="0">
        <v>-36708.518645</v>
      </c>
    </row>
    <row r="8073">
      <c r="A8073" t="n" s="0">
        <v>-19.28</v>
      </c>
      <c r="B8073" t="n" s="0">
        <f>(-5-((((-5*(-5/((-5/(((-5*(-19.28--5))-(-5+((-5*-19.28)*(((-5--5)+(-19.28--5))+-19.28))))-(-5+-5)))*-5)))/-5)--5)+(-5*(((-19.28*(-19.28-(-5/-5)))*(-19.28-(-19.28/(-5*-19.28))))-(-5/-5)))))</f>
        <v>-36651.93056</v>
      </c>
      <c r="C8073" t="n" s="0">
        <v>-36651.93056000001</v>
      </c>
    </row>
    <row r="8074">
      <c r="A8074" t="n" s="0">
        <v>-19.27</v>
      </c>
      <c r="B8074" t="n" s="0">
        <f>(-5-((((-5*(-5/((-5/(((-5*(-19.27--5))-(-5+((-5*-19.27)*(((-5--5)+(-19.27--5))+-19.27))))-(-5+-5)))*-5)))/-5)--5)+(-5*(((-19.27*(-19.27-(-5/-5)))*(-19.27-(-19.27/(-5*-19.27))))-(-5/-5)))))</f>
        <v>-36595.400714999996</v>
      </c>
      <c r="C8074" t="n" s="0">
        <v>-36595.400714999996</v>
      </c>
    </row>
    <row r="8075">
      <c r="A8075" t="n" s="0">
        <v>-19.26</v>
      </c>
      <c r="B8075" t="n" s="0">
        <f>(-5-((((-5*(-5/((-5/(((-5*(-19.26--5))-(-5+((-5*-19.26)*(((-5--5)+(-19.26--5))+-19.26))))-(-5+-5)))*-5)))/-5)--5)+(-5*(((-19.26*(-19.26-(-5/-5)))*(-19.26-(-19.26/(-5*-19.26))))-(-5/-5)))))</f>
        <v>-36538.92908</v>
      </c>
      <c r="C8075" t="n" s="0">
        <v>-36538.92908</v>
      </c>
    </row>
    <row r="8076">
      <c r="A8076" t="n" s="0">
        <v>-19.25</v>
      </c>
      <c r="B8076" t="n" s="0">
        <f>(-5-((((-5*(-5/((-5/(((-5*(-19.25--5))-(-5+((-5*-19.25)*(((-5--5)+(-19.25--5))+-19.25))))-(-5+-5)))*-5)))/-5)--5)+(-5*(((-19.25*(-19.25-(-5/-5)))*(-19.25-(-19.25/(-5*-19.25))))-(-5/-5)))))</f>
        <v>-36482.515625</v>
      </c>
      <c r="C8076" t="n" s="0">
        <v>-36482.515625</v>
      </c>
    </row>
    <row r="8077">
      <c r="A8077" t="n" s="0">
        <v>-19.24</v>
      </c>
      <c r="B8077" t="n" s="0">
        <f>(-5-((((-5*(-5/((-5/(((-5*(-19.24--5))-(-5+((-5*-19.24)*(((-5--5)+(-19.24--5))+-19.24))))-(-5+-5)))*-5)))/-5)--5)+(-5*(((-19.24*(-19.24-(-5/-5)))*(-19.24-(-19.24/(-5*-19.24))))-(-5/-5)))))</f>
        <v>-36426.16032</v>
      </c>
      <c r="C8077" t="n" s="0">
        <v>-36426.160319999995</v>
      </c>
    </row>
    <row r="8078">
      <c r="A8078" t="n" s="0">
        <v>-19.23</v>
      </c>
      <c r="B8078" t="n" s="0">
        <f>(-5-((((-5*(-5/((-5/(((-5*(-19.23--5))-(-5+((-5*-19.23)*(((-5--5)+(-19.23--5))+-19.23))))-(-5+-5)))*-5)))/-5)--5)+(-5*(((-19.23*(-19.23-(-5/-5)))*(-19.23-(-19.23/(-5*-19.23))))-(-5/-5)))))</f>
        <v>-36369.863135</v>
      </c>
      <c r="C8078" t="n" s="0">
        <v>-36369.86313500001</v>
      </c>
    </row>
    <row r="8079">
      <c r="A8079" t="n" s="0">
        <v>-19.22</v>
      </c>
      <c r="B8079" t="n" s="0">
        <f>(-5-((((-5*(-5/((-5/(((-5*(-19.22--5))-(-5+((-5*-19.22)*(((-5--5)+(-19.22--5))+-19.22))))-(-5+-5)))*-5)))/-5)--5)+(-5*(((-19.22*(-19.22-(-5/-5)))*(-19.22-(-19.22/(-5*-19.22))))-(-5/-5)))))</f>
        <v>-36313.624039999995</v>
      </c>
      <c r="C8079" t="n" s="0">
        <v>-36313.624039999995</v>
      </c>
    </row>
    <row r="8080">
      <c r="A8080" t="n" s="0">
        <v>-19.21</v>
      </c>
      <c r="B8080" t="n" s="0">
        <f>(-5-((((-5*(-5/((-5/(((-5*(-19.21--5))-(-5+((-5*-19.21)*(((-5--5)+(-19.21--5))+-19.21))))-(-5+-5)))*-5)))/-5)--5)+(-5*(((-19.21*(-19.21-(-5/-5)))*(-19.21-(-19.21/(-5*-19.21))))-(-5/-5)))))</f>
        <v>-36257.443005</v>
      </c>
      <c r="C8080" t="n" s="0">
        <v>-36257.443005</v>
      </c>
    </row>
    <row r="8081">
      <c r="A8081" t="n" s="0">
        <v>-19.2</v>
      </c>
      <c r="B8081" t="n" s="0">
        <f>(-5-((((-5*(-5/((-5/(((-5*(-19.2--5))-(-5+((-5*-19.2)*(((-5--5)+(-19.2--5))+-19.2))))-(-5+-5)))*-5)))/-5)--5)+(-5*(((-19.2*(-19.2-(-5/-5)))*(-19.2-(-19.2/(-5*-19.2))))-(-5/-5)))))</f>
        <v>-36201.32000000001</v>
      </c>
      <c r="C8081" t="n" s="0">
        <v>-36201.31999999999</v>
      </c>
    </row>
    <row r="8082">
      <c r="A8082" t="n" s="0">
        <v>-19.19</v>
      </c>
      <c r="B8082" t="n" s="0">
        <f>(-5-((((-5*(-5/((-5/(((-5*(-19.19--5))-(-5+((-5*-19.19)*(((-5--5)+(-19.19--5))+-19.19))))-(-5+-5)))*-5)))/-5)--5)+(-5*(((-19.19*(-19.19-(-5/-5)))*(-19.19-(-19.19/(-5*-19.19))))-(-5/-5)))))</f>
        <v>-36145.254994999996</v>
      </c>
      <c r="C8082" t="n" s="0">
        <v>-36145.254995</v>
      </c>
    </row>
    <row r="8083">
      <c r="A8083" t="n" s="0">
        <v>-19.18</v>
      </c>
      <c r="B8083" t="n" s="0">
        <f>(-5-((((-5*(-5/((-5/(((-5*(-19.18--5))-(-5+((-5*-19.18)*(((-5--5)+(-19.18--5))+-19.18))))-(-5+-5)))*-5)))/-5)--5)+(-5*(((-19.18*(-19.18-(-5/-5)))*(-19.18-(-19.18/(-5*-19.18))))-(-5/-5)))))</f>
        <v>-36089.24796</v>
      </c>
      <c r="C8083" t="n" s="0">
        <v>-36089.24796</v>
      </c>
    </row>
    <row r="8084">
      <c r="A8084" t="n" s="0">
        <v>-19.17</v>
      </c>
      <c r="B8084" t="n" s="0">
        <f>(-5-((((-5*(-5/((-5/(((-5*(-19.17--5))-(-5+((-5*-19.17)*(((-5--5)+(-19.17--5))+-19.17))))-(-5+-5)))*-5)))/-5)--5)+(-5*(((-19.17*(-19.17-(-5/-5)))*(-19.17-(-19.17/(-5*-19.17))))-(-5/-5)))))</f>
        <v>-36033.298865</v>
      </c>
      <c r="C8084" t="n" s="0">
        <v>-36033.29886500001</v>
      </c>
    </row>
    <row r="8085">
      <c r="A8085" t="n" s="0">
        <v>-19.16</v>
      </c>
      <c r="B8085" t="n" s="0">
        <f>(-5-((((-5*(-5/((-5/(((-5*(-19.16--5))-(-5+((-5*-19.16)*(((-5--5)+(-19.16--5))+-19.16))))-(-5+-5)))*-5)))/-5)--5)+(-5*(((-19.16*(-19.16-(-5/-5)))*(-19.16-(-19.16/(-5*-19.16))))-(-5/-5)))))</f>
        <v>-35977.407680000004</v>
      </c>
      <c r="C8085" t="n" s="0">
        <v>-35977.407680000004</v>
      </c>
    </row>
    <row r="8086">
      <c r="A8086" t="n" s="0">
        <v>-19.15</v>
      </c>
      <c r="B8086" t="n" s="0">
        <f>(-5-((((-5*(-5/((-5/(((-5*(-19.15--5))-(-5+((-5*-19.15)*(((-5--5)+(-19.15--5))+-19.15))))-(-5+-5)))*-5)))/-5)--5)+(-5*(((-19.15*(-19.15-(-5/-5)))*(-19.15-(-19.15/(-5*-19.15))))-(-5/-5)))))</f>
        <v>-35921.574375</v>
      </c>
      <c r="C8086" t="n" s="0">
        <v>-35921.57437499999</v>
      </c>
    </row>
    <row r="8087">
      <c r="A8087" t="n" s="0">
        <v>-19.14</v>
      </c>
      <c r="B8087" t="n" s="0">
        <f>(-5-((((-5*(-5/((-5/(((-5*(-19.14--5))-(-5+((-5*-19.14)*(((-5--5)+(-19.14--5))+-19.14))))-(-5+-5)))*-5)))/-5)--5)+(-5*(((-19.14*(-19.14-(-5/-5)))*(-19.14-(-19.14/(-5*-19.14))))-(-5/-5)))))</f>
        <v>-35865.79892</v>
      </c>
      <c r="C8087" t="n" s="0">
        <v>-35865.79892</v>
      </c>
    </row>
    <row r="8088">
      <c r="A8088" t="n" s="0">
        <v>-19.13</v>
      </c>
      <c r="B8088" t="n" s="0">
        <f>(-5-((((-5*(-5/((-5/(((-5*(-19.13--5))-(-5+((-5*-19.13)*(((-5--5)+(-19.13--5))+-19.13))))-(-5+-5)))*-5)))/-5)--5)+(-5*(((-19.13*(-19.13-(-5/-5)))*(-19.13-(-19.13/(-5*-19.13))))-(-5/-5)))))</f>
        <v>-35810.08128499999</v>
      </c>
      <c r="C8088" t="n" s="0">
        <v>-35810.081285</v>
      </c>
    </row>
    <row r="8089">
      <c r="A8089" t="n" s="0">
        <v>-19.12</v>
      </c>
      <c r="B8089" t="n" s="0">
        <f>(-5-((((-5*(-5/((-5/(((-5*(-19.12--5))-(-5+((-5*-19.12)*(((-5--5)+(-19.12--5))+-19.12))))-(-5+-5)))*-5)))/-5)--5)+(-5*(((-19.12*(-19.12-(-5/-5)))*(-19.12-(-19.12/(-5*-19.12))))-(-5/-5)))))</f>
        <v>-35754.42144</v>
      </c>
      <c r="C8089" t="n" s="0">
        <v>-35754.421440000006</v>
      </c>
    </row>
    <row r="8090">
      <c r="A8090" t="n" s="0">
        <v>-19.11</v>
      </c>
      <c r="B8090" t="n" s="0">
        <f>(-5-((((-5*(-5/((-5/(((-5*(-19.11--5))-(-5+((-5*-19.11)*(((-5--5)+(-19.11--5))+-19.11))))-(-5+-5)))*-5)))/-5)--5)+(-5*(((-19.11*(-19.11-(-5/-5)))*(-19.11-(-19.11/(-5*-19.11))))-(-5/-5)))))</f>
        <v>-35698.81935499999</v>
      </c>
      <c r="C8090" t="n" s="0">
        <v>-35698.819355</v>
      </c>
    </row>
    <row r="8091">
      <c r="A8091" t="n" s="0">
        <v>-19.1</v>
      </c>
      <c r="B8091" t="n" s="0">
        <f>(-5-((((-5*(-5/((-5/(((-5*(-19.1--5))-(-5+((-5*-19.1)*(((-5--5)+(-19.1--5))+-19.1))))-(-5+-5)))*-5)))/-5)--5)+(-5*(((-19.1*(-19.1-(-5/-5)))*(-19.1-(-19.1/(-5*-19.1))))-(-5/-5)))))</f>
        <v>-35643.275</v>
      </c>
      <c r="C8091" t="n" s="0">
        <v>-35643.275000000016</v>
      </c>
    </row>
    <row r="8092">
      <c r="A8092" t="n" s="0">
        <v>-19.09</v>
      </c>
      <c r="B8092" t="n" s="0">
        <f>(-5-((((-5*(-5/((-5/(((-5*(-19.09--5))-(-5+((-5*-19.09)*(((-5--5)+(-19.09--5))+-19.09))))-(-5+-5)))*-5)))/-5)--5)+(-5*(((-19.09*(-19.09-(-5/-5)))*(-19.09-(-19.09/(-5*-19.09))))-(-5/-5)))))</f>
        <v>-35587.788345</v>
      </c>
      <c r="C8092" t="n" s="0">
        <v>-35587.78834499999</v>
      </c>
    </row>
    <row r="8093">
      <c r="A8093" t="n" s="0">
        <v>-19.08</v>
      </c>
      <c r="B8093" t="n" s="0">
        <f>(-5-((((-5*(-5/((-5/(((-5*(-19.08--5))-(-5+((-5*-19.08)*(((-5--5)+(-19.08--5))+-19.08))))-(-5+-5)))*-5)))/-5)--5)+(-5*(((-19.08*(-19.08-(-5/-5)))*(-19.08-(-19.08/(-5*-19.08))))-(-5/-5)))))</f>
        <v>-35532.35936</v>
      </c>
      <c r="C8093" t="n" s="0">
        <v>-35532.35935999999</v>
      </c>
    </row>
    <row r="8094">
      <c r="A8094" t="n" s="0">
        <v>-19.07</v>
      </c>
      <c r="B8094" t="n" s="0">
        <f>(-5-((((-5*(-5/((-5/(((-5*(-19.07--5))-(-5+((-5*-19.07)*(((-5--5)+(-19.07--5))+-19.07))))-(-5+-5)))*-5)))/-5)--5)+(-5*(((-19.07*(-19.07-(-5/-5)))*(-19.07-(-19.07/(-5*-19.07))))-(-5/-5)))))</f>
        <v>-35476.988015</v>
      </c>
      <c r="C8094" t="n" s="0">
        <v>-35476.988015</v>
      </c>
    </row>
    <row r="8095">
      <c r="A8095" t="n" s="0">
        <v>-19.06</v>
      </c>
      <c r="B8095" t="n" s="0">
        <f>(-5-((((-5*(-5/((-5/(((-5*(-19.06--5))-(-5+((-5*-19.06)*(((-5--5)+(-19.06--5))+-19.06))))-(-5+-5)))*-5)))/-5)--5)+(-5*(((-19.06*(-19.06-(-5/-5)))*(-19.06-(-19.06/(-5*-19.06))))-(-5/-5)))))</f>
        <v>-35421.67428</v>
      </c>
      <c r="C8095" t="n" s="0">
        <v>-35421.67427999999</v>
      </c>
    </row>
    <row r="8096">
      <c r="A8096" t="n" s="0">
        <v>-19.05</v>
      </c>
      <c r="B8096" t="n" s="0">
        <f>(-5-((((-5*(-5/((-5/(((-5*(-19.05--5))-(-5+((-5*-19.05)*(((-5--5)+(-19.05--5))+-19.05))))-(-5+-5)))*-5)))/-5)--5)+(-5*(((-19.05*(-19.05-(-5/-5)))*(-19.05-(-19.05/(-5*-19.05))))-(-5/-5)))))</f>
        <v>-35366.418125</v>
      </c>
      <c r="C8096" t="n" s="0">
        <v>-35366.418125000004</v>
      </c>
    </row>
    <row r="8097">
      <c r="A8097" t="n" s="0">
        <v>-19.04</v>
      </c>
      <c r="B8097" t="n" s="0">
        <f>(-5-((((-5*(-5/((-5/(((-5*(-19.04--5))-(-5+((-5*-19.04)*(((-5--5)+(-19.04--5))+-19.04))))-(-5+-5)))*-5)))/-5)--5)+(-5*(((-19.04*(-19.04-(-5/-5)))*(-19.04-(-19.04/(-5*-19.04))))-(-5/-5)))))</f>
        <v>-35311.219520000006</v>
      </c>
      <c r="C8097" t="n" s="0">
        <v>-35311.21952</v>
      </c>
    </row>
    <row r="8098">
      <c r="A8098" t="n" s="0">
        <v>-19.03</v>
      </c>
      <c r="B8098" t="n" s="0">
        <f>(-5-((((-5*(-5/((-5/(((-5*(-19.03--5))-(-5+((-5*-19.03)*(((-5--5)+(-19.03--5))+-19.03))))-(-5+-5)))*-5)))/-5)--5)+(-5*(((-19.03*(-19.03-(-5/-5)))*(-19.03-(-19.03/(-5*-19.03))))-(-5/-5)))))</f>
        <v>-35256.078434999996</v>
      </c>
      <c r="C8098" t="n" s="0">
        <v>-35256.078434999996</v>
      </c>
    </row>
    <row r="8099">
      <c r="A8099" t="n" s="0">
        <v>-19.02</v>
      </c>
      <c r="B8099" t="n" s="0">
        <f>(-5-((((-5*(-5/((-5/(((-5*(-19.02--5))-(-5+((-5*-19.02)*(((-5--5)+(-19.02--5))+-19.02))))-(-5+-5)))*-5)))/-5)--5)+(-5*(((-19.02*(-19.02-(-5/-5)))*(-19.02-(-19.02/(-5*-19.02))))-(-5/-5)))))</f>
        <v>-35200.99484</v>
      </c>
      <c r="C8099" t="n" s="0">
        <v>-35200.99483999999</v>
      </c>
    </row>
    <row r="8100">
      <c r="A8100" t="n" s="0">
        <v>-19.01</v>
      </c>
      <c r="B8100" t="n" s="0">
        <f>(-5-((((-5*(-5/((-5/(((-5*(-19.01--5))-(-5+((-5*-19.01)*(((-5--5)+(-19.01--5))+-19.01))))-(-5+-5)))*-5)))/-5)--5)+(-5*(((-19.01*(-19.01-(-5/-5)))*(-19.01-(-19.01/(-5*-19.01))))-(-5/-5)))))</f>
        <v>-35145.968705</v>
      </c>
      <c r="C8100" t="n" s="0">
        <v>-35145.96870500001</v>
      </c>
    </row>
    <row r="8101">
      <c r="A8101" t="n" s="0">
        <v>-19.0</v>
      </c>
      <c r="B8101" t="n" s="0">
        <f>(-5-((((-5*(-5/((-5/(((-5*(-19--5))-(-5+((-5*-19)*(((-5--5)+(-19--5))+-19))))-(-5+-5)))*-5)))/-5)--5)+(-5*(((-19*(-19-(-5/-5)))*(-19-(-19/(-5*-19))))-(-5/-5)))))</f>
        <v>-35091.0</v>
      </c>
      <c r="C8101" t="n" s="0">
        <v>-35091.0</v>
      </c>
    </row>
    <row r="8102">
      <c r="A8102" t="n" s="0">
        <v>-18.99</v>
      </c>
      <c r="B8102" t="n" s="0">
        <f>(-5-((((-5*(-5/((-5/(((-5*(-18.99--5))-(-5+((-5*-18.99)*(((-5--5)+(-18.99--5))+-18.99))))-(-5+-5)))*-5)))/-5)--5)+(-5*(((-18.99*(-18.99-(-5/-5)))*(-18.99-(-18.99/(-5*-18.99))))-(-5/-5)))))</f>
        <v>-35036.088695</v>
      </c>
      <c r="C8102" t="n" s="0">
        <v>-35036.08869499999</v>
      </c>
    </row>
    <row r="8103">
      <c r="A8103" t="n" s="0">
        <v>-18.98</v>
      </c>
      <c r="B8103" t="n" s="0">
        <f>(-5-((((-5*(-5/((-5/(((-5*(-18.98--5))-(-5+((-5*-18.98)*(((-5--5)+(-18.98--5))+-18.98))))-(-5+-5)))*-5)))/-5)--5)+(-5*(((-18.98*(-18.98-(-5/-5)))*(-18.98-(-18.98/(-5*-18.98))))-(-5/-5)))))</f>
        <v>-34981.23476</v>
      </c>
      <c r="C8103" t="n" s="0">
        <v>-34981.23476000001</v>
      </c>
    </row>
    <row r="8104">
      <c r="A8104" t="n" s="0">
        <v>-18.97</v>
      </c>
      <c r="B8104" t="n" s="0">
        <f>(-5-((((-5*(-5/((-5/(((-5*(-18.97--5))-(-5+((-5*-18.97)*(((-5--5)+(-18.97--5))+-18.97))))-(-5+-5)))*-5)))/-5)--5)+(-5*(((-18.97*(-18.97-(-5/-5)))*(-18.97-(-18.97/(-5*-18.97))))-(-5/-5)))))</f>
        <v>-34926.438165</v>
      </c>
      <c r="C8104" t="n" s="0">
        <v>-34926.43816499999</v>
      </c>
    </row>
    <row r="8105">
      <c r="A8105" t="n" s="0">
        <v>-18.96</v>
      </c>
      <c r="B8105" t="n" s="0">
        <f>(-5-((((-5*(-5/((-5/(((-5*(-18.96--5))-(-5+((-5*-18.96)*(((-5--5)+(-18.96--5))+-18.96))))-(-5+-5)))*-5)))/-5)--5)+(-5*(((-18.96*(-18.96-(-5/-5)))*(-18.96-(-18.96/(-5*-18.96))))-(-5/-5)))))</f>
        <v>-34871.698879999996</v>
      </c>
      <c r="C8105" t="n" s="0">
        <v>-34871.69888</v>
      </c>
    </row>
    <row r="8106">
      <c r="A8106" t="n" s="0">
        <v>-18.95</v>
      </c>
      <c r="B8106" t="n" s="0">
        <f>(-5-((((-5*(-5/((-5/(((-5*(-18.95--5))-(-5+((-5*-18.95)*(((-5--5)+(-18.95--5))+-18.95))))-(-5+-5)))*-5)))/-5)--5)+(-5*(((-18.95*(-18.95-(-5/-5)))*(-18.95-(-18.95/(-5*-18.95))))-(-5/-5)))))</f>
        <v>-34817.016875</v>
      </c>
      <c r="C8106" t="n" s="0">
        <v>-34817.016874999994</v>
      </c>
    </row>
    <row r="8107">
      <c r="A8107" t="n" s="0">
        <v>-18.94</v>
      </c>
      <c r="B8107" t="n" s="0">
        <f>(-5-((((-5*(-5/((-5/(((-5*(-18.94--5))-(-5+((-5*-18.94)*(((-5--5)+(-18.94--5))+-18.94))))-(-5+-5)))*-5)))/-5)--5)+(-5*(((-18.94*(-18.94-(-5/-5)))*(-18.94-(-18.94/(-5*-18.94))))-(-5/-5)))))</f>
        <v>-34762.39212</v>
      </c>
      <c r="C8107" t="n" s="0">
        <v>-34762.39212000001</v>
      </c>
    </row>
    <row r="8108">
      <c r="A8108" t="n" s="0">
        <v>-18.93</v>
      </c>
      <c r="B8108" t="n" s="0">
        <f>(-5-((((-5*(-5/((-5/(((-5*(-18.93--5))-(-5+((-5*-18.93)*(((-5--5)+(-18.93--5))+-18.93))))-(-5+-5)))*-5)))/-5)--5)+(-5*(((-18.93*(-18.93-(-5/-5)))*(-18.93-(-18.93/(-5*-18.93))))-(-5/-5)))))</f>
        <v>-34707.824585</v>
      </c>
      <c r="C8108" t="n" s="0">
        <v>-34707.824585</v>
      </c>
    </row>
    <row r="8109">
      <c r="A8109" t="n" s="0">
        <v>-18.92</v>
      </c>
      <c r="B8109" t="n" s="0">
        <f>(-5-((((-5*(-5/((-5/(((-5*(-18.92--5))-(-5+((-5*-18.92)*(((-5--5)+(-18.92--5))+-18.92))))-(-5+-5)))*-5)))/-5)--5)+(-5*(((-18.92*(-18.92-(-5/-5)))*(-18.92-(-18.92/(-5*-18.92))))-(-5/-5)))))</f>
        <v>-34653.31424</v>
      </c>
      <c r="C8109" t="n" s="0">
        <v>-34653.314240000014</v>
      </c>
    </row>
    <row r="8110">
      <c r="A8110" t="n" s="0">
        <v>-18.91</v>
      </c>
      <c r="B8110" t="n" s="0">
        <f>(-5-((((-5*(-5/((-5/(((-5*(-18.91--5))-(-5+((-5*-18.91)*(((-5--5)+(-18.91--5))+-18.91))))-(-5+-5)))*-5)))/-5)--5)+(-5*(((-18.91*(-18.91-(-5/-5)))*(-18.91-(-18.91/(-5*-18.91))))-(-5/-5)))))</f>
        <v>-34598.861055</v>
      </c>
      <c r="C8110" t="n" s="0">
        <v>-34598.86105500001</v>
      </c>
    </row>
    <row r="8111">
      <c r="A8111" t="n" s="0">
        <v>-18.9</v>
      </c>
      <c r="B8111" t="n" s="0">
        <f>(-5-((((-5*(-5/((-5/(((-5*(-18.9--5))-(-5+((-5*-18.9)*(((-5--5)+(-18.9--5))+-18.9))))-(-5+-5)))*-5)))/-5)--5)+(-5*(((-18.9*(-18.9-(-5/-5)))*(-18.9-(-18.9/(-5*-18.9))))-(-5/-5)))))</f>
        <v>-34544.465000000004</v>
      </c>
      <c r="C8111" t="n" s="0">
        <v>-34544.46499999999</v>
      </c>
    </row>
    <row r="8112">
      <c r="A8112" t="n" s="0">
        <v>-18.89</v>
      </c>
      <c r="B8112" t="n" s="0">
        <f>(-5-((((-5*(-5/((-5/(((-5*(-18.89--5))-(-5+((-5*-18.89)*(((-5--5)+(-18.89--5))+-18.89))))-(-5+-5)))*-5)))/-5)--5)+(-5*(((-18.89*(-18.89-(-5/-5)))*(-18.89-(-18.89/(-5*-18.89))))-(-5/-5)))))</f>
        <v>-34490.126045</v>
      </c>
      <c r="C8112" t="n" s="0">
        <v>-34490.126045</v>
      </c>
    </row>
    <row r="8113">
      <c r="A8113" t="n" s="0">
        <v>-18.88</v>
      </c>
      <c r="B8113" t="n" s="0">
        <f>(-5-((((-5*(-5/((-5/(((-5*(-18.88--5))-(-5+((-5*-18.88)*(((-5--5)+(-18.88--5))+-18.88))))-(-5+-5)))*-5)))/-5)--5)+(-5*(((-18.88*(-18.88-(-5/-5)))*(-18.88-(-18.88/(-5*-18.88))))-(-5/-5)))))</f>
        <v>-34435.84416</v>
      </c>
      <c r="C8113" t="n" s="0">
        <v>-34435.84415999999</v>
      </c>
    </row>
    <row r="8114">
      <c r="A8114" t="n" s="0">
        <v>-18.87</v>
      </c>
      <c r="B8114" t="n" s="0">
        <f>(-5-((((-5*(-5/((-5/(((-5*(-18.87--5))-(-5+((-5*-18.87)*(((-5--5)+(-18.87--5))+-18.87))))-(-5+-5)))*-5)))/-5)--5)+(-5*(((-18.87*(-18.87-(-5/-5)))*(-18.87-(-18.87/(-5*-18.87))))-(-5/-5)))))</f>
        <v>-34381.619314999996</v>
      </c>
      <c r="C8114" t="n" s="0">
        <v>-34381.61931500001</v>
      </c>
    </row>
    <row r="8115">
      <c r="A8115" t="n" s="0">
        <v>-18.86</v>
      </c>
      <c r="B8115" t="n" s="0">
        <f>(-5-((((-5*(-5/((-5/(((-5*(-18.86--5))-(-5+((-5*-18.86)*(((-5--5)+(-18.86--5))+-18.86))))-(-5+-5)))*-5)))/-5)--5)+(-5*(((-18.86*(-18.86-(-5/-5)))*(-18.86-(-18.86/(-5*-18.86))))-(-5/-5)))))</f>
        <v>-34327.45148</v>
      </c>
      <c r="C8115" t="n" s="0">
        <v>-34327.451479999996</v>
      </c>
    </row>
    <row r="8116">
      <c r="A8116" t="n" s="0">
        <v>-18.85</v>
      </c>
      <c r="B8116" t="n" s="0">
        <f>(-5-((((-5*(-5/((-5/(((-5*(-18.85--5))-(-5+((-5*-18.85)*(((-5--5)+(-18.85--5))+-18.85))))-(-5+-5)))*-5)))/-5)--5)+(-5*(((-18.85*(-18.85-(-5/-5)))*(-18.85-(-18.85/(-5*-18.85))))-(-5/-5)))))</f>
        <v>-34273.340625</v>
      </c>
      <c r="C8116" t="n" s="0">
        <v>-34273.340625000004</v>
      </c>
    </row>
    <row r="8117">
      <c r="A8117" t="n" s="0">
        <v>-18.84</v>
      </c>
      <c r="B8117" t="n" s="0">
        <f>(-5-((((-5*(-5/((-5/(((-5*(-18.84--5))-(-5+((-5*-18.84)*(((-5--5)+(-18.84--5))+-18.84))))-(-5+-5)))*-5)))/-5)--5)+(-5*(((-18.84*(-18.84-(-5/-5)))*(-18.84-(-18.84/(-5*-18.84))))-(-5/-5)))))</f>
        <v>-34219.286720000004</v>
      </c>
      <c r="C8117" t="n" s="0">
        <v>-34219.28672</v>
      </c>
    </row>
    <row r="8118">
      <c r="A8118" t="n" s="0">
        <v>-18.83</v>
      </c>
      <c r="B8118" t="n" s="0">
        <f>(-5-((((-5*(-5/((-5/(((-5*(-18.83--5))-(-5+((-5*-18.83)*(((-5--5)+(-18.83--5))+-18.83))))-(-5+-5)))*-5)))/-5)--5)+(-5*(((-18.83*(-18.83-(-5/-5)))*(-18.83-(-18.83/(-5*-18.83))))-(-5/-5)))))</f>
        <v>-34165.289735000006</v>
      </c>
      <c r="C8118" t="n" s="0">
        <v>-34165.289734999984</v>
      </c>
    </row>
    <row r="8119">
      <c r="A8119" t="n" s="0">
        <v>-18.82</v>
      </c>
      <c r="B8119" t="n" s="0">
        <f>(-5-((((-5*(-5/((-5/(((-5*(-18.82--5))-(-5+((-5*-18.82)*(((-5--5)+(-18.82--5))+-18.82))))-(-5+-5)))*-5)))/-5)--5)+(-5*(((-18.82*(-18.82-(-5/-5)))*(-18.82-(-18.82/(-5*-18.82))))-(-5/-5)))))</f>
        <v>-34111.34964</v>
      </c>
      <c r="C8119" t="n" s="0">
        <v>-34111.34964</v>
      </c>
    </row>
    <row r="8120">
      <c r="A8120" t="n" s="0">
        <v>-18.81</v>
      </c>
      <c r="B8120" t="n" s="0">
        <f>(-5-((((-5*(-5/((-5/(((-5*(-18.81--5))-(-5+((-5*-18.81)*(((-5--5)+(-18.81--5))+-18.81))))-(-5+-5)))*-5)))/-5)--5)+(-5*(((-18.81*(-18.81-(-5/-5)))*(-18.81-(-18.81/(-5*-18.81))))-(-5/-5)))))</f>
        <v>-34057.466405</v>
      </c>
      <c r="C8120" t="n" s="0">
        <v>-34057.46640499999</v>
      </c>
    </row>
    <row r="8121">
      <c r="A8121" t="n" s="0">
        <v>-18.8</v>
      </c>
      <c r="B8121" t="n" s="0">
        <f>(-5-((((-5*(-5/((-5/(((-5*(-18.8--5))-(-5+((-5*-18.8)*(((-5--5)+(-18.8--5))+-18.8))))-(-5+-5)))*-5)))/-5)--5)+(-5*(((-18.8*(-18.8-(-5/-5)))*(-18.8-(-18.8/(-5*-18.8))))-(-5/-5)))))</f>
        <v>-34003.64</v>
      </c>
      <c r="C8121" t="n" s="0">
        <v>-34003.64</v>
      </c>
    </row>
    <row r="8122">
      <c r="A8122" t="n" s="0">
        <v>-18.79</v>
      </c>
      <c r="B8122" t="n" s="0">
        <f>(-5-((((-5*(-5/((-5/(((-5*(-18.79--5))-(-5+((-5*-18.79)*(((-5--5)+(-18.79--5))+-18.79))))-(-5+-5)))*-5)))/-5)--5)+(-5*(((-18.79*(-18.79-(-5/-5)))*(-18.79-(-18.79/(-5*-18.79))))-(-5/-5)))))</f>
        <v>-33949.870395000005</v>
      </c>
      <c r="C8122" t="n" s="0">
        <v>-33949.870395</v>
      </c>
    </row>
    <row r="8123">
      <c r="A8123" t="n" s="0">
        <v>-18.78</v>
      </c>
      <c r="B8123" t="n" s="0">
        <f>(-5-((((-5*(-5/((-5/(((-5*(-18.78--5))-(-5+((-5*-18.78)*(((-5--5)+(-18.78--5))+-18.78))))-(-5+-5)))*-5)))/-5)--5)+(-5*(((-18.78*(-18.78-(-5/-5)))*(-18.78-(-18.78/(-5*-18.78))))-(-5/-5)))))</f>
        <v>-33896.15756</v>
      </c>
      <c r="C8123" t="n" s="0">
        <v>-33896.15756</v>
      </c>
    </row>
    <row r="8124">
      <c r="A8124" t="n" s="0">
        <v>-18.77</v>
      </c>
      <c r="B8124" t="n" s="0">
        <f>(-5-((((-5*(-5/((-5/(((-5*(-18.77--5))-(-5+((-5*-18.77)*(((-5--5)+(-18.77--5))+-18.77))))-(-5+-5)))*-5)))/-5)--5)+(-5*(((-18.77*(-18.77-(-5/-5)))*(-18.77-(-18.77/(-5*-18.77))))-(-5/-5)))))</f>
        <v>-33842.501465</v>
      </c>
      <c r="C8124" t="n" s="0">
        <v>-33842.501464999994</v>
      </c>
    </row>
    <row r="8125">
      <c r="A8125" t="n" s="0">
        <v>-18.76</v>
      </c>
      <c r="B8125" t="n" s="0">
        <f>(-5-((((-5*(-5/((-5/(((-5*(-18.76--5))-(-5+((-5*-18.76)*(((-5--5)+(-18.76--5))+-18.76))))-(-5+-5)))*-5)))/-5)--5)+(-5*(((-18.76*(-18.76-(-5/-5)))*(-18.76-(-18.76/(-5*-18.76))))-(-5/-5)))))</f>
        <v>-33788.90208</v>
      </c>
      <c r="C8125" t="n" s="0">
        <v>-33788.90208000001</v>
      </c>
    </row>
    <row r="8126">
      <c r="A8126" t="n" s="0">
        <v>-18.75</v>
      </c>
      <c r="B8126" t="n" s="0">
        <f>(-5-((((-5*(-5/((-5/(((-5*(-18.75--5))-(-5+((-5*-18.75)*(((-5--5)+(-18.75--5))+-18.75))))-(-5+-5)))*-5)))/-5)--5)+(-5*(((-18.75*(-18.75-(-5/-5)))*(-18.75-(-18.75/(-5*-18.75))))-(-5/-5)))))</f>
        <v>-33735.359375</v>
      </c>
      <c r="C8126" t="n" s="0">
        <v>-33735.359375</v>
      </c>
    </row>
    <row r="8127">
      <c r="A8127" t="n" s="0">
        <v>-18.74</v>
      </c>
      <c r="B8127" t="n" s="0">
        <f>(-5-((((-5*(-5/((-5/(((-5*(-18.74--5))-(-5+((-5*-18.74)*(((-5--5)+(-18.74--5))+-18.74))))-(-5+-5)))*-5)))/-5)--5)+(-5*(((-18.74*(-18.74-(-5/-5)))*(-18.74-(-18.74/(-5*-18.74))))-(-5/-5)))))</f>
        <v>-33681.873320000006</v>
      </c>
      <c r="C8127" t="n" s="0">
        <v>-33681.87332</v>
      </c>
    </row>
    <row r="8128">
      <c r="A8128" t="n" s="0">
        <v>-18.73</v>
      </c>
      <c r="B8128" t="n" s="0">
        <f>(-5-((((-5*(-5/((-5/(((-5*(-18.73--5))-(-5+((-5*-18.73)*(((-5--5)+(-18.73--5))+-18.73))))-(-5+-5)))*-5)))/-5)--5)+(-5*(((-18.73*(-18.73-(-5/-5)))*(-18.73-(-18.73/(-5*-18.73))))-(-5/-5)))))</f>
        <v>-33628.44388499999</v>
      </c>
      <c r="C8128" t="n" s="0">
        <v>-33628.44388500001</v>
      </c>
    </row>
    <row r="8129">
      <c r="A8129" t="n" s="0">
        <v>-18.72</v>
      </c>
      <c r="B8129" t="n" s="0">
        <f>(-5-((((-5*(-5/((-5/(((-5*(-18.72--5))-(-5+((-5*-18.72)*(((-5--5)+(-18.72--5))+-18.72))))-(-5+-5)))*-5)))/-5)--5)+(-5*(((-18.72*(-18.72-(-5/-5)))*(-18.72-(-18.72/(-5*-18.72))))-(-5/-5)))))</f>
        <v>-33575.07104</v>
      </c>
      <c r="C8129" t="n" s="0">
        <v>-33575.071039999995</v>
      </c>
    </row>
    <row r="8130">
      <c r="A8130" t="n" s="0">
        <v>-18.71</v>
      </c>
      <c r="B8130" t="n" s="0">
        <f>(-5-((((-5*(-5/((-5/(((-5*(-18.71--5))-(-5+((-5*-18.71)*(((-5--5)+(-18.71--5))+-18.71))))-(-5+-5)))*-5)))/-5)--5)+(-5*(((-18.71*(-18.71-(-5/-5)))*(-18.71-(-18.71/(-5*-18.71))))-(-5/-5)))))</f>
        <v>-33521.754754999994</v>
      </c>
      <c r="C8130" t="n" s="0">
        <v>-33521.754755</v>
      </c>
    </row>
    <row r="8131">
      <c r="A8131" t="n" s="0">
        <v>-18.7</v>
      </c>
      <c r="B8131" t="n" s="0">
        <f>(-5-((((-5*(-5/((-5/(((-5*(-18.7--5))-(-5+((-5*-18.7)*(((-5--5)+(-18.7--5))+-18.7))))-(-5+-5)))*-5)))/-5)--5)+(-5*(((-18.7*(-18.7-(-5/-5)))*(-18.7-(-18.7/(-5*-18.7))))-(-5/-5)))))</f>
        <v>-33468.494999999995</v>
      </c>
      <c r="C8131" t="n" s="0">
        <v>-33468.494999999995</v>
      </c>
    </row>
    <row r="8132">
      <c r="A8132" t="n" s="0">
        <v>-18.69</v>
      </c>
      <c r="B8132" t="n" s="0">
        <f>(-5-((((-5*(-5/((-5/(((-5*(-18.69--5))-(-5+((-5*-18.69)*(((-5--5)+(-18.69--5))+-18.69))))-(-5+-5)))*-5)))/-5)--5)+(-5*(((-18.69*(-18.69-(-5/-5)))*(-18.69-(-18.69/(-5*-18.69))))-(-5/-5)))))</f>
        <v>-33415.291745</v>
      </c>
      <c r="C8132" t="n" s="0">
        <v>-33415.29174500001</v>
      </c>
    </row>
    <row r="8133">
      <c r="A8133" t="n" s="0">
        <v>-18.68</v>
      </c>
      <c r="B8133" t="n" s="0">
        <f>(-5-((((-5*(-5/((-5/(((-5*(-18.68--5))-(-5+((-5*-18.68)*(((-5--5)+(-18.68--5))+-18.68))))-(-5+-5)))*-5)))/-5)--5)+(-5*(((-18.68*(-18.68-(-5/-5)))*(-18.68-(-18.68/(-5*-18.68))))-(-5/-5)))))</f>
        <v>-33362.14496</v>
      </c>
      <c r="C8133" t="n" s="0">
        <v>-33362.14496</v>
      </c>
    </row>
    <row r="8134">
      <c r="A8134" t="n" s="0">
        <v>-18.67</v>
      </c>
      <c r="B8134" t="n" s="0">
        <f>(-5-((((-5*(-5/((-5/(((-5*(-18.67--5))-(-5+((-5*-18.67)*(((-5--5)+(-18.67--5))+-18.67))))-(-5+-5)))*-5)))/-5)--5)+(-5*(((-18.67*(-18.67-(-5/-5)))*(-18.67-(-18.67/(-5*-18.67))))-(-5/-5)))))</f>
        <v>-33309.054614999994</v>
      </c>
      <c r="C8134" t="n" s="0">
        <v>-33309.05461500001</v>
      </c>
    </row>
    <row r="8135">
      <c r="A8135" t="n" s="0">
        <v>-18.66</v>
      </c>
      <c r="B8135" t="n" s="0">
        <f>(-5-((((-5*(-5/((-5/(((-5*(-18.66--5))-(-5+((-5*-18.66)*(((-5--5)+(-18.66--5))+-18.66))))-(-5+-5)))*-5)))/-5)--5)+(-5*(((-18.66*(-18.66-(-5/-5)))*(-18.66-(-18.66/(-5*-18.66))))-(-5/-5)))))</f>
        <v>-33256.02068</v>
      </c>
      <c r="C8135" t="n" s="0">
        <v>-33256.02068</v>
      </c>
    </row>
    <row r="8136">
      <c r="A8136" t="n" s="0">
        <v>-18.65</v>
      </c>
      <c r="B8136" t="n" s="0">
        <f>(-5-((((-5*(-5/((-5/(((-5*(-18.65--5))-(-5+((-5*-18.65)*(((-5--5)+(-18.65--5))+-18.65))))-(-5+-5)))*-5)))/-5)--5)+(-5*(((-18.65*(-18.65-(-5/-5)))*(-18.65-(-18.65/(-5*-18.65))))-(-5/-5)))))</f>
        <v>-33203.043125000004</v>
      </c>
      <c r="C8136" t="n" s="0">
        <v>-33203.04312499999</v>
      </c>
    </row>
    <row r="8137">
      <c r="A8137" t="n" s="0">
        <v>-18.64</v>
      </c>
      <c r="B8137" t="n" s="0">
        <f>(-5-((((-5*(-5/((-5/(((-5*(-18.64--5))-(-5+((-5*-18.64)*(((-5--5)+(-18.64--5))+-18.64))))-(-5+-5)))*-5)))/-5)--5)+(-5*(((-18.64*(-18.64-(-5/-5)))*(-18.64-(-18.64/(-5*-18.64))))-(-5/-5)))))</f>
        <v>-33150.121920000005</v>
      </c>
      <c r="C8137" t="n" s="0">
        <v>-33150.121920000005</v>
      </c>
    </row>
    <row r="8138">
      <c r="A8138" t="n" s="0">
        <v>-18.63</v>
      </c>
      <c r="B8138" t="n" s="0">
        <f>(-5-((((-5*(-5/((-5/(((-5*(-18.63--5))-(-5+((-5*-18.63)*(((-5--5)+(-18.63--5))+-18.63))))-(-5+-5)))*-5)))/-5)--5)+(-5*(((-18.63*(-18.63-(-5/-5)))*(-18.63-(-18.63/(-5*-18.63))))-(-5/-5)))))</f>
        <v>-33097.257035</v>
      </c>
      <c r="C8138" t="n" s="0">
        <v>-33097.257034999995</v>
      </c>
    </row>
    <row r="8139">
      <c r="A8139" t="n" s="0">
        <v>-18.62</v>
      </c>
      <c r="B8139" t="n" s="0">
        <f>(-5-((((-5*(-5/((-5/(((-5*(-18.62--5))-(-5+((-5*-18.62)*(((-5--5)+(-18.62--5))+-18.62))))-(-5+-5)))*-5)))/-5)--5)+(-5*(((-18.62*(-18.62-(-5/-5)))*(-18.62-(-18.62/(-5*-18.62))))-(-5/-5)))))</f>
        <v>-33044.44844</v>
      </c>
      <c r="C8139" t="n" s="0">
        <v>-33044.44844</v>
      </c>
    </row>
    <row r="8140">
      <c r="A8140" t="n" s="0">
        <v>-18.61</v>
      </c>
      <c r="B8140" t="n" s="0">
        <f>(-5-((((-5*(-5/((-5/(((-5*(-18.61--5))-(-5+((-5*-18.61)*(((-5--5)+(-18.61--5))+-18.61))))-(-5+-5)))*-5)))/-5)--5)+(-5*(((-18.61*(-18.61-(-5/-5)))*(-18.61-(-18.61/(-5*-18.61))))-(-5/-5)))))</f>
        <v>-32991.696104999995</v>
      </c>
      <c r="C8140" t="n" s="0">
        <v>-32991.696105</v>
      </c>
    </row>
    <row r="8141">
      <c r="A8141" t="n" s="0">
        <v>-18.6</v>
      </c>
      <c r="B8141" t="n" s="0">
        <f>(-5-((((-5*(-5/((-5/(((-5*(-18.6--5))-(-5+((-5*-18.6)*(((-5--5)+(-18.6--5))+-18.6))))-(-5+-5)))*-5)))/-5)--5)+(-5*(((-18.6*(-18.6-(-5/-5)))*(-18.6-(-18.6/(-5*-18.6))))-(-5/-5)))))</f>
        <v>-32939.0</v>
      </c>
      <c r="C8141" t="n" s="0">
        <v>-32939.00000000001</v>
      </c>
    </row>
    <row r="8142">
      <c r="A8142" t="n" s="0">
        <v>-18.59</v>
      </c>
      <c r="B8142" t="n" s="0">
        <f>(-5-((((-5*(-5/((-5/(((-5*(-18.59--5))-(-5+((-5*-18.59)*(((-5--5)+(-18.59--5))+-18.59))))-(-5+-5)))*-5)))/-5)--5)+(-5*(((-18.59*(-18.59-(-5/-5)))*(-18.59-(-18.59/(-5*-18.59))))-(-5/-5)))))</f>
        <v>-32886.360095</v>
      </c>
      <c r="C8142" t="n" s="0">
        <v>-32886.360095</v>
      </c>
    </row>
    <row r="8143">
      <c r="A8143" t="n" s="0">
        <v>-18.58</v>
      </c>
      <c r="B8143" t="n" s="0">
        <f>(-5-((((-5*(-5/((-5/(((-5*(-18.58--5))-(-5+((-5*-18.58)*(((-5--5)+(-18.58--5))+-18.58))))-(-5+-5)))*-5)))/-5)--5)+(-5*(((-18.58*(-18.58-(-5/-5)))*(-18.58-(-18.58/(-5*-18.58))))-(-5/-5)))))</f>
        <v>-32833.776359999996</v>
      </c>
      <c r="C8143" t="n" s="0">
        <v>-32833.77635999999</v>
      </c>
    </row>
    <row r="8144">
      <c r="A8144" t="n" s="0">
        <v>-18.57</v>
      </c>
      <c r="B8144" t="n" s="0">
        <f>(-5-((((-5*(-5/((-5/(((-5*(-18.57--5))-(-5+((-5*-18.57)*(((-5--5)+(-18.57--5))+-18.57))))-(-5+-5)))*-5)))/-5)--5)+(-5*(((-18.57*(-18.57-(-5/-5)))*(-18.57-(-18.57/(-5*-18.57))))-(-5/-5)))))</f>
        <v>-32781.248765</v>
      </c>
      <c r="C8144" t="n" s="0">
        <v>-32781.248765</v>
      </c>
    </row>
    <row r="8145">
      <c r="A8145" t="n" s="0">
        <v>-18.56</v>
      </c>
      <c r="B8145" t="n" s="0">
        <f>(-5-((((-5*(-5/((-5/(((-5*(-18.56--5))-(-5+((-5*-18.56)*(((-5--5)+(-18.56--5))+-18.56))))-(-5+-5)))*-5)))/-5)--5)+(-5*(((-18.56*(-18.56-(-5/-5)))*(-18.56-(-18.56/(-5*-18.56))))-(-5/-5)))))</f>
        <v>-32728.77728</v>
      </c>
      <c r="C8145" t="n" s="0">
        <v>-32728.77727999999</v>
      </c>
    </row>
    <row r="8146">
      <c r="A8146" t="n" s="0">
        <v>-18.55</v>
      </c>
      <c r="B8146" t="n" s="0">
        <f>(-5-((((-5*(-5/((-5/(((-5*(-18.55--5))-(-5+((-5*-18.55)*(((-5--5)+(-18.55--5))+-18.55))))-(-5+-5)))*-5)))/-5)--5)+(-5*(((-18.55*(-18.55-(-5/-5)))*(-18.55-(-18.55/(-5*-18.55))))-(-5/-5)))))</f>
        <v>-32676.361875</v>
      </c>
      <c r="C8146" t="n" s="0">
        <v>-32676.36187500001</v>
      </c>
    </row>
    <row r="8147">
      <c r="A8147" t="n" s="0">
        <v>-18.54</v>
      </c>
      <c r="B8147" t="n" s="0">
        <f>(-5-((((-5*(-5/((-5/(((-5*(-18.54--5))-(-5+((-5*-18.54)*(((-5--5)+(-18.54--5))+-18.54))))-(-5+-5)))*-5)))/-5)--5)+(-5*(((-18.54*(-18.54-(-5/-5)))*(-18.54-(-18.54/(-5*-18.54))))-(-5/-5)))))</f>
        <v>-32624.00252</v>
      </c>
      <c r="C8147" t="n" s="0">
        <v>-32624.00251999999</v>
      </c>
    </row>
    <row r="8148">
      <c r="A8148" t="n" s="0">
        <v>-18.53</v>
      </c>
      <c r="B8148" t="n" s="0">
        <f>(-5-((((-5*(-5/((-5/(((-5*(-18.53--5))-(-5+((-5*-18.53)*(((-5--5)+(-18.53--5))+-18.53))))-(-5+-5)))*-5)))/-5)--5)+(-5*(((-18.53*(-18.53-(-5/-5)))*(-18.53-(-18.53/(-5*-18.53))))-(-5/-5)))))</f>
        <v>-32571.699185</v>
      </c>
      <c r="C8148" t="n" s="0">
        <v>-32571.699185000005</v>
      </c>
    </row>
    <row r="8149">
      <c r="A8149" t="n" s="0">
        <v>-18.52</v>
      </c>
      <c r="B8149" t="n" s="0">
        <f>(-5-((((-5*(-5/((-5/(((-5*(-18.52--5))-(-5+((-5*-18.52)*(((-5--5)+(-18.52--5))+-18.52))))-(-5+-5)))*-5)))/-5)--5)+(-5*(((-18.52*(-18.52-(-5/-5)))*(-18.52-(-18.52/(-5*-18.52))))-(-5/-5)))))</f>
        <v>-32519.451839999998</v>
      </c>
      <c r="C8149" t="n" s="0">
        <v>-32519.451839999998</v>
      </c>
    </row>
    <row r="8150">
      <c r="A8150" t="n" s="0">
        <v>-18.51</v>
      </c>
      <c r="B8150" t="n" s="0">
        <f>(-5-((((-5*(-5/((-5/(((-5*(-18.51--5))-(-5+((-5*-18.51)*(((-5--5)+(-18.51--5))+-18.51))))-(-5+-5)))*-5)))/-5)--5)+(-5*(((-18.51*(-18.51-(-5/-5)))*(-18.51-(-18.51/(-5*-18.51))))-(-5/-5)))))</f>
        <v>-32467.260455000003</v>
      </c>
      <c r="C8150" t="n" s="0">
        <v>-32467.26045500001</v>
      </c>
    </row>
    <row r="8151">
      <c r="A8151" t="n" s="0">
        <v>-18.5</v>
      </c>
      <c r="B8151" t="n" s="0">
        <f>(-5-((((-5*(-5/((-5/(((-5*(-18.5--5))-(-5+((-5*-18.5)*(((-5--5)+(-18.5--5))+-18.5))))-(-5+-5)))*-5)))/-5)--5)+(-5*(((-18.5*(-18.5-(-5/-5)))*(-18.5-(-18.5/(-5*-18.5))))-(-5/-5)))))</f>
        <v>-32415.124999999996</v>
      </c>
      <c r="C8151" t="n" s="0">
        <v>-32415.125</v>
      </c>
    </row>
    <row r="8152">
      <c r="A8152" t="n" s="0">
        <v>-18.49</v>
      </c>
      <c r="B8152" t="n" s="0">
        <f>(-5-((((-5*(-5/((-5/(((-5*(-18.49--5))-(-5+((-5*-18.49)*(((-5--5)+(-18.49--5))+-18.49))))-(-5+-5)))*-5)))/-5)--5)+(-5*(((-18.49*(-18.49-(-5/-5)))*(-18.49-(-18.49/(-5*-18.49))))-(-5/-5)))))</f>
        <v>-32363.045445</v>
      </c>
      <c r="C8152" t="n" s="0">
        <v>-32363.045444999996</v>
      </c>
    </row>
    <row r="8153">
      <c r="A8153" t="n" s="0">
        <v>-18.48</v>
      </c>
      <c r="B8153" t="n" s="0">
        <f>(-5-((((-5*(-5/((-5/(((-5*(-18.48--5))-(-5+((-5*-18.48)*(((-5--5)+(-18.48--5))+-18.48))))-(-5+-5)))*-5)))/-5)--5)+(-5*(((-18.48*(-18.48-(-5/-5)))*(-18.48-(-18.48/(-5*-18.48))))-(-5/-5)))))</f>
        <v>-32311.021760000003</v>
      </c>
      <c r="C8153" t="n" s="0">
        <v>-32311.02176</v>
      </c>
    </row>
    <row r="8154">
      <c r="A8154" t="n" s="0">
        <v>-18.47</v>
      </c>
      <c r="B8154" t="n" s="0">
        <f>(-5-((((-5*(-5/((-5/(((-5*(-18.47--5))-(-5+((-5*-18.47)*(((-5--5)+(-18.47--5))+-18.47))))-(-5+-5)))*-5)))/-5)--5)+(-5*(((-18.47*(-18.47-(-5/-5)))*(-18.47-(-18.47/(-5*-18.47))))-(-5/-5)))))</f>
        <v>-32259.053914999997</v>
      </c>
      <c r="C8154" t="n" s="0">
        <v>-32259.053914999997</v>
      </c>
    </row>
    <row r="8155">
      <c r="A8155" t="n" s="0">
        <v>-18.46</v>
      </c>
      <c r="B8155" t="n" s="0">
        <f>(-5-((((-5*(-5/((-5/(((-5*(-18.46--5))-(-5+((-5*-18.46)*(((-5--5)+(-18.46--5))+-18.46))))-(-5+-5)))*-5)))/-5)--5)+(-5*(((-18.46*(-18.46-(-5/-5)))*(-18.46-(-18.46/(-5*-18.46))))-(-5/-5)))))</f>
        <v>-32207.141879999996</v>
      </c>
      <c r="C8155" t="n" s="0">
        <v>-32207.141880000006</v>
      </c>
    </row>
    <row r="8156">
      <c r="A8156" t="n" s="0">
        <v>-18.45</v>
      </c>
      <c r="B8156" t="n" s="0">
        <f>(-5-((((-5*(-5/((-5/(((-5*(-18.45--5))-(-5+((-5*-18.45)*(((-5--5)+(-18.45--5))+-18.45))))-(-5+-5)))*-5)))/-5)--5)+(-5*(((-18.45*(-18.45-(-5/-5)))*(-18.45-(-18.45/(-5*-18.45))))-(-5/-5)))))</f>
        <v>-32155.285625</v>
      </c>
      <c r="C8156" t="n" s="0">
        <v>-32155.285624999993</v>
      </c>
    </row>
    <row r="8157">
      <c r="A8157" t="n" s="0">
        <v>-18.44</v>
      </c>
      <c r="B8157" t="n" s="0">
        <f>(-5-((((-5*(-5/((-5/(((-5*(-18.44--5))-(-5+((-5*-18.44)*(((-5--5)+(-18.44--5))+-18.44))))-(-5+-5)))*-5)))/-5)--5)+(-5*(((-18.44*(-18.44-(-5/-5)))*(-18.44-(-18.44/(-5*-18.44))))-(-5/-5)))))</f>
        <v>-32103.485119999998</v>
      </c>
      <c r="C8157" t="n" s="0">
        <v>-32103.48512000001</v>
      </c>
    </row>
    <row r="8158">
      <c r="A8158" t="n" s="0">
        <v>-18.43</v>
      </c>
      <c r="B8158" t="n" s="0">
        <f>(-5-((((-5*(-5/((-5/(((-5*(-18.43--5))-(-5+((-5*-18.43)*(((-5--5)+(-18.43--5))+-18.43))))-(-5+-5)))*-5)))/-5)--5)+(-5*(((-18.43*(-18.43-(-5/-5)))*(-18.43-(-18.43/(-5*-18.43))))-(-5/-5)))))</f>
        <v>-32051.740335000002</v>
      </c>
      <c r="C8158" t="n" s="0">
        <v>-32051.740334999995</v>
      </c>
    </row>
    <row r="8159">
      <c r="A8159" t="n" s="0">
        <v>-18.42</v>
      </c>
      <c r="B8159" t="n" s="0">
        <f>(-5-((((-5*(-5/((-5/(((-5*(-18.42--5))-(-5+((-5*-18.42)*(((-5--5)+(-18.42--5))+-18.42))))-(-5+-5)))*-5)))/-5)--5)+(-5*(((-18.42*(-18.42-(-5/-5)))*(-18.42-(-18.42/(-5*-18.42))))-(-5/-5)))))</f>
        <v>-32000.05124</v>
      </c>
      <c r="C8159" t="n" s="0">
        <v>-32000.051240000004</v>
      </c>
    </row>
    <row r="8160">
      <c r="A8160" t="n" s="0">
        <v>-18.41</v>
      </c>
      <c r="B8160" t="n" s="0">
        <f>(-5-((((-5*(-5/((-5/(((-5*(-18.41--5))-(-5+((-5*-18.41)*(((-5--5)+(-18.41--5))+-18.41))))-(-5+-5)))*-5)))/-5)--5)+(-5*(((-18.41*(-18.41-(-5/-5)))*(-18.41-(-18.41/(-5*-18.41))))-(-5/-5)))))</f>
        <v>-31948.417805</v>
      </c>
      <c r="C8160" t="n" s="0">
        <v>-31948.417804999997</v>
      </c>
    </row>
    <row r="8161">
      <c r="A8161" t="n" s="0">
        <v>-18.4</v>
      </c>
      <c r="B8161" t="n" s="0">
        <f>(-5-((((-5*(-5/((-5/(((-5*(-18.4--5))-(-5+((-5*-18.4)*(((-5--5)+(-18.4--5))+-18.4))))-(-5+-5)))*-5)))/-5)--5)+(-5*(((-18.4*(-18.4-(-5/-5)))*(-18.4-(-18.4/(-5*-18.4))))-(-5/-5)))))</f>
        <v>-31896.84</v>
      </c>
      <c r="C8161" t="n" s="0">
        <v>-31896.839999999997</v>
      </c>
    </row>
    <row r="8162">
      <c r="A8162" t="n" s="0">
        <v>-18.39</v>
      </c>
      <c r="B8162" t="n" s="0">
        <f>(-5-((((-5*(-5/((-5/(((-5*(-18.39--5))-(-5+((-5*-18.39)*(((-5--5)+(-18.39--5))+-18.39))))-(-5+-5)))*-5)))/-5)--5)+(-5*(((-18.39*(-18.39-(-5/-5)))*(-18.39-(-18.39/(-5*-18.39))))-(-5/-5)))))</f>
        <v>-31845.317795000003</v>
      </c>
      <c r="C8162" t="n" s="0">
        <v>-31845.317795000003</v>
      </c>
    </row>
    <row r="8163">
      <c r="A8163" t="n" s="0">
        <v>-18.38</v>
      </c>
      <c r="B8163" t="n" s="0">
        <f>(-5-((((-5*(-5/((-5/(((-5*(-18.38--5))-(-5+((-5*-18.38)*(((-5--5)+(-18.38--5))+-18.38))))-(-5+-5)))*-5)))/-5)--5)+(-5*(((-18.38*(-18.38-(-5/-5)))*(-18.38-(-18.38/(-5*-18.38))))-(-5/-5)))))</f>
        <v>-31793.851160000002</v>
      </c>
      <c r="C8163" t="n" s="0">
        <v>-31793.851159999995</v>
      </c>
    </row>
    <row r="8164">
      <c r="A8164" t="n" s="0">
        <v>-18.37</v>
      </c>
      <c r="B8164" t="n" s="0">
        <f>(-5-((((-5*(-5/((-5/(((-5*(-18.37--5))-(-5+((-5*-18.37)*(((-5--5)+(-18.37--5))+-18.37))))-(-5+-5)))*-5)))/-5)--5)+(-5*(((-18.37*(-18.37-(-5/-5)))*(-18.37-(-18.37/(-5*-18.37))))-(-5/-5)))))</f>
        <v>-31742.440065000003</v>
      </c>
      <c r="C8164" t="n" s="0">
        <v>-31742.440065000003</v>
      </c>
    </row>
    <row r="8165">
      <c r="A8165" t="n" s="0">
        <v>-18.36</v>
      </c>
      <c r="B8165" t="n" s="0">
        <f>(-5-((((-5*(-5/((-5/(((-5*(-18.36--5))-(-5+((-5*-18.36)*(((-5--5)+(-18.36--5))+-18.36))))-(-5+-5)))*-5)))/-5)--5)+(-5*(((-18.36*(-18.36-(-5/-5)))*(-18.36-(-18.36/(-5*-18.36))))-(-5/-5)))))</f>
        <v>-31691.084480000005</v>
      </c>
      <c r="C8165" t="n" s="0">
        <v>-31691.084479999998</v>
      </c>
    </row>
    <row r="8166">
      <c r="A8166" t="n" s="0">
        <v>-18.35</v>
      </c>
      <c r="B8166" t="n" s="0">
        <f>(-5-((((-5*(-5/((-5/(((-5*(-18.35--5))-(-5+((-5*-18.35)*(((-5--5)+(-18.35--5))+-18.35))))-(-5+-5)))*-5)))/-5)--5)+(-5*(((-18.35*(-18.35-(-5/-5)))*(-18.35-(-18.35/(-5*-18.35))))-(-5/-5)))))</f>
        <v>-31639.784375000003</v>
      </c>
      <c r="C8166" t="n" s="0">
        <v>-31639.784375000007</v>
      </c>
    </row>
    <row r="8167">
      <c r="A8167" t="n" s="0">
        <v>-18.34</v>
      </c>
      <c r="B8167" t="n" s="0">
        <f>(-5-((((-5*(-5/((-5/(((-5*(-18.34--5))-(-5+((-5*-18.34)*(((-5--5)+(-18.34--5))+-18.34))))-(-5+-5)))*-5)))/-5)--5)+(-5*(((-18.34*(-18.34-(-5/-5)))*(-18.34-(-18.34/(-5*-18.34))))-(-5/-5)))))</f>
        <v>-31588.539720000004</v>
      </c>
      <c r="C8167" t="n" s="0">
        <v>-31588.53972</v>
      </c>
    </row>
    <row r="8168">
      <c r="A8168" t="n" s="0">
        <v>-18.33</v>
      </c>
      <c r="B8168" t="n" s="0">
        <f>(-5-((((-5*(-5/((-5/(((-5*(-18.33--5))-(-5+((-5*-18.33)*(((-5--5)+(-18.33--5))+-18.33))))-(-5+-5)))*-5)))/-5)--5)+(-5*(((-18.33*(-18.33-(-5/-5)))*(-18.33-(-18.33/(-5*-18.33))))-(-5/-5)))))</f>
        <v>-31537.350485</v>
      </c>
      <c r="C8168" t="n" s="0">
        <v>-31537.350484999995</v>
      </c>
    </row>
    <row r="8169">
      <c r="A8169" t="n" s="0">
        <v>-18.32</v>
      </c>
      <c r="B8169" t="n" s="0">
        <f>(-5-((((-5*(-5/((-5/(((-5*(-18.32--5))-(-5+((-5*-18.32)*(((-5--5)+(-18.32--5))+-18.32))))-(-5+-5)))*-5)))/-5)--5)+(-5*(((-18.32*(-18.32-(-5/-5)))*(-18.32-(-18.32/(-5*-18.32))))-(-5/-5)))))</f>
        <v>-31486.21664</v>
      </c>
      <c r="C8169" t="n" s="0">
        <v>-31486.21664</v>
      </c>
    </row>
    <row r="8170">
      <c r="A8170" t="n" s="0">
        <v>-18.31</v>
      </c>
      <c r="B8170" t="n" s="0">
        <f>(-5-((((-5*(-5/((-5/(((-5*(-18.31--5))-(-5+((-5*-18.31)*(((-5--5)+(-18.31--5))+-18.31))))-(-5+-5)))*-5)))/-5)--5)+(-5*(((-18.31*(-18.31-(-5/-5)))*(-18.31-(-18.31/(-5*-18.31))))-(-5/-5)))))</f>
        <v>-31435.138155</v>
      </c>
      <c r="C8170" t="n" s="0">
        <v>-31435.138154999997</v>
      </c>
    </row>
    <row r="8171">
      <c r="A8171" t="n" s="0">
        <v>-18.3</v>
      </c>
      <c r="B8171" t="n" s="0">
        <f>(-5-((((-5*(-5/((-5/(((-5*(-18.3--5))-(-5+((-5*-18.3)*(((-5--5)+(-18.3--5))+-18.3))))-(-5+-5)))*-5)))/-5)--5)+(-5*(((-18.3*(-18.3-(-5/-5)))*(-18.3-(-18.3/(-5*-18.3))))-(-5/-5)))))</f>
        <v>-31384.114999999998</v>
      </c>
      <c r="C8171" t="n" s="0">
        <v>-31384.115000000005</v>
      </c>
    </row>
    <row r="8172">
      <c r="A8172" t="n" s="0">
        <v>-18.29</v>
      </c>
      <c r="B8172" t="n" s="0">
        <f>(-5-((((-5*(-5/((-5/(((-5*(-18.29--5))-(-5+((-5*-18.29)*(((-5--5)+(-18.29--5))+-18.29))))-(-5+-5)))*-5)))/-5)--5)+(-5*(((-18.29*(-18.29-(-5/-5)))*(-18.29-(-18.29/(-5*-18.29))))-(-5/-5)))))</f>
        <v>-31333.147145000003</v>
      </c>
      <c r="C8172" t="n" s="0">
        <v>-31333.147144999995</v>
      </c>
    </row>
    <row r="8173">
      <c r="A8173" t="n" s="0">
        <v>-18.28</v>
      </c>
      <c r="B8173" t="n" s="0">
        <f>(-5-((((-5*(-5/((-5/(((-5*(-18.28--5))-(-5+((-5*-18.28)*(((-5--5)+(-18.28--5))+-18.28))))-(-5+-5)))*-5)))/-5)--5)+(-5*(((-18.28*(-18.28-(-5/-5)))*(-18.28-(-18.28/(-5*-18.28))))-(-5/-5)))))</f>
        <v>-31282.234559999997</v>
      </c>
      <c r="C8173" t="n" s="0">
        <v>-31282.234560000008</v>
      </c>
    </row>
    <row r="8174">
      <c r="A8174" t="n" s="0">
        <v>-18.27</v>
      </c>
      <c r="B8174" t="n" s="0">
        <f>(-5-((((-5*(-5/((-5/(((-5*(-18.27--5))-(-5+((-5*-18.27)*(((-5--5)+(-18.27--5))+-18.27))))-(-5+-5)))*-5)))/-5)--5)+(-5*(((-18.27*(-18.27-(-5/-5)))*(-18.27-(-18.27/(-5*-18.27))))-(-5/-5)))))</f>
        <v>-31231.377215</v>
      </c>
      <c r="C8174" t="n" s="0">
        <v>-31231.377214999997</v>
      </c>
    </row>
    <row r="8175">
      <c r="A8175" t="n" s="0">
        <v>-18.26</v>
      </c>
      <c r="B8175" t="n" s="0">
        <f>(-5-((((-5*(-5/((-5/(((-5*(-18.26--5))-(-5+((-5*-18.26)*(((-5--5)+(-18.26--5))+-18.26))))-(-5+-5)))*-5)))/-5)--5)+(-5*(((-18.26*(-18.26-(-5/-5)))*(-18.26-(-18.26/(-5*-18.26))))-(-5/-5)))))</f>
        <v>-31180.57508</v>
      </c>
      <c r="C8175" t="n" s="0">
        <v>-31180.57508000001</v>
      </c>
    </row>
    <row r="8176">
      <c r="A8176" t="n" s="0">
        <v>-18.25</v>
      </c>
      <c r="B8176" t="n" s="0">
        <f>(-5-((((-5*(-5/((-5/(((-5*(-18.25--5))-(-5+((-5*-18.25)*(((-5--5)+(-18.25--5))+-18.25))))-(-5+-5)))*-5)))/-5)--5)+(-5*(((-18.25*(-18.25-(-5/-5)))*(-18.25-(-18.25/(-5*-18.25))))-(-5/-5)))))</f>
        <v>-31129.828124999996</v>
      </c>
      <c r="C8176" t="n" s="0">
        <v>-31129.828125</v>
      </c>
    </row>
    <row r="8177">
      <c r="A8177" t="n" s="0">
        <v>-18.24</v>
      </c>
      <c r="B8177" t="n" s="0">
        <f>(-5-((((-5*(-5/((-5/(((-5*(-18.24--5))-(-5+((-5*-18.24)*(((-5--5)+(-18.24--5))+-18.24))))-(-5+-5)))*-5)))/-5)--5)+(-5*(((-18.24*(-18.24-(-5/-5)))*(-18.24-(-18.24/(-5*-18.24))))-(-5/-5)))))</f>
        <v>-31079.13632</v>
      </c>
      <c r="C8177" t="n" s="0">
        <v>-31079.13631999999</v>
      </c>
    </row>
    <row r="8178">
      <c r="A8178" t="n" s="0">
        <v>-18.23</v>
      </c>
      <c r="B8178" t="n" s="0">
        <f>(-5-((((-5*(-5/((-5/(((-5*(-18.23--5))-(-5+((-5*-18.23)*(((-5--5)+(-18.23--5))+-18.23))))-(-5+-5)))*-5)))/-5)--5)+(-5*(((-18.23*(-18.23-(-5/-5)))*(-18.23-(-18.23/(-5*-18.23))))-(-5/-5)))))</f>
        <v>-31028.499635</v>
      </c>
      <c r="C8178" t="n" s="0">
        <v>-31028.499635</v>
      </c>
    </row>
    <row r="8179">
      <c r="A8179" t="n" s="0">
        <v>-18.22</v>
      </c>
      <c r="B8179" t="n" s="0">
        <f>(-5-((((-5*(-5/((-5/(((-5*(-18.22--5))-(-5+((-5*-18.22)*(((-5--5)+(-18.22--5))+-18.22))))-(-5+-5)))*-5)))/-5)--5)+(-5*(((-18.22*(-18.22-(-5/-5)))*(-18.22-(-18.22/(-5*-18.22))))-(-5/-5)))))</f>
        <v>-30977.91804</v>
      </c>
      <c r="C8179" t="n" s="0">
        <v>-30977.918039999997</v>
      </c>
    </row>
    <row r="8180">
      <c r="A8180" t="n" s="0">
        <v>-18.21</v>
      </c>
      <c r="B8180" t="n" s="0">
        <f>(-5-((((-5*(-5/((-5/(((-5*(-18.21--5))-(-5+((-5*-18.21)*(((-5--5)+(-18.21--5))+-18.21))))-(-5+-5)))*-5)))/-5)--5)+(-5*(((-18.21*(-18.21-(-5/-5)))*(-18.21-(-18.21/(-5*-18.21))))-(-5/-5)))))</f>
        <v>-30927.391505</v>
      </c>
      <c r="C8180" t="n" s="0">
        <v>-30927.391505000007</v>
      </c>
    </row>
    <row r="8181">
      <c r="A8181" t="n" s="0">
        <v>-18.2</v>
      </c>
      <c r="B8181" t="n" s="0">
        <f>(-5-((((-5*(-5/((-5/(((-5*(-18.2--5))-(-5+((-5*-18.2)*(((-5--5)+(-18.2--5))+-18.2))))-(-5+-5)))*-5)))/-5)--5)+(-5*(((-18.2*(-18.2-(-5/-5)))*(-18.2-(-18.2/(-5*-18.2))))-(-5/-5)))))</f>
        <v>-30876.92</v>
      </c>
      <c r="C8181" t="n" s="0">
        <v>-30876.919999999995</v>
      </c>
    </row>
    <row r="8182">
      <c r="A8182" t="n" s="0">
        <v>-18.19</v>
      </c>
      <c r="B8182" t="n" s="0">
        <f>(-5-((((-5*(-5/((-5/(((-5*(-18.19--5))-(-5+((-5*-18.19)*(((-5--5)+(-18.19--5))+-18.19))))-(-5+-5)))*-5)))/-5)--5)+(-5*(((-18.19*(-18.19-(-5/-5)))*(-18.19-(-18.19/(-5*-18.19))))-(-5/-5)))))</f>
        <v>-30826.503495</v>
      </c>
      <c r="C8182" t="n" s="0">
        <v>-30826.503495000008</v>
      </c>
    </row>
    <row r="8183">
      <c r="A8183" t="n" s="0">
        <v>-18.18</v>
      </c>
      <c r="B8183" t="n" s="0">
        <f>(-5-((((-5*(-5/((-5/(((-5*(-18.18--5))-(-5+((-5*-18.18)*(((-5--5)+(-18.18--5))+-18.18))))-(-5+-5)))*-5)))/-5)--5)+(-5*(((-18.18*(-18.18-(-5/-5)))*(-18.18-(-18.18/(-5*-18.18))))-(-5/-5)))))</f>
        <v>-30776.141959999997</v>
      </c>
      <c r="C8183" t="n" s="0">
        <v>-30776.14196</v>
      </c>
    </row>
    <row r="8184">
      <c r="A8184" t="n" s="0">
        <v>-18.17</v>
      </c>
      <c r="B8184" t="n" s="0">
        <f>(-5-((((-5*(-5/((-5/(((-5*(-18.17--5))-(-5+((-5*-18.17)*(((-5--5)+(-18.17--5))+-18.17))))-(-5+-5)))*-5)))/-5)--5)+(-5*(((-18.17*(-18.17-(-5/-5)))*(-18.17-(-18.17/(-5*-18.17))))-(-5/-5)))))</f>
        <v>-30725.835365</v>
      </c>
      <c r="C8184" t="n" s="0">
        <v>-30725.83536500001</v>
      </c>
    </row>
    <row r="8185">
      <c r="A8185" t="n" s="0">
        <v>-18.16</v>
      </c>
      <c r="B8185" t="n" s="0">
        <f>(-5-((((-5*(-5/((-5/(((-5*(-18.16--5))-(-5+((-5*-18.16)*(((-5--5)+(-18.16--5))+-18.16))))-(-5+-5)))*-5)))/-5)--5)+(-5*(((-18.16*(-18.16-(-5/-5)))*(-18.16-(-18.16/(-5*-18.16))))-(-5/-5)))))</f>
        <v>-30675.58368</v>
      </c>
      <c r="C8185" t="n" s="0">
        <v>-30675.58368</v>
      </c>
    </row>
    <row r="8186">
      <c r="A8186" t="n" s="0">
        <v>-18.15</v>
      </c>
      <c r="B8186" t="n" s="0">
        <f>(-5-((((-5*(-5/((-5/(((-5*(-18.15--5))-(-5+((-5*-18.15)*(((-5--5)+(-18.15--5))+-18.15))))-(-5+-5)))*-5)))/-5)--5)+(-5*(((-18.15*(-18.15-(-5/-5)))*(-18.15-(-18.15/(-5*-18.15))))-(-5/-5)))))</f>
        <v>-30625.386875</v>
      </c>
      <c r="C8186" t="n" s="0">
        <v>-30625.386874999997</v>
      </c>
    </row>
    <row r="8187">
      <c r="A8187" t="n" s="0">
        <v>-18.14</v>
      </c>
      <c r="B8187" t="n" s="0">
        <f>(-5-((((-5*(-5/((-5/(((-5*(-18.14--5))-(-5+((-5*-18.14)*(((-5--5)+(-18.14--5))+-18.14))))-(-5+-5)))*-5)))/-5)--5)+(-5*(((-18.14*(-18.14-(-5/-5)))*(-18.14-(-18.14/(-5*-18.14))))-(-5/-5)))))</f>
        <v>-30575.24492</v>
      </c>
      <c r="C8187" t="n" s="0">
        <v>-30575.24492</v>
      </c>
    </row>
    <row r="8188">
      <c r="A8188" t="n" s="0">
        <v>-18.13</v>
      </c>
      <c r="B8188" t="n" s="0">
        <f>(-5-((((-5*(-5/((-5/(((-5*(-18.13--5))-(-5+((-5*-18.13)*(((-5--5)+(-18.13--5))+-18.13))))-(-5+-5)))*-5)))/-5)--5)+(-5*(((-18.13*(-18.13-(-5/-5)))*(-18.13-(-18.13/(-5*-18.13))))-(-5/-5)))))</f>
        <v>-30525.157785</v>
      </c>
      <c r="C8188" t="n" s="0">
        <v>-30525.157784999996</v>
      </c>
    </row>
    <row r="8189">
      <c r="A8189" t="n" s="0">
        <v>-18.12</v>
      </c>
      <c r="B8189" t="n" s="0">
        <f>(-5-((((-5*(-5/((-5/(((-5*(-18.12--5))-(-5+((-5*-18.12)*(((-5--5)+(-18.12--5))+-18.12))))-(-5+-5)))*-5)))/-5)--5)+(-5*(((-18.12*(-18.12-(-5/-5)))*(-18.12-(-18.12/(-5*-18.12))))-(-5/-5)))))</f>
        <v>-30475.125440000003</v>
      </c>
      <c r="C8189" t="n" s="0">
        <v>-30475.125440000003</v>
      </c>
    </row>
    <row r="8190">
      <c r="A8190" t="n" s="0">
        <v>-18.11</v>
      </c>
      <c r="B8190" t="n" s="0">
        <f>(-5-((((-5*(-5/((-5/(((-5*(-18.11--5))-(-5+((-5*-18.11)*(((-5--5)+(-18.11--5))+-18.11))))-(-5+-5)))*-5)))/-5)--5)+(-5*(((-18.11*(-18.11-(-5/-5)))*(-18.11-(-18.11/(-5*-18.11))))-(-5/-5)))))</f>
        <v>-30425.147855</v>
      </c>
      <c r="C8190" t="n" s="0">
        <v>-30425.147855000003</v>
      </c>
    </row>
    <row r="8191">
      <c r="A8191" t="n" s="0">
        <v>-18.1</v>
      </c>
      <c r="B8191" t="n" s="0">
        <f>(-5-((((-5*(-5/((-5/(((-5*(-18.1--5))-(-5+((-5*-18.1)*(((-5--5)+(-18.1--5))+-18.1))))-(-5+-5)))*-5)))/-5)--5)+(-5*(((-18.1*(-18.1-(-5/-5)))*(-18.1-(-18.1/(-5*-18.1))))-(-5/-5)))))</f>
        <v>-30375.225</v>
      </c>
      <c r="C8191" t="n" s="0">
        <v>-30375.22500000001</v>
      </c>
    </row>
    <row r="8192">
      <c r="A8192" t="n" s="0">
        <v>-18.09</v>
      </c>
      <c r="B8192" t="n" s="0">
        <f>(-5-((((-5*(-5/((-5/(((-5*(-18.09--5))-(-5+((-5*-18.09)*(((-5--5)+(-18.09--5))+-18.09))))-(-5+-5)))*-5)))/-5)--5)+(-5*(((-18.09*(-18.09-(-5/-5)))*(-18.09-(-18.09/(-5*-18.09))))-(-5/-5)))))</f>
        <v>-30325.356845</v>
      </c>
      <c r="C8192" t="n" s="0">
        <v>-30325.356845</v>
      </c>
    </row>
    <row r="8193">
      <c r="A8193" t="n" s="0">
        <v>-18.08</v>
      </c>
      <c r="B8193" t="n" s="0">
        <f>(-5-((((-5*(-5/((-5/(((-5*(-18.08--5))-(-5+((-5*-18.08)*(((-5--5)+(-18.08--5))+-18.08))))-(-5+-5)))*-5)))/-5)--5)+(-5*(((-18.08*(-18.08-(-5/-5)))*(-18.08-(-18.08/(-5*-18.08))))-(-5/-5)))))</f>
        <v>-30275.54336</v>
      </c>
      <c r="C8193" t="n" s="0">
        <v>-30275.543359999992</v>
      </c>
    </row>
    <row r="8194">
      <c r="A8194" t="n" s="0">
        <v>-18.07</v>
      </c>
      <c r="B8194" t="n" s="0">
        <f>(-5-((((-5*(-5/((-5/(((-5*(-18.07--5))-(-5+((-5*-18.07)*(((-5--5)+(-18.07--5))+-18.07))))-(-5+-5)))*-5)))/-5)--5)+(-5*(((-18.07*(-18.07-(-5/-5)))*(-18.07-(-18.07/(-5*-18.07))))-(-5/-5)))))</f>
        <v>-30225.784515</v>
      </c>
      <c r="C8194" t="n" s="0">
        <v>-30225.784515</v>
      </c>
    </row>
    <row r="8195">
      <c r="A8195" t="n" s="0">
        <v>-18.06</v>
      </c>
      <c r="B8195" t="n" s="0">
        <f>(-5-((((-5*(-5/((-5/(((-5*(-18.06--5))-(-5+((-5*-18.06)*(((-5--5)+(-18.06--5))+-18.06))))-(-5+-5)))*-5)))/-5)--5)+(-5*(((-18.06*(-18.06-(-5/-5)))*(-18.06-(-18.06/(-5*-18.06))))-(-5/-5)))))</f>
        <v>-30176.08028</v>
      </c>
      <c r="C8195" t="n" s="0">
        <v>-30176.080279999995</v>
      </c>
    </row>
    <row r="8196">
      <c r="A8196" t="n" s="0">
        <v>-18.05</v>
      </c>
      <c r="B8196" t="n" s="0">
        <f>(-5-((((-5*(-5/((-5/(((-5*(-18.05--5))-(-5+((-5*-18.05)*(((-5--5)+(-18.05--5))+-18.05))))-(-5+-5)))*-5)))/-5)--5)+(-5*(((-18.05*(-18.05-(-5/-5)))*(-18.05-(-18.05/(-5*-18.05))))-(-5/-5)))))</f>
        <v>-30126.430624999997</v>
      </c>
      <c r="C8196" t="n" s="0">
        <v>-30126.430625000005</v>
      </c>
    </row>
    <row r="8197">
      <c r="A8197" t="n" s="0">
        <v>-18.04</v>
      </c>
      <c r="B8197" t="n" s="0">
        <f>(-5-((((-5*(-5/((-5/(((-5*(-18.04--5))-(-5+((-5*-18.04)*(((-5--5)+(-18.04--5))+-18.04))))-(-5+-5)))*-5)))/-5)--5)+(-5*(((-18.04*(-18.04-(-5/-5)))*(-18.04-(-18.04/(-5*-18.04))))-(-5/-5)))))</f>
        <v>-30076.835520000004</v>
      </c>
      <c r="C8197" t="n" s="0">
        <v>-30076.835519999993</v>
      </c>
    </row>
    <row r="8198">
      <c r="A8198" t="n" s="0">
        <v>-18.03</v>
      </c>
      <c r="B8198" t="n" s="0">
        <f>(-5-((((-5*(-5/((-5/(((-5*(-18.03--5))-(-5+((-5*-18.03)*(((-5--5)+(-18.03--5))+-18.03))))-(-5+-5)))*-5)))/-5)--5)+(-5*(((-18.03*(-18.03-(-5/-5)))*(-18.03-(-18.03/(-5*-18.03))))-(-5/-5)))))</f>
        <v>-30027.294934999998</v>
      </c>
      <c r="C8198" t="n" s="0">
        <v>-30027.294935000005</v>
      </c>
    </row>
    <row r="8199">
      <c r="A8199" t="n" s="0">
        <v>-18.02</v>
      </c>
      <c r="B8199" t="n" s="0">
        <f>(-5-((((-5*(-5/((-5/(((-5*(-18.02--5))-(-5+((-5*-18.02)*(((-5--5)+(-18.02--5))+-18.02))))-(-5+-5)))*-5)))/-5)--5)+(-5*(((-18.02*(-18.02-(-5/-5)))*(-18.02-(-18.02/(-5*-18.02))))-(-5/-5)))))</f>
        <v>-29977.808839999998</v>
      </c>
      <c r="C8199" t="n" s="0">
        <v>-29977.808839999998</v>
      </c>
    </row>
    <row r="8200">
      <c r="A8200" t="n" s="0">
        <v>-18.01</v>
      </c>
      <c r="B8200" t="n" s="0">
        <f>(-5-((((-5*(-5/((-5/(((-5*(-18.01--5))-(-5+((-5*-18.01)*(((-5--5)+(-18.01--5))+-18.01))))-(-5+-5)))*-5)))/-5)--5)+(-5*(((-18.01*(-18.01-(-5/-5)))*(-18.01-(-18.01/(-5*-18.01))))-(-5/-5)))))</f>
        <v>-29928.377205</v>
      </c>
      <c r="C8200" t="n" s="0">
        <v>-29928.377205000008</v>
      </c>
    </row>
    <row r="8201">
      <c r="A8201" t="n" s="0">
        <v>-18.0</v>
      </c>
      <c r="B8201" t="n" s="0">
        <f>(-5-((((-5*(-5/((-5/(((-5*(-18--5))-(-5+((-5*-18)*(((-5--5)+(-18--5))+-18))))-(-5+-5)))*-5)))/-5)--5)+(-5*(((-18*(-18-(-5/-5)))*(-18-(-18/(-5*-18))))-(-5/-5)))))</f>
        <v>-29878.999999999996</v>
      </c>
      <c r="C8201" t="n" s="0">
        <v>-29879.0</v>
      </c>
    </row>
    <row r="8202">
      <c r="A8202" t="n" s="0">
        <v>-17.99</v>
      </c>
      <c r="B8202" t="n" s="0">
        <f>(-5-((((-5*(-5/((-5/(((-5*(-17.99--5))-(-5+((-5*-17.99)*(((-5--5)+(-17.99--5))+-17.99))))-(-5+-5)))*-5)))/-5)--5)+(-5*(((-17.99*(-17.99-(-5/-5)))*(-17.99-(-17.99/(-5*-17.99))))-(-5/-5)))))</f>
        <v>-29829.677195</v>
      </c>
      <c r="C8202" t="n" s="0">
        <v>-29829.677194999997</v>
      </c>
    </row>
    <row r="8203">
      <c r="A8203" t="n" s="0">
        <v>-17.98</v>
      </c>
      <c r="B8203" t="n" s="0">
        <f>(-5-((((-5*(-5/((-5/(((-5*(-17.98--5))-(-5+((-5*-17.98)*(((-5--5)+(-17.98--5))+-17.98))))-(-5+-5)))*-5)))/-5)--5)+(-5*(((-17.98*(-17.98-(-5/-5)))*(-17.98-(-17.98/(-5*-17.98))))-(-5/-5)))))</f>
        <v>-29780.40876</v>
      </c>
      <c r="C8203" t="n" s="0">
        <v>-29780.408760000002</v>
      </c>
    </row>
    <row r="8204">
      <c r="A8204" t="n" s="0">
        <v>-17.97</v>
      </c>
      <c r="B8204" t="n" s="0">
        <f>(-5-((((-5*(-5/((-5/(((-5*(-17.97--5))-(-5+((-5*-17.97)*(((-5--5)+(-17.97--5))+-17.97))))-(-5+-5)))*-5)))/-5)--5)+(-5*(((-17.97*(-17.97-(-5/-5)))*(-17.97-(-17.97/(-5*-17.97))))-(-5/-5)))))</f>
        <v>-29731.194665</v>
      </c>
      <c r="C8204" t="n" s="0">
        <v>-29731.194664999995</v>
      </c>
    </row>
    <row r="8205">
      <c r="A8205" t="n" s="0">
        <v>-17.96</v>
      </c>
      <c r="B8205" t="n" s="0">
        <f>(-5-((((-5*(-5/((-5/(((-5*(-17.96--5))-(-5+((-5*-17.96)*(((-5--5)+(-17.96--5))+-17.96))))-(-5+-5)))*-5)))/-5)--5)+(-5*(((-17.96*(-17.96-(-5/-5)))*(-17.96-(-17.96/(-5*-17.96))))-(-5/-5)))))</f>
        <v>-29682.03488</v>
      </c>
      <c r="C8205" t="n" s="0">
        <v>-29682.03488000001</v>
      </c>
    </row>
    <row r="8206">
      <c r="A8206" t="n" s="0">
        <v>-17.95</v>
      </c>
      <c r="B8206" t="n" s="0">
        <f>(-5-((((-5*(-5/((-5/(((-5*(-17.95--5))-(-5+((-5*-17.95)*(((-5--5)+(-17.95--5))+-17.95))))-(-5+-5)))*-5)))/-5)--5)+(-5*(((-17.95*(-17.95-(-5/-5)))*(-17.95-(-17.95/(-5*-17.95))))-(-5/-5)))))</f>
        <v>-29632.929375</v>
      </c>
      <c r="C8206" t="n" s="0">
        <v>-29632.929374999992</v>
      </c>
    </row>
    <row r="8207">
      <c r="A8207" t="n" s="0">
        <v>-17.94</v>
      </c>
      <c r="B8207" t="n" s="0">
        <f>(-5-((((-5*(-5/((-5/(((-5*(-17.94--5))-(-5+((-5*-17.94)*(((-5--5)+(-17.94--5))+-17.94))))-(-5+-5)))*-5)))/-5)--5)+(-5*(((-17.94*(-17.94-(-5/-5)))*(-17.94-(-17.94/(-5*-17.94))))-(-5/-5)))))</f>
        <v>-29583.87812</v>
      </c>
      <c r="C8207" t="n" s="0">
        <v>-29583.878120000005</v>
      </c>
    </row>
    <row r="8208">
      <c r="A8208" t="n" s="0">
        <v>-17.93</v>
      </c>
      <c r="B8208" t="n" s="0">
        <f>(-5-((((-5*(-5/((-5/(((-5*(-17.93--5))-(-5+((-5*-17.93)*(((-5--5)+(-17.93--5))+-17.93))))-(-5+-5)))*-5)))/-5)--5)+(-5*(((-17.93*(-17.93-(-5/-5)))*(-17.93-(-17.93/(-5*-17.93))))-(-5/-5)))))</f>
        <v>-29534.881085</v>
      </c>
      <c r="C8208" t="n" s="0">
        <v>-29534.881085</v>
      </c>
    </row>
    <row r="8209">
      <c r="A8209" t="n" s="0">
        <v>-17.92</v>
      </c>
      <c r="B8209" t="n" s="0">
        <f>(-5-((((-5*(-5/((-5/(((-5*(-17.92--5))-(-5+((-5*-17.92)*(((-5--5)+(-17.92--5))+-17.92))))-(-5+-5)))*-5)))/-5)--5)+(-5*(((-17.92*(-17.92-(-5/-5)))*(-17.92-(-17.92/(-5*-17.92))))-(-5/-5)))))</f>
        <v>-29485.93824</v>
      </c>
      <c r="C8209" t="n" s="0">
        <v>-29485.938240000003</v>
      </c>
    </row>
    <row r="8210">
      <c r="A8210" t="n" s="0">
        <v>-17.91</v>
      </c>
      <c r="B8210" t="n" s="0">
        <f>(-5-((((-5*(-5/((-5/(((-5*(-17.91--5))-(-5+((-5*-17.91)*(((-5--5)+(-17.91--5))+-17.91))))-(-5+-5)))*-5)))/-5)--5)+(-5*(((-17.91*(-17.91-(-5/-5)))*(-17.91-(-17.91/(-5*-17.91))))-(-5/-5)))))</f>
        <v>-29437.049555</v>
      </c>
      <c r="C8210" t="n" s="0">
        <v>-29437.049554999998</v>
      </c>
    </row>
    <row r="8211">
      <c r="A8211" t="n" s="0">
        <v>-17.9</v>
      </c>
      <c r="B8211" t="n" s="0">
        <f>(-5-((((-5*(-5/((-5/(((-5*(-17.9--5))-(-5+((-5*-17.9)*(((-5--5)+(-17.9--5))+-17.9))))-(-5+-5)))*-5)))/-5)--5)+(-5*(((-17.9*(-17.9-(-5/-5)))*(-17.9-(-17.9/(-5*-17.9))))-(-5/-5)))))</f>
        <v>-29388.215</v>
      </c>
      <c r="C8211" t="n" s="0">
        <v>-29388.214999999997</v>
      </c>
    </row>
    <row r="8212">
      <c r="A8212" t="n" s="0">
        <v>-17.89</v>
      </c>
      <c r="B8212" t="n" s="0">
        <f>(-5-((((-5*(-5/((-5/(((-5*(-17.89--5))-(-5+((-5*-17.89)*(((-5--5)+(-17.89--5))+-17.89))))-(-5+-5)))*-5)))/-5)--5)+(-5*(((-17.89*(-17.89-(-5/-5)))*(-17.89-(-17.89/(-5*-17.89))))-(-5/-5)))))</f>
        <v>-29339.434545</v>
      </c>
      <c r="C8212" t="n" s="0">
        <v>-29339.434545000004</v>
      </c>
    </row>
    <row r="8213">
      <c r="A8213" t="n" s="0">
        <v>-17.88</v>
      </c>
      <c r="B8213" t="n" s="0">
        <f>(-5-((((-5*(-5/((-5/(((-5*(-17.88--5))-(-5+((-5*-17.88)*(((-5--5)+(-17.88--5))+-17.88))))-(-5+-5)))*-5)))/-5)--5)+(-5*(((-17.88*(-17.88-(-5/-5)))*(-17.88-(-17.88/(-5*-17.88))))-(-5/-5)))))</f>
        <v>-29290.708159999995</v>
      </c>
      <c r="C8213" t="n" s="0">
        <v>-29290.708159999995</v>
      </c>
    </row>
    <row r="8214">
      <c r="A8214" t="n" s="0">
        <v>-17.87</v>
      </c>
      <c r="B8214" t="n" s="0">
        <f>(-5-((((-5*(-5/((-5/(((-5*(-17.87--5))-(-5+((-5*-17.87)*(((-5--5)+(-17.87--5))+-17.87))))-(-5+-5)))*-5)))/-5)--5)+(-5*(((-17.87*(-17.87-(-5/-5)))*(-17.87-(-17.87/(-5*-17.87))))-(-5/-5)))))</f>
        <v>-29242.035815</v>
      </c>
      <c r="C8214" t="n" s="0">
        <v>-29242.035815000007</v>
      </c>
    </row>
    <row r="8215">
      <c r="A8215" t="n" s="0">
        <v>-17.86</v>
      </c>
      <c r="B8215" t="n" s="0">
        <f>(-5-((((-5*(-5/((-5/(((-5*(-17.86--5))-(-5+((-5*-17.86)*(((-5--5)+(-17.86--5))+-17.86))))-(-5+-5)))*-5)))/-5)--5)+(-5*(((-17.86*(-17.86-(-5/-5)))*(-17.86-(-17.86/(-5*-17.86))))-(-5/-5)))))</f>
        <v>-29193.41748</v>
      </c>
      <c r="C8215" t="n" s="0">
        <v>-29193.41748</v>
      </c>
    </row>
    <row r="8216">
      <c r="A8216" t="n" s="0">
        <v>-17.85</v>
      </c>
      <c r="B8216" t="n" s="0">
        <f>(-5-((((-5*(-5/((-5/(((-5*(-17.85--5))-(-5+((-5*-17.85)*(((-5--5)+(-17.85--5))+-17.85))))-(-5+-5)))*-5)))/-5)--5)+(-5*(((-17.85*(-17.85-(-5/-5)))*(-17.85-(-17.85/(-5*-17.85))))-(-5/-5)))))</f>
        <v>-29144.853124999998</v>
      </c>
      <c r="C8216" t="n" s="0">
        <v>-29144.853125000005</v>
      </c>
    </row>
    <row r="8217">
      <c r="A8217" t="n" s="0">
        <v>-17.84</v>
      </c>
      <c r="B8217" t="n" s="0">
        <f>(-5-((((-5*(-5/((-5/(((-5*(-17.84--5))-(-5+((-5*-17.84)*(((-5--5)+(-17.84--5))+-17.84))))-(-5+-5)))*-5)))/-5)--5)+(-5*(((-17.84*(-17.84-(-5/-5)))*(-17.84-(-17.84/(-5*-17.84))))-(-5/-5)))))</f>
        <v>-29096.34272</v>
      </c>
      <c r="C8217" t="n" s="0">
        <v>-29096.342720000004</v>
      </c>
    </row>
    <row r="8218">
      <c r="A8218" t="n" s="0">
        <v>-17.83</v>
      </c>
      <c r="B8218" t="n" s="0">
        <f>(-5-((((-5*(-5/((-5/(((-5*(-17.83--5))-(-5+((-5*-17.83)*(((-5--5)+(-17.83--5))+-17.83))))-(-5+-5)))*-5)))/-5)--5)+(-5*(((-17.83*(-17.83-(-5/-5)))*(-17.83-(-17.83/(-5*-17.83))))-(-5/-5)))))</f>
        <v>-29047.886234999998</v>
      </c>
      <c r="C8218" t="n" s="0">
        <v>-29047.886234999994</v>
      </c>
    </row>
    <row r="8219">
      <c r="A8219" t="n" s="0">
        <v>-17.82</v>
      </c>
      <c r="B8219" t="n" s="0">
        <f>(-5-((((-5*(-5/((-5/(((-5*(-17.82--5))-(-5+((-5*-17.82)*(((-5--5)+(-17.82--5))+-17.82))))-(-5+-5)))*-5)))/-5)--5)+(-5*(((-17.82*(-17.82-(-5/-5)))*(-17.82-(-17.82/(-5*-17.82))))-(-5/-5)))))</f>
        <v>-28999.48364</v>
      </c>
      <c r="C8219" t="n" s="0">
        <v>-28999.483640000002</v>
      </c>
    </row>
    <row r="8220">
      <c r="A8220" t="n" s="0">
        <v>-17.81</v>
      </c>
      <c r="B8220" t="n" s="0">
        <f>(-5-((((-5*(-5/((-5/(((-5*(-17.81--5))-(-5+((-5*-17.81)*(((-5--5)+(-17.81--5))+-17.81))))-(-5+-5)))*-5)))/-5)--5)+(-5*(((-17.81*(-17.81-(-5/-5)))*(-17.81-(-17.81/(-5*-17.81))))-(-5/-5)))))</f>
        <v>-28951.134905</v>
      </c>
      <c r="C8220" t="n" s="0">
        <v>-28951.134904999995</v>
      </c>
    </row>
    <row r="8221">
      <c r="A8221" t="n" s="0">
        <v>-17.8</v>
      </c>
      <c r="B8221" t="n" s="0">
        <f>(-5-((((-5*(-5/((-5/(((-5*(-17.8--5))-(-5+((-5*-17.8)*(((-5--5)+(-17.8--5))+-17.8))))-(-5+-5)))*-5)))/-5)--5)+(-5*(((-17.8*(-17.8-(-5/-5)))*(-17.8-(-17.8/(-5*-17.8))))-(-5/-5)))))</f>
        <v>-28902.839999999997</v>
      </c>
      <c r="C8221" t="n" s="0">
        <v>-28902.840000000004</v>
      </c>
    </row>
    <row r="8222">
      <c r="A8222" t="n" s="0">
        <v>-17.79</v>
      </c>
      <c r="B8222" t="n" s="0">
        <f>(-5-((((-5*(-5/((-5/(((-5*(-17.79--5))-(-5+((-5*-17.79)*(((-5--5)+(-17.79--5))+-17.79))))-(-5+-5)))*-5)))/-5)--5)+(-5*(((-17.79*(-17.79-(-5/-5)))*(-17.79-(-17.79/(-5*-17.79))))-(-5/-5)))))</f>
        <v>-28854.598895</v>
      </c>
      <c r="C8222" t="n" s="0">
        <v>-28854.598894999996</v>
      </c>
    </row>
    <row r="8223">
      <c r="A8223" t="n" s="0">
        <v>-17.78</v>
      </c>
      <c r="B8223" t="n" s="0">
        <f>(-5-((((-5*(-5/((-5/(((-5*(-17.78--5))-(-5+((-5*-17.78)*(((-5--5)+(-17.78--5))+-17.78))))-(-5+-5)))*-5)))/-5)--5)+(-5*(((-17.78*(-17.78-(-5/-5)))*(-17.78-(-17.78/(-5*-17.78))))-(-5/-5)))))</f>
        <v>-28806.41156</v>
      </c>
      <c r="C8223" t="n" s="0">
        <v>-28806.411560000004</v>
      </c>
    </row>
    <row r="8224">
      <c r="A8224" t="n" s="0">
        <v>-17.77</v>
      </c>
      <c r="B8224" t="n" s="0">
        <f>(-5-((((-5*(-5/((-5/(((-5*(-17.77--5))-(-5+((-5*-17.77)*(((-5--5)+(-17.77--5))+-17.77))))-(-5+-5)))*-5)))/-5)--5)+(-5*(((-17.77*(-17.77-(-5/-5)))*(-17.77-(-17.77/(-5*-17.77))))-(-5/-5)))))</f>
        <v>-28758.277965</v>
      </c>
      <c r="C8224" t="n" s="0">
        <v>-28758.277965</v>
      </c>
    </row>
    <row r="8225">
      <c r="A8225" t="n" s="0">
        <v>-17.76</v>
      </c>
      <c r="B8225" t="n" s="0">
        <f>(-5-((((-5*(-5/((-5/(((-5*(-17.76--5))-(-5+((-5*-17.76)*(((-5--5)+(-17.76--5))+-17.76))))-(-5+-5)))*-5)))/-5)--5)+(-5*(((-17.76*(-17.76-(-5/-5)))*(-17.76-(-17.76/(-5*-17.76))))-(-5/-5)))))</f>
        <v>-28710.19808</v>
      </c>
      <c r="C8225" t="n" s="0">
        <v>-28710.198080000006</v>
      </c>
    </row>
    <row r="8226">
      <c r="A8226" t="n" s="0">
        <v>-17.75</v>
      </c>
      <c r="B8226" t="n" s="0">
        <f>(-5-((((-5*(-5/((-5/(((-5*(-17.75--5))-(-5+((-5*-17.75)*(((-5--5)+(-17.75--5))+-17.75))))-(-5+-5)))*-5)))/-5)--5)+(-5*(((-17.75*(-17.75-(-5/-5)))*(-17.75-(-17.75/(-5*-17.75))))-(-5/-5)))))</f>
        <v>-28662.171875</v>
      </c>
      <c r="C8226" t="n" s="0">
        <v>-28662.171875</v>
      </c>
    </row>
    <row r="8227">
      <c r="A8227" t="n" s="0">
        <v>-17.74</v>
      </c>
      <c r="B8227" t="n" s="0">
        <f>(-5-((((-5*(-5/((-5/(((-5*(-17.74--5))-(-5+((-5*-17.74)*(((-5--5)+(-17.74--5))+-17.74))))-(-5+-5)))*-5)))/-5)--5)+(-5*(((-17.74*(-17.74-(-5/-5)))*(-17.74-(-17.74/(-5*-17.74))))-(-5/-5)))))</f>
        <v>-28614.19932</v>
      </c>
      <c r="C8227" t="n" s="0">
        <v>-28614.199319999992</v>
      </c>
    </row>
    <row r="8228">
      <c r="A8228" t="n" s="0">
        <v>-17.73</v>
      </c>
      <c r="B8228" t="n" s="0">
        <f>(-5-((((-5*(-5/((-5/(((-5*(-17.73--5))-(-5+((-5*-17.73)*(((-5--5)+(-17.73--5))+-17.73))))-(-5+-5)))*-5)))/-5)--5)+(-5*(((-17.73*(-17.73-(-5/-5)))*(-17.73-(-17.73/(-5*-17.73))))-(-5/-5)))))</f>
        <v>-28566.280385</v>
      </c>
      <c r="C8228" t="n" s="0">
        <v>-28566.280385</v>
      </c>
    </row>
    <row r="8229">
      <c r="A8229" t="n" s="0">
        <v>-17.72</v>
      </c>
      <c r="B8229" t="n" s="0">
        <f>(-5-((((-5*(-5/((-5/(((-5*(-17.72--5))-(-5+((-5*-17.72)*(((-5--5)+(-17.72--5))+-17.72))))-(-5+-5)))*-5)))/-5)--5)+(-5*(((-17.72*(-17.72-(-5/-5)))*(-17.72-(-17.72/(-5*-17.72))))-(-5/-5)))))</f>
        <v>-28518.41504</v>
      </c>
      <c r="C8229" t="n" s="0">
        <v>-28518.415039999996</v>
      </c>
    </row>
    <row r="8230">
      <c r="A8230" t="n" s="0">
        <v>-17.71</v>
      </c>
      <c r="B8230" t="n" s="0">
        <f>(-5-((((-5*(-5/((-5/(((-5*(-17.71--5))-(-5+((-5*-17.71)*(((-5--5)+(-17.71--5))+-17.71))))-(-5+-5)))*-5)))/-5)--5)+(-5*(((-17.71*(-17.71-(-5/-5)))*(-17.71-(-17.71/(-5*-17.71))))-(-5/-5)))))</f>
        <v>-28470.603255</v>
      </c>
      <c r="C8230" t="n" s="0">
        <v>-28470.603255</v>
      </c>
    </row>
    <row r="8231">
      <c r="A8231" t="n" s="0">
        <v>-17.7</v>
      </c>
      <c r="B8231" t="n" s="0">
        <f>(-5-((((-5*(-5/((-5/(((-5*(-17.7--5))-(-5+((-5*-17.7)*(((-5--5)+(-17.7--5))+-17.7))))-(-5+-5)))*-5)))/-5)--5)+(-5*(((-17.7*(-17.7-(-5/-5)))*(-17.7-(-17.7/(-5*-17.7))))-(-5/-5)))))</f>
        <v>-28422.845</v>
      </c>
      <c r="C8231" t="n" s="0">
        <v>-28422.844999999994</v>
      </c>
    </row>
    <row r="8232">
      <c r="A8232" t="n" s="0">
        <v>-17.69</v>
      </c>
      <c r="B8232" t="n" s="0">
        <f>(-5-((((-5*(-5/((-5/(((-5*(-17.69--5))-(-5+((-5*-17.69)*(((-5--5)+(-17.69--5))+-17.69))))-(-5+-5)))*-5)))/-5)--5)+(-5*(((-17.69*(-17.69-(-5/-5)))*(-17.69-(-17.69/(-5*-17.69))))-(-5/-5)))))</f>
        <v>-28375.140245</v>
      </c>
      <c r="C8232" t="n" s="0">
        <v>-28375.14024500001</v>
      </c>
    </row>
    <row r="8233">
      <c r="A8233" t="n" s="0">
        <v>-17.68</v>
      </c>
      <c r="B8233" t="n" s="0">
        <f>(-5-((((-5*(-5/((-5/(((-5*(-17.68--5))-(-5+((-5*-17.68)*(((-5--5)+(-17.68--5))+-17.68))))-(-5+-5)))*-5)))/-5)--5)+(-5*(((-17.68*(-17.68-(-5/-5)))*(-17.68-(-17.68/(-5*-17.68))))-(-5/-5)))))</f>
        <v>-28327.48896</v>
      </c>
      <c r="C8233" t="n" s="0">
        <v>-28327.48896</v>
      </c>
    </row>
    <row r="8234">
      <c r="A8234" t="n" s="0">
        <v>-17.67</v>
      </c>
      <c r="B8234" t="n" s="0">
        <f>(-5-((((-5*(-5/((-5/(((-5*(-17.67--5))-(-5+((-5*-17.67)*(((-5--5)+(-17.67--5))+-17.67))))-(-5+-5)))*-5)))/-5)--5)+(-5*(((-17.67*(-17.67-(-5/-5)))*(-17.67-(-17.67/(-5*-17.67))))-(-5/-5)))))</f>
        <v>-28279.891115</v>
      </c>
      <c r="C8234" t="n" s="0">
        <v>-28279.891115000006</v>
      </c>
    </row>
    <row r="8235">
      <c r="A8235" t="n" s="0">
        <v>-17.66</v>
      </c>
      <c r="B8235" t="n" s="0">
        <f>(-5-((((-5*(-5/((-5/(((-5*(-17.66--5))-(-5+((-5*-17.66)*(((-5--5)+(-17.66--5))+-17.66))))-(-5+-5)))*-5)))/-5)--5)+(-5*(((-17.66*(-17.66-(-5/-5)))*(-17.66-(-17.66/(-5*-17.66))))-(-5/-5)))))</f>
        <v>-28232.34668</v>
      </c>
      <c r="C8235" t="n" s="0">
        <v>-28232.34668</v>
      </c>
    </row>
    <row r="8236">
      <c r="A8236" t="n" s="0">
        <v>-17.65</v>
      </c>
      <c r="B8236" t="n" s="0">
        <f>(-5-((((-5*(-5/((-5/(((-5*(-17.65--5))-(-5+((-5*-17.65)*(((-5--5)+(-17.65--5))+-17.65))))-(-5+-5)))*-5)))/-5)--5)+(-5*(((-17.65*(-17.65-(-5/-5)))*(-17.65-(-17.65/(-5*-17.65))))-(-5/-5)))))</f>
        <v>-28184.855625</v>
      </c>
      <c r="C8236" t="n" s="0">
        <v>-28184.855624999993</v>
      </c>
    </row>
    <row r="8237">
      <c r="A8237" t="n" s="0">
        <v>-17.64</v>
      </c>
      <c r="B8237" t="n" s="0">
        <f>(-5-((((-5*(-5/((-5/(((-5*(-17.64--5))-(-5+((-5*-17.64)*(((-5--5)+(-17.64--5))+-17.64))))-(-5+-5)))*-5)))/-5)--5)+(-5*(((-17.64*(-17.64-(-5/-5)))*(-17.64-(-17.64/(-5*-17.64))))-(-5/-5)))))</f>
        <v>-28137.41792</v>
      </c>
      <c r="C8237" t="n" s="0">
        <v>-28137.41792</v>
      </c>
    </row>
    <row r="8238">
      <c r="A8238" t="n" s="0">
        <v>-17.63</v>
      </c>
      <c r="B8238" t="n" s="0">
        <f>(-5-((((-5*(-5/((-5/(((-5*(-17.63--5))-(-5+((-5*-17.63)*(((-5--5)+(-17.63--5))+-17.63))))-(-5+-5)))*-5)))/-5)--5)+(-5*(((-17.63*(-17.63-(-5/-5)))*(-17.63-(-17.63/(-5*-17.63))))-(-5/-5)))))</f>
        <v>-28090.033535000002</v>
      </c>
      <c r="C8238" t="n" s="0">
        <v>-28090.03353499999</v>
      </c>
    </row>
    <row r="8239">
      <c r="A8239" t="n" s="0">
        <v>-17.62</v>
      </c>
      <c r="B8239" t="n" s="0">
        <f>(-5-((((-5*(-5/((-5/(((-5*(-17.62--5))-(-5+((-5*-17.62)*(((-5--5)+(-17.62--5))+-17.62))))-(-5+-5)))*-5)))/-5)--5)+(-5*(((-17.62*(-17.62-(-5/-5)))*(-17.62-(-17.62/(-5*-17.62))))-(-5/-5)))))</f>
        <v>-28042.70244</v>
      </c>
      <c r="C8239" t="n" s="0">
        <v>-28042.702440000005</v>
      </c>
    </row>
    <row r="8240">
      <c r="A8240" t="n" s="0">
        <v>-17.61</v>
      </c>
      <c r="B8240" t="n" s="0">
        <f>(-5-((((-5*(-5/((-5/(((-5*(-17.61--5))-(-5+((-5*-17.61)*(((-5--5)+(-17.61--5))+-17.61))))-(-5+-5)))*-5)))/-5)--5)+(-5*(((-17.61*(-17.61-(-5/-5)))*(-17.61-(-17.61/(-5*-17.61))))-(-5/-5)))))</f>
        <v>-27995.424605</v>
      </c>
      <c r="C8240" t="n" s="0">
        <v>-27995.424605</v>
      </c>
    </row>
    <row r="8241">
      <c r="A8241" t="n" s="0">
        <v>-17.6</v>
      </c>
      <c r="B8241" t="n" s="0">
        <f>(-5-((((-5*(-5/((-5/(((-5*(-17.6--5))-(-5+((-5*-17.6)*(((-5--5)+(-17.6--5))+-17.6))))-(-5+-5)))*-5)))/-5)--5)+(-5*(((-17.6*(-17.6-(-5/-5)))*(-17.6-(-17.6/(-5*-17.6))))-(-5/-5)))))</f>
        <v>-27948.2</v>
      </c>
      <c r="C8241" t="n" s="0">
        <v>-27948.200000000008</v>
      </c>
    </row>
    <row r="8242">
      <c r="A8242" t="n" s="0">
        <v>-17.59</v>
      </c>
      <c r="B8242" t="n" s="0">
        <f>(-5-((((-5*(-5/((-5/(((-5*(-17.59--5))-(-5+((-5*-17.59)*(((-5--5)+(-17.59--5))+-17.59))))-(-5+-5)))*-5)))/-5)--5)+(-5*(((-17.59*(-17.59-(-5/-5)))*(-17.59-(-17.59/(-5*-17.59))))-(-5/-5)))))</f>
        <v>-27901.028595</v>
      </c>
      <c r="C8242" t="n" s="0">
        <v>-27901.028595</v>
      </c>
    </row>
    <row r="8243">
      <c r="A8243" t="n" s="0">
        <v>-17.58</v>
      </c>
      <c r="B8243" t="n" s="0">
        <f>(-5-((((-5*(-5/((-5/(((-5*(-17.58--5))-(-5+((-5*-17.58)*(((-5--5)+(-17.58--5))+-17.58))))-(-5+-5)))*-5)))/-5)--5)+(-5*(((-17.58*(-17.58-(-5/-5)))*(-17.58-(-17.58/(-5*-17.58))))-(-5/-5)))))</f>
        <v>-27853.91036</v>
      </c>
      <c r="C8243" t="n" s="0">
        <v>-27853.91035999999</v>
      </c>
    </row>
    <row r="8244">
      <c r="A8244" t="n" s="0">
        <v>-17.57</v>
      </c>
      <c r="B8244" t="n" s="0">
        <f>(-5-((((-5*(-5/((-5/(((-5*(-17.57--5))-(-5+((-5*-17.57)*(((-5--5)+(-17.57--5))+-17.57))))-(-5+-5)))*-5)))/-5)--5)+(-5*(((-17.57*(-17.57-(-5/-5)))*(-17.57-(-17.57/(-5*-17.57))))-(-5/-5)))))</f>
        <v>-27806.845265</v>
      </c>
      <c r="C8244" t="n" s="0">
        <v>-27806.845265000004</v>
      </c>
    </row>
    <row r="8245">
      <c r="A8245" t="n" s="0">
        <v>-17.56</v>
      </c>
      <c r="B8245" t="n" s="0">
        <f>(-5-((((-5*(-5/((-5/(((-5*(-17.56--5))-(-5+((-5*-17.56)*(((-5--5)+(-17.56--5))+-17.56))))-(-5+-5)))*-5)))/-5)--5)+(-5*(((-17.56*(-17.56-(-5/-5)))*(-17.56-(-17.56/(-5*-17.56))))-(-5/-5)))))</f>
        <v>-27759.833280000003</v>
      </c>
      <c r="C8245" t="n" s="0">
        <v>-27759.833279999995</v>
      </c>
    </row>
    <row r="8246">
      <c r="A8246" t="n" s="0">
        <v>-17.55</v>
      </c>
      <c r="B8246" t="n" s="0">
        <f>(-5-((((-5*(-5/((-5/(((-5*(-17.55--5))-(-5+((-5*-17.55)*(((-5--5)+(-17.55--5))+-17.55))))-(-5+-5)))*-5)))/-5)--5)+(-5*(((-17.55*(-17.55-(-5/-5)))*(-17.55-(-17.55/(-5*-17.55))))-(-5/-5)))))</f>
        <v>-27712.874375</v>
      </c>
      <c r="C8246" t="n" s="0">
        <v>-27712.874375000007</v>
      </c>
    </row>
    <row r="8247">
      <c r="A8247" t="n" s="0">
        <v>-17.54</v>
      </c>
      <c r="B8247" t="n" s="0">
        <f>(-5-((((-5*(-5/((-5/(((-5*(-17.54--5))-(-5+((-5*-17.54)*(((-5--5)+(-17.54--5))+-17.54))))-(-5+-5)))*-5)))/-5)--5)+(-5*(((-17.54*(-17.54-(-5/-5)))*(-17.54-(-17.54/(-5*-17.54))))-(-5/-5)))))</f>
        <v>-27665.968520000002</v>
      </c>
      <c r="C8247" t="n" s="0">
        <v>-27665.96851999999</v>
      </c>
    </row>
    <row r="8248">
      <c r="A8248" t="n" s="0">
        <v>-17.53</v>
      </c>
      <c r="B8248" t="n" s="0">
        <f>(-5-((((-5*(-5/((-5/(((-5*(-17.53--5))-(-5+((-5*-17.53)*(((-5--5)+(-17.53--5))+-17.53))))-(-5+-5)))*-5)))/-5)--5)+(-5*(((-17.53*(-17.53-(-5/-5)))*(-17.53-(-17.53/(-5*-17.53))))-(-5/-5)))))</f>
        <v>-27619.115684999997</v>
      </c>
      <c r="C8248" t="n" s="0">
        <v>-27619.115685000008</v>
      </c>
    </row>
    <row r="8249">
      <c r="A8249" t="n" s="0">
        <v>-17.52</v>
      </c>
      <c r="B8249" t="n" s="0">
        <f>(-5-((((-5*(-5/((-5/(((-5*(-17.52--5))-(-5+((-5*-17.52)*(((-5--5)+(-17.52--5))+-17.52))))-(-5+-5)))*-5)))/-5)--5)+(-5*(((-17.52*(-17.52-(-5/-5)))*(-17.52-(-17.52/(-5*-17.52))))-(-5/-5)))))</f>
        <v>-27572.31584</v>
      </c>
      <c r="C8249" t="n" s="0">
        <v>-27572.31584</v>
      </c>
    </row>
    <row r="8250">
      <c r="A8250" t="n" s="0">
        <v>-17.51</v>
      </c>
      <c r="B8250" t="n" s="0">
        <f>(-5-((((-5*(-5/((-5/(((-5*(-17.51--5))-(-5+((-5*-17.51)*(((-5--5)+(-17.51--5))+-17.51))))-(-5+-5)))*-5)))/-5)--5)+(-5*(((-17.51*(-17.51-(-5/-5)))*(-17.51-(-17.51/(-5*-17.51))))-(-5/-5)))))</f>
        <v>-27525.568955000002</v>
      </c>
      <c r="C8250" t="n" s="0">
        <v>-27525.568955000006</v>
      </c>
    </row>
    <row r="8251">
      <c r="A8251" t="n" s="0">
        <v>-17.5</v>
      </c>
      <c r="B8251" t="n" s="0">
        <f>(-5-((((-5*(-5/((-5/(((-5*(-17.5--5))-(-5+((-5*-17.5)*(((-5--5)+(-17.5--5))+-17.5))))-(-5+-5)))*-5)))/-5)--5)+(-5*(((-17.5*(-17.5-(-5/-5)))*(-17.5-(-17.5/(-5*-17.5))))-(-5/-5)))))</f>
        <v>-27478.875</v>
      </c>
      <c r="C8251" t="n" s="0">
        <v>-27478.875</v>
      </c>
    </row>
    <row r="8252">
      <c r="A8252" t="n" s="0">
        <v>-17.49</v>
      </c>
      <c r="B8252" t="n" s="0">
        <f>(-5-((((-5*(-5/((-5/(((-5*(-17.49--5))-(-5+((-5*-17.49)*(((-5--5)+(-17.49--5))+-17.49))))-(-5+-5)))*-5)))/-5)--5)+(-5*(((-17.49*(-17.49-(-5/-5)))*(-17.49-(-17.49/(-5*-17.49))))-(-5/-5)))))</f>
        <v>-27432.233945</v>
      </c>
      <c r="C8252" t="n" s="0">
        <v>-27432.233944999996</v>
      </c>
    </row>
    <row r="8253">
      <c r="A8253" t="n" s="0">
        <v>-17.48</v>
      </c>
      <c r="B8253" t="n" s="0">
        <f>(-5-((((-5*(-5/((-5/(((-5*(-17.48--5))-(-5+((-5*-17.48)*(((-5--5)+(-17.48--5))+-17.48))))-(-5+-5)))*-5)))/-5)--5)+(-5*(((-17.48*(-17.48-(-5/-5)))*(-17.48-(-17.48/(-5*-17.48))))-(-5/-5)))))</f>
        <v>-27385.645760000003</v>
      </c>
      <c r="C8253" t="n" s="0">
        <v>-27385.645760000003</v>
      </c>
    </row>
    <row r="8254">
      <c r="A8254" t="n" s="0">
        <v>-17.47</v>
      </c>
      <c r="B8254" t="n" s="0">
        <f>(-5-((((-5*(-5/((-5/(((-5*(-17.47--5))-(-5+((-5*-17.47)*(((-5--5)+(-17.47--5))+-17.47))))-(-5+-5)))*-5)))/-5)--5)+(-5*(((-17.47*(-17.47-(-5/-5)))*(-17.47-(-17.47/(-5*-17.47))))-(-5/-5)))))</f>
        <v>-27339.110415000003</v>
      </c>
      <c r="C8254" t="n" s="0">
        <v>-27339.110414999992</v>
      </c>
    </row>
    <row r="8255">
      <c r="A8255" t="n" s="0">
        <v>-17.46</v>
      </c>
      <c r="B8255" t="n" s="0">
        <f>(-5-((((-5*(-5/((-5/(((-5*(-17.46--5))-(-5+((-5*-17.46)*(((-5--5)+(-17.46--5))+-17.46))))-(-5+-5)))*-5)))/-5)--5)+(-5*(((-17.46*(-17.46-(-5/-5)))*(-17.46-(-17.46/(-5*-17.46))))-(-5/-5)))))</f>
        <v>-27292.62788</v>
      </c>
      <c r="C8255" t="n" s="0">
        <v>-27292.627880000007</v>
      </c>
    </row>
    <row r="8256">
      <c r="A8256" t="n" s="0">
        <v>-17.45</v>
      </c>
      <c r="B8256" t="n" s="0">
        <f>(-5-((((-5*(-5/((-5/(((-5*(-17.45--5))-(-5+((-5*-17.45)*(((-5--5)+(-17.45--5))+-17.45))))-(-5+-5)))*-5)))/-5)--5)+(-5*(((-17.45*(-17.45-(-5/-5)))*(-17.45-(-17.45/(-5*-17.45))))-(-5/-5)))))</f>
        <v>-27246.198125</v>
      </c>
      <c r="C8256" t="n" s="0">
        <v>-27246.198124999995</v>
      </c>
    </row>
    <row r="8257">
      <c r="A8257" t="n" s="0">
        <v>-17.44</v>
      </c>
      <c r="B8257" t="n" s="0">
        <f>(-5-((((-5*(-5/((-5/(((-5*(-17.44--5))-(-5+((-5*-17.44)*(((-5--5)+(-17.44--5))+-17.44))))-(-5+-5)))*-5)))/-5)--5)+(-5*(((-17.44*(-17.44-(-5/-5)))*(-17.44-(-17.44/(-5*-17.44))))-(-5/-5)))))</f>
        <v>-27199.821120000004</v>
      </c>
      <c r="C8257" t="n" s="0">
        <v>-27199.821120000004</v>
      </c>
    </row>
    <row r="8258">
      <c r="A8258" t="n" s="0">
        <v>-17.43</v>
      </c>
      <c r="B8258" t="n" s="0">
        <f>(-5-((((-5*(-5/((-5/(((-5*(-17.43--5))-(-5+((-5*-17.43)*(((-5--5)+(-17.43--5))+-17.43))))-(-5+-5)))*-5)))/-5)--5)+(-5*(((-17.43*(-17.43-(-5/-5)))*(-17.43-(-17.43/(-5*-17.43))))-(-5/-5)))))</f>
        <v>-27153.496834999998</v>
      </c>
      <c r="C8258" t="n" s="0">
        <v>-27153.496834999998</v>
      </c>
    </row>
    <row r="8259">
      <c r="A8259" t="n" s="0">
        <v>-17.42</v>
      </c>
      <c r="B8259" t="n" s="0">
        <f>(-5-((((-5*(-5/((-5/(((-5*(-17.42--5))-(-5+((-5*-17.42)*(((-5--5)+(-17.42--5))+-17.42))))-(-5+-5)))*-5)))/-5)--5)+(-5*(((-17.42*(-17.42-(-5/-5)))*(-17.42-(-17.42/(-5*-17.42))))-(-5/-5)))))</f>
        <v>-27107.22524</v>
      </c>
      <c r="C8259" t="n" s="0">
        <v>-27107.225240000007</v>
      </c>
    </row>
    <row r="8260">
      <c r="A8260" t="n" s="0">
        <v>-17.41</v>
      </c>
      <c r="B8260" t="n" s="0">
        <f>(-5-((((-5*(-5/((-5/(((-5*(-17.41--5))-(-5+((-5*-17.41)*(((-5--5)+(-17.41--5))+-17.41))))-(-5+-5)))*-5)))/-5)--5)+(-5*(((-17.41*(-17.41-(-5/-5)))*(-17.41-(-17.41/(-5*-17.41))))-(-5/-5)))))</f>
        <v>-27061.006305</v>
      </c>
      <c r="C8260" t="n" s="0">
        <v>-27061.006305</v>
      </c>
    </row>
    <row r="8261">
      <c r="A8261" t="n" s="0">
        <v>-17.4</v>
      </c>
      <c r="B8261" t="n" s="0">
        <f>(-5-((((-5*(-5/((-5/(((-5*(-17.4--5))-(-5+((-5*-17.4)*(((-5--5)+(-17.4--5))+-17.4))))-(-5+-5)))*-5)))/-5)--5)+(-5*(((-17.4*(-17.4-(-5/-5)))*(-17.4-(-17.4/(-5*-17.4))))-(-5/-5)))))</f>
        <v>-27014.84</v>
      </c>
      <c r="C8261" t="n" s="0">
        <v>-27014.839999999993</v>
      </c>
    </row>
    <row r="8262">
      <c r="A8262" t="n" s="0">
        <v>-17.39</v>
      </c>
      <c r="B8262" t="n" s="0">
        <f>(-5-((((-5*(-5/((-5/(((-5*(-17.39--5))-(-5+((-5*-17.39)*(((-5--5)+(-17.39--5))+-17.39))))-(-5+-5)))*-5)))/-5)--5)+(-5*(((-17.39*(-17.39-(-5/-5)))*(-17.39-(-17.39/(-5*-17.39))))-(-5/-5)))))</f>
        <v>-26968.726295</v>
      </c>
      <c r="C8262" t="n" s="0">
        <v>-26968.726295</v>
      </c>
    </row>
    <row r="8263">
      <c r="A8263" t="n" s="0">
        <v>-17.38</v>
      </c>
      <c r="B8263" t="n" s="0">
        <f>(-5-((((-5*(-5/((-5/(((-5*(-17.38--5))-(-5+((-5*-17.38)*(((-5--5)+(-17.38--5))+-17.38))))-(-5+-5)))*-5)))/-5)--5)+(-5*(((-17.38*(-17.38-(-5/-5)))*(-17.38-(-17.38/(-5*-17.38))))-(-5/-5)))))</f>
        <v>-26922.665159999997</v>
      </c>
      <c r="C8263" t="n" s="0">
        <v>-26922.665159999993</v>
      </c>
    </row>
    <row r="8264">
      <c r="A8264" t="n" s="0">
        <v>-17.37</v>
      </c>
      <c r="B8264" t="n" s="0">
        <f>(-5-((((-5*(-5/((-5/(((-5*(-17.37--5))-(-5+((-5*-17.37)*(((-5--5)+(-17.37--5))+-17.37))))-(-5+-5)))*-5)))/-5)--5)+(-5*(((-17.37*(-17.37-(-5/-5)))*(-17.37-(-17.37/(-5*-17.37))))-(-5/-5)))))</f>
        <v>-26876.656565</v>
      </c>
      <c r="C8264" t="n" s="0">
        <v>-26876.656565000005</v>
      </c>
    </row>
    <row r="8265">
      <c r="A8265" t="n" s="0">
        <v>-17.36</v>
      </c>
      <c r="B8265" t="n" s="0">
        <f>(-5-((((-5*(-5/((-5/(((-5*(-17.36--5))-(-5+((-5*-17.36)*(((-5--5)+(-17.36--5))+-17.36))))-(-5+-5)))*-5)))/-5)--5)+(-5*(((-17.36*(-17.36-(-5/-5)))*(-17.36-(-17.36/(-5*-17.36))))-(-5/-5)))))</f>
        <v>-26830.70048</v>
      </c>
      <c r="C8265" t="n" s="0">
        <v>-26830.700479999996</v>
      </c>
    </row>
    <row r="8266">
      <c r="A8266" t="n" s="0">
        <v>-17.35</v>
      </c>
      <c r="B8266" t="n" s="0">
        <f>(-5-((((-5*(-5/((-5/(((-5*(-17.35--5))-(-5+((-5*-17.35)*(((-5--5)+(-17.35--5))+-17.35))))-(-5+-5)))*-5)))/-5)--5)+(-5*(((-17.35*(-17.35-(-5/-5)))*(-17.35-(-17.35/(-5*-17.35))))-(-5/-5)))))</f>
        <v>-26784.796875000004</v>
      </c>
      <c r="C8266" t="n" s="0">
        <v>-26784.796875000004</v>
      </c>
    </row>
    <row r="8267">
      <c r="A8267" t="n" s="0">
        <v>-17.34</v>
      </c>
      <c r="B8267" t="n" s="0">
        <f>(-5-((((-5*(-5/((-5/(((-5*(-17.34--5))-(-5+((-5*-17.34)*(((-5--5)+(-17.34--5))+-17.34))))-(-5+-5)))*-5)))/-5)--5)+(-5*(((-17.34*(-17.34-(-5/-5)))*(-17.34-(-17.34/(-5*-17.34))))-(-5/-5)))))</f>
        <v>-26738.94572</v>
      </c>
      <c r="C8267" t="n" s="0">
        <v>-26738.94572</v>
      </c>
    </row>
    <row r="8268">
      <c r="A8268" t="n" s="0">
        <v>-17.33</v>
      </c>
      <c r="B8268" t="n" s="0">
        <f>(-5-((((-5*(-5/((-5/(((-5*(-17.33--5))-(-5+((-5*-17.33)*(((-5--5)+(-17.33--5))+-17.33))))-(-5+-5)))*-5)))/-5)--5)+(-5*(((-17.33*(-17.33-(-5/-5)))*(-17.33-(-17.33/(-5*-17.33))))-(-5/-5)))))</f>
        <v>-26693.146985</v>
      </c>
      <c r="C8268" t="n" s="0">
        <v>-26693.146984999996</v>
      </c>
    </row>
    <row r="8269">
      <c r="A8269" t="n" s="0">
        <v>-17.32</v>
      </c>
      <c r="B8269" t="n" s="0">
        <f>(-5-((((-5*(-5/((-5/(((-5*(-17.32--5))-(-5+((-5*-17.32)*(((-5--5)+(-17.32--5))+-17.32))))-(-5+-5)))*-5)))/-5)--5)+(-5*(((-17.32*(-17.32-(-5/-5)))*(-17.32-(-17.32/(-5*-17.32))))-(-5/-5)))))</f>
        <v>-26647.40064</v>
      </c>
      <c r="C8269" t="n" s="0">
        <v>-26647.40064</v>
      </c>
    </row>
    <row r="8270">
      <c r="A8270" t="n" s="0">
        <v>-17.31</v>
      </c>
      <c r="B8270" t="n" s="0">
        <f>(-5-((((-5*(-5/((-5/(((-5*(-17.31--5))-(-5+((-5*-17.31)*(((-5--5)+(-17.31--5))+-17.31))))-(-5+-5)))*-5)))/-5)--5)+(-5*(((-17.31*(-17.31-(-5/-5)))*(-17.31-(-17.31/(-5*-17.31))))-(-5/-5)))))</f>
        <v>-26601.706654999998</v>
      </c>
      <c r="C8270" t="n" s="0">
        <v>-26601.706654999994</v>
      </c>
    </row>
    <row r="8271">
      <c r="A8271" t="n" s="0">
        <v>-17.3</v>
      </c>
      <c r="B8271" t="n" s="0">
        <f>(-5-((((-5*(-5/((-5/(((-5*(-17.3--5))-(-5+((-5*-17.3)*(((-5--5)+(-17.3--5))+-17.3))))-(-5+-5)))*-5)))/-5)--5)+(-5*(((-17.3*(-17.3-(-5/-5)))*(-17.3-(-17.3/(-5*-17.3))))-(-5/-5)))))</f>
        <v>-26556.065</v>
      </c>
      <c r="C8271" t="n" s="0">
        <v>-26556.065000000006</v>
      </c>
    </row>
    <row r="8272">
      <c r="A8272" t="n" s="0">
        <v>-17.29</v>
      </c>
      <c r="B8272" t="n" s="0">
        <f>(-5-((((-5*(-5/((-5/(((-5*(-17.29--5))-(-5+((-5*-17.29)*(((-5--5)+(-17.29--5))+-17.29))))-(-5+-5)))*-5)))/-5)--5)+(-5*(((-17.29*(-17.29-(-5/-5)))*(-17.29-(-17.29/(-5*-17.29))))-(-5/-5)))))</f>
        <v>-26510.475645</v>
      </c>
      <c r="C8272" t="n" s="0">
        <v>-26510.475645</v>
      </c>
    </row>
    <row r="8273">
      <c r="A8273" t="n" s="0">
        <v>-17.28</v>
      </c>
      <c r="B8273" t="n" s="0">
        <f>(-5-((((-5*(-5/((-5/(((-5*(-17.28--5))-(-5+((-5*-17.28)*(((-5--5)+(-17.28--5))+-17.28))))-(-5+-5)))*-5)))/-5)--5)+(-5*(((-17.28*(-17.28-(-5/-5)))*(-17.28-(-17.28/(-5*-17.28))))-(-5/-5)))))</f>
        <v>-26464.938560000002</v>
      </c>
      <c r="C8273" t="n" s="0">
        <v>-26464.938560000006</v>
      </c>
    </row>
    <row r="8274">
      <c r="A8274" t="n" s="0">
        <v>-17.27</v>
      </c>
      <c r="B8274" t="n" s="0">
        <f>(-5-((((-5*(-5/((-5/(((-5*(-17.27--5))-(-5+((-5*-17.27)*(((-5--5)+(-17.27--5))+-17.27))))-(-5+-5)))*-5)))/-5)--5)+(-5*(((-17.27*(-17.27-(-5/-5)))*(-17.27-(-17.27/(-5*-17.27))))-(-5/-5)))))</f>
        <v>-26419.453715000003</v>
      </c>
      <c r="C8274" t="n" s="0">
        <v>-26419.453714999996</v>
      </c>
    </row>
    <row r="8275">
      <c r="A8275" t="n" s="0">
        <v>-17.26</v>
      </c>
      <c r="B8275" t="n" s="0">
        <f>(-5-((((-5*(-5/((-5/(((-5*(-17.26--5))-(-5+((-5*-17.26)*(((-5--5)+(-17.26--5))+-17.26))))-(-5+-5)))*-5)))/-5)--5)+(-5*(((-17.26*(-17.26-(-5/-5)))*(-17.26-(-17.26/(-5*-17.26))))-(-5/-5)))))</f>
        <v>-26374.02108</v>
      </c>
      <c r="C8275" t="n" s="0">
        <v>-26374.02108000001</v>
      </c>
    </row>
    <row r="8276">
      <c r="A8276" t="n" s="0">
        <v>-17.25</v>
      </c>
      <c r="B8276" t="n" s="0">
        <f>(-5-((((-5*(-5/((-5/(((-5*(-17.25--5))-(-5+((-5*-17.25)*(((-5--5)+(-17.25--5))+-17.25))))-(-5+-5)))*-5)))/-5)--5)+(-5*(((-17.25*(-17.25-(-5/-5)))*(-17.25-(-17.25/(-5*-17.25))))-(-5/-5)))))</f>
        <v>-26328.640624999996</v>
      </c>
      <c r="C8276" t="n" s="0">
        <v>-26328.640625</v>
      </c>
    </row>
    <row r="8277">
      <c r="A8277" t="n" s="0">
        <v>-17.24</v>
      </c>
      <c r="B8277" t="n" s="0">
        <f>(-5-((((-5*(-5/((-5/(((-5*(-17.24--5))-(-5+((-5*-17.24)*(((-5--5)+(-17.24--5))+-17.24))))-(-5+-5)))*-5)))/-5)--5)+(-5*(((-17.24*(-17.24-(-5/-5)))*(-17.24-(-17.24/(-5*-17.24))))-(-5/-5)))))</f>
        <v>-26283.31232</v>
      </c>
      <c r="C8277" t="n" s="0">
        <v>-26283.312319999997</v>
      </c>
    </row>
    <row r="8278">
      <c r="A8278" t="n" s="0">
        <v>-17.23</v>
      </c>
      <c r="B8278" t="n" s="0">
        <f>(-5-((((-5*(-5/((-5/(((-5*(-17.23--5))-(-5+((-5*-17.23)*(((-5--5)+(-17.23--5))+-17.23))))-(-5+-5)))*-5)))/-5)--5)+(-5*(((-17.23*(-17.23-(-5/-5)))*(-17.23-(-17.23/(-5*-17.23))))-(-5/-5)))))</f>
        <v>-26238.036135000002</v>
      </c>
      <c r="C8278" t="n" s="0">
        <v>-26238.036135000002</v>
      </c>
    </row>
    <row r="8279">
      <c r="A8279" t="n" s="0">
        <v>-17.22</v>
      </c>
      <c r="B8279" t="n" s="0">
        <f>(-5-((((-5*(-5/((-5/(((-5*(-17.22--5))-(-5+((-5*-17.22)*(((-5--5)+(-17.22--5))+-17.22))))-(-5+-5)))*-5)))/-5)--5)+(-5*(((-17.22*(-17.22-(-5/-5)))*(-17.22-(-17.22/(-5*-17.22))))-(-5/-5)))))</f>
        <v>-26192.81204</v>
      </c>
      <c r="C8279" t="n" s="0">
        <v>-26192.812039999993</v>
      </c>
    </row>
    <row r="8280">
      <c r="A8280" t="n" s="0">
        <v>-17.21</v>
      </c>
      <c r="B8280" t="n" s="0">
        <f>(-5-((((-5*(-5/((-5/(((-5*(-17.21--5))-(-5+((-5*-17.21)*(((-5--5)+(-17.21--5))+-17.21))))-(-5+-5)))*-5)))/-5)--5)+(-5*(((-17.21*(-17.21-(-5/-5)))*(-17.21-(-17.21/(-5*-17.21))))-(-5/-5)))))</f>
        <v>-26147.640005</v>
      </c>
      <c r="C8280" t="n" s="0">
        <v>-26147.640005000005</v>
      </c>
    </row>
    <row r="8281">
      <c r="A8281" t="n" s="0">
        <v>-17.2</v>
      </c>
      <c r="B8281" t="n" s="0">
        <f>(-5-((((-5*(-5/((-5/(((-5*(-17.2--5))-(-5+((-5*-17.2)*(((-5--5)+(-17.2--5))+-17.2))))-(-5+-5)))*-5)))/-5)--5)+(-5*(((-17.2*(-17.2-(-5/-5)))*(-17.2-(-17.2/(-5*-17.2))))-(-5/-5)))))</f>
        <v>-26102.52</v>
      </c>
      <c r="C8281" t="n" s="0">
        <v>-26102.519999999997</v>
      </c>
    </row>
    <row r="8282">
      <c r="A8282" t="n" s="0">
        <v>-17.19</v>
      </c>
      <c r="B8282" t="n" s="0">
        <f>(-5-((((-5*(-5/((-5/(((-5*(-17.19--5))-(-5+((-5*-17.19)*(((-5--5)+(-17.19--5))+-17.19))))-(-5+-5)))*-5)))/-5)--5)+(-5*(((-17.19*(-17.19-(-5/-5)))*(-17.19-(-17.19/(-5*-17.19))))-(-5/-5)))))</f>
        <v>-26057.451995000003</v>
      </c>
      <c r="C8282" t="n" s="0">
        <v>-26057.451995000007</v>
      </c>
    </row>
    <row r="8283">
      <c r="A8283" t="n" s="0">
        <v>-17.18</v>
      </c>
      <c r="B8283" t="n" s="0">
        <f>(-5-((((-5*(-5/((-5/(((-5*(-17.18--5))-(-5+((-5*-17.18)*(((-5--5)+(-17.18--5))+-17.18))))-(-5+-5)))*-5)))/-5)--5)+(-5*(((-17.18*(-17.18-(-5/-5)))*(-17.18-(-17.18/(-5*-17.18))))-(-5/-5)))))</f>
        <v>-26012.435960000003</v>
      </c>
      <c r="C8283" t="n" s="0">
        <v>-26012.435960000003</v>
      </c>
    </row>
    <row r="8284">
      <c r="A8284" t="n" s="0">
        <v>-17.17</v>
      </c>
      <c r="B8284" t="n" s="0">
        <f>(-5-((((-5*(-5/((-5/(((-5*(-17.17--5))-(-5+((-5*-17.17)*(((-5--5)+(-17.17--5))+-17.17))))-(-5+-5)))*-5)))/-5)--5)+(-5*(((-17.17*(-17.17-(-5/-5)))*(-17.17-(-17.17/(-5*-17.17))))-(-5/-5)))))</f>
        <v>-25967.471865</v>
      </c>
      <c r="C8284" t="n" s="0">
        <v>-25967.471865000007</v>
      </c>
    </row>
    <row r="8285">
      <c r="A8285" t="n" s="0">
        <v>-17.16</v>
      </c>
      <c r="B8285" t="n" s="0">
        <f>(-5-((((-5*(-5/((-5/(((-5*(-17.16--5))-(-5+((-5*-17.16)*(((-5--5)+(-17.16--5))+-17.16))))-(-5+-5)))*-5)))/-5)--5)+(-5*(((-17.16*(-17.16-(-5/-5)))*(-17.16-(-17.16/(-5*-17.16))))-(-5/-5)))))</f>
        <v>-25922.559680000002</v>
      </c>
      <c r="C8285" t="n" s="0">
        <v>-25922.559680000002</v>
      </c>
    </row>
    <row r="8286">
      <c r="A8286" t="n" s="0">
        <v>-17.15</v>
      </c>
      <c r="B8286" t="n" s="0">
        <f>(-5-((((-5*(-5/((-5/(((-5*(-17.15--5))-(-5+((-5*-17.15)*(((-5--5)+(-17.15--5))+-17.15))))-(-5+-5)))*-5)))/-5)--5)+(-5*(((-17.15*(-17.15-(-5/-5)))*(-17.15-(-17.15/(-5*-17.15))))-(-5/-5)))))</f>
        <v>-25877.699375</v>
      </c>
      <c r="C8286" t="n" s="0">
        <v>-25877.699374999993</v>
      </c>
    </row>
    <row r="8287">
      <c r="A8287" t="n" s="0">
        <v>-17.14</v>
      </c>
      <c r="B8287" t="n" s="0">
        <f>(-5-((((-5*(-5/((-5/(((-5*(-17.14--5))-(-5+((-5*-17.14)*(((-5--5)+(-17.14--5))+-17.14))))-(-5+-5)))*-5)))/-5)--5)+(-5*(((-17.14*(-17.14-(-5/-5)))*(-17.14-(-17.14/(-5*-17.14))))-(-5/-5)))))</f>
        <v>-25832.89092</v>
      </c>
      <c r="C8287" t="n" s="0">
        <v>-25832.89092</v>
      </c>
    </row>
    <row r="8288">
      <c r="A8288" t="n" s="0">
        <v>-17.13</v>
      </c>
      <c r="B8288" t="n" s="0">
        <f>(-5-((((-5*(-5/((-5/(((-5*(-17.13--5))-(-5+((-5*-17.13)*(((-5--5)+(-17.13--5))+-17.13))))-(-5+-5)))*-5)))/-5)--5)+(-5*(((-17.13*(-17.13-(-5/-5)))*(-17.13-(-17.13/(-5*-17.13))))-(-5/-5)))))</f>
        <v>-25788.134285</v>
      </c>
      <c r="C8288" t="n" s="0">
        <v>-25788.134284999993</v>
      </c>
    </row>
    <row r="8289">
      <c r="A8289" t="n" s="0">
        <v>-17.12</v>
      </c>
      <c r="B8289" t="n" s="0">
        <f>(-5-((((-5*(-5/((-5/(((-5*(-17.12--5))-(-5+((-5*-17.12)*(((-5--5)+(-17.12--5))+-17.12))))-(-5+-5)))*-5)))/-5)--5)+(-5*(((-17.12*(-17.12-(-5/-5)))*(-17.12-(-17.12/(-5*-17.12))))-(-5/-5)))))</f>
        <v>-25743.429440000004</v>
      </c>
      <c r="C8289" t="n" s="0">
        <v>-25743.429440000004</v>
      </c>
    </row>
    <row r="8290">
      <c r="A8290" t="n" s="0">
        <v>-17.11</v>
      </c>
      <c r="B8290" t="n" s="0">
        <f>(-5-((((-5*(-5/((-5/(((-5*(-17.11--5))-(-5+((-5*-17.11)*(((-5--5)+(-17.11--5))+-17.11))))-(-5+-5)))*-5)))/-5)--5)+(-5*(((-17.11*(-17.11-(-5/-5)))*(-17.11-(-17.11/(-5*-17.11))))-(-5/-5)))))</f>
        <v>-25698.776354999998</v>
      </c>
      <c r="C8290" t="n" s="0">
        <v>-25698.776354999998</v>
      </c>
    </row>
    <row r="8291">
      <c r="A8291" t="n" s="0">
        <v>-17.1</v>
      </c>
      <c r="B8291" t="n" s="0">
        <f>(-5-((((-5*(-5/((-5/(((-5*(-17.1--5))-(-5+((-5*-17.1)*(((-5--5)+(-17.1--5))+-17.1))))-(-5+-5)))*-5)))/-5)--5)+(-5*(((-17.1*(-17.1-(-5/-5)))*(-17.1-(-17.1/(-5*-17.1))))-(-5/-5)))))</f>
        <v>-25654.175000000003</v>
      </c>
      <c r="C8291" t="n" s="0">
        <v>-25654.175000000007</v>
      </c>
    </row>
    <row r="8292">
      <c r="A8292" t="n" s="0">
        <v>-17.09</v>
      </c>
      <c r="B8292" t="n" s="0">
        <f>(-5-((((-5*(-5/((-5/(((-5*(-17.09--5))-(-5+((-5*-17.09)*(((-5--5)+(-17.09--5))+-17.09))))-(-5+-5)))*-5)))/-5)--5)+(-5*(((-17.09*(-17.09-(-5/-5)))*(-17.09-(-17.09/(-5*-17.09))))-(-5/-5)))))</f>
        <v>-25609.625345</v>
      </c>
      <c r="C8292" t="n" s="0">
        <v>-25609.625345</v>
      </c>
    </row>
    <row r="8293">
      <c r="A8293" t="n" s="0">
        <v>-17.08</v>
      </c>
      <c r="B8293" t="n" s="0">
        <f>(-5-((((-5*(-5/((-5/(((-5*(-17.08--5))-(-5+((-5*-17.08)*(((-5--5)+(-17.08--5))+-17.08))))-(-5+-5)))*-5)))/-5)--5)+(-5*(((-17.08*(-17.08-(-5/-5)))*(-17.08-(-17.08/(-5*-17.08))))-(-5/-5)))))</f>
        <v>-25565.12736</v>
      </c>
      <c r="C8293" t="n" s="0">
        <v>-25565.12735999999</v>
      </c>
    </row>
    <row r="8294">
      <c r="A8294" t="n" s="0">
        <v>-17.07</v>
      </c>
      <c r="B8294" t="n" s="0">
        <f>(-5-((((-5*(-5/((-5/(((-5*(-17.07--5))-(-5+((-5*-17.07)*(((-5--5)+(-17.07--5))+-17.07))))-(-5+-5)))*-5)))/-5)--5)+(-5*(((-17.07*(-17.07-(-5/-5)))*(-17.07-(-17.07/(-5*-17.07))))-(-5/-5)))))</f>
        <v>-25520.681015</v>
      </c>
      <c r="C8294" t="n" s="0">
        <v>-25520.681015000002</v>
      </c>
    </row>
    <row r="8295">
      <c r="A8295" t="n" s="0">
        <v>-17.06</v>
      </c>
      <c r="B8295" t="n" s="0">
        <f>(-5-((((-5*(-5/((-5/(((-5*(-17.06--5))-(-5+((-5*-17.06)*(((-5--5)+(-17.06--5))+-17.06))))-(-5+-5)))*-5)))/-5)--5)+(-5*(((-17.06*(-17.06-(-5/-5)))*(-17.06-(-17.06/(-5*-17.06))))-(-5/-5)))))</f>
        <v>-25476.28628</v>
      </c>
      <c r="C8295" t="n" s="0">
        <v>-25476.28628</v>
      </c>
    </row>
    <row r="8296">
      <c r="A8296" t="n" s="0">
        <v>-17.05</v>
      </c>
      <c r="B8296" t="n" s="0">
        <f>(-5-((((-5*(-5/((-5/(((-5*(-17.05--5))-(-5+((-5*-17.05)*(((-5--5)+(-17.05--5))+-17.05))))-(-5+-5)))*-5)))/-5)--5)+(-5*(((-17.05*(-17.05-(-5/-5)))*(-17.05-(-17.05/(-5*-17.05))))-(-5/-5)))))</f>
        <v>-25431.943124999998</v>
      </c>
      <c r="C8296" t="n" s="0">
        <v>-25431.943125</v>
      </c>
    </row>
    <row r="8297">
      <c r="A8297" t="n" s="0">
        <v>-17.04</v>
      </c>
      <c r="B8297" t="n" s="0">
        <f>(-5-((((-5*(-5/((-5/(((-5*(-17.04--5))-(-5+((-5*-17.04)*(((-5--5)+(-17.04--5))+-17.04))))-(-5+-5)))*-5)))/-5)--5)+(-5*(((-17.04*(-17.04-(-5/-5)))*(-17.04-(-17.04/(-5*-17.04))))-(-5/-5)))))</f>
        <v>-25387.651520000003</v>
      </c>
      <c r="C8297" t="n" s="0">
        <v>-25387.651519999996</v>
      </c>
    </row>
    <row r="8298">
      <c r="A8298" t="n" s="0">
        <v>-17.03</v>
      </c>
      <c r="B8298" t="n" s="0">
        <f>(-5-((((-5*(-5/((-5/(((-5*(-17.03--5))-(-5+((-5*-17.03)*(((-5--5)+(-17.03--5))+-17.03))))-(-5+-5)))*-5)))/-5)--5)+(-5*(((-17.03*(-17.03-(-5/-5)))*(-17.03-(-17.03/(-5*-17.03))))-(-5/-5)))))</f>
        <v>-25343.411434999998</v>
      </c>
      <c r="C8298" t="n" s="0">
        <v>-25343.411435000005</v>
      </c>
    </row>
    <row r="8299">
      <c r="A8299" t="n" s="0">
        <v>-17.02</v>
      </c>
      <c r="B8299" t="n" s="0">
        <f>(-5-((((-5*(-5/((-5/(((-5*(-17.02--5))-(-5+((-5*-17.02)*(((-5--5)+(-17.02--5))+-17.02))))-(-5+-5)))*-5)))/-5)--5)+(-5*(((-17.02*(-17.02-(-5/-5)))*(-17.02-(-17.02/(-5*-17.02))))-(-5/-5)))))</f>
        <v>-25299.22284</v>
      </c>
      <c r="C8299" t="n" s="0">
        <v>-25299.22284</v>
      </c>
    </row>
    <row r="8300">
      <c r="A8300" t="n" s="0">
        <v>-17.01</v>
      </c>
      <c r="B8300" t="n" s="0">
        <f>(-5-((((-5*(-5/((-5/(((-5*(-17.01--5))-(-5+((-5*-17.01)*(((-5--5)+(-17.01--5))+-17.01))))-(-5+-5)))*-5)))/-5)--5)+(-5*(((-17.01*(-17.01-(-5/-5)))*(-17.01-(-17.01/(-5*-17.01))))-(-5/-5)))))</f>
        <v>-25255.085704999998</v>
      </c>
      <c r="C8300" t="n" s="0">
        <v>-25255.085705000005</v>
      </c>
    </row>
    <row r="8301">
      <c r="A8301" t="n" s="0">
        <v>-17.0</v>
      </c>
      <c r="B8301" t="n" s="0">
        <f>(-5-((((-5*(-5/((-5/(((-5*(-17--5))-(-5+((-5*-17)*(((-5--5)+(-17--5))+-17))))-(-5+-5)))*-5)))/-5)--5)+(-5*(((-17*(-17-(-5/-5)))*(-17-(-17/(-5*-17))))-(-5/-5)))))</f>
        <v>-25210.999999999996</v>
      </c>
      <c r="C8301" t="n" s="0">
        <v>-25211.0</v>
      </c>
    </row>
    <row r="8302">
      <c r="A8302" t="n" s="0">
        <v>-16.99</v>
      </c>
      <c r="B8302" t="n" s="0">
        <f>(-5-((((-5*(-5/((-5/(((-5*(-16.99--5))-(-5+((-5*-16.99)*(((-5--5)+(-16.99--5))+-16.99))))-(-5+-5)))*-5)))/-5)--5)+(-5*(((-16.99*(-16.99-(-5/-5)))*(-16.99-(-16.99/(-5*-16.99))))-(-5/-5)))))</f>
        <v>-25166.965695000003</v>
      </c>
      <c r="C8302" t="n" s="0">
        <v>-25166.965694999995</v>
      </c>
    </row>
    <row r="8303">
      <c r="A8303" t="n" s="0">
        <v>-16.98</v>
      </c>
      <c r="B8303" t="n" s="0">
        <f>(-5-((((-5*(-5/((-5/(((-5*(-16.98--5))-(-5+((-5*-16.98)*(((-5--5)+(-16.98--5))+-16.98))))-(-5+-5)))*-5)))/-5)--5)+(-5*(((-16.98*(-16.98-(-5/-5)))*(-16.98-(-16.98/(-5*-16.98))))-(-5/-5)))))</f>
        <v>-25122.982760000003</v>
      </c>
      <c r="C8303" t="n" s="0">
        <v>-25122.982760000003</v>
      </c>
    </row>
    <row r="8304">
      <c r="A8304" t="n" s="0">
        <v>-16.97</v>
      </c>
      <c r="B8304" t="n" s="0">
        <f>(-5-((((-5*(-5/((-5/(((-5*(-16.97--5))-(-5+((-5*-16.97)*(((-5--5)+(-16.97--5))+-16.97))))-(-5+-5)))*-5)))/-5)--5)+(-5*(((-16.97*(-16.97-(-5/-5)))*(-16.97-(-16.97/(-5*-16.97))))-(-5/-5)))))</f>
        <v>-25079.051165</v>
      </c>
      <c r="C8304" t="n" s="0">
        <v>-25079.051164999997</v>
      </c>
    </row>
    <row r="8305">
      <c r="A8305" t="n" s="0">
        <v>-16.96</v>
      </c>
      <c r="B8305" t="n" s="0">
        <f>(-5-((((-5*(-5/((-5/(((-5*(-16.96--5))-(-5+((-5*-16.96)*(((-5--5)+(-16.96--5))+-16.96))))-(-5+-5)))*-5)))/-5)--5)+(-5*(((-16.96*(-16.96-(-5/-5)))*(-16.96-(-16.96/(-5*-16.96))))-(-5/-5)))))</f>
        <v>-25035.170879999998</v>
      </c>
      <c r="C8305" t="n" s="0">
        <v>-25035.170880000005</v>
      </c>
    </row>
    <row r="8306">
      <c r="A8306" t="n" s="0">
        <v>-16.95</v>
      </c>
      <c r="B8306" t="n" s="0">
        <f>(-5-((((-5*(-5/((-5/(((-5*(-16.95--5))-(-5+((-5*-16.95)*(((-5--5)+(-16.95--5))+-16.95))))-(-5+-5)))*-5)))/-5)--5)+(-5*(((-16.95*(-16.95-(-5/-5)))*(-16.95-(-16.95/(-5*-16.95))))-(-5/-5)))))</f>
        <v>-24991.341875</v>
      </c>
      <c r="C8306" t="n" s="0">
        <v>-24991.341874999995</v>
      </c>
    </row>
    <row r="8307">
      <c r="A8307" t="n" s="0">
        <v>-16.94</v>
      </c>
      <c r="B8307" t="n" s="0">
        <f>(-5-((((-5*(-5/((-5/(((-5*(-16.94--5))-(-5+((-5*-16.94)*(((-5--5)+(-16.94--5))+-16.94))))-(-5+-5)))*-5)))/-5)--5)+(-5*(((-16.94*(-16.94-(-5/-5)))*(-16.94-(-16.94/(-5*-16.94))))-(-5/-5)))))</f>
        <v>-24947.56412</v>
      </c>
      <c r="C8307" t="n" s="0">
        <v>-24947.564120000003</v>
      </c>
    </row>
    <row r="8308">
      <c r="A8308" t="n" s="0">
        <v>-16.93</v>
      </c>
      <c r="B8308" t="n" s="0">
        <f>(-5-((((-5*(-5/((-5/(((-5*(-16.93--5))-(-5+((-5*-16.93)*(((-5--5)+(-16.93--5))+-16.93))))-(-5+-5)))*-5)))/-5)--5)+(-5*(((-16.93*(-16.93-(-5/-5)))*(-16.93-(-16.93/(-5*-16.93))))-(-5/-5)))))</f>
        <v>-24903.837585</v>
      </c>
      <c r="C8308" t="n" s="0">
        <v>-24903.837585</v>
      </c>
    </row>
    <row r="8309">
      <c r="A8309" t="n" s="0">
        <v>-16.92</v>
      </c>
      <c r="B8309" t="n" s="0">
        <f>(-5-((((-5*(-5/((-5/(((-5*(-16.92--5))-(-5+((-5*-16.92)*(((-5--5)+(-16.92--5))+-16.92))))-(-5+-5)))*-5)))/-5)--5)+(-5*(((-16.92*(-16.92-(-5/-5)))*(-16.92-(-16.92/(-5*-16.92))))-(-5/-5)))))</f>
        <v>-24860.162239999998</v>
      </c>
      <c r="C8309" t="n" s="0">
        <v>-24860.16224000001</v>
      </c>
    </row>
    <row r="8310">
      <c r="A8310" t="n" s="0">
        <v>-16.91</v>
      </c>
      <c r="B8310" t="n" s="0">
        <f>(-5-((((-5*(-5/((-5/(((-5*(-16.91--5))-(-5+((-5*-16.91)*(((-5--5)+(-16.91--5))+-16.91))))-(-5+-5)))*-5)))/-5)--5)+(-5*(((-16.91*(-16.91-(-5/-5)))*(-16.91-(-16.91/(-5*-16.91))))-(-5/-5)))))</f>
        <v>-24816.538055</v>
      </c>
      <c r="C8310" t="n" s="0">
        <v>-24816.538054999997</v>
      </c>
    </row>
    <row r="8311">
      <c r="A8311" t="n" s="0">
        <v>-16.9</v>
      </c>
      <c r="B8311" t="n" s="0">
        <f>(-5-((((-5*(-5/((-5/(((-5*(-16.9--5))-(-5+((-5*-16.9)*(((-5--5)+(-16.9--5))+-16.9))))-(-5+-5)))*-5)))/-5)--5)+(-5*(((-16.9*(-16.9-(-5/-5)))*(-16.9-(-16.9/(-5*-16.9))))-(-5/-5)))))</f>
        <v>-24772.965</v>
      </c>
      <c r="C8311" t="n" s="0">
        <v>-24772.964999999993</v>
      </c>
    </row>
    <row r="8312">
      <c r="A8312" t="n" s="0">
        <v>-16.89</v>
      </c>
      <c r="B8312" t="n" s="0">
        <f>(-5-((((-5*(-5/((-5/(((-5*(-16.89--5))-(-5+((-5*-16.89)*(((-5--5)+(-16.89--5))+-16.89))))-(-5+-5)))*-5)))/-5)--5)+(-5*(((-16.89*(-16.89-(-5/-5)))*(-16.89-(-16.89/(-5*-16.89))))-(-5/-5)))))</f>
        <v>-24729.443045</v>
      </c>
      <c r="C8312" t="n" s="0">
        <v>-24729.443045</v>
      </c>
    </row>
    <row r="8313">
      <c r="A8313" t="n" s="0">
        <v>-16.88</v>
      </c>
      <c r="B8313" t="n" s="0">
        <f>(-5-((((-5*(-5/((-5/(((-5*(-16.88--5))-(-5+((-5*-16.88)*(((-5--5)+(-16.88--5))+-16.88))))-(-5+-5)))*-5)))/-5)--5)+(-5*(((-16.88*(-16.88-(-5/-5)))*(-16.88-(-16.88/(-5*-16.88))))-(-5/-5)))))</f>
        <v>-24685.97216</v>
      </c>
      <c r="C8313" t="n" s="0">
        <v>-24685.972159999994</v>
      </c>
    </row>
    <row r="8314">
      <c r="A8314" t="n" s="0">
        <v>-16.87</v>
      </c>
      <c r="B8314" t="n" s="0">
        <f>(-5-((((-5*(-5/((-5/(((-5*(-16.87--5))-(-5+((-5*-16.87)*(((-5--5)+(-16.87--5))+-16.87))))-(-5+-5)))*-5)))/-5)--5)+(-5*(((-16.87*(-16.87-(-5/-5)))*(-16.87-(-16.87/(-5*-16.87))))-(-5/-5)))))</f>
        <v>-24642.552314999997</v>
      </c>
      <c r="C8314" t="n" s="0">
        <v>-24642.552315000008</v>
      </c>
    </row>
    <row r="8315">
      <c r="A8315" t="n" s="0">
        <v>-16.86</v>
      </c>
      <c r="B8315" t="n" s="0">
        <f>(-5-((((-5*(-5/((-5/(((-5*(-16.86--5))-(-5+((-5*-16.86)*(((-5--5)+(-16.86--5))+-16.86))))-(-5+-5)))*-5)))/-5)--5)+(-5*(((-16.86*(-16.86-(-5/-5)))*(-16.86-(-16.86/(-5*-16.86))))-(-5/-5)))))</f>
        <v>-24599.183479999996</v>
      </c>
      <c r="C8315" t="n" s="0">
        <v>-24599.18348</v>
      </c>
    </row>
    <row r="8316">
      <c r="A8316" t="n" s="0">
        <v>-16.85</v>
      </c>
      <c r="B8316" t="n" s="0">
        <f>(-5-((((-5*(-5/((-5/(((-5*(-16.85--5))-(-5+((-5*-16.85)*(((-5--5)+(-16.85--5))+-16.85))))-(-5+-5)))*-5)))/-5)--5)+(-5*(((-16.85*(-16.85-(-5/-5)))*(-16.85-(-16.85/(-5*-16.85))))-(-5/-5)))))</f>
        <v>-24555.865625</v>
      </c>
      <c r="C8316" t="n" s="0">
        <v>-24555.86562500001</v>
      </c>
    </row>
    <row r="8317">
      <c r="A8317" t="n" s="0">
        <v>-16.84</v>
      </c>
      <c r="B8317" t="n" s="0">
        <f>(-5-((((-5*(-5/((-5/(((-5*(-16.84--5))-(-5+((-5*-16.84)*(((-5--5)+(-16.84--5))+-16.84))))-(-5+-5)))*-5)))/-5)--5)+(-5*(((-16.84*(-16.84-(-5/-5)))*(-16.84-(-16.84/(-5*-16.84))))-(-5/-5)))))</f>
        <v>-24512.598719999998</v>
      </c>
      <c r="C8317" t="n" s="0">
        <v>-24512.59872</v>
      </c>
    </row>
    <row r="8318">
      <c r="A8318" t="n" s="0">
        <v>-16.83</v>
      </c>
      <c r="B8318" t="n" s="0">
        <f>(-5-((((-5*(-5/((-5/(((-5*(-16.83--5))-(-5+((-5*-16.83)*(((-5--5)+(-16.83--5))+-16.83))))-(-5+-5)))*-5)))/-5)--5)+(-5*(((-16.83*(-16.83-(-5/-5)))*(-16.83-(-16.83/(-5*-16.83))))-(-5/-5)))))</f>
        <v>-24469.382735</v>
      </c>
      <c r="C8318" t="n" s="0">
        <v>-24469.382735</v>
      </c>
    </row>
    <row r="8319">
      <c r="A8319" t="n" s="0">
        <v>-16.82</v>
      </c>
      <c r="B8319" t="n" s="0">
        <f>(-5-((((-5*(-5/((-5/(((-5*(-16.82--5))-(-5+((-5*-16.82)*(((-5--5)+(-16.82--5))+-16.82))))-(-5+-5)))*-5)))/-5)--5)+(-5*(((-16.82*(-16.82-(-5/-5)))*(-16.82-(-16.82/(-5*-16.82))))-(-5/-5)))))</f>
        <v>-24426.21764</v>
      </c>
      <c r="C8319" t="n" s="0">
        <v>-24426.21764</v>
      </c>
    </row>
    <row r="8320">
      <c r="A8320" t="n" s="0">
        <v>-16.81</v>
      </c>
      <c r="B8320" t="n" s="0">
        <f>(-5-((((-5*(-5/((-5/(((-5*(-16.81--5))-(-5+((-5*-16.81)*(((-5--5)+(-16.81--5))+-16.81))))-(-5+-5)))*-5)))/-5)--5)+(-5*(((-16.81*(-16.81-(-5/-5)))*(-16.81-(-16.81/(-5*-16.81))))-(-5/-5)))))</f>
        <v>-24383.103405</v>
      </c>
      <c r="C8320" t="n" s="0">
        <v>-24383.103404999998</v>
      </c>
    </row>
    <row r="8321">
      <c r="A8321" t="n" s="0">
        <v>-16.8</v>
      </c>
      <c r="B8321" t="n" s="0">
        <f>(-5-((((-5*(-5/((-5/(((-5*(-16.8--5))-(-5+((-5*-16.8)*(((-5--5)+(-16.8--5))+-16.8))))-(-5+-5)))*-5)))/-5)--5)+(-5*(((-16.8*(-16.8-(-5/-5)))*(-16.8-(-16.8/(-5*-16.8))))-(-5/-5)))))</f>
        <v>-24340.04</v>
      </c>
      <c r="C8321" t="n" s="0">
        <v>-24340.040000000005</v>
      </c>
    </row>
    <row r="8322">
      <c r="A8322" t="n" s="0">
        <v>-16.79</v>
      </c>
      <c r="B8322" t="n" s="0">
        <f>(-5-((((-5*(-5/((-5/(((-5*(-16.79--5))-(-5+((-5*-16.79)*(((-5--5)+(-16.79--5))+-16.79))))-(-5+-5)))*-5)))/-5)--5)+(-5*(((-16.79*(-16.79-(-5/-5)))*(-16.79-(-16.79/(-5*-16.79))))-(-5/-5)))))</f>
        <v>-24297.027395</v>
      </c>
      <c r="C8322" t="n" s="0">
        <v>-24297.027394999994</v>
      </c>
    </row>
    <row r="8323">
      <c r="A8323" t="n" s="0">
        <v>-16.78</v>
      </c>
      <c r="B8323" t="n" s="0">
        <f>(-5-((((-5*(-5/((-5/(((-5*(-16.78--5))-(-5+((-5*-16.78)*(((-5--5)+(-16.78--5))+-16.78))))-(-5+-5)))*-5)))/-5)--5)+(-5*(((-16.78*(-16.78-(-5/-5)))*(-16.78-(-16.78/(-5*-16.78))))-(-5/-5)))))</f>
        <v>-24254.06556</v>
      </c>
      <c r="C8323" t="n" s="0">
        <v>-24254.065560000006</v>
      </c>
    </row>
    <row r="8324">
      <c r="A8324" t="n" s="0">
        <v>-16.77</v>
      </c>
      <c r="B8324" t="n" s="0">
        <f>(-5-((((-5*(-5/((-5/(((-5*(-16.77--5))-(-5+((-5*-16.77)*(((-5--5)+(-16.77--5))+-16.77))))-(-5+-5)))*-5)))/-5)--5)+(-5*(((-16.77*(-16.77-(-5/-5)))*(-16.77-(-16.77/(-5*-16.77))))-(-5/-5)))))</f>
        <v>-24211.154464999996</v>
      </c>
      <c r="C8324" t="n" s="0">
        <v>-24211.154464999996</v>
      </c>
    </row>
    <row r="8325">
      <c r="A8325" t="n" s="0">
        <v>-16.76</v>
      </c>
      <c r="B8325" t="n" s="0">
        <f>(-5-((((-5*(-5/((-5/(((-5*(-16.76--5))-(-5+((-5*-16.76)*(((-5--5)+(-16.76--5))+-16.76))))-(-5+-5)))*-5)))/-5)--5)+(-5*(((-16.76*(-16.76-(-5/-5)))*(-16.76-(-16.76/(-5*-16.76))))-(-5/-5)))))</f>
        <v>-24168.29408</v>
      </c>
      <c r="C8325" t="n" s="0">
        <v>-24168.294080000007</v>
      </c>
    </row>
    <row r="8326">
      <c r="A8326" t="n" s="0">
        <v>-16.75</v>
      </c>
      <c r="B8326" t="n" s="0">
        <f>(-5-((((-5*(-5/((-5/(((-5*(-16.75--5))-(-5+((-5*-16.75)*(((-5--5)+(-16.75--5))+-16.75))))-(-5+-5)))*-5)))/-5)--5)+(-5*(((-16.75*(-16.75-(-5/-5)))*(-16.75-(-16.75/(-5*-16.75))))-(-5/-5)))))</f>
        <v>-24125.484375000004</v>
      </c>
      <c r="C8326" t="n" s="0">
        <v>-24125.484375</v>
      </c>
    </row>
    <row r="8327">
      <c r="A8327" t="n" s="0">
        <v>-16.74</v>
      </c>
      <c r="B8327" t="n" s="0">
        <f>(-5-((((-5*(-5/((-5/(((-5*(-16.74--5))-(-5+((-5*-16.74)*(((-5--5)+(-16.74--5))+-16.74))))-(-5+-5)))*-5)))/-5)--5)+(-5*(((-16.74*(-16.74-(-5/-5)))*(-16.74-(-16.74/(-5*-16.74))))-(-5/-5)))))</f>
        <v>-24082.725319999998</v>
      </c>
      <c r="C8327" t="n" s="0">
        <v>-24082.725319999994</v>
      </c>
    </row>
    <row r="8328">
      <c r="A8328" t="n" s="0">
        <v>-16.73</v>
      </c>
      <c r="B8328" t="n" s="0">
        <f>(-5-((((-5*(-5/((-5/(((-5*(-16.73--5))-(-5+((-5*-16.73)*(((-5--5)+(-16.73--5))+-16.73))))-(-5+-5)))*-5)))/-5)--5)+(-5*(((-16.73*(-16.73-(-5/-5)))*(-16.73-(-16.73/(-5*-16.73))))-(-5/-5)))))</f>
        <v>-24040.016885</v>
      </c>
      <c r="C8328" t="n" s="0">
        <v>-24040.016885</v>
      </c>
    </row>
    <row r="8329">
      <c r="A8329" t="n" s="0">
        <v>-16.72</v>
      </c>
      <c r="B8329" t="n" s="0">
        <f>(-5-((((-5*(-5/((-5/(((-5*(-16.72--5))-(-5+((-5*-16.72)*(((-5--5)+(-16.72--5))+-16.72))))-(-5+-5)))*-5)))/-5)--5)+(-5*(((-16.72*(-16.72-(-5/-5)))*(-16.72-(-16.72/(-5*-16.72))))-(-5/-5)))))</f>
        <v>-23997.35904</v>
      </c>
      <c r="C8329" t="n" s="0">
        <v>-23997.359039999996</v>
      </c>
    </row>
    <row r="8330">
      <c r="A8330" t="n" s="0">
        <v>-16.71</v>
      </c>
      <c r="B8330" t="n" s="0">
        <f>(-5-((((-5*(-5/((-5/(((-5*(-16.71--5))-(-5+((-5*-16.71)*(((-5--5)+(-16.71--5))+-16.71))))-(-5+-5)))*-5)))/-5)--5)+(-5*(((-16.71*(-16.71-(-5/-5)))*(-16.71-(-16.71/(-5*-16.71))))-(-5/-5)))))</f>
        <v>-23954.751755</v>
      </c>
      <c r="C8330" t="n" s="0">
        <v>-23954.751755</v>
      </c>
    </row>
    <row r="8331">
      <c r="A8331" t="n" s="0">
        <v>-16.7</v>
      </c>
      <c r="B8331" t="n" s="0">
        <f>(-5-((((-5*(-5/((-5/(((-5*(-16.7--5))-(-5+((-5*-16.7)*(((-5--5)+(-16.7--5))+-16.7))))-(-5+-5)))*-5)))/-5)--5)+(-5*(((-16.7*(-16.7-(-5/-5)))*(-16.7-(-16.7/(-5*-16.7))))-(-5/-5)))))</f>
        <v>-23912.195</v>
      </c>
      <c r="C8331" t="n" s="0">
        <v>-23912.194999999996</v>
      </c>
    </row>
    <row r="8332">
      <c r="A8332" t="n" s="0">
        <v>-16.69</v>
      </c>
      <c r="B8332" t="n" s="0">
        <f>(-5-((((-5*(-5/((-5/(((-5*(-16.69--5))-(-5+((-5*-16.69)*(((-5--5)+(-16.69--5))+-16.69))))-(-5+-5)))*-5)))/-5)--5)+(-5*(((-16.69*(-16.69-(-5/-5)))*(-16.69-(-16.69/(-5*-16.69))))-(-5/-5)))))</f>
        <v>-23869.688745000003</v>
      </c>
      <c r="C8332" t="n" s="0">
        <v>-23869.688745000007</v>
      </c>
    </row>
    <row r="8333">
      <c r="A8333" t="n" s="0">
        <v>-16.68</v>
      </c>
      <c r="B8333" t="n" s="0">
        <f>(-5-((((-5*(-5/((-5/(((-5*(-16.68--5))-(-5+((-5*-16.68)*(((-5--5)+(-16.68--5))+-16.68))))-(-5+-5)))*-5)))/-5)--5)+(-5*(((-16.68*(-16.68-(-5/-5)))*(-16.68-(-16.68/(-5*-16.68))))-(-5/-5)))))</f>
        <v>-23827.232959999998</v>
      </c>
      <c r="C8333" t="n" s="0">
        <v>-23827.23296</v>
      </c>
    </row>
    <row r="8334">
      <c r="A8334" t="n" s="0">
        <v>-16.67</v>
      </c>
      <c r="B8334" t="n" s="0">
        <f>(-5-((((-5*(-5/((-5/(((-5*(-16.67--5))-(-5+((-5*-16.67)*(((-5--5)+(-16.67--5))+-16.67))))-(-5+-5)))*-5)))/-5)--5)+(-5*(((-16.67*(-16.67-(-5/-5)))*(-16.67-(-16.67/(-5*-16.67))))-(-5/-5)))))</f>
        <v>-23784.827615</v>
      </c>
      <c r="C8334" t="n" s="0">
        <v>-23784.827615000006</v>
      </c>
    </row>
    <row r="8335">
      <c r="A8335" t="n" s="0">
        <v>-16.66</v>
      </c>
      <c r="B8335" t="n" s="0">
        <f>(-5-((((-5*(-5/((-5/(((-5*(-16.66--5))-(-5+((-5*-16.66)*(((-5--5)+(-16.66--5))+-16.66))))-(-5+-5)))*-5)))/-5)--5)+(-5*(((-16.66*(-16.66-(-5/-5)))*(-16.66-(-16.66/(-5*-16.66))))-(-5/-5)))))</f>
        <v>-23742.47268</v>
      </c>
      <c r="C8335" t="n" s="0">
        <v>-23742.47268</v>
      </c>
    </row>
    <row r="8336">
      <c r="A8336" t="n" s="0">
        <v>-16.65</v>
      </c>
      <c r="B8336" t="n" s="0">
        <f>(-5-((((-5*(-5/((-5/(((-5*(-16.65--5))-(-5+((-5*-16.65)*(((-5--5)+(-16.65--5))+-16.65))))-(-5+-5)))*-5)))/-5)--5)+(-5*(((-16.65*(-16.65-(-5/-5)))*(-16.65-(-16.65/(-5*-16.65))))-(-5/-5)))))</f>
        <v>-23700.168125</v>
      </c>
      <c r="C8336" t="n" s="0">
        <v>-23700.168124999993</v>
      </c>
    </row>
    <row r="8337">
      <c r="A8337" t="n" s="0">
        <v>-16.64</v>
      </c>
      <c r="B8337" t="n" s="0">
        <f>(-5-((((-5*(-5/((-5/(((-5*(-16.64--5))-(-5+((-5*-16.64)*(((-5--5)+(-16.64--5))+-16.64))))-(-5+-5)))*-5)))/-5)--5)+(-5*(((-16.64*(-16.64-(-5/-5)))*(-16.64-(-16.64/(-5*-16.64))))-(-5/-5)))))</f>
        <v>-23657.91392</v>
      </c>
      <c r="C8337" t="n" s="0">
        <v>-23657.913920000003</v>
      </c>
    </row>
    <row r="8338">
      <c r="A8338" t="n" s="0">
        <v>-16.63</v>
      </c>
      <c r="B8338" t="n" s="0">
        <f>(-5-((((-5*(-5/((-5/(((-5*(-16.63--5))-(-5+((-5*-16.63)*(((-5--5)+(-16.63--5))+-16.63))))-(-5+-5)))*-5)))/-5)--5)+(-5*(((-16.63*(-16.63-(-5/-5)))*(-16.63-(-16.63/(-5*-16.63))))-(-5/-5)))))</f>
        <v>-23615.710035</v>
      </c>
      <c r="C8338" t="n" s="0">
        <v>-23615.710034999996</v>
      </c>
    </row>
    <row r="8339">
      <c r="A8339" t="n" s="0">
        <v>-16.62</v>
      </c>
      <c r="B8339" t="n" s="0">
        <f>(-5-((((-5*(-5/((-5/(((-5*(-16.62--5))-(-5+((-5*-16.62)*(((-5--5)+(-16.62--5))+-16.62))))-(-5+-5)))*-5)))/-5)--5)+(-5*(((-16.62*(-16.62-(-5/-5)))*(-16.62-(-16.62/(-5*-16.62))))-(-5/-5)))))</f>
        <v>-23573.55644</v>
      </c>
      <c r="C8339" t="n" s="0">
        <v>-23573.55644</v>
      </c>
    </row>
    <row r="8340">
      <c r="A8340" t="n" s="0">
        <v>-16.61</v>
      </c>
      <c r="B8340" t="n" s="0">
        <f>(-5-((((-5*(-5/((-5/(((-5*(-16.61--5))-(-5+((-5*-16.61)*(((-5--5)+(-16.61--5))+-16.61))))-(-5+-5)))*-5)))/-5)--5)+(-5*(((-16.61*(-16.61-(-5/-5)))*(-16.61-(-16.61/(-5*-16.61))))-(-5/-5)))))</f>
        <v>-23531.453105000004</v>
      </c>
      <c r="C8340" t="n" s="0">
        <v>-23531.453104999997</v>
      </c>
    </row>
    <row r="8341">
      <c r="A8341" t="n" s="0">
        <v>-16.6</v>
      </c>
      <c r="B8341" t="n" s="0">
        <f>(-5-((((-5*(-5/((-5/(((-5*(-16.6--5))-(-5+((-5*-16.6)*(((-5--5)+(-16.6--5))+-16.6))))-(-5+-5)))*-5)))/-5)--5)+(-5*(((-16.6*(-16.6-(-5/-5)))*(-16.6-(-16.6/(-5*-16.6))))-(-5/-5)))))</f>
        <v>-23489.4</v>
      </c>
      <c r="C8341" t="n" s="0">
        <v>-23489.400000000005</v>
      </c>
    </row>
    <row r="8342">
      <c r="A8342" t="n" s="0">
        <v>-16.59</v>
      </c>
      <c r="B8342" t="n" s="0">
        <f>(-5-((((-5*(-5/((-5/(((-5*(-16.59--5))-(-5+((-5*-16.59)*(((-5--5)+(-16.59--5))+-16.59))))-(-5+-5)))*-5)))/-5)--5)+(-5*(((-16.59*(-16.59-(-5/-5)))*(-16.59-(-16.59/(-5*-16.59))))-(-5/-5)))))</f>
        <v>-23447.397095</v>
      </c>
      <c r="C8342" t="n" s="0">
        <v>-23447.397095000004</v>
      </c>
    </row>
    <row r="8343">
      <c r="A8343" t="n" s="0">
        <v>-16.58</v>
      </c>
      <c r="B8343" t="n" s="0">
        <f>(-5-((((-5*(-5/((-5/(((-5*(-16.58--5))-(-5+((-5*-16.58)*(((-5--5)+(-16.58--5))+-16.58))))-(-5+-5)))*-5)))/-5)--5)+(-5*(((-16.58*(-16.58-(-5/-5)))*(-16.58-(-16.58/(-5*-16.58))))-(-5/-5)))))</f>
        <v>-23405.444359999998</v>
      </c>
      <c r="C8343" t="n" s="0">
        <v>-23405.444359999994</v>
      </c>
    </row>
    <row r="8344">
      <c r="A8344" t="n" s="0">
        <v>-16.57</v>
      </c>
      <c r="B8344" t="n" s="0">
        <f>(-5-((((-5*(-5/((-5/(((-5*(-16.57--5))-(-5+((-5*-16.57)*(((-5--5)+(-16.57--5))+-16.57))))-(-5+-5)))*-5)))/-5)--5)+(-5*(((-16.57*(-16.57-(-5/-5)))*(-16.57-(-16.57/(-5*-16.57))))-(-5/-5)))))</f>
        <v>-23363.541765</v>
      </c>
      <c r="C8344" t="n" s="0">
        <v>-23363.541764999998</v>
      </c>
    </row>
    <row r="8345">
      <c r="A8345" t="n" s="0">
        <v>-16.56</v>
      </c>
      <c r="B8345" t="n" s="0">
        <f>(-5-((((-5*(-5/((-5/(((-5*(-16.56--5))-(-5+((-5*-16.56)*(((-5--5)+(-16.56--5))+-16.56))))-(-5+-5)))*-5)))/-5)--5)+(-5*(((-16.56*(-16.56-(-5/-5)))*(-16.56-(-16.56/(-5*-16.56))))-(-5/-5)))))</f>
        <v>-23321.68928</v>
      </c>
      <c r="C8345" t="n" s="0">
        <v>-23321.689279999995</v>
      </c>
    </row>
    <row r="8346">
      <c r="A8346" t="n" s="0">
        <v>-16.55</v>
      </c>
      <c r="B8346" t="n" s="0">
        <f>(-5-((((-5*(-5/((-5/(((-5*(-16.55--5))-(-5+((-5*-16.55)*(((-5--5)+(-16.55--5))+-16.55))))-(-5+-5)))*-5)))/-5)--5)+(-5*(((-16.55*(-16.55-(-5/-5)))*(-16.55-(-16.55/(-5*-16.55))))-(-5/-5)))))</f>
        <v>-23279.886875</v>
      </c>
      <c r="C8346" t="n" s="0">
        <v>-23279.886875000004</v>
      </c>
    </row>
    <row r="8347">
      <c r="A8347" t="n" s="0">
        <v>-16.54</v>
      </c>
      <c r="B8347" t="n" s="0">
        <f>(-5-((((-5*(-5/((-5/(((-5*(-16.54--5))-(-5+((-5*-16.54)*(((-5--5)+(-16.54--5))+-16.54))))-(-5+-5)))*-5)))/-5)--5)+(-5*(((-16.54*(-16.54-(-5/-5)))*(-16.54-(-16.54/(-5*-16.54))))-(-5/-5)))))</f>
        <v>-23238.134519999996</v>
      </c>
      <c r="C8347" t="n" s="0">
        <v>-23238.134519999992</v>
      </c>
    </row>
    <row r="8348">
      <c r="A8348" t="n" s="0">
        <v>-16.53</v>
      </c>
      <c r="B8348" t="n" s="0">
        <f>(-5-((((-5*(-5/((-5/(((-5*(-16.53--5))-(-5+((-5*-16.53)*(((-5--5)+(-16.53--5))+-16.53))))-(-5+-5)))*-5)))/-5)--5)+(-5*(((-16.53*(-16.53-(-5/-5)))*(-16.53-(-16.53/(-5*-16.53))))-(-5/-5)))))</f>
        <v>-23196.432185</v>
      </c>
      <c r="C8348" t="n" s="0">
        <v>-23196.43218500001</v>
      </c>
    </row>
    <row r="8349">
      <c r="A8349" t="n" s="0">
        <v>-16.52</v>
      </c>
      <c r="B8349" t="n" s="0">
        <f>(-5-((((-5*(-5/((-5/(((-5*(-16.52--5))-(-5+((-5*-16.52)*(((-5--5)+(-16.52--5))+-16.52))))-(-5+-5)))*-5)))/-5)--5)+(-5*(((-16.52*(-16.52-(-5/-5)))*(-16.52-(-16.52/(-5*-16.52))))-(-5/-5)))))</f>
        <v>-23154.779839999996</v>
      </c>
      <c r="C8349" t="n" s="0">
        <v>-23154.779840000003</v>
      </c>
    </row>
    <row r="8350">
      <c r="A8350" t="n" s="0">
        <v>-16.51</v>
      </c>
      <c r="B8350" t="n" s="0">
        <f>(-5-((((-5*(-5/((-5/(((-5*(-16.51--5))-(-5+((-5*-16.51)*(((-5--5)+(-16.51--5))+-16.51))))-(-5+-5)))*-5)))/-5)--5)+(-5*(((-16.51*(-16.51-(-5/-5)))*(-16.51-(-16.51/(-5*-16.51))))-(-5/-5)))))</f>
        <v>-23113.177455</v>
      </c>
      <c r="C8350" t="n" s="0">
        <v>-23113.177455000005</v>
      </c>
    </row>
    <row r="8351">
      <c r="A8351" t="n" s="0">
        <v>-16.5</v>
      </c>
      <c r="B8351" t="n" s="0">
        <f>(-5-((((-5*(-5/((-5/(((-5*(-16.5--5))-(-5+((-5*-16.5)*(((-5--5)+(-16.5--5))+-16.5))))-(-5+-5)))*-5)))/-5)--5)+(-5*(((-16.5*(-16.5-(-5/-5)))*(-16.5-(-16.5/(-5*-16.5))))-(-5/-5)))))</f>
        <v>-23071.625</v>
      </c>
      <c r="C8351" t="n" s="0">
        <v>-23071.625</v>
      </c>
    </row>
    <row r="8352">
      <c r="A8352" t="n" s="0">
        <v>-16.49</v>
      </c>
      <c r="B8352" t="n" s="0">
        <f>(-5-((((-5*(-5/((-5/(((-5*(-16.49--5))-(-5+((-5*-16.49)*(((-5--5)+(-16.49--5))+-16.49))))-(-5+-5)))*-5)))/-5)--5)+(-5*(((-16.49*(-16.49-(-5/-5)))*(-16.49-(-16.49/(-5*-16.49))))-(-5/-5)))))</f>
        <v>-23030.122445</v>
      </c>
      <c r="C8352" t="n" s="0">
        <v>-23030.122444999994</v>
      </c>
    </row>
    <row r="8353">
      <c r="A8353" t="n" s="0">
        <v>-16.48</v>
      </c>
      <c r="B8353" t="n" s="0">
        <f>(-5-((((-5*(-5/((-5/(((-5*(-16.48--5))-(-5+((-5*-16.48)*(((-5--5)+(-16.48--5))+-16.48))))-(-5+-5)))*-5)))/-5)--5)+(-5*(((-16.48*(-16.48-(-5/-5)))*(-16.48-(-16.48/(-5*-16.48))))-(-5/-5)))))</f>
        <v>-22988.669759999997</v>
      </c>
      <c r="C8353" t="n" s="0">
        <v>-22988.669759999997</v>
      </c>
    </row>
    <row r="8354">
      <c r="A8354" t="n" s="0">
        <v>-16.47</v>
      </c>
      <c r="B8354" t="n" s="0">
        <f>(-5-((((-5*(-5/((-5/(((-5*(-16.47--5))-(-5+((-5*-16.47)*(((-5--5)+(-16.47--5))+-16.47))))-(-5+-5)))*-5)))/-5)--5)+(-5*(((-16.47*(-16.47-(-5/-5)))*(-16.47-(-16.47/(-5*-16.47))))-(-5/-5)))))</f>
        <v>-22947.266915000004</v>
      </c>
      <c r="C8354" t="n" s="0">
        <v>-22947.266914999993</v>
      </c>
    </row>
    <row r="8355">
      <c r="A8355" t="n" s="0">
        <v>-16.46</v>
      </c>
      <c r="B8355" t="n" s="0">
        <f>(-5-((((-5*(-5/((-5/(((-5*(-16.46--5))-(-5+((-5*-16.46)*(((-5--5)+(-16.46--5))+-16.46))))-(-5+-5)))*-5)))/-5)--5)+(-5*(((-16.46*(-16.46-(-5/-5)))*(-16.46-(-16.46/(-5*-16.46))))-(-5/-5)))))</f>
        <v>-22905.91388</v>
      </c>
      <c r="C8355" t="n" s="0">
        <v>-22905.913880000007</v>
      </c>
    </row>
    <row r="8356">
      <c r="A8356" t="n" s="0">
        <v>-16.45</v>
      </c>
      <c r="B8356" t="n" s="0">
        <f>(-5-((((-5*(-5/((-5/(((-5*(-16.45--5))-(-5+((-5*-16.45)*(((-5--5)+(-16.45--5))+-16.45))))-(-5+-5)))*-5)))/-5)--5)+(-5*(((-16.45*(-16.45-(-5/-5)))*(-16.45-(-16.45/(-5*-16.45))))-(-5/-5)))))</f>
        <v>-22864.610625</v>
      </c>
      <c r="C8356" t="n" s="0">
        <v>-22864.610624999994</v>
      </c>
    </row>
    <row r="8357">
      <c r="A8357" t="n" s="0">
        <v>-16.44</v>
      </c>
      <c r="B8357" t="n" s="0">
        <f>(-5-((((-5*(-5/((-5/(((-5*(-16.44--5))-(-5+((-5*-16.44)*(((-5--5)+(-16.44--5))+-16.44))))-(-5+-5)))*-5)))/-5)--5)+(-5*(((-16.44*(-16.44-(-5/-5)))*(-16.44-(-16.44/(-5*-16.44))))-(-5/-5)))))</f>
        <v>-22823.357119999997</v>
      </c>
      <c r="C8357" t="n" s="0">
        <v>-22823.357120000004</v>
      </c>
    </row>
    <row r="8358">
      <c r="A8358" t="n" s="0">
        <v>-16.43</v>
      </c>
      <c r="B8358" t="n" s="0">
        <f>(-5-((((-5*(-5/((-5/(((-5*(-16.43--5))-(-5+((-5*-16.43)*(((-5--5)+(-16.43--5))+-16.43))))-(-5+-5)))*-5)))/-5)--5)+(-5*(((-16.43*(-16.43-(-5/-5)))*(-16.43-(-16.43/(-5*-16.43))))-(-5/-5)))))</f>
        <v>-22782.153334999995</v>
      </c>
      <c r="C8358" t="n" s="0">
        <v>-22782.153335</v>
      </c>
    </row>
    <row r="8359">
      <c r="A8359" t="n" s="0">
        <v>-16.42</v>
      </c>
      <c r="B8359" t="n" s="0">
        <f>(-5-((((-5*(-5/((-5/(((-5*(-16.42--5))-(-5+((-5*-16.42)*(((-5--5)+(-16.42--5))+-16.42))))-(-5+-5)))*-5)))/-5)--5)+(-5*(((-16.42*(-16.42-(-5/-5)))*(-16.42-(-16.42/(-5*-16.42))))-(-5/-5)))))</f>
        <v>-22740.99924</v>
      </c>
      <c r="C8359" t="n" s="0">
        <v>-22740.99924000001</v>
      </c>
    </row>
    <row r="8360">
      <c r="A8360" t="n" s="0">
        <v>-16.41</v>
      </c>
      <c r="B8360" t="n" s="0">
        <f>(-5-((((-5*(-5/((-5/(((-5*(-16.41--5))-(-5+((-5*-16.41)*(((-5--5)+(-16.41--5))+-16.41))))-(-5+-5)))*-5)))/-5)--5)+(-5*(((-16.41*(-16.41-(-5/-5)))*(-16.41-(-16.41/(-5*-16.41))))-(-5/-5)))))</f>
        <v>-22699.894804999996</v>
      </c>
      <c r="C8360" t="n" s="0">
        <v>-22699.894805</v>
      </c>
    </row>
    <row r="8361">
      <c r="A8361" t="n" s="0">
        <v>-16.4</v>
      </c>
      <c r="B8361" t="n" s="0">
        <f>(-5-((((-5*(-5/((-5/(((-5*(-16.4--5))-(-5+((-5*-16.4)*(((-5--5)+(-16.4--5))+-16.4))))-(-5+-5)))*-5)))/-5)--5)+(-5*(((-16.4*(-16.4-(-5/-5)))*(-16.4-(-16.4/(-5*-16.4))))-(-5/-5)))))</f>
        <v>-22658.84</v>
      </c>
      <c r="C8361" t="n" s="0">
        <v>-22658.839999999993</v>
      </c>
    </row>
    <row r="8362">
      <c r="A8362" t="n" s="0">
        <v>-16.39</v>
      </c>
      <c r="B8362" t="n" s="0">
        <f>(-5-((((-5*(-5/((-5/(((-5*(-16.39--5))-(-5+((-5*-16.39)*(((-5--5)+(-16.39--5))+-16.39))))-(-5+-5)))*-5)))/-5)--5)+(-5*(((-16.39*(-16.39-(-5/-5)))*(-16.39-(-16.39/(-5*-16.39))))-(-5/-5)))))</f>
        <v>-22617.834794999995</v>
      </c>
      <c r="C8362" t="n" s="0">
        <v>-22617.834795000002</v>
      </c>
    </row>
    <row r="8363">
      <c r="A8363" t="n" s="0">
        <v>-16.38</v>
      </c>
      <c r="B8363" t="n" s="0">
        <f>(-5-((((-5*(-5/((-5/(((-5*(-16.38--5))-(-5+((-5*-16.38)*(((-5--5)+(-16.38--5))+-16.38))))-(-5+-5)))*-5)))/-5)--5)+(-5*(((-16.38*(-16.38-(-5/-5)))*(-16.38-(-16.38/(-5*-16.38))))-(-5/-5)))))</f>
        <v>-22576.87916</v>
      </c>
      <c r="C8363" t="n" s="0">
        <v>-22576.879159999997</v>
      </c>
    </row>
    <row r="8364">
      <c r="A8364" t="n" s="0">
        <v>-16.37</v>
      </c>
      <c r="B8364" t="n" s="0">
        <f>(-5-((((-5*(-5/((-5/(((-5*(-16.37--5))-(-5+((-5*-16.37)*(((-5--5)+(-16.37--5))+-16.37))))-(-5+-5)))*-5)))/-5)--5)+(-5*(((-16.37*(-16.37-(-5/-5)))*(-16.37-(-16.37/(-5*-16.37))))-(-5/-5)))))</f>
        <v>-22535.973065000002</v>
      </c>
      <c r="C8364" t="n" s="0">
        <v>-22535.973065000002</v>
      </c>
    </row>
    <row r="8365">
      <c r="A8365" t="n" s="0">
        <v>-16.36</v>
      </c>
      <c r="B8365" t="n" s="0">
        <f>(-5-((((-5*(-5/((-5/(((-5*(-16.36--5))-(-5+((-5*-16.36)*(((-5--5)+(-16.36--5))+-16.36))))-(-5+-5)))*-5)))/-5)--5)+(-5*(((-16.36*(-16.36-(-5/-5)))*(-16.36-(-16.36/(-5*-16.36))))-(-5/-5)))))</f>
        <v>-22495.116480000004</v>
      </c>
      <c r="C8365" t="n" s="0">
        <v>-22495.116479999997</v>
      </c>
    </row>
    <row r="8366">
      <c r="A8366" t="n" s="0">
        <v>-16.35</v>
      </c>
      <c r="B8366" t="n" s="0">
        <f>(-5-((((-5*(-5/((-5/(((-5*(-16.35--5))-(-5+((-5*-16.35)*(((-5--5)+(-16.35--5))+-16.35))))-(-5+-5)))*-5)))/-5)--5)+(-5*(((-16.35*(-16.35-(-5/-5)))*(-16.35-(-16.35/(-5*-16.35))))-(-5/-5)))))</f>
        <v>-22454.309375</v>
      </c>
      <c r="C8366" t="n" s="0">
        <v>-22454.309375000004</v>
      </c>
    </row>
    <row r="8367">
      <c r="A8367" t="n" s="0">
        <v>-16.34</v>
      </c>
      <c r="B8367" t="n" s="0">
        <f>(-5-((((-5*(-5/((-5/(((-5*(-16.34--5))-(-5+((-5*-16.34)*(((-5--5)+(-16.34--5))+-16.34))))-(-5+-5)))*-5)))/-5)--5)+(-5*(((-16.34*(-16.34-(-5/-5)))*(-16.34-(-16.34/(-5*-16.34))))-(-5/-5)))))</f>
        <v>-22413.55172</v>
      </c>
      <c r="C8367" t="n" s="0">
        <v>-22413.551720000003</v>
      </c>
    </row>
    <row r="8368">
      <c r="A8368" t="n" s="0">
        <v>-16.33</v>
      </c>
      <c r="B8368" t="n" s="0">
        <f>(-5-((((-5*(-5/((-5/(((-5*(-16.33--5))-(-5+((-5*-16.33)*(((-5--5)+(-16.33--5))+-16.33))))-(-5+-5)))*-5)))/-5)--5)+(-5*(((-16.33*(-16.33-(-5/-5)))*(-16.33-(-16.33/(-5*-16.33))))-(-5/-5)))))</f>
        <v>-22372.843484999998</v>
      </c>
      <c r="C8368" t="n" s="0">
        <v>-22372.843484999994</v>
      </c>
    </row>
    <row r="8369">
      <c r="A8369" t="n" s="0">
        <v>-16.32</v>
      </c>
      <c r="B8369" t="n" s="0">
        <f>(-5-((((-5*(-5/((-5/(((-5*(-16.32--5))-(-5+((-5*-16.32)*(((-5--5)+(-16.32--5))+-16.32))))-(-5+-5)))*-5)))/-5)--5)+(-5*(((-16.32*(-16.32-(-5/-5)))*(-16.32-(-16.32/(-5*-16.32))))-(-5/-5)))))</f>
        <v>-22332.18464</v>
      </c>
      <c r="C8369" t="n" s="0">
        <v>-22332.184640000003</v>
      </c>
    </row>
    <row r="8370">
      <c r="A8370" t="n" s="0">
        <v>-16.31</v>
      </c>
      <c r="B8370" t="n" s="0">
        <f>(-5-((((-5*(-5/((-5/(((-5*(-16.31--5))-(-5+((-5*-16.31)*(((-5--5)+(-16.31--5))+-16.31))))-(-5+-5)))*-5)))/-5)--5)+(-5*(((-16.31*(-16.31-(-5/-5)))*(-16.31-(-16.31/(-5*-16.31))))-(-5/-5)))))</f>
        <v>-22291.575155000002</v>
      </c>
      <c r="C8370" t="n" s="0">
        <v>-22291.575154999995</v>
      </c>
    </row>
    <row r="8371">
      <c r="A8371" t="n" s="0">
        <v>-16.3</v>
      </c>
      <c r="B8371" t="n" s="0">
        <f>(-5-((((-5*(-5/((-5/(((-5*(-16.3--5))-(-5+((-5*-16.3)*(((-5--5)+(-16.3--5))+-16.3))))-(-5+-5)))*-5)))/-5)--5)+(-5*(((-16.3*(-16.3-(-5/-5)))*(-16.3-(-16.3/(-5*-16.3))))-(-5/-5)))))</f>
        <v>-22251.015000000003</v>
      </c>
      <c r="C8371" t="n" s="0">
        <v>-22251.015000000003</v>
      </c>
    </row>
    <row r="8372">
      <c r="A8372" t="n" s="0">
        <v>-16.29</v>
      </c>
      <c r="B8372" t="n" s="0">
        <f>(-5-((((-5*(-5/((-5/(((-5*(-16.29--5))-(-5+((-5*-16.29)*(((-5--5)+(-16.29--5))+-16.29))))-(-5+-5)))*-5)))/-5)--5)+(-5*(((-16.29*(-16.29-(-5/-5)))*(-16.29-(-16.29/(-5*-16.29))))-(-5/-5)))))</f>
        <v>-22210.504145000003</v>
      </c>
      <c r="C8372" t="n" s="0">
        <v>-22210.504145</v>
      </c>
    </row>
    <row r="8373">
      <c r="A8373" t="n" s="0">
        <v>-16.28</v>
      </c>
      <c r="B8373" t="n" s="0">
        <f>(-5-((((-5*(-5/((-5/(((-5*(-16.28--5))-(-5+((-5*-16.28)*(((-5--5)+(-16.28--5))+-16.28))))-(-5+-5)))*-5)))/-5)--5)+(-5*(((-16.28*(-16.28-(-5/-5)))*(-16.28-(-16.28/(-5*-16.28))))-(-5/-5)))))</f>
        <v>-22170.04256</v>
      </c>
      <c r="C8373" t="n" s="0">
        <v>-22170.042560000005</v>
      </c>
    </row>
    <row r="8374">
      <c r="A8374" t="n" s="0">
        <v>-16.27</v>
      </c>
      <c r="B8374" t="n" s="0">
        <f>(-5-((((-5*(-5/((-5/(((-5*(-16.27--5))-(-5+((-5*-16.27)*(((-5--5)+(-16.27--5))+-16.27))))-(-5+-5)))*-5)))/-5)--5)+(-5*(((-16.27*(-16.27-(-5/-5)))*(-16.27-(-16.27/(-5*-16.27))))-(-5/-5)))))</f>
        <v>-22129.630215000005</v>
      </c>
      <c r="C8374" t="n" s="0">
        <v>-22129.630214999997</v>
      </c>
    </row>
    <row r="8375">
      <c r="A8375" t="n" s="0">
        <v>-16.26</v>
      </c>
      <c r="B8375" t="n" s="0">
        <f>(-5-((((-5*(-5/((-5/(((-5*(-16.26--5))-(-5+((-5*-16.26)*(((-5--5)+(-16.26--5))+-16.26))))-(-5+-5)))*-5)))/-5)--5)+(-5*(((-16.26*(-16.26-(-5/-5)))*(-16.26-(-16.26/(-5*-16.26))))-(-5/-5)))))</f>
        <v>-22089.26708</v>
      </c>
      <c r="C8375" t="n" s="0">
        <v>-22089.26708</v>
      </c>
    </row>
    <row r="8376">
      <c r="A8376" t="n" s="0">
        <v>-16.25</v>
      </c>
      <c r="B8376" t="n" s="0">
        <f>(-5-((((-5*(-5/((-5/(((-5*(-16.25--5))-(-5+((-5*-16.25)*(((-5--5)+(-16.25--5))+-16.25))))-(-5+-5)))*-5)))/-5)--5)+(-5*(((-16.25*(-16.25-(-5/-5)))*(-16.25-(-16.25/(-5*-16.25))))-(-5/-5)))))</f>
        <v>-22048.953124999996</v>
      </c>
      <c r="C8376" t="n" s="0">
        <v>-22048.953125</v>
      </c>
    </row>
    <row r="8377">
      <c r="A8377" t="n" s="0">
        <v>-16.24</v>
      </c>
      <c r="B8377" t="n" s="0">
        <f>(-5-((((-5*(-5/((-5/(((-5*(-16.24--5))-(-5+((-5*-16.24)*(((-5--5)+(-16.24--5))+-16.24))))-(-5+-5)))*-5)))/-5)--5)+(-5*(((-16.24*(-16.24-(-5/-5)))*(-16.24-(-16.24/(-5*-16.24))))-(-5/-5)))))</f>
        <v>-22008.688319999994</v>
      </c>
      <c r="C8377" t="n" s="0">
        <v>-22008.688319999994</v>
      </c>
    </row>
    <row r="8378">
      <c r="A8378" t="n" s="0">
        <v>-16.23</v>
      </c>
      <c r="B8378" t="n" s="0">
        <f>(-5-((((-5*(-5/((-5/(((-5*(-16.23--5))-(-5+((-5*-16.23)*(((-5--5)+(-16.23--5))+-16.23))))-(-5+-5)))*-5)))/-5)--5)+(-5*(((-16.23*(-16.23-(-5/-5)))*(-16.23-(-16.23/(-5*-16.23))))-(-5/-5)))))</f>
        <v>-21968.472635000002</v>
      </c>
      <c r="C8378" t="n" s="0">
        <v>-21968.472635</v>
      </c>
    </row>
    <row r="8379">
      <c r="A8379" t="n" s="0">
        <v>-16.22</v>
      </c>
      <c r="B8379" t="n" s="0">
        <f>(-5-((((-5*(-5/((-5/(((-5*(-16.22--5))-(-5+((-5*-16.22)*(((-5--5)+(-16.22--5))+-16.22))))-(-5+-5)))*-5)))/-5)--5)+(-5*(((-16.22*(-16.22-(-5/-5)))*(-16.22-(-16.22/(-5*-16.22))))-(-5/-5)))))</f>
        <v>-21928.306040000003</v>
      </c>
      <c r="C8379" t="n" s="0">
        <v>-21928.30604</v>
      </c>
    </row>
    <row r="8380">
      <c r="A8380" t="n" s="0">
        <v>-16.21</v>
      </c>
      <c r="B8380" t="n" s="0">
        <f>(-5-((((-5*(-5/((-5/(((-5*(-16.21--5))-(-5+((-5*-16.21)*(((-5--5)+(-16.21--5))+-16.21))))-(-5+-5)))*-5)))/-5)--5)+(-5*(((-16.21*(-16.21-(-5/-5)))*(-16.21-(-16.21/(-5*-16.21))))-(-5/-5)))))</f>
        <v>-21888.188505000002</v>
      </c>
      <c r="C8380" t="n" s="0">
        <v>-21888.188505000006</v>
      </c>
    </row>
    <row r="8381">
      <c r="A8381" t="n" s="0">
        <v>-16.2</v>
      </c>
      <c r="B8381" t="n" s="0">
        <f>(-5-((((-5*(-5/((-5/(((-5*(-16.2--5))-(-5+((-5*-16.2)*(((-5--5)+(-16.2--5))+-16.2))))-(-5+-5)))*-5)))/-5)--5)+(-5*(((-16.2*(-16.2-(-5/-5)))*(-16.2-(-16.2/(-5*-16.2))))-(-5/-5)))))</f>
        <v>-21848.12</v>
      </c>
      <c r="C8381" t="n" s="0">
        <v>-21848.119999999995</v>
      </c>
    </row>
    <row r="8382">
      <c r="A8382" t="n" s="0">
        <v>-16.19</v>
      </c>
      <c r="B8382" t="n" s="0">
        <f>(-5-((((-5*(-5/((-5/(((-5*(-16.19--5))-(-5+((-5*-16.19)*(((-5--5)+(-16.19--5))+-16.19))))-(-5+-5)))*-5)))/-5)--5)+(-5*(((-16.19*(-16.19-(-5/-5)))*(-16.19-(-16.19/(-5*-16.19))))-(-5/-5)))))</f>
        <v>-21808.100495</v>
      </c>
      <c r="C8382" t="n" s="0">
        <v>-21808.100495000002</v>
      </c>
    </row>
    <row r="8383">
      <c r="A8383" t="n" s="0">
        <v>-16.18</v>
      </c>
      <c r="B8383" t="n" s="0">
        <f>(-5-((((-5*(-5/((-5/(((-5*(-16.18--5))-(-5+((-5*-16.18)*(((-5--5)+(-16.18--5))+-16.18))))-(-5+-5)))*-5)))/-5)--5)+(-5*(((-16.18*(-16.18-(-5/-5)))*(-16.18-(-16.18/(-5*-16.18))))-(-5/-5)))))</f>
        <v>-21768.129960000002</v>
      </c>
      <c r="C8383" t="n" s="0">
        <v>-21768.12996</v>
      </c>
    </row>
    <row r="8384">
      <c r="A8384" t="n" s="0">
        <v>-16.17</v>
      </c>
      <c r="B8384" t="n" s="0">
        <f>(-5-((((-5*(-5/((-5/(((-5*(-16.17--5))-(-5+((-5*-16.17)*(((-5--5)+(-16.17--5))+-16.17))))-(-5+-5)))*-5)))/-5)--5)+(-5*(((-16.17*(-16.17-(-5/-5)))*(-16.17-(-16.17/(-5*-16.17))))-(-5/-5)))))</f>
        <v>-21728.208365</v>
      </c>
      <c r="C8384" t="n" s="0">
        <v>-21728.208365000002</v>
      </c>
    </row>
    <row r="8385">
      <c r="A8385" t="n" s="0">
        <v>-16.16</v>
      </c>
      <c r="B8385" t="n" s="0">
        <f>(-5-((((-5*(-5/((-5/(((-5*(-16.16--5))-(-5+((-5*-16.16)*(((-5--5)+(-16.16--5))+-16.16))))-(-5+-5)))*-5)))/-5)--5)+(-5*(((-16.16*(-16.16-(-5/-5)))*(-16.16-(-16.16/(-5*-16.16))))-(-5/-5)))))</f>
        <v>-21688.335680000004</v>
      </c>
      <c r="C8385" t="n" s="0">
        <v>-21688.33568</v>
      </c>
    </row>
    <row r="8386">
      <c r="A8386" t="n" s="0">
        <v>-16.15</v>
      </c>
      <c r="B8386" t="n" s="0">
        <f>(-5-((((-5*(-5/((-5/(((-5*(-16.15--5))-(-5+((-5*-16.15)*(((-5--5)+(-16.15--5))+-16.15))))-(-5+-5)))*-5)))/-5)--5)+(-5*(((-16.15*(-16.15-(-5/-5)))*(-16.15-(-16.15/(-5*-16.15))))-(-5/-5)))))</f>
        <v>-21648.511875</v>
      </c>
      <c r="C8386" t="n" s="0">
        <v>-21648.511874999997</v>
      </c>
    </row>
    <row r="8387">
      <c r="A8387" t="n" s="0">
        <v>-16.14</v>
      </c>
      <c r="B8387" t="n" s="0">
        <f>(-5-((((-5*(-5/((-5/(((-5*(-16.14--5))-(-5+((-5*-16.14)*(((-5--5)+(-16.14--5))+-16.14))))-(-5+-5)))*-5)))/-5)--5)+(-5*(((-16.14*(-16.14-(-5/-5)))*(-16.14-(-16.14/(-5*-16.14))))-(-5/-5)))))</f>
        <v>-21608.736920000003</v>
      </c>
      <c r="C8387" t="n" s="0">
        <v>-21608.736919999996</v>
      </c>
    </row>
    <row r="8388">
      <c r="A8388" t="n" s="0">
        <v>-16.13</v>
      </c>
      <c r="B8388" t="n" s="0">
        <f>(-5-((((-5*(-5/((-5/(((-5*(-16.13--5))-(-5+((-5*-16.13)*(((-5--5)+(-16.13--5))+-16.13))))-(-5+-5)))*-5)))/-5)--5)+(-5*(((-16.13*(-16.13-(-5/-5)))*(-16.13-(-16.13/(-5*-16.13))))-(-5/-5)))))</f>
        <v>-21569.010785000002</v>
      </c>
      <c r="C8388" t="n" s="0">
        <v>-21569.010784999995</v>
      </c>
    </row>
    <row r="8389">
      <c r="A8389" t="n" s="0">
        <v>-16.12</v>
      </c>
      <c r="B8389" t="n" s="0">
        <f>(-5-((((-5*(-5/((-5/(((-5*(-16.12--5))-(-5+((-5*-16.12)*(((-5--5)+(-16.12--5))+-16.12))))-(-5+-5)))*-5)))/-5)--5)+(-5*(((-16.12*(-16.12-(-5/-5)))*(-16.12-(-16.12/(-5*-16.12))))-(-5/-5)))))</f>
        <v>-21529.33344</v>
      </c>
      <c r="C8389" t="n" s="0">
        <v>-21529.333440000006</v>
      </c>
    </row>
    <row r="8390">
      <c r="A8390" t="n" s="0">
        <v>-16.11</v>
      </c>
      <c r="B8390" t="n" s="0">
        <f>(-5-((((-5*(-5/((-5/(((-5*(-16.11--5))-(-5+((-5*-16.11)*(((-5--5)+(-16.11--5))+-16.11))))-(-5+-5)))*-5)))/-5)--5)+(-5*(((-16.11*(-16.11-(-5/-5)))*(-16.11-(-16.11/(-5*-16.11))))-(-5/-5)))))</f>
        <v>-21489.704855</v>
      </c>
      <c r="C8390" t="n" s="0">
        <v>-21489.704855</v>
      </c>
    </row>
    <row r="8391">
      <c r="A8391" t="n" s="0">
        <v>-16.1</v>
      </c>
      <c r="B8391" t="n" s="0">
        <f>(-5-((((-5*(-5/((-5/(((-5*(-16.1--5))-(-5+((-5*-16.1)*(((-5--5)+(-16.1--5))+-16.1))))-(-5+-5)))*-5)))/-5)--5)+(-5*(((-16.1*(-16.1-(-5/-5)))*(-16.1-(-16.1/(-5*-16.1))))-(-5/-5)))))</f>
        <v>-21450.125</v>
      </c>
      <c r="C8391" t="n" s="0">
        <v>-21450.125000000004</v>
      </c>
    </row>
    <row r="8392">
      <c r="A8392" t="n" s="0">
        <v>-16.09</v>
      </c>
      <c r="B8392" t="n" s="0">
        <f>(-5-((((-5*(-5/((-5/(((-5*(-16.09--5))-(-5+((-5*-16.09)*(((-5--5)+(-16.09--5))+-16.09))))-(-5+-5)))*-5)))/-5)--5)+(-5*(((-16.09*(-16.09-(-5/-5)))*(-16.09-(-16.09/(-5*-16.09))))-(-5/-5)))))</f>
        <v>-21410.593845</v>
      </c>
      <c r="C8392" t="n" s="0">
        <v>-21410.593845</v>
      </c>
    </row>
    <row r="8393">
      <c r="A8393" t="n" s="0">
        <v>-16.08</v>
      </c>
      <c r="B8393" t="n" s="0">
        <f>(-5-((((-5*(-5/((-5/(((-5*(-16.08--5))-(-5+((-5*-16.08)*(((-5--5)+(-16.08--5))+-16.08))))-(-5+-5)))*-5)))/-5)--5)+(-5*(((-16.08*(-16.08-(-5/-5)))*(-16.08-(-16.08/(-5*-16.08))))-(-5/-5)))))</f>
        <v>-21371.11136</v>
      </c>
      <c r="C8393" t="n" s="0">
        <v>-21371.11135999999</v>
      </c>
    </row>
    <row r="8394">
      <c r="A8394" t="n" s="0">
        <v>-16.07</v>
      </c>
      <c r="B8394" t="n" s="0">
        <f>(-5-((((-5*(-5/((-5/(((-5*(-16.07--5))-(-5+((-5*-16.07)*(((-5--5)+(-16.07--5))+-16.07))))-(-5+-5)))*-5)))/-5)--5)+(-5*(((-16.07*(-16.07-(-5/-5)))*(-16.07-(-16.07/(-5*-16.07))))-(-5/-5)))))</f>
        <v>-21331.677515</v>
      </c>
      <c r="C8394" t="n" s="0">
        <v>-21331.677515</v>
      </c>
    </row>
    <row r="8395">
      <c r="A8395" t="n" s="0">
        <v>-16.06</v>
      </c>
      <c r="B8395" t="n" s="0">
        <f>(-5-((((-5*(-5/((-5/(((-5*(-16.06--5))-(-5+((-5*-16.06)*(((-5--5)+(-16.06--5))+-16.06))))-(-5+-5)))*-5)))/-5)--5)+(-5*(((-16.06*(-16.06-(-5/-5)))*(-16.06-(-16.06/(-5*-16.06))))-(-5/-5)))))</f>
        <v>-21292.29228</v>
      </c>
      <c r="C8395" t="n" s="0">
        <v>-21292.292279999994</v>
      </c>
    </row>
    <row r="8396">
      <c r="A8396" t="n" s="0">
        <v>-16.05</v>
      </c>
      <c r="B8396" t="n" s="0">
        <f>(-5-((((-5*(-5/((-5/(((-5*(-16.05--5))-(-5+((-5*-16.05)*(((-5--5)+(-16.05--5))+-16.05))))-(-5+-5)))*-5)))/-5)--5)+(-5*(((-16.05*(-16.05-(-5/-5)))*(-16.05-(-16.05/(-5*-16.05))))-(-5/-5)))))</f>
        <v>-21252.955625</v>
      </c>
      <c r="C8396" t="n" s="0">
        <v>-21252.95562500001</v>
      </c>
    </row>
    <row r="8397">
      <c r="A8397" t="n" s="0">
        <v>-16.04</v>
      </c>
      <c r="B8397" t="n" s="0">
        <f>(-5-((((-5*(-5/((-5/(((-5*(-16.04--5))-(-5+((-5*-16.04)*(((-5--5)+(-16.04--5))+-16.04))))-(-5+-5)))*-5)))/-5)--5)+(-5*(((-16.04*(-16.04-(-5/-5)))*(-16.04-(-16.04/(-5*-16.04))))-(-5/-5)))))</f>
        <v>-21213.667519999995</v>
      </c>
      <c r="C8397" t="n" s="0">
        <v>-21213.667519999995</v>
      </c>
    </row>
    <row r="8398">
      <c r="A8398" t="n" s="0">
        <v>-16.03</v>
      </c>
      <c r="B8398" t="n" s="0">
        <f>(-5-((((-5*(-5/((-5/(((-5*(-16.03--5))-(-5+((-5*-16.03)*(((-5--5)+(-16.03--5))+-16.03))))-(-5+-5)))*-5)))/-5)--5)+(-5*(((-16.03*(-16.03-(-5/-5)))*(-16.03-(-16.03/(-5*-16.03))))-(-5/-5)))))</f>
        <v>-21174.427935</v>
      </c>
      <c r="C8398" t="n" s="0">
        <v>-21174.427935000007</v>
      </c>
    </row>
    <row r="8399">
      <c r="A8399" t="n" s="0">
        <v>-16.02</v>
      </c>
      <c r="B8399" t="n" s="0">
        <f>(-5-((((-5*(-5/((-5/(((-5*(-16.02--5))-(-5+((-5*-16.02)*(((-5--5)+(-16.02--5))+-16.02))))-(-5+-5)))*-5)))/-5)--5)+(-5*(((-16.02*(-16.02-(-5/-5)))*(-16.02-(-16.02/(-5*-16.02))))-(-5/-5)))))</f>
        <v>-21135.236839999998</v>
      </c>
      <c r="C8399" t="n" s="0">
        <v>-21135.236839999998</v>
      </c>
    </row>
    <row r="8400">
      <c r="A8400" t="n" s="0">
        <v>-16.01</v>
      </c>
      <c r="B8400" t="n" s="0">
        <f>(-5-((((-5*(-5/((-5/(((-5*(-16.01--5))-(-5+((-5*-16.01)*(((-5--5)+(-16.01--5))+-16.01))))-(-5+-5)))*-5)))/-5)--5)+(-5*(((-16.01*(-16.01-(-5/-5)))*(-16.01-(-16.01/(-5*-16.01))))-(-5/-5)))))</f>
        <v>-21096.094204999998</v>
      </c>
      <c r="C8400" t="n" s="0">
        <v>-21096.09420500001</v>
      </c>
    </row>
    <row r="8401">
      <c r="A8401" t="n" s="0">
        <v>-16.0</v>
      </c>
      <c r="B8401" t="n" s="0">
        <f>(-5-((((-5*(-5/((-5/(((-5*(-16--5))-(-5+((-5*-16)*(((-5--5)+(-16--5))+-16))))-(-5+-5)))*-5)))/-5)--5)+(-5*(((-16*(-16-(-5/-5)))*(-16-(-16/(-5*-16))))-(-5/-5)))))</f>
        <v>-21057.000000000004</v>
      </c>
      <c r="C8401" t="n" s="0">
        <v>-21057.0</v>
      </c>
    </row>
    <row r="8402">
      <c r="A8402" t="n" s="0">
        <v>-15.99</v>
      </c>
      <c r="B8402" t="n" s="0">
        <f>(-5-((((-5*(-5/((-5/(((-5*(-15.99--5))-(-5+((-5*-15.99)*(((-5--5)+(-15.99--5))+-15.99))))-(-5+-5)))*-5)))/-5)--5)+(-5*(((-15.99*(-15.99-(-5/-5)))*(-15.99-(-15.99/(-5*-15.99))))-(-5/-5)))))</f>
        <v>-21017.954195000002</v>
      </c>
      <c r="C8402" t="n" s="0">
        <v>-21017.954195000002</v>
      </c>
    </row>
    <row r="8403">
      <c r="A8403" t="n" s="0">
        <v>-15.98</v>
      </c>
      <c r="B8403" t="n" s="0">
        <f>(-5-((((-5*(-5/((-5/(((-5*(-15.98--5))-(-5+((-5*-15.98)*(((-5--5)+(-15.98--5))+-15.98))))-(-5+-5)))*-5)))/-5)--5)+(-5*(((-15.98*(-15.98-(-5/-5)))*(-15.98-(-15.98/(-5*-15.98))))-(-5/-5)))))</f>
        <v>-20978.95676</v>
      </c>
      <c r="C8403" t="n" s="0">
        <v>-20978.95676</v>
      </c>
    </row>
    <row r="8404">
      <c r="A8404" t="n" s="0">
        <v>-15.97</v>
      </c>
      <c r="B8404" t="n" s="0">
        <f>(-5-((((-5*(-5/((-5/(((-5*(-15.97--5))-(-5+((-5*-15.97)*(((-5--5)+(-15.97--5))+-15.97))))-(-5+-5)))*-5)))/-5)--5)+(-5*(((-15.97*(-15.97-(-5/-5)))*(-15.97-(-15.97/(-5*-15.97))))-(-5/-5)))))</f>
        <v>-20940.007664999997</v>
      </c>
      <c r="C8404" t="n" s="0">
        <v>-20940.007665</v>
      </c>
    </row>
    <row r="8405">
      <c r="A8405" t="n" s="0">
        <v>-15.96</v>
      </c>
      <c r="B8405" t="n" s="0">
        <f>(-5-((((-5*(-5/((-5/(((-5*(-15.96--5))-(-5+((-5*-15.96)*(((-5--5)+(-15.96--5))+-15.96))))-(-5+-5)))*-5)))/-5)--5)+(-5*(((-15.96*(-15.96-(-5/-5)))*(-15.96-(-15.96/(-5*-15.96))))-(-5/-5)))))</f>
        <v>-20901.10688</v>
      </c>
      <c r="C8405" t="n" s="0">
        <v>-20901.106880000007</v>
      </c>
    </row>
    <row r="8406">
      <c r="A8406" t="n" s="0">
        <v>-15.95</v>
      </c>
      <c r="B8406" t="n" s="0">
        <f>(-5-((((-5*(-5/((-5/(((-5*(-15.95--5))-(-5+((-5*-15.95)*(((-5--5)+(-15.95--5))+-15.95))))-(-5+-5)))*-5)))/-5)--5)+(-5*(((-15.95*(-15.95-(-5/-5)))*(-15.95-(-15.95/(-5*-15.95))))-(-5/-5)))))</f>
        <v>-20862.254375000004</v>
      </c>
      <c r="C8406" t="n" s="0">
        <v>-20862.254374999997</v>
      </c>
    </row>
    <row r="8407">
      <c r="A8407" t="n" s="0">
        <v>-15.94</v>
      </c>
      <c r="B8407" t="n" s="0">
        <f>(-5-((((-5*(-5/((-5/(((-5*(-15.94--5))-(-5+((-5*-15.94)*(((-5--5)+(-15.94--5))+-15.94))))-(-5+-5)))*-5)))/-5)--5)+(-5*(((-15.94*(-15.94-(-5/-5)))*(-15.94-(-15.94/(-5*-15.94))))-(-5/-5)))))</f>
        <v>-20823.450119999998</v>
      </c>
      <c r="C8407" t="n" s="0">
        <v>-20823.450119999998</v>
      </c>
    </row>
    <row r="8408">
      <c r="A8408" t="n" s="0">
        <v>-15.93</v>
      </c>
      <c r="B8408" t="n" s="0">
        <f>(-5-((((-5*(-5/((-5/(((-5*(-15.93--5))-(-5+((-5*-15.93)*(((-5--5)+(-15.93--5))+-15.93))))-(-5+-5)))*-5)))/-5)--5)+(-5*(((-15.93*(-15.93-(-5/-5)))*(-15.93-(-15.93/(-5*-15.93))))-(-5/-5)))))</f>
        <v>-20784.694085</v>
      </c>
      <c r="C8408" t="n" s="0">
        <v>-20784.694085</v>
      </c>
    </row>
    <row r="8409">
      <c r="A8409" t="n" s="0">
        <v>-15.92</v>
      </c>
      <c r="B8409" t="n" s="0">
        <f>(-5-((((-5*(-5/((-5/(((-5*(-15.92--5))-(-5+((-5*-15.92)*(((-5--5)+(-15.92--5))+-15.92))))-(-5+-5)))*-5)))/-5)--5)+(-5*(((-15.92*(-15.92-(-5/-5)))*(-15.92-(-15.92/(-5*-15.92))))-(-5/-5)))))</f>
        <v>-20745.98624</v>
      </c>
      <c r="C8409" t="n" s="0">
        <v>-20745.986240000002</v>
      </c>
    </row>
    <row r="8410">
      <c r="A8410" t="n" s="0">
        <v>-15.91</v>
      </c>
      <c r="B8410" t="n" s="0">
        <f>(-5-((((-5*(-5/((-5/(((-5*(-15.91--5))-(-5+((-5*-15.91)*(((-5--5)+(-15.91--5))+-15.91))))-(-5+-5)))*-5)))/-5)--5)+(-5*(((-15.91*(-15.91-(-5/-5)))*(-15.91-(-15.91/(-5*-15.91))))-(-5/-5)))))</f>
        <v>-20707.326555</v>
      </c>
      <c r="C8410" t="n" s="0">
        <v>-20707.326555</v>
      </c>
    </row>
    <row r="8411">
      <c r="A8411" t="n" s="0">
        <v>-15.9</v>
      </c>
      <c r="B8411" t="n" s="0">
        <f>(-5-((((-5*(-5/((-5/(((-5*(-15.9--5))-(-5+((-5*-15.9)*(((-5--5)+(-15.9--5))+-15.9))))-(-5+-5)))*-5)))/-5)--5)+(-5*(((-15.9*(-15.9-(-5/-5)))*(-15.9-(-15.9/(-5*-15.9))))-(-5/-5)))))</f>
        <v>-20668.715</v>
      </c>
      <c r="C8411" t="n" s="0">
        <v>-20668.715</v>
      </c>
    </row>
    <row r="8412">
      <c r="A8412" t="n" s="0">
        <v>-15.89</v>
      </c>
      <c r="B8412" t="n" s="0">
        <f>(-5-((((-5*(-5/((-5/(((-5*(-15.89--5))-(-5+((-5*-15.89)*(((-5--5)+(-15.89--5))+-15.89))))-(-5+-5)))*-5)))/-5)--5)+(-5*(((-15.89*(-15.89-(-5/-5)))*(-15.89-(-15.89/(-5*-15.89))))-(-5/-5)))))</f>
        <v>-20630.151544999997</v>
      </c>
      <c r="C8412" t="n" s="0">
        <v>-20630.151544999997</v>
      </c>
    </row>
    <row r="8413">
      <c r="A8413" t="n" s="0">
        <v>-15.88</v>
      </c>
      <c r="B8413" t="n" s="0">
        <f>(-5-((((-5*(-5/((-5/(((-5*(-15.88--5))-(-5+((-5*-15.88)*(((-5--5)+(-15.88--5))+-15.88))))-(-5+-5)))*-5)))/-5)--5)+(-5*(((-15.88*(-15.88-(-5/-5)))*(-15.88-(-15.88/(-5*-15.88))))-(-5/-5)))))</f>
        <v>-20591.636160000002</v>
      </c>
      <c r="C8413" t="n" s="0">
        <v>-20591.636160000002</v>
      </c>
    </row>
    <row r="8414">
      <c r="A8414" t="n" s="0">
        <v>-15.87</v>
      </c>
      <c r="B8414" t="n" s="0">
        <f>(-5-((((-5*(-5/((-5/(((-5*(-15.87--5))-(-5+((-5*-15.87)*(((-5--5)+(-15.87--5))+-15.87))))-(-5+-5)))*-5)))/-5)--5)+(-5*(((-15.87*(-15.87-(-5/-5)))*(-15.87-(-15.87/(-5*-15.87))))-(-5/-5)))))</f>
        <v>-20553.168814999997</v>
      </c>
      <c r="C8414" t="n" s="0">
        <v>-20553.168814999997</v>
      </c>
    </row>
    <row r="8415">
      <c r="A8415" t="n" s="0">
        <v>-15.86</v>
      </c>
      <c r="B8415" t="n" s="0">
        <f>(-5-((((-5*(-5/((-5/(((-5*(-15.86--5))-(-5+((-5*-15.86)*(((-5--5)+(-15.86--5))+-15.86))))-(-5+-5)))*-5)))/-5)--5)+(-5*(((-15.86*(-15.86-(-5/-5)))*(-15.86-(-15.86/(-5*-15.86))))-(-5/-5)))))</f>
        <v>-20514.74948</v>
      </c>
      <c r="C8415" t="n" s="0">
        <v>-20514.74948</v>
      </c>
    </row>
    <row r="8416">
      <c r="A8416" t="n" s="0">
        <v>-15.85</v>
      </c>
      <c r="B8416" t="n" s="0">
        <f>(-5-((((-5*(-5/((-5/(((-5*(-15.85--5))-(-5+((-5*-15.85)*(((-5--5)+(-15.85--5))+-15.85))))-(-5+-5)))*-5)))/-5)--5)+(-5*(((-15.85*(-15.85-(-5/-5)))*(-15.85-(-15.85/(-5*-15.85))))-(-5/-5)))))</f>
        <v>-20476.378125000003</v>
      </c>
      <c r="C8416" t="n" s="0">
        <v>-20476.378125</v>
      </c>
    </row>
    <row r="8417">
      <c r="A8417" t="n" s="0">
        <v>-15.84</v>
      </c>
      <c r="B8417" t="n" s="0">
        <f>(-5-((((-5*(-5/((-5/(((-5*(-15.84--5))-(-5+((-5*-15.84)*(((-5--5)+(-15.84--5))+-15.84))))-(-5+-5)))*-5)))/-5)--5)+(-5*(((-15.84*(-15.84-(-5/-5)))*(-15.84-(-15.84/(-5*-15.84))))-(-5/-5)))))</f>
        <v>-20438.05472</v>
      </c>
      <c r="C8417" t="n" s="0">
        <v>-20438.05472</v>
      </c>
    </row>
    <row r="8418">
      <c r="A8418" t="n" s="0">
        <v>-15.83</v>
      </c>
      <c r="B8418" t="n" s="0">
        <f>(-5-((((-5*(-5/((-5/(((-5*(-15.83--5))-(-5+((-5*-15.83)*(((-5--5)+(-15.83--5))+-15.83))))-(-5+-5)))*-5)))/-5)--5)+(-5*(((-15.83*(-15.83-(-5/-5)))*(-15.83-(-15.83/(-5*-15.83))))-(-5/-5)))))</f>
        <v>-20399.779234999998</v>
      </c>
      <c r="C8418" t="n" s="0">
        <v>-20399.779235</v>
      </c>
    </row>
    <row r="8419">
      <c r="A8419" t="n" s="0">
        <v>-15.82</v>
      </c>
      <c r="B8419" t="n" s="0">
        <f>(-5-((((-5*(-5/((-5/(((-5*(-15.82--5))-(-5+((-5*-15.82)*(((-5--5)+(-15.82--5))+-15.82))))-(-5+-5)))*-5)))/-5)--5)+(-5*(((-15.82*(-15.82-(-5/-5)))*(-15.82-(-15.82/(-5*-15.82))))-(-5/-5)))))</f>
        <v>-20361.551639999998</v>
      </c>
      <c r="C8419" t="n" s="0">
        <v>-20361.55164</v>
      </c>
    </row>
    <row r="8420">
      <c r="A8420" t="n" s="0">
        <v>-15.81</v>
      </c>
      <c r="B8420" t="n" s="0">
        <f>(-5-((((-5*(-5/((-5/(((-5*(-15.81--5))-(-5+((-5*-15.81)*(((-5--5)+(-15.81--5))+-15.81))))-(-5+-5)))*-5)))/-5)--5)+(-5*(((-15.81*(-15.81-(-5/-5)))*(-15.81-(-15.81/(-5*-15.81))))-(-5/-5)))))</f>
        <v>-20323.371905</v>
      </c>
      <c r="C8420" t="n" s="0">
        <v>-20323.371905</v>
      </c>
    </row>
    <row r="8421">
      <c r="A8421" t="n" s="0">
        <v>-15.8</v>
      </c>
      <c r="B8421" t="n" s="0">
        <f>(-5-((((-5*(-5/((-5/(((-5*(-15.8--5))-(-5+((-5*-15.8)*(((-5--5)+(-15.8--5))+-15.8))))-(-5+-5)))*-5)))/-5)--5)+(-5*(((-15.8*(-15.8-(-5/-5)))*(-15.8-(-15.8/(-5*-15.8))))-(-5/-5)))))</f>
        <v>-20285.24</v>
      </c>
      <c r="C8421" t="n" s="0">
        <v>-20285.24</v>
      </c>
    </row>
    <row r="8422">
      <c r="A8422" t="n" s="0">
        <v>-15.79</v>
      </c>
      <c r="B8422" t="n" s="0">
        <f>(-5-((((-5*(-5/((-5/(((-5*(-15.79--5))-(-5+((-5*-15.79)*(((-5--5)+(-15.79--5))+-15.79))))-(-5+-5)))*-5)))/-5)--5)+(-5*(((-15.79*(-15.79-(-5/-5)))*(-15.79-(-15.79/(-5*-15.79))))-(-5/-5)))))</f>
        <v>-20247.155895</v>
      </c>
      <c r="C8422" t="n" s="0">
        <v>-20247.155894999996</v>
      </c>
    </row>
    <row r="8423">
      <c r="A8423" t="n" s="0">
        <v>-15.78</v>
      </c>
      <c r="B8423" t="n" s="0">
        <f>(-5-((((-5*(-5/((-5/(((-5*(-15.78--5))-(-5+((-5*-15.78)*(((-5--5)+(-15.78--5))+-15.78))))-(-5+-5)))*-5)))/-5)--5)+(-5*(((-15.78*(-15.78-(-5/-5)))*(-15.78-(-15.78/(-5*-15.78))))-(-5/-5)))))</f>
        <v>-20209.119560000003</v>
      </c>
      <c r="C8423" t="n" s="0">
        <v>-20209.11956</v>
      </c>
    </row>
    <row r="8424">
      <c r="A8424" t="n" s="0">
        <v>-15.77</v>
      </c>
      <c r="B8424" t="n" s="0">
        <f>(-5-((((-5*(-5/((-5/(((-5*(-15.77--5))-(-5+((-5*-15.77)*(((-5--5)+(-15.77--5))+-15.77))))-(-5+-5)))*-5)))/-5)--5)+(-5*(((-15.77*(-15.77-(-5/-5)))*(-15.77-(-15.77/(-5*-15.77))))-(-5/-5)))))</f>
        <v>-20171.130965</v>
      </c>
      <c r="C8424" t="n" s="0">
        <v>-20171.130965</v>
      </c>
    </row>
    <row r="8425">
      <c r="A8425" t="n" s="0">
        <v>-15.76</v>
      </c>
      <c r="B8425" t="n" s="0">
        <f>(-5-((((-5*(-5/((-5/(((-5*(-15.76--5))-(-5+((-5*-15.76)*(((-5--5)+(-15.76--5))+-15.76))))-(-5+-5)))*-5)))/-5)--5)+(-5*(((-15.76*(-15.76-(-5/-5)))*(-15.76-(-15.76/(-5*-15.76))))-(-5/-5)))))</f>
        <v>-20133.19008</v>
      </c>
      <c r="C8425" t="n" s="0">
        <v>-20133.190079999997</v>
      </c>
    </row>
    <row r="8426">
      <c r="A8426" t="n" s="0">
        <v>-15.75</v>
      </c>
      <c r="B8426" t="n" s="0">
        <f>(-5-((((-5*(-5/((-5/(((-5*(-15.75--5))-(-5+((-5*-15.75)*(((-5--5)+(-15.75--5))+-15.75))))-(-5+-5)))*-5)))/-5)--5)+(-5*(((-15.75*(-15.75-(-5/-5)))*(-15.75-(-15.75/(-5*-15.75))))-(-5/-5)))))</f>
        <v>-20095.296875</v>
      </c>
      <c r="C8426" t="n" s="0">
        <v>-20095.296875</v>
      </c>
    </row>
    <row r="8427">
      <c r="A8427" t="n" s="0">
        <v>-15.74</v>
      </c>
      <c r="B8427" t="n" s="0">
        <f>(-5-((((-5*(-5/((-5/(((-5*(-15.74--5))-(-5+((-5*-15.74)*(((-5--5)+(-15.74--5))+-15.74))))-(-5+-5)))*-5)))/-5)--5)+(-5*(((-15.74*(-15.74-(-5/-5)))*(-15.74-(-15.74/(-5*-15.74))))-(-5/-5)))))</f>
        <v>-20057.451319999996</v>
      </c>
      <c r="C8427" t="n" s="0">
        <v>-20057.451320000004</v>
      </c>
    </row>
    <row r="8428">
      <c r="A8428" t="n" s="0">
        <v>-15.73</v>
      </c>
      <c r="B8428" t="n" s="0">
        <f>(-5-((((-5*(-5/((-5/(((-5*(-15.73--5))-(-5+((-5*-15.73)*(((-5--5)+(-15.73--5))+-15.73))))-(-5+-5)))*-5)))/-5)--5)+(-5*(((-15.73*(-15.73-(-5/-5)))*(-15.73-(-15.73/(-5*-15.73))))-(-5/-5)))))</f>
        <v>-20019.653384999998</v>
      </c>
      <c r="C8428" t="n" s="0">
        <v>-20019.653385</v>
      </c>
    </row>
    <row r="8429">
      <c r="A8429" t="n" s="0">
        <v>-15.72</v>
      </c>
      <c r="B8429" t="n" s="0">
        <f>(-5-((((-5*(-5/((-5/(((-5*(-15.72--5))-(-5+((-5*-15.72)*(((-5--5)+(-15.72--5))+-15.72))))-(-5+-5)))*-5)))/-5)--5)+(-5*(((-15.72*(-15.72-(-5/-5)))*(-15.72-(-15.72/(-5*-15.72))))-(-5/-5)))))</f>
        <v>-19981.903039999997</v>
      </c>
      <c r="C8429" t="n" s="0">
        <v>-19981.90304</v>
      </c>
    </row>
    <row r="8430">
      <c r="A8430" t="n" s="0">
        <v>-15.71</v>
      </c>
      <c r="B8430" t="n" s="0">
        <f>(-5-((((-5*(-5/((-5/(((-5*(-15.71--5))-(-5+((-5*-15.71)*(((-5--5)+(-15.71--5))+-15.71))))-(-5+-5)))*-5)))/-5)--5)+(-5*(((-15.71*(-15.71-(-5/-5)))*(-15.71-(-15.71/(-5*-15.71))))-(-5/-5)))))</f>
        <v>-19944.200254999996</v>
      </c>
      <c r="C8430" t="n" s="0">
        <v>-19944.200255000003</v>
      </c>
    </row>
    <row r="8431">
      <c r="A8431" t="n" s="0">
        <v>-15.7</v>
      </c>
      <c r="B8431" t="n" s="0">
        <f>(-5-((((-5*(-5/((-5/(((-5*(-15.7--5))-(-5+((-5*-15.7)*(((-5--5)+(-15.7--5))+-15.7))))-(-5+-5)))*-5)))/-5)--5)+(-5*(((-15.7*(-15.7-(-5/-5)))*(-15.7-(-15.7/(-5*-15.7))))-(-5/-5)))))</f>
        <v>-19906.545000000002</v>
      </c>
      <c r="C8431" t="n" s="0">
        <v>-19906.544999999995</v>
      </c>
    </row>
    <row r="8432">
      <c r="A8432" t="n" s="0">
        <v>-15.69</v>
      </c>
      <c r="B8432" t="n" s="0">
        <f>(-5-((((-5*(-5/((-5/(((-5*(-15.69--5))-(-5+((-5*-15.69)*(((-5--5)+(-15.69--5))+-15.69))))-(-5+-5)))*-5)))/-5)--5)+(-5*(((-15.69*(-15.69-(-5/-5)))*(-15.69-(-15.69/(-5*-15.69))))-(-5/-5)))))</f>
        <v>-19868.937245</v>
      </c>
      <c r="C8432" t="n" s="0">
        <v>-19868.937244999997</v>
      </c>
    </row>
    <row r="8433">
      <c r="A8433" t="n" s="0">
        <v>-15.68</v>
      </c>
      <c r="B8433" t="n" s="0">
        <f>(-5-((((-5*(-5/((-5/(((-5*(-15.68--5))-(-5+((-5*-15.68)*(((-5--5)+(-15.68--5))+-15.68))))-(-5+-5)))*-5)))/-5)--5)+(-5*(((-15.68*(-15.68-(-5/-5)))*(-15.68-(-15.68/(-5*-15.68))))-(-5/-5)))))</f>
        <v>-19831.37696</v>
      </c>
      <c r="C8433" t="n" s="0">
        <v>-19831.376959999998</v>
      </c>
    </row>
    <row r="8434">
      <c r="A8434" t="n" s="0">
        <v>-15.67</v>
      </c>
      <c r="B8434" t="n" s="0">
        <f>(-5-((((-5*(-5/((-5/(((-5*(-15.67--5))-(-5+((-5*-15.67)*(((-5--5)+(-15.67--5))+-15.67))))-(-5+-5)))*-5)))/-5)--5)+(-5*(((-15.67*(-15.67-(-5/-5)))*(-15.67-(-15.67/(-5*-15.67))))-(-5/-5)))))</f>
        <v>-19793.864114999997</v>
      </c>
      <c r="C8434" t="n" s="0">
        <v>-19793.864114999997</v>
      </c>
    </row>
    <row r="8435">
      <c r="A8435" t="n" s="0">
        <v>-15.66</v>
      </c>
      <c r="B8435" t="n" s="0">
        <f>(-5-((((-5*(-5/((-5/(((-5*(-15.66--5))-(-5+((-5*-15.66)*(((-5--5)+(-15.66--5))+-15.66))))-(-5+-5)))*-5)))/-5)--5)+(-5*(((-15.66*(-15.66-(-5/-5)))*(-15.66-(-15.66/(-5*-15.66))))-(-5/-5)))))</f>
        <v>-19756.39868</v>
      </c>
      <c r="C8435" t="n" s="0">
        <v>-19756.398680000002</v>
      </c>
    </row>
    <row r="8436">
      <c r="A8436" t="n" s="0">
        <v>-15.65</v>
      </c>
      <c r="B8436" t="n" s="0">
        <f>(-5-((((-5*(-5/((-5/(((-5*(-15.65--5))-(-5+((-5*-15.65)*(((-5--5)+(-15.65--5))+-15.65))))-(-5+-5)))*-5)))/-5)--5)+(-5*(((-15.65*(-15.65-(-5/-5)))*(-15.65-(-15.65/(-5*-15.65))))-(-5/-5)))))</f>
        <v>-19718.980624999997</v>
      </c>
      <c r="C8436" t="n" s="0">
        <v>-19718.980625000004</v>
      </c>
    </row>
    <row r="8437">
      <c r="A8437" t="n" s="0">
        <v>-15.64</v>
      </c>
      <c r="B8437" t="n" s="0">
        <f>(-5-((((-5*(-5/((-5/(((-5*(-15.64--5))-(-5+((-5*-15.64)*(((-5--5)+(-15.64--5))+-15.64))))-(-5+-5)))*-5)))/-5)--5)+(-5*(((-15.64*(-15.64-(-5/-5)))*(-15.64-(-15.64/(-5*-15.64))))-(-5/-5)))))</f>
        <v>-19681.609920000003</v>
      </c>
      <c r="C8437" t="n" s="0">
        <v>-19681.60992</v>
      </c>
    </row>
    <row r="8438">
      <c r="A8438" t="n" s="0">
        <v>-15.63</v>
      </c>
      <c r="B8438" t="n" s="0">
        <f>(-5-((((-5*(-5/((-5/(((-5*(-15.63--5))-(-5+((-5*-15.63)*(((-5--5)+(-15.63--5))+-15.63))))-(-5+-5)))*-5)))/-5)--5)+(-5*(((-15.63*(-15.63-(-5/-5)))*(-15.63-(-15.63/(-5*-15.63))))-(-5/-5)))))</f>
        <v>-19644.286535000003</v>
      </c>
      <c r="C8438" t="n" s="0">
        <v>-19644.286535000003</v>
      </c>
    </row>
    <row r="8439">
      <c r="A8439" t="n" s="0">
        <v>-15.62</v>
      </c>
      <c r="B8439" t="n" s="0">
        <f>(-5-((((-5*(-5/((-5/(((-5*(-15.62--5))-(-5+((-5*-15.62)*(((-5--5)+(-15.62--5))+-15.62))))-(-5+-5)))*-5)))/-5)--5)+(-5*(((-15.62*(-15.62-(-5/-5)))*(-15.62-(-15.62/(-5*-15.62))))-(-5/-5)))))</f>
        <v>-19607.010440000002</v>
      </c>
      <c r="C8439" t="n" s="0">
        <v>-19607.010439999995</v>
      </c>
    </row>
    <row r="8440">
      <c r="A8440" t="n" s="0">
        <v>-15.61</v>
      </c>
      <c r="B8440" t="n" s="0">
        <f>(-5-((((-5*(-5/((-5/(((-5*(-15.61--5))-(-5+((-5*-15.61)*(((-5--5)+(-15.61--5))+-15.61))))-(-5+-5)))*-5)))/-5)--5)+(-5*(((-15.61*(-15.61-(-5/-5)))*(-15.61-(-15.61/(-5*-15.61))))-(-5/-5)))))</f>
        <v>-19569.781605</v>
      </c>
      <c r="C8440" t="n" s="0">
        <v>-19569.781605</v>
      </c>
    </row>
    <row r="8441">
      <c r="A8441" t="n" s="0">
        <v>-15.6</v>
      </c>
      <c r="B8441" t="n" s="0">
        <f>(-5-((((-5*(-5/((-5/(((-5*(-15.6--5))-(-5+((-5*-15.6)*(((-5--5)+(-15.6--5))+-15.6))))-(-5+-5)))*-5)))/-5)--5)+(-5*(((-15.6*(-15.6-(-5/-5)))*(-15.6-(-15.6/(-5*-15.6))))-(-5/-5)))))</f>
        <v>-19532.6</v>
      </c>
      <c r="C8441" t="n" s="0">
        <v>-19532.6</v>
      </c>
    </row>
    <row r="8442">
      <c r="A8442" t="n" s="0">
        <v>-15.59</v>
      </c>
      <c r="B8442" t="n" s="0">
        <f>(-5-((((-5*(-5/((-5/(((-5*(-15.59--5))-(-5+((-5*-15.59)*(((-5--5)+(-15.59--5))+-15.59))))-(-5+-5)))*-5)))/-5)--5)+(-5*(((-15.59*(-15.59-(-5/-5)))*(-15.59-(-15.59/(-5*-15.59))))-(-5/-5)))))</f>
        <v>-19495.465595</v>
      </c>
      <c r="C8442" t="n" s="0">
        <v>-19495.465594999998</v>
      </c>
    </row>
    <row r="8443">
      <c r="A8443" t="n" s="0">
        <v>-15.58</v>
      </c>
      <c r="B8443" t="n" s="0">
        <f>(-5-((((-5*(-5/((-5/(((-5*(-15.58--5))-(-5+((-5*-15.58)*(((-5--5)+(-15.58--5))+-15.58))))-(-5+-5)))*-5)))/-5)--5)+(-5*(((-15.58*(-15.58-(-5/-5)))*(-15.58-(-15.58/(-5*-15.58))))-(-5/-5)))))</f>
        <v>-19458.378359999995</v>
      </c>
      <c r="C8443" t="n" s="0">
        <v>-19458.378360000002</v>
      </c>
    </row>
    <row r="8444">
      <c r="A8444" t="n" s="0">
        <v>-15.57</v>
      </c>
      <c r="B8444" t="n" s="0">
        <f>(-5-((((-5*(-5/((-5/(((-5*(-15.57--5))-(-5+((-5*-15.57)*(((-5--5)+(-15.57--5))+-15.57))))-(-5+-5)))*-5)))/-5)--5)+(-5*(((-15.57*(-15.57-(-5/-5)))*(-15.57-(-15.57/(-5*-15.57))))-(-5/-5)))))</f>
        <v>-19421.338265</v>
      </c>
      <c r="C8444" t="n" s="0">
        <v>-19421.338265000002</v>
      </c>
    </row>
    <row r="8445">
      <c r="A8445" t="n" s="0">
        <v>-15.56</v>
      </c>
      <c r="B8445" t="n" s="0">
        <f>(-5-((((-5*(-5/((-5/(((-5*(-15.56--5))-(-5+((-5*-15.56)*(((-5--5)+(-15.56--5))+-15.56))))-(-5+-5)))*-5)))/-5)--5)+(-5*(((-15.56*(-15.56-(-5/-5)))*(-15.56-(-15.56/(-5*-15.56))))-(-5/-5)))))</f>
        <v>-19384.34528</v>
      </c>
      <c r="C8445" t="n" s="0">
        <v>-19384.345280000005</v>
      </c>
    </row>
    <row r="8446">
      <c r="A8446" t="n" s="0">
        <v>-15.55</v>
      </c>
      <c r="B8446" t="n" s="0">
        <f>(-5-((((-5*(-5/((-5/(((-5*(-15.55--5))-(-5+((-5*-15.55)*(((-5--5)+(-15.55--5))+-15.55))))-(-5+-5)))*-5)))/-5)--5)+(-5*(((-15.55*(-15.55-(-5/-5)))*(-15.55-(-15.55/(-5*-15.55))))-(-5/-5)))))</f>
        <v>-19347.399374999997</v>
      </c>
      <c r="C8446" t="n" s="0">
        <v>-19347.399375000005</v>
      </c>
    </row>
    <row r="8447">
      <c r="A8447" t="n" s="0">
        <v>-15.54</v>
      </c>
      <c r="B8447" t="n" s="0">
        <f>(-5-((((-5*(-5/((-5/(((-5*(-15.54--5))-(-5+((-5*-15.54)*(((-5--5)+(-15.54--5))+-15.54))))-(-5+-5)))*-5)))/-5)--5)+(-5*(((-15.54*(-15.54-(-5/-5)))*(-15.54-(-15.54/(-5*-15.54))))-(-5/-5)))))</f>
        <v>-19310.500519999998</v>
      </c>
      <c r="C8447" t="n" s="0">
        <v>-19310.500519999994</v>
      </c>
    </row>
    <row r="8448">
      <c r="A8448" t="n" s="0">
        <v>-15.53</v>
      </c>
      <c r="B8448" t="n" s="0">
        <f>(-5-((((-5*(-5/((-5/(((-5*(-15.53--5))-(-5+((-5*-15.53)*(((-5--5)+(-15.53--5))+-15.53))))-(-5+-5)))*-5)))/-5)--5)+(-5*(((-15.53*(-15.53-(-5/-5)))*(-15.53-(-15.53/(-5*-15.53))))-(-5/-5)))))</f>
        <v>-19273.648685</v>
      </c>
      <c r="C8448" t="n" s="0">
        <v>-19273.648684999996</v>
      </c>
    </row>
    <row r="8449">
      <c r="A8449" t="n" s="0">
        <v>-15.52</v>
      </c>
      <c r="B8449" t="n" s="0">
        <f>(-5-((((-5*(-5/((-5/(((-5*(-15.52--5))-(-5+((-5*-15.52)*(((-5--5)+(-15.52--5))+-15.52))))-(-5+-5)))*-5)))/-5)--5)+(-5*(((-15.52*(-15.52-(-5/-5)))*(-15.52-(-15.52/(-5*-15.52))))-(-5/-5)))))</f>
        <v>-19236.84384</v>
      </c>
      <c r="C8449" t="n" s="0">
        <v>-19236.84384</v>
      </c>
    </row>
    <row r="8450">
      <c r="A8450" t="n" s="0">
        <v>-15.51</v>
      </c>
      <c r="B8450" t="n" s="0">
        <f>(-5-((((-5*(-5/((-5/(((-5*(-15.51--5))-(-5+((-5*-15.51)*(((-5--5)+(-15.51--5))+-15.51))))-(-5+-5)))*-5)))/-5)--5)+(-5*(((-15.51*(-15.51-(-5/-5)))*(-15.51-(-15.51/(-5*-15.51))))-(-5/-5)))))</f>
        <v>-19200.085955000002</v>
      </c>
      <c r="C8450" t="n" s="0">
        <v>-19200.085955</v>
      </c>
    </row>
    <row r="8451">
      <c r="A8451" t="n" s="0">
        <v>-15.5</v>
      </c>
      <c r="B8451" t="n" s="0">
        <f>(-5-((((-5*(-5/((-5/(((-5*(-15.5--5))-(-5+((-5*-15.5)*(((-5--5)+(-15.5--5))+-15.5))))-(-5+-5)))*-5)))/-5)--5)+(-5*(((-15.5*(-15.5-(-5/-5)))*(-15.5-(-15.5/(-5*-15.5))))-(-5/-5)))))</f>
        <v>-19163.375</v>
      </c>
      <c r="C8451" t="n" s="0">
        <v>-19163.375</v>
      </c>
    </row>
    <row r="8452">
      <c r="A8452" t="n" s="0">
        <v>-15.49</v>
      </c>
      <c r="B8452" t="n" s="0">
        <f>(-5-((((-5*(-5/((-5/(((-5*(-15.49--5))-(-5+((-5*-15.49)*(((-5--5)+(-15.49--5))+-15.49))))-(-5+-5)))*-5)))/-5)--5)+(-5*(((-15.49*(-15.49-(-5/-5)))*(-15.49-(-15.49/(-5*-15.49))))-(-5/-5)))))</f>
        <v>-19126.710945</v>
      </c>
      <c r="C8452" t="n" s="0">
        <v>-19126.710945</v>
      </c>
    </row>
    <row r="8453">
      <c r="A8453" t="n" s="0">
        <v>-15.48</v>
      </c>
      <c r="B8453" t="n" s="0">
        <f>(-5-((((-5*(-5/((-5/(((-5*(-15.48--5))-(-5+((-5*-15.48)*(((-5--5)+(-15.48--5))+-15.48))))-(-5+-5)))*-5)))/-5)--5)+(-5*(((-15.48*(-15.48-(-5/-5)))*(-15.48-(-15.48/(-5*-15.48))))-(-5/-5)))))</f>
        <v>-19090.09376</v>
      </c>
      <c r="C8453" t="n" s="0">
        <v>-19090.09376</v>
      </c>
    </row>
    <row r="8454">
      <c r="A8454" t="n" s="0">
        <v>-15.47</v>
      </c>
      <c r="B8454" t="n" s="0">
        <f>(-5-((((-5*(-5/((-5/(((-5*(-15.47--5))-(-5+((-5*-15.47)*(((-5--5)+(-15.47--5))+-15.47))))-(-5+-5)))*-5)))/-5)--5)+(-5*(((-15.47*(-15.47-(-5/-5)))*(-15.47-(-15.47/(-5*-15.47))))-(-5/-5)))))</f>
        <v>-19053.523415</v>
      </c>
      <c r="C8454" t="n" s="0">
        <v>-19053.523415000003</v>
      </c>
    </row>
    <row r="8455">
      <c r="A8455" t="n" s="0">
        <v>-15.46</v>
      </c>
      <c r="B8455" t="n" s="0">
        <f>(-5-((((-5*(-5/((-5/(((-5*(-15.46--5))-(-5+((-5*-15.46)*(((-5--5)+(-15.46--5))+-15.46))))-(-5+-5)))*-5)))/-5)--5)+(-5*(((-15.46*(-15.46-(-5/-5)))*(-15.46-(-15.46/(-5*-15.46))))-(-5/-5)))))</f>
        <v>-19016.99988</v>
      </c>
      <c r="C8455" t="n" s="0">
        <v>-19016.999880000003</v>
      </c>
    </row>
    <row r="8456">
      <c r="A8456" t="n" s="0">
        <v>-15.45</v>
      </c>
      <c r="B8456" t="n" s="0">
        <f>(-5-((((-5*(-5/((-5/(((-5*(-15.45--5))-(-5+((-5*-15.45)*(((-5--5)+(-15.45--5))+-15.45))))-(-5+-5)))*-5)))/-5)--5)+(-5*(((-15.45*(-15.45-(-5/-5)))*(-15.45-(-15.45/(-5*-15.45))))-(-5/-5)))))</f>
        <v>-18980.523125</v>
      </c>
      <c r="C8456" t="n" s="0">
        <v>-18980.523124999996</v>
      </c>
    </row>
    <row r="8457">
      <c r="A8457" t="n" s="0">
        <v>-15.44</v>
      </c>
      <c r="B8457" t="n" s="0">
        <f>(-5-((((-5*(-5/((-5/(((-5*(-15.44--5))-(-5+((-5*-15.44)*(((-5--5)+(-15.44--5))+-15.44))))-(-5+-5)))*-5)))/-5)--5)+(-5*(((-15.44*(-15.44-(-5/-5)))*(-15.44-(-15.44/(-5*-15.44))))-(-5/-5)))))</f>
        <v>-18944.09312</v>
      </c>
      <c r="C8457" t="n" s="0">
        <v>-18944.093119999998</v>
      </c>
    </row>
    <row r="8458">
      <c r="A8458" t="n" s="0">
        <v>-15.43</v>
      </c>
      <c r="B8458" t="n" s="0">
        <f>(-5-((((-5*(-5/((-5/(((-5*(-15.43--5))-(-5+((-5*-15.43)*(((-5--5)+(-15.43--5))+-15.43))))-(-5+-5)))*-5)))/-5)--5)+(-5*(((-15.43*(-15.43-(-5/-5)))*(-15.43-(-15.43/(-5*-15.43))))-(-5/-5)))))</f>
        <v>-18907.709834999998</v>
      </c>
      <c r="C8458" t="n" s="0">
        <v>-18907.709834999998</v>
      </c>
    </row>
    <row r="8459">
      <c r="A8459" t="n" s="0">
        <v>-15.42</v>
      </c>
      <c r="B8459" t="n" s="0">
        <f>(-5-((((-5*(-5/((-5/(((-5*(-15.42--5))-(-5+((-5*-15.42)*(((-5--5)+(-15.42--5))+-15.42))))-(-5+-5)))*-5)))/-5)--5)+(-5*(((-15.42*(-15.42-(-5/-5)))*(-15.42-(-15.42/(-5*-15.42))))-(-5/-5)))))</f>
        <v>-18871.37324</v>
      </c>
      <c r="C8459" t="n" s="0">
        <v>-18871.37324</v>
      </c>
    </row>
    <row r="8460">
      <c r="A8460" t="n" s="0">
        <v>-15.41</v>
      </c>
      <c r="B8460" t="n" s="0">
        <f>(-5-((((-5*(-5/((-5/(((-5*(-15.41--5))-(-5+((-5*-15.41)*(((-5--5)+(-15.41--5))+-15.41))))-(-5+-5)))*-5)))/-5)--5)+(-5*(((-15.41*(-15.41-(-5/-5)))*(-15.41-(-15.41/(-5*-15.41))))-(-5/-5)))))</f>
        <v>-18835.083305000004</v>
      </c>
      <c r="C8460" t="n" s="0">
        <v>-18835.083305</v>
      </c>
    </row>
    <row r="8461">
      <c r="A8461" t="n" s="0">
        <v>-15.4</v>
      </c>
      <c r="B8461" t="n" s="0">
        <f>(-5-((((-5*(-5/((-5/(((-5*(-15.4--5))-(-5+((-5*-15.4)*(((-5--5)+(-15.4--5))+-15.4))))-(-5+-5)))*-5)))/-5)--5)+(-5*(((-15.4*(-15.4-(-5/-5)))*(-15.4-(-15.4/(-5*-15.4))))-(-5/-5)))))</f>
        <v>-18798.84</v>
      </c>
      <c r="C8461" t="n" s="0">
        <v>-18798.84</v>
      </c>
    </row>
    <row r="8462">
      <c r="A8462" t="n" s="0">
        <v>-15.39</v>
      </c>
      <c r="B8462" t="n" s="0">
        <f>(-5-((((-5*(-5/((-5/(((-5*(-15.39--5))-(-5+((-5*-15.39)*(((-5--5)+(-15.39--5))+-15.39))))-(-5+-5)))*-5)))/-5)--5)+(-5*(((-15.39*(-15.39-(-5/-5)))*(-15.39-(-15.39/(-5*-15.39))))-(-5/-5)))))</f>
        <v>-18762.643295</v>
      </c>
      <c r="C8462" t="n" s="0">
        <v>-18762.643295</v>
      </c>
    </row>
    <row r="8463">
      <c r="A8463" t="n" s="0">
        <v>-15.38</v>
      </c>
      <c r="B8463" t="n" s="0">
        <f>(-5-((((-5*(-5/((-5/(((-5*(-15.38--5))-(-5+((-5*-15.38)*(((-5--5)+(-15.38--5))+-15.38))))-(-5+-5)))*-5)))/-5)--5)+(-5*(((-15.38*(-15.38-(-5/-5)))*(-15.38-(-15.38/(-5*-15.38))))-(-5/-5)))))</f>
        <v>-18726.493159999998</v>
      </c>
      <c r="C8463" t="n" s="0">
        <v>-18726.493160000005</v>
      </c>
    </row>
    <row r="8464">
      <c r="A8464" t="n" s="0">
        <v>-15.37</v>
      </c>
      <c r="B8464" t="n" s="0">
        <f>(-5-((((-5*(-5/((-5/(((-5*(-15.37--5))-(-5+((-5*-15.37)*(((-5--5)+(-15.37--5))+-15.37))))-(-5+-5)))*-5)))/-5)--5)+(-5*(((-15.37*(-15.37-(-5/-5)))*(-15.37-(-15.37/(-5*-15.37))))-(-5/-5)))))</f>
        <v>-18690.389565</v>
      </c>
      <c r="C8464" t="n" s="0">
        <v>-18690.389564999998</v>
      </c>
    </row>
    <row r="8465">
      <c r="A8465" t="n" s="0">
        <v>-15.36</v>
      </c>
      <c r="B8465" t="n" s="0">
        <f>(-5-((((-5*(-5/((-5/(((-5*(-15.36--5))-(-5+((-5*-15.36)*(((-5--5)+(-15.36--5))+-15.36))))-(-5+-5)))*-5)))/-5)--5)+(-5*(((-15.36*(-15.36-(-5/-5)))*(-15.36-(-15.36/(-5*-15.36))))-(-5/-5)))))</f>
        <v>-18654.33248</v>
      </c>
      <c r="C8465" t="n" s="0">
        <v>-18654.332479999997</v>
      </c>
    </row>
    <row r="8466">
      <c r="A8466" t="n" s="0">
        <v>-15.35</v>
      </c>
      <c r="B8466" t="n" s="0">
        <f>(-5-((((-5*(-5/((-5/(((-5*(-15.35--5))-(-5+((-5*-15.35)*(((-5--5)+(-15.35--5))+-15.35))))-(-5+-5)))*-5)))/-5)--5)+(-5*(((-15.35*(-15.35-(-5/-5)))*(-15.35-(-15.35/(-5*-15.35))))-(-5/-5)))))</f>
        <v>-18618.321874999998</v>
      </c>
      <c r="C8466" t="n" s="0">
        <v>-18618.321874999998</v>
      </c>
    </row>
    <row r="8467">
      <c r="A8467" t="n" s="0">
        <v>-15.34</v>
      </c>
      <c r="B8467" t="n" s="0">
        <f>(-5-((((-5*(-5/((-5/(((-5*(-15.34--5))-(-5+((-5*-15.34)*(((-5--5)+(-15.34--5))+-15.34))))-(-5+-5)))*-5)))/-5)--5)+(-5*(((-15.34*(-15.34-(-5/-5)))*(-15.34-(-15.34/(-5*-15.34))))-(-5/-5)))))</f>
        <v>-18582.35772</v>
      </c>
      <c r="C8467" t="n" s="0">
        <v>-18582.35772</v>
      </c>
    </row>
    <row r="8468">
      <c r="A8468" t="n" s="0">
        <v>-15.33</v>
      </c>
      <c r="B8468" t="n" s="0">
        <f>(-5-((((-5*(-5/((-5/(((-5*(-15.33--5))-(-5+((-5*-15.33)*(((-5--5)+(-15.33--5))+-15.33))))-(-5+-5)))*-5)))/-5)--5)+(-5*(((-15.33*(-15.33-(-5/-5)))*(-15.33-(-15.33/(-5*-15.33))))-(-5/-5)))))</f>
        <v>-18546.439985</v>
      </c>
      <c r="C8468" t="n" s="0">
        <v>-18546.439985</v>
      </c>
    </row>
    <row r="8469">
      <c r="A8469" t="n" s="0">
        <v>-15.32</v>
      </c>
      <c r="B8469" t="n" s="0">
        <f>(-5-((((-5*(-5/((-5/(((-5*(-15.32--5))-(-5+((-5*-15.32)*(((-5--5)+(-15.32--5))+-15.32))))-(-5+-5)))*-5)))/-5)--5)+(-5*(((-15.32*(-15.32-(-5/-5)))*(-15.32-(-15.32/(-5*-15.32))))-(-5/-5)))))</f>
        <v>-18510.568639999998</v>
      </c>
      <c r="C8469" t="n" s="0">
        <v>-18510.56864</v>
      </c>
    </row>
    <row r="8470">
      <c r="A8470" t="n" s="0">
        <v>-15.31</v>
      </c>
      <c r="B8470" t="n" s="0">
        <f>(-5-((((-5*(-5/((-5/(((-5*(-15.31--5))-(-5+((-5*-15.31)*(((-5--5)+(-15.31--5))+-15.31))))-(-5+-5)))*-5)))/-5)--5)+(-5*(((-15.31*(-15.31-(-5/-5)))*(-15.31-(-15.31/(-5*-15.31))))-(-5/-5)))))</f>
        <v>-18474.743655000002</v>
      </c>
      <c r="C8470" t="n" s="0">
        <v>-18474.743655000002</v>
      </c>
    </row>
    <row r="8471">
      <c r="A8471" t="n" s="0">
        <v>-15.3</v>
      </c>
      <c r="B8471" t="n" s="0">
        <f>(-5-((((-5*(-5/((-5/(((-5*(-15.3--5))-(-5+((-5*-15.3)*(((-5--5)+(-15.3--5))+-15.3))))-(-5+-5)))*-5)))/-5)--5)+(-5*(((-15.3*(-15.3-(-5/-5)))*(-15.3-(-15.3/(-5*-15.3))))-(-5/-5)))))</f>
        <v>-18438.965</v>
      </c>
      <c r="C8471" t="n" s="0">
        <v>-18438.965000000004</v>
      </c>
    </row>
    <row r="8472">
      <c r="A8472" t="n" s="0">
        <v>-15.29</v>
      </c>
      <c r="B8472" t="n" s="0">
        <f>(-5-((((-5*(-5/((-5/(((-5*(-15.29--5))-(-5+((-5*-15.29)*(((-5--5)+(-15.29--5))+-15.29))))-(-5+-5)))*-5)))/-5)--5)+(-5*(((-15.29*(-15.29-(-5/-5)))*(-15.29-(-15.29/(-5*-15.29))))-(-5/-5)))))</f>
        <v>-18403.232645</v>
      </c>
      <c r="C8472" t="n" s="0">
        <v>-18403.232644999996</v>
      </c>
    </row>
    <row r="8473">
      <c r="A8473" t="n" s="0">
        <v>-15.28</v>
      </c>
      <c r="B8473" t="n" s="0">
        <f>(-5-((((-5*(-5/((-5/(((-5*(-15.28--5))-(-5+((-5*-15.28)*(((-5--5)+(-15.28--5))+-15.28))))-(-5+-5)))*-5)))/-5)--5)+(-5*(((-15.28*(-15.28-(-5/-5)))*(-15.28-(-15.28/(-5*-15.28))))-(-5/-5)))))</f>
        <v>-18367.54656</v>
      </c>
      <c r="C8473" t="n" s="0">
        <v>-18367.54656</v>
      </c>
    </row>
    <row r="8474">
      <c r="A8474" t="n" s="0">
        <v>-15.27</v>
      </c>
      <c r="B8474" t="n" s="0">
        <f>(-5-((((-5*(-5/((-5/(((-5*(-15.27--5))-(-5+((-5*-15.27)*(((-5--5)+(-15.27--5))+-15.27))))-(-5+-5)))*-5)))/-5)--5)+(-5*(((-15.27*(-15.27-(-5/-5)))*(-15.27-(-15.27/(-5*-15.27))))-(-5/-5)))))</f>
        <v>-18331.906715</v>
      </c>
      <c r="C8474" t="n" s="0">
        <v>-18331.906715</v>
      </c>
    </row>
    <row r="8475">
      <c r="A8475" t="n" s="0">
        <v>-15.26</v>
      </c>
      <c r="B8475" t="n" s="0">
        <f>(-5-((((-5*(-5/((-5/(((-5*(-15.26--5))-(-5+((-5*-15.26)*(((-5--5)+(-15.26--5))+-15.26))))-(-5+-5)))*-5)))/-5)--5)+(-5*(((-15.26*(-15.26-(-5/-5)))*(-15.26-(-15.26/(-5*-15.26))))-(-5/-5)))))</f>
        <v>-18296.31308</v>
      </c>
      <c r="C8475" t="n" s="0">
        <v>-18296.313079999996</v>
      </c>
    </row>
    <row r="8476">
      <c r="A8476" t="n" s="0">
        <v>-15.25</v>
      </c>
      <c r="B8476" t="n" s="0">
        <f>(-5-((((-5*(-5/((-5/(((-5*(-15.25--5))-(-5+((-5*-15.25)*(((-5--5)+(-15.25--5))+-15.25))))-(-5+-5)))*-5)))/-5)--5)+(-5*(((-15.25*(-15.25-(-5/-5)))*(-15.25-(-15.25/(-5*-15.25))))-(-5/-5)))))</f>
        <v>-18260.765624999996</v>
      </c>
      <c r="C8476" t="n" s="0">
        <v>-18260.765625</v>
      </c>
    </row>
    <row r="8477">
      <c r="A8477" t="n" s="0">
        <v>-15.24</v>
      </c>
      <c r="B8477" t="n" s="0">
        <f>(-5-((((-5*(-5/((-5/(((-5*(-15.24--5))-(-5+((-5*-15.24)*(((-5--5)+(-15.24--5))+-15.24))))-(-5+-5)))*-5)))/-5)--5)+(-5*(((-15.24*(-15.24-(-5/-5)))*(-15.24-(-15.24/(-5*-15.24))))-(-5/-5)))))</f>
        <v>-18225.264320000002</v>
      </c>
      <c r="C8477" t="n" s="0">
        <v>-18225.264320000002</v>
      </c>
    </row>
    <row r="8478">
      <c r="A8478" t="n" s="0">
        <v>-15.23</v>
      </c>
      <c r="B8478" t="n" s="0">
        <f>(-5-((((-5*(-5/((-5/(((-5*(-15.23--5))-(-5+((-5*-15.23)*(((-5--5)+(-15.23--5))+-15.23))))-(-5+-5)))*-5)))/-5)--5)+(-5*(((-15.23*(-15.23-(-5/-5)))*(-15.23-(-15.23/(-5*-15.23))))-(-5/-5)))))</f>
        <v>-18189.809135</v>
      </c>
      <c r="C8478" t="n" s="0">
        <v>-18189.809135</v>
      </c>
    </row>
    <row r="8479">
      <c r="A8479" t="n" s="0">
        <v>-15.22</v>
      </c>
      <c r="B8479" t="n" s="0">
        <f>(-5-((((-5*(-5/((-5/(((-5*(-15.22--5))-(-5+((-5*-15.22)*(((-5--5)+(-15.22--5))+-15.22))))-(-5+-5)))*-5)))/-5)--5)+(-5*(((-15.22*(-15.22-(-5/-5)))*(-15.22-(-15.22/(-5*-15.22))))-(-5/-5)))))</f>
        <v>-18154.40004</v>
      </c>
      <c r="C8479" t="n" s="0">
        <v>-18154.40004</v>
      </c>
    </row>
    <row r="8480">
      <c r="A8480" t="n" s="0">
        <v>-15.21</v>
      </c>
      <c r="B8480" t="n" s="0">
        <f>(-5-((((-5*(-5/((-5/(((-5*(-15.21--5))-(-5+((-5*-15.21)*(((-5--5)+(-15.21--5))+-15.21))))-(-5+-5)))*-5)))/-5)--5)+(-5*(((-15.21*(-15.21-(-5/-5)))*(-15.21-(-15.21/(-5*-15.21))))-(-5/-5)))))</f>
        <v>-18119.037005000002</v>
      </c>
      <c r="C8480" t="n" s="0">
        <v>-18119.037005000006</v>
      </c>
    </row>
    <row r="8481">
      <c r="A8481" t="n" s="0">
        <v>-15.2</v>
      </c>
      <c r="B8481" t="n" s="0">
        <f>(-5-((((-5*(-5/((-5/(((-5*(-15.2--5))-(-5+((-5*-15.2)*(((-5--5)+(-15.2--5))+-15.2))))-(-5+-5)))*-5)))/-5)--5)+(-5*(((-15.2*(-15.2-(-5/-5)))*(-15.2-(-15.2/(-5*-15.2))))-(-5/-5)))))</f>
        <v>-18083.72</v>
      </c>
      <c r="C8481" t="n" s="0">
        <v>-18083.719999999998</v>
      </c>
    </row>
    <row r="8482">
      <c r="A8482" t="n" s="0">
        <v>-15.19</v>
      </c>
      <c r="B8482" t="n" s="0">
        <f>(-5-((((-5*(-5/((-5/(((-5*(-15.19--5))-(-5+((-5*-15.19)*(((-5--5)+(-15.19--5))+-15.19))))-(-5+-5)))*-5)))/-5)--5)+(-5*(((-15.19*(-15.19-(-5/-5)))*(-15.19-(-15.19/(-5*-15.19))))-(-5/-5)))))</f>
        <v>-18048.448995</v>
      </c>
      <c r="C8482" t="n" s="0">
        <v>-18048.448995</v>
      </c>
    </row>
    <row r="8483">
      <c r="A8483" t="n" s="0">
        <v>-15.18</v>
      </c>
      <c r="B8483" t="n" s="0">
        <f>(-5-((((-5*(-5/((-5/(((-5*(-15.18--5))-(-5+((-5*-15.18)*(((-5--5)+(-15.18--5))+-15.18))))-(-5+-5)))*-5)))/-5)--5)+(-5*(((-15.18*(-15.18-(-5/-5)))*(-15.18-(-15.18/(-5*-15.18))))-(-5/-5)))))</f>
        <v>-18013.223960000003</v>
      </c>
      <c r="C8483" t="n" s="0">
        <v>-18013.22396</v>
      </c>
    </row>
    <row r="8484">
      <c r="A8484" t="n" s="0">
        <v>-15.17</v>
      </c>
      <c r="B8484" t="n" s="0">
        <f>(-5-((((-5*(-5/((-5/(((-5*(-15.17--5))-(-5+((-5*-15.17)*(((-5--5)+(-15.17--5))+-15.17))))-(-5+-5)))*-5)))/-5)--5)+(-5*(((-15.17*(-15.17-(-5/-5)))*(-15.17-(-15.17/(-5*-15.17))))-(-5/-5)))))</f>
        <v>-17978.044865</v>
      </c>
      <c r="C8484" t="n" s="0">
        <v>-17978.044865</v>
      </c>
    </row>
    <row r="8485">
      <c r="A8485" t="n" s="0">
        <v>-15.16</v>
      </c>
      <c r="B8485" t="n" s="0">
        <f>(-5-((((-5*(-5/((-5/(((-5*(-15.16--5))-(-5+((-5*-15.16)*(((-5--5)+(-15.16--5))+-15.16))))-(-5+-5)))*-5)))/-5)--5)+(-5*(((-15.16*(-15.16-(-5/-5)))*(-15.16-(-15.16/(-5*-15.16))))-(-5/-5)))))</f>
        <v>-17942.911679999997</v>
      </c>
      <c r="C8485" t="n" s="0">
        <v>-17942.91168</v>
      </c>
    </row>
    <row r="8486">
      <c r="A8486" t="n" s="0">
        <v>-15.15</v>
      </c>
      <c r="B8486" t="n" s="0">
        <f>(-5-((((-5*(-5/((-5/(((-5*(-15.15--5))-(-5+((-5*-15.15)*(((-5--5)+(-15.15--5))+-15.15))))-(-5+-5)))*-5)))/-5)--5)+(-5*(((-15.15*(-15.15-(-5/-5)))*(-15.15-(-15.15/(-5*-15.15))))-(-5/-5)))))</f>
        <v>-17907.824375</v>
      </c>
      <c r="C8486" t="n" s="0">
        <v>-17907.824375</v>
      </c>
    </row>
    <row r="8487">
      <c r="A8487" t="n" s="0">
        <v>-15.14</v>
      </c>
      <c r="B8487" t="n" s="0">
        <f>(-5-((((-5*(-5/((-5/(((-5*(-15.14--5))-(-5+((-5*-15.14)*(((-5--5)+(-15.14--5))+-15.14))))-(-5+-5)))*-5)))/-5)--5)+(-5*(((-15.14*(-15.14-(-5/-5)))*(-15.14-(-15.14/(-5*-15.14))))-(-5/-5)))))</f>
        <v>-17872.78292</v>
      </c>
      <c r="C8487" t="n" s="0">
        <v>-17872.78292</v>
      </c>
    </row>
    <row r="8488">
      <c r="A8488" t="n" s="0">
        <v>-15.13</v>
      </c>
      <c r="B8488" t="n" s="0">
        <f>(-5-((((-5*(-5/((-5/(((-5*(-15.13--5))-(-5+((-5*-15.13)*(((-5--5)+(-15.13--5))+-15.13))))-(-5+-5)))*-5)))/-5)--5)+(-5*(((-15.13*(-15.13-(-5/-5)))*(-15.13-(-15.13/(-5*-15.13))))-(-5/-5)))))</f>
        <v>-17837.787285000002</v>
      </c>
      <c r="C8488" t="n" s="0">
        <v>-17837.787285000002</v>
      </c>
    </row>
    <row r="8489">
      <c r="A8489" t="n" s="0">
        <v>-15.12</v>
      </c>
      <c r="B8489" t="n" s="0">
        <f>(-5-((((-5*(-5/((-5/(((-5*(-15.12--5))-(-5+((-5*-15.12)*(((-5--5)+(-15.12--5))+-15.12))))-(-5+-5)))*-5)))/-5)--5)+(-5*(((-15.12*(-15.12-(-5/-5)))*(-15.12-(-15.12/(-5*-15.12))))-(-5/-5)))))</f>
        <v>-17802.837440000003</v>
      </c>
      <c r="C8489" t="n" s="0">
        <v>-17802.83744</v>
      </c>
    </row>
    <row r="8490">
      <c r="A8490" t="n" s="0">
        <v>-15.11</v>
      </c>
      <c r="B8490" t="n" s="0">
        <f>(-5-((((-5*(-5/((-5/(((-5*(-15.11--5))-(-5+((-5*-15.11)*(((-5--5)+(-15.11--5))+-15.11))))-(-5+-5)))*-5)))/-5)--5)+(-5*(((-15.11*(-15.11-(-5/-5)))*(-15.11-(-15.11/(-5*-15.11))))-(-5/-5)))))</f>
        <v>-17767.933355</v>
      </c>
      <c r="C8490" t="n" s="0">
        <v>-17767.933354999997</v>
      </c>
    </row>
    <row r="8491">
      <c r="A8491" t="n" s="0">
        <v>-15.1</v>
      </c>
      <c r="B8491" t="n" s="0">
        <f>(-5-((((-5*(-5/((-5/(((-5*(-15.1--5))-(-5+((-5*-15.1)*(((-5--5)+(-15.1--5))+-15.1))))-(-5+-5)))*-5)))/-5)--5)+(-5*(((-15.1*(-15.1-(-5/-5)))*(-15.1-(-15.1/(-5*-15.1))))-(-5/-5)))))</f>
        <v>-17733.075</v>
      </c>
      <c r="C8491" t="n" s="0">
        <v>-17733.074999999997</v>
      </c>
    </row>
    <row r="8492">
      <c r="A8492" t="n" s="0">
        <v>-15.09</v>
      </c>
      <c r="B8492" t="n" s="0">
        <f>(-5-((((-5*(-5/((-5/(((-5*(-15.09--5))-(-5+((-5*-15.09)*(((-5--5)+(-15.09--5))+-15.09))))-(-5+-5)))*-5)))/-5)--5)+(-5*(((-15.09*(-15.09-(-5/-5)))*(-15.09-(-15.09/(-5*-15.09))))-(-5/-5)))))</f>
        <v>-17698.262345</v>
      </c>
      <c r="C8492" t="n" s="0">
        <v>-17698.262345</v>
      </c>
    </row>
    <row r="8493">
      <c r="A8493" t="n" s="0">
        <v>-15.08</v>
      </c>
      <c r="B8493" t="n" s="0">
        <f>(-5-((((-5*(-5/((-5/(((-5*(-15.08--5))-(-5+((-5*-15.08)*(((-5--5)+(-15.08--5))+-15.08))))-(-5+-5)))*-5)))/-5)--5)+(-5*(((-15.08*(-15.08-(-5/-5)))*(-15.08-(-15.08/(-5*-15.08))))-(-5/-5)))))</f>
        <v>-17663.495360000004</v>
      </c>
      <c r="C8493" t="n" s="0">
        <v>-17663.49536</v>
      </c>
    </row>
    <row r="8494">
      <c r="A8494" t="n" s="0">
        <v>-15.07</v>
      </c>
      <c r="B8494" t="n" s="0">
        <f>(-5-((((-5*(-5/((-5/(((-5*(-15.07--5))-(-5+((-5*-15.07)*(((-5--5)+(-15.07--5))+-15.07))))-(-5+-5)))*-5)))/-5)--5)+(-5*(((-15.07*(-15.07-(-5/-5)))*(-15.07-(-15.07/(-5*-15.07))))-(-5/-5)))))</f>
        <v>-17628.774015</v>
      </c>
      <c r="C8494" t="n" s="0">
        <v>-17628.774015</v>
      </c>
    </row>
    <row r="8495">
      <c r="A8495" t="n" s="0">
        <v>-15.06</v>
      </c>
      <c r="B8495" t="n" s="0">
        <f>(-5-((((-5*(-5/((-5/(((-5*(-15.06--5))-(-5+((-5*-15.06)*(((-5--5)+(-15.06--5))+-15.06))))-(-5+-5)))*-5)))/-5)--5)+(-5*(((-15.06*(-15.06-(-5/-5)))*(-15.06-(-15.06/(-5*-15.06))))-(-5/-5)))))</f>
        <v>-17594.09828</v>
      </c>
      <c r="C8495" t="n" s="0">
        <v>-17594.09828</v>
      </c>
    </row>
    <row r="8496">
      <c r="A8496" t="n" s="0">
        <v>-15.05</v>
      </c>
      <c r="B8496" t="n" s="0">
        <f>(-5-((((-5*(-5/((-5/(((-5*(-15.05--5))-(-5+((-5*-15.05)*(((-5--5)+(-15.05--5))+-15.05))))-(-5+-5)))*-5)))/-5)--5)+(-5*(((-15.05*(-15.05-(-5/-5)))*(-15.05-(-15.05/(-5*-15.05))))-(-5/-5)))))</f>
        <v>-17559.468125</v>
      </c>
      <c r="C8496" t="n" s="0">
        <v>-17559.468125000007</v>
      </c>
    </row>
    <row r="8497">
      <c r="A8497" t="n" s="0">
        <v>-15.04</v>
      </c>
      <c r="B8497" t="n" s="0">
        <f>(-5-((((-5*(-5/((-5/(((-5*(-15.04--5))-(-5+((-5*-15.04)*(((-5--5)+(-15.04--5))+-15.04))))-(-5+-5)))*-5)))/-5)--5)+(-5*(((-15.04*(-15.04-(-5/-5)))*(-15.04-(-15.04/(-5*-15.04))))-(-5/-5)))))</f>
        <v>-17524.88352</v>
      </c>
      <c r="C8497" t="n" s="0">
        <v>-17524.883519999996</v>
      </c>
    </row>
    <row r="8498">
      <c r="A8498" t="n" s="0">
        <v>-15.03</v>
      </c>
      <c r="B8498" t="n" s="0">
        <f>(-5-((((-5*(-5/((-5/(((-5*(-15.03--5))-(-5+((-5*-15.03)*(((-5--5)+(-15.03--5))+-15.03))))-(-5+-5)))*-5)))/-5)--5)+(-5*(((-15.03*(-15.03-(-5/-5)))*(-15.03-(-15.03/(-5*-15.03))))-(-5/-5)))))</f>
        <v>-17490.344435</v>
      </c>
      <c r="C8498" t="n" s="0">
        <v>-17490.344435</v>
      </c>
    </row>
    <row r="8499">
      <c r="A8499" t="n" s="0">
        <v>-15.02</v>
      </c>
      <c r="B8499" t="n" s="0">
        <f>(-5-((((-5*(-5/((-5/(((-5*(-15.02--5))-(-5+((-5*-15.02)*(((-5--5)+(-15.02--5))+-15.02))))-(-5+-5)))*-5)))/-5)--5)+(-5*(((-15.02*(-15.02-(-5/-5)))*(-15.02-(-15.02/(-5*-15.02))))-(-5/-5)))))</f>
        <v>-17455.85084</v>
      </c>
      <c r="C8499" t="n" s="0">
        <v>-17455.85084</v>
      </c>
    </row>
    <row r="8500">
      <c r="A8500" t="n" s="0">
        <v>-15.01</v>
      </c>
      <c r="B8500" t="n" s="0">
        <f>(-5-((((-5*(-5/((-5/(((-5*(-15.01--5))-(-5+((-5*-15.01)*(((-5--5)+(-15.01--5))+-15.01))))-(-5+-5)))*-5)))/-5)--5)+(-5*(((-15.01*(-15.01-(-5/-5)))*(-15.01-(-15.01/(-5*-15.01))))-(-5/-5)))))</f>
        <v>-17421.402705</v>
      </c>
      <c r="C8500" t="n" s="0">
        <v>-17421.402705</v>
      </c>
    </row>
    <row r="8501">
      <c r="A8501" t="n" s="0">
        <v>-15.0</v>
      </c>
      <c r="B8501" t="n" s="0">
        <f>(-5-((((-5*(-5/((-5/(((-5*(-15--5))-(-5+((-5*-15)*(((-5--5)+(-15--5))+-15))))-(-5+-5)))*-5)))/-5)--5)+(-5*(((-15*(-15-(-5/-5)))*(-15-(-15/(-5*-15))))-(-5/-5)))))</f>
        <v>-17387.000000000004</v>
      </c>
      <c r="C8501" t="n" s="0">
        <v>-17387.0</v>
      </c>
    </row>
    <row r="8502">
      <c r="A8502" t="n" s="0">
        <v>-14.99</v>
      </c>
      <c r="B8502" t="n" s="0">
        <f>(-5-((((-5*(-5/((-5/(((-5*(-14.99--5))-(-5+((-5*-14.99)*(((-5--5)+(-14.99--5))+-14.99))))-(-5+-5)))*-5)))/-5)--5)+(-5*(((-14.99*(-14.99-(-5/-5)))*(-14.99-(-14.99/(-5*-14.99))))-(-5/-5)))))</f>
        <v>-17352.642695</v>
      </c>
      <c r="C8502" t="n" s="0">
        <v>-17352.642695000002</v>
      </c>
    </row>
    <row r="8503">
      <c r="A8503" t="n" s="0">
        <v>-14.98</v>
      </c>
      <c r="B8503" t="n" s="0">
        <f>(-5-((((-5*(-5/((-5/(((-5*(-14.98--5))-(-5+((-5*-14.98)*(((-5--5)+(-14.98--5))+-14.98))))-(-5+-5)))*-5)))/-5)--5)+(-5*(((-14.98*(-14.98-(-5/-5)))*(-14.98-(-14.98/(-5*-14.98))))-(-5/-5)))))</f>
        <v>-17318.33076</v>
      </c>
      <c r="C8503" t="n" s="0">
        <v>-17318.33076</v>
      </c>
    </row>
    <row r="8504">
      <c r="A8504" t="n" s="0">
        <v>-14.97</v>
      </c>
      <c r="B8504" t="n" s="0">
        <f>(-5-((((-5*(-5/((-5/(((-5*(-14.97--5))-(-5+((-5*-14.97)*(((-5--5)+(-14.97--5))+-14.97))))-(-5+-5)))*-5)))/-5)--5)+(-5*(((-14.97*(-14.97-(-5/-5)))*(-14.97-(-14.97/(-5*-14.97))))-(-5/-5)))))</f>
        <v>-17284.064165</v>
      </c>
      <c r="C8504" t="n" s="0">
        <v>-17284.064165</v>
      </c>
    </row>
    <row r="8505">
      <c r="A8505" t="n" s="0">
        <v>-14.96</v>
      </c>
      <c r="B8505" t="n" s="0">
        <f>(-5-((((-5*(-5/((-5/(((-5*(-14.96--5))-(-5+((-5*-14.96)*(((-5--5)+(-14.96--5))+-14.96))))-(-5+-5)))*-5)))/-5)--5)+(-5*(((-14.96*(-14.96-(-5/-5)))*(-14.96-(-14.96/(-5*-14.96))))-(-5/-5)))))</f>
        <v>-17249.84288</v>
      </c>
      <c r="C8505" t="n" s="0">
        <v>-17249.842880000007</v>
      </c>
    </row>
    <row r="8506">
      <c r="A8506" t="n" s="0">
        <v>-14.95</v>
      </c>
      <c r="B8506" t="n" s="0">
        <f>(-5-((((-5*(-5/((-5/(((-5*(-14.95--5))-(-5+((-5*-14.95)*(((-5--5)+(-14.95--5))+-14.95))))-(-5+-5)))*-5)))/-5)--5)+(-5*(((-14.95*(-14.95-(-5/-5)))*(-14.95-(-14.95/(-5*-14.95))))-(-5/-5)))))</f>
        <v>-17215.666875</v>
      </c>
      <c r="C8506" t="n" s="0">
        <v>-17215.666875</v>
      </c>
    </row>
    <row r="8507">
      <c r="A8507" t="n" s="0">
        <v>-14.94</v>
      </c>
      <c r="B8507" t="n" s="0">
        <f>(-5-((((-5*(-5/((-5/(((-5*(-14.94--5))-(-5+((-5*-14.94)*(((-5--5)+(-14.94--5))+-14.94))))-(-5+-5)))*-5)))/-5)--5)+(-5*(((-14.94*(-14.94-(-5/-5)))*(-14.94-(-14.94/(-5*-14.94))))-(-5/-5)))))</f>
        <v>-17181.536119999997</v>
      </c>
      <c r="C8507" t="n" s="0">
        <v>-17181.536119999997</v>
      </c>
    </row>
    <row r="8508">
      <c r="A8508" t="n" s="0">
        <v>-14.93</v>
      </c>
      <c r="B8508" t="n" s="0">
        <f>(-5-((((-5*(-5/((-5/(((-5*(-14.93--5))-(-5+((-5*-14.93)*(((-5--5)+(-14.93--5))+-14.93))))-(-5+-5)))*-5)))/-5)--5)+(-5*(((-14.93*(-14.93-(-5/-5)))*(-14.93-(-14.93/(-5*-14.93))))-(-5/-5)))))</f>
        <v>-17147.450585000002</v>
      </c>
      <c r="C8508" t="n" s="0">
        <v>-17147.450585</v>
      </c>
    </row>
    <row r="8509">
      <c r="A8509" t="n" s="0">
        <v>-14.92</v>
      </c>
      <c r="B8509" t="n" s="0">
        <f>(-5-((((-5*(-5/((-5/(((-5*(-14.92--5))-(-5+((-5*-14.92)*(((-5--5)+(-14.92--5))+-14.92))))-(-5+-5)))*-5)))/-5)--5)+(-5*(((-14.92*(-14.92-(-5/-5)))*(-14.92-(-14.92/(-5*-14.92))))-(-5/-5)))))</f>
        <v>-17113.410239999997</v>
      </c>
      <c r="C8509" t="n" s="0">
        <v>-17113.41024</v>
      </c>
    </row>
    <row r="8510">
      <c r="A8510" t="n" s="0">
        <v>-14.91</v>
      </c>
      <c r="B8510" t="n" s="0">
        <f>(-5-((((-5*(-5/((-5/(((-5*(-14.91--5))-(-5+((-5*-14.91)*(((-5--5)+(-14.91--5))+-14.91))))-(-5+-5)))*-5)))/-5)--5)+(-5*(((-14.91*(-14.91-(-5/-5)))*(-14.91-(-14.91/(-5*-14.91))))-(-5/-5)))))</f>
        <v>-17079.415054999998</v>
      </c>
      <c r="C8510" t="n" s="0">
        <v>-17079.415055</v>
      </c>
    </row>
    <row r="8511">
      <c r="A8511" t="n" s="0">
        <v>-14.9</v>
      </c>
      <c r="B8511" t="n" s="0">
        <f>(-5-((((-5*(-5/((-5/(((-5*(-14.9--5))-(-5+((-5*-14.9)*(((-5--5)+(-14.9--5))+-14.9))))-(-5+-5)))*-5)))/-5)--5)+(-5*(((-14.9*(-14.9-(-5/-5)))*(-14.9-(-14.9/(-5*-14.9))))-(-5/-5)))))</f>
        <v>-17045.465</v>
      </c>
      <c r="C8511" t="n" s="0">
        <v>-17045.465</v>
      </c>
    </row>
    <row r="8512">
      <c r="A8512" t="n" s="0">
        <v>-14.89</v>
      </c>
      <c r="B8512" t="n" s="0">
        <f>(-5-((((-5*(-5/((-5/(((-5*(-14.89--5))-(-5+((-5*-14.89)*(((-5--5)+(-14.89--5))+-14.89))))-(-5+-5)))*-5)))/-5)--5)+(-5*(((-14.89*(-14.89-(-5/-5)))*(-14.89-(-14.89/(-5*-14.89))))-(-5/-5)))))</f>
        <v>-17011.560045</v>
      </c>
      <c r="C8512" t="n" s="0">
        <v>-17011.560045000002</v>
      </c>
    </row>
    <row r="8513">
      <c r="A8513" t="n" s="0">
        <v>-14.88</v>
      </c>
      <c r="B8513" t="n" s="0">
        <f>(-5-((((-5*(-5/((-5/(((-5*(-14.88--5))-(-5+((-5*-14.88)*(((-5--5)+(-14.88--5))+-14.88))))-(-5+-5)))*-5)))/-5)--5)+(-5*(((-14.88*(-14.88-(-5/-5)))*(-14.88-(-14.88/(-5*-14.88))))-(-5/-5)))))</f>
        <v>-16977.70016</v>
      </c>
      <c r="C8513" t="n" s="0">
        <v>-16977.70016</v>
      </c>
    </row>
    <row r="8514">
      <c r="A8514" t="n" s="0">
        <v>-14.87</v>
      </c>
      <c r="B8514" t="n" s="0">
        <f>(-5-((((-5*(-5/((-5/(((-5*(-14.87--5))-(-5+((-5*-14.87)*(((-5--5)+(-14.87--5))+-14.87))))-(-5+-5)))*-5)))/-5)--5)+(-5*(((-14.87*(-14.87-(-5/-5)))*(-14.87-(-14.87/(-5*-14.87))))-(-5/-5)))))</f>
        <v>-16943.885315000003</v>
      </c>
      <c r="C8514" t="n" s="0">
        <v>-16943.885315</v>
      </c>
    </row>
    <row r="8515">
      <c r="A8515" t="n" s="0">
        <v>-14.86</v>
      </c>
      <c r="B8515" t="n" s="0">
        <f>(-5-((((-5*(-5/((-5/(((-5*(-14.86--5))-(-5+((-5*-14.86)*(((-5--5)+(-14.86--5))+-14.86))))-(-5+-5)))*-5)))/-5)--5)+(-5*(((-14.86*(-14.86-(-5/-5)))*(-14.86-(-14.86/(-5*-14.86))))-(-5/-5)))))</f>
        <v>-16910.11548</v>
      </c>
      <c r="C8515" t="n" s="0">
        <v>-16910.11548</v>
      </c>
    </row>
    <row r="8516">
      <c r="A8516" t="n" s="0">
        <v>-14.85</v>
      </c>
      <c r="B8516" t="n" s="0">
        <f>(-5-((((-5*(-5/((-5/(((-5*(-14.85--5))-(-5+((-5*-14.85)*(((-5--5)+(-14.85--5))+-14.85))))-(-5+-5)))*-5)))/-5)--5)+(-5*(((-14.85*(-14.85-(-5/-5)))*(-14.85-(-14.85/(-5*-14.85))))-(-5/-5)))))</f>
        <v>-16876.390625</v>
      </c>
      <c r="C8516" t="n" s="0">
        <v>-16876.390624999996</v>
      </c>
    </row>
    <row r="8517">
      <c r="A8517" t="n" s="0">
        <v>-14.84</v>
      </c>
      <c r="B8517" t="n" s="0">
        <f>(-5-((((-5*(-5/((-5/(((-5*(-14.84--5))-(-5+((-5*-14.84)*(((-5--5)+(-14.84--5))+-14.84))))-(-5+-5)))*-5)))/-5)--5)+(-5*(((-14.84*(-14.84-(-5/-5)))*(-14.84-(-14.84/(-5*-14.84))))-(-5/-5)))))</f>
        <v>-16842.710720000003</v>
      </c>
      <c r="C8517" t="n" s="0">
        <v>-16842.71072</v>
      </c>
    </row>
    <row r="8518">
      <c r="A8518" t="n" s="0">
        <v>-14.83</v>
      </c>
      <c r="B8518" t="n" s="0">
        <f>(-5-((((-5*(-5/((-5/(((-5*(-14.83--5))-(-5+((-5*-14.83)*(((-5--5)+(-14.83--5))+-14.83))))-(-5+-5)))*-5)))/-5)--5)+(-5*(((-14.83*(-14.83-(-5/-5)))*(-14.83-(-14.83/(-5*-14.83))))-(-5/-5)))))</f>
        <v>-16809.075735000002</v>
      </c>
      <c r="C8518" t="n" s="0">
        <v>-16809.075735000002</v>
      </c>
    </row>
    <row r="8519">
      <c r="A8519" t="n" s="0">
        <v>-14.82</v>
      </c>
      <c r="B8519" t="n" s="0">
        <f>(-5-((((-5*(-5/((-5/(((-5*(-14.82--5))-(-5+((-5*-14.82)*(((-5--5)+(-14.82--5))+-14.82))))-(-5+-5)))*-5)))/-5)--5)+(-5*(((-14.82*(-14.82-(-5/-5)))*(-14.82-(-14.82/(-5*-14.82))))-(-5/-5)))))</f>
        <v>-16775.48564</v>
      </c>
      <c r="C8519" t="n" s="0">
        <v>-16775.48564</v>
      </c>
    </row>
    <row r="8520">
      <c r="A8520" t="n" s="0">
        <v>-14.81</v>
      </c>
      <c r="B8520" t="n" s="0">
        <f>(-5-((((-5*(-5/((-5/(((-5*(-14.81--5))-(-5+((-5*-14.81)*(((-5--5)+(-14.81--5))+-14.81))))-(-5+-5)))*-5)))/-5)--5)+(-5*(((-14.81*(-14.81-(-5/-5)))*(-14.81-(-14.81/(-5*-14.81))))-(-5/-5)))))</f>
        <v>-16741.940404999998</v>
      </c>
      <c r="C8520" t="n" s="0">
        <v>-16741.940405</v>
      </c>
    </row>
    <row r="8521">
      <c r="A8521" t="n" s="0">
        <v>-14.8</v>
      </c>
      <c r="B8521" t="n" s="0">
        <f>(-5-((((-5*(-5/((-5/(((-5*(-14.8--5))-(-5+((-5*-14.8)*(((-5--5)+(-14.8--5))+-14.8))))-(-5+-5)))*-5)))/-5)--5)+(-5*(((-14.8*(-14.8-(-5/-5)))*(-14.8-(-14.8/(-5*-14.8))))-(-5/-5)))))</f>
        <v>-16708.44</v>
      </c>
      <c r="C8521" t="n" s="0">
        <v>-16708.440000000006</v>
      </c>
    </row>
    <row r="8522">
      <c r="A8522" t="n" s="0">
        <v>-14.79</v>
      </c>
      <c r="B8522" t="n" s="0">
        <f>(-5-((((-5*(-5/((-5/(((-5*(-14.79--5))-(-5+((-5*-14.79)*(((-5--5)+(-14.79--5))+-14.79))))-(-5+-5)))*-5)))/-5)--5)+(-5*(((-14.79*(-14.79-(-5/-5)))*(-14.79-(-14.79/(-5*-14.79))))-(-5/-5)))))</f>
        <v>-16674.984394999996</v>
      </c>
      <c r="C8522" t="n" s="0">
        <v>-16674.984394999996</v>
      </c>
    </row>
    <row r="8523">
      <c r="A8523" t="n" s="0">
        <v>-14.78</v>
      </c>
      <c r="B8523" t="n" s="0">
        <f>(-5-((((-5*(-5/((-5/(((-5*(-14.78--5))-(-5+((-5*-14.78)*(((-5--5)+(-14.78--5))+-14.78))))-(-5+-5)))*-5)))/-5)--5)+(-5*(((-14.78*(-14.78-(-5/-5)))*(-14.78-(-14.78/(-5*-14.78))))-(-5/-5)))))</f>
        <v>-16641.573559999997</v>
      </c>
      <c r="C8523" t="n" s="0">
        <v>-16641.573559999997</v>
      </c>
    </row>
    <row r="8524">
      <c r="A8524" t="n" s="0">
        <v>-14.77</v>
      </c>
      <c r="B8524" t="n" s="0">
        <f>(-5-((((-5*(-5/((-5/(((-5*(-14.77--5))-(-5+((-5*-14.77)*(((-5--5)+(-14.77--5))+-14.77))))-(-5+-5)))*-5)))/-5)--5)+(-5*(((-14.77*(-14.77-(-5/-5)))*(-14.77-(-14.77/(-5*-14.77))))-(-5/-5)))))</f>
        <v>-16608.207465</v>
      </c>
      <c r="C8524" t="n" s="0">
        <v>-16608.207465</v>
      </c>
    </row>
    <row r="8525">
      <c r="A8525" t="n" s="0">
        <v>-14.76</v>
      </c>
      <c r="B8525" t="n" s="0">
        <f>(-5-((((-5*(-5/((-5/(((-5*(-14.76--5))-(-5+((-5*-14.76)*(((-5--5)+(-14.76--5))+-14.76))))-(-5+-5)))*-5)))/-5)--5)+(-5*(((-14.76*(-14.76-(-5/-5)))*(-14.76-(-14.76/(-5*-14.76))))-(-5/-5)))))</f>
        <v>-16574.88608</v>
      </c>
      <c r="C8525" t="n" s="0">
        <v>-16574.886079999997</v>
      </c>
    </row>
    <row r="8526">
      <c r="A8526" t="n" s="0">
        <v>-14.75</v>
      </c>
      <c r="B8526" t="n" s="0">
        <f>(-5-((((-5*(-5/((-5/(((-5*(-14.75--5))-(-5+((-5*-14.75)*(((-5--5)+(-14.75--5))+-14.75))))-(-5+-5)))*-5)))/-5)--5)+(-5*(((-14.75*(-14.75-(-5/-5)))*(-14.75-(-14.75/(-5*-14.75))))-(-5/-5)))))</f>
        <v>-16541.609375</v>
      </c>
      <c r="C8526" t="n" s="0">
        <v>-16541.609375</v>
      </c>
    </row>
    <row r="8527">
      <c r="A8527" t="n" s="0">
        <v>-14.74</v>
      </c>
      <c r="B8527" t="n" s="0">
        <f>(-5-((((-5*(-5/((-5/(((-5*(-14.74--5))-(-5+((-5*-14.74)*(((-5--5)+(-14.74--5))+-14.74))))-(-5+-5)))*-5)))/-5)--5)+(-5*(((-14.74*(-14.74-(-5/-5)))*(-14.74-(-14.74/(-5*-14.74))))-(-5/-5)))))</f>
        <v>-16508.37732</v>
      </c>
      <c r="C8527" t="n" s="0">
        <v>-16508.37732</v>
      </c>
    </row>
    <row r="8528">
      <c r="A8528" t="n" s="0">
        <v>-14.73</v>
      </c>
      <c r="B8528" t="n" s="0">
        <f>(-5-((((-5*(-5/((-5/(((-5*(-14.73--5))-(-5+((-5*-14.73)*(((-5--5)+(-14.73--5))+-14.73))))-(-5+-5)))*-5)))/-5)--5)+(-5*(((-14.73*(-14.73-(-5/-5)))*(-14.73-(-14.73/(-5*-14.73))))-(-5/-5)))))</f>
        <v>-16475.189884999996</v>
      </c>
      <c r="C8528" t="n" s="0">
        <v>-16475.189885</v>
      </c>
    </row>
    <row r="8529">
      <c r="A8529" t="n" s="0">
        <v>-14.72</v>
      </c>
      <c r="B8529" t="n" s="0">
        <f>(-5-((((-5*(-5/((-5/(((-5*(-14.72--5))-(-5+((-5*-14.72)*(((-5--5)+(-14.72--5))+-14.72))))-(-5+-5)))*-5)))/-5)--5)+(-5*(((-14.72*(-14.72-(-5/-5)))*(-14.72-(-14.72/(-5*-14.72))))-(-5/-5)))))</f>
        <v>-16442.04704</v>
      </c>
      <c r="C8529" t="n" s="0">
        <v>-16442.04704</v>
      </c>
    </row>
    <row r="8530">
      <c r="A8530" t="n" s="0">
        <v>-14.71</v>
      </c>
      <c r="B8530" t="n" s="0">
        <f>(-5-((((-5*(-5/((-5/(((-5*(-14.71--5))-(-5+((-5*-14.71)*(((-5--5)+(-14.71--5))+-14.71))))-(-5+-5)))*-5)))/-5)--5)+(-5*(((-14.71*(-14.71-(-5/-5)))*(-14.71-(-14.71/(-5*-14.71))))-(-5/-5)))))</f>
        <v>-16408.948755</v>
      </c>
      <c r="C8530" t="n" s="0">
        <v>-16408.948755</v>
      </c>
    </row>
    <row r="8531">
      <c r="A8531" t="n" s="0">
        <v>-14.7</v>
      </c>
      <c r="B8531" t="n" s="0">
        <f>(-5-((((-5*(-5/((-5/(((-5*(-14.7--5))-(-5+((-5*-14.7)*(((-5--5)+(-14.7--5))+-14.7))))-(-5+-5)))*-5)))/-5)--5)+(-5*(((-14.7*(-14.7-(-5/-5)))*(-14.7-(-14.7/(-5*-14.7))))-(-5/-5)))))</f>
        <v>-16375.895000000004</v>
      </c>
      <c r="C8531" t="n" s="0">
        <v>-16375.894999999999</v>
      </c>
    </row>
    <row r="8532">
      <c r="A8532" t="n" s="0">
        <v>-14.69</v>
      </c>
      <c r="B8532" t="n" s="0">
        <f>(-5-((((-5*(-5/((-5/(((-5*(-14.69--5))-(-5+((-5*-14.69)*(((-5--5)+(-14.69--5))+-14.69))))-(-5+-5)))*-5)))/-5)--5)+(-5*(((-14.69*(-14.69-(-5/-5)))*(-14.69-(-14.69/(-5*-14.69))))-(-5/-5)))))</f>
        <v>-16342.885745</v>
      </c>
      <c r="C8532" t="n" s="0">
        <v>-16342.885744999998</v>
      </c>
    </row>
    <row r="8533">
      <c r="A8533" t="n" s="0">
        <v>-14.68</v>
      </c>
      <c r="B8533" t="n" s="0">
        <f>(-5-((((-5*(-5/((-5/(((-5*(-14.68--5))-(-5+((-5*-14.68)*(((-5--5)+(-14.68--5))+-14.68))))-(-5+-5)))*-5)))/-5)--5)+(-5*(((-14.68*(-14.68-(-5/-5)))*(-14.68-(-14.68/(-5*-14.68))))-(-5/-5)))))</f>
        <v>-16309.920960000003</v>
      </c>
      <c r="C8533" t="n" s="0">
        <v>-16309.92096</v>
      </c>
    </row>
    <row r="8534">
      <c r="A8534" t="n" s="0">
        <v>-14.67</v>
      </c>
      <c r="B8534" t="n" s="0">
        <f>(-5-((((-5*(-5/((-5/(((-5*(-14.67--5))-(-5+((-5*-14.67)*(((-5--5)+(-14.67--5))+-14.67))))-(-5+-5)))*-5)))/-5)--5)+(-5*(((-14.67*(-14.67-(-5/-5)))*(-14.67-(-14.67/(-5*-14.67))))-(-5/-5)))))</f>
        <v>-16277.000614999997</v>
      </c>
      <c r="C8534" t="n" s="0">
        <v>-16277.000614999999</v>
      </c>
    </row>
    <row r="8535">
      <c r="A8535" t="n" s="0">
        <v>-14.66</v>
      </c>
      <c r="B8535" t="n" s="0">
        <f>(-5-((((-5*(-5/((-5/(((-5*(-14.66--5))-(-5+((-5*-14.66)*(((-5--5)+(-14.66--5))+-14.66))))-(-5+-5)))*-5)))/-5)--5)+(-5*(((-14.66*(-14.66-(-5/-5)))*(-14.66-(-14.66/(-5*-14.66))))-(-5/-5)))))</f>
        <v>-16244.124679999999</v>
      </c>
      <c r="C8535" t="n" s="0">
        <v>-16244.124679999999</v>
      </c>
    </row>
    <row r="8536">
      <c r="A8536" t="n" s="0">
        <v>-14.65</v>
      </c>
      <c r="B8536" t="n" s="0">
        <f>(-5-((((-5*(-5/((-5/(((-5*(-14.65--5))-(-5+((-5*-14.65)*(((-5--5)+(-14.65--5))+-14.65))))-(-5+-5)))*-5)))/-5)--5)+(-5*(((-14.65*(-14.65-(-5/-5)))*(-14.65-(-14.65/(-5*-14.65))))-(-5/-5)))))</f>
        <v>-16211.293125</v>
      </c>
      <c r="C8536" t="n" s="0">
        <v>-16211.293125000002</v>
      </c>
    </row>
    <row r="8537">
      <c r="A8537" t="n" s="0">
        <v>-14.64</v>
      </c>
      <c r="B8537" t="n" s="0">
        <f>(-5-((((-5*(-5/((-5/(((-5*(-14.64--5))-(-5+((-5*-14.64)*(((-5--5)+(-14.64--5))+-14.64))))-(-5+-5)))*-5)))/-5)--5)+(-5*(((-14.64*(-14.64-(-5/-5)))*(-14.64-(-14.64/(-5*-14.64))))-(-5/-5)))))</f>
        <v>-16178.50592</v>
      </c>
      <c r="C8537" t="n" s="0">
        <v>-16178.505920000001</v>
      </c>
    </row>
    <row r="8538">
      <c r="A8538" t="n" s="0">
        <v>-14.63</v>
      </c>
      <c r="B8538" t="n" s="0">
        <f>(-5-((((-5*(-5/((-5/(((-5*(-14.63--5))-(-5+((-5*-14.63)*(((-5--5)+(-14.63--5))+-14.63))))-(-5+-5)))*-5)))/-5)--5)+(-5*(((-14.63*(-14.63-(-5/-5)))*(-14.63-(-14.63/(-5*-14.63))))-(-5/-5)))))</f>
        <v>-16145.763035000002</v>
      </c>
      <c r="C8538" t="n" s="0">
        <v>-16145.763035000002</v>
      </c>
    </row>
    <row r="8539">
      <c r="A8539" t="n" s="0">
        <v>-14.62</v>
      </c>
      <c r="B8539" t="n" s="0">
        <f>(-5-((((-5*(-5/((-5/(((-5*(-14.62--5))-(-5+((-5*-14.62)*(((-5--5)+(-14.62--5))+-14.62))))-(-5+-5)))*-5)))/-5)--5)+(-5*(((-14.62*(-14.62-(-5/-5)))*(-14.62-(-14.62/(-5*-14.62))))-(-5/-5)))))</f>
        <v>-16113.06444</v>
      </c>
      <c r="C8539" t="n" s="0">
        <v>-16113.064439999996</v>
      </c>
    </row>
    <row r="8540">
      <c r="A8540" t="n" s="0">
        <v>-14.61</v>
      </c>
      <c r="B8540" t="n" s="0">
        <f>(-5-((((-5*(-5/((-5/(((-5*(-14.61--5))-(-5+((-5*-14.61)*(((-5--5)+(-14.61--5))+-14.61))))-(-5+-5)))*-5)))/-5)--5)+(-5*(((-14.61*(-14.61-(-5/-5)))*(-14.61-(-14.61/(-5*-14.61))))-(-5/-5)))))</f>
        <v>-16080.410104999999</v>
      </c>
      <c r="C8540" t="n" s="0">
        <v>-16080.410104999997</v>
      </c>
    </row>
    <row r="8541">
      <c r="A8541" t="n" s="0">
        <v>-14.6</v>
      </c>
      <c r="B8541" t="n" s="0">
        <f>(-5-((((-5*(-5/((-5/(((-5*(-14.6--5))-(-5+((-5*-14.6)*(((-5--5)+(-14.6--5))+-14.6))))-(-5+-5)))*-5)))/-5)--5)+(-5*(((-14.6*(-14.6-(-5/-5)))*(-14.6-(-14.6/(-5*-14.6))))-(-5/-5)))))</f>
        <v>-16047.800000000003</v>
      </c>
      <c r="C8541" t="n" s="0">
        <v>-16047.8</v>
      </c>
    </row>
    <row r="8542">
      <c r="A8542" t="n" s="0">
        <v>-14.59</v>
      </c>
      <c r="B8542" t="n" s="0">
        <f>(-5-((((-5*(-5/((-5/(((-5*(-14.59--5))-(-5+((-5*-14.59)*(((-5--5)+(-14.59--5))+-14.59))))-(-5+-5)))*-5)))/-5)--5)+(-5*(((-14.59*(-14.59-(-5/-5)))*(-14.59-(-14.59/(-5*-14.59))))-(-5/-5)))))</f>
        <v>-16015.234094999998</v>
      </c>
      <c r="C8542" t="n" s="0">
        <v>-16015.234095</v>
      </c>
    </row>
    <row r="8543">
      <c r="A8543" t="n" s="0">
        <v>-14.58</v>
      </c>
      <c r="B8543" t="n" s="0">
        <f>(-5-((((-5*(-5/((-5/(((-5*(-14.58--5))-(-5+((-5*-14.58)*(((-5--5)+(-14.58--5))+-14.58))))-(-5+-5)))*-5)))/-5)--5)+(-5*(((-14.58*(-14.58-(-5/-5)))*(-14.58-(-14.58/(-5*-14.58))))-(-5/-5)))))</f>
        <v>-15982.71236</v>
      </c>
      <c r="C8543" t="n" s="0">
        <v>-15982.712360000001</v>
      </c>
    </row>
    <row r="8544">
      <c r="A8544" t="n" s="0">
        <v>-14.57</v>
      </c>
      <c r="B8544" t="n" s="0">
        <f>(-5-((((-5*(-5/((-5/(((-5*(-14.57--5))-(-5+((-5*-14.57)*(((-5--5)+(-14.57--5))+-14.57))))-(-5+-5)))*-5)))/-5)--5)+(-5*(((-14.57*(-14.57-(-5/-5)))*(-14.57-(-14.57/(-5*-14.57))))-(-5/-5)))))</f>
        <v>-15950.234765</v>
      </c>
      <c r="C8544" t="n" s="0">
        <v>-15950.234765</v>
      </c>
    </row>
    <row r="8545">
      <c r="A8545" t="n" s="0">
        <v>-14.56</v>
      </c>
      <c r="B8545" t="n" s="0">
        <f>(-5-((((-5*(-5/((-5/(((-5*(-14.56--5))-(-5+((-5*-14.56)*(((-5--5)+(-14.56--5))+-14.56))))-(-5+-5)))*-5)))/-5)--5)+(-5*(((-14.56*(-14.56-(-5/-5)))*(-14.56-(-14.56/(-5*-14.56))))-(-5/-5)))))</f>
        <v>-15917.801279999998</v>
      </c>
      <c r="C8545" t="n" s="0">
        <v>-15917.801280000001</v>
      </c>
    </row>
    <row r="8546">
      <c r="A8546" t="n" s="0">
        <v>-14.55</v>
      </c>
      <c r="B8546" t="n" s="0">
        <f>(-5-((((-5*(-5/((-5/(((-5*(-14.55--5))-(-5+((-5*-14.55)*(((-5--5)+(-14.55--5))+-14.55))))-(-5+-5)))*-5)))/-5)--5)+(-5*(((-14.55*(-14.55-(-5/-5)))*(-14.55-(-14.55/(-5*-14.55))))-(-5/-5)))))</f>
        <v>-15885.411874999998</v>
      </c>
      <c r="C8546" t="n" s="0">
        <v>-15885.411875000002</v>
      </c>
    </row>
    <row r="8547">
      <c r="A8547" t="n" s="0">
        <v>-14.54</v>
      </c>
      <c r="B8547" t="n" s="0">
        <f>(-5-((((-5*(-5/((-5/(((-5*(-14.54--5))-(-5+((-5*-14.54)*(((-5--5)+(-14.54--5))+-14.54))))-(-5+-5)))*-5)))/-5)--5)+(-5*(((-14.54*(-14.54-(-5/-5)))*(-14.54-(-14.54/(-5*-14.54))))-(-5/-5)))))</f>
        <v>-15853.066519999997</v>
      </c>
      <c r="C8547" t="n" s="0">
        <v>-15853.06652</v>
      </c>
    </row>
    <row r="8548">
      <c r="A8548" t="n" s="0">
        <v>-14.53</v>
      </c>
      <c r="B8548" t="n" s="0">
        <f>(-5-((((-5*(-5/((-5/(((-5*(-14.53--5))-(-5+((-5*-14.53)*(((-5--5)+(-14.53--5))+-14.53))))-(-5+-5)))*-5)))/-5)--5)+(-5*(((-14.53*(-14.53-(-5/-5)))*(-14.53-(-14.53/(-5*-14.53))))-(-5/-5)))))</f>
        <v>-15820.765184999997</v>
      </c>
      <c r="C8548" t="n" s="0">
        <v>-15820.765184999998</v>
      </c>
    </row>
    <row r="8549">
      <c r="A8549" t="n" s="0">
        <v>-14.52</v>
      </c>
      <c r="B8549" t="n" s="0">
        <f>(-5-((((-5*(-5/((-5/(((-5*(-14.52--5))-(-5+((-5*-14.52)*(((-5--5)+(-14.52--5))+-14.52))))-(-5+-5)))*-5)))/-5)--5)+(-5*(((-14.52*(-14.52-(-5/-5)))*(-14.52-(-14.52/(-5*-14.52))))-(-5/-5)))))</f>
        <v>-15788.50784</v>
      </c>
      <c r="C8549" t="n" s="0">
        <v>-15788.507839999998</v>
      </c>
    </row>
    <row r="8550">
      <c r="A8550" t="n" s="0">
        <v>-14.51</v>
      </c>
      <c r="B8550" t="n" s="0">
        <f>(-5-((((-5*(-5/((-5/(((-5*(-14.51--5))-(-5+((-5*-14.51)*(((-5--5)+(-14.51--5))+-14.51))))-(-5+-5)))*-5)))/-5)--5)+(-5*(((-14.51*(-14.51-(-5/-5)))*(-14.51-(-14.51/(-5*-14.51))))-(-5/-5)))))</f>
        <v>-15756.294455000001</v>
      </c>
      <c r="C8550" t="n" s="0">
        <v>-15756.294455000001</v>
      </c>
    </row>
    <row r="8551">
      <c r="A8551" t="n" s="0">
        <v>-14.5</v>
      </c>
      <c r="B8551" t="n" s="0">
        <f>(-5-((((-5*(-5/((-5/(((-5*(-14.5--5))-(-5+((-5*-14.5)*(((-5--5)+(-14.5--5))+-14.5))))-(-5+-5)))*-5)))/-5)--5)+(-5*(((-14.5*(-14.5-(-5/-5)))*(-14.5-(-14.5/(-5*-14.5))))-(-5/-5)))))</f>
        <v>-15724.125000000002</v>
      </c>
      <c r="C8551" t="n" s="0">
        <v>-15724.125</v>
      </c>
    </row>
    <row r="8552">
      <c r="A8552" t="n" s="0">
        <v>-14.49</v>
      </c>
      <c r="B8552" t="n" s="0">
        <f>(-5-((((-5*(-5/((-5/(((-5*(-14.49--5))-(-5+((-5*-14.49)*(((-5--5)+(-14.49--5))+-14.49))))-(-5+-5)))*-5)))/-5)--5)+(-5*(((-14.49*(-14.49-(-5/-5)))*(-14.49-(-14.49/(-5*-14.49))))-(-5/-5)))))</f>
        <v>-15691.999445000001</v>
      </c>
      <c r="C8552" t="n" s="0">
        <v>-15691.999445</v>
      </c>
    </row>
    <row r="8553">
      <c r="A8553" t="n" s="0">
        <v>-14.48</v>
      </c>
      <c r="B8553" t="n" s="0">
        <f>(-5-((((-5*(-5/((-5/(((-5*(-14.48--5))-(-5+((-5*-14.48)*(((-5--5)+(-14.48--5))+-14.48))))-(-5+-5)))*-5)))/-5)--5)+(-5*(((-14.48*(-14.48-(-5/-5)))*(-14.48-(-14.48/(-5*-14.48))))-(-5/-5)))))</f>
        <v>-15659.917759999998</v>
      </c>
      <c r="C8553" t="n" s="0">
        <v>-15659.917760000002</v>
      </c>
    </row>
    <row r="8554">
      <c r="A8554" t="n" s="0">
        <v>-14.47</v>
      </c>
      <c r="B8554" t="n" s="0">
        <f>(-5-((((-5*(-5/((-5/(((-5*(-14.47--5))-(-5+((-5*-14.47)*(((-5--5)+(-14.47--5))+-14.47))))-(-5+-5)))*-5)))/-5)--5)+(-5*(((-14.47*(-14.47-(-5/-5)))*(-14.47-(-14.47/(-5*-14.47))))-(-5/-5)))))</f>
        <v>-15627.879915000001</v>
      </c>
      <c r="C8554" t="n" s="0">
        <v>-15627.879915000001</v>
      </c>
    </row>
    <row r="8555">
      <c r="A8555" t="n" s="0">
        <v>-14.46</v>
      </c>
      <c r="B8555" t="n" s="0">
        <f>(-5-((((-5*(-5/((-5/(((-5*(-14.46--5))-(-5+((-5*-14.46)*(((-5--5)+(-14.46--5))+-14.46))))-(-5+-5)))*-5)))/-5)--5)+(-5*(((-14.46*(-14.46-(-5/-5)))*(-14.46-(-14.46/(-5*-14.46))))-(-5/-5)))))</f>
        <v>-15595.88588</v>
      </c>
      <c r="C8555" t="n" s="0">
        <v>-15595.88588</v>
      </c>
    </row>
    <row r="8556">
      <c r="A8556" t="n" s="0">
        <v>-14.45</v>
      </c>
      <c r="B8556" t="n" s="0">
        <f>(-5-((((-5*(-5/((-5/(((-5*(-14.45--5))-(-5+((-5*-14.45)*(((-5--5)+(-14.45--5))+-14.45))))-(-5+-5)))*-5)))/-5)--5)+(-5*(((-14.45*(-14.45-(-5/-5)))*(-14.45-(-14.45/(-5*-14.45))))-(-5/-5)))))</f>
        <v>-15563.935625000002</v>
      </c>
      <c r="C8556" t="n" s="0">
        <v>-15563.935624999996</v>
      </c>
    </row>
    <row r="8557">
      <c r="A8557" t="n" s="0">
        <v>-14.44</v>
      </c>
      <c r="B8557" t="n" s="0">
        <f>(-5-((((-5*(-5/((-5/(((-5*(-14.44--5))-(-5+((-5*-14.44)*(((-5--5)+(-14.44--5))+-14.44))))-(-5+-5)))*-5)))/-5)--5)+(-5*(((-14.44*(-14.44-(-5/-5)))*(-14.44-(-14.44/(-5*-14.44))))-(-5/-5)))))</f>
        <v>-15532.029119999997</v>
      </c>
      <c r="C8557" t="n" s="0">
        <v>-15532.02912</v>
      </c>
    </row>
    <row r="8558">
      <c r="A8558" t="n" s="0">
        <v>-14.43</v>
      </c>
      <c r="B8558" t="n" s="0">
        <f>(-5-((((-5*(-5/((-5/(((-5*(-14.43--5))-(-5+((-5*-14.43)*(((-5--5)+(-14.43--5))+-14.43))))-(-5+-5)))*-5)))/-5)--5)+(-5*(((-14.43*(-14.43-(-5/-5)))*(-14.43-(-14.43/(-5*-14.43))))-(-5/-5)))))</f>
        <v>-15500.166335000002</v>
      </c>
      <c r="C8558" t="n" s="0">
        <v>-15500.166335</v>
      </c>
    </row>
    <row r="8559">
      <c r="A8559" t="n" s="0">
        <v>-14.42</v>
      </c>
      <c r="B8559" t="n" s="0">
        <f>(-5-((((-5*(-5/((-5/(((-5*(-14.42--5))-(-5+((-5*-14.42)*(((-5--5)+(-14.42--5))+-14.42))))-(-5+-5)))*-5)))/-5)--5)+(-5*(((-14.42*(-14.42-(-5/-5)))*(-14.42-(-14.42/(-5*-14.42))))-(-5/-5)))))</f>
        <v>-15468.34724</v>
      </c>
      <c r="C8559" t="n" s="0">
        <v>-15468.34724</v>
      </c>
    </row>
    <row r="8560">
      <c r="A8560" t="n" s="0">
        <v>-14.41</v>
      </c>
      <c r="B8560" t="n" s="0">
        <f>(-5-((((-5*(-5/((-5/(((-5*(-14.41--5))-(-5+((-5*-14.41)*(((-5--5)+(-14.41--5))+-14.41))))-(-5+-5)))*-5)))/-5)--5)+(-5*(((-14.41*(-14.41-(-5/-5)))*(-14.41-(-14.41/(-5*-14.41))))-(-5/-5)))))</f>
        <v>-15436.571805000003</v>
      </c>
      <c r="C8560" t="n" s="0">
        <v>-15436.571805</v>
      </c>
    </row>
    <row r="8561">
      <c r="A8561" t="n" s="0">
        <v>-14.4</v>
      </c>
      <c r="B8561" t="n" s="0">
        <f>(-5-((((-5*(-5/((-5/(((-5*(-14.4--5))-(-5+((-5*-14.4)*(((-5--5)+(-14.4--5))+-14.4))))-(-5+-5)))*-5)))/-5)--5)+(-5*(((-14.4*(-14.4-(-5/-5)))*(-14.4-(-14.4/(-5*-14.4))))-(-5/-5)))))</f>
        <v>-15404.840000000002</v>
      </c>
      <c r="C8561" t="n" s="0">
        <v>-15404.840000000002</v>
      </c>
    </row>
    <row r="8562">
      <c r="A8562" t="n" s="0">
        <v>-14.39</v>
      </c>
      <c r="B8562" t="n" s="0">
        <f>(-5-((((-5*(-5/((-5/(((-5*(-14.39--5))-(-5+((-5*-14.39)*(((-5--5)+(-14.39--5))+-14.39))))-(-5+-5)))*-5)))/-5)--5)+(-5*(((-14.39*(-14.39-(-5/-5)))*(-14.39-(-14.39/(-5*-14.39))))-(-5/-5)))))</f>
        <v>-15373.151794999998</v>
      </c>
      <c r="C8562" t="n" s="0">
        <v>-15373.151795000003</v>
      </c>
    </row>
    <row r="8563">
      <c r="A8563" t="n" s="0">
        <v>-14.38</v>
      </c>
      <c r="B8563" t="n" s="0">
        <f>(-5-((((-5*(-5/((-5/(((-5*(-14.38--5))-(-5+((-5*-14.38)*(((-5--5)+(-14.38--5))+-14.38))))-(-5+-5)))*-5)))/-5)--5)+(-5*(((-14.38*(-14.38-(-5/-5)))*(-14.38-(-14.38/(-5*-14.38))))-(-5/-5)))))</f>
        <v>-15341.50716</v>
      </c>
      <c r="C8563" t="n" s="0">
        <v>-15341.507160000001</v>
      </c>
    </row>
    <row r="8564">
      <c r="A8564" t="n" s="0">
        <v>-14.37</v>
      </c>
      <c r="B8564" t="n" s="0">
        <f>(-5-((((-5*(-5/((-5/(((-5*(-14.37--5))-(-5+((-5*-14.37)*(((-5--5)+(-14.37--5))+-14.37))))-(-5+-5)))*-5)))/-5)--5)+(-5*(((-14.37*(-14.37-(-5/-5)))*(-14.37-(-14.37/(-5*-14.37))))-(-5/-5)))))</f>
        <v>-15309.906065000001</v>
      </c>
      <c r="C8564" t="n" s="0">
        <v>-15309.906064999997</v>
      </c>
    </row>
    <row r="8565">
      <c r="A8565" t="n" s="0">
        <v>-14.36</v>
      </c>
      <c r="B8565" t="n" s="0">
        <f>(-5-((((-5*(-5/((-5/(((-5*(-14.36--5))-(-5+((-5*-14.36)*(((-5--5)+(-14.36--5))+-14.36))))-(-5+-5)))*-5)))/-5)--5)+(-5*(((-14.36*(-14.36-(-5/-5)))*(-14.36-(-14.36/(-5*-14.36))))-(-5/-5)))))</f>
        <v>-15278.34848</v>
      </c>
      <c r="C8565" t="n" s="0">
        <v>-15278.348479999999</v>
      </c>
    </row>
    <row r="8566">
      <c r="A8566" t="n" s="0">
        <v>-14.35</v>
      </c>
      <c r="B8566" t="n" s="0">
        <f>(-5-((((-5*(-5/((-5/(((-5*(-14.35--5))-(-5+((-5*-14.35)*(((-5--5)+(-14.35--5))+-14.35))))-(-5+-5)))*-5)))/-5)--5)+(-5*(((-14.35*(-14.35-(-5/-5)))*(-14.35-(-14.35/(-5*-14.35))))-(-5/-5)))))</f>
        <v>-15246.834375</v>
      </c>
      <c r="C8566" t="n" s="0">
        <v>-15246.834374999997</v>
      </c>
    </row>
    <row r="8567">
      <c r="A8567" t="n" s="0">
        <v>-14.34</v>
      </c>
      <c r="B8567" t="n" s="0">
        <f>(-5-((((-5*(-5/((-5/(((-5*(-14.34--5))-(-5+((-5*-14.34)*(((-5--5)+(-14.34--5))+-14.34))))-(-5+-5)))*-5)))/-5)--5)+(-5*(((-14.34*(-14.34-(-5/-5)))*(-14.34-(-14.34/(-5*-14.34))))-(-5/-5)))))</f>
        <v>-15215.36372</v>
      </c>
      <c r="C8567" t="n" s="0">
        <v>-15215.36372</v>
      </c>
    </row>
    <row r="8568">
      <c r="A8568" t="n" s="0">
        <v>-14.33</v>
      </c>
      <c r="B8568" t="n" s="0">
        <f>(-5-((((-5*(-5/((-5/(((-5*(-14.33--5))-(-5+((-5*-14.33)*(((-5--5)+(-14.33--5))+-14.33))))-(-5+-5)))*-5)))/-5)--5)+(-5*(((-14.33*(-14.33-(-5/-5)))*(-14.33-(-14.33/(-5*-14.33))))-(-5/-5)))))</f>
        <v>-15183.936485000002</v>
      </c>
      <c r="C8568" t="n" s="0">
        <v>-15183.936485</v>
      </c>
    </row>
    <row r="8569">
      <c r="A8569" t="n" s="0">
        <v>-14.32</v>
      </c>
      <c r="B8569" t="n" s="0">
        <f>(-5-((((-5*(-5/((-5/(((-5*(-14.32--5))-(-5+((-5*-14.32)*(((-5--5)+(-14.32--5))+-14.32))))-(-5+-5)))*-5)))/-5)--5)+(-5*(((-14.32*(-14.32-(-5/-5)))*(-14.32-(-14.32/(-5*-14.32))))-(-5/-5)))))</f>
        <v>-15152.55264</v>
      </c>
      <c r="C8569" t="n" s="0">
        <v>-15152.55264</v>
      </c>
    </row>
    <row r="8570">
      <c r="A8570" t="n" s="0">
        <v>-14.31</v>
      </c>
      <c r="B8570" t="n" s="0">
        <f>(-5-((((-5*(-5/((-5/(((-5*(-14.31--5))-(-5+((-5*-14.31)*(((-5--5)+(-14.31--5))+-14.31))))-(-5+-5)))*-5)))/-5)--5)+(-5*(((-14.31*(-14.31-(-5/-5)))*(-14.31-(-14.31/(-5*-14.31))))-(-5/-5)))))</f>
        <v>-15121.212155</v>
      </c>
      <c r="C8570" t="n" s="0">
        <v>-15121.212155000001</v>
      </c>
    </row>
    <row r="8571">
      <c r="A8571" t="n" s="0">
        <v>-14.3</v>
      </c>
      <c r="B8571" t="n" s="0">
        <f>(-5-((((-5*(-5/((-5/(((-5*(-14.3--5))-(-5+((-5*-14.3)*(((-5--5)+(-14.3--5))+-14.3))))-(-5+-5)))*-5)))/-5)--5)+(-5*(((-14.3*(-14.3-(-5/-5)))*(-14.3-(-14.3/(-5*-14.3))))-(-5/-5)))))</f>
        <v>-15089.914999999999</v>
      </c>
      <c r="C8571" t="n" s="0">
        <v>-15089.915</v>
      </c>
    </row>
    <row r="8572">
      <c r="A8572" t="n" s="0">
        <v>-14.29</v>
      </c>
      <c r="B8572" t="n" s="0">
        <f>(-5-((((-5*(-5/((-5/(((-5*(-14.29--5))-(-5+((-5*-14.29)*(((-5--5)+(-14.29--5))+-14.29))))-(-5+-5)))*-5)))/-5)--5)+(-5*(((-14.29*(-14.29-(-5/-5)))*(-14.29-(-14.29/(-5*-14.29))))-(-5/-5)))))</f>
        <v>-15058.661145</v>
      </c>
      <c r="C8572" t="n" s="0">
        <v>-15058.661144999998</v>
      </c>
    </row>
    <row r="8573">
      <c r="A8573" t="n" s="0">
        <v>-14.28</v>
      </c>
      <c r="B8573" t="n" s="0">
        <f>(-5-((((-5*(-5/((-5/(((-5*(-14.28--5))-(-5+((-5*-14.28)*(((-5--5)+(-14.28--5))+-14.28))))-(-5+-5)))*-5)))/-5)--5)+(-5*(((-14.28*(-14.28-(-5/-5)))*(-14.28-(-14.28/(-5*-14.28))))-(-5/-5)))))</f>
        <v>-15027.450559999997</v>
      </c>
      <c r="C8573" t="n" s="0">
        <v>-15027.450559999997</v>
      </c>
    </row>
    <row r="8574">
      <c r="A8574" t="n" s="0">
        <v>-14.27</v>
      </c>
      <c r="B8574" t="n" s="0">
        <f>(-5-((((-5*(-5/((-5/(((-5*(-14.27--5))-(-5+((-5*-14.27)*(((-5--5)+(-14.27--5))+-14.27))))-(-5+-5)))*-5)))/-5)--5)+(-5*(((-14.27*(-14.27-(-5/-5)))*(-14.27-(-14.27/(-5*-14.27))))-(-5/-5)))))</f>
        <v>-14996.283215</v>
      </c>
      <c r="C8574" t="n" s="0">
        <v>-14996.283214999998</v>
      </c>
    </row>
    <row r="8575">
      <c r="A8575" t="n" s="0">
        <v>-14.26</v>
      </c>
      <c r="B8575" t="n" s="0">
        <f>(-5-((((-5*(-5/((-5/(((-5*(-14.26--5))-(-5+((-5*-14.26)*(((-5--5)+(-14.26--5))+-14.26))))-(-5+-5)))*-5)))/-5)--5)+(-5*(((-14.26*(-14.26-(-5/-5)))*(-14.26-(-14.26/(-5*-14.26))))-(-5/-5)))))</f>
        <v>-14965.159080000001</v>
      </c>
      <c r="C8575" t="n" s="0">
        <v>-14965.15908</v>
      </c>
    </row>
    <row r="8576">
      <c r="A8576" t="n" s="0">
        <v>-14.25</v>
      </c>
      <c r="B8576" t="n" s="0">
        <f>(-5-((((-5*(-5/((-5/(((-5*(-14.25--5))-(-5+((-5*-14.25)*(((-5--5)+(-14.25--5))+-14.25))))-(-5+-5)))*-5)))/-5)--5)+(-5*(((-14.25*(-14.25-(-5/-5)))*(-14.25-(-14.25/(-5*-14.25))))-(-5/-5)))))</f>
        <v>-14934.078125</v>
      </c>
      <c r="C8576" t="n" s="0">
        <v>-14934.078125</v>
      </c>
    </row>
    <row r="8577">
      <c r="A8577" t="n" s="0">
        <v>-14.24</v>
      </c>
      <c r="B8577" t="n" s="0">
        <f>(-5-((((-5*(-5/((-5/(((-5*(-14.24--5))-(-5+((-5*-14.24)*(((-5--5)+(-14.24--5))+-14.24))))-(-5+-5)))*-5)))/-5)--5)+(-5*(((-14.24*(-14.24-(-5/-5)))*(-14.24-(-14.24/(-5*-14.24))))-(-5/-5)))))</f>
        <v>-14903.04032</v>
      </c>
      <c r="C8577" t="n" s="0">
        <v>-14903.040320000002</v>
      </c>
    </row>
    <row r="8578">
      <c r="A8578" t="n" s="0">
        <v>-14.23</v>
      </c>
      <c r="B8578" t="n" s="0">
        <f>(-5-((((-5*(-5/((-5/(((-5*(-14.23--5))-(-5+((-5*-14.23)*(((-5--5)+(-14.23--5))+-14.23))))-(-5+-5)))*-5)))/-5)--5)+(-5*(((-14.23*(-14.23-(-5/-5)))*(-14.23-(-14.23/(-5*-14.23))))-(-5/-5)))))</f>
        <v>-14872.045635000002</v>
      </c>
      <c r="C8578" t="n" s="0">
        <v>-14872.045635000002</v>
      </c>
    </row>
    <row r="8579">
      <c r="A8579" t="n" s="0">
        <v>-14.22</v>
      </c>
      <c r="B8579" t="n" s="0">
        <f>(-5-((((-5*(-5/((-5/(((-5*(-14.22--5))-(-5+((-5*-14.22)*(((-5--5)+(-14.22--5))+-14.22))))-(-5+-5)))*-5)))/-5)--5)+(-5*(((-14.22*(-14.22-(-5/-5)))*(-14.22-(-14.22/(-5*-14.22))))-(-5/-5)))))</f>
        <v>-14841.09404</v>
      </c>
      <c r="C8579" t="n" s="0">
        <v>-14841.094040000004</v>
      </c>
    </row>
    <row r="8580">
      <c r="A8580" t="n" s="0">
        <v>-14.21</v>
      </c>
      <c r="B8580" t="n" s="0">
        <f>(-5-((((-5*(-5/((-5/(((-5*(-14.21--5))-(-5+((-5*-14.21)*(((-5--5)+(-14.21--5))+-14.21))))-(-5+-5)))*-5)))/-5)--5)+(-5*(((-14.21*(-14.21-(-5/-5)))*(-14.21-(-14.21/(-5*-14.21))))-(-5/-5)))))</f>
        <v>-14810.185504999998</v>
      </c>
      <c r="C8580" t="n" s="0">
        <v>-14810.185505000001</v>
      </c>
    </row>
    <row r="8581">
      <c r="A8581" t="n" s="0">
        <v>-14.2</v>
      </c>
      <c r="B8581" t="n" s="0">
        <f>(-5-((((-5*(-5/((-5/(((-5*(-14.2--5))-(-5+((-5*-14.2)*(((-5--5)+(-14.2--5))+-14.2))))-(-5+-5)))*-5)))/-5)--5)+(-5*(((-14.2*(-14.2-(-5/-5)))*(-14.2-(-14.2/(-5*-14.2))))-(-5/-5)))))</f>
        <v>-14779.32</v>
      </c>
      <c r="C8581" t="n" s="0">
        <v>-14779.32</v>
      </c>
    </row>
    <row r="8582">
      <c r="A8582" t="n" s="0">
        <v>-14.19</v>
      </c>
      <c r="B8582" t="n" s="0">
        <f>(-5-((((-5*(-5/((-5/(((-5*(-14.19--5))-(-5+((-5*-14.19)*(((-5--5)+(-14.19--5))+-14.19))))-(-5+-5)))*-5)))/-5)--5)+(-5*(((-14.19*(-14.19-(-5/-5)))*(-14.19-(-14.19/(-5*-14.19))))-(-5/-5)))))</f>
        <v>-14748.497495</v>
      </c>
      <c r="C8582" t="n" s="0">
        <v>-14748.497495</v>
      </c>
    </row>
    <row r="8583">
      <c r="A8583" t="n" s="0">
        <v>-14.18</v>
      </c>
      <c r="B8583" t="n" s="0">
        <f>(-5-((((-5*(-5/((-5/(((-5*(-14.18--5))-(-5+((-5*-14.18)*(((-5--5)+(-14.18--5))+-14.18))))-(-5+-5)))*-5)))/-5)--5)+(-5*(((-14.18*(-14.18-(-5/-5)))*(-14.18-(-14.18/(-5*-14.18))))-(-5/-5)))))</f>
        <v>-14717.71796</v>
      </c>
      <c r="C8583" t="n" s="0">
        <v>-14717.71796</v>
      </c>
    </row>
    <row r="8584">
      <c r="A8584" t="n" s="0">
        <v>-14.17</v>
      </c>
      <c r="B8584" t="n" s="0">
        <f>(-5-((((-5*(-5/((-5/(((-5*(-14.17--5))-(-5+((-5*-14.17)*(((-5--5)+(-14.17--5))+-14.17))))-(-5+-5)))*-5)))/-5)--5)+(-5*(((-14.17*(-14.17-(-5/-5)))*(-14.17-(-14.17/(-5*-14.17))))-(-5/-5)))))</f>
        <v>-14686.981365</v>
      </c>
      <c r="C8584" t="n" s="0">
        <v>-14686.981364999998</v>
      </c>
    </row>
    <row r="8585">
      <c r="A8585" t="n" s="0">
        <v>-14.16</v>
      </c>
      <c r="B8585" t="n" s="0">
        <f>(-5-((((-5*(-5/((-5/(((-5*(-14.16--5))-(-5+((-5*-14.16)*(((-5--5)+(-14.16--5))+-14.16))))-(-5+-5)))*-5)))/-5)--5)+(-5*(((-14.16*(-14.16-(-5/-5)))*(-14.16-(-14.16/(-5*-14.16))))-(-5/-5)))))</f>
        <v>-14656.287680000001</v>
      </c>
      <c r="C8585" t="n" s="0">
        <v>-14656.287680000001</v>
      </c>
    </row>
    <row r="8586">
      <c r="A8586" t="n" s="0">
        <v>-14.15</v>
      </c>
      <c r="B8586" t="n" s="0">
        <f>(-5-((((-5*(-5/((-5/(((-5*(-14.15--5))-(-5+((-5*-14.15)*(((-5--5)+(-14.15--5))+-14.15))))-(-5+-5)))*-5)))/-5)--5)+(-5*(((-14.15*(-14.15-(-5/-5)))*(-14.15-(-14.15/(-5*-14.15))))-(-5/-5)))))</f>
        <v>-14625.636875</v>
      </c>
      <c r="C8586" t="n" s="0">
        <v>-14625.636875000002</v>
      </c>
    </row>
    <row r="8587">
      <c r="A8587" t="n" s="0">
        <v>-14.14</v>
      </c>
      <c r="B8587" t="n" s="0">
        <f>(-5-((((-5*(-5/((-5/(((-5*(-14.14--5))-(-5+((-5*-14.14)*(((-5--5)+(-14.14--5))+-14.14))))-(-5+-5)))*-5)))/-5)--5)+(-5*(((-14.14*(-14.14-(-5/-5)))*(-14.14-(-14.14/(-5*-14.14))))-(-5/-5)))))</f>
        <v>-14595.02892</v>
      </c>
      <c r="C8587" t="n" s="0">
        <v>-14595.02892</v>
      </c>
    </row>
    <row r="8588">
      <c r="A8588" t="n" s="0">
        <v>-14.13</v>
      </c>
      <c r="B8588" t="n" s="0">
        <f>(-5-((((-5*(-5/((-5/(((-5*(-14.13--5))-(-5+((-5*-14.13)*(((-5--5)+(-14.13--5))+-14.13))))-(-5+-5)))*-5)))/-5)--5)+(-5*(((-14.13*(-14.13-(-5/-5)))*(-14.13-(-14.13/(-5*-14.13))))-(-5/-5)))))</f>
        <v>-14564.463784999998</v>
      </c>
      <c r="C8588" t="n" s="0">
        <v>-14564.463785000002</v>
      </c>
    </row>
    <row r="8589">
      <c r="A8589" t="n" s="0">
        <v>-14.12</v>
      </c>
      <c r="B8589" t="n" s="0">
        <f>(-5-((((-5*(-5/((-5/(((-5*(-14.12--5))-(-5+((-5*-14.12)*(((-5--5)+(-14.12--5))+-14.12))))-(-5+-5)))*-5)))/-5)--5)+(-5*(((-14.12*(-14.12-(-5/-5)))*(-14.12-(-14.12/(-5*-14.12))))-(-5/-5)))))</f>
        <v>-14533.94144</v>
      </c>
      <c r="C8589" t="n" s="0">
        <v>-14533.941439999999</v>
      </c>
    </row>
    <row r="8590">
      <c r="A8590" t="n" s="0">
        <v>-14.11</v>
      </c>
      <c r="B8590" t="n" s="0">
        <f>(-5-((((-5*(-5/((-5/(((-5*(-14.11--5))-(-5+((-5*-14.11)*(((-5--5)+(-14.11--5))+-14.11))))-(-5+-5)))*-5)))/-5)--5)+(-5*(((-14.11*(-14.11-(-5/-5)))*(-14.11-(-14.11/(-5*-14.11))))-(-5/-5)))))</f>
        <v>-14503.461855000001</v>
      </c>
      <c r="C8590" t="n" s="0">
        <v>-14503.461854999998</v>
      </c>
    </row>
    <row r="8591">
      <c r="A8591" t="n" s="0">
        <v>-14.1</v>
      </c>
      <c r="B8591" t="n" s="0">
        <f>(-5-((((-5*(-5/((-5/(((-5*(-14.1--5))-(-5+((-5*-14.1)*(((-5--5)+(-14.1--5))+-14.1))))-(-5+-5)))*-5)))/-5)--5)+(-5*(((-14.1*(-14.1-(-5/-5)))*(-14.1-(-14.1/(-5*-14.1))))-(-5/-5)))))</f>
        <v>-14473.025000000003</v>
      </c>
      <c r="C8591" t="n" s="0">
        <v>-14473.025</v>
      </c>
    </row>
    <row r="8592">
      <c r="A8592" t="n" s="0">
        <v>-14.09</v>
      </c>
      <c r="B8592" t="n" s="0">
        <f>(-5-((((-5*(-5/((-5/(((-5*(-14.09--5))-(-5+((-5*-14.09)*(((-5--5)+(-14.09--5))+-14.09))))-(-5+-5)))*-5)))/-5)--5)+(-5*(((-14.09*(-14.09-(-5/-5)))*(-14.09-(-14.09/(-5*-14.09))))-(-5/-5)))))</f>
        <v>-14442.630845</v>
      </c>
      <c r="C8592" t="n" s="0">
        <v>-14442.630845</v>
      </c>
    </row>
    <row r="8593">
      <c r="A8593" t="n" s="0">
        <v>-14.08</v>
      </c>
      <c r="B8593" t="n" s="0">
        <f>(-5-((((-5*(-5/((-5/(((-5*(-14.08--5))-(-5+((-5*-14.08)*(((-5--5)+(-14.08--5))+-14.08))))-(-5+-5)))*-5)))/-5)--5)+(-5*(((-14.08*(-14.08-(-5/-5)))*(-14.08-(-14.08/(-5*-14.08))))-(-5/-5)))))</f>
        <v>-14412.279359999999</v>
      </c>
      <c r="C8593" t="n" s="0">
        <v>-14412.279359999999</v>
      </c>
    </row>
    <row r="8594">
      <c r="A8594" t="n" s="0">
        <v>-14.07</v>
      </c>
      <c r="B8594" t="n" s="0">
        <f>(-5-((((-5*(-5/((-5/(((-5*(-14.07--5))-(-5+((-5*-14.07)*(((-5--5)+(-14.07--5))+-14.07))))-(-5+-5)))*-5)))/-5)--5)+(-5*(((-14.07*(-14.07-(-5/-5)))*(-14.07-(-14.07/(-5*-14.07))))-(-5/-5)))))</f>
        <v>-14381.970514999997</v>
      </c>
      <c r="C8594" t="n" s="0">
        <v>-14381.970514999999</v>
      </c>
    </row>
    <row r="8595">
      <c r="A8595" t="n" s="0">
        <v>-14.06</v>
      </c>
      <c r="B8595" t="n" s="0">
        <f>(-5-((((-5*(-5/((-5/(((-5*(-14.06--5))-(-5+((-5*-14.06)*(((-5--5)+(-14.06--5))+-14.06))))-(-5+-5)))*-5)))/-5)--5)+(-5*(((-14.06*(-14.06-(-5/-5)))*(-14.06-(-14.06/(-5*-14.06))))-(-5/-5)))))</f>
        <v>-14351.70428</v>
      </c>
      <c r="C8595" t="n" s="0">
        <v>-14351.704280000002</v>
      </c>
    </row>
    <row r="8596">
      <c r="A8596" t="n" s="0">
        <v>-14.05</v>
      </c>
      <c r="B8596" t="n" s="0">
        <f>(-5-((((-5*(-5/((-5/(((-5*(-14.05--5))-(-5+((-5*-14.05)*(((-5--5)+(-14.05--5))+-14.05))))-(-5+-5)))*-5)))/-5)--5)+(-5*(((-14.05*(-14.05-(-5/-5)))*(-14.05-(-14.05/(-5*-14.05))))-(-5/-5)))))</f>
        <v>-14321.480625</v>
      </c>
      <c r="C8596" t="n" s="0">
        <v>-14321.480625000002</v>
      </c>
    </row>
    <row r="8597">
      <c r="A8597" t="n" s="0">
        <v>-14.04</v>
      </c>
      <c r="B8597" t="n" s="0">
        <f>(-5-((((-5*(-5/((-5/(((-5*(-14.04--5))-(-5+((-5*-14.04)*(((-5--5)+(-14.04--5))+-14.04))))-(-5+-5)))*-5)))/-5)--5)+(-5*(((-14.04*(-14.04-(-5/-5)))*(-14.04-(-14.04/(-5*-14.04))))-(-5/-5)))))</f>
        <v>-14291.299520000002</v>
      </c>
      <c r="C8597" t="n" s="0">
        <v>-14291.299519999999</v>
      </c>
    </row>
    <row r="8598">
      <c r="A8598" t="n" s="0">
        <v>-14.03</v>
      </c>
      <c r="B8598" t="n" s="0">
        <f>(-5-((((-5*(-5/((-5/(((-5*(-14.03--5))-(-5+((-5*-14.03)*(((-5--5)+(-14.03--5))+-14.03))))-(-5+-5)))*-5)))/-5)--5)+(-5*(((-14.03*(-14.03-(-5/-5)))*(-14.03-(-14.03/(-5*-14.03))))-(-5/-5)))))</f>
        <v>-14261.160935</v>
      </c>
      <c r="C8598" t="n" s="0">
        <v>-14261.160934999998</v>
      </c>
    </row>
    <row r="8599">
      <c r="A8599" t="n" s="0">
        <v>-14.02</v>
      </c>
      <c r="B8599" t="n" s="0">
        <f>(-5-((((-5*(-5/((-5/(((-5*(-14.02--5))-(-5+((-5*-14.02)*(((-5--5)+(-14.02--5))+-14.02))))-(-5+-5)))*-5)))/-5)--5)+(-5*(((-14.02*(-14.02-(-5/-5)))*(-14.02-(-14.02/(-5*-14.02))))-(-5/-5)))))</f>
        <v>-14231.06484</v>
      </c>
      <c r="C8599" t="n" s="0">
        <v>-14231.064839999997</v>
      </c>
    </row>
    <row r="8600">
      <c r="A8600" t="n" s="0">
        <v>-14.01</v>
      </c>
      <c r="B8600" t="n" s="0">
        <f>(-5-((((-5*(-5/((-5/(((-5*(-14.01--5))-(-5+((-5*-14.01)*(((-5--5)+(-14.01--5))+-14.01))))-(-5+-5)))*-5)))/-5)--5)+(-5*(((-14.01*(-14.01-(-5/-5)))*(-14.01-(-14.01/(-5*-14.01))))-(-5/-5)))))</f>
        <v>-14201.011204999999</v>
      </c>
      <c r="C8600" t="n" s="0">
        <v>-14201.011205</v>
      </c>
    </row>
    <row r="8601">
      <c r="A8601" t="n" s="0">
        <v>-14.0</v>
      </c>
      <c r="B8601" t="n" s="0">
        <f>(-5-((((-5*(-5/((-5/(((-5*(-14--5))-(-5+((-5*-14)*(((-5--5)+(-14--5))+-14))))-(-5+-5)))*-5)))/-5)--5)+(-5*(((-14*(-14-(-5/-5)))*(-14-(-14/(-5*-14))))-(-5/-5)))))</f>
        <v>-14171.0</v>
      </c>
      <c r="C8601" t="n" s="0">
        <v>-14171.0</v>
      </c>
    </row>
    <row r="8602">
      <c r="A8602" t="n" s="0">
        <v>-13.99</v>
      </c>
      <c r="B8602" t="n" s="0">
        <f>(-5-((((-5*(-5/((-5/(((-5*(-13.99--5))-(-5+((-5*-13.99)*(((-5--5)+(-13.99--5))+-13.99))))-(-5+-5)))*-5)))/-5)--5)+(-5*(((-13.99*(-13.99-(-5/-5)))*(-13.99-(-13.99/(-5*-13.99))))-(-5/-5)))))</f>
        <v>-14141.031195</v>
      </c>
      <c r="C8602" t="n" s="0">
        <v>-14141.031195000001</v>
      </c>
    </row>
    <row r="8603">
      <c r="A8603" t="n" s="0">
        <v>-13.98</v>
      </c>
      <c r="B8603" t="n" s="0">
        <f>(-5-((((-5*(-5/((-5/(((-5*(-13.98--5))-(-5+((-5*-13.98)*(((-5--5)+(-13.98--5))+-13.98))))-(-5+-5)))*-5)))/-5)--5)+(-5*(((-13.98*(-13.98-(-5/-5)))*(-13.98-(-13.98/(-5*-13.98))))-(-5/-5)))))</f>
        <v>-14111.104759999997</v>
      </c>
      <c r="C8603" t="n" s="0">
        <v>-14111.104760000002</v>
      </c>
    </row>
    <row r="8604">
      <c r="A8604" t="n" s="0">
        <v>-13.97</v>
      </c>
      <c r="B8604" t="n" s="0">
        <f>(-5-((((-5*(-5/((-5/(((-5*(-13.97--5))-(-5+((-5*-13.97)*(((-5--5)+(-13.97--5))+-13.97))))-(-5+-5)))*-5)))/-5)--5)+(-5*(((-13.97*(-13.97-(-5/-5)))*(-13.97-(-13.97/(-5*-13.97))))-(-5/-5)))))</f>
        <v>-14081.220664999999</v>
      </c>
      <c r="C8604" t="n" s="0">
        <v>-14081.220665000003</v>
      </c>
    </row>
    <row r="8605">
      <c r="A8605" t="n" s="0">
        <v>-13.96</v>
      </c>
      <c r="B8605" t="n" s="0">
        <f>(-5-((((-5*(-5/((-5/(((-5*(-13.96--5))-(-5+((-5*-13.96)*(((-5--5)+(-13.96--5))+-13.96))))-(-5+-5)))*-5)))/-5)--5)+(-5*(((-13.96*(-13.96-(-5/-5)))*(-13.96-(-13.96/(-5*-13.96))))-(-5/-5)))))</f>
        <v>-14051.378880000002</v>
      </c>
      <c r="C8605" t="n" s="0">
        <v>-14051.378880000002</v>
      </c>
    </row>
    <row r="8606">
      <c r="A8606" t="n" s="0">
        <v>-13.95</v>
      </c>
      <c r="B8606" t="n" s="0">
        <f>(-5-((((-5*(-5/((-5/(((-5*(-13.95--5))-(-5+((-5*-13.95)*(((-5--5)+(-13.95--5))+-13.95))))-(-5+-5)))*-5)))/-5)--5)+(-5*(((-13.95*(-13.95-(-5/-5)))*(-13.95-(-13.95/(-5*-13.95))))-(-5/-5)))))</f>
        <v>-14021.579375</v>
      </c>
      <c r="C8606" t="n" s="0">
        <v>-14021.579374999998</v>
      </c>
    </row>
    <row r="8607">
      <c r="A8607" t="n" s="0">
        <v>-13.94</v>
      </c>
      <c r="B8607" t="n" s="0">
        <f>(-5-((((-5*(-5/((-5/(((-5*(-13.94--5))-(-5+((-5*-13.94)*(((-5--5)+(-13.94--5))+-13.94))))-(-5+-5)))*-5)))/-5)--5)+(-5*(((-13.94*(-13.94-(-5/-5)))*(-13.94-(-13.94/(-5*-13.94))))-(-5/-5)))))</f>
        <v>-13991.82212</v>
      </c>
      <c r="C8607" t="n" s="0">
        <v>-13991.822119999997</v>
      </c>
    </row>
    <row r="8608">
      <c r="A8608" t="n" s="0">
        <v>-13.93</v>
      </c>
      <c r="B8608" t="n" s="0">
        <f>(-5-((((-5*(-5/((-5/(((-5*(-13.93--5))-(-5+((-5*-13.93)*(((-5--5)+(-13.93--5))+-13.93))))-(-5+-5)))*-5)))/-5)--5)+(-5*(((-13.93*(-13.93-(-5/-5)))*(-13.93-(-13.93/(-5*-13.93))))-(-5/-5)))))</f>
        <v>-13962.107085</v>
      </c>
      <c r="C8608" t="n" s="0">
        <v>-13962.107085</v>
      </c>
    </row>
    <row r="8609">
      <c r="A8609" t="n" s="0">
        <v>-13.92</v>
      </c>
      <c r="B8609" t="n" s="0">
        <f>(-5-((((-5*(-5/((-5/(((-5*(-13.92--5))-(-5+((-5*-13.92)*(((-5--5)+(-13.92--5))+-13.92))))-(-5+-5)))*-5)))/-5)--5)+(-5*(((-13.92*(-13.92-(-5/-5)))*(-13.92-(-13.92/(-5*-13.92))))-(-5/-5)))))</f>
        <v>-13932.434239999999</v>
      </c>
      <c r="C8609" t="n" s="0">
        <v>-13932.43424</v>
      </c>
    </row>
    <row r="8610">
      <c r="A8610" t="n" s="0">
        <v>-13.91</v>
      </c>
      <c r="B8610" t="n" s="0">
        <f>(-5-((((-5*(-5/((-5/(((-5*(-13.91--5))-(-5+((-5*-13.91)*(((-5--5)+(-13.91--5))+-13.91))))-(-5+-5)))*-5)))/-5)--5)+(-5*(((-13.91*(-13.91-(-5/-5)))*(-13.91-(-13.91/(-5*-13.91))))-(-5/-5)))))</f>
        <v>-13902.803555</v>
      </c>
      <c r="C8610" t="n" s="0">
        <v>-13902.803555</v>
      </c>
    </row>
    <row r="8611">
      <c r="A8611" t="n" s="0">
        <v>-13.9</v>
      </c>
      <c r="B8611" t="n" s="0">
        <f>(-5-((((-5*(-5/((-5/(((-5*(-13.9--5))-(-5+((-5*-13.9)*(((-5--5)+(-13.9--5))+-13.9))))-(-5+-5)))*-5)))/-5)--5)+(-5*(((-13.9*(-13.9-(-5/-5)))*(-13.9-(-13.9/(-5*-13.9))))-(-5/-5)))))</f>
        <v>-13873.215</v>
      </c>
      <c r="C8611" t="n" s="0">
        <v>-13873.215000000002</v>
      </c>
    </row>
    <row r="8612">
      <c r="A8612" t="n" s="0">
        <v>-13.89</v>
      </c>
      <c r="B8612" t="n" s="0">
        <f>(-5-((((-5*(-5/((-5/(((-5*(-13.89--5))-(-5+((-5*-13.89)*(((-5--5)+(-13.89--5))+-13.89))))-(-5+-5)))*-5)))/-5)--5)+(-5*(((-13.89*(-13.89-(-5/-5)))*(-13.89-(-13.89/(-5*-13.89))))-(-5/-5)))))</f>
        <v>-13843.668544999999</v>
      </c>
      <c r="C8612" t="n" s="0">
        <v>-13843.668545000002</v>
      </c>
    </row>
    <row r="8613">
      <c r="A8613" t="n" s="0">
        <v>-13.88</v>
      </c>
      <c r="B8613" t="n" s="0">
        <f>(-5-((((-5*(-5/((-5/(((-5*(-13.88--5))-(-5+((-5*-13.88)*(((-5--5)+(-13.88--5))+-13.88))))-(-5+-5)))*-5)))/-5)--5)+(-5*(((-13.88*(-13.88-(-5/-5)))*(-13.88-(-13.88/(-5*-13.88))))-(-5/-5)))))</f>
        <v>-13814.16416</v>
      </c>
      <c r="C8613" t="n" s="0">
        <v>-13814.164160000002</v>
      </c>
    </row>
    <row r="8614">
      <c r="A8614" t="n" s="0">
        <v>-13.87</v>
      </c>
      <c r="B8614" t="n" s="0">
        <f>(-5-((((-5*(-5/((-5/(((-5*(-13.87--5))-(-5+((-5*-13.87)*(((-5--5)+(-13.87--5))+-13.87))))-(-5+-5)))*-5)))/-5)--5)+(-5*(((-13.87*(-13.87-(-5/-5)))*(-13.87-(-13.87/(-5*-13.87))))-(-5/-5)))))</f>
        <v>-13784.701814999999</v>
      </c>
      <c r="C8614" t="n" s="0">
        <v>-13784.701814999999</v>
      </c>
    </row>
    <row r="8615">
      <c r="A8615" t="n" s="0">
        <v>-13.86</v>
      </c>
      <c r="B8615" t="n" s="0">
        <f>(-5-((((-5*(-5/((-5/(((-5*(-13.86--5))-(-5+((-5*-13.86)*(((-5--5)+(-13.86--5))+-13.86))))-(-5+-5)))*-5)))/-5)--5)+(-5*(((-13.86*(-13.86-(-5/-5)))*(-13.86-(-13.86/(-5*-13.86))))-(-5/-5)))))</f>
        <v>-13755.28148</v>
      </c>
      <c r="C8615" t="n" s="0">
        <v>-13755.281479999998</v>
      </c>
    </row>
    <row r="8616">
      <c r="A8616" t="n" s="0">
        <v>-13.85</v>
      </c>
      <c r="B8616" t="n" s="0">
        <f>(-5-((((-5*(-5/((-5/(((-5*(-13.85--5))-(-5+((-5*-13.85)*(((-5--5)+(-13.85--5))+-13.85))))-(-5+-5)))*-5)))/-5)--5)+(-5*(((-13.85*(-13.85-(-5/-5)))*(-13.85-(-13.85/(-5*-13.85))))-(-5/-5)))))</f>
        <v>-13725.903124999999</v>
      </c>
      <c r="C8616" t="n" s="0">
        <v>-13725.903124999997</v>
      </c>
    </row>
    <row r="8617">
      <c r="A8617" t="n" s="0">
        <v>-13.84</v>
      </c>
      <c r="B8617" t="n" s="0">
        <f>(-5-((((-5*(-5/((-5/(((-5*(-13.84--5))-(-5+((-5*-13.84)*(((-5--5)+(-13.84--5))+-13.84))))-(-5+-5)))*-5)))/-5)--5)+(-5*(((-13.84*(-13.84-(-5/-5)))*(-13.84-(-13.84/(-5*-13.84))))-(-5/-5)))))</f>
        <v>-13696.56672</v>
      </c>
      <c r="C8617" t="n" s="0">
        <v>-13696.56672</v>
      </c>
    </row>
    <row r="8618">
      <c r="A8618" t="n" s="0">
        <v>-13.83</v>
      </c>
      <c r="B8618" t="n" s="0">
        <f>(-5-((((-5*(-5/((-5/(((-5*(-13.83--5))-(-5+((-5*-13.83)*(((-5--5)+(-13.83--5))+-13.83))))-(-5+-5)))*-5)))/-5)--5)+(-5*(((-13.83*(-13.83-(-5/-5)))*(-13.83-(-13.83/(-5*-13.83))))-(-5/-5)))))</f>
        <v>-13667.272235</v>
      </c>
      <c r="C8618" t="n" s="0">
        <v>-13667.272235</v>
      </c>
    </row>
    <row r="8619">
      <c r="A8619" t="n" s="0">
        <v>-13.82</v>
      </c>
      <c r="B8619" t="n" s="0">
        <f>(-5-((((-5*(-5/((-5/(((-5*(-13.82--5))-(-5+((-5*-13.82)*(((-5--5)+(-13.82--5))+-13.82))))-(-5+-5)))*-5)))/-5)--5)+(-5*(((-13.82*(-13.82-(-5/-5)))*(-13.82-(-13.82/(-5*-13.82))))-(-5/-5)))))</f>
        <v>-13638.01964</v>
      </c>
      <c r="C8619" t="n" s="0">
        <v>-13638.019639999999</v>
      </c>
    </row>
    <row r="8620">
      <c r="A8620" t="n" s="0">
        <v>-13.81</v>
      </c>
      <c r="B8620" t="n" s="0">
        <f>(-5-((((-5*(-5/((-5/(((-5*(-13.81--5))-(-5+((-5*-13.81)*(((-5--5)+(-13.81--5))+-13.81))))-(-5+-5)))*-5)))/-5)--5)+(-5*(((-13.81*(-13.81-(-5/-5)))*(-13.81-(-13.81/(-5*-13.81))))-(-5/-5)))))</f>
        <v>-13608.808905</v>
      </c>
      <c r="C8620" t="n" s="0">
        <v>-13608.808905</v>
      </c>
    </row>
    <row r="8621">
      <c r="A8621" t="n" s="0">
        <v>-13.8</v>
      </c>
      <c r="B8621" t="n" s="0">
        <f>(-5-((((-5*(-5/((-5/(((-5*(-13.8--5))-(-5+((-5*-13.8)*(((-5--5)+(-13.8--5))+-13.8))))-(-5+-5)))*-5)))/-5)--5)+(-5*(((-13.8*(-13.8-(-5/-5)))*(-13.8-(-13.8/(-5*-13.8))))-(-5/-5)))))</f>
        <v>-13579.64</v>
      </c>
      <c r="C8621" t="n" s="0">
        <v>-13579.640000000001</v>
      </c>
    </row>
    <row r="8622">
      <c r="A8622" t="n" s="0">
        <v>-13.79</v>
      </c>
      <c r="B8622" t="n" s="0">
        <f>(-5-((((-5*(-5/((-5/(((-5*(-13.79--5))-(-5+((-5*-13.79)*(((-5--5)+(-13.79--5))+-13.79))))-(-5+-5)))*-5)))/-5)--5)+(-5*(((-13.79*(-13.79-(-5/-5)))*(-13.79-(-13.79/(-5*-13.79))))-(-5/-5)))))</f>
        <v>-13550.512895</v>
      </c>
      <c r="C8622" t="n" s="0">
        <v>-13550.512894999998</v>
      </c>
    </row>
    <row r="8623">
      <c r="A8623" t="n" s="0">
        <v>-13.78</v>
      </c>
      <c r="B8623" t="n" s="0">
        <f>(-5-((((-5*(-5/((-5/(((-5*(-13.78--5))-(-5+((-5*-13.78)*(((-5--5)+(-13.78--5))+-13.78))))-(-5+-5)))*-5)))/-5)--5)+(-5*(((-13.78*(-13.78-(-5/-5)))*(-13.78-(-13.78/(-5*-13.78))))-(-5/-5)))))</f>
        <v>-13521.42756</v>
      </c>
      <c r="C8623" t="n" s="0">
        <v>-13521.427559999996</v>
      </c>
    </row>
    <row r="8624">
      <c r="A8624" t="n" s="0">
        <v>-13.77</v>
      </c>
      <c r="B8624" t="n" s="0">
        <f>(-5-((((-5*(-5/((-5/(((-5*(-13.77--5))-(-5+((-5*-13.77)*(((-5--5)+(-13.77--5))+-13.77))))-(-5+-5)))*-5)))/-5)--5)+(-5*(((-13.77*(-13.77-(-5/-5)))*(-13.77-(-13.77/(-5*-13.77))))-(-5/-5)))))</f>
        <v>-13492.383964999999</v>
      </c>
      <c r="C8624" t="n" s="0">
        <v>-13492.383964999999</v>
      </c>
    </row>
    <row r="8625">
      <c r="A8625" t="n" s="0">
        <v>-13.76</v>
      </c>
      <c r="B8625" t="n" s="0">
        <f>(-5-((((-5*(-5/((-5/(((-5*(-13.76--5))-(-5+((-5*-13.76)*(((-5--5)+(-13.76--5))+-13.76))))-(-5+-5)))*-5)))/-5)--5)+(-5*(((-13.76*(-13.76-(-5/-5)))*(-13.76-(-13.76/(-5*-13.76))))-(-5/-5)))))</f>
        <v>-13463.382080000001</v>
      </c>
      <c r="C8625" t="n" s="0">
        <v>-13463.38208</v>
      </c>
    </row>
    <row r="8626">
      <c r="A8626" t="n" s="0">
        <v>-13.75</v>
      </c>
      <c r="B8626" t="n" s="0">
        <f>(-5-((((-5*(-5/((-5/(((-5*(-13.75--5))-(-5+((-5*-13.75)*(((-5--5)+(-13.75--5))+-13.75))))-(-5+-5)))*-5)))/-5)--5)+(-5*(((-13.75*(-13.75-(-5/-5)))*(-13.75-(-13.75/(-5*-13.75))))-(-5/-5)))))</f>
        <v>-13434.421875000002</v>
      </c>
      <c r="C8626" t="n" s="0">
        <v>-13434.421875</v>
      </c>
    </row>
    <row r="8627">
      <c r="A8627" t="n" s="0">
        <v>-13.74</v>
      </c>
      <c r="B8627" t="n" s="0">
        <f>(-5-((((-5*(-5/((-5/(((-5*(-13.74--5))-(-5+((-5*-13.74)*(((-5--5)+(-13.74--5))+-13.74))))-(-5+-5)))*-5)))/-5)--5)+(-5*(((-13.74*(-13.74-(-5/-5)))*(-13.74-(-13.74/(-5*-13.74))))-(-5/-5)))))</f>
        <v>-13405.50332</v>
      </c>
      <c r="C8627" t="n" s="0">
        <v>-13405.503319999998</v>
      </c>
    </row>
    <row r="8628">
      <c r="A8628" t="n" s="0">
        <v>-13.73</v>
      </c>
      <c r="B8628" t="n" s="0">
        <f>(-5-((((-5*(-5/((-5/(((-5*(-13.73--5))-(-5+((-5*-13.73)*(((-5--5)+(-13.73--5))+-13.73))))-(-5+-5)))*-5)))/-5)--5)+(-5*(((-13.73*(-13.73-(-5/-5)))*(-13.73-(-13.73/(-5*-13.73))))-(-5/-5)))))</f>
        <v>-13376.626385000001</v>
      </c>
      <c r="C8628" t="n" s="0">
        <v>-13376.626385000001</v>
      </c>
    </row>
    <row r="8629">
      <c r="A8629" t="n" s="0">
        <v>-13.72</v>
      </c>
      <c r="B8629" t="n" s="0">
        <f>(-5-((((-5*(-5/((-5/(((-5*(-13.72--5))-(-5+((-5*-13.72)*(((-5--5)+(-13.72--5))+-13.72))))-(-5+-5)))*-5)))/-5)--5)+(-5*(((-13.72*(-13.72-(-5/-5)))*(-13.72-(-13.72/(-5*-13.72))))-(-5/-5)))))</f>
        <v>-13347.79104</v>
      </c>
      <c r="C8629" t="n" s="0">
        <v>-13347.791040000002</v>
      </c>
    </row>
    <row r="8630">
      <c r="A8630" t="n" s="0">
        <v>-13.71</v>
      </c>
      <c r="B8630" t="n" s="0">
        <f>(-5-((((-5*(-5/((-5/(((-5*(-13.71--5))-(-5+((-5*-13.71)*(((-5--5)+(-13.71--5))+-13.71))))-(-5+-5)))*-5)))/-5)--5)+(-5*(((-13.71*(-13.71-(-5/-5)))*(-13.71-(-13.71/(-5*-13.71))))-(-5/-5)))))</f>
        <v>-13318.997255</v>
      </c>
      <c r="C8630" t="n" s="0">
        <v>-13318.997255000002</v>
      </c>
    </row>
    <row r="8631">
      <c r="A8631" t="n" s="0">
        <v>-13.7</v>
      </c>
      <c r="B8631" t="n" s="0">
        <f>(-5-((((-5*(-5/((-5/(((-5*(-13.7--5))-(-5+((-5*-13.7)*(((-5--5)+(-13.7--5))+-13.7))))-(-5+-5)))*-5)))/-5)--5)+(-5*(((-13.7*(-13.7-(-5/-5)))*(-13.7-(-13.7/(-5*-13.7))))-(-5/-5)))))</f>
        <v>-13290.245</v>
      </c>
      <c r="C8631" t="n" s="0">
        <v>-13290.244999999997</v>
      </c>
    </row>
    <row r="8632">
      <c r="A8632" t="n" s="0">
        <v>-13.69</v>
      </c>
      <c r="B8632" t="n" s="0">
        <f>(-5-((((-5*(-5/((-5/(((-5*(-13.69--5))-(-5+((-5*-13.69)*(((-5--5)+(-13.69--5))+-13.69))))-(-5+-5)))*-5)))/-5)--5)+(-5*(((-13.69*(-13.69-(-5/-5)))*(-13.69-(-13.69/(-5*-13.69))))-(-5/-5)))))</f>
        <v>-13261.534244999999</v>
      </c>
      <c r="C8632" t="n" s="0">
        <v>-13261.534244999999</v>
      </c>
    </row>
    <row r="8633">
      <c r="A8633" t="n" s="0">
        <v>-13.68</v>
      </c>
      <c r="B8633" t="n" s="0">
        <f>(-5-((((-5*(-5/((-5/(((-5*(-13.68--5))-(-5+((-5*-13.68)*(((-5--5)+(-13.68--5))+-13.68))))-(-5+-5)))*-5)))/-5)--5)+(-5*(((-13.68*(-13.68-(-5/-5)))*(-13.68-(-13.68/(-5*-13.68))))-(-5/-5)))))</f>
        <v>-13232.86496</v>
      </c>
      <c r="C8633" t="n" s="0">
        <v>-13232.864959999999</v>
      </c>
    </row>
    <row r="8634">
      <c r="A8634" t="n" s="0">
        <v>-13.67</v>
      </c>
      <c r="B8634" t="n" s="0">
        <f>(-5-((((-5*(-5/((-5/(((-5*(-13.67--5))-(-5+((-5*-13.67)*(((-5--5)+(-13.67--5))+-13.67))))-(-5+-5)))*-5)))/-5)--5)+(-5*(((-13.67*(-13.67-(-5/-5)))*(-13.67-(-13.67/(-5*-13.67))))-(-5/-5)))))</f>
        <v>-13204.237115000002</v>
      </c>
      <c r="C8634" t="n" s="0">
        <v>-13204.237115000002</v>
      </c>
    </row>
    <row r="8635">
      <c r="A8635" t="n" s="0">
        <v>-13.66</v>
      </c>
      <c r="B8635" t="n" s="0">
        <f>(-5-((((-5*(-5/((-5/(((-5*(-13.66--5))-(-5+((-5*-13.66)*(((-5--5)+(-13.66--5))+-13.66))))-(-5+-5)))*-5)))/-5)--5)+(-5*(((-13.66*(-13.66-(-5/-5)))*(-13.66-(-13.66/(-5*-13.66))))-(-5/-5)))))</f>
        <v>-13175.650679999999</v>
      </c>
      <c r="C8635" t="n" s="0">
        <v>-13175.650679999999</v>
      </c>
    </row>
    <row r="8636">
      <c r="A8636" t="n" s="0">
        <v>-13.65</v>
      </c>
      <c r="B8636" t="n" s="0">
        <f>(-5-((((-5*(-5/((-5/(((-5*(-13.65--5))-(-5+((-5*-13.65)*(((-5--5)+(-13.65--5))+-13.65))))-(-5+-5)))*-5)))/-5)--5)+(-5*(((-13.65*(-13.65-(-5/-5)))*(-13.65-(-13.65/(-5*-13.65))))-(-5/-5)))))</f>
        <v>-13147.105625</v>
      </c>
      <c r="C8636" t="n" s="0">
        <v>-13147.105625000002</v>
      </c>
    </row>
    <row r="8637">
      <c r="A8637" t="n" s="0">
        <v>-13.64</v>
      </c>
      <c r="B8637" t="n" s="0">
        <f>(-5-((((-5*(-5/((-5/(((-5*(-13.64--5))-(-5+((-5*-13.64)*(((-5--5)+(-13.64--5))+-13.64))))-(-5+-5)))*-5)))/-5)--5)+(-5*(((-13.64*(-13.64-(-5/-5)))*(-13.64-(-13.64/(-5*-13.64))))-(-5/-5)))))</f>
        <v>-13118.601920000001</v>
      </c>
      <c r="C8637" t="n" s="0">
        <v>-13118.601920000003</v>
      </c>
    </row>
    <row r="8638">
      <c r="A8638" t="n" s="0">
        <v>-13.63</v>
      </c>
      <c r="B8638" t="n" s="0">
        <f>(-5-((((-5*(-5/((-5/(((-5*(-13.63--5))-(-5+((-5*-13.63)*(((-5--5)+(-13.63--5))+-13.63))))-(-5+-5)))*-5)))/-5)--5)+(-5*(((-13.63*(-13.63-(-5/-5)))*(-13.63-(-13.63/(-5*-13.63))))-(-5/-5)))))</f>
        <v>-13090.139535</v>
      </c>
      <c r="C8638" t="n" s="0">
        <v>-13090.139535</v>
      </c>
    </row>
    <row r="8639">
      <c r="A8639" t="n" s="0">
        <v>-13.62</v>
      </c>
      <c r="B8639" t="n" s="0">
        <f>(-5-((((-5*(-5/((-5/(((-5*(-13.62--5))-(-5+((-5*-13.62)*(((-5--5)+(-13.62--5))+-13.62))))-(-5+-5)))*-5)))/-5)--5)+(-5*(((-13.62*(-13.62-(-5/-5)))*(-13.62-(-13.62/(-5*-13.62))))-(-5/-5)))))</f>
        <v>-13061.71844</v>
      </c>
      <c r="C8639" t="n" s="0">
        <v>-13061.718439999997</v>
      </c>
    </row>
    <row r="8640">
      <c r="A8640" t="n" s="0">
        <v>-13.61</v>
      </c>
      <c r="B8640" t="n" s="0">
        <f>(-5-((((-5*(-5/((-5/(((-5*(-13.61--5))-(-5+((-5*-13.61)*(((-5--5)+(-13.61--5))+-13.61))))-(-5+-5)))*-5)))/-5)--5)+(-5*(((-13.61*(-13.61-(-5/-5)))*(-13.61-(-13.61/(-5*-13.61))))-(-5/-5)))))</f>
        <v>-13033.338605</v>
      </c>
      <c r="C8640" t="n" s="0">
        <v>-13033.338604999999</v>
      </c>
    </row>
    <row r="8641">
      <c r="A8641" t="n" s="0">
        <v>-13.6</v>
      </c>
      <c r="B8641" t="n" s="0">
        <f>(-5-((((-5*(-5/((-5/(((-5*(-13.6--5))-(-5+((-5*-13.6)*(((-5--5)+(-13.6--5))+-13.6))))-(-5+-5)))*-5)))/-5)--5)+(-5*(((-13.6*(-13.6-(-5/-5)))*(-13.6-(-13.6/(-5*-13.6))))-(-5/-5)))))</f>
        <v>-13005.0</v>
      </c>
      <c r="C8641" t="n" s="0">
        <v>-13004.999999999998</v>
      </c>
    </row>
    <row r="8642">
      <c r="A8642" t="n" s="0">
        <v>-13.59</v>
      </c>
      <c r="B8642" t="n" s="0">
        <f>(-5-((((-5*(-5/((-5/(((-5*(-13.59--5))-(-5+((-5*-13.59)*(((-5--5)+(-13.59--5))+-13.59))))-(-5+-5)))*-5)))/-5)--5)+(-5*(((-13.59*(-13.59-(-5/-5)))*(-13.59-(-13.59/(-5*-13.59))))-(-5/-5)))))</f>
        <v>-12976.702595</v>
      </c>
      <c r="C8642" t="n" s="0">
        <v>-12976.702595</v>
      </c>
    </row>
    <row r="8643">
      <c r="A8643" t="n" s="0">
        <v>-13.58</v>
      </c>
      <c r="B8643" t="n" s="0">
        <f>(-5-((((-5*(-5/((-5/(((-5*(-13.58--5))-(-5+((-5*-13.58)*(((-5--5)+(-13.58--5))+-13.58))))-(-5+-5)))*-5)))/-5)--5)+(-5*(((-13.58*(-13.58-(-5/-5)))*(-13.58-(-13.58/(-5*-13.58))))-(-5/-5)))))</f>
        <v>-12948.44636</v>
      </c>
      <c r="C8643" t="n" s="0">
        <v>-12948.44636</v>
      </c>
    </row>
    <row r="8644">
      <c r="A8644" t="n" s="0">
        <v>-13.57</v>
      </c>
      <c r="B8644" t="n" s="0">
        <f>(-5-((((-5*(-5/((-5/(((-5*(-13.57--5))-(-5+((-5*-13.57)*(((-5--5)+(-13.57--5))+-13.57))))-(-5+-5)))*-5)))/-5)--5)+(-5*(((-13.57*(-13.57-(-5/-5)))*(-13.57-(-13.57/(-5*-13.57))))-(-5/-5)))))</f>
        <v>-12920.231265000002</v>
      </c>
      <c r="C8644" t="n" s="0">
        <v>-12920.231265</v>
      </c>
    </row>
    <row r="8645">
      <c r="A8645" t="n" s="0">
        <v>-13.56</v>
      </c>
      <c r="B8645" t="n" s="0">
        <f>(-5-((((-5*(-5/((-5/(((-5*(-13.56--5))-(-5+((-5*-13.56)*(((-5--5)+(-13.56--5))+-13.56))))-(-5+-5)))*-5)))/-5)--5)+(-5*(((-13.56*(-13.56-(-5/-5)))*(-13.56-(-13.56/(-5*-13.56))))-(-5/-5)))))</f>
        <v>-12892.057279999999</v>
      </c>
      <c r="C8645" t="n" s="0">
        <v>-12892.057280000003</v>
      </c>
    </row>
    <row r="8646">
      <c r="A8646" t="n" s="0">
        <v>-13.55</v>
      </c>
      <c r="B8646" t="n" s="0">
        <f>(-5-((((-5*(-5/((-5/(((-5*(-13.55--5))-(-5+((-5*-13.55)*(((-5--5)+(-13.55--5))+-13.55))))-(-5+-5)))*-5)))/-5)--5)+(-5*(((-13.55*(-13.55-(-5/-5)))*(-13.55-(-13.55/(-5*-13.55))))-(-5/-5)))))</f>
        <v>-12863.924375</v>
      </c>
      <c r="C8646" t="n" s="0">
        <v>-12863.924375</v>
      </c>
    </row>
    <row r="8647">
      <c r="A8647" t="n" s="0">
        <v>-13.54</v>
      </c>
      <c r="B8647" t="n" s="0">
        <f>(-5-((((-5*(-5/((-5/(((-5*(-13.54--5))-(-5+((-5*-13.54)*(((-5--5)+(-13.54--5))+-13.54))))-(-5+-5)))*-5)))/-5)--5)+(-5*(((-13.54*(-13.54-(-5/-5)))*(-13.54-(-13.54/(-5*-13.54))))-(-5/-5)))))</f>
        <v>-12835.83252</v>
      </c>
      <c r="C8647" t="n" s="0">
        <v>-12835.832519999998</v>
      </c>
    </row>
    <row r="8648">
      <c r="A8648" t="n" s="0">
        <v>-13.53</v>
      </c>
      <c r="B8648" t="n" s="0">
        <f>(-5-((((-5*(-5/((-5/(((-5*(-13.53--5))-(-5+((-5*-13.53)*(((-5--5)+(-13.53--5))+-13.53))))-(-5+-5)))*-5)))/-5)--5)+(-5*(((-13.53*(-13.53-(-5/-5)))*(-13.53-(-13.53/(-5*-13.53))))-(-5/-5)))))</f>
        <v>-12807.781684999998</v>
      </c>
      <c r="C8648" t="n" s="0">
        <v>-12807.781685</v>
      </c>
    </row>
    <row r="8649">
      <c r="A8649" t="n" s="0">
        <v>-13.52</v>
      </c>
      <c r="B8649" t="n" s="0">
        <f>(-5-((((-5*(-5/((-5/(((-5*(-13.52--5))-(-5+((-5*-13.52)*(((-5--5)+(-13.52--5))+-13.52))))-(-5+-5)))*-5)))/-5)--5)+(-5*(((-13.52*(-13.52-(-5/-5)))*(-13.52-(-13.52/(-5*-13.52))))-(-5/-5)))))</f>
        <v>-12779.77184</v>
      </c>
      <c r="C8649" t="n" s="0">
        <v>-12779.77184</v>
      </c>
    </row>
    <row r="8650">
      <c r="A8650" t="n" s="0">
        <v>-13.51</v>
      </c>
      <c r="B8650" t="n" s="0">
        <f>(-5-((((-5*(-5/((-5/(((-5*(-13.51--5))-(-5+((-5*-13.51)*(((-5--5)+(-13.51--5))+-13.51))))-(-5+-5)))*-5)))/-5)--5)+(-5*(((-13.51*(-13.51-(-5/-5)))*(-13.51-(-13.51/(-5*-13.51))))-(-5/-5)))))</f>
        <v>-12751.802955</v>
      </c>
      <c r="C8650" t="n" s="0">
        <v>-12751.802955000001</v>
      </c>
    </row>
    <row r="8651">
      <c r="A8651" t="n" s="0">
        <v>-13.5</v>
      </c>
      <c r="B8651" t="n" s="0">
        <f>(-5-((((-5*(-5/((-5/(((-5*(-13.5--5))-(-5+((-5*-13.5)*(((-5--5)+(-13.5--5))+-13.5))))-(-5+-5)))*-5)))/-5)--5)+(-5*(((-13.5*(-13.5-(-5/-5)))*(-13.5-(-13.5/(-5*-13.5))))-(-5/-5)))))</f>
        <v>-12723.875000000002</v>
      </c>
      <c r="C8651" t="n" s="0">
        <v>-12723.875</v>
      </c>
    </row>
    <row r="8652">
      <c r="A8652" t="n" s="0">
        <v>-13.49</v>
      </c>
      <c r="B8652" t="n" s="0">
        <f>(-5-((((-5*(-5/((-5/(((-5*(-13.49--5))-(-5+((-5*-13.49)*(((-5--5)+(-13.49--5))+-13.49))))-(-5+-5)))*-5)))/-5)--5)+(-5*(((-13.49*(-13.49-(-5/-5)))*(-13.49-(-13.49/(-5*-13.49))))-(-5/-5)))))</f>
        <v>-12695.987945</v>
      </c>
      <c r="C8652" t="n" s="0">
        <v>-12695.987944999999</v>
      </c>
    </row>
    <row r="8653">
      <c r="A8653" t="n" s="0">
        <v>-13.48</v>
      </c>
      <c r="B8653" t="n" s="0">
        <f>(-5-((((-5*(-5/((-5/(((-5*(-13.48--5))-(-5+((-5*-13.48)*(((-5--5)+(-13.48--5))+-13.48))))-(-5+-5)))*-5)))/-5)--5)+(-5*(((-13.48*(-13.48-(-5/-5)))*(-13.48-(-13.48/(-5*-13.48))))-(-5/-5)))))</f>
        <v>-12668.14176</v>
      </c>
      <c r="C8653" t="n" s="0">
        <v>-12668.14176</v>
      </c>
    </row>
    <row r="8654">
      <c r="A8654" t="n" s="0">
        <v>-13.47</v>
      </c>
      <c r="B8654" t="n" s="0">
        <f>(-5-((((-5*(-5/((-5/(((-5*(-13.47--5))-(-5+((-5*-13.47)*(((-5--5)+(-13.47--5))+-13.47))))-(-5+-5)))*-5)))/-5)--5)+(-5*(((-13.47*(-13.47-(-5/-5)))*(-13.47-(-13.47/(-5*-13.47))))-(-5/-5)))))</f>
        <v>-12640.336415</v>
      </c>
      <c r="C8654" t="n" s="0">
        <v>-12640.336415000002</v>
      </c>
    </row>
    <row r="8655">
      <c r="A8655" t="n" s="0">
        <v>-13.46</v>
      </c>
      <c r="B8655" t="n" s="0">
        <f>(-5-((((-5*(-5/((-5/(((-5*(-13.46--5))-(-5+((-5*-13.46)*(((-5--5)+(-13.46--5))+-13.46))))-(-5+-5)))*-5)))/-5)--5)+(-5*(((-13.46*(-13.46-(-5/-5)))*(-13.46-(-13.46/(-5*-13.46))))-(-5/-5)))))</f>
        <v>-12612.571879999998</v>
      </c>
      <c r="C8655" t="n" s="0">
        <v>-12612.571880000001</v>
      </c>
    </row>
    <row r="8656">
      <c r="A8656" t="n" s="0">
        <v>-13.45</v>
      </c>
      <c r="B8656" t="n" s="0">
        <f>(-5-((((-5*(-5/((-5/(((-5*(-13.45--5))-(-5+((-5*-13.45)*(((-5--5)+(-13.45--5))+-13.45))))-(-5+-5)))*-5)))/-5)--5)+(-5*(((-13.45*(-13.45-(-5/-5)))*(-13.45-(-13.45/(-5*-13.45))))-(-5/-5)))))</f>
        <v>-12584.848125</v>
      </c>
      <c r="C8656" t="n" s="0">
        <v>-12584.848124999999</v>
      </c>
    </row>
    <row r="8657">
      <c r="A8657" t="n" s="0">
        <v>-13.44</v>
      </c>
      <c r="B8657" t="n" s="0">
        <f>(-5-((((-5*(-5/((-5/(((-5*(-13.44--5))-(-5+((-5*-13.44)*(((-5--5)+(-13.44--5))+-13.44))))-(-5+-5)))*-5)))/-5)--5)+(-5*(((-13.44*(-13.44-(-5/-5)))*(-13.44-(-13.44/(-5*-13.44))))-(-5/-5)))))</f>
        <v>-12557.16512</v>
      </c>
      <c r="C8657" t="n" s="0">
        <v>-12557.165119999998</v>
      </c>
    </row>
    <row r="8658">
      <c r="A8658" t="n" s="0">
        <v>-13.43</v>
      </c>
      <c r="B8658" t="n" s="0">
        <f>(-5-((((-5*(-5/((-5/(((-5*(-13.43--5))-(-5+((-5*-13.43)*(((-5--5)+(-13.43--5))+-13.43))))-(-5+-5)))*-5)))/-5)--5)+(-5*(((-13.43*(-13.43-(-5/-5)))*(-13.43-(-13.43/(-5*-13.43))))-(-5/-5)))))</f>
        <v>-12529.522835</v>
      </c>
      <c r="C8658" t="n" s="0">
        <v>-12529.522834999998</v>
      </c>
    </row>
    <row r="8659">
      <c r="A8659" t="n" s="0">
        <v>-13.42</v>
      </c>
      <c r="B8659" t="n" s="0">
        <f>(-5-((((-5*(-5/((-5/(((-5*(-13.42--5))-(-5+((-5*-13.42)*(((-5--5)+(-13.42--5))+-13.42))))-(-5+-5)))*-5)))/-5)--5)+(-5*(((-13.42*(-13.42-(-5/-5)))*(-13.42-(-13.42/(-5*-13.42))))-(-5/-5)))))</f>
        <v>-12501.92124</v>
      </c>
      <c r="C8659" t="n" s="0">
        <v>-12501.921240000001</v>
      </c>
    </row>
    <row r="8660">
      <c r="A8660" t="n" s="0">
        <v>-13.41</v>
      </c>
      <c r="B8660" t="n" s="0">
        <f>(-5-((((-5*(-5/((-5/(((-5*(-13.41--5))-(-5+((-5*-13.41)*(((-5--5)+(-13.41--5))+-13.41))))-(-5+-5)))*-5)))/-5)--5)+(-5*(((-13.41*(-13.41-(-5/-5)))*(-13.41-(-13.41/(-5*-13.41))))-(-5/-5)))))</f>
        <v>-12474.360305</v>
      </c>
      <c r="C8660" t="n" s="0">
        <v>-12474.360305</v>
      </c>
    </row>
    <row r="8661">
      <c r="A8661" t="n" s="0">
        <v>-13.4</v>
      </c>
      <c r="B8661" t="n" s="0">
        <f>(-5-((((-5*(-5/((-5/(((-5*(-13.4--5))-(-5+((-5*-13.4)*(((-5--5)+(-13.4--5))+-13.4))))-(-5+-5)))*-5)))/-5)--5)+(-5*(((-13.4*(-13.4-(-5/-5)))*(-13.4-(-13.4/(-5*-13.4))))-(-5/-5)))))</f>
        <v>-12446.84</v>
      </c>
      <c r="C8661" t="n" s="0">
        <v>-12446.840000000002</v>
      </c>
    </row>
    <row r="8662">
      <c r="A8662" t="n" s="0">
        <v>-13.39</v>
      </c>
      <c r="B8662" t="n" s="0">
        <f>(-5-((((-5*(-5/((-5/(((-5*(-13.39--5))-(-5+((-5*-13.39)*(((-5--5)+(-13.39--5))+-13.39))))-(-5+-5)))*-5)))/-5)--5)+(-5*(((-13.39*(-13.39-(-5/-5)))*(-13.39-(-13.39/(-5*-13.39))))-(-5/-5)))))</f>
        <v>-12419.360294999999</v>
      </c>
      <c r="C8662" t="n" s="0">
        <v>-12419.360295000002</v>
      </c>
    </row>
    <row r="8663">
      <c r="A8663" t="n" s="0">
        <v>-13.38</v>
      </c>
      <c r="B8663" t="n" s="0">
        <f>(-5-((((-5*(-5/((-5/(((-5*(-13.38--5))-(-5+((-5*-13.38)*(((-5--5)+(-13.38--5))+-13.38))))-(-5+-5)))*-5)))/-5)--5)+(-5*(((-13.38*(-13.38-(-5/-5)))*(-13.38-(-13.38/(-5*-13.38))))-(-5/-5)))))</f>
        <v>-12391.92116</v>
      </c>
      <c r="C8663" t="n" s="0">
        <v>-12391.921160000004</v>
      </c>
    </row>
    <row r="8664">
      <c r="A8664" t="n" s="0">
        <v>-13.37</v>
      </c>
      <c r="B8664" t="n" s="0">
        <f>(-5-((((-5*(-5/((-5/(((-5*(-13.37--5))-(-5+((-5*-13.37)*(((-5--5)+(-13.37--5))+-13.37))))-(-5+-5)))*-5)))/-5)--5)+(-5*(((-13.37*(-13.37-(-5/-5)))*(-13.37-(-13.37/(-5*-13.37))))-(-5/-5)))))</f>
        <v>-12364.522565</v>
      </c>
      <c r="C8664" t="n" s="0">
        <v>-12364.522565</v>
      </c>
    </row>
    <row r="8665">
      <c r="A8665" t="n" s="0">
        <v>-13.36</v>
      </c>
      <c r="B8665" t="n" s="0">
        <f>(-5-((((-5*(-5/((-5/(((-5*(-13.36--5))-(-5+((-5*-13.36)*(((-5--5)+(-13.36--5))+-13.36))))-(-5+-5)))*-5)))/-5)--5)+(-5*(((-13.36*(-13.36-(-5/-5)))*(-13.36-(-13.36/(-5*-13.36))))-(-5/-5)))))</f>
        <v>-12337.164480000001</v>
      </c>
      <c r="C8665" t="n" s="0">
        <v>-12337.164479999998</v>
      </c>
    </row>
    <row r="8666">
      <c r="A8666" t="n" s="0">
        <v>-13.35</v>
      </c>
      <c r="B8666" t="n" s="0">
        <f>(-5-((((-5*(-5/((-5/(((-5*(-13.35--5))-(-5+((-5*-13.35)*(((-5--5)+(-13.35--5))+-13.35))))-(-5+-5)))*-5)))/-5)--5)+(-5*(((-13.35*(-13.35-(-5/-5)))*(-13.35-(-13.35/(-5*-13.35))))-(-5/-5)))))</f>
        <v>-12309.846875000001</v>
      </c>
      <c r="C8666" t="n" s="0">
        <v>-12309.846874999997</v>
      </c>
    </row>
    <row r="8667">
      <c r="A8667" t="n" s="0">
        <v>-13.34</v>
      </c>
      <c r="B8667" t="n" s="0">
        <f>(-5-((((-5*(-5/((-5/(((-5*(-13.34--5))-(-5+((-5*-13.34)*(((-5--5)+(-13.34--5))+-13.34))))-(-5+-5)))*-5)))/-5)--5)+(-5*(((-13.34*(-13.34-(-5/-5)))*(-13.34-(-13.34/(-5*-13.34))))-(-5/-5)))))</f>
        <v>-12282.569719999998</v>
      </c>
      <c r="C8667" t="n" s="0">
        <v>-12282.56972</v>
      </c>
    </row>
    <row r="8668">
      <c r="A8668" t="n" s="0">
        <v>-13.33</v>
      </c>
      <c r="B8668" t="n" s="0">
        <f>(-5-((((-5*(-5/((-5/(((-5*(-13.33--5))-(-5+((-5*-13.33)*(((-5--5)+(-13.33--5))+-13.33))))-(-5+-5)))*-5)))/-5)--5)+(-5*(((-13.33*(-13.33-(-5/-5)))*(-13.33-(-13.33/(-5*-13.33))))-(-5/-5)))))</f>
        <v>-12255.332985</v>
      </c>
      <c r="C8668" t="n" s="0">
        <v>-12255.332985000001</v>
      </c>
    </row>
    <row r="8669">
      <c r="A8669" t="n" s="0">
        <v>-13.32</v>
      </c>
      <c r="B8669" t="n" s="0">
        <f>(-5-((((-5*(-5/((-5/(((-5*(-13.32--5))-(-5+((-5*-13.32)*(((-5--5)+(-13.32--5))+-13.32))))-(-5+-5)))*-5)))/-5)--5)+(-5*(((-13.32*(-13.32-(-5/-5)))*(-13.32-(-13.32/(-5*-13.32))))-(-5/-5)))))</f>
        <v>-12228.13664</v>
      </c>
      <c r="C8669" t="n" s="0">
        <v>-12228.13664</v>
      </c>
    </row>
    <row r="8670">
      <c r="A8670" t="n" s="0">
        <v>-13.31</v>
      </c>
      <c r="B8670" t="n" s="0">
        <f>(-5-((((-5*(-5/((-5/(((-5*(-13.31--5))-(-5+((-5*-13.31)*(((-5--5)+(-13.31--5))+-13.31))))-(-5+-5)))*-5)))/-5)--5)+(-5*(((-13.31*(-13.31-(-5/-5)))*(-13.31-(-13.31/(-5*-13.31))))-(-5/-5)))))</f>
        <v>-12200.980655</v>
      </c>
      <c r="C8670" t="n" s="0">
        <v>-12200.980655000003</v>
      </c>
    </row>
    <row r="8671">
      <c r="A8671" t="n" s="0">
        <v>-13.3</v>
      </c>
      <c r="B8671" t="n" s="0">
        <f>(-5-((((-5*(-5/((-5/(((-5*(-13.3--5))-(-5+((-5*-13.3)*(((-5--5)+(-13.3--5))+-13.3))))-(-5+-5)))*-5)))/-5)--5)+(-5*(((-13.3*(-13.3-(-5/-5)))*(-13.3-(-13.3/(-5*-13.3))))-(-5/-5)))))</f>
        <v>-12173.865</v>
      </c>
      <c r="C8671" t="n" s="0">
        <v>-12173.865000000002</v>
      </c>
    </row>
    <row r="8672">
      <c r="A8672" t="n" s="0">
        <v>-13.29</v>
      </c>
      <c r="B8672" t="n" s="0">
        <f>(-5-((((-5*(-5/((-5/(((-5*(-13.29--5))-(-5+((-5*-13.29)*(((-5--5)+(-13.29--5))+-13.29))))-(-5+-5)))*-5)))/-5)--5)+(-5*(((-13.29*(-13.29-(-5/-5)))*(-13.29-(-13.29/(-5*-13.29))))-(-5/-5)))))</f>
        <v>-12146.789645</v>
      </c>
      <c r="C8672" t="n" s="0">
        <v>-12146.789644999997</v>
      </c>
    </row>
    <row r="8673">
      <c r="A8673" t="n" s="0">
        <v>-13.28</v>
      </c>
      <c r="B8673" t="n" s="0">
        <f>(-5-((((-5*(-5/((-5/(((-5*(-13.28--5))-(-5+((-5*-13.28)*(((-5--5)+(-13.28--5))+-13.28))))-(-5+-5)))*-5)))/-5)--5)+(-5*(((-13.28*(-13.28-(-5/-5)))*(-13.28-(-13.28/(-5*-13.28))))-(-5/-5)))))</f>
        <v>-12119.754560000001</v>
      </c>
      <c r="C8673" t="n" s="0">
        <v>-12119.75456</v>
      </c>
    </row>
    <row r="8674">
      <c r="A8674" t="n" s="0">
        <v>-13.27</v>
      </c>
      <c r="B8674" t="n" s="0">
        <f>(-5-((((-5*(-5/((-5/(((-5*(-13.27--5))-(-5+((-5*-13.27)*(((-5--5)+(-13.27--5))+-13.27))))-(-5+-5)))*-5)))/-5)--5)+(-5*(((-13.27*(-13.27-(-5/-5)))*(-13.27-(-13.27/(-5*-13.27))))-(-5/-5)))))</f>
        <v>-12092.759715</v>
      </c>
      <c r="C8674" t="n" s="0">
        <v>-12092.759714999998</v>
      </c>
    </row>
    <row r="8675">
      <c r="A8675" t="n" s="0">
        <v>-13.26</v>
      </c>
      <c r="B8675" t="n" s="0">
        <f>(-5-((((-5*(-5/((-5/(((-5*(-13.26--5))-(-5+((-5*-13.26)*(((-5--5)+(-13.26--5))+-13.26))))-(-5+-5)))*-5)))/-5)--5)+(-5*(((-13.26*(-13.26-(-5/-5)))*(-13.26-(-13.26/(-5*-13.26))))-(-5/-5)))))</f>
        <v>-12065.805079999998</v>
      </c>
      <c r="C8675" t="n" s="0">
        <v>-12065.805079999998</v>
      </c>
    </row>
    <row r="8676">
      <c r="A8676" t="n" s="0">
        <v>-13.25</v>
      </c>
      <c r="B8676" t="n" s="0">
        <f>(-5-((((-5*(-5/((-5/(((-5*(-13.25--5))-(-5+((-5*-13.25)*(((-5--5)+(-13.25--5))+-13.25))))-(-5+-5)))*-5)))/-5)--5)+(-5*(((-13.25*(-13.25-(-5/-5)))*(-13.25-(-13.25/(-5*-13.25))))-(-5/-5)))))</f>
        <v>-12038.890625</v>
      </c>
      <c r="C8676" t="n" s="0">
        <v>-12038.890625</v>
      </c>
    </row>
    <row r="8677">
      <c r="A8677" t="n" s="0">
        <v>-13.24</v>
      </c>
      <c r="B8677" t="n" s="0">
        <f>(-5-((((-5*(-5/((-5/(((-5*(-13.24--5))-(-5+((-5*-13.24)*(((-5--5)+(-13.24--5))+-13.24))))-(-5+-5)))*-5)))/-5)--5)+(-5*(((-13.24*(-13.24-(-5/-5)))*(-13.24-(-13.24/(-5*-13.24))))-(-5/-5)))))</f>
        <v>-12012.01632</v>
      </c>
      <c r="C8677" t="n" s="0">
        <v>-12012.016319999999</v>
      </c>
    </row>
    <row r="8678">
      <c r="A8678" t="n" s="0">
        <v>-13.23</v>
      </c>
      <c r="B8678" t="n" s="0">
        <f>(-5-((((-5*(-5/((-5/(((-5*(-13.23--5))-(-5+((-5*-13.23)*(((-5--5)+(-13.23--5))+-13.23))))-(-5+-5)))*-5)))/-5)--5)+(-5*(((-13.23*(-13.23-(-5/-5)))*(-13.23-(-13.23/(-5*-13.23))))-(-5/-5)))))</f>
        <v>-11985.182134999997</v>
      </c>
      <c r="C8678" t="n" s="0">
        <v>-11985.182135000003</v>
      </c>
    </row>
    <row r="8679">
      <c r="A8679" t="n" s="0">
        <v>-13.22</v>
      </c>
      <c r="B8679" t="n" s="0">
        <f>(-5-((((-5*(-5/((-5/(((-5*(-13.22--5))-(-5+((-5*-13.22)*(((-5--5)+(-13.22--5))+-13.22))))-(-5+-5)))*-5)))/-5)--5)+(-5*(((-13.22*(-13.22-(-5/-5)))*(-13.22-(-13.22/(-5*-13.22))))-(-5/-5)))))</f>
        <v>-11958.38804</v>
      </c>
      <c r="C8679" t="n" s="0">
        <v>-11958.388040000002</v>
      </c>
    </row>
    <row r="8680">
      <c r="A8680" t="n" s="0">
        <v>-13.21</v>
      </c>
      <c r="B8680" t="n" s="0">
        <f>(-5-((((-5*(-5/((-5/(((-5*(-13.21--5))-(-5+((-5*-13.21)*(((-5--5)+(-13.21--5))+-13.21))))-(-5+-5)))*-5)))/-5)--5)+(-5*(((-13.21*(-13.21-(-5/-5)))*(-13.21-(-13.21/(-5*-13.21))))-(-5/-5)))))</f>
        <v>-11931.634005</v>
      </c>
      <c r="C8680" t="n" s="0">
        <v>-11931.634005000002</v>
      </c>
    </row>
    <row r="8681">
      <c r="A8681" t="n" s="0">
        <v>-13.2</v>
      </c>
      <c r="B8681" t="n" s="0">
        <f>(-5-((((-5*(-5/((-5/(((-5*(-13.2--5))-(-5+((-5*-13.2)*(((-5--5)+(-13.2--5))+-13.2))))-(-5+-5)))*-5)))/-5)--5)+(-5*(((-13.2*(-13.2-(-5/-5)))*(-13.2-(-13.2/(-5*-13.2))))-(-5/-5)))))</f>
        <v>-11904.92</v>
      </c>
      <c r="C8681" t="n" s="0">
        <v>-11904.92</v>
      </c>
    </row>
    <row r="8682">
      <c r="A8682" t="n" s="0">
        <v>-13.19</v>
      </c>
      <c r="B8682" t="n" s="0">
        <f>(-5-((((-5*(-5/((-5/(((-5*(-13.19--5))-(-5+((-5*-13.19)*(((-5--5)+(-13.19--5))+-13.19))))-(-5+-5)))*-5)))/-5)--5)+(-5*(((-13.19*(-13.19-(-5/-5)))*(-13.19-(-13.19/(-5*-13.19))))-(-5/-5)))))</f>
        <v>-11878.245995000001</v>
      </c>
      <c r="C8682" t="n" s="0">
        <v>-11878.245994999997</v>
      </c>
    </row>
    <row r="8683">
      <c r="A8683" t="n" s="0">
        <v>-13.18</v>
      </c>
      <c r="B8683" t="n" s="0">
        <f>(-5-((((-5*(-5/((-5/(((-5*(-13.18--5))-(-5+((-5*-13.18)*(((-5--5)+(-13.18--5))+-13.18))))-(-5+-5)))*-5)))/-5)--5)+(-5*(((-13.18*(-13.18-(-5/-5)))*(-13.18-(-13.18/(-5*-13.18))))-(-5/-5)))))</f>
        <v>-11851.61196</v>
      </c>
      <c r="C8683" t="n" s="0">
        <v>-11851.61196</v>
      </c>
    </row>
    <row r="8684">
      <c r="A8684" t="n" s="0">
        <v>-13.17</v>
      </c>
      <c r="B8684" t="n" s="0">
        <f>(-5-((((-5*(-5/((-5/(((-5*(-13.17--5))-(-5+((-5*-13.17)*(((-5--5)+(-13.17--5))+-13.17))))-(-5+-5)))*-5)))/-5)--5)+(-5*(((-13.17*(-13.17-(-5/-5)))*(-13.17-(-13.17/(-5*-13.17))))-(-5/-5)))))</f>
        <v>-11825.017865</v>
      </c>
      <c r="C8684" t="n" s="0">
        <v>-11825.017865000002</v>
      </c>
    </row>
    <row r="8685">
      <c r="A8685" t="n" s="0">
        <v>-13.16</v>
      </c>
      <c r="B8685" t="n" s="0">
        <f>(-5-((((-5*(-5/((-5/(((-5*(-13.16--5))-(-5+((-5*-13.16)*(((-5--5)+(-13.16--5))+-13.16))))-(-5+-5)))*-5)))/-5)--5)+(-5*(((-13.16*(-13.16-(-5/-5)))*(-13.16-(-13.16/(-5*-13.16))))-(-5/-5)))))</f>
        <v>-11798.463679999999</v>
      </c>
      <c r="C8685" t="n" s="0">
        <v>-11798.463679999999</v>
      </c>
    </row>
    <row r="8686">
      <c r="A8686" t="n" s="0">
        <v>-13.15</v>
      </c>
      <c r="B8686" t="n" s="0">
        <f>(-5-((((-5*(-5/((-5/(((-5*(-13.15--5))-(-5+((-5*-13.15)*(((-5--5)+(-13.15--5))+-13.15))))-(-5+-5)))*-5)))/-5)--5)+(-5*(((-13.15*(-13.15-(-5/-5)))*(-13.15-(-13.15/(-5*-13.15))))-(-5/-5)))))</f>
        <v>-11771.949374999998</v>
      </c>
      <c r="C8686" t="n" s="0">
        <v>-11771.949375</v>
      </c>
    </row>
    <row r="8687">
      <c r="A8687" t="n" s="0">
        <v>-13.14</v>
      </c>
      <c r="B8687" t="n" s="0">
        <f>(-5-((((-5*(-5/((-5/(((-5*(-13.14--5))-(-5+((-5*-13.14)*(((-5--5)+(-13.14--5))+-13.14))))-(-5+-5)))*-5)))/-5)--5)+(-5*(((-13.14*(-13.14-(-5/-5)))*(-13.14-(-13.14/(-5*-13.14))))-(-5/-5)))))</f>
        <v>-11745.474919999997</v>
      </c>
      <c r="C8687" t="n" s="0">
        <v>-11745.474920000002</v>
      </c>
    </row>
    <row r="8688">
      <c r="A8688" t="n" s="0">
        <v>-13.13</v>
      </c>
      <c r="B8688" t="n" s="0">
        <f>(-5-((((-5*(-5/((-5/(((-5*(-13.13--5))-(-5+((-5*-13.13)*(((-5--5)+(-13.13--5))+-13.13))))-(-5+-5)))*-5)))/-5)--5)+(-5*(((-13.13*(-13.13-(-5/-5)))*(-13.13-(-13.13/(-5*-13.13))))-(-5/-5)))))</f>
        <v>-11719.040285</v>
      </c>
      <c r="C8688" t="n" s="0">
        <v>-11719.040285000001</v>
      </c>
    </row>
    <row r="8689">
      <c r="A8689" t="n" s="0">
        <v>-13.12</v>
      </c>
      <c r="B8689" t="n" s="0">
        <f>(-5-((((-5*(-5/((-5/(((-5*(-13.12--5))-(-5+((-5*-13.12)*(((-5--5)+(-13.12--5))+-13.12))))-(-5+-5)))*-5)))/-5)--5)+(-5*(((-13.12*(-13.12-(-5/-5)))*(-13.12-(-13.12/(-5*-13.12))))-(-5/-5)))))</f>
        <v>-11692.64544</v>
      </c>
      <c r="C8689" t="n" s="0">
        <v>-11692.645439999998</v>
      </c>
    </row>
    <row r="8690">
      <c r="A8690" t="n" s="0">
        <v>-13.11</v>
      </c>
      <c r="B8690" t="n" s="0">
        <f>(-5-((((-5*(-5/((-5/(((-5*(-13.11--5))-(-5+((-5*-13.11)*(((-5--5)+(-13.11--5))+-13.11))))-(-5+-5)))*-5)))/-5)--5)+(-5*(((-13.11*(-13.11-(-5/-5)))*(-13.11-(-13.11/(-5*-13.11))))-(-5/-5)))))</f>
        <v>-11666.290355</v>
      </c>
      <c r="C8690" t="n" s="0">
        <v>-11666.290355</v>
      </c>
    </row>
    <row r="8691">
      <c r="A8691" t="n" s="0">
        <v>-13.1</v>
      </c>
      <c r="B8691" t="n" s="0">
        <f>(-5-((((-5*(-5/((-5/(((-5*(-13.1--5))-(-5+((-5*-13.1)*(((-5--5)+(-13.1--5))+-13.1))))-(-5+-5)))*-5)))/-5)--5)+(-5*(((-13.1*(-13.1-(-5/-5)))*(-13.1-(-13.1/(-5*-13.1))))-(-5/-5)))))</f>
        <v>-11639.975000000002</v>
      </c>
      <c r="C8691" t="n" s="0">
        <v>-11639.974999999999</v>
      </c>
    </row>
    <row r="8692">
      <c r="A8692" t="n" s="0">
        <v>-13.09</v>
      </c>
      <c r="B8692" t="n" s="0">
        <f>(-5-((((-5*(-5/((-5/(((-5*(-13.09--5))-(-5+((-5*-13.09)*(((-5--5)+(-13.09--5))+-13.09))))-(-5+-5)))*-5)))/-5)--5)+(-5*(((-13.09*(-13.09-(-5/-5)))*(-13.09-(-13.09/(-5*-13.09))))-(-5/-5)))))</f>
        <v>-11613.699345</v>
      </c>
      <c r="C8692" t="n" s="0">
        <v>-11613.699345</v>
      </c>
    </row>
    <row r="8693">
      <c r="A8693" t="n" s="0">
        <v>-13.08</v>
      </c>
      <c r="B8693" t="n" s="0">
        <f>(-5-((((-5*(-5/((-5/(((-5*(-13.08--5))-(-5+((-5*-13.08)*(((-5--5)+(-13.08--5))+-13.08))))-(-5+-5)))*-5)))/-5)--5)+(-5*(((-13.08*(-13.08-(-5/-5)))*(-13.08-(-13.08/(-5*-13.08))))-(-5/-5)))))</f>
        <v>-11587.463360000002</v>
      </c>
      <c r="C8693" t="n" s="0">
        <v>-11587.46336</v>
      </c>
    </row>
    <row r="8694">
      <c r="A8694" t="n" s="0">
        <v>-13.07</v>
      </c>
      <c r="B8694" t="n" s="0">
        <f>(-5-((((-5*(-5/((-5/(((-5*(-13.07--5))-(-5+((-5*-13.07)*(((-5--5)+(-13.07--5))+-13.07))))-(-5+-5)))*-5)))/-5)--5)+(-5*(((-13.07*(-13.07-(-5/-5)))*(-13.07-(-13.07/(-5*-13.07))))-(-5/-5)))))</f>
        <v>-11561.267015000001</v>
      </c>
      <c r="C8694" t="n" s="0">
        <v>-11561.267014999998</v>
      </c>
    </row>
    <row r="8695">
      <c r="A8695" t="n" s="0">
        <v>-13.06</v>
      </c>
      <c r="B8695" t="n" s="0">
        <f>(-5-((((-5*(-5/((-5/(((-5*(-13.06--5))-(-5+((-5*-13.06)*(((-5--5)+(-13.06--5))+-13.06))))-(-5+-5)))*-5)))/-5)--5)+(-5*(((-13.06*(-13.06-(-5/-5)))*(-13.06-(-13.06/(-5*-13.06))))-(-5/-5)))))</f>
        <v>-11535.110280000003</v>
      </c>
      <c r="C8695" t="n" s="0">
        <v>-11535.110280000003</v>
      </c>
    </row>
    <row r="8696">
      <c r="A8696" t="n" s="0">
        <v>-13.05</v>
      </c>
      <c r="B8696" t="n" s="0">
        <f>(-5-((((-5*(-5/((-5/(((-5*(-13.05--5))-(-5+((-5*-13.05)*(((-5--5)+(-13.05--5))+-13.05))))-(-5+-5)))*-5)))/-5)--5)+(-5*(((-13.05*(-13.05-(-5/-5)))*(-13.05-(-13.05/(-5*-13.05))))-(-5/-5)))))</f>
        <v>-11508.993124999999</v>
      </c>
      <c r="C8696" t="n" s="0">
        <v>-11508.993125</v>
      </c>
    </row>
    <row r="8697">
      <c r="A8697" t="n" s="0">
        <v>-13.04</v>
      </c>
      <c r="B8697" t="n" s="0">
        <f>(-5-((((-5*(-5/((-5/(((-5*(-13.04--5))-(-5+((-5*-13.04)*(((-5--5)+(-13.04--5))+-13.04))))-(-5+-5)))*-5)))/-5)--5)+(-5*(((-13.04*(-13.04-(-5/-5)))*(-13.04-(-13.04/(-5*-13.04))))-(-5/-5)))))</f>
        <v>-11482.91552</v>
      </c>
      <c r="C8697" t="n" s="0">
        <v>-11482.915519999997</v>
      </c>
    </row>
    <row r="8698">
      <c r="A8698" t="n" s="0">
        <v>-13.03</v>
      </c>
      <c r="B8698" t="n" s="0">
        <f>(-5-((((-5*(-5/((-5/(((-5*(-13.03--5))-(-5+((-5*-13.03)*(((-5--5)+(-13.03--5))+-13.03))))-(-5+-5)))*-5)))/-5)--5)+(-5*(((-13.03*(-13.03-(-5/-5)))*(-13.03-(-13.03/(-5*-13.03))))-(-5/-5)))))</f>
        <v>-11456.877435</v>
      </c>
      <c r="C8698" t="n" s="0">
        <v>-11456.877434999999</v>
      </c>
    </row>
    <row r="8699">
      <c r="A8699" t="n" s="0">
        <v>-13.02</v>
      </c>
      <c r="B8699" t="n" s="0">
        <f>(-5-((((-5*(-5/((-5/(((-5*(-13.02--5))-(-5+((-5*-13.02)*(((-5--5)+(-13.02--5))+-13.02))))-(-5+-5)))*-5)))/-5)--5)+(-5*(((-13.02*(-13.02-(-5/-5)))*(-13.02-(-13.02/(-5*-13.02))))-(-5/-5)))))</f>
        <v>-11430.87884</v>
      </c>
      <c r="C8699" t="n" s="0">
        <v>-11430.878839999998</v>
      </c>
    </row>
    <row r="8700">
      <c r="A8700" t="n" s="0">
        <v>-13.01</v>
      </c>
      <c r="B8700" t="n" s="0">
        <f>(-5-((((-5*(-5/((-5/(((-5*(-13.01--5))-(-5+((-5*-13.01)*(((-5--5)+(-13.01--5))+-13.01))))-(-5+-5)))*-5)))/-5)--5)+(-5*(((-13.01*(-13.01-(-5/-5)))*(-13.01-(-13.01/(-5*-13.01))))-(-5/-5)))))</f>
        <v>-11404.919704999998</v>
      </c>
      <c r="C8700" t="n" s="0">
        <v>-11404.919705</v>
      </c>
    </row>
    <row r="8701">
      <c r="A8701" t="n" s="0">
        <v>-13.0</v>
      </c>
      <c r="B8701" t="n" s="0">
        <f>(-5-((((-5*(-5/((-5/(((-5*(-13--5))-(-5+((-5*-13)*(((-5--5)+(-13--5))+-13))))-(-5+-5)))*-5)))/-5)--5)+(-5*(((-13*(-13-(-5/-5)))*(-13-(-13/(-5*-13))))-(-5/-5)))))</f>
        <v>-11379.0</v>
      </c>
      <c r="C8701" t="n" s="0">
        <v>-11379.0</v>
      </c>
    </row>
    <row r="8702">
      <c r="A8702" t="n" s="0">
        <v>-12.99</v>
      </c>
      <c r="B8702" t="n" s="0">
        <f>(-5-((((-5*(-5/((-5/(((-5*(-12.99--5))-(-5+((-5*-12.99)*(((-5--5)+(-12.99--5))+-12.99))))-(-5+-5)))*-5)))/-5)--5)+(-5*(((-12.99*(-12.99-(-5/-5)))*(-12.99-(-12.99/(-5*-12.99))))-(-5/-5)))))</f>
        <v>-11353.119695</v>
      </c>
      <c r="C8702" t="n" s="0">
        <v>-11353.119695</v>
      </c>
    </row>
    <row r="8703">
      <c r="A8703" t="n" s="0">
        <v>-12.98</v>
      </c>
      <c r="B8703" t="n" s="0">
        <f>(-5-((((-5*(-5/((-5/(((-5*(-12.98--5))-(-5+((-5*-12.98)*(((-5--5)+(-12.98--5))+-12.98))))-(-5+-5)))*-5)))/-5)--5)+(-5*(((-12.98*(-12.98-(-5/-5)))*(-12.98-(-12.98/(-5*-12.98))))-(-5/-5)))))</f>
        <v>-11327.27876</v>
      </c>
      <c r="C8703" t="n" s="0">
        <v>-11327.278760000003</v>
      </c>
    </row>
    <row r="8704">
      <c r="A8704" t="n" s="0">
        <v>-12.97</v>
      </c>
      <c r="B8704" t="n" s="0">
        <f>(-5-((((-5*(-5/((-5/(((-5*(-12.97--5))-(-5+((-5*-12.97)*(((-5--5)+(-12.97--5))+-12.97))))-(-5+-5)))*-5)))/-5)--5)+(-5*(((-12.97*(-12.97-(-5/-5)))*(-12.97-(-12.97/(-5*-12.97))))-(-5/-5)))))</f>
        <v>-11301.477165</v>
      </c>
      <c r="C8704" t="n" s="0">
        <v>-11301.477165000002</v>
      </c>
    </row>
    <row r="8705">
      <c r="A8705" t="n" s="0">
        <v>-12.96</v>
      </c>
      <c r="B8705" t="n" s="0">
        <f>(-5-((((-5*(-5/((-5/(((-5*(-12.96--5))-(-5+((-5*-12.96)*(((-5--5)+(-12.96--5))+-12.96))))-(-5+-5)))*-5)))/-5)--5)+(-5*(((-12.96*(-12.96-(-5/-5)))*(-12.96-(-12.96/(-5*-12.96))))-(-5/-5)))))</f>
        <v>-11275.714880000001</v>
      </c>
      <c r="C8705" t="n" s="0">
        <v>-11275.71488</v>
      </c>
    </row>
    <row r="8706">
      <c r="A8706" t="n" s="0">
        <v>-12.95</v>
      </c>
      <c r="B8706" t="n" s="0">
        <f>(-5-((((-5*(-5/((-5/(((-5*(-12.95--5))-(-5+((-5*-12.95)*(((-5--5)+(-12.95--5))+-12.95))))-(-5+-5)))*-5)))/-5)--5)+(-5*(((-12.95*(-12.95-(-5/-5)))*(-12.95-(-12.95/(-5*-12.95))))-(-5/-5)))))</f>
        <v>-11249.991875</v>
      </c>
      <c r="C8706" t="n" s="0">
        <v>-11249.991874999998</v>
      </c>
    </row>
    <row r="8707">
      <c r="A8707" t="n" s="0">
        <v>-12.94</v>
      </c>
      <c r="B8707" t="n" s="0">
        <f>(-5-((((-5*(-5/((-5/(((-5*(-12.94--5))-(-5+((-5*-12.94)*(((-5--5)+(-12.94--5))+-12.94))))-(-5+-5)))*-5)))/-5)--5)+(-5*(((-12.94*(-12.94-(-5/-5)))*(-12.94-(-12.94/(-5*-12.94))))-(-5/-5)))))</f>
        <v>-11224.308120000003</v>
      </c>
      <c r="C8707" t="n" s="0">
        <v>-11224.308119999998</v>
      </c>
    </row>
    <row r="8708">
      <c r="A8708" t="n" s="0">
        <v>-12.93</v>
      </c>
      <c r="B8708" t="n" s="0">
        <f>(-5-((((-5*(-5/((-5/(((-5*(-12.93--5))-(-5+((-5*-12.93)*(((-5--5)+(-12.93--5))+-12.93))))-(-5+-5)))*-5)))/-5)--5)+(-5*(((-12.93*(-12.93-(-5/-5)))*(-12.93-(-12.93/(-5*-12.93))))-(-5/-5)))))</f>
        <v>-11198.663584999997</v>
      </c>
      <c r="C8708" t="n" s="0">
        <v>-11198.663585000002</v>
      </c>
    </row>
    <row r="8709">
      <c r="A8709" t="n" s="0">
        <v>-12.92</v>
      </c>
      <c r="B8709" t="n" s="0">
        <f>(-5-((((-5*(-5/((-5/(((-5*(-12.92--5))-(-5+((-5*-12.92)*(((-5--5)+(-12.92--5))+-12.92))))-(-5+-5)))*-5)))/-5)--5)+(-5*(((-12.92*(-12.92-(-5/-5)))*(-12.92-(-12.92/(-5*-12.92))))-(-5/-5)))))</f>
        <v>-11173.058239999998</v>
      </c>
      <c r="C8709" t="n" s="0">
        <v>-11173.05824</v>
      </c>
    </row>
    <row r="8710">
      <c r="A8710" t="n" s="0">
        <v>-12.91</v>
      </c>
      <c r="B8710" t="n" s="0">
        <f>(-5-((((-5*(-5/((-5/(((-5*(-12.91--5))-(-5+((-5*-12.91)*(((-5--5)+(-12.91--5))+-12.91))))-(-5+-5)))*-5)))/-5)--5)+(-5*(((-12.91*(-12.91-(-5/-5)))*(-12.91-(-12.91/(-5*-12.91))))-(-5/-5)))))</f>
        <v>-11147.492055</v>
      </c>
      <c r="C8710" t="n" s="0">
        <v>-11147.492055</v>
      </c>
    </row>
    <row r="8711">
      <c r="A8711" t="n" s="0">
        <v>-12.9</v>
      </c>
      <c r="B8711" t="n" s="0">
        <f>(-5-((((-5*(-5/((-5/(((-5*(-12.9--5))-(-5+((-5*-12.9)*(((-5--5)+(-12.9--5))+-12.9))))-(-5+-5)))*-5)))/-5)--5)+(-5*(((-12.9*(-12.9-(-5/-5)))*(-12.9-(-12.9/(-5*-12.9))))-(-5/-5)))))</f>
        <v>-11121.965</v>
      </c>
      <c r="C8711" t="n" s="0">
        <v>-11121.965000000002</v>
      </c>
    </row>
    <row r="8712">
      <c r="A8712" t="n" s="0">
        <v>-12.89</v>
      </c>
      <c r="B8712" t="n" s="0">
        <f>(-5-((((-5*(-5/((-5/(((-5*(-12.89--5))-(-5+((-5*-12.89)*(((-5--5)+(-12.89--5))+-12.89))))-(-5+-5)))*-5)))/-5)--5)+(-5*(((-12.89*(-12.89-(-5/-5)))*(-12.89-(-12.89/(-5*-12.89))))-(-5/-5)))))</f>
        <v>-11096.477045000001</v>
      </c>
      <c r="C8712" t="n" s="0">
        <v>-11096.477045000001</v>
      </c>
    </row>
    <row r="8713">
      <c r="A8713" t="n" s="0">
        <v>-12.88</v>
      </c>
      <c r="B8713" t="n" s="0">
        <f>(-5-((((-5*(-5/((-5/(((-5*(-12.88--5))-(-5+((-5*-12.88)*(((-5--5)+(-12.88--5))+-12.88))))-(-5+-5)))*-5)))/-5)--5)+(-5*(((-12.88*(-12.88-(-5/-5)))*(-12.88-(-12.88/(-5*-12.88))))-(-5/-5)))))</f>
        <v>-11071.02816</v>
      </c>
      <c r="C8713" t="n" s="0">
        <v>-11071.028160000003</v>
      </c>
    </row>
    <row r="8714">
      <c r="A8714" t="n" s="0">
        <v>-12.87</v>
      </c>
      <c r="B8714" t="n" s="0">
        <f>(-5-((((-5*(-5/((-5/(((-5*(-12.87--5))-(-5+((-5*-12.87)*(((-5--5)+(-12.87--5))+-12.87))))-(-5+-5)))*-5)))/-5)--5)+(-5*(((-12.87*(-12.87-(-5/-5)))*(-12.87-(-12.87/(-5*-12.87))))-(-5/-5)))))</f>
        <v>-11045.618315</v>
      </c>
      <c r="C8714" t="n" s="0">
        <v>-11045.618315</v>
      </c>
    </row>
    <row r="8715">
      <c r="A8715" t="n" s="0">
        <v>-12.86</v>
      </c>
      <c r="B8715" t="n" s="0">
        <f>(-5-((((-5*(-5/((-5/(((-5*(-12.86--5))-(-5+((-5*-12.86)*(((-5--5)+(-12.86--5))+-12.86))))-(-5+-5)))*-5)))/-5)--5)+(-5*(((-12.86*(-12.86-(-5/-5)))*(-12.86-(-12.86/(-5*-12.86))))-(-5/-5)))))</f>
        <v>-11020.247479999998</v>
      </c>
      <c r="C8715" t="n" s="0">
        <v>-11020.247479999998</v>
      </c>
    </row>
    <row r="8716">
      <c r="A8716" t="n" s="0">
        <v>-12.85</v>
      </c>
      <c r="B8716" t="n" s="0">
        <f>(-5-((((-5*(-5/((-5/(((-5*(-12.85--5))-(-5+((-5*-12.85)*(((-5--5)+(-12.85--5))+-12.85))))-(-5+-5)))*-5)))/-5)--5)+(-5*(((-12.85*(-12.85-(-5/-5)))*(-12.85-(-12.85/(-5*-12.85))))-(-5/-5)))))</f>
        <v>-10994.915625000001</v>
      </c>
      <c r="C8716" t="n" s="0">
        <v>-10994.915624999998</v>
      </c>
    </row>
    <row r="8717">
      <c r="A8717" t="n" s="0">
        <v>-12.84</v>
      </c>
      <c r="B8717" t="n" s="0">
        <f>(-5-((((-5*(-5/((-5/(((-5*(-12.84--5))-(-5+((-5*-12.84)*(((-5--5)+(-12.84--5))+-12.84))))-(-5+-5)))*-5)))/-5)--5)+(-5*(((-12.84*(-12.84-(-5/-5)))*(-12.84-(-12.84/(-5*-12.84))))-(-5/-5)))))</f>
        <v>-10969.622720000001</v>
      </c>
      <c r="C8717" t="n" s="0">
        <v>-10969.622720000001</v>
      </c>
    </row>
    <row r="8718">
      <c r="A8718" t="n" s="0">
        <v>-12.83</v>
      </c>
      <c r="B8718" t="n" s="0">
        <f>(-5-((((-5*(-5/((-5/(((-5*(-12.83--5))-(-5+((-5*-12.83)*(((-5--5)+(-12.83--5))+-12.83))))-(-5+-5)))*-5)))/-5)--5)+(-5*(((-12.83*(-12.83-(-5/-5)))*(-12.83-(-12.83/(-5*-12.83))))-(-5/-5)))))</f>
        <v>-10944.368735</v>
      </c>
      <c r="C8718" t="n" s="0">
        <v>-10944.368735</v>
      </c>
    </row>
    <row r="8719">
      <c r="A8719" t="n" s="0">
        <v>-12.82</v>
      </c>
      <c r="B8719" t="n" s="0">
        <f>(-5-((((-5*(-5/((-5/(((-5*(-12.82--5))-(-5+((-5*-12.82)*(((-5--5)+(-12.82--5))+-12.82))))-(-5+-5)))*-5)))/-5)--5)+(-5*(((-12.82*(-12.82-(-5/-5)))*(-12.82-(-12.82/(-5*-12.82))))-(-5/-5)))))</f>
        <v>-10919.153639999999</v>
      </c>
      <c r="C8719" t="n" s="0">
        <v>-10919.15364</v>
      </c>
    </row>
    <row r="8720">
      <c r="A8720" t="n" s="0">
        <v>-12.81</v>
      </c>
      <c r="B8720" t="n" s="0">
        <f>(-5-((((-5*(-5/((-5/(((-5*(-12.81--5))-(-5+((-5*-12.81)*(((-5--5)+(-12.81--5))+-12.81))))-(-5+-5)))*-5)))/-5)--5)+(-5*(((-12.81*(-12.81-(-5/-5)))*(-12.81-(-12.81/(-5*-12.81))))-(-5/-5)))))</f>
        <v>-10893.977405</v>
      </c>
      <c r="C8720" t="n" s="0">
        <v>-10893.977405</v>
      </c>
    </row>
    <row r="8721">
      <c r="A8721" t="n" s="0">
        <v>-12.8</v>
      </c>
      <c r="B8721" t="n" s="0">
        <f>(-5-((((-5*(-5/((-5/(((-5*(-12.8--5))-(-5+((-5*-12.8)*(((-5--5)+(-12.8--5))+-12.8))))-(-5+-5)))*-5)))/-5)--5)+(-5*(((-12.8*(-12.8-(-5/-5)))*(-12.8-(-12.8/(-5*-12.8))))-(-5/-5)))))</f>
        <v>-10868.84</v>
      </c>
      <c r="C8721" t="n" s="0">
        <v>-10868.840000000002</v>
      </c>
    </row>
    <row r="8722">
      <c r="A8722" t="n" s="0">
        <v>-12.79</v>
      </c>
      <c r="B8722" t="n" s="0">
        <f>(-5-((((-5*(-5/((-5/(((-5*(-12.79--5))-(-5+((-5*-12.79)*(((-5--5)+(-12.79--5))+-12.79))))-(-5+-5)))*-5)))/-5)--5)+(-5*(((-12.79*(-12.79-(-5/-5)))*(-12.79-(-12.79/(-5*-12.79))))-(-5/-5)))))</f>
        <v>-10843.741395</v>
      </c>
      <c r="C8722" t="n" s="0">
        <v>-10843.741395</v>
      </c>
    </row>
    <row r="8723">
      <c r="A8723" t="n" s="0">
        <v>-12.78</v>
      </c>
      <c r="B8723" t="n" s="0">
        <f>(-5-((((-5*(-5/((-5/(((-5*(-12.78--5))-(-5+((-5*-12.78)*(((-5--5)+(-12.78--5))+-12.78))))-(-5+-5)))*-5)))/-5)--5)+(-5*(((-12.78*(-12.78-(-5/-5)))*(-12.78-(-12.78/(-5*-12.78))))-(-5/-5)))))</f>
        <v>-10818.68156</v>
      </c>
      <c r="C8723" t="n" s="0">
        <v>-10818.681559999999</v>
      </c>
    </row>
    <row r="8724">
      <c r="A8724" t="n" s="0">
        <v>-12.77</v>
      </c>
      <c r="B8724" t="n" s="0">
        <f>(-5-((((-5*(-5/((-5/(((-5*(-12.77--5))-(-5+((-5*-12.77)*(((-5--5)+(-12.77--5))+-12.77))))-(-5+-5)))*-5)))/-5)--5)+(-5*(((-12.77*(-12.77-(-5/-5)))*(-12.77-(-12.77/(-5*-12.77))))-(-5/-5)))))</f>
        <v>-10793.660464999999</v>
      </c>
      <c r="C8724" t="n" s="0">
        <v>-10793.660464999999</v>
      </c>
    </row>
    <row r="8725">
      <c r="A8725" t="n" s="0">
        <v>-12.76</v>
      </c>
      <c r="B8725" t="n" s="0">
        <f>(-5-((((-5*(-5/((-5/(((-5*(-12.76--5))-(-5+((-5*-12.76)*(((-5--5)+(-12.76--5))+-12.76))))-(-5+-5)))*-5)))/-5)--5)+(-5*(((-12.76*(-12.76-(-5/-5)))*(-12.76-(-12.76/(-5*-12.76))))-(-5/-5)))))</f>
        <v>-10768.67808</v>
      </c>
      <c r="C8725" t="n" s="0">
        <v>-10768.678080000002</v>
      </c>
    </row>
    <row r="8726">
      <c r="A8726" t="n" s="0">
        <v>-12.75</v>
      </c>
      <c r="B8726" t="n" s="0">
        <f>(-5-((((-5*(-5/((-5/(((-5*(-12.75--5))-(-5+((-5*-12.75)*(((-5--5)+(-12.75--5))+-12.75))))-(-5+-5)))*-5)))/-5)--5)+(-5*(((-12.75*(-12.75-(-5/-5)))*(-12.75-(-12.75/(-5*-12.75))))-(-5/-5)))))</f>
        <v>-10743.734375</v>
      </c>
      <c r="C8726" t="n" s="0">
        <v>-10743.734375</v>
      </c>
    </row>
    <row r="8727">
      <c r="A8727" t="n" s="0">
        <v>-12.74</v>
      </c>
      <c r="B8727" t="n" s="0">
        <f>(-5-((((-5*(-5/((-5/(((-5*(-12.74--5))-(-5+((-5*-12.74)*(((-5--5)+(-12.74--5))+-12.74))))-(-5+-5)))*-5)))/-5)--5)+(-5*(((-12.74*(-12.74-(-5/-5)))*(-12.74-(-12.74/(-5*-12.74))))-(-5/-5)))))</f>
        <v>-10718.82932</v>
      </c>
      <c r="C8727" t="n" s="0">
        <v>-10718.829319999999</v>
      </c>
    </row>
    <row r="8728">
      <c r="A8728" t="n" s="0">
        <v>-12.73</v>
      </c>
      <c r="B8728" t="n" s="0">
        <f>(-5-((((-5*(-5/((-5/(((-5*(-12.73--5))-(-5+((-5*-12.73)*(((-5--5)+(-12.73--5))+-12.73))))-(-5+-5)))*-5)))/-5)--5)+(-5*(((-12.73*(-12.73-(-5/-5)))*(-12.73-(-12.73/(-5*-12.73))))-(-5/-5)))))</f>
        <v>-10693.962884999997</v>
      </c>
      <c r="C8728" t="n" s="0">
        <v>-10693.962885</v>
      </c>
    </row>
    <row r="8729">
      <c r="A8729" t="n" s="0">
        <v>-12.72</v>
      </c>
      <c r="B8729" t="n" s="0">
        <f>(-5-((((-5*(-5/((-5/(((-5*(-12.72--5))-(-5+((-5*-12.72)*(((-5--5)+(-12.72--5))+-12.72))))-(-5+-5)))*-5)))/-5)--5)+(-5*(((-12.72*(-12.72-(-5/-5)))*(-12.72-(-12.72/(-5*-12.72))))-(-5/-5)))))</f>
        <v>-10669.13504</v>
      </c>
      <c r="C8729" t="n" s="0">
        <v>-10669.135040000001</v>
      </c>
    </row>
    <row r="8730">
      <c r="A8730" t="n" s="0">
        <v>-12.71</v>
      </c>
      <c r="B8730" t="n" s="0">
        <f>(-5-((((-5*(-5/((-5/(((-5*(-12.71--5))-(-5+((-5*-12.71)*(((-5--5)+(-12.71--5))+-12.71))))-(-5+-5)))*-5)))/-5)--5)+(-5*(((-12.71*(-12.71-(-5/-5)))*(-12.71-(-12.71/(-5*-12.71))))-(-5/-5)))))</f>
        <v>-10644.345755</v>
      </c>
      <c r="C8730" t="n" s="0">
        <v>-10644.345755000002</v>
      </c>
    </row>
    <row r="8731">
      <c r="A8731" t="n" s="0">
        <v>-12.7</v>
      </c>
      <c r="B8731" t="n" s="0">
        <f>(-5-((((-5*(-5/((-5/(((-5*(-12.7--5))-(-5+((-5*-12.7)*(((-5--5)+(-12.7--5))+-12.7))))-(-5+-5)))*-5)))/-5)--5)+(-5*(((-12.7*(-12.7-(-5/-5)))*(-12.7-(-12.7/(-5*-12.7))))-(-5/-5)))))</f>
        <v>-10619.595</v>
      </c>
      <c r="C8731" t="n" s="0">
        <v>-10619.595</v>
      </c>
    </row>
    <row r="8732">
      <c r="A8732" t="n" s="0">
        <v>-12.69</v>
      </c>
      <c r="B8732" t="n" s="0">
        <f>(-5-((((-5*(-5/((-5/(((-5*(-12.69--5))-(-5+((-5*-12.69)*(((-5--5)+(-12.69--5))+-12.69))))-(-5+-5)))*-5)))/-5)--5)+(-5*(((-12.69*(-12.69-(-5/-5)))*(-12.69-(-12.69/(-5*-12.69))))-(-5/-5)))))</f>
        <v>-10594.882744999999</v>
      </c>
      <c r="C8732" t="n" s="0">
        <v>-10594.882744999999</v>
      </c>
    </row>
    <row r="8733">
      <c r="A8733" t="n" s="0">
        <v>-12.68</v>
      </c>
      <c r="B8733" t="n" s="0">
        <f>(-5-((((-5*(-5/((-5/(((-5*(-12.68--5))-(-5+((-5*-12.68)*(((-5--5)+(-12.68--5))+-12.68))))-(-5+-5)))*-5)))/-5)--5)+(-5*(((-12.68*(-12.68-(-5/-5)))*(-12.68-(-12.68/(-5*-12.68))))-(-5/-5)))))</f>
        <v>-10570.20896</v>
      </c>
      <c r="C8733" t="n" s="0">
        <v>-10570.20896</v>
      </c>
    </row>
    <row r="8734">
      <c r="A8734" t="n" s="0">
        <v>-12.67</v>
      </c>
      <c r="B8734" t="n" s="0">
        <f>(-5-((((-5*(-5/((-5/(((-5*(-12.67--5))-(-5+((-5*-12.67)*(((-5--5)+(-12.67--5))+-12.67))))-(-5+-5)))*-5)))/-5)--5)+(-5*(((-12.67*(-12.67-(-5/-5)))*(-12.67-(-12.67/(-5*-12.67))))-(-5/-5)))))</f>
        <v>-10545.573615</v>
      </c>
      <c r="C8734" t="n" s="0">
        <v>-10545.573615000001</v>
      </c>
    </row>
    <row r="8735">
      <c r="A8735" t="n" s="0">
        <v>-12.66</v>
      </c>
      <c r="B8735" t="n" s="0">
        <f>(-5-((((-5*(-5/((-5/(((-5*(-12.66--5))-(-5+((-5*-12.66)*(((-5--5)+(-12.66--5))+-12.66))))-(-5+-5)))*-5)))/-5)--5)+(-5*(((-12.66*(-12.66-(-5/-5)))*(-12.66-(-12.66/(-5*-12.66))))-(-5/-5)))))</f>
        <v>-10520.97668</v>
      </c>
      <c r="C8735" t="n" s="0">
        <v>-10520.97668</v>
      </c>
    </row>
    <row r="8736">
      <c r="A8736" t="n" s="0">
        <v>-12.65</v>
      </c>
      <c r="B8736" t="n" s="0">
        <f>(-5-((((-5*(-5/((-5/(((-5*(-12.65--5))-(-5+((-5*-12.65)*(((-5--5)+(-12.65--5))+-12.65))))-(-5+-5)))*-5)))/-5)--5)+(-5*(((-12.65*(-12.65-(-5/-5)))*(-12.65-(-12.65/(-5*-12.65))))-(-5/-5)))))</f>
        <v>-10496.418125</v>
      </c>
      <c r="C8736" t="n" s="0">
        <v>-10496.418125000002</v>
      </c>
    </row>
    <row r="8737">
      <c r="A8737" t="n" s="0">
        <v>-12.64</v>
      </c>
      <c r="B8737" t="n" s="0">
        <f>(-5-((((-5*(-5/((-5/(((-5*(-12.64--5))-(-5+((-5*-12.64)*(((-5--5)+(-12.64--5))+-12.64))))-(-5+-5)))*-5)))/-5)--5)+(-5*(((-12.64*(-12.64-(-5/-5)))*(-12.64-(-12.64/(-5*-12.64))))-(-5/-5)))))</f>
        <v>-10471.89792</v>
      </c>
      <c r="C8737" t="n" s="0">
        <v>-10471.897920000001</v>
      </c>
    </row>
    <row r="8738">
      <c r="A8738" t="n" s="0">
        <v>-12.63</v>
      </c>
      <c r="B8738" t="n" s="0">
        <f>(-5-((((-5*(-5/((-5/(((-5*(-12.63--5))-(-5+((-5*-12.63)*(((-5--5)+(-12.63--5))+-12.63))))-(-5+-5)))*-5)))/-5)--5)+(-5*(((-12.63*(-12.63-(-5/-5)))*(-12.63-(-12.63/(-5*-12.63))))-(-5/-5)))))</f>
        <v>-10447.416035</v>
      </c>
      <c r="C8738" t="n" s="0">
        <v>-10447.416035</v>
      </c>
    </row>
    <row r="8739">
      <c r="A8739" t="n" s="0">
        <v>-12.62</v>
      </c>
      <c r="B8739" t="n" s="0">
        <f>(-5-((((-5*(-5/((-5/(((-5*(-12.62--5))-(-5+((-5*-12.62)*(((-5--5)+(-12.62--5))+-12.62))))-(-5+-5)))*-5)))/-5)--5)+(-5*(((-12.62*(-12.62-(-5/-5)))*(-12.62-(-12.62/(-5*-12.62))))-(-5/-5)))))</f>
        <v>-10422.97244</v>
      </c>
      <c r="C8739" t="n" s="0">
        <v>-10422.97244</v>
      </c>
    </row>
    <row r="8740">
      <c r="A8740" t="n" s="0">
        <v>-12.61</v>
      </c>
      <c r="B8740" t="n" s="0">
        <f>(-5-((((-5*(-5/((-5/(((-5*(-12.61--5))-(-5+((-5*-12.61)*(((-5--5)+(-12.61--5))+-12.61))))-(-5+-5)))*-5)))/-5)--5)+(-5*(((-12.61*(-12.61-(-5/-5)))*(-12.61-(-12.61/(-5*-12.61))))-(-5/-5)))))</f>
        <v>-10398.567105</v>
      </c>
      <c r="C8740" t="n" s="0">
        <v>-10398.567104999998</v>
      </c>
    </row>
    <row r="8741">
      <c r="A8741" t="n" s="0">
        <v>-12.6</v>
      </c>
      <c r="B8741" t="n" s="0">
        <f>(-5-((((-5*(-5/((-5/(((-5*(-12.6--5))-(-5+((-5*-12.6)*(((-5--5)+(-12.6--5))+-12.6))))-(-5+-5)))*-5)))/-5)--5)+(-5*(((-12.6*(-12.6-(-5/-5)))*(-12.6-(-12.6/(-5*-12.6))))-(-5/-5)))))</f>
        <v>-10374.199999999999</v>
      </c>
      <c r="C8741" t="n" s="0">
        <v>-10374.199999999999</v>
      </c>
    </row>
    <row r="8742">
      <c r="A8742" t="n" s="0">
        <v>-12.59</v>
      </c>
      <c r="B8742" t="n" s="0">
        <f>(-5-((((-5*(-5/((-5/(((-5*(-12.59--5))-(-5+((-5*-12.59)*(((-5--5)+(-12.59--5))+-12.59))))-(-5+-5)))*-5)))/-5)--5)+(-5*(((-12.59*(-12.59-(-5/-5)))*(-12.59-(-12.59/(-5*-12.59))))-(-5/-5)))))</f>
        <v>-10349.871095000002</v>
      </c>
      <c r="C8742" t="n" s="0">
        <v>-10349.871095</v>
      </c>
    </row>
    <row r="8743">
      <c r="A8743" t="n" s="0">
        <v>-12.58</v>
      </c>
      <c r="B8743" t="n" s="0">
        <f>(-5-((((-5*(-5/((-5/(((-5*(-12.58--5))-(-5+((-5*-12.58)*(((-5--5)+(-12.58--5))+-12.58))))-(-5+-5)))*-5)))/-5)--5)+(-5*(((-12.58*(-12.58-(-5/-5)))*(-12.58-(-12.58/(-5*-12.58))))-(-5/-5)))))</f>
        <v>-10325.58036</v>
      </c>
      <c r="C8743" t="n" s="0">
        <v>-10325.58036</v>
      </c>
    </row>
    <row r="8744">
      <c r="A8744" t="n" s="0">
        <v>-12.57</v>
      </c>
      <c r="B8744" t="n" s="0">
        <f>(-5-((((-5*(-5/((-5/(((-5*(-12.57--5))-(-5+((-5*-12.57)*(((-5--5)+(-12.57--5))+-12.57))))-(-5+-5)))*-5)))/-5)--5)+(-5*(((-12.57*(-12.57-(-5/-5)))*(-12.57-(-12.57/(-5*-12.57))))-(-5/-5)))))</f>
        <v>-10301.327765</v>
      </c>
      <c r="C8744" t="n" s="0">
        <v>-10301.327765</v>
      </c>
    </row>
    <row r="8745">
      <c r="A8745" t="n" s="0">
        <v>-12.56</v>
      </c>
      <c r="B8745" t="n" s="0">
        <f>(-5-((((-5*(-5/((-5/(((-5*(-12.56--5))-(-5+((-5*-12.56)*(((-5--5)+(-12.56--5))+-12.56))))-(-5+-5)))*-5)))/-5)--5)+(-5*(((-12.56*(-12.56-(-5/-5)))*(-12.56-(-12.56/(-5*-12.56))))-(-5/-5)))))</f>
        <v>-10277.11328</v>
      </c>
      <c r="C8745" t="n" s="0">
        <v>-10277.113280000001</v>
      </c>
    </row>
    <row r="8746">
      <c r="A8746" t="n" s="0">
        <v>-12.55</v>
      </c>
      <c r="B8746" t="n" s="0">
        <f>(-5-((((-5*(-5/((-5/(((-5*(-12.55--5))-(-5+((-5*-12.55)*(((-5--5)+(-12.55--5))+-12.55))))-(-5+-5)))*-5)))/-5)--5)+(-5*(((-12.55*(-12.55-(-5/-5)))*(-12.55-(-12.55/(-5*-12.55))))-(-5/-5)))))</f>
        <v>-10252.936875</v>
      </c>
      <c r="C8746" t="n" s="0">
        <v>-10252.936875</v>
      </c>
    </row>
    <row r="8747">
      <c r="A8747" t="n" s="0">
        <v>-12.54</v>
      </c>
      <c r="B8747" t="n" s="0">
        <f>(-5-((((-5*(-5/((-5/(((-5*(-12.54--5))-(-5+((-5*-12.54)*(((-5--5)+(-12.54--5))+-12.54))))-(-5+-5)))*-5)))/-5)--5)+(-5*(((-12.54*(-12.54-(-5/-5)))*(-12.54-(-12.54/(-5*-12.54))))-(-5/-5)))))</f>
        <v>-10228.79852</v>
      </c>
      <c r="C8747" t="n" s="0">
        <v>-10228.798519999998</v>
      </c>
    </row>
    <row r="8748">
      <c r="A8748" t="n" s="0">
        <v>-12.53</v>
      </c>
      <c r="B8748" t="n" s="0">
        <f>(-5-((((-5*(-5/((-5/(((-5*(-12.53--5))-(-5+((-5*-12.53)*(((-5--5)+(-12.53--5))+-12.53))))-(-5+-5)))*-5)))/-5)--5)+(-5*(((-12.53*(-12.53-(-5/-5)))*(-12.53-(-12.53/(-5*-12.53))))-(-5/-5)))))</f>
        <v>-10204.698185000001</v>
      </c>
      <c r="C8748" t="n" s="0">
        <v>-10204.698185</v>
      </c>
    </row>
    <row r="8749">
      <c r="A8749" t="n" s="0">
        <v>-12.52</v>
      </c>
      <c r="B8749" t="n" s="0">
        <f>(-5-((((-5*(-5/((-5/(((-5*(-12.52--5))-(-5+((-5*-12.52)*(((-5--5)+(-12.52--5))+-12.52))))-(-5+-5)))*-5)))/-5)--5)+(-5*(((-12.52*(-12.52-(-5/-5)))*(-12.52-(-12.52/(-5*-12.52))))-(-5/-5)))))</f>
        <v>-10180.63584</v>
      </c>
      <c r="C8749" t="n" s="0">
        <v>-10180.635839999999</v>
      </c>
    </row>
    <row r="8750">
      <c r="A8750" t="n" s="0">
        <v>-12.51</v>
      </c>
      <c r="B8750" t="n" s="0">
        <f>(-5-((((-5*(-5/((-5/(((-5*(-12.51--5))-(-5+((-5*-12.51)*(((-5--5)+(-12.51--5))+-12.51))))-(-5+-5)))*-5)))/-5)--5)+(-5*(((-12.51*(-12.51-(-5/-5)))*(-12.51-(-12.51/(-5*-12.51))))-(-5/-5)))))</f>
        <v>-10156.611455000002</v>
      </c>
      <c r="C8750" t="n" s="0">
        <v>-10156.611455</v>
      </c>
    </row>
    <row r="8751">
      <c r="A8751" t="n" s="0">
        <v>-12.5</v>
      </c>
      <c r="B8751" t="n" s="0">
        <f>(-5-((((-5*(-5/((-5/(((-5*(-12.5--5))-(-5+((-5*-12.5)*(((-5--5)+(-12.5--5))+-12.5))))-(-5+-5)))*-5)))/-5)--5)+(-5*(((-12.5*(-12.5-(-5/-5)))*(-12.5-(-12.5/(-5*-12.5))))-(-5/-5)))))</f>
        <v>-10132.625000000002</v>
      </c>
      <c r="C8751" t="n" s="0">
        <v>-10132.625</v>
      </c>
    </row>
    <row r="8752">
      <c r="A8752" t="n" s="0">
        <v>-12.49</v>
      </c>
      <c r="B8752" t="n" s="0">
        <f>(-5-((((-5*(-5/((-5/(((-5*(-12.49--5))-(-5+((-5*-12.49)*(((-5--5)+(-12.49--5))+-12.49))))-(-5+-5)))*-5)))/-5)--5)+(-5*(((-12.49*(-12.49-(-5/-5)))*(-12.49-(-12.49/(-5*-12.49))))-(-5/-5)))))</f>
        <v>-10108.676445000001</v>
      </c>
      <c r="C8752" t="n" s="0">
        <v>-10108.676445000001</v>
      </c>
    </row>
    <row r="8753">
      <c r="A8753" t="n" s="0">
        <v>-12.48</v>
      </c>
      <c r="B8753" t="n" s="0">
        <f>(-5-((((-5*(-5/((-5/(((-5*(-12.48--5))-(-5+((-5*-12.48)*(((-5--5)+(-12.48--5))+-12.48))))-(-5+-5)))*-5)))/-5)--5)+(-5*(((-12.48*(-12.48-(-5/-5)))*(-12.48-(-12.48/(-5*-12.48))))-(-5/-5)))))</f>
        <v>-10084.76576</v>
      </c>
      <c r="C8753" t="n" s="0">
        <v>-10084.76576</v>
      </c>
    </row>
    <row r="8754">
      <c r="A8754" t="n" s="0">
        <v>-12.47</v>
      </c>
      <c r="B8754" t="n" s="0">
        <f>(-5-((((-5*(-5/((-5/(((-5*(-12.47--5))-(-5+((-5*-12.47)*(((-5--5)+(-12.47--5))+-12.47))))-(-5+-5)))*-5)))/-5)--5)+(-5*(((-12.47*(-12.47-(-5/-5)))*(-12.47-(-12.47/(-5*-12.47))))-(-5/-5)))))</f>
        <v>-10060.892914999999</v>
      </c>
      <c r="C8754" t="n" s="0">
        <v>-10060.892915</v>
      </c>
    </row>
    <row r="8755">
      <c r="A8755" t="n" s="0">
        <v>-12.46</v>
      </c>
      <c r="B8755" t="n" s="0">
        <f>(-5-((((-5*(-5/((-5/(((-5*(-12.46--5))-(-5+((-5*-12.46)*(((-5--5)+(-12.46--5))+-12.46))))-(-5+-5)))*-5)))/-5)--5)+(-5*(((-12.46*(-12.46-(-5/-5)))*(-12.46-(-12.46/(-5*-12.46))))-(-5/-5)))))</f>
        <v>-10037.057879999998</v>
      </c>
      <c r="C8755" t="n" s="0">
        <v>-10037.05788</v>
      </c>
    </row>
    <row r="8756">
      <c r="A8756" t="n" s="0">
        <v>-12.45</v>
      </c>
      <c r="B8756" t="n" s="0">
        <f>(-5-((((-5*(-5/((-5/(((-5*(-12.45--5))-(-5+((-5*-12.45)*(((-5--5)+(-12.45--5))+-12.45))))-(-5+-5)))*-5)))/-5)--5)+(-5*(((-12.45*(-12.45-(-5/-5)))*(-12.45-(-12.45/(-5*-12.45))))-(-5/-5)))))</f>
        <v>-10013.260625</v>
      </c>
      <c r="C8756" t="n" s="0">
        <v>-10013.260624999999</v>
      </c>
    </row>
    <row r="8757">
      <c r="A8757" t="n" s="0">
        <v>-12.44</v>
      </c>
      <c r="B8757" t="n" s="0">
        <f>(-5-((((-5*(-5/((-5/(((-5*(-12.44--5))-(-5+((-5*-12.44)*(((-5--5)+(-12.44--5))+-12.44))))-(-5+-5)))*-5)))/-5)--5)+(-5*(((-12.44*(-12.44-(-5/-5)))*(-12.44-(-12.44/(-5*-12.44))))-(-5/-5)))))</f>
        <v>-9989.50112</v>
      </c>
      <c r="C8757" t="n" s="0">
        <v>-9989.501119999999</v>
      </c>
    </row>
    <row r="8758">
      <c r="A8758" t="n" s="0">
        <v>-12.43</v>
      </c>
      <c r="B8758" t="n" s="0">
        <f>(-5-((((-5*(-5/((-5/(((-5*(-12.43--5))-(-5+((-5*-12.43)*(((-5--5)+(-12.43--5))+-12.43))))-(-5+-5)))*-5)))/-5)--5)+(-5*(((-12.43*(-12.43-(-5/-5)))*(-12.43-(-12.43/(-5*-12.43))))-(-5/-5)))))</f>
        <v>-9965.779335</v>
      </c>
      <c r="C8758" t="n" s="0">
        <v>-9965.779335</v>
      </c>
    </row>
    <row r="8759">
      <c r="A8759" t="n" s="0">
        <v>-12.42</v>
      </c>
      <c r="B8759" t="n" s="0">
        <f>(-5-((((-5*(-5/((-5/(((-5*(-12.42--5))-(-5+((-5*-12.42)*(((-5--5)+(-12.42--5))+-12.42))))-(-5+-5)))*-5)))/-5)--5)+(-5*(((-12.42*(-12.42-(-5/-5)))*(-12.42-(-12.42/(-5*-12.42))))-(-5/-5)))))</f>
        <v>-9942.09524</v>
      </c>
      <c r="C8759" t="n" s="0">
        <v>-9942.09524</v>
      </c>
    </row>
    <row r="8760">
      <c r="A8760" t="n" s="0">
        <v>-12.41</v>
      </c>
      <c r="B8760" t="n" s="0">
        <f>(-5-((((-5*(-5/((-5/(((-5*(-12.41--5))-(-5+((-5*-12.41)*(((-5--5)+(-12.41--5))+-12.41))))-(-5+-5)))*-5)))/-5)--5)+(-5*(((-12.41*(-12.41-(-5/-5)))*(-12.41-(-12.41/(-5*-12.41))))-(-5/-5)))))</f>
        <v>-9918.448805</v>
      </c>
      <c r="C8760" t="n" s="0">
        <v>-9918.448805</v>
      </c>
    </row>
    <row r="8761">
      <c r="A8761" t="n" s="0">
        <v>-12.4</v>
      </c>
      <c r="B8761" t="n" s="0">
        <f>(-5-((((-5*(-5/((-5/(((-5*(-12.4--5))-(-5+((-5*-12.4)*(((-5--5)+(-12.4--5))+-12.4))))-(-5+-5)))*-5)))/-5)--5)+(-5*(((-12.4*(-12.4-(-5/-5)))*(-12.4-(-12.4/(-5*-12.4))))-(-5/-5)))))</f>
        <v>-9894.84</v>
      </c>
      <c r="C8761" t="n" s="0">
        <v>-9894.840000000002</v>
      </c>
    </row>
    <row r="8762">
      <c r="A8762" t="n" s="0">
        <v>-12.39</v>
      </c>
      <c r="B8762" t="n" s="0">
        <f>(-5-((((-5*(-5/((-5/(((-5*(-12.39--5))-(-5+((-5*-12.39)*(((-5--5)+(-12.39--5))+-12.39))))-(-5+-5)))*-5)))/-5)--5)+(-5*(((-12.39*(-12.39-(-5/-5)))*(-12.39-(-12.39/(-5*-12.39))))-(-5/-5)))))</f>
        <v>-9871.268795</v>
      </c>
      <c r="C8762" t="n" s="0">
        <v>-9871.268795000002</v>
      </c>
    </row>
    <row r="8763">
      <c r="A8763" t="n" s="0">
        <v>-12.38</v>
      </c>
      <c r="B8763" t="n" s="0">
        <f>(-5-((((-5*(-5/((-5/(((-5*(-12.38--5))-(-5+((-5*-12.38)*(((-5--5)+(-12.38--5))+-12.38))))-(-5+-5)))*-5)))/-5)--5)+(-5*(((-12.38*(-12.38-(-5/-5)))*(-12.38-(-12.38/(-5*-12.38))))-(-5/-5)))))</f>
        <v>-9847.73516</v>
      </c>
      <c r="C8763" t="n" s="0">
        <v>-9847.735160000002</v>
      </c>
    </row>
    <row r="8764">
      <c r="A8764" t="n" s="0">
        <v>-12.37</v>
      </c>
      <c r="B8764" t="n" s="0">
        <f>(-5-((((-5*(-5/((-5/(((-5*(-12.37--5))-(-5+((-5*-12.37)*(((-5--5)+(-12.37--5))+-12.37))))-(-5+-5)))*-5)))/-5)--5)+(-5*(((-12.37*(-12.37-(-5/-5)))*(-12.37-(-12.37/(-5*-12.37))))-(-5/-5)))))</f>
        <v>-9824.239065</v>
      </c>
      <c r="C8764" t="n" s="0">
        <v>-9824.239064999998</v>
      </c>
    </row>
    <row r="8765">
      <c r="A8765" t="n" s="0">
        <v>-12.36</v>
      </c>
      <c r="B8765" t="n" s="0">
        <f>(-5-((((-5*(-5/((-5/(((-5*(-12.36--5))-(-5+((-5*-12.36)*(((-5--5)+(-12.36--5))+-12.36))))-(-5+-5)))*-5)))/-5)--5)+(-5*(((-12.36*(-12.36-(-5/-5)))*(-12.36-(-12.36/(-5*-12.36))))-(-5/-5)))))</f>
        <v>-9800.78048</v>
      </c>
      <c r="C8765" t="n" s="0">
        <v>-9800.780479999998</v>
      </c>
    </row>
    <row r="8766">
      <c r="A8766" t="n" s="0">
        <v>-12.35</v>
      </c>
      <c r="B8766" t="n" s="0">
        <f>(-5-((((-5*(-5/((-5/(((-5*(-12.35--5))-(-5+((-5*-12.35)*(((-5--5)+(-12.35--5))+-12.35))))-(-5+-5)))*-5)))/-5)--5)+(-5*(((-12.35*(-12.35-(-5/-5)))*(-12.35-(-12.35/(-5*-12.35))))-(-5/-5)))))</f>
        <v>-9777.359375</v>
      </c>
      <c r="C8766" t="n" s="0">
        <v>-9777.359374999998</v>
      </c>
    </row>
    <row r="8767">
      <c r="A8767" t="n" s="0">
        <v>-12.34</v>
      </c>
      <c r="B8767" t="n" s="0">
        <f>(-5-((((-5*(-5/((-5/(((-5*(-12.34--5))-(-5+((-5*-12.34)*(((-5--5)+(-12.34--5))+-12.34))))-(-5+-5)))*-5)))/-5)--5)+(-5*(((-12.34*(-12.34-(-5/-5)))*(-12.34-(-12.34/(-5*-12.34))))-(-5/-5)))))</f>
        <v>-9753.97572</v>
      </c>
      <c r="C8767" t="n" s="0">
        <v>-9753.97572</v>
      </c>
    </row>
    <row r="8768">
      <c r="A8768" t="n" s="0">
        <v>-12.33</v>
      </c>
      <c r="B8768" t="n" s="0">
        <f>(-5-((((-5*(-5/((-5/(((-5*(-12.33--5))-(-5+((-5*-12.33)*(((-5--5)+(-12.33--5))+-12.33))))-(-5+-5)))*-5)))/-5)--5)+(-5*(((-12.33*(-12.33-(-5/-5)))*(-12.33-(-12.33/(-5*-12.33))))-(-5/-5)))))</f>
        <v>-9730.629484999998</v>
      </c>
      <c r="C8768" t="n" s="0">
        <v>-9730.629485000001</v>
      </c>
    </row>
    <row r="8769">
      <c r="A8769" t="n" s="0">
        <v>-12.32</v>
      </c>
      <c r="B8769" t="n" s="0">
        <f>(-5-((((-5*(-5/((-5/(((-5*(-12.32--5))-(-5+((-5*-12.32)*(((-5--5)+(-12.32--5))+-12.32))))-(-5+-5)))*-5)))/-5)--5)+(-5*(((-12.32*(-12.32-(-5/-5)))*(-12.32-(-12.32/(-5*-12.32))))-(-5/-5)))))</f>
        <v>-9707.32064</v>
      </c>
      <c r="C8769" t="n" s="0">
        <v>-9707.32064</v>
      </c>
    </row>
    <row r="8770">
      <c r="A8770" t="n" s="0">
        <v>-12.31</v>
      </c>
      <c r="B8770" t="n" s="0">
        <f>(-5-((((-5*(-5/((-5/(((-5*(-12.31--5))-(-5+((-5*-12.31)*(((-5--5)+(-12.31--5))+-12.31))))-(-5+-5)))*-5)))/-5)--5)+(-5*(((-12.31*(-12.31-(-5/-5)))*(-12.31-(-12.31/(-5*-12.31))))-(-5/-5)))))</f>
        <v>-9684.049154999999</v>
      </c>
      <c r="C8770" t="n" s="0">
        <v>-9684.049155000002</v>
      </c>
    </row>
    <row r="8771">
      <c r="A8771" t="n" s="0">
        <v>-12.3</v>
      </c>
      <c r="B8771" t="n" s="0">
        <f>(-5-((((-5*(-5/((-5/(((-5*(-12.3--5))-(-5+((-5*-12.3)*(((-5--5)+(-12.3--5))+-12.3))))-(-5+-5)))*-5)))/-5)--5)+(-5*(((-12.3*(-12.3-(-5/-5)))*(-12.3-(-12.3/(-5*-12.3))))-(-5/-5)))))</f>
        <v>-9660.815</v>
      </c>
      <c r="C8771" t="n" s="0">
        <v>-9660.815000000002</v>
      </c>
    </row>
    <row r="8772">
      <c r="A8772" t="n" s="0">
        <v>-12.29</v>
      </c>
      <c r="B8772" t="n" s="0">
        <f>(-5-((((-5*(-5/((-5/(((-5*(-12.29--5))-(-5+((-5*-12.29)*(((-5--5)+(-12.29--5))+-12.29))))-(-5+-5)))*-5)))/-5)--5)+(-5*(((-12.29*(-12.29-(-5/-5)))*(-12.29-(-12.29/(-5*-12.29))))-(-5/-5)))))</f>
        <v>-9637.618145</v>
      </c>
      <c r="C8772" t="n" s="0">
        <v>-9637.618144999999</v>
      </c>
    </row>
    <row r="8773">
      <c r="A8773" t="n" s="0">
        <v>-12.28</v>
      </c>
      <c r="B8773" t="n" s="0">
        <f>(-5-((((-5*(-5/((-5/(((-5*(-12.28--5))-(-5+((-5*-12.28)*(((-5--5)+(-12.28--5))+-12.28))))-(-5+-5)))*-5)))/-5)--5)+(-5*(((-12.28*(-12.28-(-5/-5)))*(-12.28-(-12.28/(-5*-12.28))))-(-5/-5)))))</f>
        <v>-9614.45856</v>
      </c>
      <c r="C8773" t="n" s="0">
        <v>-9614.458559999997</v>
      </c>
    </row>
    <row r="8774">
      <c r="A8774" t="n" s="0">
        <v>-12.27</v>
      </c>
      <c r="B8774" t="n" s="0">
        <f>(-5-((((-5*(-5/((-5/(((-5*(-12.27--5))-(-5+((-5*-12.27)*(((-5--5)+(-12.27--5))+-12.27))))-(-5+-5)))*-5)))/-5)--5)+(-5*(((-12.27*(-12.27-(-5/-5)))*(-12.27-(-12.27/(-5*-12.27))))-(-5/-5)))))</f>
        <v>-9591.336215000001</v>
      </c>
      <c r="C8774" t="n" s="0">
        <v>-9591.336214999998</v>
      </c>
    </row>
    <row r="8775">
      <c r="A8775" t="n" s="0">
        <v>-12.26</v>
      </c>
      <c r="B8775" t="n" s="0">
        <f>(-5-((((-5*(-5/((-5/(((-5*(-12.26--5))-(-5+((-5*-12.26)*(((-5--5)+(-12.26--5))+-12.26))))-(-5+-5)))*-5)))/-5)--5)+(-5*(((-12.26*(-12.26-(-5/-5)))*(-12.26-(-12.26/(-5*-12.26))))-(-5/-5)))))</f>
        <v>-9568.25108</v>
      </c>
      <c r="C8775" t="n" s="0">
        <v>-9568.25108</v>
      </c>
    </row>
    <row r="8776">
      <c r="A8776" t="n" s="0">
        <v>-12.25</v>
      </c>
      <c r="B8776" t="n" s="0">
        <f>(-5-((((-5*(-5/((-5/(((-5*(-12.25--5))-(-5+((-5*-12.25)*(((-5--5)+(-12.25--5))+-12.25))))-(-5+-5)))*-5)))/-5)--5)+(-5*(((-12.25*(-12.25-(-5/-5)))*(-12.25-(-12.25/(-5*-12.25))))-(-5/-5)))))</f>
        <v>-9545.203125</v>
      </c>
      <c r="C8776" t="n" s="0">
        <v>-9545.203125</v>
      </c>
    </row>
    <row r="8777">
      <c r="A8777" t="n" s="0">
        <v>-12.24</v>
      </c>
      <c r="B8777" t="n" s="0">
        <f>(-5-((((-5*(-5/((-5/(((-5*(-12.24--5))-(-5+((-5*-12.24)*(((-5--5)+(-12.24--5))+-12.24))))-(-5+-5)))*-5)))/-5)--5)+(-5*(((-12.24*(-12.24-(-5/-5)))*(-12.24-(-12.24/(-5*-12.24))))-(-5/-5)))))</f>
        <v>-9522.192320000002</v>
      </c>
      <c r="C8777" t="n" s="0">
        <v>-9522.19232</v>
      </c>
    </row>
    <row r="8778">
      <c r="A8778" t="n" s="0">
        <v>-12.23</v>
      </c>
      <c r="B8778" t="n" s="0">
        <f>(-5-((((-5*(-5/((-5/(((-5*(-12.23--5))-(-5+((-5*-12.23)*(((-5--5)+(-12.23--5))+-12.23))))-(-5+-5)))*-5)))/-5)--5)+(-5*(((-12.23*(-12.23-(-5/-5)))*(-12.23-(-12.23/(-5*-12.23))))-(-5/-5)))))</f>
        <v>-9499.218635000001</v>
      </c>
      <c r="C8778" t="n" s="0">
        <v>-9499.218635000001</v>
      </c>
    </row>
    <row r="8779">
      <c r="A8779" t="n" s="0">
        <v>-12.22</v>
      </c>
      <c r="B8779" t="n" s="0">
        <f>(-5-((((-5*(-5/((-5/(((-5*(-12.22--5))-(-5+((-5*-12.22)*(((-5--5)+(-12.22--5))+-12.22))))-(-5+-5)))*-5)))/-5)--5)+(-5*(((-12.22*(-12.22-(-5/-5)))*(-12.22-(-12.22/(-5*-12.22))))-(-5/-5)))))</f>
        <v>-9476.282039999998</v>
      </c>
      <c r="C8779" t="n" s="0">
        <v>-9476.282040000002</v>
      </c>
    </row>
    <row r="8780">
      <c r="A8780" t="n" s="0">
        <v>-12.21</v>
      </c>
      <c r="B8780" t="n" s="0">
        <f>(-5-((((-5*(-5/((-5/(((-5*(-12.21--5))-(-5+((-5*-12.21)*(((-5--5)+(-12.21--5))+-12.21))))-(-5+-5)))*-5)))/-5)--5)+(-5*(((-12.21*(-12.21-(-5/-5)))*(-12.21-(-12.21/(-5*-12.21))))-(-5/-5)))))</f>
        <v>-9453.382505</v>
      </c>
      <c r="C8780" t="n" s="0">
        <v>-9453.382505000001</v>
      </c>
    </row>
    <row r="8781">
      <c r="A8781" t="n" s="0">
        <v>-12.2</v>
      </c>
      <c r="B8781" t="n" s="0">
        <f>(-5-((((-5*(-5/((-5/(((-5*(-12.2--5))-(-5+((-5*-12.2)*(((-5--5)+(-12.2--5))+-12.2))))-(-5+-5)))*-5)))/-5)--5)+(-5*(((-12.2*(-12.2-(-5/-5)))*(-12.2-(-12.2/(-5*-12.2))))-(-5/-5)))))</f>
        <v>-9430.52</v>
      </c>
      <c r="C8781" t="n" s="0">
        <v>-9430.519999999999</v>
      </c>
    </row>
    <row r="8782">
      <c r="A8782" t="n" s="0">
        <v>-12.19</v>
      </c>
      <c r="B8782" t="n" s="0">
        <f>(-5-((((-5*(-5/((-5/(((-5*(-12.19--5))-(-5+((-5*-12.19)*(((-5--5)+(-12.19--5))+-12.19))))-(-5+-5)))*-5)))/-5)--5)+(-5*(((-12.19*(-12.19-(-5/-5)))*(-12.19-(-12.19/(-5*-12.19))))-(-5/-5)))))</f>
        <v>-9407.694495000002</v>
      </c>
      <c r="C8782" t="n" s="0">
        <v>-9407.694494999998</v>
      </c>
    </row>
    <row r="8783">
      <c r="A8783" t="n" s="0">
        <v>-12.18</v>
      </c>
      <c r="B8783" t="n" s="0">
        <f>(-5-((((-5*(-5/((-5/(((-5*(-12.18--5))-(-5+((-5*-12.18)*(((-5--5)+(-12.18--5))+-12.18))))-(-5+-5)))*-5)))/-5)--5)+(-5*(((-12.18*(-12.18-(-5/-5)))*(-12.18-(-12.18/(-5*-12.18))))-(-5/-5)))))</f>
        <v>-9384.90596</v>
      </c>
      <c r="C8783" t="n" s="0">
        <v>-9384.90596</v>
      </c>
    </row>
    <row r="8784">
      <c r="A8784" t="n" s="0">
        <v>-12.17</v>
      </c>
      <c r="B8784" t="n" s="0">
        <f>(-5-((((-5*(-5/((-5/(((-5*(-12.17--5))-(-5+((-5*-12.17)*(((-5--5)+(-12.17--5))+-12.17))))-(-5+-5)))*-5)))/-5)--5)+(-5*(((-12.17*(-12.17-(-5/-5)))*(-12.17-(-12.17/(-5*-12.17))))-(-5/-5)))))</f>
        <v>-9362.154365</v>
      </c>
      <c r="C8784" t="n" s="0">
        <v>-9362.154365</v>
      </c>
    </row>
    <row r="8785">
      <c r="A8785" t="n" s="0">
        <v>-12.16</v>
      </c>
      <c r="B8785" t="n" s="0">
        <f>(-5-((((-5*(-5/((-5/(((-5*(-12.16--5))-(-5+((-5*-12.16)*(((-5--5)+(-12.16--5))+-12.16))))-(-5+-5)))*-5)))/-5)--5)+(-5*(((-12.16*(-12.16-(-5/-5)))*(-12.16-(-12.16/(-5*-12.16))))-(-5/-5)))))</f>
        <v>-9339.43968</v>
      </c>
      <c r="C8785" t="n" s="0">
        <v>-9339.439680000001</v>
      </c>
    </row>
    <row r="8786">
      <c r="A8786" t="n" s="0">
        <v>-12.15</v>
      </c>
      <c r="B8786" t="n" s="0">
        <f>(-5-((((-5*(-5/((-5/(((-5*(-12.15--5))-(-5+((-5*-12.15)*(((-5--5)+(-12.15--5))+-12.15))))-(-5+-5)))*-5)))/-5)--5)+(-5*(((-12.15*(-12.15-(-5/-5)))*(-12.15-(-12.15/(-5*-12.15))))-(-5/-5)))))</f>
        <v>-9316.761875</v>
      </c>
      <c r="C8786" t="n" s="0">
        <v>-9316.761875000002</v>
      </c>
    </row>
    <row r="8787">
      <c r="A8787" t="n" s="0">
        <v>-12.14</v>
      </c>
      <c r="B8787" t="n" s="0">
        <f>(-5-((((-5*(-5/((-5/(((-5*(-12.14--5))-(-5+((-5*-12.14)*(((-5--5)+(-12.14--5))+-12.14))))-(-5+-5)))*-5)))/-5)--5)+(-5*(((-12.14*(-12.14-(-5/-5)))*(-12.14-(-12.14/(-5*-12.14))))-(-5/-5)))))</f>
        <v>-9294.120919999998</v>
      </c>
      <c r="C8787" t="n" s="0">
        <v>-9294.120920000001</v>
      </c>
    </row>
    <row r="8788">
      <c r="A8788" t="n" s="0">
        <v>-12.13</v>
      </c>
      <c r="B8788" t="n" s="0">
        <f>(-5-((((-5*(-5/((-5/(((-5*(-12.13--5))-(-5+((-5*-12.13)*(((-5--5)+(-12.13--5))+-12.13))))-(-5+-5)))*-5)))/-5)--5)+(-5*(((-12.13*(-12.13-(-5/-5)))*(-12.13-(-12.13/(-5*-12.13))))-(-5/-5)))))</f>
        <v>-9271.516785</v>
      </c>
      <c r="C8788" t="n" s="0">
        <v>-9271.516785000002</v>
      </c>
    </row>
    <row r="8789">
      <c r="A8789" t="n" s="0">
        <v>-12.12</v>
      </c>
      <c r="B8789" t="n" s="0">
        <f>(-5-((((-5*(-5/((-5/(((-5*(-12.12--5))-(-5+((-5*-12.12)*(((-5--5)+(-12.12--5))+-12.12))))-(-5+-5)))*-5)))/-5)--5)+(-5*(((-12.12*(-12.12-(-5/-5)))*(-12.12-(-12.12/(-5*-12.12))))-(-5/-5)))))</f>
        <v>-9248.949439999999</v>
      </c>
      <c r="C8789" t="n" s="0">
        <v>-9248.949439999999</v>
      </c>
    </row>
    <row r="8790">
      <c r="A8790" t="n" s="0">
        <v>-12.11</v>
      </c>
      <c r="B8790" t="n" s="0">
        <f>(-5-((((-5*(-5/((-5/(((-5*(-12.11--5))-(-5+((-5*-12.11)*(((-5--5)+(-12.11--5))+-12.11))))-(-5+-5)))*-5)))/-5)--5)+(-5*(((-12.11*(-12.11-(-5/-5)))*(-12.11-(-12.11/(-5*-12.11))))-(-5/-5)))))</f>
        <v>-9226.418855</v>
      </c>
      <c r="C8790" t="n" s="0">
        <v>-9226.418855</v>
      </c>
    </row>
    <row r="8791">
      <c r="A8791" t="n" s="0">
        <v>-12.1</v>
      </c>
      <c r="B8791" t="n" s="0">
        <f>(-5-((((-5*(-5/((-5/(((-5*(-12.1--5))-(-5+((-5*-12.1)*(((-5--5)+(-12.1--5))+-12.1))))-(-5+-5)))*-5)))/-5)--5)+(-5*(((-12.1*(-12.1-(-5/-5)))*(-12.1-(-12.1/(-5*-12.1))))-(-5/-5)))))</f>
        <v>-9203.925</v>
      </c>
      <c r="C8791" t="n" s="0">
        <v>-9203.925</v>
      </c>
    </row>
    <row r="8792">
      <c r="A8792" t="n" s="0">
        <v>-12.09</v>
      </c>
      <c r="B8792" t="n" s="0">
        <f>(-5-((((-5*(-5/((-5/(((-5*(-12.09--5))-(-5+((-5*-12.09)*(((-5--5)+(-12.09--5))+-12.09))))-(-5+-5)))*-5)))/-5)--5)+(-5*(((-12.09*(-12.09-(-5/-5)))*(-12.09-(-12.09/(-5*-12.09))))-(-5/-5)))))</f>
        <v>-9181.467845000001</v>
      </c>
      <c r="C8792" t="n" s="0">
        <v>-9181.467845000001</v>
      </c>
    </row>
    <row r="8793">
      <c r="A8793" t="n" s="0">
        <v>-12.08</v>
      </c>
      <c r="B8793" t="n" s="0">
        <f>(-5-((((-5*(-5/((-5/(((-5*(-12.08--5))-(-5+((-5*-12.08)*(((-5--5)+(-12.08--5))+-12.08))))-(-5+-5)))*-5)))/-5)--5)+(-5*(((-12.08*(-12.08-(-5/-5)))*(-12.08-(-12.08/(-5*-12.08))))-(-5/-5)))))</f>
        <v>-9159.047359999999</v>
      </c>
      <c r="C8793" t="n" s="0">
        <v>-9159.04736</v>
      </c>
    </row>
    <row r="8794">
      <c r="A8794" t="n" s="0">
        <v>-12.07</v>
      </c>
      <c r="B8794" t="n" s="0">
        <f>(-5-((((-5*(-5/((-5/(((-5*(-12.07--5))-(-5+((-5*-12.07)*(((-5--5)+(-12.07--5))+-12.07))))-(-5+-5)))*-5)))/-5)--5)+(-5*(((-12.07*(-12.07-(-5/-5)))*(-12.07-(-12.07/(-5*-12.07))))-(-5/-5)))))</f>
        <v>-9136.663515</v>
      </c>
      <c r="C8794" t="n" s="0">
        <v>-9136.663515</v>
      </c>
    </row>
    <row r="8795">
      <c r="A8795" t="n" s="0">
        <v>-12.06</v>
      </c>
      <c r="B8795" t="n" s="0">
        <f>(-5-((((-5*(-5/((-5/(((-5*(-12.06--5))-(-5+((-5*-12.06)*(((-5--5)+(-12.06--5))+-12.06))))-(-5+-5)))*-5)))/-5)--5)+(-5*(((-12.06*(-12.06-(-5/-5)))*(-12.06-(-12.06/(-5*-12.06))))-(-5/-5)))))</f>
        <v>-9114.316280000001</v>
      </c>
      <c r="C8795" t="n" s="0">
        <v>-9114.316280000001</v>
      </c>
    </row>
    <row r="8796">
      <c r="A8796" t="n" s="0">
        <v>-12.05</v>
      </c>
      <c r="B8796" t="n" s="0">
        <f>(-5-((((-5*(-5/((-5/(((-5*(-12.05--5))-(-5+((-5*-12.05)*(((-5--5)+(-12.05--5))+-12.05))))-(-5+-5)))*-5)))/-5)--5)+(-5*(((-12.05*(-12.05-(-5/-5)))*(-12.05-(-12.05/(-5*-12.05))))-(-5/-5)))))</f>
        <v>-9092.005624999998</v>
      </c>
      <c r="C8796" t="n" s="0">
        <v>-9092.005625000002</v>
      </c>
    </row>
    <row r="8797">
      <c r="A8797" t="n" s="0">
        <v>-12.04</v>
      </c>
      <c r="B8797" t="n" s="0">
        <f>(-5-((((-5*(-5/((-5/(((-5*(-12.04--5))-(-5+((-5*-12.04)*(((-5--5)+(-12.04--5))+-12.04))))-(-5+-5)))*-5)))/-5)--5)+(-5*(((-12.04*(-12.04-(-5/-5)))*(-12.04-(-12.04/(-5*-12.04))))-(-5/-5)))))</f>
        <v>-9069.731520000001</v>
      </c>
      <c r="C8797" t="n" s="0">
        <v>-9069.731519999998</v>
      </c>
    </row>
    <row r="8798">
      <c r="A8798" t="n" s="0">
        <v>-12.03</v>
      </c>
      <c r="B8798" t="n" s="0">
        <f>(-5-((((-5*(-5/((-5/(((-5*(-12.03--5))-(-5+((-5*-12.03)*(((-5--5)+(-12.03--5))+-12.03))))-(-5+-5)))*-5)))/-5)--5)+(-5*(((-12.03*(-12.03-(-5/-5)))*(-12.03-(-12.03/(-5*-12.03))))-(-5/-5)))))</f>
        <v>-9047.493935</v>
      </c>
      <c r="C8798" t="n" s="0">
        <v>-9047.493934999999</v>
      </c>
    </row>
    <row r="8799">
      <c r="A8799" t="n" s="0">
        <v>-12.02</v>
      </c>
      <c r="B8799" t="n" s="0">
        <f>(-5-((((-5*(-5/((-5/(((-5*(-12.02--5))-(-5+((-5*-12.02)*(((-5--5)+(-12.02--5))+-12.02))))-(-5+-5)))*-5)))/-5)--5)+(-5*(((-12.02*(-12.02-(-5/-5)))*(-12.02-(-12.02/(-5*-12.02))))-(-5/-5)))))</f>
        <v>-9025.29284</v>
      </c>
      <c r="C8799" t="n" s="0">
        <v>-9025.29284</v>
      </c>
    </row>
    <row r="8800">
      <c r="A8800" t="n" s="0">
        <v>-12.01</v>
      </c>
      <c r="B8800" t="n" s="0">
        <f>(-5-((((-5*(-5/((-5/(((-5*(-12.01--5))-(-5+((-5*-12.01)*(((-5--5)+(-12.01--5))+-12.01))))-(-5+-5)))*-5)))/-5)--5)+(-5*(((-12.01*(-12.01-(-5/-5)))*(-12.01-(-12.01/(-5*-12.01))))-(-5/-5)))))</f>
        <v>-9003.128204999997</v>
      </c>
      <c r="C8800" t="n" s="0">
        <v>-9003.128204999999</v>
      </c>
    </row>
    <row r="8801">
      <c r="A8801" t="n" s="0">
        <v>-12.0</v>
      </c>
      <c r="B8801" t="n" s="0">
        <f>(-5-((((-5*(-5/((-5/(((-5*(-12--5))-(-5+((-5*-12)*(((-5--5)+(-12--5))+-12))))-(-5+-5)))*-5)))/-5)--5)+(-5*(((-12*(-12-(-5/-5)))*(-12-(-12/(-5*-12))))-(-5/-5)))))</f>
        <v>-8981.0</v>
      </c>
      <c r="C8801" t="n" s="0">
        <v>-8981.0</v>
      </c>
    </row>
    <row r="8802">
      <c r="A8802" t="n" s="0">
        <v>-11.99</v>
      </c>
      <c r="B8802" t="n" s="0">
        <f>(-5-((((-5*(-5/((-5/(((-5*(-11.99--5))-(-5+((-5*-11.99)*(((-5--5)+(-11.99--5))+-11.99))))-(-5+-5)))*-5)))/-5)--5)+(-5*(((-11.99*(-11.99-(-5/-5)))*(-11.99-(-11.99/(-5*-11.99))))-(-5/-5)))))</f>
        <v>-8958.908195</v>
      </c>
      <c r="C8802" t="n" s="0">
        <v>-8958.908195000002</v>
      </c>
    </row>
    <row r="8803">
      <c r="A8803" t="n" s="0">
        <v>-11.98</v>
      </c>
      <c r="B8803" t="n" s="0">
        <f>(-5-((((-5*(-5/((-5/(((-5*(-11.98--5))-(-5+((-5*-11.98)*(((-5--5)+(-11.98--5))+-11.98))))-(-5+-5)))*-5)))/-5)--5)+(-5*(((-11.98*(-11.98-(-5/-5)))*(-11.98-(-11.98/(-5*-11.98))))-(-5/-5)))))</f>
        <v>-8936.85276</v>
      </c>
      <c r="C8803" t="n" s="0">
        <v>-8936.852760000002</v>
      </c>
    </row>
    <row r="8804">
      <c r="A8804" t="n" s="0">
        <v>-11.97</v>
      </c>
      <c r="B8804" t="n" s="0">
        <f>(-5-((((-5*(-5/((-5/(((-5*(-11.97--5))-(-5+((-5*-11.97)*(((-5--5)+(-11.97--5))+-11.97))))-(-5+-5)))*-5)))/-5)--5)+(-5*(((-11.97*(-11.97-(-5/-5)))*(-11.97-(-11.97/(-5*-11.97))))-(-5/-5)))))</f>
        <v>-8914.833664999998</v>
      </c>
      <c r="C8804" t="n" s="0">
        <v>-8914.833665</v>
      </c>
    </row>
    <row r="8805">
      <c r="A8805" t="n" s="0">
        <v>-11.96</v>
      </c>
      <c r="B8805" t="n" s="0">
        <f>(-5-((((-5*(-5/((-5/(((-5*(-11.96--5))-(-5+((-5*-11.96)*(((-5--5)+(-11.96--5))+-11.96))))-(-5+-5)))*-5)))/-5)--5)+(-5*(((-11.96*(-11.96-(-5/-5)))*(-11.96-(-11.96/(-5*-11.96))))-(-5/-5)))))</f>
        <v>-8892.85088</v>
      </c>
      <c r="C8805" t="n" s="0">
        <v>-8892.85088</v>
      </c>
    </row>
    <row r="8806">
      <c r="A8806" t="n" s="0">
        <v>-11.95</v>
      </c>
      <c r="B8806" t="n" s="0">
        <f>(-5-((((-5*(-5/((-5/(((-5*(-11.95--5))-(-5+((-5*-11.95)*(((-5--5)+(-11.95--5))+-11.95))))-(-5+-5)))*-5)))/-5)--5)+(-5*(((-11.95*(-11.95-(-5/-5)))*(-11.95-(-11.95/(-5*-11.95))))-(-5/-5)))))</f>
        <v>-8870.904375</v>
      </c>
      <c r="C8806" t="n" s="0">
        <v>-8870.904374999998</v>
      </c>
    </row>
    <row r="8807">
      <c r="A8807" t="n" s="0">
        <v>-11.94</v>
      </c>
      <c r="B8807" t="n" s="0">
        <f>(-5-((((-5*(-5/((-5/(((-5*(-11.94--5))-(-5+((-5*-11.94)*(((-5--5)+(-11.94--5))+-11.94))))-(-5+-5)))*-5)))/-5)--5)+(-5*(((-11.94*(-11.94-(-5/-5)))*(-11.94-(-11.94/(-5*-11.94))))-(-5/-5)))))</f>
        <v>-8848.99412</v>
      </c>
      <c r="C8807" t="n" s="0">
        <v>-8848.99412</v>
      </c>
    </row>
    <row r="8808">
      <c r="A8808" t="n" s="0">
        <v>-11.93</v>
      </c>
      <c r="B8808" t="n" s="0">
        <f>(-5-((((-5*(-5/((-5/(((-5*(-11.93--5))-(-5+((-5*-11.93)*(((-5--5)+(-11.93--5))+-11.93))))-(-5+-5)))*-5)))/-5)--5)+(-5*(((-11.93*(-11.93-(-5/-5)))*(-11.93-(-11.93/(-5*-11.93))))-(-5/-5)))))</f>
        <v>-8827.120085</v>
      </c>
      <c r="C8808" t="n" s="0">
        <v>-8827.120084999999</v>
      </c>
    </row>
    <row r="8809">
      <c r="A8809" t="n" s="0">
        <v>-11.92</v>
      </c>
      <c r="B8809" t="n" s="0">
        <f>(-5-((((-5*(-5/((-5/(((-5*(-11.92--5))-(-5+((-5*-11.92)*(((-5--5)+(-11.92--5))+-11.92))))-(-5+-5)))*-5)))/-5)--5)+(-5*(((-11.92*(-11.92-(-5/-5)))*(-11.92-(-11.92/(-5*-11.92))))-(-5/-5)))))</f>
        <v>-8805.28224</v>
      </c>
      <c r="C8809" t="n" s="0">
        <v>-8805.28224</v>
      </c>
    </row>
    <row r="8810">
      <c r="A8810" t="n" s="0">
        <v>-11.91</v>
      </c>
      <c r="B8810" t="n" s="0">
        <f>(-5-((((-5*(-5/((-5/(((-5*(-11.91--5))-(-5+((-5*-11.91)*(((-5--5)+(-11.91--5))+-11.91))))-(-5+-5)))*-5)))/-5)--5)+(-5*(((-11.91*(-11.91-(-5/-5)))*(-11.91-(-11.91/(-5*-11.91))))-(-5/-5)))))</f>
        <v>-8783.480554999998</v>
      </c>
      <c r="C8810" t="n" s="0">
        <v>-8783.480555</v>
      </c>
    </row>
    <row r="8811">
      <c r="A8811" t="n" s="0">
        <v>-11.9</v>
      </c>
      <c r="B8811" t="n" s="0">
        <f>(-5-((((-5*(-5/((-5/(((-5*(-11.9--5))-(-5+((-5*-11.9)*(((-5--5)+(-11.9--5))+-11.9))))-(-5+-5)))*-5)))/-5)--5)+(-5*(((-11.9*(-11.9-(-5/-5)))*(-11.9-(-11.9/(-5*-11.9))))-(-5/-5)))))</f>
        <v>-8761.714999999998</v>
      </c>
      <c r="C8811" t="n" s="0">
        <v>-8761.715</v>
      </c>
    </row>
    <row r="8812">
      <c r="A8812" t="n" s="0">
        <v>-11.89</v>
      </c>
      <c r="B8812" t="n" s="0">
        <f>(-5-((((-5*(-5/((-5/(((-5*(-11.89--5))-(-5+((-5*-11.89)*(((-5--5)+(-11.89--5))+-11.89))))-(-5+-5)))*-5)))/-5)--5)+(-5*(((-11.89*(-11.89-(-5/-5)))*(-11.89-(-11.89/(-5*-11.89))))-(-5/-5)))))</f>
        <v>-8739.985545</v>
      </c>
      <c r="C8812" t="n" s="0">
        <v>-8739.985545000001</v>
      </c>
    </row>
    <row r="8813">
      <c r="A8813" t="n" s="0">
        <v>-11.88</v>
      </c>
      <c r="B8813" t="n" s="0">
        <f>(-5-((((-5*(-5/((-5/(((-5*(-11.88--5))-(-5+((-5*-11.88)*(((-5--5)+(-11.88--5))+-11.88))))-(-5+-5)))*-5)))/-5)--5)+(-5*(((-11.88*(-11.88-(-5/-5)))*(-11.88-(-11.88/(-5*-11.88))))-(-5/-5)))))</f>
        <v>-8718.29216</v>
      </c>
      <c r="C8813" t="n" s="0">
        <v>-8718.29216</v>
      </c>
    </row>
    <row r="8814">
      <c r="A8814" t="n" s="0">
        <v>-11.87</v>
      </c>
      <c r="B8814" t="n" s="0">
        <f>(-5-((((-5*(-5/((-5/(((-5*(-11.87--5))-(-5+((-5*-11.87)*(((-5--5)+(-11.87--5))+-11.87))))-(-5+-5)))*-5)))/-5)--5)+(-5*(((-11.87*(-11.87-(-5/-5)))*(-11.87-(-11.87/(-5*-11.87))))-(-5/-5)))))</f>
        <v>-8696.634815</v>
      </c>
      <c r="C8814" t="n" s="0">
        <v>-8696.634815</v>
      </c>
    </row>
    <row r="8815">
      <c r="A8815" t="n" s="0">
        <v>-11.86</v>
      </c>
      <c r="B8815" t="n" s="0">
        <f>(-5-((((-5*(-5/((-5/(((-5*(-11.86--5))-(-5+((-5*-11.86)*(((-5--5)+(-11.86--5))+-11.86))))-(-5+-5)))*-5)))/-5)--5)+(-5*(((-11.86*(-11.86-(-5/-5)))*(-11.86-(-11.86/(-5*-11.86))))-(-5/-5)))))</f>
        <v>-8675.013480000001</v>
      </c>
      <c r="C8815" t="n" s="0">
        <v>-8675.01348</v>
      </c>
    </row>
    <row r="8816">
      <c r="A8816" t="n" s="0">
        <v>-11.85</v>
      </c>
      <c r="B8816" t="n" s="0">
        <f>(-5-((((-5*(-5/((-5/(((-5*(-11.85--5))-(-5+((-5*-11.85)*(((-5--5)+(-11.85--5))+-11.85))))-(-5+-5)))*-5)))/-5)--5)+(-5*(((-11.85*(-11.85-(-5/-5)))*(-11.85-(-11.85/(-5*-11.85))))-(-5/-5)))))</f>
        <v>-8653.428125</v>
      </c>
      <c r="C8816" t="n" s="0">
        <v>-8653.428124999997</v>
      </c>
    </row>
    <row r="8817">
      <c r="A8817" t="n" s="0">
        <v>-11.84</v>
      </c>
      <c r="B8817" t="n" s="0">
        <f>(-5-((((-5*(-5/((-5/(((-5*(-11.84--5))-(-5+((-5*-11.84)*(((-5--5)+(-11.84--5))+-11.84))))-(-5+-5)))*-5)))/-5)--5)+(-5*(((-11.84*(-11.84-(-5/-5)))*(-11.84-(-11.84/(-5*-11.84))))-(-5/-5)))))</f>
        <v>-8631.878719999997</v>
      </c>
      <c r="C8817" t="n" s="0">
        <v>-8631.878719999999</v>
      </c>
    </row>
    <row r="8818">
      <c r="A8818" t="n" s="0">
        <v>-11.83</v>
      </c>
      <c r="B8818" t="n" s="0">
        <f>(-5-((((-5*(-5/((-5/(((-5*(-11.83--5))-(-5+((-5*-11.83)*(((-5--5)+(-11.83--5))+-11.83))))-(-5+-5)))*-5)))/-5)--5)+(-5*(((-11.83*(-11.83-(-5/-5)))*(-11.83-(-11.83/(-5*-11.83))))-(-5/-5)))))</f>
        <v>-8610.365235000003</v>
      </c>
      <c r="C8818" t="n" s="0">
        <v>-8610.365235000001</v>
      </c>
    </row>
    <row r="8819">
      <c r="A8819" t="n" s="0">
        <v>-11.82</v>
      </c>
      <c r="B8819" t="n" s="0">
        <f>(-5-((((-5*(-5/((-5/(((-5*(-11.82--5))-(-5+((-5*-11.82)*(((-5--5)+(-11.82--5))+-11.82))))-(-5+-5)))*-5)))/-5)--5)+(-5*(((-11.82*(-11.82-(-5/-5)))*(-11.82-(-11.82/(-5*-11.82))))-(-5/-5)))))</f>
        <v>-8588.88764</v>
      </c>
      <c r="C8819" t="n" s="0">
        <v>-8588.88764</v>
      </c>
    </row>
    <row r="8820">
      <c r="A8820" t="n" s="0">
        <v>-11.81</v>
      </c>
      <c r="B8820" t="n" s="0">
        <f>(-5-((((-5*(-5/((-5/(((-5*(-11.81--5))-(-5+((-5*-11.81)*(((-5--5)+(-11.81--5))+-11.81))))-(-5+-5)))*-5)))/-5)--5)+(-5*(((-11.81*(-11.81-(-5/-5)))*(-11.81-(-11.81/(-5*-11.81))))-(-5/-5)))))</f>
        <v>-8567.445905</v>
      </c>
      <c r="C8820" t="n" s="0">
        <v>-8567.445905</v>
      </c>
    </row>
    <row r="8821">
      <c r="A8821" t="n" s="0">
        <v>-11.8</v>
      </c>
      <c r="B8821" t="n" s="0">
        <f>(-5-((((-5*(-5/((-5/(((-5*(-11.8--5))-(-5+((-5*-11.8)*(((-5--5)+(-11.8--5))+-11.8))))-(-5+-5)))*-5)))/-5)--5)+(-5*(((-11.8*(-11.8-(-5/-5)))*(-11.8-(-11.8/(-5*-11.8))))-(-5/-5)))))</f>
        <v>-8546.039999999999</v>
      </c>
      <c r="C8821" t="n" s="0">
        <v>-8546.04</v>
      </c>
    </row>
    <row r="8822">
      <c r="A8822" t="n" s="0">
        <v>-11.79</v>
      </c>
      <c r="B8822" t="n" s="0">
        <f>(-5-((((-5*(-5/((-5/(((-5*(-11.79--5))-(-5+((-5*-11.79)*(((-5--5)+(-11.79--5))+-11.79))))-(-5+-5)))*-5)))/-5)--5)+(-5*(((-11.79*(-11.79-(-5/-5)))*(-11.79-(-11.79/(-5*-11.79))))-(-5/-5)))))</f>
        <v>-8524.669894999999</v>
      </c>
      <c r="C8822" t="n" s="0">
        <v>-8524.669894999999</v>
      </c>
    </row>
    <row r="8823">
      <c r="A8823" t="n" s="0">
        <v>-11.78</v>
      </c>
      <c r="B8823" t="n" s="0">
        <f>(-5-((((-5*(-5/((-5/(((-5*(-11.78--5))-(-5+((-5*-11.78)*(((-5--5)+(-11.78--5))+-11.78))))-(-5+-5)))*-5)))/-5)--5)+(-5*(((-11.78*(-11.78-(-5/-5)))*(-11.78-(-11.78/(-5*-11.78))))-(-5/-5)))))</f>
        <v>-8503.33556</v>
      </c>
      <c r="C8823" t="n" s="0">
        <v>-8503.33556</v>
      </c>
    </row>
    <row r="8824">
      <c r="A8824" t="n" s="0">
        <v>-11.77</v>
      </c>
      <c r="B8824" t="n" s="0">
        <f>(-5-((((-5*(-5/((-5/(((-5*(-11.77--5))-(-5+((-5*-11.77)*(((-5--5)+(-11.77--5))+-11.77))))-(-5+-5)))*-5)))/-5)--5)+(-5*(((-11.77*(-11.77-(-5/-5)))*(-11.77-(-11.77/(-5*-11.77))))-(-5/-5)))))</f>
        <v>-8482.036965</v>
      </c>
      <c r="C8824" t="n" s="0">
        <v>-8482.036965</v>
      </c>
    </row>
    <row r="8825">
      <c r="A8825" t="n" s="0">
        <v>-11.76</v>
      </c>
      <c r="B8825" t="n" s="0">
        <f>(-5-((((-5*(-5/((-5/(((-5*(-11.76--5))-(-5+((-5*-11.76)*(((-5--5)+(-11.76--5))+-11.76))))-(-5+-5)))*-5)))/-5)--5)+(-5*(((-11.76*(-11.76-(-5/-5)))*(-11.76-(-11.76/(-5*-11.76))))-(-5/-5)))))</f>
        <v>-8460.77408</v>
      </c>
      <c r="C8825" t="n" s="0">
        <v>-8460.774080000001</v>
      </c>
    </row>
    <row r="8826">
      <c r="A8826" t="n" s="0">
        <v>-11.75</v>
      </c>
      <c r="B8826" t="n" s="0">
        <f>(-5-((((-5*(-5/((-5/(((-5*(-11.75--5))-(-5+((-5*-11.75)*(((-5--5)+(-11.75--5))+-11.75))))-(-5+-5)))*-5)))/-5)--5)+(-5*(((-11.75*(-11.75-(-5/-5)))*(-11.75-(-11.75/(-5*-11.75))))-(-5/-5)))))</f>
        <v>-8439.546875</v>
      </c>
      <c r="C8826" t="n" s="0">
        <v>-8439.546875</v>
      </c>
    </row>
    <row r="8827">
      <c r="A8827" t="n" s="0">
        <v>-11.74</v>
      </c>
      <c r="B8827" t="n" s="0">
        <f>(-5-((((-5*(-5/((-5/(((-5*(-11.74--5))-(-5+((-5*-11.74)*(((-5--5)+(-11.74--5))+-11.74))))-(-5+-5)))*-5)))/-5)--5)+(-5*(((-11.74*(-11.74-(-5/-5)))*(-11.74-(-11.74/(-5*-11.74))))-(-5/-5)))))</f>
        <v>-8418.35532</v>
      </c>
      <c r="C8827" t="n" s="0">
        <v>-8418.35532</v>
      </c>
    </row>
    <row r="8828">
      <c r="A8828" t="n" s="0">
        <v>-11.73</v>
      </c>
      <c r="B8828" t="n" s="0">
        <f>(-5-((((-5*(-5/((-5/(((-5*(-11.73--5))-(-5+((-5*-11.73)*(((-5--5)+(-11.73--5))+-11.73))))-(-5+-5)))*-5)))/-5)--5)+(-5*(((-11.73*(-11.73-(-5/-5)))*(-11.73-(-11.73/(-5*-11.73))))-(-5/-5)))))</f>
        <v>-8397.199385</v>
      </c>
      <c r="C8828" t="n" s="0">
        <v>-8397.199385</v>
      </c>
    </row>
    <row r="8829">
      <c r="A8829" t="n" s="0">
        <v>-11.72</v>
      </c>
      <c r="B8829" t="n" s="0">
        <f>(-5-((((-5*(-5/((-5/(((-5*(-11.72--5))-(-5+((-5*-11.72)*(((-5--5)+(-11.72--5))+-11.72))))-(-5+-5)))*-5)))/-5)--5)+(-5*(((-11.72*(-11.72-(-5/-5)))*(-11.72-(-11.72/(-5*-11.72))))-(-5/-5)))))</f>
        <v>-8376.07904</v>
      </c>
      <c r="C8829" t="n" s="0">
        <v>-8376.07904</v>
      </c>
    </row>
    <row r="8830">
      <c r="A8830" t="n" s="0">
        <v>-11.71</v>
      </c>
      <c r="B8830" t="n" s="0">
        <f>(-5-((((-5*(-5/((-5/(((-5*(-11.71--5))-(-5+((-5*-11.71)*(((-5--5)+(-11.71--5))+-11.71))))-(-5+-5)))*-5)))/-5)--5)+(-5*(((-11.71*(-11.71-(-5/-5)))*(-11.71-(-11.71/(-5*-11.71))))-(-5/-5)))))</f>
        <v>-8354.994255</v>
      </c>
      <c r="C8830" t="n" s="0">
        <v>-8354.994255000001</v>
      </c>
    </row>
    <row r="8831">
      <c r="A8831" t="n" s="0">
        <v>-11.7</v>
      </c>
      <c r="B8831" t="n" s="0">
        <f>(-5-((((-5*(-5/((-5/(((-5*(-11.7--5))-(-5+((-5*-11.7)*(((-5--5)+(-11.7--5))+-11.7))))-(-5+-5)))*-5)))/-5)--5)+(-5*(((-11.7*(-11.7-(-5/-5)))*(-11.7-(-11.7/(-5*-11.7))))-(-5/-5)))))</f>
        <v>-8333.945</v>
      </c>
      <c r="C8831" t="n" s="0">
        <v>-8333.944999999998</v>
      </c>
    </row>
    <row r="8832">
      <c r="A8832" t="n" s="0">
        <v>-11.69</v>
      </c>
      <c r="B8832" t="n" s="0">
        <f>(-5-((((-5*(-5/((-5/(((-5*(-11.69--5))-(-5+((-5*-11.69)*(((-5--5)+(-11.69--5))+-11.69))))-(-5+-5)))*-5)))/-5)--5)+(-5*(((-11.69*(-11.69-(-5/-5)))*(-11.69-(-11.69/(-5*-11.69))))-(-5/-5)))))</f>
        <v>-8312.931245000002</v>
      </c>
      <c r="C8832" t="n" s="0">
        <v>-8312.931245</v>
      </c>
    </row>
    <row r="8833">
      <c r="A8833" t="n" s="0">
        <v>-11.68</v>
      </c>
      <c r="B8833" t="n" s="0">
        <f>(-5-((((-5*(-5/((-5/(((-5*(-11.68--5))-(-5+((-5*-11.68)*(((-5--5)+(-11.68--5))+-11.68))))-(-5+-5)))*-5)))/-5)--5)+(-5*(((-11.68*(-11.68-(-5/-5)))*(-11.68-(-11.68/(-5*-11.68))))-(-5/-5)))))</f>
        <v>-8291.952959999999</v>
      </c>
      <c r="C8833" t="n" s="0">
        <v>-8291.95296</v>
      </c>
    </row>
    <row r="8834">
      <c r="A8834" t="n" s="0">
        <v>-11.67</v>
      </c>
      <c r="B8834" t="n" s="0">
        <f>(-5-((((-5*(-5/((-5/(((-5*(-11.67--5))-(-5+((-5*-11.67)*(((-5--5)+(-11.67--5))+-11.67))))-(-5+-5)))*-5)))/-5)--5)+(-5*(((-11.67*(-11.67-(-5/-5)))*(-11.67-(-11.67/(-5*-11.67))))-(-5/-5)))))</f>
        <v>-8271.010115000001</v>
      </c>
      <c r="C8834" t="n" s="0">
        <v>-8271.010115</v>
      </c>
    </row>
    <row r="8835">
      <c r="A8835" t="n" s="0">
        <v>-11.66</v>
      </c>
      <c r="B8835" t="n" s="0">
        <f>(-5-((((-5*(-5/((-5/(((-5*(-11.66--5))-(-5+((-5*-11.66)*(((-5--5)+(-11.66--5))+-11.66))))-(-5+-5)))*-5)))/-5)--5)+(-5*(((-11.66*(-11.66-(-5/-5)))*(-11.66-(-11.66/(-5*-11.66))))-(-5/-5)))))</f>
        <v>-8250.10268</v>
      </c>
      <c r="C8835" t="n" s="0">
        <v>-8250.10268</v>
      </c>
    </row>
    <row r="8836">
      <c r="A8836" t="n" s="0">
        <v>-11.65</v>
      </c>
      <c r="B8836" t="n" s="0">
        <f>(-5-((((-5*(-5/((-5/(((-5*(-11.65--5))-(-5+((-5*-11.65)*(((-5--5)+(-11.65--5))+-11.65))))-(-5+-5)))*-5)))/-5)--5)+(-5*(((-11.65*(-11.65-(-5/-5)))*(-11.65-(-11.65/(-5*-11.65))))-(-5/-5)))))</f>
        <v>-8229.230625</v>
      </c>
      <c r="C8836" t="n" s="0">
        <v>-8229.230625</v>
      </c>
    </row>
    <row r="8837">
      <c r="A8837" t="n" s="0">
        <v>-11.64</v>
      </c>
      <c r="B8837" t="n" s="0">
        <f>(-5-((((-5*(-5/((-5/(((-5*(-11.64--5))-(-5+((-5*-11.64)*(((-5--5)+(-11.64--5))+-11.64))))-(-5+-5)))*-5)))/-5)--5)+(-5*(((-11.64*(-11.64-(-5/-5)))*(-11.64-(-11.64/(-5*-11.64))))-(-5/-5)))))</f>
        <v>-8208.39392</v>
      </c>
      <c r="C8837" t="n" s="0">
        <v>-8208.393920000002</v>
      </c>
    </row>
    <row r="8838">
      <c r="A8838" t="n" s="0">
        <v>-11.63</v>
      </c>
      <c r="B8838" t="n" s="0">
        <f>(-5-((((-5*(-5/((-5/(((-5*(-11.63--5))-(-5+((-5*-11.63)*(((-5--5)+(-11.63--5))+-11.63))))-(-5+-5)))*-5)))/-5)--5)+(-5*(((-11.63*(-11.63-(-5/-5)))*(-11.63-(-11.63/(-5*-11.63))))-(-5/-5)))))</f>
        <v>-8187.592534999998</v>
      </c>
      <c r="C8838" t="n" s="0">
        <v>-8187.592535000002</v>
      </c>
    </row>
    <row r="8839">
      <c r="A8839" t="n" s="0">
        <v>-11.62</v>
      </c>
      <c r="B8839" t="n" s="0">
        <f>(-5-((((-5*(-5/((-5/(((-5*(-11.62--5))-(-5+((-5*-11.62)*(((-5--5)+(-11.62--5))+-11.62))))-(-5+-5)))*-5)))/-5)--5)+(-5*(((-11.62*(-11.62-(-5/-5)))*(-11.62-(-11.62/(-5*-11.62))))-(-5/-5)))))</f>
        <v>-8166.82644</v>
      </c>
      <c r="C8839" t="n" s="0">
        <v>-8166.826439999998</v>
      </c>
    </row>
    <row r="8840">
      <c r="A8840" t="n" s="0">
        <v>-11.61</v>
      </c>
      <c r="B8840" t="n" s="0">
        <f>(-5-((((-5*(-5/((-5/(((-5*(-11.61--5))-(-5+((-5*-11.61)*(((-5--5)+(-11.61--5))+-11.61))))-(-5+-5)))*-5)))/-5)--5)+(-5*(((-11.61*(-11.61-(-5/-5)))*(-11.61-(-11.61/(-5*-11.61))))-(-5/-5)))))</f>
        <v>-8146.0956049999995</v>
      </c>
      <c r="C8840" t="n" s="0">
        <v>-8146.0956049999995</v>
      </c>
    </row>
    <row r="8841">
      <c r="A8841" t="n" s="0">
        <v>-11.6</v>
      </c>
      <c r="B8841" t="n" s="0">
        <f>(-5-((((-5*(-5/((-5/(((-5*(-11.6--5))-(-5+((-5*-11.6)*(((-5--5)+(-11.6--5))+-11.6))))-(-5+-5)))*-5)))/-5)--5)+(-5*(((-11.6*(-11.6-(-5/-5)))*(-11.6-(-11.6/(-5*-11.6))))-(-5/-5)))))</f>
        <v>-8125.400000000002</v>
      </c>
      <c r="C8841" t="n" s="0">
        <v>-8125.4</v>
      </c>
    </row>
    <row r="8842">
      <c r="A8842" t="n" s="0">
        <v>-11.59</v>
      </c>
      <c r="B8842" t="n" s="0">
        <f>(-5-((((-5*(-5/((-5/(((-5*(-11.59--5))-(-5+((-5*-11.59)*(((-5--5)+(-11.59--5))+-11.59))))-(-5+-5)))*-5)))/-5)--5)+(-5*(((-11.59*(-11.59-(-5/-5)))*(-11.59-(-11.59/(-5*-11.59))))-(-5/-5)))))</f>
        <v>-8104.739595</v>
      </c>
      <c r="C8842" t="n" s="0">
        <v>-8104.739595</v>
      </c>
    </row>
    <row r="8843">
      <c r="A8843" t="n" s="0">
        <v>-11.58</v>
      </c>
      <c r="B8843" t="n" s="0">
        <f>(-5-((((-5*(-5/((-5/(((-5*(-11.58--5))-(-5+((-5*-11.58)*(((-5--5)+(-11.58--5))+-11.58))))-(-5+-5)))*-5)))/-5)--5)+(-5*(((-11.58*(-11.58-(-5/-5)))*(-11.58-(-11.58/(-5*-11.58))))-(-5/-5)))))</f>
        <v>-8084.1143600000005</v>
      </c>
      <c r="C8843" t="n" s="0">
        <v>-8084.1143600000005</v>
      </c>
    </row>
    <row r="8844">
      <c r="A8844" t="n" s="0">
        <v>-11.57</v>
      </c>
      <c r="B8844" t="n" s="0">
        <f>(-5-((((-5*(-5/((-5/(((-5*(-11.57--5))-(-5+((-5*-11.57)*(((-5--5)+(-11.57--5))+-11.57))))-(-5+-5)))*-5)))/-5)--5)+(-5*(((-11.57*(-11.57-(-5/-5)))*(-11.57-(-11.57/(-5*-11.57))))-(-5/-5)))))</f>
        <v>-8063.524265</v>
      </c>
      <c r="C8844" t="n" s="0">
        <v>-8063.524265000001</v>
      </c>
    </row>
    <row r="8845">
      <c r="A8845" t="n" s="0">
        <v>-11.56</v>
      </c>
      <c r="B8845" t="n" s="0">
        <f>(-5-((((-5*(-5/((-5/(((-5*(-11.56--5))-(-5+((-5*-11.56)*(((-5--5)+(-11.56--5))+-11.56))))-(-5+-5)))*-5)))/-5)--5)+(-5*(((-11.56*(-11.56-(-5/-5)))*(-11.56-(-11.56/(-5*-11.56))))-(-5/-5)))))</f>
        <v>-8042.969279999999</v>
      </c>
      <c r="C8845" t="n" s="0">
        <v>-8042.969280000001</v>
      </c>
    </row>
    <row r="8846">
      <c r="A8846" t="n" s="0">
        <v>-11.55</v>
      </c>
      <c r="B8846" t="n" s="0">
        <f>(-5-((((-5*(-5/((-5/(((-5*(-11.55--5))-(-5+((-5*-11.55)*(((-5--5)+(-11.55--5))+-11.55))))-(-5+-5)))*-5)))/-5)--5)+(-5*(((-11.55*(-11.55-(-5/-5)))*(-11.55-(-11.55/(-5*-11.55))))-(-5/-5)))))</f>
        <v>-8022.449375</v>
      </c>
      <c r="C8846" t="n" s="0">
        <v>-8022.449375000001</v>
      </c>
    </row>
    <row r="8847">
      <c r="A8847" t="n" s="0">
        <v>-11.54</v>
      </c>
      <c r="B8847" t="n" s="0">
        <f>(-5-((((-5*(-5/((-5/(((-5*(-11.54--5))-(-5+((-5*-11.54)*(((-5--5)+(-11.54--5))+-11.54))))-(-5+-5)))*-5)))/-5)--5)+(-5*(((-11.54*(-11.54-(-5/-5)))*(-11.54-(-11.54/(-5*-11.54))))-(-5/-5)))))</f>
        <v>-8001.96452</v>
      </c>
      <c r="C8847" t="n" s="0">
        <v>-8001.964519999999</v>
      </c>
    </row>
    <row r="8848">
      <c r="A8848" t="n" s="0">
        <v>-11.53</v>
      </c>
      <c r="B8848" t="n" s="0">
        <f>(-5-((((-5*(-5/((-5/(((-5*(-11.53--5))-(-5+((-5*-11.53)*(((-5--5)+(-11.53--5))+-11.53))))-(-5+-5)))*-5)))/-5)--5)+(-5*(((-11.53*(-11.53-(-5/-5)))*(-11.53-(-11.53/(-5*-11.53))))-(-5/-5)))))</f>
        <v>-7981.514685</v>
      </c>
      <c r="C8848" t="n" s="0">
        <v>-7981.514684999999</v>
      </c>
    </row>
    <row r="8849">
      <c r="A8849" t="n" s="0">
        <v>-11.52</v>
      </c>
      <c r="B8849" t="n" s="0">
        <f>(-5-((((-5*(-5/((-5/(((-5*(-11.52--5))-(-5+((-5*-11.52)*(((-5--5)+(-11.52--5))+-11.52))))-(-5+-5)))*-5)))/-5)--5)+(-5*(((-11.52*(-11.52-(-5/-5)))*(-11.52-(-11.52/(-5*-11.52))))-(-5/-5)))))</f>
        <v>-7961.09984</v>
      </c>
      <c r="C8849" t="n" s="0">
        <v>-7961.09984</v>
      </c>
    </row>
    <row r="8850">
      <c r="A8850" t="n" s="0">
        <v>-11.51</v>
      </c>
      <c r="B8850" t="n" s="0">
        <f>(-5-((((-5*(-5/((-5/(((-5*(-11.51--5))-(-5+((-5*-11.51)*(((-5--5)+(-11.51--5))+-11.51))))-(-5+-5)))*-5)))/-5)--5)+(-5*(((-11.51*(-11.51-(-5/-5)))*(-11.51-(-11.51/(-5*-11.51))))-(-5/-5)))))</f>
        <v>-7940.7199550000005</v>
      </c>
      <c r="C8850" t="n" s="0">
        <v>-7940.719955</v>
      </c>
    </row>
    <row r="8851">
      <c r="A8851" t="n" s="0">
        <v>-11.5</v>
      </c>
      <c r="B8851" t="n" s="0">
        <f>(-5-((((-5*(-5/((-5/(((-5*(-11.5--5))-(-5+((-5*-11.5)*(((-5--5)+(-11.5--5))+-11.5))))-(-5+-5)))*-5)))/-5)--5)+(-5*(((-11.5*(-11.5-(-5/-5)))*(-11.5-(-11.5/(-5*-11.5))))-(-5/-5)))))</f>
        <v>-7920.375</v>
      </c>
      <c r="C8851" t="n" s="0">
        <v>-7920.375</v>
      </c>
    </row>
    <row r="8852">
      <c r="A8852" t="n" s="0">
        <v>-11.49</v>
      </c>
      <c r="B8852" t="n" s="0">
        <f>(-5-((((-5*(-5/((-5/(((-5*(-11.49--5))-(-5+((-5*-11.49)*(((-5--5)+(-11.49--5))+-11.49))))-(-5+-5)))*-5)))/-5)--5)+(-5*(((-11.49*(-11.49-(-5/-5)))*(-11.49-(-11.49/(-5*-11.49))))-(-5/-5)))))</f>
        <v>-7900.064945</v>
      </c>
      <c r="C8852" t="n" s="0">
        <v>-7900.064945000001</v>
      </c>
    </row>
    <row r="8853">
      <c r="A8853" t="n" s="0">
        <v>-11.48</v>
      </c>
      <c r="B8853" t="n" s="0">
        <f>(-5-((((-5*(-5/((-5/(((-5*(-11.48--5))-(-5+((-5*-11.48)*(((-5--5)+(-11.48--5))+-11.48))))-(-5+-5)))*-5)))/-5)--5)+(-5*(((-11.48*(-11.48-(-5/-5)))*(-11.48-(-11.48/(-5*-11.48))))-(-5/-5)))))</f>
        <v>-7879.789760000001</v>
      </c>
      <c r="C8853" t="n" s="0">
        <v>-7879.789760000001</v>
      </c>
    </row>
    <row r="8854">
      <c r="A8854" t="n" s="0">
        <v>-11.47</v>
      </c>
      <c r="B8854" t="n" s="0">
        <f>(-5-((((-5*(-5/((-5/(((-5*(-11.47--5))-(-5+((-5*-11.47)*(((-5--5)+(-11.47--5))+-11.47))))-(-5+-5)))*-5)))/-5)--5)+(-5*(((-11.47*(-11.47-(-5/-5)))*(-11.47-(-11.47/(-5*-11.47))))-(-5/-5)))))</f>
        <v>-7859.549414999999</v>
      </c>
      <c r="C8854" t="n" s="0">
        <v>-7859.549415000001</v>
      </c>
    </row>
    <row r="8855">
      <c r="A8855" t="n" s="0">
        <v>-11.46</v>
      </c>
      <c r="B8855" t="n" s="0">
        <f>(-5-((((-5*(-5/((-5/(((-5*(-11.46--5))-(-5+((-5*-11.46)*(((-5--5)+(-11.46--5))+-11.46))))-(-5+-5)))*-5)))/-5)--5)+(-5*(((-11.46*(-11.46-(-5/-5)))*(-11.46-(-11.46/(-5*-11.46))))-(-5/-5)))))</f>
        <v>-7839.34388</v>
      </c>
      <c r="C8855" t="n" s="0">
        <v>-7839.343880000001</v>
      </c>
    </row>
    <row r="8856">
      <c r="A8856" t="n" s="0">
        <v>-11.45</v>
      </c>
      <c r="B8856" t="n" s="0">
        <f>(-5-((((-5*(-5/((-5/(((-5*(-11.45--5))-(-5+((-5*-11.45)*(((-5--5)+(-11.45--5))+-11.45))))-(-5+-5)))*-5)))/-5)--5)+(-5*(((-11.45*(-11.45-(-5/-5)))*(-11.45-(-11.45/(-5*-11.45))))-(-5/-5)))))</f>
        <v>-7819.173125</v>
      </c>
      <c r="C8856" t="n" s="0">
        <v>-7819.173124999999</v>
      </c>
    </row>
    <row r="8857">
      <c r="A8857" t="n" s="0">
        <v>-11.44</v>
      </c>
      <c r="B8857" t="n" s="0">
        <f>(-5-((((-5*(-5/((-5/(((-5*(-11.44--5))-(-5+((-5*-11.44)*(((-5--5)+(-11.44--5))+-11.44))))-(-5+-5)))*-5)))/-5)--5)+(-5*(((-11.44*(-11.44-(-5/-5)))*(-11.44-(-11.44/(-5*-11.44))))-(-5/-5)))))</f>
        <v>-7799.037120000001</v>
      </c>
      <c r="C8857" t="n" s="0">
        <v>-7799.037119999998</v>
      </c>
    </row>
    <row r="8858">
      <c r="A8858" t="n" s="0">
        <v>-11.43</v>
      </c>
      <c r="B8858" t="n" s="0">
        <f>(-5-((((-5*(-5/((-5/(((-5*(-11.43--5))-(-5+((-5*-11.43)*(((-5--5)+(-11.43--5))+-11.43))))-(-5+-5)))*-5)))/-5)--5)+(-5*(((-11.43*(-11.43-(-5/-5)))*(-11.43-(-11.43/(-5*-11.43))))-(-5/-5)))))</f>
        <v>-7778.935835</v>
      </c>
      <c r="C8858" t="n" s="0">
        <v>-7778.935834999999</v>
      </c>
    </row>
    <row r="8859">
      <c r="A8859" t="n" s="0">
        <v>-11.42</v>
      </c>
      <c r="B8859" t="n" s="0">
        <f>(-5-((((-5*(-5/((-5/(((-5*(-11.42--5))-(-5+((-5*-11.42)*(((-5--5)+(-11.42--5))+-11.42))))-(-5+-5)))*-5)))/-5)--5)+(-5*(((-11.42*(-11.42-(-5/-5)))*(-11.42-(-11.42/(-5*-11.42))))-(-5/-5)))))</f>
        <v>-7758.86924</v>
      </c>
      <c r="C8859" t="n" s="0">
        <v>-7758.86924</v>
      </c>
    </row>
    <row r="8860">
      <c r="A8860" t="n" s="0">
        <v>-11.41</v>
      </c>
      <c r="B8860" t="n" s="0">
        <f>(-5-((((-5*(-5/((-5/(((-5*(-11.41--5))-(-5+((-5*-11.41)*(((-5--5)+(-11.41--5))+-11.41))))-(-5+-5)))*-5)))/-5)--5)+(-5*(((-11.41*(-11.41-(-5/-5)))*(-11.41-(-11.41/(-5*-11.41))))-(-5/-5)))))</f>
        <v>-7738.837305</v>
      </c>
      <c r="C8860" t="n" s="0">
        <v>-7738.837305</v>
      </c>
    </row>
    <row r="8861">
      <c r="A8861" t="n" s="0">
        <v>-11.4</v>
      </c>
      <c r="B8861" t="n" s="0">
        <f>(-5-((((-5*(-5/((-5/(((-5*(-11.4--5))-(-5+((-5*-11.4)*(((-5--5)+(-11.4--5))+-11.4))))-(-5+-5)))*-5)))/-5)--5)+(-5*(((-11.4*(-11.4-(-5/-5)))*(-11.4-(-11.4/(-5*-11.4))))-(-5/-5)))))</f>
        <v>-7718.84</v>
      </c>
      <c r="C8861" t="n" s="0">
        <v>-7718.84</v>
      </c>
    </row>
    <row r="8862">
      <c r="A8862" t="n" s="0">
        <v>-11.39</v>
      </c>
      <c r="B8862" t="n" s="0">
        <f>(-5-((((-5*(-5/((-5/(((-5*(-11.39--5))-(-5+((-5*-11.39)*(((-5--5)+(-11.39--5))+-11.39))))-(-5+-5)))*-5)))/-5)--5)+(-5*(((-11.39*(-11.39-(-5/-5)))*(-11.39-(-11.39/(-5*-11.39))))-(-5/-5)))))</f>
        <v>-7698.877295</v>
      </c>
      <c r="C8862" t="n" s="0">
        <v>-7698.877295000002</v>
      </c>
    </row>
    <row r="8863">
      <c r="A8863" t="n" s="0">
        <v>-11.38</v>
      </c>
      <c r="B8863" t="n" s="0">
        <f>(-5-((((-5*(-5/((-5/(((-5*(-11.38--5))-(-5+((-5*-11.38)*(((-5--5)+(-11.38--5))+-11.38))))-(-5+-5)))*-5)))/-5)--5)+(-5*(((-11.38*(-11.38-(-5/-5)))*(-11.38-(-11.38/(-5*-11.38))))-(-5/-5)))))</f>
        <v>-7678.949160000002</v>
      </c>
      <c r="C8863" t="n" s="0">
        <v>-7678.949160000001</v>
      </c>
    </row>
    <row r="8864">
      <c r="A8864" t="n" s="0">
        <v>-11.37</v>
      </c>
      <c r="B8864" t="n" s="0">
        <f>(-5-((((-5*(-5/((-5/(((-5*(-11.37--5))-(-5+((-5*-11.37)*(((-5--5)+(-11.37--5))+-11.37))))-(-5+-5)))*-5)))/-5)--5)+(-5*(((-11.37*(-11.37-(-5/-5)))*(-11.37-(-11.37/(-5*-11.37))))-(-5/-5)))))</f>
        <v>-7659.055565</v>
      </c>
      <c r="C8864" t="n" s="0">
        <v>-7659.055564999998</v>
      </c>
    </row>
    <row r="8865">
      <c r="A8865" t="n" s="0">
        <v>-11.36</v>
      </c>
      <c r="B8865" t="n" s="0">
        <f>(-5-((((-5*(-5/((-5/(((-5*(-11.36--5))-(-5+((-5*-11.36)*(((-5--5)+(-11.36--5))+-11.36))))-(-5+-5)))*-5)))/-5)--5)+(-5*(((-11.36*(-11.36-(-5/-5)))*(-11.36-(-11.36/(-5*-11.36))))-(-5/-5)))))</f>
        <v>-7639.19648</v>
      </c>
      <c r="C8865" t="n" s="0">
        <v>-7639.196479999998</v>
      </c>
    </row>
    <row r="8866">
      <c r="A8866" t="n" s="0">
        <v>-11.35</v>
      </c>
      <c r="B8866" t="n" s="0">
        <f>(-5-((((-5*(-5/((-5/(((-5*(-11.35--5))-(-5+((-5*-11.35)*(((-5--5)+(-11.35--5))+-11.35))))-(-5+-5)))*-5)))/-5)--5)+(-5*(((-11.35*(-11.35-(-5/-5)))*(-11.35-(-11.35/(-5*-11.35))))-(-5/-5)))))</f>
        <v>-7619.371875</v>
      </c>
      <c r="C8866" t="n" s="0">
        <v>-7619.371875</v>
      </c>
    </row>
    <row r="8867">
      <c r="A8867" t="n" s="0">
        <v>-11.34</v>
      </c>
      <c r="B8867" t="n" s="0">
        <f>(-5-((((-5*(-5/((-5/(((-5*(-11.34--5))-(-5+((-5*-11.34)*(((-5--5)+(-11.34--5))+-11.34))))-(-5+-5)))*-5)))/-5)--5)+(-5*(((-11.34*(-11.34-(-5/-5)))*(-11.34-(-11.34/(-5*-11.34))))-(-5/-5)))))</f>
        <v>-7599.58172</v>
      </c>
      <c r="C8867" t="n" s="0">
        <v>-7599.58172</v>
      </c>
    </row>
    <row r="8868">
      <c r="A8868" t="n" s="0">
        <v>-11.33</v>
      </c>
      <c r="B8868" t="n" s="0">
        <f>(-5-((((-5*(-5/((-5/(((-5*(-11.33--5))-(-5+((-5*-11.33)*(((-5--5)+(-11.33--5))+-11.33))))-(-5+-5)))*-5)))/-5)--5)+(-5*(((-11.33*(-11.33-(-5/-5)))*(-11.33-(-11.33/(-5*-11.33))))-(-5/-5)))))</f>
        <v>-7579.8259849999995</v>
      </c>
      <c r="C8868" t="n" s="0">
        <v>-7579.8259849999995</v>
      </c>
    </row>
    <row r="8869">
      <c r="A8869" t="n" s="0">
        <v>-11.32</v>
      </c>
      <c r="B8869" t="n" s="0">
        <f>(-5-((((-5*(-5/((-5/(((-5*(-11.32--5))-(-5+((-5*-11.32)*(((-5--5)+(-11.32--5))+-11.32))))-(-5+-5)))*-5)))/-5)--5)+(-5*(((-11.32*(-11.32-(-5/-5)))*(-11.32-(-11.32/(-5*-11.32))))-(-5/-5)))))</f>
        <v>-7560.1046400000005</v>
      </c>
      <c r="C8869" t="n" s="0">
        <v>-7560.104640000001</v>
      </c>
    </row>
    <row r="8870">
      <c r="A8870" t="n" s="0">
        <v>-11.31</v>
      </c>
      <c r="B8870" t="n" s="0">
        <f>(-5-((((-5*(-5/((-5/(((-5*(-11.31--5))-(-5+((-5*-11.31)*(((-5--5)+(-11.31--5))+-11.31))))-(-5+-5)))*-5)))/-5)--5)+(-5*(((-11.31*(-11.31-(-5/-5)))*(-11.31-(-11.31/(-5*-11.31))))-(-5/-5)))))</f>
        <v>-7540.417655</v>
      </c>
      <c r="C8870" t="n" s="0">
        <v>-7540.417655</v>
      </c>
    </row>
    <row r="8871">
      <c r="A8871" t="n" s="0">
        <v>-11.3</v>
      </c>
      <c r="B8871" t="n" s="0">
        <f>(-5-((((-5*(-5/((-5/(((-5*(-11.3--5))-(-5+((-5*-11.3)*(((-5--5)+(-11.3--5))+-11.3))))-(-5+-5)))*-5)))/-5)--5)+(-5*(((-11.3*(-11.3-(-5/-5)))*(-11.3-(-11.3/(-5*-11.3))))-(-5/-5)))))</f>
        <v>-7520.764999999998</v>
      </c>
      <c r="C8871" t="n" s="0">
        <v>-7520.765</v>
      </c>
    </row>
    <row r="8872">
      <c r="A8872" t="n" s="0">
        <v>-11.29</v>
      </c>
      <c r="B8872" t="n" s="0">
        <f>(-5-((((-5*(-5/((-5/(((-5*(-11.29--5))-(-5+((-5*-11.29)*(((-5--5)+(-11.29--5))+-11.29))))-(-5+-5)))*-5)))/-5)--5)+(-5*(((-11.29*(-11.29-(-5/-5)))*(-11.29-(-11.29/(-5*-11.29))))-(-5/-5)))))</f>
        <v>-7501.146645</v>
      </c>
      <c r="C8872" t="n" s="0">
        <v>-7501.146644999999</v>
      </c>
    </row>
    <row r="8873">
      <c r="A8873" t="n" s="0">
        <v>-11.28</v>
      </c>
      <c r="B8873" t="n" s="0">
        <f>(-5-((((-5*(-5/((-5/(((-5*(-11.28--5))-(-5+((-5*-11.28)*(((-5--5)+(-11.28--5))+-11.28))))-(-5+-5)))*-5)))/-5)--5)+(-5*(((-11.28*(-11.28-(-5/-5)))*(-11.28-(-11.28/(-5*-11.28))))-(-5/-5)))))</f>
        <v>-7481.56256</v>
      </c>
      <c r="C8873" t="n" s="0">
        <v>-7481.56256</v>
      </c>
    </row>
    <row r="8874">
      <c r="A8874" t="n" s="0">
        <v>-11.27</v>
      </c>
      <c r="B8874" t="n" s="0">
        <f>(-5-((((-5*(-5/((-5/(((-5*(-11.27--5))-(-5+((-5*-11.27)*(((-5--5)+(-11.27--5))+-11.27))))-(-5+-5)))*-5)))/-5)--5)+(-5*(((-11.27*(-11.27-(-5/-5)))*(-11.27-(-11.27/(-5*-11.27))))-(-5/-5)))))</f>
        <v>-7462.012715</v>
      </c>
      <c r="C8874" t="n" s="0">
        <v>-7462.012715</v>
      </c>
    </row>
    <row r="8875">
      <c r="A8875" t="n" s="0">
        <v>-11.26</v>
      </c>
      <c r="B8875" t="n" s="0">
        <f>(-5-((((-5*(-5/((-5/(((-5*(-11.26--5))-(-5+((-5*-11.26)*(((-5--5)+(-11.26--5))+-11.26))))-(-5+-5)))*-5)))/-5)--5)+(-5*(((-11.26*(-11.26-(-5/-5)))*(-11.26-(-11.26/(-5*-11.26))))-(-5/-5)))))</f>
        <v>-7442.497080000002</v>
      </c>
      <c r="C8875" t="n" s="0">
        <v>-7442.497079999999</v>
      </c>
    </row>
    <row r="8876">
      <c r="A8876" t="n" s="0">
        <v>-11.25</v>
      </c>
      <c r="B8876" t="n" s="0">
        <f>(-5-((((-5*(-5/((-5/(((-5*(-11.25--5))-(-5+((-5*-11.25)*(((-5--5)+(-11.25--5))+-11.25))))-(-5+-5)))*-5)))/-5)--5)+(-5*(((-11.25*(-11.25-(-5/-5)))*(-11.25-(-11.25/(-5*-11.25))))-(-5/-5)))))</f>
        <v>-7423.015625</v>
      </c>
      <c r="C8876" t="n" s="0">
        <v>-7423.015625</v>
      </c>
    </row>
    <row r="8877">
      <c r="A8877" t="n" s="0">
        <v>-11.24</v>
      </c>
      <c r="B8877" t="n" s="0">
        <f>(-5-((((-5*(-5/((-5/(((-5*(-11.24--5))-(-5+((-5*-11.24)*(((-5--5)+(-11.24--5))+-11.24))))-(-5+-5)))*-5)))/-5)--5)+(-5*(((-11.24*(-11.24-(-5/-5)))*(-11.24-(-11.24/(-5*-11.24))))-(-5/-5)))))</f>
        <v>-7403.56832</v>
      </c>
      <c r="C8877" t="n" s="0">
        <v>-7403.56832</v>
      </c>
    </row>
    <row r="8878">
      <c r="A8878" t="n" s="0">
        <v>-11.23</v>
      </c>
      <c r="B8878" t="n" s="0">
        <f>(-5-((((-5*(-5/((-5/(((-5*(-11.23--5))-(-5+((-5*-11.23)*(((-5--5)+(-11.23--5))+-11.23))))-(-5+-5)))*-5)))/-5)--5)+(-5*(((-11.23*(-11.23-(-5/-5)))*(-11.23-(-11.23/(-5*-11.23))))-(-5/-5)))))</f>
        <v>-7384.155135</v>
      </c>
      <c r="C8878" t="n" s="0">
        <v>-7384.155135000001</v>
      </c>
    </row>
    <row r="8879">
      <c r="A8879" t="n" s="0">
        <v>-11.22</v>
      </c>
      <c r="B8879" t="n" s="0">
        <f>(-5-((((-5*(-5/((-5/(((-5*(-11.22--5))-(-5+((-5*-11.22)*(((-5--5)+(-11.22--5))+-11.22))))-(-5+-5)))*-5)))/-5)--5)+(-5*(((-11.22*(-11.22-(-5/-5)))*(-11.22-(-11.22/(-5*-11.22))))-(-5/-5)))))</f>
        <v>-7364.77604</v>
      </c>
      <c r="C8879" t="n" s="0">
        <v>-7364.776040000001</v>
      </c>
    </row>
    <row r="8880">
      <c r="A8880" t="n" s="0">
        <v>-11.21</v>
      </c>
      <c r="B8880" t="n" s="0">
        <f>(-5-((((-5*(-5/((-5/(((-5*(-11.21--5))-(-5+((-5*-11.21)*(((-5--5)+(-11.21--5))+-11.21))))-(-5+-5)))*-5)))/-5)--5)+(-5*(((-11.21*(-11.21-(-5/-5)))*(-11.21-(-11.21/(-5*-11.21))))-(-5/-5)))))</f>
        <v>-7345.431005</v>
      </c>
      <c r="C8880" t="n" s="0">
        <v>-7345.431005000001</v>
      </c>
    </row>
    <row r="8881">
      <c r="A8881" t="n" s="0">
        <v>-11.2</v>
      </c>
      <c r="B8881" t="n" s="0">
        <f>(-5-((((-5*(-5/((-5/(((-5*(-11.2--5))-(-5+((-5*-11.2)*(((-5--5)+(-11.2--5))+-11.2))))-(-5+-5)))*-5)))/-5)--5)+(-5*(((-11.2*(-11.2-(-5/-5)))*(-11.2-(-11.2/(-5*-11.2))))-(-5/-5)))))</f>
        <v>-7326.12</v>
      </c>
      <c r="C8881" t="n" s="0">
        <v>-7326.119999999999</v>
      </c>
    </row>
    <row r="8882">
      <c r="A8882" t="n" s="0">
        <v>-11.19</v>
      </c>
      <c r="B8882" t="n" s="0">
        <f>(-5-((((-5*(-5/((-5/(((-5*(-11.19--5))-(-5+((-5*-11.19)*(((-5--5)+(-11.19--5))+-11.19))))-(-5+-5)))*-5)))/-5)--5)+(-5*(((-11.19*(-11.19-(-5/-5)))*(-11.19-(-11.19/(-5*-11.19))))-(-5/-5)))))</f>
        <v>-7306.842995</v>
      </c>
      <c r="C8882" t="n" s="0">
        <v>-7306.842994999999</v>
      </c>
    </row>
    <row r="8883">
      <c r="A8883" t="n" s="0">
        <v>-11.18</v>
      </c>
      <c r="B8883" t="n" s="0">
        <f>(-5-((((-5*(-5/((-5/(((-5*(-11.18--5))-(-5+((-5*-11.18)*(((-5--5)+(-11.18--5))+-11.18))))-(-5+-5)))*-5)))/-5)--5)+(-5*(((-11.18*(-11.18-(-5/-5)))*(-11.18-(-11.18/(-5*-11.18))))-(-5/-5)))))</f>
        <v>-7287.5999600000005</v>
      </c>
      <c r="C8883" t="n" s="0">
        <v>-7287.59996</v>
      </c>
    </row>
    <row r="8884">
      <c r="A8884" t="n" s="0">
        <v>-11.17</v>
      </c>
      <c r="B8884" t="n" s="0">
        <f>(-5-((((-5*(-5/((-5/(((-5*(-11.17--5))-(-5+((-5*-11.17)*(((-5--5)+(-11.17--5))+-11.17))))-(-5+-5)))*-5)))/-5)--5)+(-5*(((-11.17*(-11.17-(-5/-5)))*(-11.17-(-11.17/(-5*-11.17))))-(-5/-5)))))</f>
        <v>-7268.390865</v>
      </c>
      <c r="C8884" t="n" s="0">
        <v>-7268.390865</v>
      </c>
    </row>
    <row r="8885">
      <c r="A8885" t="n" s="0">
        <v>-11.16</v>
      </c>
      <c r="B8885" t="n" s="0">
        <f>(-5-((((-5*(-5/((-5/(((-5*(-11.16--5))-(-5+((-5*-11.16)*(((-5--5)+(-11.16--5))+-11.16))))-(-5+-5)))*-5)))/-5)--5)+(-5*(((-11.16*(-11.16-(-5/-5)))*(-11.16-(-11.16/(-5*-11.16))))-(-5/-5)))))</f>
        <v>-7249.215679999999</v>
      </c>
      <c r="C8885" t="n" s="0">
        <v>-7249.21568</v>
      </c>
    </row>
    <row r="8886">
      <c r="A8886" t="n" s="0">
        <v>-11.15</v>
      </c>
      <c r="B8886" t="n" s="0">
        <f>(-5-((((-5*(-5/((-5/(((-5*(-11.15--5))-(-5+((-5*-11.15)*(((-5--5)+(-11.15--5))+-11.15))))-(-5+-5)))*-5)))/-5)--5)+(-5*(((-11.15*(-11.15-(-5/-5)))*(-11.15-(-11.15/(-5*-11.15))))-(-5/-5)))))</f>
        <v>-7230.074375</v>
      </c>
      <c r="C8886" t="n" s="0">
        <v>-7230.074375000001</v>
      </c>
    </row>
    <row r="8887">
      <c r="A8887" t="n" s="0">
        <v>-11.14</v>
      </c>
      <c r="B8887" t="n" s="0">
        <f>(-5-((((-5*(-5/((-5/(((-5*(-11.14--5))-(-5+((-5*-11.14)*(((-5--5)+(-11.14--5))+-11.14))))-(-5+-5)))*-5)))/-5)--5)+(-5*(((-11.14*(-11.14-(-5/-5)))*(-11.14-(-11.14/(-5*-11.14))))-(-5/-5)))))</f>
        <v>-7210.966920000001</v>
      </c>
      <c r="C8887" t="n" s="0">
        <v>-7210.966920000002</v>
      </c>
    </row>
    <row r="8888">
      <c r="A8888" t="n" s="0">
        <v>-11.13</v>
      </c>
      <c r="B8888" t="n" s="0">
        <f>(-5-((((-5*(-5/((-5/(((-5*(-11.13--5))-(-5+((-5*-11.13)*(((-5--5)+(-11.13--5))+-11.13))))-(-5+-5)))*-5)))/-5)--5)+(-5*(((-11.13*(-11.13-(-5/-5)))*(-11.13-(-11.13/(-5*-11.13))))-(-5/-5)))))</f>
        <v>-7191.893285000002</v>
      </c>
      <c r="C8888" t="n" s="0">
        <v>-7191.893285000003</v>
      </c>
    </row>
    <row r="8889">
      <c r="A8889" t="n" s="0">
        <v>-11.12</v>
      </c>
      <c r="B8889" t="n" s="0">
        <f>(-5-((((-5*(-5/((-5/(((-5*(-11.12--5))-(-5+((-5*-11.12)*(((-5--5)+(-11.12--5))+-11.12))))-(-5+-5)))*-5)))/-5)--5)+(-5*(((-11.12*(-11.12-(-5/-5)))*(-11.12-(-11.12/(-5*-11.12))))-(-5/-5)))))</f>
        <v>-7172.85344</v>
      </c>
      <c r="C8889" t="n" s="0">
        <v>-7172.853439999998</v>
      </c>
    </row>
    <row r="8890">
      <c r="A8890" t="n" s="0">
        <v>-11.11</v>
      </c>
      <c r="B8890" t="n" s="0">
        <f>(-5-((((-5*(-5/((-5/(((-5*(-11.11--5))-(-5+((-5*-11.11)*(((-5--5)+(-11.11--5))+-11.11))))-(-5+-5)))*-5)))/-5)--5)+(-5*(((-11.11*(-11.11-(-5/-5)))*(-11.11-(-11.11/(-5*-11.11))))-(-5/-5)))))</f>
        <v>-7153.847355</v>
      </c>
      <c r="C8890" t="n" s="0">
        <v>-7153.847354999999</v>
      </c>
    </row>
    <row r="8891">
      <c r="A8891" t="n" s="0">
        <v>-11.1</v>
      </c>
      <c r="B8891" t="n" s="0">
        <f>(-5-((((-5*(-5/((-5/(((-5*(-11.1--5))-(-5+((-5*-11.1)*(((-5--5)+(-11.1--5))+-11.1))))-(-5+-5)))*-5)))/-5)--5)+(-5*(((-11.1*(-11.1-(-5/-5)))*(-11.1-(-11.1/(-5*-11.1))))-(-5/-5)))))</f>
        <v>-7134.875</v>
      </c>
      <c r="C8891" t="n" s="0">
        <v>-7134.874999999999</v>
      </c>
    </row>
    <row r="8892">
      <c r="A8892" t="n" s="0">
        <v>-11.09</v>
      </c>
      <c r="B8892" t="n" s="0">
        <f>(-5-((((-5*(-5/((-5/(((-5*(-11.09--5))-(-5+((-5*-11.09)*(((-5--5)+(-11.09--5))+-11.09))))-(-5+-5)))*-5)))/-5)--5)+(-5*(((-11.09*(-11.09-(-5/-5)))*(-11.09-(-11.09/(-5*-11.09))))-(-5/-5)))))</f>
        <v>-7115.936344999999</v>
      </c>
      <c r="C8892" t="n" s="0">
        <v>-7115.936345</v>
      </c>
    </row>
    <row r="8893">
      <c r="A8893" t="n" s="0">
        <v>-11.08</v>
      </c>
      <c r="B8893" t="n" s="0">
        <f>(-5-((((-5*(-5/((-5/(((-5*(-11.08--5))-(-5+((-5*-11.08)*(((-5--5)+(-11.08--5))+-11.08))))-(-5+-5)))*-5)))/-5)--5)+(-5*(((-11.08*(-11.08-(-5/-5)))*(-11.08-(-11.08/(-5*-11.08))))-(-5/-5)))))</f>
        <v>-7097.03136</v>
      </c>
      <c r="C8893" t="n" s="0">
        <v>-7097.03136</v>
      </c>
    </row>
    <row r="8894">
      <c r="A8894" t="n" s="0">
        <v>-11.07</v>
      </c>
      <c r="B8894" t="n" s="0">
        <f>(-5-((((-5*(-5/((-5/(((-5*(-11.07--5))-(-5+((-5*-11.07)*(((-5--5)+(-11.07--5))+-11.07))))-(-5+-5)))*-5)))/-5)--5)+(-5*(((-11.07*(-11.07-(-5/-5)))*(-11.07-(-11.07/(-5*-11.07))))-(-5/-5)))))</f>
        <v>-7078.160015</v>
      </c>
      <c r="C8894" t="n" s="0">
        <v>-7078.160015</v>
      </c>
    </row>
    <row r="8895">
      <c r="A8895" t="n" s="0">
        <v>-11.06</v>
      </c>
      <c r="B8895" t="n" s="0">
        <f>(-5-((((-5*(-5/((-5/(((-5*(-11.06--5))-(-5+((-5*-11.06)*(((-5--5)+(-11.06--5))+-11.06))))-(-5+-5)))*-5)))/-5)--5)+(-5*(((-11.06*(-11.06-(-5/-5)))*(-11.06-(-11.06/(-5*-11.06))))-(-5/-5)))))</f>
        <v>-7059.32228</v>
      </c>
      <c r="C8895" t="n" s="0">
        <v>-7059.322280000001</v>
      </c>
    </row>
    <row r="8896">
      <c r="A8896" t="n" s="0">
        <v>-11.05</v>
      </c>
      <c r="B8896" t="n" s="0">
        <f>(-5-((((-5*(-5/((-5/(((-5*(-11.05--5))-(-5+((-5*-11.05)*(((-5--5)+(-11.05--5))+-11.05))))-(-5+-5)))*-5)))/-5)--5)+(-5*(((-11.05*(-11.05-(-5/-5)))*(-11.05-(-11.05/(-5*-11.05))))-(-5/-5)))))</f>
        <v>-7040.518125</v>
      </c>
      <c r="C8896" t="n" s="0">
        <v>-7040.518125000001</v>
      </c>
    </row>
    <row r="8897">
      <c r="A8897" t="n" s="0">
        <v>-11.04</v>
      </c>
      <c r="B8897" t="n" s="0">
        <f>(-5-((((-5*(-5/((-5/(((-5*(-11.04--5))-(-5+((-5*-11.04)*(((-5--5)+(-11.04--5))+-11.04))))-(-5+-5)))*-5)))/-5)--5)+(-5*(((-11.04*(-11.04-(-5/-5)))*(-11.04-(-11.04/(-5*-11.04))))-(-5/-5)))))</f>
        <v>-7021.747520000001</v>
      </c>
      <c r="C8897" t="n" s="0">
        <v>-7021.747519999999</v>
      </c>
    </row>
    <row r="8898">
      <c r="A8898" t="n" s="0">
        <v>-11.03</v>
      </c>
      <c r="B8898" t="n" s="0">
        <f>(-5-((((-5*(-5/((-5/(((-5*(-11.03--5))-(-5+((-5*-11.03)*(((-5--5)+(-11.03--5))+-11.03))))-(-5+-5)))*-5)))/-5)--5)+(-5*(((-11.03*(-11.03-(-5/-5)))*(-11.03-(-11.03/(-5*-11.03))))-(-5/-5)))))</f>
        <v>-7003.010435</v>
      </c>
      <c r="C8898" t="n" s="0">
        <v>-7003.010434999998</v>
      </c>
    </row>
    <row r="8899">
      <c r="A8899" t="n" s="0">
        <v>-11.02</v>
      </c>
      <c r="B8899" t="n" s="0">
        <f>(-5-((((-5*(-5/((-5/(((-5*(-11.02--5))-(-5+((-5*-11.02)*(((-5--5)+(-11.02--5))+-11.02))))-(-5+-5)))*-5)))/-5)--5)+(-5*(((-11.02*(-11.02-(-5/-5)))*(-11.02-(-11.02/(-5*-11.02))))-(-5/-5)))))</f>
        <v>-6984.30684</v>
      </c>
      <c r="C8899" t="n" s="0">
        <v>-6984.306839999999</v>
      </c>
    </row>
    <row r="8900">
      <c r="A8900" t="n" s="0">
        <v>-11.01</v>
      </c>
      <c r="B8900" t="n" s="0">
        <f>(-5-((((-5*(-5/((-5/(((-5*(-11.01--5))-(-5+((-5*-11.01)*(((-5--5)+(-11.01--5))+-11.01))))-(-5+-5)))*-5)))/-5)--5)+(-5*(((-11.01*(-11.01-(-5/-5)))*(-11.01-(-11.01/(-5*-11.01))))-(-5/-5)))))</f>
        <v>-6965.636705</v>
      </c>
      <c r="C8900" t="n" s="0">
        <v>-6965.636704999999</v>
      </c>
    </row>
    <row r="8901">
      <c r="A8901" t="n" s="0">
        <v>-11.0</v>
      </c>
      <c r="B8901" t="n" s="0">
        <f>(-5-((((-5*(-5/((-5/(((-5*(-11--5))-(-5+((-5*-11)*(((-5--5)+(-11--5))+-11))))-(-5+-5)))*-5)))/-5)--5)+(-5*(((-11*(-11-(-5/-5)))*(-11-(-11/(-5*-11))))-(-5/-5)))))</f>
        <v>-6947.0</v>
      </c>
      <c r="C8901" t="n" s="0">
        <v>-6947.0</v>
      </c>
    </row>
    <row r="8902">
      <c r="A8902" t="n" s="0">
        <v>-10.99</v>
      </c>
      <c r="B8902" t="n" s="0">
        <f>(-5-((((-5*(-5/((-5/(((-5*(-10.99--5))-(-5+((-5*-10.99)*(((-5--5)+(-10.99--5))+-10.99))))-(-5+-5)))*-5)))/-5)--5)+(-5*(((-10.99*(-10.99-(-5/-5)))*(-10.99-(-10.99/(-5*-10.99))))-(-5/-5)))))</f>
        <v>-6928.396695</v>
      </c>
      <c r="C8902" t="n" s="0">
        <v>-6928.396695</v>
      </c>
    </row>
    <row r="8903">
      <c r="A8903" t="n" s="0">
        <v>-10.98</v>
      </c>
      <c r="B8903" t="n" s="0">
        <f>(-5-((((-5*(-5/((-5/(((-5*(-10.98--5))-(-5+((-5*-10.98)*(((-5--5)+(-10.98--5))+-10.98))))-(-5+-5)))*-5)))/-5)--5)+(-5*(((-10.98*(-10.98-(-5/-5)))*(-10.98-(-10.98/(-5*-10.98))))-(-5/-5)))))</f>
        <v>-6909.826760000001</v>
      </c>
      <c r="C8903" t="n" s="0">
        <v>-6909.82676</v>
      </c>
    </row>
    <row r="8904">
      <c r="A8904" t="n" s="0">
        <v>-10.97</v>
      </c>
      <c r="B8904" t="n" s="0">
        <f>(-5-((((-5*(-5/((-5/(((-5*(-10.97--5))-(-5+((-5*-10.97)*(((-5--5)+(-10.97--5))+-10.97))))-(-5+-5)))*-5)))/-5)--5)+(-5*(((-10.97*(-10.97-(-5/-5)))*(-10.97-(-10.97/(-5*-10.97))))-(-5/-5)))))</f>
        <v>-6891.290164999999</v>
      </c>
      <c r="C8904" t="n" s="0">
        <v>-6891.290165</v>
      </c>
    </row>
    <row r="8905">
      <c r="A8905" t="n" s="0">
        <v>-10.96</v>
      </c>
      <c r="B8905" t="n" s="0">
        <f>(-5-((((-5*(-5/((-5/(((-5*(-10.96--5))-(-5+((-5*-10.96)*(((-5--5)+(-10.96--5))+-10.96))))-(-5+-5)))*-5)))/-5)--5)+(-5*(((-10.96*(-10.96-(-5/-5)))*(-10.96-(-10.96/(-5*-10.96))))-(-5/-5)))))</f>
        <v>-6872.786880000001</v>
      </c>
      <c r="C8905" t="n" s="0">
        <v>-6872.7868800000015</v>
      </c>
    </row>
    <row r="8906">
      <c r="A8906" t="n" s="0">
        <v>-10.95</v>
      </c>
      <c r="B8906" t="n" s="0">
        <f>(-5-((((-5*(-5/((-5/(((-5*(-10.95--5))-(-5+((-5*-10.95)*(((-5--5)+(-10.95--5))+-10.95))))-(-5+-5)))*-5)))/-5)--5)+(-5*(((-10.95*(-10.95-(-5/-5)))*(-10.95-(-10.95/(-5*-10.95))))-(-5/-5)))))</f>
        <v>-6854.3168749999995</v>
      </c>
      <c r="C8906" t="n" s="0">
        <v>-6854.316874999999</v>
      </c>
    </row>
    <row r="8907">
      <c r="A8907" t="n" s="0">
        <v>-10.94</v>
      </c>
      <c r="B8907" t="n" s="0">
        <f>(-5-((((-5*(-5/((-5/(((-5*(-10.94--5))-(-5+((-5*-10.94)*(((-5--5)+(-10.94--5))+-10.94))))-(-5+-5)))*-5)))/-5)--5)+(-5*(((-10.94*(-10.94-(-5/-5)))*(-10.94-(-10.94/(-5*-10.94))))-(-5/-5)))))</f>
        <v>-6835.88012</v>
      </c>
      <c r="C8907" t="n" s="0">
        <v>-6835.880119999999</v>
      </c>
    </row>
    <row r="8908">
      <c r="A8908" t="n" s="0">
        <v>-10.93</v>
      </c>
      <c r="B8908" t="n" s="0">
        <f>(-5-((((-5*(-5/((-5/(((-5*(-10.93--5))-(-5+((-5*-10.93)*(((-5--5)+(-10.93--5))+-10.93))))-(-5+-5)))*-5)))/-5)--5)+(-5*(((-10.93*(-10.93-(-5/-5)))*(-10.93-(-10.93/(-5*-10.93))))-(-5/-5)))))</f>
        <v>-6817.476585</v>
      </c>
      <c r="C8908" t="n" s="0">
        <v>-6817.476584999999</v>
      </c>
    </row>
    <row r="8909">
      <c r="A8909" t="n" s="0">
        <v>-10.92</v>
      </c>
      <c r="B8909" t="n" s="0">
        <f>(-5-((((-5*(-5/((-5/(((-5*(-10.92--5))-(-5+((-5*-10.92)*(((-5--5)+(-10.92--5))+-10.92))))-(-5+-5)))*-5)))/-5)--5)+(-5*(((-10.92*(-10.92-(-5/-5)))*(-10.92-(-10.92/(-5*-10.92))))-(-5/-5)))))</f>
        <v>-6799.10624</v>
      </c>
      <c r="C8909" t="n" s="0">
        <v>-6799.10624</v>
      </c>
    </row>
    <row r="8910">
      <c r="A8910" t="n" s="0">
        <v>-10.91</v>
      </c>
      <c r="B8910" t="n" s="0">
        <f>(-5-((((-5*(-5/((-5/(((-5*(-10.91--5))-(-5+((-5*-10.91)*(((-5--5)+(-10.91--5))+-10.91))))-(-5+-5)))*-5)))/-5)--5)+(-5*(((-10.91*(-10.91-(-5/-5)))*(-10.91-(-10.91/(-5*-10.91))))-(-5/-5)))))</f>
        <v>-6780.769055000001</v>
      </c>
      <c r="C8910" t="n" s="0">
        <v>-6780.769055</v>
      </c>
    </row>
    <row r="8911">
      <c r="A8911" t="n" s="0">
        <v>-10.9</v>
      </c>
      <c r="B8911" t="n" s="0">
        <f>(-5-((((-5*(-5/((-5/(((-5*(-10.9--5))-(-5+((-5*-10.9)*(((-5--5)+(-10.9--5))+-10.9))))-(-5+-5)))*-5)))/-5)--5)+(-5*(((-10.9*(-10.9-(-5/-5)))*(-10.9-(-10.9/(-5*-10.9))))-(-5/-5)))))</f>
        <v>-6762.464999999999</v>
      </c>
      <c r="C8911" t="n" s="0">
        <v>-6762.465000000001</v>
      </c>
    </row>
    <row r="8912">
      <c r="A8912" t="n" s="0">
        <v>-10.89</v>
      </c>
      <c r="B8912" t="n" s="0">
        <f>(-5-((((-5*(-5/((-5/(((-5*(-10.89--5))-(-5+((-5*-10.89)*(((-5--5)+(-10.89--5))+-10.89))))-(-5+-5)))*-5)))/-5)--5)+(-5*(((-10.89*(-10.89-(-5/-5)))*(-10.89-(-10.89/(-5*-10.89))))-(-5/-5)))))</f>
        <v>-6744.194045</v>
      </c>
      <c r="C8912" t="n" s="0">
        <v>-6744.194045000001</v>
      </c>
    </row>
    <row r="8913">
      <c r="A8913" t="n" s="0">
        <v>-10.88</v>
      </c>
      <c r="B8913" t="n" s="0">
        <f>(-5-((((-5*(-5/((-5/(((-5*(-10.88--5))-(-5+((-5*-10.88)*(((-5--5)+(-10.88--5))+-10.88))))-(-5+-5)))*-5)))/-5)--5)+(-5*(((-10.88*(-10.88-(-5/-5)))*(-10.88-(-10.88/(-5*-10.88))))-(-5/-5)))))</f>
        <v>-6725.95616</v>
      </c>
      <c r="C8913" t="n" s="0">
        <v>-6725.956160000002</v>
      </c>
    </row>
    <row r="8914">
      <c r="A8914" t="n" s="0">
        <v>-10.87</v>
      </c>
      <c r="B8914" t="n" s="0">
        <f>(-5-((((-5*(-5/((-5/(((-5*(-10.87--5))-(-5+((-5*-10.87)*(((-5--5)+(-10.87--5))+-10.87))))-(-5+-5)))*-5)))/-5)--5)+(-5*(((-10.87*(-10.87-(-5/-5)))*(-10.87-(-10.87/(-5*-10.87))))-(-5/-5)))))</f>
        <v>-6707.7513149999995</v>
      </c>
      <c r="C8914" t="n" s="0">
        <v>-6707.751314999999</v>
      </c>
    </row>
    <row r="8915">
      <c r="A8915" t="n" s="0">
        <v>-10.86</v>
      </c>
      <c r="B8915" t="n" s="0">
        <f>(-5-((((-5*(-5/((-5/(((-5*(-10.86--5))-(-5+((-5*-10.86)*(((-5--5)+(-10.86--5))+-10.86))))-(-5+-5)))*-5)))/-5)--5)+(-5*(((-10.86*(-10.86-(-5/-5)))*(-10.86-(-10.86/(-5*-10.86))))-(-5/-5)))))</f>
        <v>-6689.57948</v>
      </c>
      <c r="C8915" t="n" s="0">
        <v>-6689.5794799999985</v>
      </c>
    </row>
    <row r="8916">
      <c r="A8916" t="n" s="0">
        <v>-10.85</v>
      </c>
      <c r="B8916" t="n" s="0">
        <f>(-5-((((-5*(-5/((-5/(((-5*(-10.85--5))-(-5+((-5*-10.85)*(((-5--5)+(-10.85--5))+-10.85))))-(-5+-5)))*-5)))/-5)--5)+(-5*(((-10.85*(-10.85-(-5/-5)))*(-10.85-(-10.85/(-5*-10.85))))-(-5/-5)))))</f>
        <v>-6671.440625</v>
      </c>
      <c r="C8916" t="n" s="0">
        <v>-6671.440624999998</v>
      </c>
    </row>
    <row r="8917">
      <c r="A8917" t="n" s="0">
        <v>-10.84</v>
      </c>
      <c r="B8917" t="n" s="0">
        <f>(-5-((((-5*(-5/((-5/(((-5*(-10.84--5))-(-5+((-5*-10.84)*(((-5--5)+(-10.84--5))+-10.84))))-(-5+-5)))*-5)))/-5)--5)+(-5*(((-10.84*(-10.84-(-5/-5)))*(-10.84-(-10.84/(-5*-10.84))))-(-5/-5)))))</f>
        <v>-6653.33472</v>
      </c>
      <c r="C8917" t="n" s="0">
        <v>-6653.334720000001</v>
      </c>
    </row>
    <row r="8918">
      <c r="A8918" t="n" s="0">
        <v>-10.83</v>
      </c>
      <c r="B8918" t="n" s="0">
        <f>(-5-((((-5*(-5/((-5/(((-5*(-10.83--5))-(-5+((-5*-10.83)*(((-5--5)+(-10.83--5))+-10.83))))-(-5+-5)))*-5)))/-5)--5)+(-5*(((-10.83*(-10.83-(-5/-5)))*(-10.83-(-10.83/(-5*-10.83))))-(-5/-5)))))</f>
        <v>-6635.261735</v>
      </c>
      <c r="C8918" t="n" s="0">
        <v>-6635.261735</v>
      </c>
    </row>
    <row r="8919">
      <c r="A8919" t="n" s="0">
        <v>-10.82</v>
      </c>
      <c r="B8919" t="n" s="0">
        <f>(-5-((((-5*(-5/((-5/(((-5*(-10.82--5))-(-5+((-5*-10.82)*(((-5--5)+(-10.82--5))+-10.82))))-(-5+-5)))*-5)))/-5)--5)+(-5*(((-10.82*(-10.82-(-5/-5)))*(-10.82-(-10.82/(-5*-10.82))))-(-5/-5)))))</f>
        <v>-6617.22164</v>
      </c>
      <c r="C8919" t="n" s="0">
        <v>-6617.221640000001</v>
      </c>
    </row>
    <row r="8920">
      <c r="A8920" t="n" s="0">
        <v>-10.81</v>
      </c>
      <c r="B8920" t="n" s="0">
        <f>(-5-((((-5*(-5/((-5/(((-5*(-10.81--5))-(-5+((-5*-10.81)*(((-5--5)+(-10.81--5))+-10.81))))-(-5+-5)))*-5)))/-5)--5)+(-5*(((-10.81*(-10.81-(-5/-5)))*(-10.81-(-10.81/(-5*-10.81))))-(-5/-5)))))</f>
        <v>-6599.214405</v>
      </c>
      <c r="C8920" t="n" s="0">
        <v>-6599.214405000001</v>
      </c>
    </row>
    <row r="8921">
      <c r="A8921" t="n" s="0">
        <v>-10.8</v>
      </c>
      <c r="B8921" t="n" s="0">
        <f>(-5-((((-5*(-5/((-5/(((-5*(-10.8--5))-(-5+((-5*-10.8)*(((-5--5)+(-10.8--5))+-10.8))))-(-5+-5)))*-5)))/-5)--5)+(-5*(((-10.8*(-10.8-(-5/-5)))*(-10.8-(-10.8/(-5*-10.8))))-(-5/-5)))))</f>
        <v>-6581.24</v>
      </c>
      <c r="C8921" t="n" s="0">
        <v>-6581.240000000001</v>
      </c>
    </row>
    <row r="8922">
      <c r="A8922" t="n" s="0">
        <v>-10.79</v>
      </c>
      <c r="B8922" t="n" s="0">
        <f>(-5-((((-5*(-5/((-5/(((-5*(-10.79--5))-(-5+((-5*-10.79)*(((-5--5)+(-10.79--5))+-10.79))))-(-5+-5)))*-5)))/-5)--5)+(-5*(((-10.79*(-10.79-(-5/-5)))*(-10.79-(-10.79/(-5*-10.79))))-(-5/-5)))))</f>
        <v>-6563.298395000001</v>
      </c>
      <c r="C8922" t="n" s="0">
        <v>-6563.298394999999</v>
      </c>
    </row>
    <row r="8923">
      <c r="A8923" t="n" s="0">
        <v>-10.78</v>
      </c>
      <c r="B8923" t="n" s="0">
        <f>(-5-((((-5*(-5/((-5/(((-5*(-10.78--5))-(-5+((-5*-10.78)*(((-5--5)+(-10.78--5))+-10.78))))-(-5+-5)))*-5)))/-5)--5)+(-5*(((-10.78*(-10.78-(-5/-5)))*(-10.78-(-10.78/(-5*-10.78))))-(-5/-5)))))</f>
        <v>-6545.38956</v>
      </c>
      <c r="C8923" t="n" s="0">
        <v>-6545.38956</v>
      </c>
    </row>
    <row r="8924">
      <c r="A8924" t="n" s="0">
        <v>-10.77</v>
      </c>
      <c r="B8924" t="n" s="0">
        <f>(-5-((((-5*(-5/((-5/(((-5*(-10.77--5))-(-5+((-5*-10.77)*(((-5--5)+(-10.77--5))+-10.77))))-(-5+-5)))*-5)))/-5)--5)+(-5*(((-10.77*(-10.77-(-5/-5)))*(-10.77-(-10.77/(-5*-10.77))))-(-5/-5)))))</f>
        <v>-6527.513465</v>
      </c>
      <c r="C8924" t="n" s="0">
        <v>-6527.513465</v>
      </c>
    </row>
    <row r="8925">
      <c r="A8925" t="n" s="0">
        <v>-10.76</v>
      </c>
      <c r="B8925" t="n" s="0">
        <f>(-5-((((-5*(-5/((-5/(((-5*(-10.76--5))-(-5+((-5*-10.76)*(((-5--5)+(-10.76--5))+-10.76))))-(-5+-5)))*-5)))/-5)--5)+(-5*(((-10.76*(-10.76-(-5/-5)))*(-10.76-(-10.76/(-5*-10.76))))-(-5/-5)))))</f>
        <v>-6509.67008</v>
      </c>
      <c r="C8925" t="n" s="0">
        <v>-6509.670079999999</v>
      </c>
    </row>
    <row r="8926">
      <c r="A8926" t="n" s="0">
        <v>-10.75</v>
      </c>
      <c r="B8926" t="n" s="0">
        <f>(-5-((((-5*(-5/((-5/(((-5*(-10.75--5))-(-5+((-5*-10.75)*(((-5--5)+(-10.75--5))+-10.75))))-(-5+-5)))*-5)))/-5)--5)+(-5*(((-10.75*(-10.75-(-5/-5)))*(-10.75-(-10.75/(-5*-10.75))))-(-5/-5)))))</f>
        <v>-6491.859375</v>
      </c>
      <c r="C8926" t="n" s="0">
        <v>-6491.859375</v>
      </c>
    </row>
    <row r="8927">
      <c r="A8927" t="n" s="0">
        <v>-10.74</v>
      </c>
      <c r="B8927" t="n" s="0">
        <f>(-5-((((-5*(-5/((-5/(((-5*(-10.74--5))-(-5+((-5*-10.74)*(((-5--5)+(-10.74--5))+-10.74))))-(-5+-5)))*-5)))/-5)--5)+(-5*(((-10.74*(-10.74-(-5/-5)))*(-10.74-(-10.74/(-5*-10.74))))-(-5/-5)))))</f>
        <v>-6474.08132</v>
      </c>
      <c r="C8927" t="n" s="0">
        <v>-6474.08132</v>
      </c>
    </row>
    <row r="8928">
      <c r="A8928" t="n" s="0">
        <v>-10.73</v>
      </c>
      <c r="B8928" t="n" s="0">
        <f>(-5-((((-5*(-5/((-5/(((-5*(-10.73--5))-(-5+((-5*-10.73)*(((-5--5)+(-10.73--5))+-10.73))))-(-5+-5)))*-5)))/-5)--5)+(-5*(((-10.73*(-10.73-(-5/-5)))*(-10.73-(-10.73/(-5*-10.73))))-(-5/-5)))))</f>
        <v>-6456.3358849999995</v>
      </c>
      <c r="C8928" t="n" s="0">
        <v>-6456.335885</v>
      </c>
    </row>
    <row r="8929">
      <c r="A8929" t="n" s="0">
        <v>-10.72</v>
      </c>
      <c r="B8929" t="n" s="0">
        <f>(-5-((((-5*(-5/((-5/(((-5*(-10.72--5))-(-5+((-5*-10.72)*(((-5--5)+(-10.72--5))+-10.72))))-(-5+-5)))*-5)))/-5)--5)+(-5*(((-10.72*(-10.72-(-5/-5)))*(-10.72-(-10.72/(-5*-10.72))))-(-5/-5)))))</f>
        <v>-6438.62304</v>
      </c>
      <c r="C8929" t="n" s="0">
        <v>-6438.623040000001</v>
      </c>
    </row>
    <row r="8930">
      <c r="A8930" t="n" s="0">
        <v>-10.71</v>
      </c>
      <c r="B8930" t="n" s="0">
        <f>(-5-((((-5*(-5/((-5/(((-5*(-10.71--5))-(-5+((-5*-10.71)*(((-5--5)+(-10.71--5))+-10.71))))-(-5+-5)))*-5)))/-5)--5)+(-5*(((-10.71*(-10.71-(-5/-5)))*(-10.71-(-10.71/(-5*-10.71))))-(-5/-5)))))</f>
        <v>-6420.942755</v>
      </c>
      <c r="C8930" t="n" s="0">
        <v>-6420.942755000002</v>
      </c>
    </row>
    <row r="8931">
      <c r="A8931" t="n" s="0">
        <v>-10.7</v>
      </c>
      <c r="B8931" t="n" s="0">
        <f>(-5-((((-5*(-5/((-5/(((-5*(-10.7--5))-(-5+((-5*-10.7)*(((-5--5)+(-10.7--5))+-10.7))))-(-5+-5)))*-5)))/-5)--5)+(-5*(((-10.7*(-10.7-(-5/-5)))*(-10.7-(-10.7/(-5*-10.7))))-(-5/-5)))))</f>
        <v>-6403.295</v>
      </c>
      <c r="C8931" t="n" s="0">
        <v>-6403.294999999998</v>
      </c>
    </row>
    <row r="8932">
      <c r="A8932" t="n" s="0">
        <v>-10.69</v>
      </c>
      <c r="B8932" t="n" s="0">
        <f>(-5-((((-5*(-5/((-5/(((-5*(-10.69--5))-(-5+((-5*-10.69)*(((-5--5)+(-10.69--5))+-10.69))))-(-5+-5)))*-5)))/-5)--5)+(-5*(((-10.69*(-10.69-(-5/-5)))*(-10.69-(-10.69/(-5*-10.69))))-(-5/-5)))))</f>
        <v>-6385.679745</v>
      </c>
      <c r="C8932" t="n" s="0">
        <v>-6385.6797449999995</v>
      </c>
    </row>
    <row r="8933">
      <c r="A8933" t="n" s="0">
        <v>-10.68</v>
      </c>
      <c r="B8933" t="n" s="0">
        <f>(-5-((((-5*(-5/((-5/(((-5*(-10.68--5))-(-5+((-5*-10.68)*(((-5--5)+(-10.68--5))+-10.68))))-(-5+-5)))*-5)))/-5)--5)+(-5*(((-10.68*(-10.68-(-5/-5)))*(-10.68-(-10.68/(-5*-10.68))))-(-5/-5)))))</f>
        <v>-6368.09696</v>
      </c>
      <c r="C8933" t="n" s="0">
        <v>-6368.09696</v>
      </c>
    </row>
    <row r="8934">
      <c r="A8934" t="n" s="0">
        <v>-10.67</v>
      </c>
      <c r="B8934" t="n" s="0">
        <f>(-5-((((-5*(-5/((-5/(((-5*(-10.67--5))-(-5+((-5*-10.67)*(((-5--5)+(-10.67--5))+-10.67))))-(-5+-5)))*-5)))/-5)--5)+(-5*(((-10.67*(-10.67-(-5/-5)))*(-10.67-(-10.67/(-5*-10.67))))-(-5/-5)))))</f>
        <v>-6350.546615</v>
      </c>
      <c r="C8934" t="n" s="0">
        <v>-6350.546615</v>
      </c>
    </row>
    <row r="8935">
      <c r="A8935" t="n" s="0">
        <v>-10.66</v>
      </c>
      <c r="B8935" t="n" s="0">
        <f>(-5-((((-5*(-5/((-5/(((-5*(-10.66--5))-(-5+((-5*-10.66)*(((-5--5)+(-10.66--5))+-10.66))))-(-5+-5)))*-5)))/-5)--5)+(-5*(((-10.66*(-10.66-(-5/-5)))*(-10.66-(-10.66/(-5*-10.66))))-(-5/-5)))))</f>
        <v>-6333.02868</v>
      </c>
      <c r="C8935" t="n" s="0">
        <v>-6333.02868</v>
      </c>
    </row>
    <row r="8936">
      <c r="A8936" t="n" s="0">
        <v>-10.65</v>
      </c>
      <c r="B8936" t="n" s="0">
        <f>(-5-((((-5*(-5/((-5/(((-5*(-10.65--5))-(-5+((-5*-10.65)*(((-5--5)+(-10.65--5))+-10.65))))-(-5+-5)))*-5)))/-5)--5)+(-5*(((-10.65*(-10.65-(-5/-5)))*(-10.65-(-10.65/(-5*-10.65))))-(-5/-5)))))</f>
        <v>-6315.543125</v>
      </c>
      <c r="C8936" t="n" s="0">
        <v>-6315.543125000001</v>
      </c>
    </row>
    <row r="8937">
      <c r="A8937" t="n" s="0">
        <v>-10.64</v>
      </c>
      <c r="B8937" t="n" s="0">
        <f>(-5-((((-5*(-5/((-5/(((-5*(-10.64--5))-(-5+((-5*-10.64)*(((-5--5)+(-10.64--5))+-10.64))))-(-5+-5)))*-5)))/-5)--5)+(-5*(((-10.64*(-10.64-(-5/-5)))*(-10.64-(-10.64/(-5*-10.64))))-(-5/-5)))))</f>
        <v>-6298.08992</v>
      </c>
      <c r="C8937" t="n" s="0">
        <v>-6298.089920000002</v>
      </c>
    </row>
    <row r="8938">
      <c r="A8938" t="n" s="0">
        <v>-10.63</v>
      </c>
      <c r="B8938" t="n" s="0">
        <f>(-5-((((-5*(-5/((-5/(((-5*(-10.63--5))-(-5+((-5*-10.63)*(((-5--5)+(-10.63--5))+-10.63))))-(-5+-5)))*-5)))/-5)--5)+(-5*(((-10.63*(-10.63-(-5/-5)))*(-10.63-(-10.63/(-5*-10.63))))-(-5/-5)))))</f>
        <v>-6280.669035</v>
      </c>
      <c r="C8938" t="n" s="0">
        <v>-6280.669035000003</v>
      </c>
    </row>
    <row r="8939">
      <c r="A8939" t="n" s="0">
        <v>-10.62</v>
      </c>
      <c r="B8939" t="n" s="0">
        <f>(-5-((((-5*(-5/((-5/(((-5*(-10.62--5))-(-5+((-5*-10.62)*(((-5--5)+(-10.62--5))+-10.62))))-(-5+-5)))*-5)))/-5)--5)+(-5*(((-10.62*(-10.62-(-5/-5)))*(-10.62-(-10.62/(-5*-10.62))))-(-5/-5)))))</f>
        <v>-6263.28044</v>
      </c>
      <c r="C8939" t="n" s="0">
        <v>-6263.280439999999</v>
      </c>
    </row>
    <row r="8940">
      <c r="A8940" t="n" s="0">
        <v>-10.61</v>
      </c>
      <c r="B8940" t="n" s="0">
        <f>(-5-((((-5*(-5/((-5/(((-5*(-10.61--5))-(-5+((-5*-10.61)*(((-5--5)+(-10.61--5))+-10.61))))-(-5+-5)))*-5)))/-5)--5)+(-5*(((-10.61*(-10.61-(-5/-5)))*(-10.61-(-10.61/(-5*-10.61))))-(-5/-5)))))</f>
        <v>-6245.924105</v>
      </c>
      <c r="C8940" t="n" s="0">
        <v>-6245.924104999999</v>
      </c>
    </row>
    <row r="8941">
      <c r="A8941" t="n" s="0">
        <v>-10.6</v>
      </c>
      <c r="B8941" t="n" s="0">
        <f>(-5-((((-5*(-5/((-5/(((-5*(-10.6--5))-(-5+((-5*-10.6)*(((-5--5)+(-10.6--5))+-10.6))))-(-5+-5)))*-5)))/-5)--5)+(-5*(((-10.6*(-10.6-(-5/-5)))*(-10.6-(-10.6/(-5*-10.6))))-(-5/-5)))))</f>
        <v>-6228.6</v>
      </c>
      <c r="C8941" t="n" s="0">
        <v>-6228.599999999999</v>
      </c>
    </row>
    <row r="8942">
      <c r="A8942" t="n" s="0">
        <v>-10.59</v>
      </c>
      <c r="B8942" t="n" s="0">
        <f>(-5-((((-5*(-5/((-5/(((-5*(-10.59--5))-(-5+((-5*-10.59)*(((-5--5)+(-10.59--5))+-10.59))))-(-5+-5)))*-5)))/-5)--5)+(-5*(((-10.59*(-10.59-(-5/-5)))*(-10.59-(-10.59/(-5*-10.59))))-(-5/-5)))))</f>
        <v>-6211.308095</v>
      </c>
      <c r="C8942" t="n" s="0">
        <v>-6211.308095</v>
      </c>
    </row>
    <row r="8943">
      <c r="A8943" t="n" s="0">
        <v>-10.58</v>
      </c>
      <c r="B8943" t="n" s="0">
        <f>(-5-((((-5*(-5/((-5/(((-5*(-10.58--5))-(-5+((-5*-10.58)*(((-5--5)+(-10.58--5))+-10.58))))-(-5+-5)))*-5)))/-5)--5)+(-5*(((-10.58*(-10.58-(-5/-5)))*(-10.58-(-10.58/(-5*-10.58))))-(-5/-5)))))</f>
        <v>-6194.04836</v>
      </c>
      <c r="C8943" t="n" s="0">
        <v>-6194.04836</v>
      </c>
    </row>
    <row r="8944">
      <c r="A8944" t="n" s="0">
        <v>-10.57</v>
      </c>
      <c r="B8944" t="n" s="0">
        <f>(-5-((((-5*(-5/((-5/(((-5*(-10.57--5))-(-5+((-5*-10.57)*(((-5--5)+(-10.57--5))+-10.57))))-(-5+-5)))*-5)))/-5)--5)+(-5*(((-10.57*(-10.57-(-5/-5)))*(-10.57-(-10.57/(-5*-10.57))))-(-5/-5)))))</f>
        <v>-6176.820765</v>
      </c>
      <c r="C8944" t="n" s="0">
        <v>-6176.820765000001</v>
      </c>
    </row>
    <row r="8945">
      <c r="A8945" t="n" s="0">
        <v>-10.56</v>
      </c>
      <c r="B8945" t="n" s="0">
        <f>(-5-((((-5*(-5/((-5/(((-5*(-10.56--5))-(-5+((-5*-10.56)*(((-5--5)+(-10.56--5))+-10.56))))-(-5+-5)))*-5)))/-5)--5)+(-5*(((-10.56*(-10.56-(-5/-5)))*(-10.56-(-10.56/(-5*-10.56))))-(-5/-5)))))</f>
        <v>-6159.62528</v>
      </c>
      <c r="C8945" t="n" s="0">
        <v>-6159.625280000001</v>
      </c>
    </row>
    <row r="8946">
      <c r="A8946" t="n" s="0">
        <v>-10.55</v>
      </c>
      <c r="B8946" t="n" s="0">
        <f>(-5-((((-5*(-5/((-5/(((-5*(-10.55--5))-(-5+((-5*-10.55)*(((-5--5)+(-10.55--5))+-10.55))))-(-5+-5)))*-5)))/-5)--5)+(-5*(((-10.55*(-10.55-(-5/-5)))*(-10.55-(-10.55/(-5*-10.55))))-(-5/-5)))))</f>
        <v>-6142.461875</v>
      </c>
      <c r="C8946" t="n" s="0">
        <v>-6142.461875000001</v>
      </c>
    </row>
    <row r="8947">
      <c r="A8947" t="n" s="0">
        <v>-10.54</v>
      </c>
      <c r="B8947" t="n" s="0">
        <f>(-5-((((-5*(-5/((-5/(((-5*(-10.54--5))-(-5+((-5*-10.54)*(((-5--5)+(-10.54--5))+-10.54))))-(-5+-5)))*-5)))/-5)--5)+(-5*(((-10.54*(-10.54-(-5/-5)))*(-10.54-(-10.54/(-5*-10.54))))-(-5/-5)))))</f>
        <v>-6125.33052</v>
      </c>
      <c r="C8947" t="n" s="0">
        <v>-6125.330519999999</v>
      </c>
    </row>
    <row r="8948">
      <c r="A8948" t="n" s="0">
        <v>-10.53</v>
      </c>
      <c r="B8948" t="n" s="0">
        <f>(-5-((((-5*(-5/((-5/(((-5*(-10.53--5))-(-5+((-5*-10.53)*(((-5--5)+(-10.53--5))+-10.53))))-(-5+-5)))*-5)))/-5)--5)+(-5*(((-10.53*(-10.53-(-5/-5)))*(-10.53-(-10.53/(-5*-10.53))))-(-5/-5)))))</f>
        <v>-6108.231185</v>
      </c>
      <c r="C8948" t="n" s="0">
        <v>-6108.231184999999</v>
      </c>
    </row>
    <row r="8949">
      <c r="A8949" t="n" s="0">
        <v>-10.52</v>
      </c>
      <c r="B8949" t="n" s="0">
        <f>(-5-((((-5*(-5/((-5/(((-5*(-10.52--5))-(-5+((-5*-10.52)*(((-5--5)+(-10.52--5))+-10.52))))-(-5+-5)))*-5)))/-5)--5)+(-5*(((-10.52*(-10.52-(-5/-5)))*(-10.52-(-10.52/(-5*-10.52))))-(-5/-5)))))</f>
        <v>-6091.16384</v>
      </c>
      <c r="C8949" t="n" s="0">
        <v>-6091.163839999999</v>
      </c>
    </row>
    <row r="8950">
      <c r="A8950" t="n" s="0">
        <v>-10.51</v>
      </c>
      <c r="B8950" t="n" s="0">
        <f>(-5-((((-5*(-5/((-5/(((-5*(-10.51--5))-(-5+((-5*-10.51)*(((-5--5)+(-10.51--5))+-10.51))))-(-5+-5)))*-5)))/-5)--5)+(-5*(((-10.51*(-10.51-(-5/-5)))*(-10.51-(-10.51/(-5*-10.51))))-(-5/-5)))))</f>
        <v>-6074.128455</v>
      </c>
      <c r="C8950" t="n" s="0">
        <v>-6074.128454999999</v>
      </c>
    </row>
    <row r="8951">
      <c r="A8951" t="n" s="0">
        <v>-10.5</v>
      </c>
      <c r="B8951" t="n" s="0">
        <f>(-5-((((-5*(-5/((-5/(((-5*(-10.5--5))-(-5+((-5*-10.5)*(((-5--5)+(-10.5--5))+-10.5))))-(-5+-5)))*-5)))/-5)--5)+(-5*(((-10.5*(-10.5-(-5/-5)))*(-10.5-(-10.5/(-5*-10.5))))-(-5/-5)))))</f>
        <v>-6057.125</v>
      </c>
      <c r="C8951" t="n" s="0">
        <v>-6057.125</v>
      </c>
    </row>
    <row r="8952">
      <c r="A8952" t="n" s="0">
        <v>-10.49</v>
      </c>
      <c r="B8952" t="n" s="0">
        <f>(-5-((((-5*(-5/((-5/(((-5*(-10.49--5))-(-5+((-5*-10.49)*(((-5--5)+(-10.49--5))+-10.49))))-(-5+-5)))*-5)))/-5)--5)+(-5*(((-10.49*(-10.49-(-5/-5)))*(-10.49-(-10.49/(-5*-10.49))))-(-5/-5)))))</f>
        <v>-6040.153445</v>
      </c>
      <c r="C8952" t="n" s="0">
        <v>-6040.153445000001</v>
      </c>
    </row>
    <row r="8953">
      <c r="A8953" t="n" s="0">
        <v>-10.48</v>
      </c>
      <c r="B8953" t="n" s="0">
        <f>(-5-((((-5*(-5/((-5/(((-5*(-10.48--5))-(-5+((-5*-10.48)*(((-5--5)+(-10.48--5))+-10.48))))-(-5+-5)))*-5)))/-5)--5)+(-5*(((-10.48*(-10.48-(-5/-5)))*(-10.48-(-10.48/(-5*-10.48))))-(-5/-5)))))</f>
        <v>-6023.213760000001</v>
      </c>
      <c r="C8953" t="n" s="0">
        <v>-6023.21376</v>
      </c>
    </row>
    <row r="8954">
      <c r="A8954" t="n" s="0">
        <v>-10.47</v>
      </c>
      <c r="B8954" t="n" s="0">
        <f>(-5-((((-5*(-5/((-5/(((-5*(-10.47--5))-(-5+((-5*-10.47)*(((-5--5)+(-10.47--5))+-10.47))))-(-5+-5)))*-5)))/-5)--5)+(-5*(((-10.47*(-10.47-(-5/-5)))*(-10.47-(-10.47/(-5*-10.47))))-(-5/-5)))))</f>
        <v>-6006.305915</v>
      </c>
      <c r="C8954" t="n" s="0">
        <v>-6006.305915</v>
      </c>
    </row>
    <row r="8955">
      <c r="A8955" t="n" s="0">
        <v>-10.46</v>
      </c>
      <c r="B8955" t="n" s="0">
        <f>(-5-((((-5*(-5/((-5/(((-5*(-10.46--5))-(-5+((-5*-10.46)*(((-5--5)+(-10.46--5))+-10.46))))-(-5+-5)))*-5)))/-5)--5)+(-5*(((-10.46*(-10.46-(-5/-5)))*(-10.46-(-10.46/(-5*-10.46))))-(-5/-5)))))</f>
        <v>-5989.429880000001</v>
      </c>
      <c r="C8955" t="n" s="0">
        <v>-5989.4298800000015</v>
      </c>
    </row>
    <row r="8956">
      <c r="A8956" t="n" s="0">
        <v>-10.45</v>
      </c>
      <c r="B8956" t="n" s="0">
        <f>(-5-((((-5*(-5/((-5/(((-5*(-10.45--5))-(-5+((-5*-10.45)*(((-5--5)+(-10.45--5))+-10.45))))-(-5+-5)))*-5)))/-5)--5)+(-5*(((-10.45*(-10.45-(-5/-5)))*(-10.45-(-10.45/(-5*-10.45))))-(-5/-5)))))</f>
        <v>-5972.585625000001</v>
      </c>
      <c r="C8956" t="n" s="0">
        <v>-5972.585624999999</v>
      </c>
    </row>
    <row r="8957">
      <c r="A8957" t="n" s="0">
        <v>-10.44</v>
      </c>
      <c r="B8957" t="n" s="0">
        <f>(-5-((((-5*(-5/((-5/(((-5*(-10.44--5))-(-5+((-5*-10.44)*(((-5--5)+(-10.44--5))+-10.44))))-(-5+-5)))*-5)))/-5)--5)+(-5*(((-10.44*(-10.44-(-5/-5)))*(-10.44-(-10.44/(-5*-10.44))))-(-5/-5)))))</f>
        <v>-5955.77312</v>
      </c>
      <c r="C8957" t="n" s="0">
        <v>-5955.773119999998</v>
      </c>
    </row>
    <row r="8958">
      <c r="A8958" t="n" s="0">
        <v>-10.43</v>
      </c>
      <c r="B8958" t="n" s="0">
        <f>(-5-((((-5*(-5/((-5/(((-5*(-10.43--5))-(-5+((-5*-10.43)*(((-5--5)+(-10.43--5))+-10.43))))-(-5+-5)))*-5)))/-5)--5)+(-5*(((-10.43*(-10.43-(-5/-5)))*(-10.43-(-10.43/(-5*-10.43))))-(-5/-5)))))</f>
        <v>-5938.992335</v>
      </c>
      <c r="C8958" t="n" s="0">
        <v>-5938.992335</v>
      </c>
    </row>
    <row r="8959">
      <c r="A8959" t="n" s="0">
        <v>-10.42</v>
      </c>
      <c r="B8959" t="n" s="0">
        <f>(-5-((((-5*(-5/((-5/(((-5*(-10.42--5))-(-5+((-5*-10.42)*(((-5--5)+(-10.42--5))+-10.42))))-(-5+-5)))*-5)))/-5)--5)+(-5*(((-10.42*(-10.42-(-5/-5)))*(-10.42-(-10.42/(-5*-10.42))))-(-5/-5)))))</f>
        <v>-5922.24324</v>
      </c>
      <c r="C8959" t="n" s="0">
        <v>-5922.24324</v>
      </c>
    </row>
    <row r="8960">
      <c r="A8960" t="n" s="0">
        <v>-10.41</v>
      </c>
      <c r="B8960" t="n" s="0">
        <f>(-5-((((-5*(-5/((-5/(((-5*(-10.41--5))-(-5+((-5*-10.41)*(((-5--5)+(-10.41--5))+-10.41))))-(-5+-5)))*-5)))/-5)--5)+(-5*(((-10.41*(-10.41-(-5/-5)))*(-10.41-(-10.41/(-5*-10.41))))-(-5/-5)))))</f>
        <v>-5905.525805</v>
      </c>
      <c r="C8960" t="n" s="0">
        <v>-5905.525804999999</v>
      </c>
    </row>
    <row r="8961">
      <c r="A8961" t="n" s="0">
        <v>-10.4</v>
      </c>
      <c r="B8961" t="n" s="0">
        <f>(-5-((((-5*(-5/((-5/(((-5*(-10.4--5))-(-5+((-5*-10.4)*(((-5--5)+(-10.4--5))+-10.4))))-(-5+-5)))*-5)))/-5)--5)+(-5*(((-10.4*(-10.4-(-5/-5)))*(-10.4-(-10.4/(-5*-10.4))))-(-5/-5)))))</f>
        <v>-5888.84</v>
      </c>
      <c r="C8961" t="n" s="0">
        <v>-5888.839999999999</v>
      </c>
    </row>
    <row r="8962">
      <c r="A8962" t="n" s="0">
        <v>-10.39</v>
      </c>
      <c r="B8962" t="n" s="0">
        <f>(-5-((((-5*(-5/((-5/(((-5*(-10.39--5))-(-5+((-5*-10.39)*(((-5--5)+(-10.39--5))+-10.39))))-(-5+-5)))*-5)))/-5)--5)+(-5*(((-10.39*(-10.39-(-5/-5)))*(-10.39-(-10.39/(-5*-10.39))))-(-5/-5)))))</f>
        <v>-5872.185794999999</v>
      </c>
      <c r="C8962" t="n" s="0">
        <v>-5872.185795000001</v>
      </c>
    </row>
    <row r="8963">
      <c r="A8963" t="n" s="0">
        <v>-10.38</v>
      </c>
      <c r="B8963" t="n" s="0">
        <f>(-5-((((-5*(-5/((-5/(((-5*(-10.38--5))-(-5+((-5*-10.38)*(((-5--5)+(-10.38--5))+-10.38))))-(-5+-5)))*-5)))/-5)--5)+(-5*(((-10.38*(-10.38-(-5/-5)))*(-10.38-(-10.38/(-5*-10.38))))-(-5/-5)))))</f>
        <v>-5855.563160000001</v>
      </c>
      <c r="C8963" t="n" s="0">
        <v>-5855.5631600000015</v>
      </c>
    </row>
    <row r="8964">
      <c r="A8964" t="n" s="0">
        <v>-10.37</v>
      </c>
      <c r="B8964" t="n" s="0">
        <f>(-5-((((-5*(-5/((-5/(((-5*(-10.37--5))-(-5+((-5*-10.37)*(((-5--5)+(-10.37--5))+-10.37))))-(-5+-5)))*-5)))/-5)--5)+(-5*(((-10.37*(-10.37-(-5/-5)))*(-10.37-(-10.37/(-5*-10.37))))-(-5/-5)))))</f>
        <v>-5838.972065</v>
      </c>
      <c r="C8964" t="n" s="0">
        <v>-5838.972064999999</v>
      </c>
    </row>
    <row r="8965">
      <c r="A8965" t="n" s="0">
        <v>-10.36</v>
      </c>
      <c r="B8965" t="n" s="0">
        <f>(-5-((((-5*(-5/((-5/(((-5*(-10.36--5))-(-5+((-5*-10.36)*(((-5--5)+(-10.36--5))+-10.36))))-(-5+-5)))*-5)))/-5)--5)+(-5*(((-10.36*(-10.36-(-5/-5)))*(-10.36-(-10.36/(-5*-10.36))))-(-5/-5)))))</f>
        <v>-5822.412480000001</v>
      </c>
      <c r="C8965" t="n" s="0">
        <v>-5822.412479999999</v>
      </c>
    </row>
    <row r="8966">
      <c r="A8966" t="n" s="0">
        <v>-10.35</v>
      </c>
      <c r="B8966" t="n" s="0">
        <f>(-5-((((-5*(-5/((-5/(((-5*(-10.35--5))-(-5+((-5*-10.35)*(((-5--5)+(-10.35--5))+-10.35))))-(-5+-5)))*-5)))/-5)--5)+(-5*(((-10.35*(-10.35-(-5/-5)))*(-10.35-(-10.35/(-5*-10.35))))-(-5/-5)))))</f>
        <v>-5805.884375</v>
      </c>
      <c r="C8966" t="n" s="0">
        <v>-5805.884375</v>
      </c>
    </row>
    <row r="8967">
      <c r="A8967" t="n" s="0">
        <v>-10.34</v>
      </c>
      <c r="B8967" t="n" s="0">
        <f>(-5-((((-5*(-5/((-5/(((-5*(-10.34--5))-(-5+((-5*-10.34)*(((-5--5)+(-10.34--5))+-10.34))))-(-5+-5)))*-5)))/-5)--5)+(-5*(((-10.34*(-10.34-(-5/-5)))*(-10.34-(-10.34/(-5*-10.34))))-(-5/-5)))))</f>
        <v>-5789.38772</v>
      </c>
      <c r="C8967" t="n" s="0">
        <v>-5789.38772</v>
      </c>
    </row>
    <row r="8968">
      <c r="A8968" t="n" s="0">
        <v>-10.33</v>
      </c>
      <c r="B8968" t="n" s="0">
        <f>(-5-((((-5*(-5/((-5/(((-5*(-10.33--5))-(-5+((-5*-10.33)*(((-5--5)+(-10.33--5))+-10.33))))-(-5+-5)))*-5)))/-5)--5)+(-5*(((-10.33*(-10.33-(-5/-5)))*(-10.33-(-10.33/(-5*-10.33))))-(-5/-5)))))</f>
        <v>-5772.922484999999</v>
      </c>
      <c r="C8968" t="n" s="0">
        <v>-5772.922485</v>
      </c>
    </row>
    <row r="8969">
      <c r="A8969" t="n" s="0">
        <v>-10.32</v>
      </c>
      <c r="B8969" t="n" s="0">
        <f>(-5-((((-5*(-5/((-5/(((-5*(-10.32--5))-(-5+((-5*-10.32)*(((-5--5)+(-10.32--5))+-10.32))))-(-5+-5)))*-5)))/-5)--5)+(-5*(((-10.32*(-10.32-(-5/-5)))*(-10.32-(-10.32/(-5*-10.32))))-(-5/-5)))))</f>
        <v>-5756.4886400000005</v>
      </c>
      <c r="C8969" t="n" s="0">
        <v>-5756.4886400000005</v>
      </c>
    </row>
    <row r="8970">
      <c r="A8970" t="n" s="0">
        <v>-10.31</v>
      </c>
      <c r="B8970" t="n" s="0">
        <f>(-5-((((-5*(-5/((-5/(((-5*(-10.31--5))-(-5+((-5*-10.31)*(((-5--5)+(-10.31--5))+-10.31))))-(-5+-5)))*-5)))/-5)--5)+(-5*(((-10.31*(-10.31-(-5/-5)))*(-10.31-(-10.31/(-5*-10.31))))-(-5/-5)))))</f>
        <v>-5740.086155</v>
      </c>
      <c r="C8970" t="n" s="0">
        <v>-5740.086155000002</v>
      </c>
    </row>
    <row r="8971">
      <c r="A8971" t="n" s="0">
        <v>-10.3</v>
      </c>
      <c r="B8971" t="n" s="0">
        <f>(-5-((((-5*(-5/((-5/(((-5*(-10.3--5))-(-5+((-5*-10.3)*(((-5--5)+(-10.3--5))+-10.3))))-(-5+-5)))*-5)))/-5)--5)+(-5*(((-10.3*(-10.3-(-5/-5)))*(-10.3-(-10.3/(-5*-10.3))))-(-5/-5)))))</f>
        <v>-5723.715</v>
      </c>
      <c r="C8971" t="n" s="0">
        <v>-5723.715000000002</v>
      </c>
    </row>
    <row r="8972">
      <c r="A8972" t="n" s="0">
        <v>-10.29</v>
      </c>
      <c r="B8972" t="n" s="0">
        <f>(-5-((((-5*(-5/((-5/(((-5*(-10.29--5))-(-5+((-5*-10.29)*(((-5--5)+(-10.29--5))+-10.29))))-(-5+-5)))*-5)))/-5)--5)+(-5*(((-10.29*(-10.29-(-5/-5)))*(-10.29-(-10.29/(-5*-10.29))))-(-5/-5)))))</f>
        <v>-5707.375145</v>
      </c>
      <c r="C8972" t="n" s="0">
        <v>-5707.375144999999</v>
      </c>
    </row>
    <row r="8973">
      <c r="A8973" t="n" s="0">
        <v>-10.28</v>
      </c>
      <c r="B8973" t="n" s="0">
        <f>(-5-((((-5*(-5/((-5/(((-5*(-10.28--5))-(-5+((-5*-10.28)*(((-5--5)+(-10.28--5))+-10.28))))-(-5+-5)))*-5)))/-5)--5)+(-5*(((-10.28*(-10.28-(-5/-5)))*(-10.28-(-10.28/(-5*-10.28))))-(-5/-5)))))</f>
        <v>-5691.06656</v>
      </c>
      <c r="C8973" t="n" s="0">
        <v>-5691.066559999998</v>
      </c>
    </row>
    <row r="8974">
      <c r="A8974" t="n" s="0">
        <v>-10.27</v>
      </c>
      <c r="B8974" t="n" s="0">
        <f>(-5-((((-5*(-5/((-5/(((-5*(-10.27--5))-(-5+((-5*-10.27)*(((-5--5)+(-10.27--5))+-10.27))))-(-5+-5)))*-5)))/-5)--5)+(-5*(((-10.27*(-10.27-(-5/-5)))*(-10.27-(-10.27/(-5*-10.27))))-(-5/-5)))))</f>
        <v>-5674.789215000001</v>
      </c>
      <c r="C8974" t="n" s="0">
        <v>-5674.789215000001</v>
      </c>
    </row>
    <row r="8975">
      <c r="A8975" t="n" s="0">
        <v>-10.26</v>
      </c>
      <c r="B8975" t="n" s="0">
        <f>(-5-((((-5*(-5/((-5/(((-5*(-10.26--5))-(-5+((-5*-10.26)*(((-5--5)+(-10.26--5))+-10.26))))-(-5+-5)))*-5)))/-5)--5)+(-5*(((-10.26*(-10.26-(-5/-5)))*(-10.26-(-10.26/(-5*-10.26))))-(-5/-5)))))</f>
        <v>-5658.5430799999995</v>
      </c>
      <c r="C8975" t="n" s="0">
        <v>-5658.54308</v>
      </c>
    </row>
    <row r="8976">
      <c r="A8976" t="n" s="0">
        <v>-10.25</v>
      </c>
      <c r="B8976" t="n" s="0">
        <f>(-5-((((-5*(-5/((-5/(((-5*(-10.25--5))-(-5+((-5*-10.25)*(((-5--5)+(-10.25--5))+-10.25))))-(-5+-5)))*-5)))/-5)--5)+(-5*(((-10.25*(-10.25-(-5/-5)))*(-10.25-(-10.25/(-5*-10.25))))-(-5/-5)))))</f>
        <v>-5642.328125</v>
      </c>
      <c r="C8976" t="n" s="0">
        <v>-5642.328125</v>
      </c>
    </row>
    <row r="8977">
      <c r="A8977" t="n" s="0">
        <v>-10.24</v>
      </c>
      <c r="B8977" t="n" s="0">
        <f>(-5-((((-5*(-5/((-5/(((-5*(-10.24--5))-(-5+((-5*-10.24)*(((-5--5)+(-10.24--5))+-10.24))))-(-5+-5)))*-5)))/-5)--5)+(-5*(((-10.24*(-10.24-(-5/-5)))*(-10.24-(-10.24/(-5*-10.24))))-(-5/-5)))))</f>
        <v>-5626.14432</v>
      </c>
      <c r="C8977" t="n" s="0">
        <v>-5626.144320000001</v>
      </c>
    </row>
    <row r="8978">
      <c r="A8978" t="n" s="0">
        <v>-10.23</v>
      </c>
      <c r="B8978" t="n" s="0">
        <f>(-5-((((-5*(-5/((-5/(((-5*(-10.23--5))-(-5+((-5*-10.23)*(((-5--5)+(-10.23--5))+-10.23))))-(-5+-5)))*-5)))/-5)--5)+(-5*(((-10.23*(-10.23-(-5/-5)))*(-10.23-(-10.23/(-5*-10.23))))-(-5/-5)))))</f>
        <v>-5609.991635</v>
      </c>
      <c r="C8978" t="n" s="0">
        <v>-5609.991635</v>
      </c>
    </row>
    <row r="8979">
      <c r="A8979" t="n" s="0">
        <v>-10.22</v>
      </c>
      <c r="B8979" t="n" s="0">
        <f>(-5-((((-5*(-5/((-5/(((-5*(-10.22--5))-(-5+((-5*-10.22)*(((-5--5)+(-10.22--5))+-10.22))))-(-5+-5)))*-5)))/-5)--5)+(-5*(((-10.22*(-10.22-(-5/-5)))*(-10.22-(-10.22/(-5*-10.22))))-(-5/-5)))))</f>
        <v>-5593.87004</v>
      </c>
      <c r="C8979" t="n" s="0">
        <v>-5593.870040000002</v>
      </c>
    </row>
    <row r="8980">
      <c r="A8980" t="n" s="0">
        <v>-10.21</v>
      </c>
      <c r="B8980" t="n" s="0">
        <f>(-5-((((-5*(-5/((-5/(((-5*(-10.21--5))-(-5+((-5*-10.21)*(((-5--5)+(-10.21--5))+-10.21))))-(-5+-5)))*-5)))/-5)--5)+(-5*(((-10.21*(-10.21-(-5/-5)))*(-10.21-(-10.21/(-5*-10.21))))-(-5/-5)))))</f>
        <v>-5577.779505</v>
      </c>
      <c r="C8980" t="n" s="0">
        <v>-5577.779505000001</v>
      </c>
    </row>
    <row r="8981">
      <c r="A8981" t="n" s="0">
        <v>-10.2</v>
      </c>
      <c r="B8981" t="n" s="0">
        <f>(-5-((((-5*(-5/((-5/(((-5*(-10.2--5))-(-5+((-5*-10.2)*(((-5--5)+(-10.2--5))+-10.2))))-(-5+-5)))*-5)))/-5)--5)+(-5*(((-10.2*(-10.2-(-5/-5)))*(-10.2-(-10.2/(-5*-10.2))))-(-5/-5)))))</f>
        <v>-5561.72</v>
      </c>
      <c r="C8981" t="n" s="0">
        <v>-5561.719999999999</v>
      </c>
    </row>
    <row r="8982">
      <c r="A8982" t="n" s="0">
        <v>-10.19</v>
      </c>
      <c r="B8982" t="n" s="0">
        <f>(-5-((((-5*(-5/((-5/(((-5*(-10.19--5))-(-5+((-5*-10.19)*(((-5--5)+(-10.19--5))+-10.19))))-(-5+-5)))*-5)))/-5)--5)+(-5*(((-10.19*(-10.19-(-5/-5)))*(-10.19-(-10.19/(-5*-10.19))))-(-5/-5)))))</f>
        <v>-5545.691495</v>
      </c>
      <c r="C8982" t="n" s="0">
        <v>-5545.691494999999</v>
      </c>
    </row>
    <row r="8983">
      <c r="A8983" t="n" s="0">
        <v>-10.18</v>
      </c>
      <c r="B8983" t="n" s="0">
        <f>(-5-((((-5*(-5/((-5/(((-5*(-10.18--5))-(-5+((-5*-10.18)*(((-5--5)+(-10.18--5))+-10.18))))-(-5+-5)))*-5)))/-5)--5)+(-5*(((-10.18*(-10.18-(-5/-5)))*(-10.18-(-10.18/(-5*-10.18))))-(-5/-5)))))</f>
        <v>-5529.6939600000005</v>
      </c>
      <c r="C8983" t="n" s="0">
        <v>-5529.693959999999</v>
      </c>
    </row>
    <row r="8984">
      <c r="A8984" t="n" s="0">
        <v>-10.17</v>
      </c>
      <c r="B8984" t="n" s="0">
        <f>(-5-((((-5*(-5/((-5/(((-5*(-10.17--5))-(-5+((-5*-10.17)*(((-5--5)+(-10.17--5))+-10.17))))-(-5+-5)))*-5)))/-5)--5)+(-5*(((-10.17*(-10.17-(-5/-5)))*(-10.17-(-10.17/(-5*-10.17))))-(-5/-5)))))</f>
        <v>-5513.727365</v>
      </c>
      <c r="C8984" t="n" s="0">
        <v>-5513.727365</v>
      </c>
    </row>
    <row r="8985">
      <c r="A8985" t="n" s="0">
        <v>-10.16</v>
      </c>
      <c r="B8985" t="n" s="0">
        <f>(-5-((((-5*(-5/((-5/(((-5*(-10.16--5))-(-5+((-5*-10.16)*(((-5--5)+(-10.16--5))+-10.16))))-(-5+-5)))*-5)))/-5)--5)+(-5*(((-10.16*(-10.16-(-5/-5)))*(-10.16-(-10.16/(-5*-10.16))))-(-5/-5)))))</f>
        <v>-5497.79168</v>
      </c>
      <c r="C8985" t="n" s="0">
        <v>-5497.791680000001</v>
      </c>
    </row>
    <row r="8986">
      <c r="A8986" t="n" s="0">
        <v>-10.15</v>
      </c>
      <c r="B8986" t="n" s="0">
        <f>(-5-((((-5*(-5/((-5/(((-5*(-10.15--5))-(-5+((-5*-10.15)*(((-5--5)+(-10.15--5))+-10.15))))-(-5+-5)))*-5)))/-5)--5)+(-5*(((-10.15*(-10.15-(-5/-5)))*(-10.15-(-10.15/(-5*-10.15))))-(-5/-5)))))</f>
        <v>-5481.886875</v>
      </c>
      <c r="C8986" t="n" s="0">
        <v>-5481.886875000001</v>
      </c>
    </row>
    <row r="8987">
      <c r="A8987" t="n" s="0">
        <v>-10.14</v>
      </c>
      <c r="B8987" t="n" s="0">
        <f>(-5-((((-5*(-5/((-5/(((-5*(-10.14--5))-(-5+((-5*-10.14)*(((-5--5)+(-10.14--5))+-10.14))))-(-5+-5)))*-5)))/-5)--5)+(-5*(((-10.14*(-10.14-(-5/-5)))*(-10.14-(-10.14/(-5*-10.14))))-(-5/-5)))))</f>
        <v>-5466.01292</v>
      </c>
      <c r="C8987" t="n" s="0">
        <v>-5466.01292</v>
      </c>
    </row>
    <row r="8988">
      <c r="A8988" t="n" s="0">
        <v>-10.13</v>
      </c>
      <c r="B8988" t="n" s="0">
        <f>(-5-((((-5*(-5/((-5/(((-5*(-10.13--5))-(-5+((-5*-10.13)*(((-5--5)+(-10.13--5))+-10.13))))-(-5+-5)))*-5)))/-5)--5)+(-5*(((-10.13*(-10.13-(-5/-5)))*(-10.13-(-10.13/(-5*-10.13))))-(-5/-5)))))</f>
        <v>-5450.169785</v>
      </c>
      <c r="C8988" t="n" s="0">
        <v>-5450.169785000002</v>
      </c>
    </row>
    <row r="8989">
      <c r="A8989" t="n" s="0">
        <v>-10.12</v>
      </c>
      <c r="B8989" t="n" s="0">
        <f>(-5-((((-5*(-5/((-5/(((-5*(-10.12--5))-(-5+((-5*-10.12)*(((-5--5)+(-10.12--5))+-10.12))))-(-5+-5)))*-5)))/-5)--5)+(-5*(((-10.12*(-10.12-(-5/-5)))*(-10.12-(-10.12/(-5*-10.12))))-(-5/-5)))))</f>
        <v>-5434.357440000001</v>
      </c>
      <c r="C8989" t="n" s="0">
        <v>-5434.357439999999</v>
      </c>
    </row>
    <row r="8990">
      <c r="A8990" t="n" s="0">
        <v>-10.11</v>
      </c>
      <c r="B8990" t="n" s="0">
        <f>(-5-((((-5*(-5/((-5/(((-5*(-10.11--5))-(-5+((-5*-10.11)*(((-5--5)+(-10.11--5))+-10.11))))-(-5+-5)))*-5)))/-5)--5)+(-5*(((-10.11*(-10.11-(-5/-5)))*(-10.11-(-10.11/(-5*-10.11))))-(-5/-5)))))</f>
        <v>-5418.575855</v>
      </c>
      <c r="C8990" t="n" s="0">
        <v>-5418.575854999999</v>
      </c>
    </row>
    <row r="8991">
      <c r="A8991" t="n" s="0">
        <v>-10.1</v>
      </c>
      <c r="B8991" t="n" s="0">
        <f>(-5-((((-5*(-5/((-5/(((-5*(-10.1--5))-(-5+((-5*-10.1)*(((-5--5)+(-10.1--5))+-10.1))))-(-5+-5)))*-5)))/-5)--5)+(-5*(((-10.1*(-10.1-(-5/-5)))*(-10.1-(-10.1/(-5*-10.1))))-(-5/-5)))))</f>
        <v>-5402.825</v>
      </c>
      <c r="C8991" t="n" s="0">
        <v>-5402.825</v>
      </c>
    </row>
    <row r="8992">
      <c r="A8992" t="n" s="0">
        <v>-10.09</v>
      </c>
      <c r="B8992" t="n" s="0">
        <f>(-5-((((-5*(-5/((-5/(((-5*(-10.09--5))-(-5+((-5*-10.09)*(((-5--5)+(-10.09--5))+-10.09))))-(-5+-5)))*-5)))/-5)--5)+(-5*(((-10.09*(-10.09-(-5/-5)))*(-10.09-(-10.09/(-5*-10.09))))-(-5/-5)))))</f>
        <v>-5387.104845</v>
      </c>
      <c r="C8992" t="n" s="0">
        <v>-5387.104845000001</v>
      </c>
    </row>
    <row r="8993">
      <c r="A8993" t="n" s="0">
        <v>-10.08</v>
      </c>
      <c r="B8993" t="n" s="0">
        <f>(-5-((((-5*(-5/((-5/(((-5*(-10.08--5))-(-5+((-5*-10.08)*(((-5--5)+(-10.08--5))+-10.08))))-(-5+-5)))*-5)))/-5)--5)+(-5*(((-10.08*(-10.08-(-5/-5)))*(-10.08-(-10.08/(-5*-10.08))))-(-5/-5)))))</f>
        <v>-5371.41536</v>
      </c>
      <c r="C8993" t="n" s="0">
        <v>-5371.41536</v>
      </c>
    </row>
    <row r="8994">
      <c r="A8994" t="n" s="0">
        <v>-10.07</v>
      </c>
      <c r="B8994" t="n" s="0">
        <f>(-5-((((-5*(-5/((-5/(((-5*(-10.07--5))-(-5+((-5*-10.07)*(((-5--5)+(-10.07--5))+-10.07))))-(-5+-5)))*-5)))/-5)--5)+(-5*(((-10.07*(-10.07-(-5/-5)))*(-10.07-(-10.07/(-5*-10.07))))-(-5/-5)))))</f>
        <v>-5355.756515</v>
      </c>
      <c r="C8994" t="n" s="0">
        <v>-5355.756515000001</v>
      </c>
    </row>
    <row r="8995">
      <c r="A8995" t="n" s="0">
        <v>-10.06</v>
      </c>
      <c r="B8995" t="n" s="0">
        <f>(-5-((((-5*(-5/((-5/(((-5*(-10.06--5))-(-5+((-5*-10.06)*(((-5--5)+(-10.06--5))+-10.06))))-(-5+-5)))*-5)))/-5)--5)+(-5*(((-10.06*(-10.06-(-5/-5)))*(-10.06-(-10.06/(-5*-10.06))))-(-5/-5)))))</f>
        <v>-5340.12828</v>
      </c>
      <c r="C8995" t="n" s="0">
        <v>-5340.128280000001</v>
      </c>
    </row>
    <row r="8996">
      <c r="A8996" t="n" s="0">
        <v>-10.05</v>
      </c>
      <c r="B8996" t="n" s="0">
        <f>(-5-((((-5*(-5/((-5/(((-5*(-10.05--5))-(-5+((-5*-10.05)*(((-5--5)+(-10.05--5))+-10.05))))-(-5+-5)))*-5)))/-5)--5)+(-5*(((-10.05*(-10.05-(-5/-5)))*(-10.05-(-10.05/(-5*-10.05))))-(-5/-5)))))</f>
        <v>-5324.530624999999</v>
      </c>
      <c r="C8996" t="n" s="0">
        <v>-5324.530625</v>
      </c>
    </row>
    <row r="8997">
      <c r="A8997" t="n" s="0">
        <v>-10.04</v>
      </c>
      <c r="B8997" t="n" s="0">
        <f>(-5-((((-5*(-5/((-5/(((-5*(-10.04--5))-(-5+((-5*-10.04)*(((-5--5)+(-10.04--5))+-10.04))))-(-5+-5)))*-5)))/-5)--5)+(-5*(((-10.04*(-10.04-(-5/-5)))*(-10.04-(-10.04/(-5*-10.04))))-(-5/-5)))))</f>
        <v>-5308.96352</v>
      </c>
      <c r="C8997" t="n" s="0">
        <v>-5308.963519999998</v>
      </c>
    </row>
    <row r="8998">
      <c r="A8998" t="n" s="0">
        <v>-10.03</v>
      </c>
      <c r="B8998" t="n" s="0">
        <f>(-5-((((-5*(-5/((-5/(((-5*(-10.03--5))-(-5+((-5*-10.03)*(((-5--5)+(-10.03--5))+-10.03))))-(-5+-5)))*-5)))/-5)--5)+(-5*(((-10.03*(-10.03-(-5/-5)))*(-10.03-(-10.03/(-5*-10.03))))-(-5/-5)))))</f>
        <v>-5293.426935</v>
      </c>
      <c r="C8998" t="n" s="0">
        <v>-5293.4269349999995</v>
      </c>
    </row>
    <row r="8999">
      <c r="A8999" t="n" s="0">
        <v>-10.02</v>
      </c>
      <c r="B8999" t="n" s="0">
        <f>(-5-((((-5*(-5/((-5/(((-5*(-10.02--5))-(-5+((-5*-10.02)*(((-5--5)+(-10.02--5))+-10.02))))-(-5+-5)))*-5)))/-5)--5)+(-5*(((-10.02*(-10.02-(-5/-5)))*(-10.02-(-10.02/(-5*-10.02))))-(-5/-5)))))</f>
        <v>-5277.92084</v>
      </c>
      <c r="C8999" t="n" s="0">
        <v>-5277.92084</v>
      </c>
    </row>
    <row r="9000">
      <c r="A9000" t="n" s="0">
        <v>-10.01</v>
      </c>
      <c r="B9000" t="n" s="0">
        <f>(-5-((((-5*(-5/((-5/(((-5*(-10.01--5))-(-5+((-5*-10.01)*(((-5--5)+(-10.01--5))+-10.01))))-(-5+-5)))*-5)))/-5)--5)+(-5*(((-10.01*(-10.01-(-5/-5)))*(-10.01-(-10.01/(-5*-10.01))))-(-5/-5)))))</f>
        <v>-5262.445205</v>
      </c>
      <c r="C9000" t="n" s="0">
        <v>-5262.445204999999</v>
      </c>
    </row>
    <row r="9001">
      <c r="A9001" t="n" s="0">
        <v>-10.0</v>
      </c>
      <c r="B9001" t="n" s="0">
        <f>(-5-((((-5*(-5/((-5/(((-5*(-10--5))-(-5+((-5*-10)*(((-5--5)+(-10--5))+-10))))-(-5+-5)))*-5)))/-5)--5)+(-5*(((-10*(-10-(-5/-5)))*(-10-(-10/(-5*-10))))-(-5/-5)))))</f>
        <v>-5247.0</v>
      </c>
      <c r="C9001" t="n" s="0">
        <v>-5247.0</v>
      </c>
    </row>
    <row r="9002">
      <c r="A9002" t="n" s="0">
        <v>-9.99</v>
      </c>
      <c r="B9002" t="n" s="0">
        <f>(-5-((((-5*(-5/((-5/(((-5*(-9.99--5))-(-5+((-5*-9.99)*(((-5--5)+(-9.99--5))+-9.99))))-(-5+-5)))*-5)))/-5)--5)+(-5*(((-9.99*(-9.99-(-5/-5)))*(-9.99-(-9.99/(-5*-9.99))))-(-5/-5)))))</f>
        <v>-5231.585195000001</v>
      </c>
      <c r="C9002" t="n" s="0">
        <v>-5231.585195000001</v>
      </c>
    </row>
    <row r="9003">
      <c r="A9003" t="n" s="0">
        <v>-9.98</v>
      </c>
      <c r="B9003" t="n" s="0">
        <f>(-5-((((-5*(-5/((-5/(((-5*(-9.98--5))-(-5+((-5*-9.98)*(((-5--5)+(-9.98--5))+-9.98))))-(-5+-5)))*-5)))/-5)--5)+(-5*(((-9.98*(-9.98-(-5/-5)))*(-9.98-(-9.98/(-5*-9.98))))-(-5/-5)))))</f>
        <v>-5216.20076</v>
      </c>
      <c r="C9003" t="n" s="0">
        <v>-5216.20076</v>
      </c>
    </row>
    <row r="9004">
      <c r="A9004" t="n" s="0">
        <v>-9.97</v>
      </c>
      <c r="B9004" t="n" s="0">
        <f>(-5-((((-5*(-5/((-5/(((-5*(-9.97--5))-(-5+((-5*-9.97)*(((-5--5)+(-9.97--5))+-9.97))))-(-5+-5)))*-5)))/-5)--5)+(-5*(((-9.97*(-9.97-(-5/-5)))*(-9.97-(-9.97/(-5*-9.97))))-(-5/-5)))))</f>
        <v>-5200.846665</v>
      </c>
      <c r="C9004" t="n" s="0">
        <v>-5200.846665000001</v>
      </c>
    </row>
    <row r="9005">
      <c r="A9005" t="n" s="0">
        <v>-9.96</v>
      </c>
      <c r="B9005" t="n" s="0">
        <f>(-5-((((-5*(-5/((-5/(((-5*(-9.96--5))-(-5+((-5*-9.96)*(((-5--5)+(-9.96--5))+-9.96))))-(-5+-5)))*-5)))/-5)--5)+(-5*(((-9.96*(-9.96-(-5/-5)))*(-9.96-(-9.96/(-5*-9.96))))-(-5/-5)))))</f>
        <v>-5185.52288</v>
      </c>
      <c r="C9005" t="n" s="0">
        <v>-5185.522880000001</v>
      </c>
    </row>
    <row r="9006">
      <c r="A9006" t="n" s="0">
        <v>-9.95</v>
      </c>
      <c r="B9006" t="n" s="0">
        <f>(-5-((((-5*(-5/((-5/(((-5*(-9.95--5))-(-5+((-5*-9.95)*(((-5--5)+(-9.95--5))+-9.95))))-(-5+-5)))*-5)))/-5)--5)+(-5*(((-9.95*(-9.95-(-5/-5)))*(-9.95-(-9.95/(-5*-9.95))))-(-5/-5)))))</f>
        <v>-5170.229375</v>
      </c>
      <c r="C9006" t="n" s="0">
        <v>-5170.229375</v>
      </c>
    </row>
    <row r="9007">
      <c r="A9007" t="n" s="0">
        <v>-9.94</v>
      </c>
      <c r="B9007" t="n" s="0">
        <f>(-5-((((-5*(-5/((-5/(((-5*(-9.94--5))-(-5+((-5*-9.94)*(((-5--5)+(-9.94--5))+-9.94))))-(-5+-5)))*-5)))/-5)--5)+(-5*(((-9.94*(-9.94-(-5/-5)))*(-9.94-(-9.94/(-5*-9.94))))-(-5/-5)))))</f>
        <v>-5154.96612</v>
      </c>
      <c r="C9007" t="n" s="0">
        <v>-5154.966119999999</v>
      </c>
    </row>
    <row r="9008">
      <c r="A9008" t="n" s="0">
        <v>-9.93</v>
      </c>
      <c r="B9008" t="n" s="0">
        <f>(-5-((((-5*(-5/((-5/(((-5*(-9.93--5))-(-5+((-5*-9.93)*(((-5--5)+(-9.93--5))+-9.93))))-(-5+-5)))*-5)))/-5)--5)+(-5*(((-9.93*(-9.93-(-5/-5)))*(-9.93-(-9.93/(-5*-9.93))))-(-5/-5)))))</f>
        <v>-5139.733085</v>
      </c>
      <c r="C9008" t="n" s="0">
        <v>-5139.733084999999</v>
      </c>
    </row>
    <row r="9009">
      <c r="A9009" t="n" s="0">
        <v>-9.92</v>
      </c>
      <c r="B9009" t="n" s="0">
        <f>(-5-((((-5*(-5/((-5/(((-5*(-9.92--5))-(-5+((-5*-9.92)*(((-5--5)+(-9.92--5))+-9.92))))-(-5+-5)))*-5)))/-5)--5)+(-5*(((-9.92*(-9.92-(-5/-5)))*(-9.92-(-9.92/(-5*-9.92))))-(-5/-5)))))</f>
        <v>-5124.53024</v>
      </c>
      <c r="C9009" t="n" s="0">
        <v>-5124.53024</v>
      </c>
    </row>
    <row r="9010">
      <c r="A9010" t="n" s="0">
        <v>-9.91</v>
      </c>
      <c r="B9010" t="n" s="0">
        <f>(-5-((((-5*(-5/((-5/(((-5*(-9.91--5))-(-5+((-5*-9.91)*(((-5--5)+(-9.91--5))+-9.91))))-(-5+-5)))*-5)))/-5)--5)+(-5*(((-9.91*(-9.91-(-5/-5)))*(-9.91-(-9.91/(-5*-9.91))))-(-5/-5)))))</f>
        <v>-5109.357555</v>
      </c>
      <c r="C9010" t="n" s="0">
        <v>-5109.357555</v>
      </c>
    </row>
    <row r="9011">
      <c r="A9011" t="n" s="0">
        <v>-9.9</v>
      </c>
      <c r="B9011" t="n" s="0">
        <f>(-5-((((-5*(-5/((-5/(((-5*(-9.9--5))-(-5+((-5*-9.9)*(((-5--5)+(-9.9--5))+-9.9))))-(-5+-5)))*-5)))/-5)--5)+(-5*(((-9.9*(-9.9-(-5/-5)))*(-9.9-(-9.9/(-5*-9.9))))-(-5/-5)))))</f>
        <v>-5094.215</v>
      </c>
      <c r="C9011" t="n" s="0">
        <v>-5094.215000000001</v>
      </c>
    </row>
    <row r="9012">
      <c r="A9012" t="n" s="0">
        <v>-9.89</v>
      </c>
      <c r="B9012" t="n" s="0">
        <f>(-5-((((-5*(-5/((-5/(((-5*(-9.89--5))-(-5+((-5*-9.89)*(((-5--5)+(-9.89--5))+-9.89))))-(-5+-5)))*-5)))/-5)--5)+(-5*(((-9.89*(-9.89-(-5/-5)))*(-9.89-(-9.89/(-5*-9.89))))-(-5/-5)))))</f>
        <v>-5079.102545000001</v>
      </c>
      <c r="C9012" t="n" s="0">
        <v>-5079.102545000001</v>
      </c>
    </row>
    <row r="9013">
      <c r="A9013" t="n" s="0">
        <v>-9.88</v>
      </c>
      <c r="B9013" t="n" s="0">
        <f>(-5-((((-5*(-5/((-5/(((-5*(-9.88--5))-(-5+((-5*-9.88)*(((-5--5)+(-9.88--5))+-9.88))))-(-5+-5)))*-5)))/-5)--5)+(-5*(((-9.88*(-9.88-(-5/-5)))*(-9.88-(-9.88/(-5*-9.88))))-(-5/-5)))))</f>
        <v>-5064.02016</v>
      </c>
      <c r="C9013" t="n" s="0">
        <v>-5064.020160000001</v>
      </c>
    </row>
    <row r="9014">
      <c r="A9014" t="n" s="0">
        <v>-9.87</v>
      </c>
      <c r="B9014" t="n" s="0">
        <f>(-5-((((-5*(-5/((-5/(((-5*(-9.87--5))-(-5+((-5*-9.87)*(((-5--5)+(-9.87--5))+-9.87))))-(-5+-5)))*-5)))/-5)--5)+(-5*(((-9.87*(-9.87-(-5/-5)))*(-9.87-(-9.87/(-5*-9.87))))-(-5/-5)))))</f>
        <v>-5048.967815</v>
      </c>
      <c r="C9014" t="n" s="0">
        <v>-5048.967814999999</v>
      </c>
    </row>
    <row r="9015">
      <c r="A9015" t="n" s="0">
        <v>-9.86</v>
      </c>
      <c r="B9015" t="n" s="0">
        <f>(-5-((((-5*(-5/((-5/(((-5*(-9.86--5))-(-5+((-5*-9.86)*(((-5--5)+(-9.86--5))+-9.86))))-(-5+-5)))*-5)))/-5)--5)+(-5*(((-9.86*(-9.86-(-5/-5)))*(-9.86-(-9.86/(-5*-9.86))))-(-5/-5)))))</f>
        <v>-5033.945479999999</v>
      </c>
      <c r="C9015" t="n" s="0">
        <v>-5033.945479999999</v>
      </c>
    </row>
    <row r="9016">
      <c r="A9016" t="n" s="0">
        <v>-9.85</v>
      </c>
      <c r="B9016" t="n" s="0">
        <f>(-5-((((-5*(-5/((-5/(((-5*(-9.85--5))-(-5+((-5*-9.85)*(((-5--5)+(-9.85--5))+-9.85))))-(-5+-5)))*-5)))/-5)--5)+(-5*(((-9.85*(-9.85-(-5/-5)))*(-9.85-(-9.85/(-5*-9.85))))-(-5/-5)))))</f>
        <v>-5018.953125</v>
      </c>
      <c r="C9016" t="n" s="0">
        <v>-5018.953125</v>
      </c>
    </row>
    <row r="9017">
      <c r="A9017" t="n" s="0">
        <v>-9.84</v>
      </c>
      <c r="B9017" t="n" s="0">
        <f>(-5-((((-5*(-5/((-5/(((-5*(-9.84--5))-(-5+((-5*-9.84)*(((-5--5)+(-9.84--5))+-9.84))))-(-5+-5)))*-5)))/-5)--5)+(-5*(((-9.84*(-9.84-(-5/-5)))*(-9.84-(-9.84/(-5*-9.84))))-(-5/-5)))))</f>
        <v>-5003.990720000001</v>
      </c>
      <c r="C9017" t="n" s="0">
        <v>-5003.99072</v>
      </c>
    </row>
    <row r="9018">
      <c r="A9018" t="n" s="0">
        <v>-9.83</v>
      </c>
      <c r="B9018" t="n" s="0">
        <f>(-5-((((-5*(-5/((-5/(((-5*(-9.83--5))-(-5+((-5*-9.83)*(((-5--5)+(-9.83--5))+-9.83))))-(-5+-5)))*-5)))/-5)--5)+(-5*(((-9.83*(-9.83-(-5/-5)))*(-9.83-(-9.83/(-5*-9.83))))-(-5/-5)))))</f>
        <v>-4989.058235</v>
      </c>
      <c r="C9018" t="n" s="0">
        <v>-4989.0582349999995</v>
      </c>
    </row>
    <row r="9019">
      <c r="A9019" t="n" s="0">
        <v>-9.82</v>
      </c>
      <c r="B9019" t="n" s="0">
        <f>(-5-((((-5*(-5/((-5/(((-5*(-9.82--5))-(-5+((-5*-9.82)*(((-5--5)+(-9.82--5))+-9.82))))-(-5+-5)))*-5)))/-5)--5)+(-5*(((-9.82*(-9.82-(-5/-5)))*(-9.82-(-9.82/(-5*-9.82))))-(-5/-5)))))</f>
        <v>-4974.15564</v>
      </c>
      <c r="C9019" t="n" s="0">
        <v>-4974.155640000001</v>
      </c>
    </row>
    <row r="9020">
      <c r="A9020" t="n" s="0">
        <v>-9.81</v>
      </c>
      <c r="B9020" t="n" s="0">
        <f>(-5-((((-5*(-5/((-5/(((-5*(-9.81--5))-(-5+((-5*-9.81)*(((-5--5)+(-9.81--5))+-9.81))))-(-5+-5)))*-5)))/-5)--5)+(-5*(((-9.81*(-9.81-(-5/-5)))*(-9.81-(-9.81/(-5*-9.81))))-(-5/-5)))))</f>
        <v>-4959.282905</v>
      </c>
      <c r="C9020" t="n" s="0">
        <v>-4959.282905000001</v>
      </c>
    </row>
    <row r="9021">
      <c r="A9021" t="n" s="0">
        <v>-9.8</v>
      </c>
      <c r="B9021" t="n" s="0">
        <f>(-5-((((-5*(-5/((-5/(((-5*(-9.8--5))-(-5+((-5*-9.8)*(((-5--5)+(-9.8--5))+-9.8))))-(-5+-5)))*-5)))/-5)--5)+(-5*(((-9.8*(-9.8-(-5/-5)))*(-9.8-(-9.8/(-5*-9.8))))-(-5/-5)))))</f>
        <v>-4944.44</v>
      </c>
      <c r="C9021" t="n" s="0">
        <v>-4944.4400000000005</v>
      </c>
    </row>
    <row r="9022">
      <c r="A9022" t="n" s="0">
        <v>-9.79</v>
      </c>
      <c r="B9022" t="n" s="0">
        <f>(-5-((((-5*(-5/((-5/(((-5*(-9.79--5))-(-5+((-5*-9.79)*(((-5--5)+(-9.79--5))+-9.79))))-(-5+-5)))*-5)))/-5)--5)+(-5*(((-9.79*(-9.79-(-5/-5)))*(-9.79-(-9.79/(-5*-9.79))))-(-5/-5)))))</f>
        <v>-4929.626895</v>
      </c>
      <c r="C9022" t="n" s="0">
        <v>-4929.626894999998</v>
      </c>
    </row>
    <row r="9023">
      <c r="A9023" t="n" s="0">
        <v>-9.78</v>
      </c>
      <c r="B9023" t="n" s="0">
        <f>(-5-((((-5*(-5/((-5/(((-5*(-9.78--5))-(-5+((-5*-9.78)*(((-5--5)+(-9.78--5))+-9.78))))-(-5+-5)))*-5)))/-5)--5)+(-5*(((-9.78*(-9.78-(-5/-5)))*(-9.78-(-9.78/(-5*-9.78))))-(-5/-5)))))</f>
        <v>-4914.84356</v>
      </c>
      <c r="C9023" t="n" s="0">
        <v>-4914.843559999999</v>
      </c>
    </row>
    <row r="9024">
      <c r="A9024" t="n" s="0">
        <v>-9.77</v>
      </c>
      <c r="B9024" t="n" s="0">
        <f>(-5-((((-5*(-5/((-5/(((-5*(-9.77--5))-(-5+((-5*-9.77)*(((-5--5)+(-9.77--5))+-9.77))))-(-5+-5)))*-5)))/-5)--5)+(-5*(((-9.77*(-9.77-(-5/-5)))*(-9.77-(-9.77/(-5*-9.77))))-(-5/-5)))))</f>
        <v>-4900.089965</v>
      </c>
      <c r="C9024" t="n" s="0">
        <v>-4900.089964999999</v>
      </c>
    </row>
    <row r="9025">
      <c r="A9025" t="n" s="0">
        <v>-9.76</v>
      </c>
      <c r="B9025" t="n" s="0">
        <f>(-5-((((-5*(-5/((-5/(((-5*(-9.76--5))-(-5+((-5*-9.76)*(((-5--5)+(-9.76--5))+-9.76))))-(-5+-5)))*-5)))/-5)--5)+(-5*(((-9.76*(-9.76-(-5/-5)))*(-9.76-(-9.76/(-5*-9.76))))-(-5/-5)))))</f>
        <v>-4885.36608</v>
      </c>
      <c r="C9025" t="n" s="0">
        <v>-4885.366079999999</v>
      </c>
    </row>
    <row r="9026">
      <c r="A9026" t="n" s="0">
        <v>-9.75</v>
      </c>
      <c r="B9026" t="n" s="0">
        <f>(-5-((((-5*(-5/((-5/(((-5*(-9.75--5))-(-5+((-5*-9.75)*(((-5--5)+(-9.75--5))+-9.75))))-(-5+-5)))*-5)))/-5)--5)+(-5*(((-9.75*(-9.75-(-5/-5)))*(-9.75-(-9.75/(-5*-9.75))))-(-5/-5)))))</f>
        <v>-4870.671875</v>
      </c>
      <c r="C9026" t="n" s="0">
        <v>-4870.671875</v>
      </c>
    </row>
    <row r="9027">
      <c r="A9027" t="n" s="0">
        <v>-9.74</v>
      </c>
      <c r="B9027" t="n" s="0">
        <f>(-5-((((-5*(-5/((-5/(((-5*(-9.74--5))-(-5+((-5*-9.74)*(((-5--5)+(-9.74--5))+-9.74))))-(-5+-5)))*-5)))/-5)--5)+(-5*(((-9.74*(-9.74-(-5/-5)))*(-9.74-(-9.74/(-5*-9.74))))-(-5/-5)))))</f>
        <v>-4856.00732</v>
      </c>
      <c r="C9027" t="n" s="0">
        <v>-4856.007320000001</v>
      </c>
    </row>
    <row r="9028">
      <c r="A9028" t="n" s="0">
        <v>-9.73</v>
      </c>
      <c r="B9028" t="n" s="0">
        <f>(-5-((((-5*(-5/((-5/(((-5*(-9.73--5))-(-5+((-5*-9.73)*(((-5--5)+(-9.73--5))+-9.73))))-(-5+-5)))*-5)))/-5)--5)+(-5*(((-9.73*(-9.73-(-5/-5)))*(-9.73-(-9.73/(-5*-9.73))))-(-5/-5)))))</f>
        <v>-4841.372385</v>
      </c>
      <c r="C9028" t="n" s="0">
        <v>-4841.372385000001</v>
      </c>
    </row>
    <row r="9029">
      <c r="A9029" t="n" s="0">
        <v>-9.72</v>
      </c>
      <c r="B9029" t="n" s="0">
        <f>(-5-((((-5*(-5/((-5/(((-5*(-9.72--5))-(-5+((-5*-9.72)*(((-5--5)+(-9.72--5))+-9.72))))-(-5+-5)))*-5)))/-5)--5)+(-5*(((-9.72*(-9.72-(-5/-5)))*(-9.72-(-9.72/(-5*-9.72))))-(-5/-5)))))</f>
        <v>-4826.76704</v>
      </c>
      <c r="C9029" t="n" s="0">
        <v>-4826.767040000001</v>
      </c>
    </row>
    <row r="9030">
      <c r="A9030" t="n" s="0">
        <v>-9.71</v>
      </c>
      <c r="B9030" t="n" s="0">
        <f>(-5-((((-5*(-5/((-5/(((-5*(-9.71--5))-(-5+((-5*-9.71)*(((-5--5)+(-9.71--5))+-9.71))))-(-5+-5)))*-5)))/-5)--5)+(-5*(((-9.71*(-9.71-(-5/-5)))*(-9.71-(-9.71/(-5*-9.71))))-(-5/-5)))))</f>
        <v>-4812.191255000001</v>
      </c>
      <c r="C9030" t="n" s="0">
        <v>-4812.191255000001</v>
      </c>
    </row>
    <row r="9031">
      <c r="A9031" t="n" s="0">
        <v>-9.7</v>
      </c>
      <c r="B9031" t="n" s="0">
        <f>(-5-((((-5*(-5/((-5/(((-5*(-9.7--5))-(-5+((-5*-9.7)*(((-5--5)+(-9.7--5))+-9.7))))-(-5+-5)))*-5)))/-5)--5)+(-5*(((-9.7*(-9.7-(-5/-5)))*(-9.7-(-9.7/(-5*-9.7))))-(-5/-5)))))</f>
        <v>-4797.6449999999995</v>
      </c>
      <c r="C9031" t="n" s="0">
        <v>-4797.6449999999995</v>
      </c>
    </row>
    <row r="9032">
      <c r="A9032" t="n" s="0">
        <v>-9.69</v>
      </c>
      <c r="B9032" t="n" s="0">
        <f>(-5-((((-5*(-5/((-5/(((-5*(-9.69--5))-(-5+((-5*-9.69)*(((-5--5)+(-9.69--5))+-9.69))))-(-5+-5)))*-5)))/-5)--5)+(-5*(((-9.69*(-9.69-(-5/-5)))*(-9.69-(-9.69/(-5*-9.69))))-(-5/-5)))))</f>
        <v>-4783.128245000001</v>
      </c>
      <c r="C9032" t="n" s="0">
        <v>-4783.128244999999</v>
      </c>
    </row>
    <row r="9033">
      <c r="A9033" t="n" s="0">
        <v>-9.68</v>
      </c>
      <c r="B9033" t="n" s="0">
        <f>(-5-((((-5*(-5/((-5/(((-5*(-9.68--5))-(-5+((-5*-9.68)*(((-5--5)+(-9.68--5))+-9.68))))-(-5+-5)))*-5)))/-5)--5)+(-5*(((-9.68*(-9.68-(-5/-5)))*(-9.68-(-9.68/(-5*-9.68))))-(-5/-5)))))</f>
        <v>-4768.64096</v>
      </c>
      <c r="C9033" t="n" s="0">
        <v>-4768.64096</v>
      </c>
    </row>
    <row r="9034">
      <c r="A9034" t="n" s="0">
        <v>-9.67</v>
      </c>
      <c r="B9034" t="n" s="0">
        <f>(-5-((((-5*(-5/((-5/(((-5*(-9.67--5))-(-5+((-5*-9.67)*(((-5--5)+(-9.67--5))+-9.67))))-(-5+-5)))*-5)))/-5)--5)+(-5*(((-9.67*(-9.67-(-5/-5)))*(-9.67-(-9.67/(-5*-9.67))))-(-5/-5)))))</f>
        <v>-4754.183115</v>
      </c>
      <c r="C9034" t="n" s="0">
        <v>-4754.183115</v>
      </c>
    </row>
    <row r="9035">
      <c r="A9035" t="n" s="0">
        <v>-9.66</v>
      </c>
      <c r="B9035" t="n" s="0">
        <f>(-5-((((-5*(-5/((-5/(((-5*(-9.66--5))-(-5+((-5*-9.66)*(((-5--5)+(-9.66--5))+-9.66))))-(-5+-5)))*-5)))/-5)--5)+(-5*(((-9.66*(-9.66-(-5/-5)))*(-9.66-(-9.66/(-5*-9.66))))-(-5/-5)))))</f>
        <v>-4739.75468</v>
      </c>
      <c r="C9035" t="n" s="0">
        <v>-4739.75468</v>
      </c>
    </row>
    <row r="9036">
      <c r="A9036" t="n" s="0">
        <v>-9.65</v>
      </c>
      <c r="B9036" t="n" s="0">
        <f>(-5-((((-5*(-5/((-5/(((-5*(-9.65--5))-(-5+((-5*-9.65)*(((-5--5)+(-9.65--5))+-9.65))))-(-5+-5)))*-5)))/-5)--5)+(-5*(((-9.65*(-9.65-(-5/-5)))*(-9.65-(-9.65/(-5*-9.65))))-(-5/-5)))))</f>
        <v>-4725.355624999999</v>
      </c>
      <c r="C9036" t="n" s="0">
        <v>-4725.355625</v>
      </c>
    </row>
    <row r="9037">
      <c r="A9037" t="n" s="0">
        <v>-9.64</v>
      </c>
      <c r="B9037" t="n" s="0">
        <f>(-5-((((-5*(-5/((-5/(((-5*(-9.64--5))-(-5+((-5*-9.64)*(((-5--5)+(-9.64--5))+-9.64))))-(-5+-5)))*-5)))/-5)--5)+(-5*(((-9.64*(-9.64-(-5/-5)))*(-9.64-(-9.64/(-5*-9.64))))-(-5/-5)))))</f>
        <v>-4710.985919999999</v>
      </c>
      <c r="C9037" t="n" s="0">
        <v>-4710.985920000001</v>
      </c>
    </row>
    <row r="9038">
      <c r="A9038" t="n" s="0">
        <v>-9.63</v>
      </c>
      <c r="B9038" t="n" s="0">
        <f>(-5-((((-5*(-5/((-5/(((-5*(-9.63--5))-(-5+((-5*-9.63)*(((-5--5)+(-9.63--5))+-9.63))))-(-5+-5)))*-5)))/-5)--5)+(-5*(((-9.63*(-9.63-(-5/-5)))*(-9.63-(-9.63/(-5*-9.63))))-(-5/-5)))))</f>
        <v>-4696.645535</v>
      </c>
      <c r="C9038" t="n" s="0">
        <v>-4696.645535000001</v>
      </c>
    </row>
    <row r="9039">
      <c r="A9039" t="n" s="0">
        <v>-9.62</v>
      </c>
      <c r="B9039" t="n" s="0">
        <f>(-5-((((-5*(-5/((-5/(((-5*(-9.62--5))-(-5+((-5*-9.62)*(((-5--5)+(-9.62--5))+-9.62))))-(-5+-5)))*-5)))/-5)--5)+(-5*(((-9.62*(-9.62-(-5/-5)))*(-9.62-(-9.62/(-5*-9.62))))-(-5/-5)))))</f>
        <v>-4682.33444</v>
      </c>
      <c r="C9039" t="n" s="0">
        <v>-4682.334439999999</v>
      </c>
    </row>
    <row r="9040">
      <c r="A9040" t="n" s="0">
        <v>-9.61</v>
      </c>
      <c r="B9040" t="n" s="0">
        <f>(-5-((((-5*(-5/((-5/(((-5*(-9.61--5))-(-5+((-5*-9.61)*(((-5--5)+(-9.61--5))+-9.61))))-(-5+-5)))*-5)))/-5)--5)+(-5*(((-9.61*(-9.61-(-5/-5)))*(-9.61-(-9.61/(-5*-9.61))))-(-5/-5)))))</f>
        <v>-4668.052605000001</v>
      </c>
      <c r="C9040" t="n" s="0">
        <v>-4668.052604999999</v>
      </c>
    </row>
    <row r="9041">
      <c r="A9041" t="n" s="0">
        <v>-9.6</v>
      </c>
      <c r="B9041" t="n" s="0">
        <f>(-5-((((-5*(-5/((-5/(((-5*(-9.6--5))-(-5+((-5*-9.6)*(((-5--5)+(-9.6--5))+-9.6))))-(-5+-5)))*-5)))/-5)--5)+(-5*(((-9.6*(-9.6-(-5/-5)))*(-9.6-(-9.6/(-5*-9.6))))-(-5/-5)))))</f>
        <v>-4653.8</v>
      </c>
      <c r="C9041" t="n" s="0">
        <v>-4653.799999999999</v>
      </c>
    </row>
    <row r="9042">
      <c r="A9042" t="n" s="0">
        <v>-9.59</v>
      </c>
      <c r="B9042" t="n" s="0">
        <f>(-5-((((-5*(-5/((-5/(((-5*(-9.59--5))-(-5+((-5*-9.59)*(((-5--5)+(-9.59--5))+-9.59))))-(-5+-5)))*-5)))/-5)--5)+(-5*(((-9.59*(-9.59-(-5/-5)))*(-9.59-(-9.59/(-5*-9.59))))-(-5/-5)))))</f>
        <v>-4639.5765949999995</v>
      </c>
      <c r="C9042" t="n" s="0">
        <v>-4639.576595</v>
      </c>
    </row>
    <row r="9043">
      <c r="A9043" t="n" s="0">
        <v>-9.58</v>
      </c>
      <c r="B9043" t="n" s="0">
        <f>(-5-((((-5*(-5/((-5/(((-5*(-9.58--5))-(-5+((-5*-9.58)*(((-5--5)+(-9.58--5))+-9.58))))-(-5+-5)))*-5)))/-5)--5)+(-5*(((-9.58*(-9.58-(-5/-5)))*(-9.58-(-9.58/(-5*-9.58))))-(-5/-5)))))</f>
        <v>-4625.3823600000005</v>
      </c>
      <c r="C9043" t="n" s="0">
        <v>-4625.3823600000005</v>
      </c>
    </row>
    <row r="9044">
      <c r="A9044" t="n" s="0">
        <v>-9.57</v>
      </c>
      <c r="B9044" t="n" s="0">
        <f>(-5-((((-5*(-5/((-5/(((-5*(-9.57--5))-(-5+((-5*-9.57)*(((-5--5)+(-9.57--5))+-9.57))))-(-5+-5)))*-5)))/-5)--5)+(-5*(((-9.57*(-9.57-(-5/-5)))*(-9.57-(-9.57/(-5*-9.57))))-(-5/-5)))))</f>
        <v>-4611.217265</v>
      </c>
      <c r="C9044" t="n" s="0">
        <v>-4611.217265</v>
      </c>
    </row>
    <row r="9045">
      <c r="A9045" t="n" s="0">
        <v>-9.56</v>
      </c>
      <c r="B9045" t="n" s="0">
        <f>(-5-((((-5*(-5/((-5/(((-5*(-9.56--5))-(-5+((-5*-9.56)*(((-5--5)+(-9.56--5))+-9.56))))-(-5+-5)))*-5)))/-5)--5)+(-5*(((-9.56*(-9.56-(-5/-5)))*(-9.56-(-9.56/(-5*-9.56))))-(-5/-5)))))</f>
        <v>-4597.08128</v>
      </c>
      <c r="C9045" t="n" s="0">
        <v>-4597.08128</v>
      </c>
    </row>
    <row r="9046">
      <c r="A9046" t="n" s="0">
        <v>-9.55</v>
      </c>
      <c r="B9046" t="n" s="0">
        <f>(-5-((((-5*(-5/((-5/(((-5*(-9.55--5))-(-5+((-5*-9.55)*(((-5--5)+(-9.55--5))+-9.55))))-(-5+-5)))*-5)))/-5)--5)+(-5*(((-9.55*(-9.55-(-5/-5)))*(-9.55-(-9.55/(-5*-9.55))))-(-5/-5)))))</f>
        <v>-4582.974375</v>
      </c>
      <c r="C9046" t="n" s="0">
        <v>-4582.974375000001</v>
      </c>
    </row>
    <row r="9047">
      <c r="A9047" t="n" s="0">
        <v>-9.54</v>
      </c>
      <c r="B9047" t="n" s="0">
        <f>(-5-((((-5*(-5/((-5/(((-5*(-9.54--5))-(-5+((-5*-9.54)*(((-5--5)+(-9.54--5))+-9.54))))-(-5+-5)))*-5)))/-5)--5)+(-5*(((-9.54*(-9.54-(-5/-5)))*(-9.54-(-9.54/(-5*-9.54))))-(-5/-5)))))</f>
        <v>-4568.89652</v>
      </c>
      <c r="C9047" t="n" s="0">
        <v>-4568.896519999998</v>
      </c>
    </row>
    <row r="9048">
      <c r="A9048" t="n" s="0">
        <v>-9.53</v>
      </c>
      <c r="B9048" t="n" s="0">
        <f>(-5-((((-5*(-5/((-5/(((-5*(-9.53--5))-(-5+((-5*-9.53)*(((-5--5)+(-9.53--5))+-9.53))))-(-5+-5)))*-5)))/-5)--5)+(-5*(((-9.53*(-9.53-(-5/-5)))*(-9.53-(-9.53/(-5*-9.53))))-(-5/-5)))))</f>
        <v>-4554.847685</v>
      </c>
      <c r="C9048" t="n" s="0">
        <v>-4554.847685</v>
      </c>
    </row>
    <row r="9049">
      <c r="A9049" t="n" s="0">
        <v>-9.52</v>
      </c>
      <c r="B9049" t="n" s="0">
        <f>(-5-((((-5*(-5/((-5/(((-5*(-9.52--5))-(-5+((-5*-9.52)*(((-5--5)+(-9.52--5))+-9.52))))-(-5+-5)))*-5)))/-5)--5)+(-5*(((-9.52*(-9.52-(-5/-5)))*(-9.52-(-9.52/(-5*-9.52))))-(-5/-5)))))</f>
        <v>-4540.82784</v>
      </c>
      <c r="C9049" t="n" s="0">
        <v>-4540.82784</v>
      </c>
    </row>
    <row r="9050">
      <c r="A9050" t="n" s="0">
        <v>-9.51</v>
      </c>
      <c r="B9050" t="n" s="0">
        <f>(-5-((((-5*(-5/((-5/(((-5*(-9.51--5))-(-5+((-5*-9.51)*(((-5--5)+(-9.51--5))+-9.51))))-(-5+-5)))*-5)))/-5)--5)+(-5*(((-9.51*(-9.51-(-5/-5)))*(-9.51-(-9.51/(-5*-9.51))))-(-5/-5)))))</f>
        <v>-4526.836955000001</v>
      </c>
      <c r="C9050" t="n" s="0">
        <v>-4526.836954999999</v>
      </c>
    </row>
    <row r="9051">
      <c r="A9051" t="n" s="0">
        <v>-9.5</v>
      </c>
      <c r="B9051" t="n" s="0">
        <f>(-5-((((-5*(-5/((-5/(((-5*(-9.5--5))-(-5+((-5*-9.5)*(((-5--5)+(-9.5--5))+-9.5))))-(-5+-5)))*-5)))/-5)--5)+(-5*(((-9.5*(-9.5-(-5/-5)))*(-9.5-(-9.5/(-5*-9.5))))-(-5/-5)))))</f>
        <v>-4512.875</v>
      </c>
      <c r="C9051" t="n" s="0">
        <v>-4512.875</v>
      </c>
    </row>
    <row r="9052">
      <c r="A9052" t="n" s="0">
        <v>-9.49</v>
      </c>
      <c r="B9052" t="n" s="0">
        <f>(-5-((((-5*(-5/((-5/(((-5*(-9.49--5))-(-5+((-5*-9.49)*(((-5--5)+(-9.49--5))+-9.49))))-(-5+-5)))*-5)))/-5)--5)+(-5*(((-9.49*(-9.49-(-5/-5)))*(-9.49-(-9.49/(-5*-9.49))))-(-5/-5)))))</f>
        <v>-4498.941945</v>
      </c>
      <c r="C9052" t="n" s="0">
        <v>-4498.941945000001</v>
      </c>
    </row>
    <row r="9053">
      <c r="A9053" t="n" s="0">
        <v>-9.48</v>
      </c>
      <c r="B9053" t="n" s="0">
        <f>(-5-((((-5*(-5/((-5/(((-5*(-9.48--5))-(-5+((-5*-9.48)*(((-5--5)+(-9.48--5))+-9.48))))-(-5+-5)))*-5)))/-5)--5)+(-5*(((-9.48*(-9.48-(-5/-5)))*(-9.48-(-9.48/(-5*-9.48))))-(-5/-5)))))</f>
        <v>-4485.037759999999</v>
      </c>
      <c r="C9053" t="n" s="0">
        <v>-4485.03776</v>
      </c>
    </row>
    <row r="9054">
      <c r="A9054" t="n" s="0">
        <v>-9.47</v>
      </c>
      <c r="B9054" t="n" s="0">
        <f>(-5-((((-5*(-5/((-5/(((-5*(-9.47--5))-(-5+((-5*-9.47)*(((-5--5)+(-9.47--5))+-9.47))))-(-5+-5)))*-5)))/-5)--5)+(-5*(((-9.47*(-9.47-(-5/-5)))*(-9.47-(-9.47/(-5*-9.47))))-(-5/-5)))))</f>
        <v>-4471.162415000001</v>
      </c>
      <c r="C9054" t="n" s="0">
        <v>-4471.162415000001</v>
      </c>
    </row>
    <row r="9055">
      <c r="A9055" t="n" s="0">
        <v>-9.46</v>
      </c>
      <c r="B9055" t="n" s="0">
        <f>(-5-((((-5*(-5/((-5/(((-5*(-9.46--5))-(-5+((-5*-9.46)*(((-5--5)+(-9.46--5))+-9.46))))-(-5+-5)))*-5)))/-5)--5)+(-5*(((-9.46*(-9.46-(-5/-5)))*(-9.46-(-9.46/(-5*-9.46))))-(-5/-5)))))</f>
        <v>-4457.315879999999</v>
      </c>
      <c r="C9055" t="n" s="0">
        <v>-4457.315880000001</v>
      </c>
    </row>
    <row r="9056">
      <c r="A9056" t="n" s="0">
        <v>-9.45</v>
      </c>
      <c r="B9056" t="n" s="0">
        <f>(-5-((((-5*(-5/((-5/(((-5*(-9.45--5))-(-5+((-5*-9.45)*(((-5--5)+(-9.45--5))+-9.45))))-(-5+-5)))*-5)))/-5)--5)+(-5*(((-9.45*(-9.45-(-5/-5)))*(-9.45-(-9.45/(-5*-9.45))))-(-5/-5)))))</f>
        <v>-4443.498125</v>
      </c>
      <c r="C9056" t="n" s="0">
        <v>-4443.498124999999</v>
      </c>
    </row>
    <row r="9057">
      <c r="A9057" t="n" s="0">
        <v>-9.44</v>
      </c>
      <c r="B9057" t="n" s="0">
        <f>(-5-((((-5*(-5/((-5/(((-5*(-9.44--5))-(-5+((-5*-9.44)*(((-5--5)+(-9.44--5))+-9.44))))-(-5+-5)))*-5)))/-5)--5)+(-5*(((-9.44*(-9.44-(-5/-5)))*(-9.44-(-9.44/(-5*-9.44))))-(-5/-5)))))</f>
        <v>-4429.7091199999995</v>
      </c>
      <c r="C9057" t="n" s="0">
        <v>-4429.7091199999995</v>
      </c>
    </row>
    <row r="9058">
      <c r="A9058" t="n" s="0">
        <v>-9.43</v>
      </c>
      <c r="B9058" t="n" s="0">
        <f>(-5-((((-5*(-5/((-5/(((-5*(-9.43--5))-(-5+((-5*-9.43)*(((-5--5)+(-9.43--5))+-9.43))))-(-5+-5)))*-5)))/-5)--5)+(-5*(((-9.43*(-9.43-(-5/-5)))*(-9.43-(-9.43/(-5*-9.43))))-(-5/-5)))))</f>
        <v>-4415.948835</v>
      </c>
      <c r="C9058" t="n" s="0">
        <v>-4415.948834999999</v>
      </c>
    </row>
    <row r="9059">
      <c r="A9059" t="n" s="0">
        <v>-9.42</v>
      </c>
      <c r="B9059" t="n" s="0">
        <f>(-5-((((-5*(-5/((-5/(((-5*(-9.42--5))-(-5+((-5*-9.42)*(((-5--5)+(-9.42--5))+-9.42))))-(-5+-5)))*-5)))/-5)--5)+(-5*(((-9.42*(-9.42-(-5/-5)))*(-9.42-(-9.42/(-5*-9.42))))-(-5/-5)))))</f>
        <v>-4402.21724</v>
      </c>
      <c r="C9059" t="n" s="0">
        <v>-4402.21724</v>
      </c>
    </row>
    <row r="9060">
      <c r="A9060" t="n" s="0">
        <v>-9.41</v>
      </c>
      <c r="B9060" t="n" s="0">
        <f>(-5-((((-5*(-5/((-5/(((-5*(-9.41--5))-(-5+((-5*-9.41)*(((-5--5)+(-9.41--5))+-9.41))))-(-5+-5)))*-5)))/-5)--5)+(-5*(((-9.41*(-9.41-(-5/-5)))*(-9.41-(-9.41/(-5*-9.41))))-(-5/-5)))))</f>
        <v>-4388.514305000001</v>
      </c>
      <c r="C9060" t="n" s="0">
        <v>-4388.514305</v>
      </c>
    </row>
    <row r="9061">
      <c r="A9061" t="n" s="0">
        <v>-9.4</v>
      </c>
      <c r="B9061" t="n" s="0">
        <f>(-5-((((-5*(-5/((-5/(((-5*(-9.4--5))-(-5+((-5*-9.4)*(((-5--5)+(-9.4--5))+-9.4))))-(-5+-5)))*-5)))/-5)--5)+(-5*(((-9.4*(-9.4-(-5/-5)))*(-9.4-(-9.4/(-5*-9.4))))-(-5/-5)))))</f>
        <v>-4374.84</v>
      </c>
      <c r="C9061" t="n" s="0">
        <v>-4374.84</v>
      </c>
    </row>
    <row r="9062">
      <c r="A9062" t="n" s="0">
        <v>-9.39</v>
      </c>
      <c r="B9062" t="n" s="0">
        <f>(-5-((((-5*(-5/((-5/(((-5*(-9.39--5))-(-5+((-5*-9.39)*(((-5--5)+(-9.39--5))+-9.39))))-(-5+-5)))*-5)))/-5)--5)+(-5*(((-9.39*(-9.39-(-5/-5)))*(-9.39-(-9.39/(-5*-9.39))))-(-5/-5)))))</f>
        <v>-4361.194295</v>
      </c>
      <c r="C9062" t="n" s="0">
        <v>-4361.194295000001</v>
      </c>
    </row>
    <row r="9063">
      <c r="A9063" t="n" s="0">
        <v>-9.38</v>
      </c>
      <c r="B9063" t="n" s="0">
        <f>(-5-((((-5*(-5/((-5/(((-5*(-9.38--5))-(-5+((-5*-9.38)*(((-5--5)+(-9.38--5))+-9.38))))-(-5+-5)))*-5)))/-5)--5)+(-5*(((-9.38*(-9.38-(-5/-5)))*(-9.38-(-9.38/(-5*-9.38))))-(-5/-5)))))</f>
        <v>-4347.57716</v>
      </c>
      <c r="C9063" t="n" s="0">
        <v>-4347.577160000001</v>
      </c>
    </row>
    <row r="9064">
      <c r="A9064" t="n" s="0">
        <v>-9.37</v>
      </c>
      <c r="B9064" t="n" s="0">
        <f>(-5-((((-5*(-5/((-5/(((-5*(-9.37--5))-(-5+((-5*-9.37)*(((-5--5)+(-9.37--5))+-9.37))))-(-5+-5)))*-5)))/-5)--5)+(-5*(((-9.37*(-9.37-(-5/-5)))*(-9.37-(-9.37/(-5*-9.37))))-(-5/-5)))))</f>
        <v>-4333.988565</v>
      </c>
      <c r="C9064" t="n" s="0">
        <v>-4333.988564999999</v>
      </c>
    </row>
    <row r="9065">
      <c r="A9065" t="n" s="0">
        <v>-9.36</v>
      </c>
      <c r="B9065" t="n" s="0">
        <f>(-5-((((-5*(-5/((-5/(((-5*(-9.36--5))-(-5+((-5*-9.36)*(((-5--5)+(-9.36--5))+-9.36))))-(-5+-5)))*-5)))/-5)--5)+(-5*(((-9.36*(-9.36-(-5/-5)))*(-9.36-(-9.36/(-5*-9.36))))-(-5/-5)))))</f>
        <v>-4320.4284800000005</v>
      </c>
      <c r="C9065" t="n" s="0">
        <v>-4320.428479999999</v>
      </c>
    </row>
    <row r="9066">
      <c r="A9066" t="n" s="0">
        <v>-9.35</v>
      </c>
      <c r="B9066" t="n" s="0">
        <f>(-5-((((-5*(-5/((-5/(((-5*(-9.35--5))-(-5+((-5*-9.35)*(((-5--5)+(-9.35--5))+-9.35))))-(-5+-5)))*-5)))/-5)--5)+(-5*(((-9.35*(-9.35-(-5/-5)))*(-9.35-(-9.35/(-5*-9.35))))-(-5/-5)))))</f>
        <v>-4306.896875</v>
      </c>
      <c r="C9066" t="n" s="0">
        <v>-4306.896875</v>
      </c>
    </row>
    <row r="9067">
      <c r="A9067" t="n" s="0">
        <v>-9.34</v>
      </c>
      <c r="B9067" t="n" s="0">
        <f>(-5-((((-5*(-5/((-5/(((-5*(-9.34--5))-(-5+((-5*-9.34)*(((-5--5)+(-9.34--5))+-9.34))))-(-5+-5)))*-5)))/-5)--5)+(-5*(((-9.34*(-9.34-(-5/-5)))*(-9.34-(-9.34/(-5*-9.34))))-(-5/-5)))))</f>
        <v>-4293.39372</v>
      </c>
      <c r="C9067" t="n" s="0">
        <v>-4293.39372</v>
      </c>
    </row>
    <row r="9068">
      <c r="A9068" t="n" s="0">
        <v>-9.33</v>
      </c>
      <c r="B9068" t="n" s="0">
        <f>(-5-((((-5*(-5/((-5/(((-5*(-9.33--5))-(-5+((-5*-9.33)*(((-5--5)+(-9.33--5))+-9.33))))-(-5+-5)))*-5)))/-5)--5)+(-5*(((-9.33*(-9.33-(-5/-5)))*(-9.33-(-9.33/(-5*-9.33))))-(-5/-5)))))</f>
        <v>-4279.918985</v>
      </c>
      <c r="C9068" t="n" s="0">
        <v>-4279.918985</v>
      </c>
    </row>
    <row r="9069">
      <c r="A9069" t="n" s="0">
        <v>-9.32</v>
      </c>
      <c r="B9069" t="n" s="0">
        <f>(-5-((((-5*(-5/((-5/(((-5*(-9.32--5))-(-5+((-5*-9.32)*(((-5--5)+(-9.32--5))+-9.32))))-(-5+-5)))*-5)))/-5)--5)+(-5*(((-9.32*(-9.32-(-5/-5)))*(-9.32-(-9.32/(-5*-9.32))))-(-5/-5)))))</f>
        <v>-4266.47264</v>
      </c>
      <c r="C9069" t="n" s="0">
        <v>-4266.472640000001</v>
      </c>
    </row>
    <row r="9070">
      <c r="A9070" t="n" s="0">
        <v>-9.31</v>
      </c>
      <c r="B9070" t="n" s="0">
        <f>(-5-((((-5*(-5/((-5/(((-5*(-9.31--5))-(-5+((-5*-9.31)*(((-5--5)+(-9.31--5))+-9.31))))-(-5+-5)))*-5)))/-5)--5)+(-5*(((-9.31*(-9.31-(-5/-5)))*(-9.31-(-9.31/(-5*-9.31))))-(-5/-5)))))</f>
        <v>-4253.054655000001</v>
      </c>
      <c r="C9070" t="n" s="0">
        <v>-4253.054655000001</v>
      </c>
    </row>
    <row r="9071">
      <c r="A9071" t="n" s="0">
        <v>-9.3</v>
      </c>
      <c r="B9071" t="n" s="0">
        <f>(-5-((((-5*(-5/((-5/(((-5*(-9.3--5))-(-5+((-5*-9.3)*(((-5--5)+(-9.3--5))+-9.3))))-(-5+-5)))*-5)))/-5)--5)+(-5*(((-9.3*(-9.3-(-5/-5)))*(-9.3-(-9.3/(-5*-9.3))))-(-5/-5)))))</f>
        <v>-4239.665</v>
      </c>
      <c r="C9071" t="n" s="0">
        <v>-4239.665000000001</v>
      </c>
    </row>
    <row r="9072">
      <c r="A9072" t="n" s="0">
        <v>-9.29</v>
      </c>
      <c r="B9072" t="n" s="0">
        <f>(-5-((((-5*(-5/((-5/(((-5*(-9.29--5))-(-5+((-5*-9.29)*(((-5--5)+(-9.29--5))+-9.29))))-(-5+-5)))*-5)))/-5)--5)+(-5*(((-9.29*(-9.29-(-5/-5)))*(-9.29-(-9.29/(-5*-9.29))))-(-5/-5)))))</f>
        <v>-4226.303645</v>
      </c>
      <c r="C9072" t="n" s="0">
        <v>-4226.303644999998</v>
      </c>
    </row>
    <row r="9073">
      <c r="A9073" t="n" s="0">
        <v>-9.28</v>
      </c>
      <c r="B9073" t="n" s="0">
        <f>(-5-((((-5*(-5/((-5/(((-5*(-9.28--5))-(-5+((-5*-9.28)*(((-5--5)+(-9.28--5))+-9.28))))-(-5+-5)))*-5)))/-5)--5)+(-5*(((-9.28*(-9.28-(-5/-5)))*(-9.28-(-9.28/(-5*-9.28))))-(-5/-5)))))</f>
        <v>-4212.970560000001</v>
      </c>
      <c r="C9073" t="n" s="0">
        <v>-4212.970559999999</v>
      </c>
    </row>
    <row r="9074">
      <c r="A9074" t="n" s="0">
        <v>-9.27</v>
      </c>
      <c r="B9074" t="n" s="0">
        <f>(-5-((((-5*(-5/((-5/(((-5*(-9.27--5))-(-5+((-5*-9.27)*(((-5--5)+(-9.27--5))+-9.27))))-(-5+-5)))*-5)))/-5)--5)+(-5*(((-9.27*(-9.27-(-5/-5)))*(-9.27-(-9.27/(-5*-9.27))))-(-5/-5)))))</f>
        <v>-4199.665715</v>
      </c>
      <c r="C9074" t="n" s="0">
        <v>-4199.665714999999</v>
      </c>
    </row>
    <row r="9075">
      <c r="A9075" t="n" s="0">
        <v>-9.26</v>
      </c>
      <c r="B9075" t="n" s="0">
        <f>(-5-((((-5*(-5/((-5/(((-5*(-9.26--5))-(-5+((-5*-9.26)*(((-5--5)+(-9.26--5))+-9.26))))-(-5+-5)))*-5)))/-5)--5)+(-5*(((-9.26*(-9.26-(-5/-5)))*(-9.26-(-9.26/(-5*-9.26))))-(-5/-5)))))</f>
        <v>-4186.38908</v>
      </c>
      <c r="C9075" t="n" s="0">
        <v>-4186.389079999999</v>
      </c>
    </row>
    <row r="9076">
      <c r="A9076" t="n" s="0">
        <v>-9.25</v>
      </c>
      <c r="B9076" t="n" s="0">
        <f>(-5-((((-5*(-5/((-5/(((-5*(-9.25--5))-(-5+((-5*-9.25)*(((-5--5)+(-9.25--5))+-9.25))))-(-5+-5)))*-5)))/-5)--5)+(-5*(((-9.25*(-9.25-(-5/-5)))*(-9.25-(-9.25/(-5*-9.25))))-(-5/-5)))))</f>
        <v>-4173.140625</v>
      </c>
      <c r="C9076" t="n" s="0">
        <v>-4173.140625</v>
      </c>
    </row>
    <row r="9077">
      <c r="A9077" t="n" s="0">
        <v>-9.24</v>
      </c>
      <c r="B9077" t="n" s="0">
        <f>(-5-((((-5*(-5/((-5/(((-5*(-9.24--5))-(-5+((-5*-9.24)*(((-5--5)+(-9.24--5))+-9.24))))-(-5+-5)))*-5)))/-5)--5)+(-5*(((-9.24*(-9.24-(-5/-5)))*(-9.24-(-9.24/(-5*-9.24))))-(-5/-5)))))</f>
        <v>-4159.92032</v>
      </c>
      <c r="C9077" t="n" s="0">
        <v>-4159.92032</v>
      </c>
    </row>
    <row r="9078">
      <c r="A9078" t="n" s="0">
        <v>-9.23</v>
      </c>
      <c r="B9078" t="n" s="0">
        <f>(-5-((((-5*(-5/((-5/(((-5*(-9.23--5))-(-5+((-5*-9.23)*(((-5--5)+(-9.23--5))+-9.23))))-(-5+-5)))*-5)))/-5)--5)+(-5*(((-9.23*(-9.23-(-5/-5)))*(-9.23-(-9.23/(-5*-9.23))))-(-5/-5)))))</f>
        <v>-4146.728135</v>
      </c>
      <c r="C9078" t="n" s="0">
        <v>-4146.728135</v>
      </c>
    </row>
    <row r="9079">
      <c r="A9079" t="n" s="0">
        <v>-9.22</v>
      </c>
      <c r="B9079" t="n" s="0">
        <f>(-5-((((-5*(-5/((-5/(((-5*(-9.22--5))-(-5+((-5*-9.22)*(((-5--5)+(-9.22--5))+-9.22))))-(-5+-5)))*-5)))/-5)--5)+(-5*(((-9.22*(-9.22-(-5/-5)))*(-9.22-(-9.22/(-5*-9.22))))-(-5/-5)))))</f>
        <v>-4133.56404</v>
      </c>
      <c r="C9079" t="n" s="0">
        <v>-4133.564040000001</v>
      </c>
    </row>
    <row r="9080">
      <c r="A9080" t="n" s="0">
        <v>-9.21</v>
      </c>
      <c r="B9080" t="n" s="0">
        <f>(-5-((((-5*(-5/((-5/(((-5*(-9.21--5))-(-5+((-5*-9.21)*(((-5--5)+(-9.21--5))+-9.21))))-(-5+-5)))*-5)))/-5)--5)+(-5*(((-9.21*(-9.21-(-5/-5)))*(-9.21-(-9.21/(-5*-9.21))))-(-5/-5)))))</f>
        <v>-4120.428005</v>
      </c>
      <c r="C9080" t="n" s="0">
        <v>-4120.428005000001</v>
      </c>
    </row>
    <row r="9081">
      <c r="A9081" t="n" s="0">
        <v>-9.2</v>
      </c>
      <c r="B9081" t="n" s="0">
        <f>(-5-((((-5*(-5/((-5/(((-5*(-9.2--5))-(-5+((-5*-9.2)*(((-5--5)+(-9.2--5))+-9.2))))-(-5+-5)))*-5)))/-5)--5)+(-5*(((-9.2*(-9.2-(-5/-5)))*(-9.2-(-9.2/(-5*-9.2))))-(-5/-5)))))</f>
        <v>-4107.320000000001</v>
      </c>
      <c r="C9081" t="n" s="0">
        <v>-4107.32</v>
      </c>
    </row>
    <row r="9082">
      <c r="A9082" t="n" s="0">
        <v>-9.19</v>
      </c>
      <c r="B9082" t="n" s="0">
        <f>(-5-((((-5*(-5/((-5/(((-5*(-9.19--5))-(-5+((-5*-9.19)*(((-5--5)+(-9.19--5))+-9.19))))-(-5+-5)))*-5)))/-5)--5)+(-5*(((-9.19*(-9.19-(-5/-5)))*(-9.19-(-9.19/(-5*-9.19))))-(-5/-5)))))</f>
        <v>-4094.2399950000004</v>
      </c>
      <c r="C9082" t="n" s="0">
        <v>-4094.2399949999995</v>
      </c>
    </row>
    <row r="9083">
      <c r="A9083" t="n" s="0">
        <v>-9.18</v>
      </c>
      <c r="B9083" t="n" s="0">
        <f>(-5-((((-5*(-5/((-5/(((-5*(-9.18--5))-(-5+((-5*-9.18)*(((-5--5)+(-9.18--5))+-9.18))))-(-5+-5)))*-5)))/-5)--5)+(-5*(((-9.18*(-9.18-(-5/-5)))*(-9.18-(-9.18/(-5*-9.18))))-(-5/-5)))))</f>
        <v>-4081.1879599999997</v>
      </c>
      <c r="C9083" t="n" s="0">
        <v>-4081.1879599999997</v>
      </c>
    </row>
    <row r="9084">
      <c r="A9084" t="n" s="0">
        <v>-9.17</v>
      </c>
      <c r="B9084" t="n" s="0">
        <f>(-5-((((-5*(-5/((-5/(((-5*(-9.17--5))-(-5+((-5*-9.17)*(((-5--5)+(-9.17--5))+-9.17))))-(-5+-5)))*-5)))/-5)--5)+(-5*(((-9.17*(-9.17-(-5/-5)))*(-9.17-(-9.17/(-5*-9.17))))-(-5/-5)))))</f>
        <v>-4068.1638649999995</v>
      </c>
      <c r="C9084" t="n" s="0">
        <v>-4068.163865</v>
      </c>
    </row>
    <row r="9085">
      <c r="A9085" t="n" s="0">
        <v>-9.16</v>
      </c>
      <c r="B9085" t="n" s="0">
        <f>(-5-((((-5*(-5/((-5/(((-5*(-9.16--5))-(-5+((-5*-9.16)*(((-5--5)+(-9.16--5))+-9.16))))-(-5+-5)))*-5)))/-5)--5)+(-5*(((-9.16*(-9.16-(-5/-5)))*(-9.16-(-9.16/(-5*-9.16))))-(-5/-5)))))</f>
        <v>-4055.1676800000005</v>
      </c>
      <c r="C9085" t="n" s="0">
        <v>-4055.16768</v>
      </c>
    </row>
    <row r="9086">
      <c r="A9086" t="n" s="0">
        <v>-9.15</v>
      </c>
      <c r="B9086" t="n" s="0">
        <f>(-5-((((-5*(-5/((-5/(((-5*(-9.15--5))-(-5+((-5*-9.15)*(((-5--5)+(-9.15--5))+-9.15))))-(-5+-5)))*-5)))/-5)--5)+(-5*(((-9.15*(-9.15-(-5/-5)))*(-9.15-(-9.15/(-5*-9.15))))-(-5/-5)))))</f>
        <v>-4042.1993750000006</v>
      </c>
      <c r="C9086" t="n" s="0">
        <v>-4042.1993750000006</v>
      </c>
    </row>
    <row r="9087">
      <c r="A9087" t="n" s="0">
        <v>-9.14</v>
      </c>
      <c r="B9087" t="n" s="0">
        <f>(-5-((((-5*(-5/((-5/(((-5*(-9.14--5))-(-5+((-5*-9.14)*(((-5--5)+(-9.14--5))+-9.14))))-(-5+-5)))*-5)))/-5)--5)+(-5*(((-9.14*(-9.14-(-5/-5)))*(-9.14-(-9.14/(-5*-9.14))))-(-5/-5)))))</f>
        <v>-4029.2589199999998</v>
      </c>
      <c r="C9087" t="n" s="0">
        <v>-4029.258920000001</v>
      </c>
    </row>
    <row r="9088">
      <c r="A9088" t="n" s="0">
        <v>-9.13</v>
      </c>
      <c r="B9088" t="n" s="0">
        <f>(-5-((((-5*(-5/((-5/(((-5*(-9.13--5))-(-5+((-5*-9.13)*(((-5--5)+(-9.13--5))+-9.13))))-(-5+-5)))*-5)))/-5)--5)+(-5*(((-9.13*(-9.13-(-5/-5)))*(-9.13-(-9.13/(-5*-9.13))))-(-5/-5)))))</f>
        <v>-4016.3462849999996</v>
      </c>
      <c r="C9088" t="n" s="0">
        <v>-4016.346285000001</v>
      </c>
    </row>
    <row r="9089">
      <c r="A9089" t="n" s="0">
        <v>-9.12</v>
      </c>
      <c r="B9089" t="n" s="0">
        <f>(-5-((((-5*(-5/((-5/(((-5*(-9.12--5))-(-5+((-5*-9.12)*(((-5--5)+(-9.12--5))+-9.12))))-(-5+-5)))*-5)))/-5)--5)+(-5*(((-9.12*(-9.12-(-5/-5)))*(-9.12-(-9.12/(-5*-9.12))))-(-5/-5)))))</f>
        <v>-4003.46144</v>
      </c>
      <c r="C9089" t="n" s="0">
        <v>-4003.4614399999987</v>
      </c>
    </row>
    <row r="9090">
      <c r="A9090" t="n" s="0">
        <v>-9.11</v>
      </c>
      <c r="B9090" t="n" s="0">
        <f>(-5-((((-5*(-5/((-5/(((-5*(-9.11--5))-(-5+((-5*-9.11)*(((-5--5)+(-9.11--5))+-9.11))))-(-5+-5)))*-5)))/-5)--5)+(-5*(((-9.11*(-9.11-(-5/-5)))*(-9.11-(-9.11/(-5*-9.11))))-(-5/-5)))))</f>
        <v>-3990.604355</v>
      </c>
      <c r="C9090" t="n" s="0">
        <v>-3990.6043549999995</v>
      </c>
    </row>
    <row r="9091">
      <c r="A9091" t="n" s="0">
        <v>-9.1</v>
      </c>
      <c r="B9091" t="n" s="0">
        <f>(-5-((((-5*(-5/((-5/(((-5*(-9.1--5))-(-5+((-5*-9.1)*(((-5--5)+(-9.1--5))+-9.1))))-(-5+-5)))*-5)))/-5)--5)+(-5*(((-9.1*(-9.1-(-5/-5)))*(-9.1-(-9.1/(-5*-9.1))))-(-5/-5)))))</f>
        <v>-3977.775</v>
      </c>
      <c r="C9091" t="n" s="0">
        <v>-3977.7749999999996</v>
      </c>
    </row>
    <row r="9092">
      <c r="A9092" t="n" s="0">
        <v>-9.09</v>
      </c>
      <c r="B9092" t="n" s="0">
        <f>(-5-((((-5*(-5/((-5/(((-5*(-9.09--5))-(-5+((-5*-9.09)*(((-5--5)+(-9.09--5))+-9.09))))-(-5+-5)))*-5)))/-5)--5)+(-5*(((-9.09*(-9.09-(-5/-5)))*(-9.09-(-9.09/(-5*-9.09))))-(-5/-5)))))</f>
        <v>-3964.973345</v>
      </c>
      <c r="C9092" t="n" s="0">
        <v>-3964.973345</v>
      </c>
    </row>
    <row r="9093">
      <c r="A9093" t="n" s="0">
        <v>-9.08</v>
      </c>
      <c r="B9093" t="n" s="0">
        <f>(-5-((((-5*(-5/((-5/(((-5*(-9.08--5))-(-5+((-5*-9.08)*(((-5--5)+(-9.08--5))+-9.08))))-(-5+-5)))*-5)))/-5)--5)+(-5*(((-9.08*(-9.08-(-5/-5)))*(-9.08-(-9.08/(-5*-9.08))))-(-5/-5)))))</f>
        <v>-3952.19936</v>
      </c>
      <c r="C9093" t="n" s="0">
        <v>-3952.19936</v>
      </c>
    </row>
    <row r="9094">
      <c r="A9094" t="n" s="0">
        <v>-9.07</v>
      </c>
      <c r="B9094" t="n" s="0">
        <f>(-5-((((-5*(-5/((-5/(((-5*(-9.07--5))-(-5+((-5*-9.07)*(((-5--5)+(-9.07--5))+-9.07))))-(-5+-5)))*-5)))/-5)--5)+(-5*(((-9.07*(-9.07-(-5/-5)))*(-9.07-(-9.07/(-5*-9.07))))-(-5/-5)))))</f>
        <v>-3939.453015</v>
      </c>
      <c r="C9094" t="n" s="0">
        <v>-3939.453015</v>
      </c>
    </row>
    <row r="9095">
      <c r="A9095" t="n" s="0">
        <v>-9.06</v>
      </c>
      <c r="B9095" t="n" s="0">
        <f>(-5-((((-5*(-5/((-5/(((-5*(-9.06--5))-(-5+((-5*-9.06)*(((-5--5)+(-9.06--5))+-9.06))))-(-5+-5)))*-5)))/-5)--5)+(-5*(((-9.06*(-9.06-(-5/-5)))*(-9.06-(-9.06/(-5*-9.06))))-(-5/-5)))))</f>
        <v>-3926.73428</v>
      </c>
      <c r="C9095" t="n" s="0">
        <v>-3926.73428</v>
      </c>
    </row>
    <row r="9096">
      <c r="A9096" t="n" s="0">
        <v>-9.05</v>
      </c>
      <c r="B9096" t="n" s="0">
        <f>(-5-((((-5*(-5/((-5/(((-5*(-9.05--5))-(-5+((-5*-9.05)*(((-5--5)+(-9.05--5))+-9.05))))-(-5+-5)))*-5)))/-5)--5)+(-5*(((-9.05*(-9.05-(-5/-5)))*(-9.05-(-9.05/(-5*-9.05))))-(-5/-5)))))</f>
        <v>-3914.043125</v>
      </c>
      <c r="C9096" t="n" s="0">
        <v>-3914.043125000001</v>
      </c>
    </row>
    <row r="9097">
      <c r="A9097" t="n" s="0">
        <v>-9.04</v>
      </c>
      <c r="B9097" t="n" s="0">
        <f>(-5-((((-5*(-5/((-5/(((-5*(-9.04--5))-(-5+((-5*-9.04)*(((-5--5)+(-9.04--5))+-9.04))))-(-5+-5)))*-5)))/-5)--5)+(-5*(((-9.04*(-9.04-(-5/-5)))*(-9.04-(-9.04/(-5*-9.04))))-(-5/-5)))))</f>
        <v>-3901.37952</v>
      </c>
      <c r="C9097" t="n" s="0">
        <v>-3901.379519999999</v>
      </c>
    </row>
    <row r="9098">
      <c r="A9098" t="n" s="0">
        <v>-9.03</v>
      </c>
      <c r="B9098" t="n" s="0">
        <f>(-5-((((-5*(-5/((-5/(((-5*(-9.03--5))-(-5+((-5*-9.03)*(((-5--5)+(-9.03--5))+-9.03))))-(-5+-5)))*-5)))/-5)--5)+(-5*(((-9.03*(-9.03-(-5/-5)))*(-9.03-(-9.03/(-5*-9.03))))-(-5/-5)))))</f>
        <v>-3888.743435</v>
      </c>
      <c r="C9098" t="n" s="0">
        <v>-3888.7434349999994</v>
      </c>
    </row>
    <row r="9099">
      <c r="A9099" t="n" s="0">
        <v>-9.02</v>
      </c>
      <c r="B9099" t="n" s="0">
        <f>(-5-((((-5*(-5/((-5/(((-5*(-9.02--5))-(-5+((-5*-9.02)*(((-5--5)+(-9.02--5))+-9.02))))-(-5+-5)))*-5)))/-5)--5)+(-5*(((-9.02*(-9.02-(-5/-5)))*(-9.02-(-9.02/(-5*-9.02))))-(-5/-5)))))</f>
        <v>-3876.1348399999997</v>
      </c>
      <c r="C9099" t="n" s="0">
        <v>-3876.1348399999993</v>
      </c>
    </row>
    <row r="9100">
      <c r="A9100" t="n" s="0">
        <v>-9.01</v>
      </c>
      <c r="B9100" t="n" s="0">
        <f>(-5-((((-5*(-5/((-5/(((-5*(-9.01--5))-(-5+((-5*-9.01)*(((-5--5)+(-9.01--5))+-9.01))))-(-5+-5)))*-5)))/-5)--5)+(-5*(((-9.01*(-9.01-(-5/-5)))*(-9.01-(-9.01/(-5*-9.01))))-(-5/-5)))))</f>
        <v>-3863.553705</v>
      </c>
      <c r="C9100" t="n" s="0">
        <v>-3863.553705</v>
      </c>
    </row>
    <row r="9101">
      <c r="A9101" t="n" s="0">
        <v>-9.0</v>
      </c>
      <c r="B9101" t="n" s="0">
        <f>(-5-((((-5*(-5/((-5/(((-5*(-9--5))-(-5+((-5*-9)*(((-5--5)+(-9--5))+-9))))-(-5+-5)))*-5)))/-5)--5)+(-5*(((-9*(-9-(-5/-5)))*(-9-(-9/(-5*-9))))-(-5/-5)))))</f>
        <v>-3851.0</v>
      </c>
      <c r="C9101" t="n" s="0">
        <v>-3851.0</v>
      </c>
    </row>
    <row r="9102">
      <c r="A9102" t="n" s="0">
        <v>-8.99</v>
      </c>
      <c r="B9102" t="n" s="0">
        <f>(-5-((((-5*(-5/((-5/(((-5*(-8.99--5))-(-5+((-5*-8.99)*(((-5--5)+(-8.99--5))+-8.99))))-(-5+-5)))*-5)))/-5)--5)+(-5*(((-8.99*(-8.99-(-5/-5)))*(-8.99-(-8.99/(-5*-8.99))))-(-5/-5)))))</f>
        <v>-3838.473695</v>
      </c>
      <c r="C9102" t="n" s="0">
        <v>-3838.473695</v>
      </c>
    </row>
    <row r="9103">
      <c r="A9103" t="n" s="0">
        <v>-8.98</v>
      </c>
      <c r="B9103" t="n" s="0">
        <f>(-5-((((-5*(-5/((-5/(((-5*(-8.98--5))-(-5+((-5*-8.98)*(((-5--5)+(-8.98--5))+-8.98))))-(-5+-5)))*-5)))/-5)--5)+(-5*(((-8.98*(-8.98-(-5/-5)))*(-8.98-(-8.98/(-5*-8.98))))-(-5/-5)))))</f>
        <v>-3825.97476</v>
      </c>
      <c r="C9103" t="n" s="0">
        <v>-3825.974760000001</v>
      </c>
    </row>
    <row r="9104">
      <c r="A9104" t="n" s="0">
        <v>-8.97</v>
      </c>
      <c r="B9104" t="n" s="0">
        <f>(-5-((((-5*(-5/((-5/(((-5*(-8.97--5))-(-5+((-5*-8.97)*(((-5--5)+(-8.97--5))+-8.97))))-(-5+-5)))*-5)))/-5)--5)+(-5*(((-8.97*(-8.97-(-5/-5)))*(-8.97-(-8.97/(-5*-8.97))))-(-5/-5)))))</f>
        <v>-3813.503165</v>
      </c>
      <c r="C9104" t="n" s="0">
        <v>-3813.5031650000005</v>
      </c>
    </row>
    <row r="9105">
      <c r="A9105" t="n" s="0">
        <v>-8.96</v>
      </c>
      <c r="B9105" t="n" s="0">
        <f>(-5-((((-5*(-5/((-5/(((-5*(-8.96--5))-(-5+((-5*-8.96)*(((-5--5)+(-8.96--5))+-8.96))))-(-5+-5)))*-5)))/-5)--5)+(-5*(((-8.96*(-8.96-(-5/-5)))*(-8.96-(-8.96/(-5*-8.96))))-(-5/-5)))))</f>
        <v>-3801.05888</v>
      </c>
      <c r="C9105" t="n" s="0">
        <v>-3801.058880000001</v>
      </c>
    </row>
    <row r="9106">
      <c r="A9106" t="n" s="0">
        <v>-8.95</v>
      </c>
      <c r="B9106" t="n" s="0">
        <f>(-5-((((-5*(-5/((-5/(((-5*(-8.95--5))-(-5+((-5*-8.95)*(((-5--5)+(-8.95--5))+-8.95))))-(-5+-5)))*-5)))/-5)--5)+(-5*(((-8.95*(-8.95-(-5/-5)))*(-8.95-(-8.95/(-5*-8.95))))-(-5/-5)))))</f>
        <v>-3788.641875</v>
      </c>
      <c r="C9106" t="n" s="0">
        <v>-3788.6418749999993</v>
      </c>
    </row>
    <row r="9107">
      <c r="A9107" t="n" s="0">
        <v>-8.94</v>
      </c>
      <c r="B9107" t="n" s="0">
        <f>(-5-((((-5*(-5/((-5/(((-5*(-8.94--5))-(-5+((-5*-8.94)*(((-5--5)+(-8.94--5))+-8.94))))-(-5+-5)))*-5)))/-5)--5)+(-5*(((-8.94*(-8.94-(-5/-5)))*(-8.94-(-8.94/(-5*-8.94))))-(-5/-5)))))</f>
        <v>-3776.25212</v>
      </c>
      <c r="C9107" t="n" s="0">
        <v>-3776.2521199999996</v>
      </c>
    </row>
    <row r="9108">
      <c r="A9108" t="n" s="0">
        <v>-8.93</v>
      </c>
      <c r="B9108" t="n" s="0">
        <f>(-5-((((-5*(-5/((-5/(((-5*(-8.93--5))-(-5+((-5*-8.93)*(((-5--5)+(-8.93--5))+-8.93))))-(-5+-5)))*-5)))/-5)--5)+(-5*(((-8.93*(-8.93-(-5/-5)))*(-8.93-(-8.93/(-5*-8.93))))-(-5/-5)))))</f>
        <v>-3763.889585</v>
      </c>
      <c r="C9108" t="n" s="0">
        <v>-3763.8895849999994</v>
      </c>
    </row>
    <row r="9109">
      <c r="A9109" t="n" s="0">
        <v>-8.92</v>
      </c>
      <c r="B9109" t="n" s="0">
        <f>(-5-((((-5*(-5/((-5/(((-5*(-8.92--5))-(-5+((-5*-8.92)*(((-5--5)+(-8.92--5))+-8.92))))-(-5+-5)))*-5)))/-5)--5)+(-5*(((-8.92*(-8.92-(-5/-5)))*(-8.92-(-8.92/(-5*-8.92))))-(-5/-5)))))</f>
        <v>-3751.55424</v>
      </c>
      <c r="C9109" t="n" s="0">
        <v>-3751.5542400000004</v>
      </c>
    </row>
    <row r="9110">
      <c r="A9110" t="n" s="0">
        <v>-8.91</v>
      </c>
      <c r="B9110" t="n" s="0">
        <f>(-5-((((-5*(-5/((-5/(((-5*(-8.91--5))-(-5+((-5*-8.91)*(((-5--5)+(-8.91--5))+-8.91))))-(-5+-5)))*-5)))/-5)--5)+(-5*(((-8.91*(-8.91-(-5/-5)))*(-8.91-(-8.91/(-5*-8.91))))-(-5/-5)))))</f>
        <v>-3739.246055</v>
      </c>
      <c r="C9110" t="n" s="0">
        <v>-3739.246055</v>
      </c>
    </row>
    <row r="9111">
      <c r="A9111" t="n" s="0">
        <v>-8.9</v>
      </c>
      <c r="B9111" t="n" s="0">
        <f>(-5-((((-5*(-5/((-5/(((-5*(-8.9--5))-(-5+((-5*-8.9)*(((-5--5)+(-8.9--5))+-8.9))))-(-5+-5)))*-5)))/-5)--5)+(-5*(((-8.9*(-8.9-(-5/-5)))*(-8.9-(-8.9/(-5*-8.9))))-(-5/-5)))))</f>
        <v>-3726.9649999999997</v>
      </c>
      <c r="C9111" t="n" s="0">
        <v>-3726.965</v>
      </c>
    </row>
    <row r="9112">
      <c r="A9112" t="n" s="0">
        <v>-8.89</v>
      </c>
      <c r="B9112" t="n" s="0">
        <f>(-5-((((-5*(-5/((-5/(((-5*(-8.89--5))-(-5+((-5*-8.89)*(((-5--5)+(-8.89--5))+-8.89))))-(-5+-5)))*-5)))/-5)--5)+(-5*(((-8.89*(-8.89-(-5/-5)))*(-8.89-(-8.89/(-5*-8.89))))-(-5/-5)))))</f>
        <v>-3714.711045</v>
      </c>
      <c r="C9112" t="n" s="0">
        <v>-3714.711045000001</v>
      </c>
    </row>
    <row r="9113">
      <c r="A9113" t="n" s="0">
        <v>-8.88</v>
      </c>
      <c r="B9113" t="n" s="0">
        <f>(-5-((((-5*(-5/((-5/(((-5*(-8.88--5))-(-5+((-5*-8.88)*(((-5--5)+(-8.88--5))+-8.88))))-(-5+-5)))*-5)))/-5)--5)+(-5*(((-8.88*(-8.88-(-5/-5)))*(-8.88-(-8.88/(-5*-8.88))))-(-5/-5)))))</f>
        <v>-3702.48416</v>
      </c>
      <c r="C9113" t="n" s="0">
        <v>-3702.4841600000004</v>
      </c>
    </row>
    <row r="9114">
      <c r="A9114" t="n" s="0">
        <v>-8.87</v>
      </c>
      <c r="B9114" t="n" s="0">
        <f>(-5-((((-5*(-5/((-5/(((-5*(-8.87--5))-(-5+((-5*-8.87)*(((-5--5)+(-8.87--5))+-8.87))))-(-5+-5)))*-5)))/-5)--5)+(-5*(((-8.87*(-8.87-(-5/-5)))*(-8.87-(-8.87/(-5*-8.87))))-(-5/-5)))))</f>
        <v>-3690.2843150000003</v>
      </c>
      <c r="C9114" t="n" s="0">
        <v>-3690.284314999999</v>
      </c>
    </row>
    <row r="9115">
      <c r="A9115" t="n" s="0">
        <v>-8.86</v>
      </c>
      <c r="B9115" t="n" s="0">
        <f>(-5-((((-5*(-5/((-5/(((-5*(-8.86--5))-(-5+((-5*-8.86)*(((-5--5)+(-8.86--5))+-8.86))))-(-5+-5)))*-5)))/-5)--5)+(-5*(((-8.86*(-8.86-(-5/-5)))*(-8.86-(-8.86/(-5*-8.86))))-(-5/-5)))))</f>
        <v>-3678.11148</v>
      </c>
      <c r="C9115" t="n" s="0">
        <v>-3678.1114799999996</v>
      </c>
    </row>
    <row r="9116">
      <c r="A9116" t="n" s="0">
        <v>-8.85</v>
      </c>
      <c r="B9116" t="n" s="0">
        <f>(-5-((((-5*(-5/((-5/(((-5*(-8.85--5))-(-5+((-5*-8.85)*(((-5--5)+(-8.85--5))+-8.85))))-(-5+-5)))*-5)))/-5)--5)+(-5*(((-8.85*(-8.85-(-5/-5)))*(-8.85-(-8.85/(-5*-8.85))))-(-5/-5)))))</f>
        <v>-3665.9656250000003</v>
      </c>
      <c r="C9116" t="n" s="0">
        <v>-3665.965625</v>
      </c>
    </row>
    <row r="9117">
      <c r="A9117" t="n" s="0">
        <v>-8.84</v>
      </c>
      <c r="B9117" t="n" s="0">
        <f>(-5-((((-5*(-5/((-5/(((-5*(-8.84--5))-(-5+((-5*-8.84)*(((-5--5)+(-8.84--5))+-8.84))))-(-5+-5)))*-5)))/-5)--5)+(-5*(((-8.84*(-8.84-(-5/-5)))*(-8.84-(-8.84/(-5*-8.84))))-(-5/-5)))))</f>
        <v>-3653.84672</v>
      </c>
      <c r="C9117" t="n" s="0">
        <v>-3653.84672</v>
      </c>
    </row>
    <row r="9118">
      <c r="A9118" t="n" s="0">
        <v>-8.83</v>
      </c>
      <c r="B9118" t="n" s="0">
        <f>(-5-((((-5*(-5/((-5/(((-5*(-8.83--5))-(-5+((-5*-8.83)*(((-5--5)+(-8.83--5))+-8.83))))-(-5+-5)))*-5)))/-5)--5)+(-5*(((-8.83*(-8.83-(-5/-5)))*(-8.83-(-8.83/(-5*-8.83))))-(-5/-5)))))</f>
        <v>-3641.754735</v>
      </c>
      <c r="C9118" t="n" s="0">
        <v>-3641.754735</v>
      </c>
    </row>
    <row r="9119">
      <c r="A9119" t="n" s="0">
        <v>-8.82</v>
      </c>
      <c r="B9119" t="n" s="0">
        <f>(-5-((((-5*(-5/((-5/(((-5*(-8.82--5))-(-5+((-5*-8.82)*(((-5--5)+(-8.82--5))+-8.82))))-(-5+-5)))*-5)))/-5)--5)+(-5*(((-8.82*(-8.82-(-5/-5)))*(-8.82-(-8.82/(-5*-8.82))))-(-5/-5)))))</f>
        <v>-3629.68964</v>
      </c>
      <c r="C9119" t="n" s="0">
        <v>-3629.6896400000005</v>
      </c>
    </row>
    <row r="9120">
      <c r="A9120" t="n" s="0">
        <v>-8.81</v>
      </c>
      <c r="B9120" t="n" s="0">
        <f>(-5-((((-5*(-5/((-5/(((-5*(-8.81--5))-(-5+((-5*-8.81)*(((-5--5)+(-8.81--5))+-8.81))))-(-5+-5)))*-5)))/-5)--5)+(-5*(((-8.81*(-8.81-(-5/-5)))*(-8.81-(-8.81/(-5*-8.81))))-(-5/-5)))))</f>
        <v>-3617.651405</v>
      </c>
      <c r="C9120" t="n" s="0">
        <v>-3617.651405</v>
      </c>
    </row>
    <row r="9121">
      <c r="A9121" t="n" s="0">
        <v>-8.8</v>
      </c>
      <c r="B9121" t="n" s="0">
        <f>(-5-((((-5*(-5/((-5/(((-5*(-8.8--5))-(-5+((-5*-8.8)*(((-5--5)+(-8.8--5))+-8.8))))-(-5+-5)))*-5)))/-5)--5)+(-5*(((-8.8*(-8.8-(-5/-5)))*(-8.8-(-8.8/(-5*-8.8))))-(-5/-5)))))</f>
        <v>-3605.6400000000003</v>
      </c>
      <c r="C9121" t="n" s="0">
        <v>-3605.6400000000012</v>
      </c>
    </row>
    <row r="9122">
      <c r="A9122" t="n" s="0">
        <v>-8.79</v>
      </c>
      <c r="B9122" t="n" s="0">
        <f>(-5-((((-5*(-5/((-5/(((-5*(-8.79--5))-(-5+((-5*-8.79)*(((-5--5)+(-8.79--5))+-8.79))))-(-5+-5)))*-5)))/-5)--5)+(-5*(((-8.79*(-8.79-(-5/-5)))*(-8.79-(-8.79/(-5*-8.79))))-(-5/-5)))))</f>
        <v>-3593.655395</v>
      </c>
      <c r="C9122" t="n" s="0">
        <v>-3593.655394999999</v>
      </c>
    </row>
    <row r="9123">
      <c r="A9123" t="n" s="0">
        <v>-8.78</v>
      </c>
      <c r="B9123" t="n" s="0">
        <f>(-5-((((-5*(-5/((-5/(((-5*(-8.78--5))-(-5+((-5*-8.78)*(((-5--5)+(-8.78--5))+-8.78))))-(-5+-5)))*-5)))/-5)--5)+(-5*(((-8.78*(-8.78-(-5/-5)))*(-8.78-(-8.78/(-5*-8.78))))-(-5/-5)))))</f>
        <v>-3581.69756</v>
      </c>
      <c r="C9123" t="n" s="0">
        <v>-3581.6975599999996</v>
      </c>
    </row>
    <row r="9124">
      <c r="A9124" t="n" s="0">
        <v>-8.77</v>
      </c>
      <c r="B9124" t="n" s="0">
        <f>(-5-((((-5*(-5/((-5/(((-5*(-8.77--5))-(-5+((-5*-8.77)*(((-5--5)+(-8.77--5))+-8.77))))-(-5+-5)))*-5)))/-5)--5)+(-5*(((-8.77*(-8.77-(-5/-5)))*(-8.77-(-8.77/(-5*-8.77))))-(-5/-5)))))</f>
        <v>-3569.7664649999997</v>
      </c>
      <c r="C9124" t="n" s="0">
        <v>-3569.7664649999992</v>
      </c>
    </row>
    <row r="9125">
      <c r="A9125" t="n" s="0">
        <v>-8.76</v>
      </c>
      <c r="B9125" t="n" s="0">
        <f>(-5-((((-5*(-5/((-5/(((-5*(-8.76--5))-(-5+((-5*-8.76)*(((-5--5)+(-8.76--5))+-8.76))))-(-5+-5)))*-5)))/-5)--5)+(-5*(((-8.76*(-8.76-(-5/-5)))*(-8.76-(-8.76/(-5*-8.76))))-(-5/-5)))))</f>
        <v>-3557.86208</v>
      </c>
      <c r="C9125" t="n" s="0">
        <v>-3557.86208</v>
      </c>
    </row>
    <row r="9126">
      <c r="A9126" t="n" s="0">
        <v>-8.75</v>
      </c>
      <c r="B9126" t="n" s="0">
        <f>(-5-((((-5*(-5/((-5/(((-5*(-8.75--5))-(-5+((-5*-8.75)*(((-5--5)+(-8.75--5))+-8.75))))-(-5+-5)))*-5)))/-5)--5)+(-5*(((-8.75*(-8.75-(-5/-5)))*(-8.75-(-8.75/(-5*-8.75))))-(-5/-5)))))</f>
        <v>-3545.984375</v>
      </c>
      <c r="C9126" t="n" s="0">
        <v>-3545.984375</v>
      </c>
    </row>
    <row r="9127">
      <c r="A9127" t="n" s="0">
        <v>-8.74</v>
      </c>
      <c r="B9127" t="n" s="0">
        <f>(-5-((((-5*(-5/((-5/(((-5*(-8.74--5))-(-5+((-5*-8.74)*(((-5--5)+(-8.74--5))+-8.74))))-(-5+-5)))*-5)))/-5)--5)+(-5*(((-8.74*(-8.74-(-5/-5)))*(-8.74-(-8.74/(-5*-8.74))))-(-5/-5)))))</f>
        <v>-3534.13332</v>
      </c>
      <c r="C9127" t="n" s="0">
        <v>-3534.1333200000004</v>
      </c>
    </row>
    <row r="9128">
      <c r="A9128" t="n" s="0">
        <v>-8.73</v>
      </c>
      <c r="B9128" t="n" s="0">
        <f>(-5-((((-5*(-5/((-5/(((-5*(-8.73--5))-(-5+((-5*-8.73)*(((-5--5)+(-8.73--5))+-8.73))))-(-5+-5)))*-5)))/-5)--5)+(-5*(((-8.73*(-8.73-(-5/-5)))*(-8.73-(-8.73/(-5*-8.73))))-(-5/-5)))))</f>
        <v>-3522.308885</v>
      </c>
      <c r="C9128" t="n" s="0">
        <v>-3522.308885000001</v>
      </c>
    </row>
    <row r="9129">
      <c r="A9129" t="n" s="0">
        <v>-8.72</v>
      </c>
      <c r="B9129" t="n" s="0">
        <f>(-5-((((-5*(-5/((-5/(((-5*(-8.72--5))-(-5+((-5*-8.72)*(((-5--5)+(-8.72--5))+-8.72))))-(-5+-5)))*-5)))/-5)--5)+(-5*(((-8.72*(-8.72-(-5/-5)))*(-8.72-(-8.72/(-5*-8.72))))-(-5/-5)))))</f>
        <v>-3510.51104</v>
      </c>
      <c r="C9129" t="n" s="0">
        <v>-3510.5110400000003</v>
      </c>
    </row>
    <row r="9130">
      <c r="A9130" t="n" s="0">
        <v>-8.71</v>
      </c>
      <c r="B9130" t="n" s="0">
        <f>(-5-((((-5*(-5/((-5/(((-5*(-8.71--5))-(-5+((-5*-8.71)*(((-5--5)+(-8.71--5))+-8.71))))-(-5+-5)))*-5)))/-5)--5)+(-5*(((-8.71*(-8.71-(-5/-5)))*(-8.71-(-8.71/(-5*-8.71))))-(-5/-5)))))</f>
        <v>-3498.739755</v>
      </c>
      <c r="C9130" t="n" s="0">
        <v>-3498.739755000001</v>
      </c>
    </row>
    <row r="9131">
      <c r="A9131" t="n" s="0">
        <v>-8.7</v>
      </c>
      <c r="B9131" t="n" s="0">
        <f>(-5-((((-5*(-5/((-5/(((-5*(-8.7--5))-(-5+((-5*-8.7)*(((-5--5)+(-8.7--5))+-8.7))))-(-5+-5)))*-5)))/-5)--5)+(-5*(((-8.7*(-8.7-(-5/-5)))*(-8.7-(-8.7/(-5*-8.7))))-(-5/-5)))))</f>
        <v>-3486.995</v>
      </c>
      <c r="C9131" t="n" s="0">
        <v>-3486.994999999999</v>
      </c>
    </row>
    <row r="9132">
      <c r="A9132" t="n" s="0">
        <v>-8.69</v>
      </c>
      <c r="B9132" t="n" s="0">
        <f>(-5-((((-5*(-5/((-5/(((-5*(-8.69--5))-(-5+((-5*-8.69)*(((-5--5)+(-8.69--5))+-8.69))))-(-5+-5)))*-5)))/-5)--5)+(-5*(((-8.69*(-8.69-(-5/-5)))*(-8.69-(-8.69/(-5*-8.69))))-(-5/-5)))))</f>
        <v>-3475.276745</v>
      </c>
      <c r="C9132" t="n" s="0">
        <v>-3475.2767449999997</v>
      </c>
    </row>
    <row r="9133">
      <c r="A9133" t="n" s="0">
        <v>-8.68</v>
      </c>
      <c r="B9133" t="n" s="0">
        <f>(-5-((((-5*(-5/((-5/(((-5*(-8.68--5))-(-5+((-5*-8.68)*(((-5--5)+(-8.68--5))+-8.68))))-(-5+-5)))*-5)))/-5)--5)+(-5*(((-8.68*(-8.68-(-5/-5)))*(-8.68-(-8.68/(-5*-8.68))))-(-5/-5)))))</f>
        <v>-3463.5849599999997</v>
      </c>
      <c r="C9133" t="n" s="0">
        <v>-3463.5849599999992</v>
      </c>
    </row>
    <row r="9134">
      <c r="A9134" t="n" s="0">
        <v>-8.67</v>
      </c>
      <c r="B9134" t="n" s="0">
        <f>(-5-((((-5*(-5/((-5/(((-5*(-8.67--5))-(-5+((-5*-8.67)*(((-5--5)+(-8.67--5))+-8.67))))-(-5+-5)))*-5)))/-5)--5)+(-5*(((-8.67*(-8.67-(-5/-5)))*(-8.67-(-8.67/(-5*-8.67))))-(-5/-5)))))</f>
        <v>-3451.9196150000002</v>
      </c>
      <c r="C9134" t="n" s="0">
        <v>-3451.919615</v>
      </c>
    </row>
    <row r="9135">
      <c r="A9135" t="n" s="0">
        <v>-8.66</v>
      </c>
      <c r="B9135" t="n" s="0">
        <f>(-5-((((-5*(-5/((-5/(((-5*(-8.66--5))-(-5+((-5*-8.66)*(((-5--5)+(-8.66--5))+-8.66))))-(-5+-5)))*-5)))/-5)--5)+(-5*(((-8.66*(-8.66-(-5/-5)))*(-8.66-(-8.66/(-5*-8.66))))-(-5/-5)))))</f>
        <v>-3440.28068</v>
      </c>
      <c r="C9135" t="n" s="0">
        <v>-3440.28068</v>
      </c>
    </row>
    <row r="9136">
      <c r="A9136" t="n" s="0">
        <v>-8.65</v>
      </c>
      <c r="B9136" t="n" s="0">
        <f>(-5-((((-5*(-5/((-5/(((-5*(-8.65--5))-(-5+((-5*-8.65)*(((-5--5)+(-8.65--5))+-8.65))))-(-5+-5)))*-5)))/-5)--5)+(-5*(((-8.65*(-8.65-(-5/-5)))*(-8.65-(-8.65/(-5*-8.65))))-(-5/-5)))))</f>
        <v>-3428.668125</v>
      </c>
      <c r="C9136" t="n" s="0">
        <v>-3428.668125</v>
      </c>
    </row>
    <row r="9137">
      <c r="A9137" t="n" s="0">
        <v>-8.64</v>
      </c>
      <c r="B9137" t="n" s="0">
        <f>(-5-((((-5*(-5/((-5/(((-5*(-8.64--5))-(-5+((-5*-8.64)*(((-5--5)+(-8.64--5))+-8.64))))-(-5+-5)))*-5)))/-5)--5)+(-5*(((-8.64*(-8.64-(-5/-5)))*(-8.64-(-8.64/(-5*-8.64))))-(-5/-5)))))</f>
        <v>-3417.08192</v>
      </c>
      <c r="C9137" t="n" s="0">
        <v>-3417.0819200000005</v>
      </c>
    </row>
    <row r="9138">
      <c r="A9138" t="n" s="0">
        <v>-8.63</v>
      </c>
      <c r="B9138" t="n" s="0">
        <f>(-5-((((-5*(-5/((-5/(((-5*(-8.63--5))-(-5+((-5*-8.63)*(((-5--5)+(-8.63--5))+-8.63))))-(-5+-5)))*-5)))/-5)--5)+(-5*(((-8.63*(-8.63-(-5/-5)))*(-8.63-(-8.63/(-5*-8.63))))-(-5/-5)))))</f>
        <v>-3405.5220350000004</v>
      </c>
      <c r="C9138" t="n" s="0">
        <v>-3405.5220350000013</v>
      </c>
    </row>
    <row r="9139">
      <c r="A9139" t="n" s="0">
        <v>-8.62</v>
      </c>
      <c r="B9139" t="n" s="0">
        <f>(-5-((((-5*(-5/((-5/(((-5*(-8.62--5))-(-5+((-5*-8.62)*(((-5--5)+(-8.62--5))+-8.62))))-(-5+-5)))*-5)))/-5)--5)+(-5*(((-8.62*(-8.62-(-5/-5)))*(-8.62-(-8.62/(-5*-8.62))))-(-5/-5)))))</f>
        <v>-3393.98844</v>
      </c>
      <c r="C9139" t="n" s="0">
        <v>-3393.9884399999996</v>
      </c>
    </row>
    <row r="9140">
      <c r="A9140" t="n" s="0">
        <v>-8.61</v>
      </c>
      <c r="B9140" t="n" s="0">
        <f>(-5-((((-5*(-5/((-5/(((-5*(-8.61--5))-(-5+((-5*-8.61)*(((-5--5)+(-8.61--5))+-8.61))))-(-5+-5)))*-5)))/-5)--5)+(-5*(((-8.61*(-8.61-(-5/-5)))*(-8.61-(-8.61/(-5*-8.61))))-(-5/-5)))))</f>
        <v>-3382.481105</v>
      </c>
      <c r="C9140" t="n" s="0">
        <v>-3382.4811049999994</v>
      </c>
    </row>
    <row r="9141">
      <c r="A9141" t="n" s="0">
        <v>-8.6</v>
      </c>
      <c r="B9141" t="n" s="0">
        <f>(-5-((((-5*(-5/((-5/(((-5*(-8.6--5))-(-5+((-5*-8.6)*(((-5--5)+(-8.6--5))+-8.6))))-(-5+-5)))*-5)))/-5)--5)+(-5*(((-8.6*(-8.6-(-5/-5)))*(-8.6-(-8.6/(-5*-8.6))))-(-5/-5)))))</f>
        <v>-3371.0</v>
      </c>
      <c r="C9141" t="n" s="0">
        <v>-3371.0</v>
      </c>
    </row>
    <row r="9142">
      <c r="A9142" t="n" s="0">
        <v>-8.59</v>
      </c>
      <c r="B9142" t="n" s="0">
        <f>(-5-((((-5*(-5/((-5/(((-5*(-8.59--5))-(-5+((-5*-8.59)*(((-5--5)+(-8.59--5))+-8.59))))-(-5+-5)))*-5)))/-5)--5)+(-5*(((-8.59*(-8.59-(-5/-5)))*(-8.59-(-8.59/(-5*-8.59))))-(-5/-5)))))</f>
        <v>-3359.545095</v>
      </c>
      <c r="C9142" t="n" s="0">
        <v>-3359.545095</v>
      </c>
    </row>
    <row r="9143">
      <c r="A9143" t="n" s="0">
        <v>-8.58</v>
      </c>
      <c r="B9143" t="n" s="0">
        <f>(-5-((((-5*(-5/((-5/(((-5*(-8.58--5))-(-5+((-5*-8.58)*(((-5--5)+(-8.58--5))+-8.58))))-(-5+-5)))*-5)))/-5)--5)+(-5*(((-8.58*(-8.58-(-5/-5)))*(-8.58-(-8.58/(-5*-8.58))))-(-5/-5)))))</f>
        <v>-3348.11636</v>
      </c>
      <c r="C9143" t="n" s="0">
        <v>-3348.11636</v>
      </c>
    </row>
    <row r="9144">
      <c r="A9144" t="n" s="0">
        <v>-8.57</v>
      </c>
      <c r="B9144" t="n" s="0">
        <f>(-5-((((-5*(-5/((-5/(((-5*(-8.57--5))-(-5+((-5*-8.57)*(((-5--5)+(-8.57--5))+-8.57))))-(-5+-5)))*-5)))/-5)--5)+(-5*(((-8.57*(-8.57-(-5/-5)))*(-8.57-(-8.57/(-5*-8.57))))-(-5/-5)))))</f>
        <v>-3336.713765</v>
      </c>
      <c r="C9144" t="n" s="0">
        <v>-3336.7137650000004</v>
      </c>
    </row>
    <row r="9145">
      <c r="A9145" t="n" s="0">
        <v>-8.56</v>
      </c>
      <c r="B9145" t="n" s="0">
        <f>(-5-((((-5*(-5/((-5/(((-5*(-8.56--5))-(-5+((-5*-8.56)*(((-5--5)+(-8.56--5))+-8.56))))-(-5+-5)))*-5)))/-5)--5)+(-5*(((-8.56*(-8.56-(-5/-5)))*(-8.56-(-8.56/(-5*-8.56))))-(-5/-5)))))</f>
        <v>-3325.3372799999997</v>
      </c>
      <c r="C9145" t="n" s="0">
        <v>-3325.33728</v>
      </c>
    </row>
    <row r="9146">
      <c r="A9146" t="n" s="0">
        <v>-8.55</v>
      </c>
      <c r="B9146" t="n" s="0">
        <f>(-5-((((-5*(-5/((-5/(((-5*(-8.55--5))-(-5+((-5*-8.55)*(((-5--5)+(-8.55--5))+-8.55))))-(-5+-5)))*-5)))/-5)--5)+(-5*(((-8.55*(-8.55-(-5/-5)))*(-8.55-(-8.55/(-5*-8.55))))-(-5/-5)))))</f>
        <v>-3313.986875</v>
      </c>
      <c r="C9146" t="n" s="0">
        <v>-3313.986875000001</v>
      </c>
    </row>
    <row r="9147">
      <c r="A9147" t="n" s="0">
        <v>-8.54</v>
      </c>
      <c r="B9147" t="n" s="0">
        <f>(-5-((((-5*(-5/((-5/(((-5*(-8.54--5))-(-5+((-5*-8.54)*(((-5--5)+(-8.54--5))+-8.54))))-(-5+-5)))*-5)))/-5)--5)+(-5*(((-8.54*(-8.54-(-5/-5)))*(-8.54-(-8.54/(-5*-8.54))))-(-5/-5)))))</f>
        <v>-3302.66252</v>
      </c>
      <c r="C9147" t="n" s="0">
        <v>-3302.6625199999985</v>
      </c>
    </row>
    <row r="9148">
      <c r="A9148" t="n" s="0">
        <v>-8.53</v>
      </c>
      <c r="B9148" t="n" s="0">
        <f>(-5-((((-5*(-5/((-5/(((-5*(-8.53--5))-(-5+((-5*-8.53)*(((-5--5)+(-8.53--5))+-8.53))))-(-5+-5)))*-5)))/-5)--5)+(-5*(((-8.53*(-8.53-(-5/-5)))*(-8.53-(-8.53/(-5*-8.53))))-(-5/-5)))))</f>
        <v>-3291.364185</v>
      </c>
      <c r="C9148" t="n" s="0">
        <v>-3291.364185</v>
      </c>
    </row>
    <row r="9149">
      <c r="A9149" t="n" s="0">
        <v>-8.52</v>
      </c>
      <c r="B9149" t="n" s="0">
        <f>(-5-((((-5*(-5/((-5/(((-5*(-8.52--5))-(-5+((-5*-8.52)*(((-5--5)+(-8.52--5))+-8.52))))-(-5+-5)))*-5)))/-5)--5)+(-5*(((-8.52*(-8.52-(-5/-5)))*(-8.52-(-8.52/(-5*-8.52))))-(-5/-5)))))</f>
        <v>-3280.09184</v>
      </c>
      <c r="C9149" t="n" s="0">
        <v>-3280.0918399999996</v>
      </c>
    </row>
    <row r="9150">
      <c r="A9150" t="n" s="0">
        <v>-8.51</v>
      </c>
      <c r="B9150" t="n" s="0">
        <f>(-5-((((-5*(-5/((-5/(((-5*(-8.51--5))-(-5+((-5*-8.51)*(((-5--5)+(-8.51--5))+-8.51))))-(-5+-5)))*-5)))/-5)--5)+(-5*(((-8.51*(-8.51-(-5/-5)))*(-8.51-(-8.51/(-5*-8.51))))-(-5/-5)))))</f>
        <v>-3268.8454549999997</v>
      </c>
      <c r="C9150" t="n" s="0">
        <v>-3268.845455</v>
      </c>
    </row>
    <row r="9151">
      <c r="A9151" t="n" s="0">
        <v>-8.5</v>
      </c>
      <c r="B9151" t="n" s="0">
        <f>(-5-((((-5*(-5/((-5/(((-5*(-8.5--5))-(-5+((-5*-8.5)*(((-5--5)+(-8.5--5))+-8.5))))-(-5+-5)))*-5)))/-5)--5)+(-5*(((-8.5*(-8.5-(-5/-5)))*(-8.5-(-8.5/(-5*-8.5))))-(-5/-5)))))</f>
        <v>-3257.625</v>
      </c>
      <c r="C9151" t="n" s="0">
        <v>-3257.625</v>
      </c>
    </row>
    <row r="9152">
      <c r="A9152" t="n" s="0">
        <v>-8.49</v>
      </c>
      <c r="B9152" t="n" s="0">
        <f>(-5-((((-5*(-5/((-5/(((-5*(-8.49--5))-(-5+((-5*-8.49)*(((-5--5)+(-8.49--5))+-8.49))))-(-5+-5)))*-5)))/-5)--5)+(-5*(((-8.49*(-8.49-(-5/-5)))*(-8.49-(-8.49/(-5*-8.49))))-(-5/-5)))))</f>
        <v>-3246.430445</v>
      </c>
      <c r="C9152" t="n" s="0">
        <v>-3246.430445</v>
      </c>
    </row>
    <row r="9153">
      <c r="A9153" t="n" s="0">
        <v>-8.48</v>
      </c>
      <c r="B9153" t="n" s="0">
        <f>(-5-((((-5*(-5/((-5/(((-5*(-8.48--5))-(-5+((-5*-8.48)*(((-5--5)+(-8.48--5))+-8.48))))-(-5+-5)))*-5)))/-5)--5)+(-5*(((-8.48*(-8.48-(-5/-5)))*(-8.48-(-8.48/(-5*-8.48))))-(-5/-5)))))</f>
        <v>-3235.2617600000003</v>
      </c>
      <c r="C9153" t="n" s="0">
        <v>-3235.2617600000003</v>
      </c>
    </row>
    <row r="9154">
      <c r="A9154" t="n" s="0">
        <v>-8.47</v>
      </c>
      <c r="B9154" t="n" s="0">
        <f>(-5-((((-5*(-5/((-5/(((-5*(-8.47--5))-(-5+((-5*-8.47)*(((-5--5)+(-8.47--5))+-8.47))))-(-5+-5)))*-5)))/-5)--5)+(-5*(((-8.47*(-8.47-(-5/-5)))*(-8.47-(-8.47/(-5*-8.47))))-(-5/-5)))))</f>
        <v>-3224.118915</v>
      </c>
      <c r="C9154" t="n" s="0">
        <v>-3224.1189150000005</v>
      </c>
    </row>
    <row r="9155">
      <c r="A9155" t="n" s="0">
        <v>-8.46</v>
      </c>
      <c r="B9155" t="n" s="0">
        <f>(-5-((((-5*(-5/((-5/(((-5*(-8.46--5))-(-5+((-5*-8.46)*(((-5--5)+(-8.46--5))+-8.46))))-(-5+-5)))*-5)))/-5)--5)+(-5*(((-8.46*(-8.46-(-5/-5)))*(-8.46-(-8.46/(-5*-8.46))))-(-5/-5)))))</f>
        <v>-3213.0018800000003</v>
      </c>
      <c r="C9155" t="n" s="0">
        <v>-3213.001880000001</v>
      </c>
    </row>
    <row r="9156">
      <c r="A9156" t="n" s="0">
        <v>-8.45</v>
      </c>
      <c r="B9156" t="n" s="0">
        <f>(-5-((((-5*(-5/((-5/(((-5*(-8.45--5))-(-5+((-5*-8.45)*(((-5--5)+(-8.45--5))+-8.45))))-(-5+-5)))*-5)))/-5)--5)+(-5*(((-8.45*(-8.45-(-5/-5)))*(-8.45-(-8.45/(-5*-8.45))))-(-5/-5)))))</f>
        <v>-3201.910625</v>
      </c>
      <c r="C9156" t="n" s="0">
        <v>-3201.9106249999986</v>
      </c>
    </row>
    <row r="9157">
      <c r="A9157" t="n" s="0">
        <v>-8.44</v>
      </c>
      <c r="B9157" t="n" s="0">
        <f>(-5-((((-5*(-5/((-5/(((-5*(-8.44--5))-(-5+((-5*-8.44)*(((-5--5)+(-8.44--5))+-8.44))))-(-5+-5)))*-5)))/-5)--5)+(-5*(((-8.44*(-8.44-(-5/-5)))*(-8.44-(-8.44/(-5*-8.44))))-(-5/-5)))))</f>
        <v>-3190.84512</v>
      </c>
      <c r="C9157" t="n" s="0">
        <v>-3190.8451199999995</v>
      </c>
    </row>
    <row r="9158">
      <c r="A9158" t="n" s="0">
        <v>-8.43</v>
      </c>
      <c r="B9158" t="n" s="0">
        <f>(-5-((((-5*(-5/((-5/(((-5*(-8.43--5))-(-5+((-5*-8.43)*(((-5--5)+(-8.43--5))+-8.43))))-(-5+-5)))*-5)))/-5)--5)+(-5*(((-8.43*(-8.43-(-5/-5)))*(-8.43-(-8.43/(-5*-8.43))))-(-5/-5)))))</f>
        <v>-3179.805335</v>
      </c>
      <c r="C9158" t="n" s="0">
        <v>-3179.805335</v>
      </c>
    </row>
    <row r="9159">
      <c r="A9159" t="n" s="0">
        <v>-8.42</v>
      </c>
      <c r="B9159" t="n" s="0">
        <f>(-5-((((-5*(-5/((-5/(((-5*(-8.42--5))-(-5+((-5*-8.42)*(((-5--5)+(-8.42--5))+-8.42))))-(-5+-5)))*-5)))/-5)--5)+(-5*(((-8.42*(-8.42-(-5/-5)))*(-8.42-(-8.42/(-5*-8.42))))-(-5/-5)))))</f>
        <v>-3168.79124</v>
      </c>
      <c r="C9159" t="n" s="0">
        <v>-3168.7912400000005</v>
      </c>
    </row>
    <row r="9160">
      <c r="A9160" t="n" s="0">
        <v>-8.41</v>
      </c>
      <c r="B9160" t="n" s="0">
        <f>(-5-((((-5*(-5/((-5/(((-5*(-8.41--5))-(-5+((-5*-8.41)*(((-5--5)+(-8.41--5))+-8.41))))-(-5+-5)))*-5)))/-5)--5)+(-5*(((-8.41*(-8.41-(-5/-5)))*(-8.41-(-8.41/(-5*-8.41))))-(-5/-5)))))</f>
        <v>-3157.802805</v>
      </c>
      <c r="C9160" t="n" s="0">
        <v>-3157.8028050000003</v>
      </c>
    </row>
    <row r="9161">
      <c r="A9161" t="n" s="0">
        <v>-8.4</v>
      </c>
      <c r="B9161" t="n" s="0">
        <f>(-5-((((-5*(-5/((-5/(((-5*(-8.4--5))-(-5+((-5*-8.4)*(((-5--5)+(-8.4--5))+-8.4))))-(-5+-5)))*-5)))/-5)--5)+(-5*(((-8.4*(-8.4-(-5/-5)))*(-8.4-(-8.4/(-5*-8.4))))-(-5/-5)))))</f>
        <v>-3146.84</v>
      </c>
      <c r="C9161" t="n" s="0">
        <v>-3146.84</v>
      </c>
    </row>
    <row r="9162">
      <c r="A9162" t="n" s="0">
        <v>-8.39</v>
      </c>
      <c r="B9162" t="n" s="0">
        <f>(-5-((((-5*(-5/((-5/(((-5*(-8.39--5))-(-5+((-5*-8.39)*(((-5--5)+(-8.39--5))+-8.39))))-(-5+-5)))*-5)))/-5)--5)+(-5*(((-8.39*(-8.39-(-5/-5)))*(-8.39-(-8.39/(-5*-8.39))))-(-5/-5)))))</f>
        <v>-3135.902795</v>
      </c>
      <c r="C9162" t="n" s="0">
        <v>-3135.902795000001</v>
      </c>
    </row>
    <row r="9163">
      <c r="A9163" t="n" s="0">
        <v>-8.38</v>
      </c>
      <c r="B9163" t="n" s="0">
        <f>(-5-((((-5*(-5/((-5/(((-5*(-8.38--5))-(-5+((-5*-8.38)*(((-5--5)+(-8.38--5))+-8.38))))-(-5+-5)))*-5)))/-5)--5)+(-5*(((-8.38*(-8.38-(-5/-5)))*(-8.38-(-8.38/(-5*-8.38))))-(-5/-5)))))</f>
        <v>-3124.99116</v>
      </c>
      <c r="C9163" t="n" s="0">
        <v>-3124.991160000001</v>
      </c>
    </row>
    <row r="9164">
      <c r="A9164" t="n" s="0">
        <v>-8.37</v>
      </c>
      <c r="B9164" t="n" s="0">
        <f>(-5-((((-5*(-5/((-5/(((-5*(-8.37--5))-(-5+((-5*-8.37)*(((-5--5)+(-8.37--5))+-8.37))))-(-5+-5)))*-5)))/-5)--5)+(-5*(((-8.37*(-8.37-(-5/-5)))*(-8.37-(-8.37/(-5*-8.37))))-(-5/-5)))))</f>
        <v>-3114.1050649999997</v>
      </c>
      <c r="C9164" t="n" s="0">
        <v>-3114.1050649999993</v>
      </c>
    </row>
    <row r="9165">
      <c r="A9165" t="n" s="0">
        <v>-8.36</v>
      </c>
      <c r="B9165" t="n" s="0">
        <f>(-5-((((-5*(-5/((-5/(((-5*(-8.36--5))-(-5+((-5*-8.36)*(((-5--5)+(-8.36--5))+-8.36))))-(-5+-5)))*-5)))/-5)--5)+(-5*(((-8.36*(-8.36-(-5/-5)))*(-8.36-(-8.36/(-5*-8.36))))-(-5/-5)))))</f>
        <v>-3103.2444800000003</v>
      </c>
      <c r="C9165" t="n" s="0">
        <v>-3103.2444799999994</v>
      </c>
    </row>
    <row r="9166">
      <c r="A9166" t="n" s="0">
        <v>-8.35</v>
      </c>
      <c r="B9166" t="n" s="0">
        <f>(-5-((((-5*(-5/((-5/(((-5*(-8.35--5))-(-5+((-5*-8.35)*(((-5--5)+(-8.35--5))+-8.35))))-(-5+-5)))*-5)))/-5)--5)+(-5*(((-8.35*(-8.35-(-5/-5)))*(-8.35-(-8.35/(-5*-8.35))))-(-5/-5)))))</f>
        <v>-3092.4093749999997</v>
      </c>
      <c r="C9166" t="n" s="0">
        <v>-3092.409375</v>
      </c>
    </row>
    <row r="9167">
      <c r="A9167" t="n" s="0">
        <v>-8.34</v>
      </c>
      <c r="B9167" t="n" s="0">
        <f>(-5-((((-5*(-5/((-5/(((-5*(-8.34--5))-(-5+((-5*-8.34)*(((-5--5)+(-8.34--5))+-8.34))))-(-5+-5)))*-5)))/-5)--5)+(-5*(((-8.34*(-8.34-(-5/-5)))*(-8.34-(-8.34/(-5*-8.34))))-(-5/-5)))))</f>
        <v>-3081.5997199999997</v>
      </c>
      <c r="C9167" t="n" s="0">
        <v>-3081.5997199999997</v>
      </c>
    </row>
    <row r="9168">
      <c r="A9168" t="n" s="0">
        <v>-8.33</v>
      </c>
      <c r="B9168" t="n" s="0">
        <f>(-5-((((-5*(-5/((-5/(((-5*(-8.33--5))-(-5+((-5*-8.33)*(((-5--5)+(-8.33--5))+-8.33))))-(-5+-5)))*-5)))/-5)--5)+(-5*(((-8.33*(-8.33-(-5/-5)))*(-8.33-(-8.33/(-5*-8.33))))-(-5/-5)))))</f>
        <v>-3070.815485</v>
      </c>
      <c r="C9168" t="n" s="0">
        <v>-3070.8154849999996</v>
      </c>
    </row>
    <row r="9169">
      <c r="A9169" t="n" s="0">
        <v>-8.32</v>
      </c>
      <c r="B9169" t="n" s="0">
        <f>(-5-((((-5*(-5/((-5/(((-5*(-8.32--5))-(-5+((-5*-8.32)*(((-5--5)+(-8.32--5))+-8.32))))-(-5+-5)))*-5)))/-5)--5)+(-5*(((-8.32*(-8.32-(-5/-5)))*(-8.32-(-8.32/(-5*-8.32))))-(-5/-5)))))</f>
        <v>-3060.05664</v>
      </c>
      <c r="C9169" t="n" s="0">
        <v>-3060.0566400000007</v>
      </c>
    </row>
    <row r="9170">
      <c r="A9170" t="n" s="0">
        <v>-8.31</v>
      </c>
      <c r="B9170" t="n" s="0">
        <f>(-5-((((-5*(-5/((-5/(((-5*(-8.31--5))-(-5+((-5*-8.31)*(((-5--5)+(-8.31--5))+-8.31))))-(-5+-5)))*-5)))/-5)--5)+(-5*(((-8.31*(-8.31-(-5/-5)))*(-8.31-(-8.31/(-5*-8.31))))-(-5/-5)))))</f>
        <v>-3049.323155</v>
      </c>
      <c r="C9170" t="n" s="0">
        <v>-3049.323155</v>
      </c>
    </row>
    <row r="9171">
      <c r="A9171" t="n" s="0">
        <v>-8.3</v>
      </c>
      <c r="B9171" t="n" s="0">
        <f>(-5-((((-5*(-5/((-5/(((-5*(-8.3--5))-(-5+((-5*-8.3)*(((-5--5)+(-8.3--5))+-8.3))))-(-5+-5)))*-5)))/-5)--5)+(-5*(((-8.3*(-8.3-(-5/-5)))*(-8.3-(-8.3/(-5*-8.3))))-(-5/-5)))))</f>
        <v>-3038.6150000000002</v>
      </c>
      <c r="C9171" t="n" s="0">
        <v>-3038.615000000001</v>
      </c>
    </row>
    <row r="9172">
      <c r="A9172" t="n" s="0">
        <v>-8.29</v>
      </c>
      <c r="B9172" t="n" s="0">
        <f>(-5-((((-5*(-5/((-5/(((-5*(-8.29--5))-(-5+((-5*-8.29)*(((-5--5)+(-8.29--5))+-8.29))))-(-5+-5)))*-5)))/-5)--5)+(-5*(((-8.29*(-8.29-(-5/-5)))*(-8.29-(-8.29/(-5*-8.29))))-(-5/-5)))))</f>
        <v>-3027.932145</v>
      </c>
      <c r="C9172" t="n" s="0">
        <v>-3027.932144999999</v>
      </c>
    </row>
    <row r="9173">
      <c r="A9173" t="n" s="0">
        <v>-8.28</v>
      </c>
      <c r="B9173" t="n" s="0">
        <f>(-5-((((-5*(-5/((-5/(((-5*(-8.28--5))-(-5+((-5*-8.28)*(((-5--5)+(-8.28--5))+-8.28))))-(-5+-5)))*-5)))/-5)--5)+(-5*(((-8.28*(-8.28-(-5/-5)))*(-8.28-(-8.28/(-5*-8.28))))-(-5/-5)))))</f>
        <v>-3017.2745600000003</v>
      </c>
      <c r="C9173" t="n" s="0">
        <v>-3017.2745599999994</v>
      </c>
    </row>
    <row r="9174">
      <c r="A9174" t="n" s="0">
        <v>-8.27</v>
      </c>
      <c r="B9174" t="n" s="0">
        <f>(-5-((((-5*(-5/((-5/(((-5*(-8.27--5))-(-5+((-5*-8.27)*(((-5--5)+(-8.27--5))+-8.27))))-(-5+-5)))*-5)))/-5)--5)+(-5*(((-8.27*(-8.27-(-5/-5)))*(-8.27-(-8.27/(-5*-8.27))))-(-5/-5)))))</f>
        <v>-3006.642215</v>
      </c>
      <c r="C9174" t="n" s="0">
        <v>-3006.6422149999994</v>
      </c>
    </row>
    <row r="9175">
      <c r="A9175" t="n" s="0">
        <v>-8.26</v>
      </c>
      <c r="B9175" t="n" s="0">
        <f>(-5-((((-5*(-5/((-5/(((-5*(-8.26--5))-(-5+((-5*-8.26)*(((-5--5)+(-8.26--5))+-8.26))))-(-5+-5)))*-5)))/-5)--5)+(-5*(((-8.26*(-8.26-(-5/-5)))*(-8.26-(-8.26/(-5*-8.26))))-(-5/-5)))))</f>
        <v>-2996.03508</v>
      </c>
      <c r="C9175" t="n" s="0">
        <v>-2996.03508</v>
      </c>
    </row>
    <row r="9176">
      <c r="A9176" t="n" s="0">
        <v>-8.25</v>
      </c>
      <c r="B9176" t="n" s="0">
        <f>(-5-((((-5*(-5/((-5/(((-5*(-8.25--5))-(-5+((-5*-8.25)*(((-5--5)+(-8.25--5))+-8.25))))-(-5+-5)))*-5)))/-5)--5)+(-5*(((-8.25*(-8.25-(-5/-5)))*(-8.25-(-8.25/(-5*-8.25))))-(-5/-5)))))</f>
        <v>-2985.453125</v>
      </c>
      <c r="C9176" t="n" s="0">
        <v>-2985.453125</v>
      </c>
    </row>
    <row r="9177">
      <c r="A9177" t="n" s="0">
        <v>-8.24</v>
      </c>
      <c r="B9177" t="n" s="0">
        <f>(-5-((((-5*(-5/((-5/(((-5*(-8.24--5))-(-5+((-5*-8.24)*(((-5--5)+(-8.24--5))+-8.24))))-(-5+-5)))*-5)))/-5)--5)+(-5*(((-8.24*(-8.24-(-5/-5)))*(-8.24-(-8.24/(-5*-8.24))))-(-5/-5)))))</f>
        <v>-2974.89632</v>
      </c>
      <c r="C9177" t="n" s="0">
        <v>-2974.89632</v>
      </c>
    </row>
    <row r="9178">
      <c r="A9178" t="n" s="0">
        <v>-8.23</v>
      </c>
      <c r="B9178" t="n" s="0">
        <f>(-5-((((-5*(-5/((-5/(((-5*(-8.23--5))-(-5+((-5*-8.23)*(((-5--5)+(-8.23--5))+-8.23))))-(-5+-5)))*-5)))/-5)--5)+(-5*(((-8.23*(-8.23-(-5/-5)))*(-8.23-(-8.23/(-5*-8.23))))-(-5/-5)))))</f>
        <v>-2964.364635</v>
      </c>
      <c r="C9178" t="n" s="0">
        <v>-2964.364635000001</v>
      </c>
    </row>
    <row r="9179">
      <c r="A9179" t="n" s="0">
        <v>-8.22</v>
      </c>
      <c r="B9179" t="n" s="0">
        <f>(-5-((((-5*(-5/((-5/(((-5*(-8.22--5))-(-5+((-5*-8.22)*(((-5--5)+(-8.22--5))+-8.22))))-(-5+-5)))*-5)))/-5)--5)+(-5*(((-8.22*(-8.22-(-5/-5)))*(-8.22-(-8.22/(-5*-8.22))))-(-5/-5)))))</f>
        <v>-2953.85804</v>
      </c>
      <c r="C9179" t="n" s="0">
        <v>-2953.8580400000005</v>
      </c>
    </row>
    <row r="9180">
      <c r="A9180" t="n" s="0">
        <v>-8.21</v>
      </c>
      <c r="B9180" t="n" s="0">
        <f>(-5-((((-5*(-5/((-5/(((-5*(-8.21--5))-(-5+((-5*-8.21)*(((-5--5)+(-8.21--5))+-8.21))))-(-5+-5)))*-5)))/-5)--5)+(-5*(((-8.21*(-8.21-(-5/-5)))*(-8.21-(-8.21/(-5*-8.21))))-(-5/-5)))))</f>
        <v>-2943.376505</v>
      </c>
      <c r="C9180" t="n" s="0">
        <v>-2943.376505000001</v>
      </c>
    </row>
    <row r="9181">
      <c r="A9181" t="n" s="0">
        <v>-8.2</v>
      </c>
      <c r="B9181" t="n" s="0">
        <f>(-5-((((-5*(-5/((-5/(((-5*(-8.2--5))-(-5+((-5*-8.2)*(((-5--5)+(-8.2--5))+-8.2))))-(-5+-5)))*-5)))/-5)--5)+(-5*(((-8.2*(-8.2-(-5/-5)))*(-8.2-(-8.2/(-5*-8.2))))-(-5/-5)))))</f>
        <v>-2932.9199999999996</v>
      </c>
      <c r="C9181" t="n" s="0">
        <v>-2932.919999999999</v>
      </c>
    </row>
    <row r="9182">
      <c r="A9182" t="n" s="0">
        <v>-8.19</v>
      </c>
      <c r="B9182" t="n" s="0">
        <f>(-5-((((-5*(-5/((-5/(((-5*(-8.19--5))-(-5+((-5*-8.19)*(((-5--5)+(-8.19--5))+-8.19))))-(-5+-5)))*-5)))/-5)--5)+(-5*(((-8.19*(-8.19-(-5/-5)))*(-8.19-(-8.19/(-5*-8.19))))-(-5/-5)))))</f>
        <v>-2922.4884949999996</v>
      </c>
      <c r="C9182" t="n" s="0">
        <v>-2922.4884949999996</v>
      </c>
    </row>
    <row r="9183">
      <c r="A9183" t="n" s="0">
        <v>-8.18</v>
      </c>
      <c r="B9183" t="n" s="0">
        <f>(-5-((((-5*(-5/((-5/(((-5*(-8.18--5))-(-5+((-5*-8.18)*(((-5--5)+(-8.18--5))+-8.18))))-(-5+-5)))*-5)))/-5)--5)+(-5*(((-8.18*(-8.18-(-5/-5)))*(-8.18-(-8.18/(-5*-8.18))))-(-5/-5)))))</f>
        <v>-2912.0819600000004</v>
      </c>
      <c r="C9183" t="n" s="0">
        <v>-2912.081959999999</v>
      </c>
    </row>
    <row r="9184">
      <c r="A9184" t="n" s="0">
        <v>-8.17</v>
      </c>
      <c r="B9184" t="n" s="0">
        <f>(-5-((((-5*(-5/((-5/(((-5*(-8.17--5))-(-5+((-5*-8.17)*(((-5--5)+(-8.17--5))+-8.17))))-(-5+-5)))*-5)))/-5)--5)+(-5*(((-8.17*(-8.17-(-5/-5)))*(-8.17-(-8.17/(-5*-8.17))))-(-5/-5)))))</f>
        <v>-2901.7003649999997</v>
      </c>
      <c r="C9184" t="n" s="0">
        <v>-2901.7003650000006</v>
      </c>
    </row>
    <row r="9185">
      <c r="A9185" t="n" s="0">
        <v>-8.16</v>
      </c>
      <c r="B9185" t="n" s="0">
        <f>(-5-((((-5*(-5/((-5/(((-5*(-8.16--5))-(-5+((-5*-8.16)*(((-5--5)+(-8.16--5))+-8.16))))-(-5+-5)))*-5)))/-5)--5)+(-5*(((-8.16*(-8.16-(-5/-5)))*(-8.16-(-8.16/(-5*-8.16))))-(-5/-5)))))</f>
        <v>-2891.34368</v>
      </c>
      <c r="C9185" t="n" s="0">
        <v>-2891.3436800000004</v>
      </c>
    </row>
    <row r="9186">
      <c r="A9186" t="n" s="0">
        <v>-8.15</v>
      </c>
      <c r="B9186" t="n" s="0">
        <f>(-5-((((-5*(-5/((-5/(((-5*(-8.15--5))-(-5+((-5*-8.15)*(((-5--5)+(-8.15--5))+-8.15))))-(-5+-5)))*-5)))/-5)--5)+(-5*(((-8.15*(-8.15-(-5/-5)))*(-8.15-(-8.15/(-5*-8.15))))-(-5/-5)))))</f>
        <v>-2881.0118750000006</v>
      </c>
      <c r="C9186" t="n" s="0">
        <v>-2881.0118749999997</v>
      </c>
    </row>
    <row r="9187">
      <c r="A9187" t="n" s="0">
        <v>-8.14</v>
      </c>
      <c r="B9187" t="n" s="0">
        <f>(-5-((((-5*(-5/((-5/(((-5*(-8.14--5))-(-5+((-5*-8.14)*(((-5--5)+(-8.14--5))+-8.14))))-(-5+-5)))*-5)))/-5)--5)+(-5*(((-8.14*(-8.14-(-5/-5)))*(-8.14-(-8.14/(-5*-8.14))))-(-5/-5)))))</f>
        <v>-2870.7049199999997</v>
      </c>
      <c r="C9187" t="n" s="0">
        <v>-2870.704920000001</v>
      </c>
    </row>
    <row r="9188">
      <c r="A9188" t="n" s="0">
        <v>-8.13</v>
      </c>
      <c r="B9188" t="n" s="0">
        <f>(-5-((((-5*(-5/((-5/(((-5*(-8.13--5))-(-5+((-5*-8.13)*(((-5--5)+(-8.13--5))+-8.13))))-(-5+-5)))*-5)))/-5)--5)+(-5*(((-8.13*(-8.13-(-5/-5)))*(-8.13-(-8.13/(-5*-8.13))))-(-5/-5)))))</f>
        <v>-2860.4227849999993</v>
      </c>
      <c r="C9188" t="n" s="0">
        <v>-2860.422785</v>
      </c>
    </row>
    <row r="9189">
      <c r="A9189" t="n" s="0">
        <v>-8.12</v>
      </c>
      <c r="B9189" t="n" s="0">
        <f>(-5-((((-5*(-5/((-5/(((-5*(-8.12--5))-(-5+((-5*-8.12)*(((-5--5)+(-8.12--5))+-8.12))))-(-5+-5)))*-5)))/-5)--5)+(-5*(((-8.12*(-8.12-(-5/-5)))*(-8.12-(-8.12/(-5*-8.12))))-(-5/-5)))))</f>
        <v>-2850.1654399999998</v>
      </c>
      <c r="C9189" t="n" s="0">
        <v>-2850.1654399999993</v>
      </c>
    </row>
    <row r="9190">
      <c r="A9190" t="n" s="0">
        <v>-8.11</v>
      </c>
      <c r="B9190" t="n" s="0">
        <f>(-5-((((-5*(-5/((-5/(((-5*(-8.11--5))-(-5+((-5*-8.11)*(((-5--5)+(-8.11--5))+-8.11))))-(-5+-5)))*-5)))/-5)--5)+(-5*(((-8.11*(-8.11-(-5/-5)))*(-8.11-(-8.11/(-5*-8.11))))-(-5/-5)))))</f>
        <v>-2839.9328549999996</v>
      </c>
      <c r="C9190" t="n" s="0">
        <v>-2839.9328549999996</v>
      </c>
    </row>
    <row r="9191">
      <c r="A9191" t="n" s="0">
        <v>-8.1</v>
      </c>
      <c r="B9191" t="n" s="0">
        <f>(-5-((((-5*(-5/((-5/(((-5*(-8.1--5))-(-5+((-5*-8.1)*(((-5--5)+(-8.1--5))+-8.1))))-(-5+-5)))*-5)))/-5)--5)+(-5*(((-8.1*(-8.1-(-5/-5)))*(-8.1-(-8.1/(-5*-8.1))))-(-5/-5)))))</f>
        <v>-2829.7249999999995</v>
      </c>
      <c r="C9191" t="n" s="0">
        <v>-2829.7249999999995</v>
      </c>
    </row>
    <row r="9192">
      <c r="A9192" t="n" s="0">
        <v>-8.09</v>
      </c>
      <c r="B9192" t="n" s="0">
        <f>(-5-((((-5*(-5/((-5/(((-5*(-8.09--5))-(-5+((-5*-8.09)*(((-5--5)+(-8.09--5))+-8.09))))-(-5+-5)))*-5)))/-5)--5)+(-5*(((-8.09*(-8.09-(-5/-5)))*(-8.09-(-8.09/(-5*-8.09))))-(-5/-5)))))</f>
        <v>-2819.541845</v>
      </c>
      <c r="C9192" t="n" s="0">
        <v>-2819.5418449999997</v>
      </c>
    </row>
    <row r="9193">
      <c r="A9193" t="n" s="0">
        <v>-8.08</v>
      </c>
      <c r="B9193" t="n" s="0">
        <f>(-5-((((-5*(-5/((-5/(((-5*(-8.08--5))-(-5+((-5*-8.08)*(((-5--5)+(-8.08--5))+-8.08))))-(-5+-5)))*-5)))/-5)--5)+(-5*(((-8.08*(-8.08-(-5/-5)))*(-8.08-(-8.08/(-5*-8.08))))-(-5/-5)))))</f>
        <v>-2809.38336</v>
      </c>
      <c r="C9193" t="n" s="0">
        <v>-2809.38336</v>
      </c>
    </row>
    <row r="9194">
      <c r="A9194" t="n" s="0">
        <v>-8.07</v>
      </c>
      <c r="B9194" t="n" s="0">
        <f>(-5-((((-5*(-5/((-5/(((-5*(-8.07--5))-(-5+((-5*-8.07)*(((-5--5)+(-8.07--5))+-8.07))))-(-5+-5)))*-5)))/-5)--5)+(-5*(((-8.07*(-8.07-(-5/-5)))*(-8.07-(-8.07/(-5*-8.07))))-(-5/-5)))))</f>
        <v>-2799.249515</v>
      </c>
      <c r="C9194" t="n" s="0">
        <v>-2799.249515</v>
      </c>
    </row>
    <row r="9195">
      <c r="A9195" t="n" s="0">
        <v>-8.06</v>
      </c>
      <c r="B9195" t="n" s="0">
        <f>(-5-((((-5*(-5/((-5/(((-5*(-8.06--5))-(-5+((-5*-8.06)*(((-5--5)+(-8.06--5))+-8.06))))-(-5+-5)))*-5)))/-5)--5)+(-5*(((-8.06*(-8.06-(-5/-5)))*(-8.06-(-8.06/(-5*-8.06))))-(-5/-5)))))</f>
        <v>-2789.1402799999996</v>
      </c>
      <c r="C9195" t="n" s="0">
        <v>-2789.1402800000005</v>
      </c>
    </row>
    <row r="9196">
      <c r="A9196" t="n" s="0">
        <v>-8.05</v>
      </c>
      <c r="B9196" t="n" s="0">
        <f>(-5-((((-5*(-5/((-5/(((-5*(-8.05--5))-(-5+((-5*-8.05)*(((-5--5)+(-8.05--5))+-8.05))))-(-5+-5)))*-5)))/-5)--5)+(-5*(((-8.05*(-8.05-(-5/-5)))*(-8.05-(-8.05/(-5*-8.05))))-(-5/-5)))))</f>
        <v>-2779.055625</v>
      </c>
      <c r="C9196" t="n" s="0">
        <v>-2779.055625000001</v>
      </c>
    </row>
    <row r="9197">
      <c r="A9197" t="n" s="0">
        <v>-8.04</v>
      </c>
      <c r="B9197" t="n" s="0">
        <f>(-5-((((-5*(-5/((-5/(((-5*(-8.04--5))-(-5+((-5*-8.04)*(((-5--5)+(-8.04--5))+-8.04))))-(-5+-5)))*-5)))/-5)--5)+(-5*(((-8.04*(-8.04-(-5/-5)))*(-8.04-(-8.04/(-5*-8.04))))-(-5/-5)))))</f>
        <v>-2768.99552</v>
      </c>
      <c r="C9197" t="n" s="0">
        <v>-2768.9955199999986</v>
      </c>
    </row>
    <row r="9198">
      <c r="A9198" t="n" s="0">
        <v>-8.03</v>
      </c>
      <c r="B9198" t="n" s="0">
        <f>(-5-((((-5*(-5/((-5/(((-5*(-8.03--5))-(-5+((-5*-8.03)*(((-5--5)+(-8.03--5))+-8.03))))-(-5+-5)))*-5)))/-5)--5)+(-5*(((-8.03*(-8.03-(-5/-5)))*(-8.03-(-8.03/(-5*-8.03))))-(-5/-5)))))</f>
        <v>-2758.9599350000003</v>
      </c>
      <c r="C9198" t="n" s="0">
        <v>-2758.9599349999994</v>
      </c>
    </row>
    <row r="9199">
      <c r="A9199" t="n" s="0">
        <v>-8.02</v>
      </c>
      <c r="B9199" t="n" s="0">
        <f>(-5-((((-5*(-5/((-5/(((-5*(-8.02--5))-(-5+((-5*-8.02)*(((-5--5)+(-8.02--5))+-8.02))))-(-5+-5)))*-5)))/-5)--5)+(-5*(((-8.02*(-8.02-(-5/-5)))*(-8.02-(-8.02/(-5*-8.02))))-(-5/-5)))))</f>
        <v>-2748.94884</v>
      </c>
      <c r="C9199" t="n" s="0">
        <v>-2748.9488399999996</v>
      </c>
    </row>
    <row r="9200">
      <c r="A9200" t="n" s="0">
        <v>-8.01</v>
      </c>
      <c r="B9200" t="n" s="0">
        <f>(-5-((((-5*(-5/((-5/(((-5*(-8.01--5))-(-5+((-5*-8.01)*(((-5--5)+(-8.01--5))+-8.01))))-(-5+-5)))*-5)))/-5)--5)+(-5*(((-8.01*(-8.01-(-5/-5)))*(-8.01-(-8.01/(-5*-8.01))))-(-5/-5)))))</f>
        <v>-2738.9622050000003</v>
      </c>
      <c r="C9200" t="n" s="0">
        <v>-2738.962205</v>
      </c>
    </row>
    <row r="9201">
      <c r="A9201" t="n" s="0">
        <v>-8.0</v>
      </c>
      <c r="B9201" t="n" s="0">
        <f>(-5-((((-5*(-5/((-5/(((-5*(-8--5))-(-5+((-5*-8)*(((-5--5)+(-8--5))+-8))))-(-5+-5)))*-5)))/-5)--5)+(-5*(((-8*(-8-(-5/-5)))*(-8-(-8/(-5*-8))))-(-5/-5)))))</f>
        <v>-2729.0</v>
      </c>
      <c r="C9201" t="n" s="0">
        <v>-2729.0</v>
      </c>
    </row>
    <row r="9202">
      <c r="A9202" t="n" s="0">
        <v>-7.99</v>
      </c>
      <c r="B9202" t="n" s="0">
        <f>(-5-((((-5*(-5/((-5/(((-5*(-7.99--5))-(-5+((-5*-7.99)*(((-5--5)+(-7.99--5))+-7.99))))-(-5+-5)))*-5)))/-5)--5)+(-5*(((-7.99*(-7.99-(-5/-5)))*(-7.99-(-7.99/(-5*-7.99))))-(-5/-5)))))</f>
        <v>-2719.0621950000004</v>
      </c>
      <c r="C9202" t="n" s="0">
        <v>-2719.062195</v>
      </c>
    </row>
    <row r="9203">
      <c r="A9203" t="n" s="0">
        <v>-7.98</v>
      </c>
      <c r="B9203" t="n" s="0">
        <f>(-5-((((-5*(-5/((-5/(((-5*(-7.98--5))-(-5+((-5*-7.98)*(((-5--5)+(-7.98--5))+-7.98))))-(-5+-5)))*-5)))/-5)--5)+(-5*(((-7.98*(-7.98-(-5/-5)))*(-7.98-(-7.98/(-5*-7.98))))-(-5/-5)))))</f>
        <v>-2709.1487600000005</v>
      </c>
      <c r="C9203" t="n" s="0">
        <v>-2709.1487600000005</v>
      </c>
    </row>
    <row r="9204">
      <c r="A9204" t="n" s="0">
        <v>-7.97</v>
      </c>
      <c r="B9204" t="n" s="0">
        <f>(-5-((((-5*(-5/((-5/(((-5*(-7.97--5))-(-5+((-5*-7.97)*(((-5--5)+(-7.97--5))+-7.97))))-(-5+-5)))*-5)))/-5)--5)+(-5*(((-7.97*(-7.97-(-5/-5)))*(-7.97-(-7.97/(-5*-7.97))))-(-5/-5)))))</f>
        <v>-2699.259665</v>
      </c>
      <c r="C9204" t="n" s="0">
        <v>-2699.2596649999996</v>
      </c>
    </row>
    <row r="9205">
      <c r="A9205" t="n" s="0">
        <v>-7.96</v>
      </c>
      <c r="B9205" t="n" s="0">
        <f>(-5-((((-5*(-5/((-5/(((-5*(-7.96--5))-(-5+((-5*-7.96)*(((-5--5)+(-7.96--5))+-7.96))))-(-5+-5)))*-5)))/-5)--5)+(-5*(((-7.96*(-7.96-(-5/-5)))*(-7.96-(-7.96/(-5*-7.96))))-(-5/-5)))))</f>
        <v>-2689.3948800000003</v>
      </c>
      <c r="C9205" t="n" s="0">
        <v>-2689.3948800000003</v>
      </c>
    </row>
    <row r="9206">
      <c r="A9206" t="n" s="0">
        <v>-7.95</v>
      </c>
      <c r="B9206" t="n" s="0">
        <f>(-5-((((-5*(-5/((-5/(((-5*(-7.95--5))-(-5+((-5*-7.95)*(((-5--5)+(-7.95--5))+-7.95))))-(-5+-5)))*-5)))/-5)--5)+(-5*(((-7.95*(-7.95-(-5/-5)))*(-7.95-(-7.95/(-5*-7.95))))-(-5/-5)))))</f>
        <v>-2679.554375</v>
      </c>
      <c r="C9206" t="n" s="0">
        <v>-2679.554375</v>
      </c>
    </row>
    <row r="9207">
      <c r="A9207" t="n" s="0">
        <v>-7.94</v>
      </c>
      <c r="B9207" t="n" s="0">
        <f>(-5-((((-5*(-5/((-5/(((-5*(-7.94--5))-(-5+((-5*-7.94)*(((-5--5)+(-7.94--5))+-7.94))))-(-5+-5)))*-5)))/-5)--5)+(-5*(((-7.94*(-7.94-(-5/-5)))*(-7.94-(-7.94/(-5*-7.94))))-(-5/-5)))))</f>
        <v>-2669.73812</v>
      </c>
      <c r="C9207" t="n" s="0">
        <v>-2669.7381200000004</v>
      </c>
    </row>
    <row r="9208">
      <c r="A9208" t="n" s="0">
        <v>-7.93</v>
      </c>
      <c r="B9208" t="n" s="0">
        <f>(-5-((((-5*(-5/((-5/(((-5*(-7.93--5))-(-5+((-5*-7.93)*(((-5--5)+(-7.93--5))+-7.93))))-(-5+-5)))*-5)))/-5)--5)+(-5*(((-7.93*(-7.93-(-5/-5)))*(-7.93-(-7.93/(-5*-7.93))))-(-5/-5)))))</f>
        <v>-2659.9460849999996</v>
      </c>
      <c r="C9208" t="n" s="0">
        <v>-2659.9460849999996</v>
      </c>
    </row>
    <row r="9209">
      <c r="A9209" t="n" s="0">
        <v>-7.92</v>
      </c>
      <c r="B9209" t="n" s="0">
        <f>(-5-((((-5*(-5/((-5/(((-5*(-7.92--5))-(-5+((-5*-7.92)*(((-5--5)+(-7.92--5))+-7.92))))-(-5+-5)))*-5)))/-5)--5)+(-5*(((-7.92*(-7.92-(-5/-5)))*(-7.92-(-7.92/(-5*-7.92))))-(-5/-5)))))</f>
        <v>-2650.1782399999997</v>
      </c>
      <c r="C9209" t="n" s="0">
        <v>-2650.17824</v>
      </c>
    </row>
    <row r="9210">
      <c r="A9210" t="n" s="0">
        <v>-7.91</v>
      </c>
      <c r="B9210" t="n" s="0">
        <f>(-5-((((-5*(-5/((-5/(((-5*(-7.91--5))-(-5+((-5*-7.91)*(((-5--5)+(-7.91--5))+-7.91))))-(-5+-5)))*-5)))/-5)--5)+(-5*(((-7.91*(-7.91-(-5/-5)))*(-7.91-(-7.91/(-5*-7.91))))-(-5/-5)))))</f>
        <v>-2640.4345550000003</v>
      </c>
      <c r="C9210" t="n" s="0">
        <v>-2640.4345550000003</v>
      </c>
    </row>
    <row r="9211">
      <c r="A9211" t="n" s="0">
        <v>-7.9</v>
      </c>
      <c r="B9211" t="n" s="0">
        <f>(-5-((((-5*(-5/((-5/(((-5*(-7.9--5))-(-5+((-5*-7.9)*(((-5--5)+(-7.9--5))+-7.9))))-(-5+-5)))*-5)))/-5)--5)+(-5*(((-7.9*(-7.9-(-5/-5)))*(-7.9-(-7.9/(-5*-7.9))))-(-5/-5)))))</f>
        <v>-2630.715</v>
      </c>
      <c r="C9211" t="n" s="0">
        <v>-2630.715</v>
      </c>
    </row>
    <row r="9212">
      <c r="A9212" t="n" s="0">
        <v>-7.89</v>
      </c>
      <c r="B9212" t="n" s="0">
        <f>(-5-((((-5*(-5/((-5/(((-5*(-7.89--5))-(-5+((-5*-7.89)*(((-5--5)+(-7.89--5))+-7.89))))-(-5+-5)))*-5)))/-5)--5)+(-5*(((-7.89*(-7.89-(-5/-5)))*(-7.89-(-7.89/(-5*-7.89))))-(-5/-5)))))</f>
        <v>-2621.019545</v>
      </c>
      <c r="C9212" t="n" s="0">
        <v>-2621.0195449999997</v>
      </c>
    </row>
    <row r="9213">
      <c r="A9213" t="n" s="0">
        <v>-7.88</v>
      </c>
      <c r="B9213" t="n" s="0">
        <f>(-5-((((-5*(-5/((-5/(((-5*(-7.88--5))-(-5+((-5*-7.88)*(((-5--5)+(-7.88--5))+-7.88))))-(-5+-5)))*-5)))/-5)--5)+(-5*(((-7.88*(-7.88-(-5/-5)))*(-7.88-(-7.88/(-5*-7.88))))-(-5/-5)))))</f>
        <v>-2611.3481600000005</v>
      </c>
      <c r="C9213" t="n" s="0">
        <v>-2611.3481599999996</v>
      </c>
    </row>
    <row r="9214">
      <c r="A9214" t="n" s="0">
        <v>-7.87</v>
      </c>
      <c r="B9214" t="n" s="0">
        <f>(-5-((((-5*(-5/((-5/(((-5*(-7.87--5))-(-5+((-5*-7.87)*(((-5--5)+(-7.87--5))+-7.87))))-(-5+-5)))*-5)))/-5)--5)+(-5*(((-7.87*(-7.87-(-5/-5)))*(-7.87-(-7.87/(-5*-7.87))))-(-5/-5)))))</f>
        <v>-2601.700815</v>
      </c>
      <c r="C9214" t="n" s="0">
        <v>-2601.700815</v>
      </c>
    </row>
    <row r="9215">
      <c r="A9215" t="n" s="0">
        <v>-7.86</v>
      </c>
      <c r="B9215" t="n" s="0">
        <f>(-5-((((-5*(-5/((-5/(((-5*(-7.86--5))-(-5+((-5*-7.86)*(((-5--5)+(-7.86--5))+-7.86))))-(-5+-5)))*-5)))/-5)--5)+(-5*(((-7.86*(-7.86-(-5/-5)))*(-7.86-(-7.86/(-5*-7.86))))-(-5/-5)))))</f>
        <v>-2592.0774800000004</v>
      </c>
      <c r="C9215" t="n" s="0">
        <v>-2592.0774800000004</v>
      </c>
    </row>
    <row r="9216">
      <c r="A9216" t="n" s="0">
        <v>-7.85</v>
      </c>
      <c r="B9216" t="n" s="0">
        <f>(-5-((((-5*(-5/((-5/(((-5*(-7.85--5))-(-5+((-5*-7.85)*(((-5--5)+(-7.85--5))+-7.85))))-(-5+-5)))*-5)))/-5)--5)+(-5*(((-7.85*(-7.85-(-5/-5)))*(-7.85-(-7.85/(-5*-7.85))))-(-5/-5)))))</f>
        <v>-2582.478125</v>
      </c>
      <c r="C9216" t="n" s="0">
        <v>-2582.4781249999996</v>
      </c>
    </row>
    <row r="9217">
      <c r="A9217" t="n" s="0">
        <v>-7.84</v>
      </c>
      <c r="B9217" t="n" s="0">
        <f>(-5-((((-5*(-5/((-5/(((-5*(-7.84--5))-(-5+((-5*-7.84)*(((-5--5)+(-7.84--5))+-7.84))))-(-5+-5)))*-5)))/-5)--5)+(-5*(((-7.84*(-7.84-(-5/-5)))*(-7.84-(-7.84/(-5*-7.84))))-(-5/-5)))))</f>
        <v>-2572.9027199999996</v>
      </c>
      <c r="C9217" t="n" s="0">
        <v>-2572.9027199999996</v>
      </c>
    </row>
    <row r="9218">
      <c r="A9218" t="n" s="0">
        <v>-7.83</v>
      </c>
      <c r="B9218" t="n" s="0">
        <f>(-5-((((-5*(-5/((-5/(((-5*(-7.83--5))-(-5+((-5*-7.83)*(((-5--5)+(-7.83--5))+-7.83))))-(-5+-5)))*-5)))/-5)--5)+(-5*(((-7.83*(-7.83-(-5/-5)))*(-7.83-(-7.83/(-5*-7.83))))-(-5/-5)))))</f>
        <v>-2563.351235</v>
      </c>
      <c r="C9218" t="n" s="0">
        <v>-2563.351235</v>
      </c>
    </row>
    <row r="9219">
      <c r="A9219" t="n" s="0">
        <v>-7.82</v>
      </c>
      <c r="B9219" t="n" s="0">
        <f>(-5-((((-5*(-5/((-5/(((-5*(-7.82--5))-(-5+((-5*-7.82)*(((-5--5)+(-7.82--5))+-7.82))))-(-5+-5)))*-5)))/-5)--5)+(-5*(((-7.82*(-7.82-(-5/-5)))*(-7.82-(-7.82/(-5*-7.82))))-(-5/-5)))))</f>
        <v>-2553.8236400000005</v>
      </c>
      <c r="C9219" t="n" s="0">
        <v>-2553.82364</v>
      </c>
    </row>
    <row r="9220">
      <c r="A9220" t="n" s="0">
        <v>-7.81</v>
      </c>
      <c r="B9220" t="n" s="0">
        <f>(-5-((((-5*(-5/((-5/(((-5*(-7.81--5))-(-5+((-5*-7.81)*(((-5--5)+(-7.81--5))+-7.81))))-(-5+-5)))*-5)))/-5)--5)+(-5*(((-7.81*(-7.81-(-5/-5)))*(-7.81-(-7.81/(-5*-7.81))))-(-5/-5)))))</f>
        <v>-2544.3199050000003</v>
      </c>
      <c r="C9220" t="n" s="0">
        <v>-2544.3199049999994</v>
      </c>
    </row>
    <row r="9221">
      <c r="A9221" t="n" s="0">
        <v>-7.8</v>
      </c>
      <c r="B9221" t="n" s="0">
        <f>(-5-((((-5*(-5/((-5/(((-5*(-7.8--5))-(-5+((-5*-7.8)*(((-5--5)+(-7.8--5))+-7.8))))-(-5+-5)))*-5)))/-5)--5)+(-5*(((-7.8*(-7.8-(-5/-5)))*(-7.8-(-7.8/(-5*-7.8))))-(-5/-5)))))</f>
        <v>-2534.84</v>
      </c>
      <c r="C9221" t="n" s="0">
        <v>-2534.8399999999997</v>
      </c>
    </row>
    <row r="9222">
      <c r="A9222" t="n" s="0">
        <v>-7.79</v>
      </c>
      <c r="B9222" t="n" s="0">
        <f>(-5-((((-5*(-5/((-5/(((-5*(-7.79--5))-(-5+((-5*-7.79)*(((-5--5)+(-7.79--5))+-7.79))))-(-5+-5)))*-5)))/-5)--5)+(-5*(((-7.79*(-7.79-(-5/-5)))*(-7.79-(-7.79/(-5*-7.79))))-(-5/-5)))))</f>
        <v>-2525.3838950000004</v>
      </c>
      <c r="C9222" t="n" s="0">
        <v>-2525.383895</v>
      </c>
    </row>
    <row r="9223">
      <c r="A9223" t="n" s="0">
        <v>-7.78</v>
      </c>
      <c r="B9223" t="n" s="0">
        <f>(-5-((((-5*(-5/((-5/(((-5*(-7.78--5))-(-5+((-5*-7.78)*(((-5--5)+(-7.78--5))+-7.78))))-(-5+-5)))*-5)))/-5)--5)+(-5*(((-7.78*(-7.78-(-5/-5)))*(-7.78-(-7.78/(-5*-7.78))))-(-5/-5)))))</f>
        <v>-2515.95156</v>
      </c>
      <c r="C9223" t="n" s="0">
        <v>-2515.9515600000004</v>
      </c>
    </row>
    <row r="9224">
      <c r="A9224" t="n" s="0">
        <v>-7.77</v>
      </c>
      <c r="B9224" t="n" s="0">
        <f>(-5-((((-5*(-5/((-5/(((-5*(-7.77--5))-(-5+((-5*-7.77)*(((-5--5)+(-7.77--5))+-7.77))))-(-5+-5)))*-5)))/-5)--5)+(-5*(((-7.77*(-7.77-(-5/-5)))*(-7.77-(-7.77/(-5*-7.77))))-(-5/-5)))))</f>
        <v>-2506.5429649999996</v>
      </c>
      <c r="C9224" t="n" s="0">
        <v>-2506.5429649999996</v>
      </c>
    </row>
    <row r="9225">
      <c r="A9225" t="n" s="0">
        <v>-7.76</v>
      </c>
      <c r="B9225" t="n" s="0">
        <f>(-5-((((-5*(-5/((-5/(((-5*(-7.76--5))-(-5+((-5*-7.76)*(((-5--5)+(-7.76--5))+-7.76))))-(-5+-5)))*-5)))/-5)--5)+(-5*(((-7.76*(-7.76-(-5/-5)))*(-7.76-(-7.76/(-5*-7.76))))-(-5/-5)))))</f>
        <v>-2497.15808</v>
      </c>
      <c r="C9225" t="n" s="0">
        <v>-2497.15808</v>
      </c>
    </row>
    <row r="9226">
      <c r="A9226" t="n" s="0">
        <v>-7.75</v>
      </c>
      <c r="B9226" t="n" s="0">
        <f>(-5-((((-5*(-5/((-5/(((-5*(-7.75--5))-(-5+((-5*-7.75)*(((-5--5)+(-7.75--5))+-7.75))))-(-5+-5)))*-5)))/-5)--5)+(-5*(((-7.75*(-7.75-(-5/-5)))*(-7.75-(-7.75/(-5*-7.75))))-(-5/-5)))))</f>
        <v>-2487.796875</v>
      </c>
      <c r="C9226" t="n" s="0">
        <v>-2487.796875</v>
      </c>
    </row>
    <row r="9227">
      <c r="A9227" t="n" s="0">
        <v>-7.74</v>
      </c>
      <c r="B9227" t="n" s="0">
        <f>(-5-((((-5*(-5/((-5/(((-5*(-7.74--5))-(-5+((-5*-7.74)*(((-5--5)+(-7.74--5))+-7.74))))-(-5+-5)))*-5)))/-5)--5)+(-5*(((-7.74*(-7.74-(-5/-5)))*(-7.74-(-7.74/(-5*-7.74))))-(-5/-5)))))</f>
        <v>-2478.45932</v>
      </c>
      <c r="C9227" t="n" s="0">
        <v>-2478.45932</v>
      </c>
    </row>
    <row r="9228">
      <c r="A9228" t="n" s="0">
        <v>-7.73</v>
      </c>
      <c r="B9228" t="n" s="0">
        <f>(-5-((((-5*(-5/((-5/(((-5*(-7.73--5))-(-5+((-5*-7.73)*(((-5--5)+(-7.73--5))+-7.73))))-(-5+-5)))*-5)))/-5)--5)+(-5*(((-7.73*(-7.73-(-5/-5)))*(-7.73-(-7.73/(-5*-7.73))))-(-5/-5)))))</f>
        <v>-2469.145385</v>
      </c>
      <c r="C9228" t="n" s="0">
        <v>-2469.1453850000003</v>
      </c>
    </row>
    <row r="9229">
      <c r="A9229" t="n" s="0">
        <v>-7.72</v>
      </c>
      <c r="B9229" t="n" s="0">
        <f>(-5-((((-5*(-5/((-5/(((-5*(-7.72--5))-(-5+((-5*-7.72)*(((-5--5)+(-7.72--5))+-7.72))))-(-5+-5)))*-5)))/-5)--5)+(-5*(((-7.72*(-7.72-(-5/-5)))*(-7.72-(-7.72/(-5*-7.72))))-(-5/-5)))))</f>
        <v>-2459.8550400000004</v>
      </c>
      <c r="C9229" t="n" s="0">
        <v>-2459.85504</v>
      </c>
    </row>
    <row r="9230">
      <c r="A9230" t="n" s="0">
        <v>-7.71</v>
      </c>
      <c r="B9230" t="n" s="0">
        <f>(-5-((((-5*(-5/((-5/(((-5*(-7.71--5))-(-5+((-5*-7.71)*(((-5--5)+(-7.71--5))+-7.71))))-(-5+-5)))*-5)))/-5)--5)+(-5*(((-7.71*(-7.71-(-5/-5)))*(-7.71-(-7.71/(-5*-7.71))))-(-5/-5)))))</f>
        <v>-2450.588255</v>
      </c>
      <c r="C9230" t="n" s="0">
        <v>-2450.588255</v>
      </c>
    </row>
    <row r="9231">
      <c r="A9231" t="n" s="0">
        <v>-7.7</v>
      </c>
      <c r="B9231" t="n" s="0">
        <f>(-5-((((-5*(-5/((-5/(((-5*(-7.7--5))-(-5+((-5*-7.7)*(((-5--5)+(-7.7--5))+-7.7))))-(-5+-5)))*-5)))/-5)--5)+(-5*(((-7.7*(-7.7-(-5/-5)))*(-7.7-(-7.7/(-5*-7.7))))-(-5/-5)))))</f>
        <v>-2441.345</v>
      </c>
      <c r="C9231" t="n" s="0">
        <v>-2441.345</v>
      </c>
    </row>
    <row r="9232">
      <c r="A9232" t="n" s="0">
        <v>-7.69</v>
      </c>
      <c r="B9232" t="n" s="0">
        <f>(-5-((((-5*(-5/((-5/(((-5*(-7.69--5))-(-5+((-5*-7.69)*(((-5--5)+(-7.69--5))+-7.69))))-(-5+-5)))*-5)))/-5)--5)+(-5*(((-7.69*(-7.69-(-5/-5)))*(-7.69-(-7.69/(-5*-7.69))))-(-5/-5)))))</f>
        <v>-2432.125245</v>
      </c>
      <c r="C9232" t="n" s="0">
        <v>-2432.1252450000006</v>
      </c>
    </row>
    <row r="9233">
      <c r="A9233" t="n" s="0">
        <v>-7.68</v>
      </c>
      <c r="B9233" t="n" s="0">
        <f>(-5-((((-5*(-5/((-5/(((-5*(-7.68--5))-(-5+((-5*-7.68)*(((-5--5)+(-7.68--5))+-7.68))))-(-5+-5)))*-5)))/-5)--5)+(-5*(((-7.68*(-7.68-(-5/-5)))*(-7.68-(-7.68/(-5*-7.68))))-(-5/-5)))))</f>
        <v>-2422.92896</v>
      </c>
      <c r="C9233" t="n" s="0">
        <v>-2422.9289599999997</v>
      </c>
    </row>
    <row r="9234">
      <c r="A9234" t="n" s="0">
        <v>-7.67</v>
      </c>
      <c r="B9234" t="n" s="0">
        <f>(-5-((((-5*(-5/((-5/(((-5*(-7.67--5))-(-5+((-5*-7.67)*(((-5--5)+(-7.67--5))+-7.67))))-(-5+-5)))*-5)))/-5)--5)+(-5*(((-7.67*(-7.67-(-5/-5)))*(-7.67-(-7.67/(-5*-7.67))))-(-5/-5)))))</f>
        <v>-2413.756115</v>
      </c>
      <c r="C9234" t="n" s="0">
        <v>-2413.756115</v>
      </c>
    </row>
    <row r="9235">
      <c r="A9235" t="n" s="0">
        <v>-7.66</v>
      </c>
      <c r="B9235" t="n" s="0">
        <f>(-5-((((-5*(-5/((-5/(((-5*(-7.66--5))-(-5+((-5*-7.66)*(((-5--5)+(-7.66--5))+-7.66))))-(-5+-5)))*-5)))/-5)--5)+(-5*(((-7.66*(-7.66-(-5/-5)))*(-7.66-(-7.66/(-5*-7.66))))-(-5/-5)))))</f>
        <v>-2404.60668</v>
      </c>
      <c r="C9235" t="n" s="0">
        <v>-2404.6066800000003</v>
      </c>
    </row>
    <row r="9236">
      <c r="A9236" t="n" s="0">
        <v>-7.65</v>
      </c>
      <c r="B9236" t="n" s="0">
        <f>(-5-((((-5*(-5/((-5/(((-5*(-7.65--5))-(-5+((-5*-7.65)*(((-5--5)+(-7.65--5))+-7.65))))-(-5+-5)))*-5)))/-5)--5)+(-5*(((-7.65*(-7.65-(-5/-5)))*(-7.65-(-7.65/(-5*-7.65))))-(-5/-5)))))</f>
        <v>-2395.4806249999997</v>
      </c>
      <c r="C9236" t="n" s="0">
        <v>-2395.480625</v>
      </c>
    </row>
    <row r="9237">
      <c r="A9237" t="n" s="0">
        <v>-7.64</v>
      </c>
      <c r="B9237" t="n" s="0">
        <f>(-5-((((-5*(-5/((-5/(((-5*(-7.64--5))-(-5+((-5*-7.64)*(((-5--5)+(-7.64--5))+-7.64))))-(-5+-5)))*-5)))/-5)--5)+(-5*(((-7.64*(-7.64-(-5/-5)))*(-7.64-(-7.64/(-5*-7.64))))-(-5/-5)))))</f>
        <v>-2386.37792</v>
      </c>
      <c r="C9237" t="n" s="0">
        <v>-2386.37792</v>
      </c>
    </row>
    <row r="9238">
      <c r="A9238" t="n" s="0">
        <v>-7.63</v>
      </c>
      <c r="B9238" t="n" s="0">
        <f>(-5-((((-5*(-5/((-5/(((-5*(-7.63--5))-(-5+((-5*-7.63)*(((-5--5)+(-7.63--5))+-7.63))))-(-5+-5)))*-5)))/-5)--5)+(-5*(((-7.63*(-7.63-(-5/-5)))*(-7.63-(-7.63/(-5*-7.63))))-(-5/-5)))))</f>
        <v>-2377.2985350000004</v>
      </c>
      <c r="C9238" t="n" s="0">
        <v>-2377.2985349999994</v>
      </c>
    </row>
    <row r="9239">
      <c r="A9239" t="n" s="0">
        <v>-7.62</v>
      </c>
      <c r="B9239" t="n" s="0">
        <f>(-5-((((-5*(-5/((-5/(((-5*(-7.62--5))-(-5+((-5*-7.62)*(((-5--5)+(-7.62--5))+-7.62))))-(-5+-5)))*-5)))/-5)--5)+(-5*(((-7.62*(-7.62-(-5/-5)))*(-7.62-(-7.62/(-5*-7.62))))-(-5/-5)))))</f>
        <v>-2368.2424399999995</v>
      </c>
      <c r="C9239" t="n" s="0">
        <v>-2368.24244</v>
      </c>
    </row>
    <row r="9240">
      <c r="A9240" t="n" s="0">
        <v>-7.61</v>
      </c>
      <c r="B9240" t="n" s="0">
        <f>(-5-((((-5*(-5/((-5/(((-5*(-7.61--5))-(-5+((-5*-7.61)*(((-5--5)+(-7.61--5))+-7.61))))-(-5+-5)))*-5)))/-5)--5)+(-5*(((-7.61*(-7.61-(-5/-5)))*(-7.61-(-7.61/(-5*-7.61))))-(-5/-5)))))</f>
        <v>-2359.209605</v>
      </c>
      <c r="C9240" t="n" s="0">
        <v>-2359.209605</v>
      </c>
    </row>
    <row r="9241">
      <c r="A9241" t="n" s="0">
        <v>-7.6</v>
      </c>
      <c r="B9241" t="n" s="0">
        <f>(-5-((((-5*(-5/((-5/(((-5*(-7.6--5))-(-5+((-5*-7.6)*(((-5--5)+(-7.6--5))+-7.6))))-(-5+-5)))*-5)))/-5)--5)+(-5*(((-7.6*(-7.6-(-5/-5)))*(-7.6-(-7.6/(-5*-7.6))))-(-5/-5)))))</f>
        <v>-2350.2000000000003</v>
      </c>
      <c r="C9241" t="n" s="0">
        <v>-2350.2</v>
      </c>
    </row>
    <row r="9242">
      <c r="A9242" t="n" s="0">
        <v>-7.59</v>
      </c>
      <c r="B9242" t="n" s="0">
        <f>(-5-((((-5*(-5/((-5/(((-5*(-7.59--5))-(-5+((-5*-7.59)*(((-5--5)+(-7.59--5))+-7.59))))-(-5+-5)))*-5)))/-5)--5)+(-5*(((-7.59*(-7.59-(-5/-5)))*(-7.59-(-7.59/(-5*-7.59))))-(-5/-5)))))</f>
        <v>-2341.213595</v>
      </c>
      <c r="C9242" t="n" s="0">
        <v>-2341.2135949999997</v>
      </c>
    </row>
    <row r="9243">
      <c r="A9243" t="n" s="0">
        <v>-7.58</v>
      </c>
      <c r="B9243" t="n" s="0">
        <f>(-5-((((-5*(-5/((-5/(((-5*(-7.58--5))-(-5+((-5*-7.58)*(((-5--5)+(-7.58--5))+-7.58))))-(-5+-5)))*-5)))/-5)--5)+(-5*(((-7.58*(-7.58-(-5/-5)))*(-7.58-(-7.58/(-5*-7.58))))-(-5/-5)))))</f>
        <v>-2332.2503599999995</v>
      </c>
      <c r="C9243" t="n" s="0">
        <v>-2332.25036</v>
      </c>
    </row>
    <row r="9244">
      <c r="A9244" t="n" s="0">
        <v>-7.57</v>
      </c>
      <c r="B9244" t="n" s="0">
        <f>(-5-((((-5*(-5/((-5/(((-5*(-7.57--5))-(-5+((-5*-7.57)*(((-5--5)+(-7.57--5))+-7.57))))-(-5+-5)))*-5)))/-5)--5)+(-5*(((-7.57*(-7.57-(-5/-5)))*(-7.57-(-7.57/(-5*-7.57))))-(-5/-5)))))</f>
        <v>-2323.310265</v>
      </c>
      <c r="C9244" t="n" s="0">
        <v>-2323.3102650000005</v>
      </c>
    </row>
    <row r="9245">
      <c r="A9245" t="n" s="0">
        <v>-7.56</v>
      </c>
      <c r="B9245" t="n" s="0">
        <f>(-5-((((-5*(-5/((-5/(((-5*(-7.56--5))-(-5+((-5*-7.56)*(((-5--5)+(-7.56--5))+-7.56))))-(-5+-5)))*-5)))/-5)--5)+(-5*(((-7.56*(-7.56-(-5/-5)))*(-7.56-(-7.56/(-5*-7.56))))-(-5/-5)))))</f>
        <v>-2314.3932800000002</v>
      </c>
      <c r="C9245" t="n" s="0">
        <v>-2314.39328</v>
      </c>
    </row>
    <row r="9246">
      <c r="A9246" t="n" s="0">
        <v>-7.55</v>
      </c>
      <c r="B9246" t="n" s="0">
        <f>(-5-((((-5*(-5/((-5/(((-5*(-7.55--5))-(-5+((-5*-7.55)*(((-5--5)+(-7.55--5))+-7.55))))-(-5+-5)))*-5)))/-5)--5)+(-5*(((-7.55*(-7.55-(-5/-5)))*(-7.55-(-7.55/(-5*-7.55))))-(-5/-5)))))</f>
        <v>-2305.4993750000003</v>
      </c>
      <c r="C9246" t="n" s="0">
        <v>-2305.499375</v>
      </c>
    </row>
    <row r="9247">
      <c r="A9247" t="n" s="0">
        <v>-7.54</v>
      </c>
      <c r="B9247" t="n" s="0">
        <f>(-5-((((-5*(-5/((-5/(((-5*(-7.54--5))-(-5+((-5*-7.54)*(((-5--5)+(-7.54--5))+-7.54))))-(-5+-5)))*-5)))/-5)--5)+(-5*(((-7.54*(-7.54-(-5/-5)))*(-7.54-(-7.54/(-5*-7.54))))-(-5/-5)))))</f>
        <v>-2296.62852</v>
      </c>
      <c r="C9247" t="n" s="0">
        <v>-2296.6285199999998</v>
      </c>
    </row>
    <row r="9248">
      <c r="A9248" t="n" s="0">
        <v>-7.53</v>
      </c>
      <c r="B9248" t="n" s="0">
        <f>(-5-((((-5*(-5/((-5/(((-5*(-7.53--5))-(-5+((-5*-7.53)*(((-5--5)+(-7.53--5))+-7.53))))-(-5+-5)))*-5)))/-5)--5)+(-5*(((-7.53*(-7.53-(-5/-5)))*(-7.53-(-7.53/(-5*-7.53))))-(-5/-5)))))</f>
        <v>-2287.7806849999997</v>
      </c>
      <c r="C9248" t="n" s="0">
        <v>-2287.780685</v>
      </c>
    </row>
    <row r="9249">
      <c r="A9249" t="n" s="0">
        <v>-7.52</v>
      </c>
      <c r="B9249" t="n" s="0">
        <f>(-5-((((-5*(-5/((-5/(((-5*(-7.52--5))-(-5+((-5*-7.52)*(((-5--5)+(-7.52--5))+-7.52))))-(-5+-5)))*-5)))/-5)--5)+(-5*(((-7.52*(-7.52-(-5/-5)))*(-7.52-(-7.52/(-5*-7.52))))-(-5/-5)))))</f>
        <v>-2278.9558399999996</v>
      </c>
      <c r="C9249" t="n" s="0">
        <v>-2278.9558399999996</v>
      </c>
    </row>
    <row r="9250">
      <c r="A9250" t="n" s="0">
        <v>-7.51</v>
      </c>
      <c r="B9250" t="n" s="0">
        <f>(-5-((((-5*(-5/((-5/(((-5*(-7.51--5))-(-5+((-5*-7.51)*(((-5--5)+(-7.51--5))+-7.51))))-(-5+-5)))*-5)))/-5)--5)+(-5*(((-7.51*(-7.51-(-5/-5)))*(-7.51-(-7.51/(-5*-7.51))))-(-5/-5)))))</f>
        <v>-2270.153955</v>
      </c>
      <c r="C9250" t="n" s="0">
        <v>-2270.153955</v>
      </c>
    </row>
    <row r="9251">
      <c r="A9251" t="n" s="0">
        <v>-7.5</v>
      </c>
      <c r="B9251" t="n" s="0">
        <f>(-5-((((-5*(-5/((-5/(((-5*(-7.5--5))-(-5+((-5*-7.5)*(((-5--5)+(-7.5--5))+-7.5))))-(-5+-5)))*-5)))/-5)--5)+(-5*(((-7.5*(-7.5-(-5/-5)))*(-7.5-(-7.5/(-5*-7.5))))-(-5/-5)))))</f>
        <v>-2261.375</v>
      </c>
      <c r="C9251" t="n" s="0">
        <v>-2261.375</v>
      </c>
    </row>
    <row r="9252">
      <c r="A9252" t="n" s="0">
        <v>-7.49</v>
      </c>
      <c r="B9252" t="n" s="0">
        <f>(-5-((((-5*(-5/((-5/(((-5*(-7.49--5))-(-5+((-5*-7.49)*(((-5--5)+(-7.49--5))+-7.49))))-(-5+-5)))*-5)))/-5)--5)+(-5*(((-7.49*(-7.49-(-5/-5)))*(-7.49-(-7.49/(-5*-7.49))))-(-5/-5)))))</f>
        <v>-2252.6189449999997</v>
      </c>
      <c r="C9252" t="n" s="0">
        <v>-2252.618945</v>
      </c>
    </row>
    <row r="9253">
      <c r="A9253" t="n" s="0">
        <v>-7.48</v>
      </c>
      <c r="B9253" t="n" s="0">
        <f>(-5-((((-5*(-5/((-5/(((-5*(-7.48--5))-(-5+((-5*-7.48)*(((-5--5)+(-7.48--5))+-7.48))))-(-5+-5)))*-5)))/-5)--5)+(-5*(((-7.48*(-7.48-(-5/-5)))*(-7.48-(-7.48/(-5*-7.48))))-(-5/-5)))))</f>
        <v>-2243.8857599999997</v>
      </c>
      <c r="C9253" t="n" s="0">
        <v>-2243.8857600000006</v>
      </c>
    </row>
    <row r="9254">
      <c r="A9254" t="n" s="0">
        <v>-7.47</v>
      </c>
      <c r="B9254" t="n" s="0">
        <f>(-5-((((-5*(-5/((-5/(((-5*(-7.47--5))-(-5+((-5*-7.47)*(((-5--5)+(-7.47--5))+-7.47))))-(-5+-5)))*-5)))/-5)--5)+(-5*(((-7.47*(-7.47-(-5/-5)))*(-7.47-(-7.47/(-5*-7.47))))-(-5/-5)))))</f>
        <v>-2235.175415</v>
      </c>
      <c r="C9254" t="n" s="0">
        <v>-2235.1754149999992</v>
      </c>
    </row>
    <row r="9255">
      <c r="A9255" t="n" s="0">
        <v>-7.46</v>
      </c>
      <c r="B9255" t="n" s="0">
        <f>(-5-((((-5*(-5/((-5/(((-5*(-7.46--5))-(-5+((-5*-7.46)*(((-5--5)+(-7.46--5))+-7.46))))-(-5+-5)))*-5)))/-5)--5)+(-5*(((-7.46*(-7.46-(-5/-5)))*(-7.46-(-7.46/(-5*-7.46))))-(-5/-5)))))</f>
        <v>-2226.4878799999997</v>
      </c>
      <c r="C9255" t="n" s="0">
        <v>-2226.48788</v>
      </c>
    </row>
    <row r="9256">
      <c r="A9256" t="n" s="0">
        <v>-7.45</v>
      </c>
      <c r="B9256" t="n" s="0">
        <f>(-5-((((-5*(-5/((-5/(((-5*(-7.45--5))-(-5+((-5*-7.45)*(((-5--5)+(-7.45--5))+-7.45))))-(-5+-5)))*-5)))/-5)--5)+(-5*(((-7.45*(-7.45-(-5/-5)))*(-7.45-(-7.45/(-5*-7.45))))-(-5/-5)))))</f>
        <v>-2217.823125</v>
      </c>
      <c r="C9256" t="n" s="0">
        <v>-2217.823125</v>
      </c>
    </row>
    <row r="9257">
      <c r="A9257" t="n" s="0">
        <v>-7.44</v>
      </c>
      <c r="B9257" t="n" s="0">
        <f>(-5-((((-5*(-5/((-5/(((-5*(-7.44--5))-(-5+((-5*-7.44)*(((-5--5)+(-7.44--5))+-7.44))))-(-5+-5)))*-5)))/-5)--5)+(-5*(((-7.44*(-7.44-(-5/-5)))*(-7.44-(-7.44/(-5*-7.44))))-(-5/-5)))))</f>
        <v>-2209.1811199999997</v>
      </c>
      <c r="C9257" t="n" s="0">
        <v>-2209.18112</v>
      </c>
    </row>
    <row r="9258">
      <c r="A9258" t="n" s="0">
        <v>-7.43</v>
      </c>
      <c r="B9258" t="n" s="0">
        <f>(-5-((((-5*(-5/((-5/(((-5*(-7.43--5))-(-5+((-5*-7.43)*(((-5--5)+(-7.43--5))+-7.43))))-(-5+-5)))*-5)))/-5)--5)+(-5*(((-7.43*(-7.43-(-5/-5)))*(-7.43-(-7.43/(-5*-7.43))))-(-5/-5)))))</f>
        <v>-2200.561835</v>
      </c>
      <c r="C9258" t="n" s="0">
        <v>-2200.5618349999995</v>
      </c>
    </row>
    <row r="9259">
      <c r="A9259" t="n" s="0">
        <v>-7.42</v>
      </c>
      <c r="B9259" t="n" s="0">
        <f>(-5-((((-5*(-5/((-5/(((-5*(-7.42--5))-(-5+((-5*-7.42)*(((-5--5)+(-7.42--5))+-7.42))))-(-5+-5)))*-5)))/-5)--5)+(-5*(((-7.42*(-7.42-(-5/-5)))*(-7.42-(-7.42/(-5*-7.42))))-(-5/-5)))))</f>
        <v>-2191.96524</v>
      </c>
      <c r="C9259" t="n" s="0">
        <v>-2191.96524</v>
      </c>
    </row>
    <row r="9260">
      <c r="A9260" t="n" s="0">
        <v>-7.41</v>
      </c>
      <c r="B9260" t="n" s="0">
        <f>(-5-((((-5*(-5/((-5/(((-5*(-7.41--5))-(-5+((-5*-7.41)*(((-5--5)+(-7.41--5))+-7.41))))-(-5+-5)))*-5)))/-5)--5)+(-5*(((-7.41*(-7.41-(-5/-5)))*(-7.41-(-7.41/(-5*-7.41))))-(-5/-5)))))</f>
        <v>-2183.391305</v>
      </c>
      <c r="C9260" t="n" s="0">
        <v>-2183.391305</v>
      </c>
    </row>
    <row r="9261">
      <c r="A9261" t="n" s="0">
        <v>-7.4</v>
      </c>
      <c r="B9261" t="n" s="0">
        <f>(-5-((((-5*(-5/((-5/(((-5*(-7.4--5))-(-5+((-5*-7.4)*(((-5--5)+(-7.4--5))+-7.4))))-(-5+-5)))*-5)))/-5)--5)+(-5*(((-7.4*(-7.4-(-5/-5)))*(-7.4-(-7.4/(-5*-7.4))))-(-5/-5)))))</f>
        <v>-2174.84</v>
      </c>
      <c r="C9261" t="n" s="0">
        <v>-2174.84</v>
      </c>
    </row>
    <row r="9262">
      <c r="A9262" t="n" s="0">
        <v>-7.39</v>
      </c>
      <c r="B9262" t="n" s="0">
        <f>(-5-((((-5*(-5/((-5/(((-5*(-7.39--5))-(-5+((-5*-7.39)*(((-5--5)+(-7.39--5))+-7.39))))-(-5+-5)))*-5)))/-5)--5)+(-5*(((-7.39*(-7.39-(-5/-5)))*(-7.39-(-7.39/(-5*-7.39))))-(-5/-5)))))</f>
        <v>-2166.311295</v>
      </c>
      <c r="C9262" t="n" s="0">
        <v>-2166.311295</v>
      </c>
    </row>
    <row r="9263">
      <c r="A9263" t="n" s="0">
        <v>-7.38</v>
      </c>
      <c r="B9263" t="n" s="0">
        <f>(-5-((((-5*(-5/((-5/(((-5*(-7.38--5))-(-5+((-5*-7.38)*(((-5--5)+(-7.38--5))+-7.38))))-(-5+-5)))*-5)))/-5)--5)+(-5*(((-7.38*(-7.38-(-5/-5)))*(-7.38-(-7.38/(-5*-7.38))))-(-5/-5)))))</f>
        <v>-2157.80516</v>
      </c>
      <c r="C9263" t="n" s="0">
        <v>-2157.80516</v>
      </c>
    </row>
    <row r="9264">
      <c r="A9264" t="n" s="0">
        <v>-7.37</v>
      </c>
      <c r="B9264" t="n" s="0">
        <f>(-5-((((-5*(-5/((-5/(((-5*(-7.37--5))-(-5+((-5*-7.37)*(((-5--5)+(-7.37--5))+-7.37))))-(-5+-5)))*-5)))/-5)--5)+(-5*(((-7.37*(-7.37-(-5/-5)))*(-7.37-(-7.37/(-5*-7.37))))-(-5/-5)))))</f>
        <v>-2149.3215649999997</v>
      </c>
      <c r="C9264" t="n" s="0">
        <v>-2149.321565</v>
      </c>
    </row>
    <row r="9265">
      <c r="A9265" t="n" s="0">
        <v>-7.36</v>
      </c>
      <c r="B9265" t="n" s="0">
        <f>(-5-((((-5*(-5/((-5/(((-5*(-7.36--5))-(-5+((-5*-7.36)*(((-5--5)+(-7.36--5))+-7.36))))-(-5+-5)))*-5)))/-5)--5)+(-5*(((-7.36*(-7.36-(-5/-5)))*(-7.36-(-7.36/(-5*-7.36))))-(-5/-5)))))</f>
        <v>-2140.8604800000003</v>
      </c>
      <c r="C9265" t="n" s="0">
        <v>-2140.86048</v>
      </c>
    </row>
    <row r="9266">
      <c r="A9266" t="n" s="0">
        <v>-7.35</v>
      </c>
      <c r="B9266" t="n" s="0">
        <f>(-5-((((-5*(-5/((-5/(((-5*(-7.35--5))-(-5+((-5*-7.35)*(((-5--5)+(-7.35--5))+-7.35))))-(-5+-5)))*-5)))/-5)--5)+(-5*(((-7.35*(-7.35-(-5/-5)))*(-7.35-(-7.35/(-5*-7.35))))-(-5/-5)))))</f>
        <v>-2132.421875</v>
      </c>
      <c r="C9266" t="n" s="0">
        <v>-2132.421875</v>
      </c>
    </row>
    <row r="9267">
      <c r="A9267" t="n" s="0">
        <v>-7.34</v>
      </c>
      <c r="B9267" t="n" s="0">
        <f>(-5-((((-5*(-5/((-5/(((-5*(-7.34--5))-(-5+((-5*-7.34)*(((-5--5)+(-7.34--5))+-7.34))))-(-5+-5)))*-5)))/-5)--5)+(-5*(((-7.34*(-7.34-(-5/-5)))*(-7.34-(-7.34/(-5*-7.34))))-(-5/-5)))))</f>
        <v>-2124.00572</v>
      </c>
      <c r="C9267" t="n" s="0">
        <v>-2124.0057199999997</v>
      </c>
    </row>
    <row r="9268">
      <c r="A9268" t="n" s="0">
        <v>-7.33</v>
      </c>
      <c r="B9268" t="n" s="0">
        <f>(-5-((((-5*(-5/((-5/(((-5*(-7.33--5))-(-5+((-5*-7.33)*(((-5--5)+(-7.33--5))+-7.33))))-(-5+-5)))*-5)))/-5)--5)+(-5*(((-7.33*(-7.33-(-5/-5)))*(-7.33-(-7.33/(-5*-7.33))))-(-5/-5)))))</f>
        <v>-2115.611985</v>
      </c>
      <c r="C9268" t="n" s="0">
        <v>-2115.6119849999995</v>
      </c>
    </row>
    <row r="9269">
      <c r="A9269" t="n" s="0">
        <v>-7.32</v>
      </c>
      <c r="B9269" t="n" s="0">
        <f>(-5-((((-5*(-5/((-5/(((-5*(-7.32--5))-(-5+((-5*-7.32)*(((-5--5)+(-7.32--5))+-7.32))))-(-5+-5)))*-5)))/-5)--5)+(-5*(((-7.32*(-7.32-(-5/-5)))*(-7.32-(-7.32/(-5*-7.32))))-(-5/-5)))))</f>
        <v>-2107.24064</v>
      </c>
      <c r="C9269" t="n" s="0">
        <v>-2107.24064</v>
      </c>
    </row>
    <row r="9270">
      <c r="A9270" t="n" s="0">
        <v>-7.31</v>
      </c>
      <c r="B9270" t="n" s="0">
        <f>(-5-((((-5*(-5/((-5/(((-5*(-7.31--5))-(-5+((-5*-7.31)*(((-5--5)+(-7.31--5))+-7.31))))-(-5+-5)))*-5)))/-5)--5)+(-5*(((-7.31*(-7.31-(-5/-5)))*(-7.31-(-7.31/(-5*-7.31))))-(-5/-5)))))</f>
        <v>-2098.891655</v>
      </c>
      <c r="C9270" t="n" s="0">
        <v>-2098.8916549999994</v>
      </c>
    </row>
    <row r="9271">
      <c r="A9271" t="n" s="0">
        <v>-7.3</v>
      </c>
      <c r="B9271" t="n" s="0">
        <f>(-5-((((-5*(-5/((-5/(((-5*(-7.3--5))-(-5+((-5*-7.3)*(((-5--5)+(-7.3--5))+-7.3))))-(-5+-5)))*-5)))/-5)--5)+(-5*(((-7.3*(-7.3-(-5/-5)))*(-7.3-(-7.3/(-5*-7.3))))-(-5/-5)))))</f>
        <v>-2090.565</v>
      </c>
      <c r="C9271" t="n" s="0">
        <v>-2090.565</v>
      </c>
    </row>
    <row r="9272">
      <c r="A9272" t="n" s="0">
        <v>-7.29</v>
      </c>
      <c r="B9272" t="n" s="0">
        <f>(-5-((((-5*(-5/((-5/(((-5*(-7.29--5))-(-5+((-5*-7.29)*(((-5--5)+(-7.29--5))+-7.29))))-(-5+-5)))*-5)))/-5)--5)+(-5*(((-7.29*(-7.29-(-5/-5)))*(-7.29-(-7.29/(-5*-7.29))))-(-5/-5)))))</f>
        <v>-2082.260645</v>
      </c>
      <c r="C9272" t="n" s="0">
        <v>-2082.2606450000003</v>
      </c>
    </row>
    <row r="9273">
      <c r="A9273" t="n" s="0">
        <v>-7.28</v>
      </c>
      <c r="B9273" t="n" s="0">
        <f>(-5-((((-5*(-5/((-5/(((-5*(-7.28--5))-(-5+((-5*-7.28)*(((-5--5)+(-7.28--5))+-7.28))))-(-5+-5)))*-5)))/-5)--5)+(-5*(((-7.28*(-7.28-(-5/-5)))*(-7.28-(-7.28/(-5*-7.28))))-(-5/-5)))))</f>
        <v>-2073.97856</v>
      </c>
      <c r="C9273" t="n" s="0">
        <v>-2073.9785600000005</v>
      </c>
    </row>
    <row r="9274">
      <c r="A9274" t="n" s="0">
        <v>-7.27</v>
      </c>
      <c r="B9274" t="n" s="0">
        <f>(-5-((((-5*(-5/((-5/(((-5*(-7.27--5))-(-5+((-5*-7.27)*(((-5--5)+(-7.27--5))+-7.27))))-(-5+-5)))*-5)))/-5)--5)+(-5*(((-7.27*(-7.27-(-5/-5)))*(-7.27-(-7.27/(-5*-7.27))))-(-5/-5)))))</f>
        <v>-2065.7187149999995</v>
      </c>
      <c r="C9274" t="n" s="0">
        <v>-2065.718715</v>
      </c>
    </row>
    <row r="9275">
      <c r="A9275" t="n" s="0">
        <v>-7.26</v>
      </c>
      <c r="B9275" t="n" s="0">
        <f>(-5-((((-5*(-5/((-5/(((-5*(-7.26--5))-(-5+((-5*-7.26)*(((-5--5)+(-7.26--5))+-7.26))))-(-5+-5)))*-5)))/-5)--5)+(-5*(((-7.26*(-7.26-(-5/-5)))*(-7.26-(-7.26/(-5*-7.26))))-(-5/-5)))))</f>
        <v>-2057.48108</v>
      </c>
      <c r="C9275" t="n" s="0">
        <v>-2057.4810799999996</v>
      </c>
    </row>
    <row r="9276">
      <c r="A9276" t="n" s="0">
        <v>-7.25</v>
      </c>
      <c r="B9276" t="n" s="0">
        <f>(-5-((((-5*(-5/((-5/(((-5*(-7.25--5))-(-5+((-5*-7.25)*(((-5--5)+(-7.25--5))+-7.25))))-(-5+-5)))*-5)))/-5)--5)+(-5*(((-7.25*(-7.25-(-5/-5)))*(-7.25-(-7.25/(-5*-7.25))))-(-5/-5)))))</f>
        <v>-2049.265625</v>
      </c>
      <c r="C9276" t="n" s="0">
        <v>-2049.265625</v>
      </c>
    </row>
    <row r="9277">
      <c r="A9277" t="n" s="0">
        <v>-7.24</v>
      </c>
      <c r="B9277" t="n" s="0">
        <f>(-5-((((-5*(-5/((-5/(((-5*(-7.24--5))-(-5+((-5*-7.24)*(((-5--5)+(-7.24--5))+-7.24))))-(-5+-5)))*-5)))/-5)--5)+(-5*(((-7.24*(-7.24-(-5/-5)))*(-7.24-(-7.24/(-5*-7.24))))-(-5/-5)))))</f>
        <v>-2041.07232</v>
      </c>
      <c r="C9277" t="n" s="0">
        <v>-2041.0723200000002</v>
      </c>
    </row>
    <row r="9278">
      <c r="A9278" t="n" s="0">
        <v>-7.23</v>
      </c>
      <c r="B9278" t="n" s="0">
        <f>(-5-((((-5*(-5/((-5/(((-5*(-7.23--5))-(-5+((-5*-7.23)*(((-5--5)+(-7.23--5))+-7.23))))-(-5+-5)))*-5)))/-5)--5)+(-5*(((-7.23*(-7.23-(-5/-5)))*(-7.23-(-7.23/(-5*-7.23))))-(-5/-5)))))</f>
        <v>-2032.9011349999998</v>
      </c>
      <c r="C9278" t="n" s="0">
        <v>-2032.9011350000003</v>
      </c>
    </row>
    <row r="9279">
      <c r="A9279" t="n" s="0">
        <v>-7.22</v>
      </c>
      <c r="B9279" t="n" s="0">
        <f>(-5-((((-5*(-5/((-5/(((-5*(-7.22--5))-(-5+((-5*-7.22)*(((-5--5)+(-7.22--5))+-7.22))))-(-5+-5)))*-5)))/-5)--5)+(-5*(((-7.22*(-7.22-(-5/-5)))*(-7.22-(-7.22/(-5*-7.22))))-(-5/-5)))))</f>
        <v>-2024.7520399999999</v>
      </c>
      <c r="C9279" t="n" s="0">
        <v>-2024.75204</v>
      </c>
    </row>
    <row r="9280">
      <c r="A9280" t="n" s="0">
        <v>-7.21</v>
      </c>
      <c r="B9280" t="n" s="0">
        <f>(-5-((((-5*(-5/((-5/(((-5*(-7.21--5))-(-5+((-5*-7.21)*(((-5--5)+(-7.21--5))+-7.21))))-(-5+-5)))*-5)))/-5)--5)+(-5*(((-7.21*(-7.21-(-5/-5)))*(-7.21-(-7.21/(-5*-7.21))))-(-5/-5)))))</f>
        <v>-2016.6250049999999</v>
      </c>
      <c r="C9280" t="n" s="0">
        <v>-2016.625005</v>
      </c>
    </row>
    <row r="9281">
      <c r="A9281" t="n" s="0">
        <v>-7.2</v>
      </c>
      <c r="B9281" t="n" s="0">
        <f>(-5-((((-5*(-5/((-5/(((-5*(-7.2--5))-(-5+((-5*-7.2)*(((-5--5)+(-7.2--5))+-7.2))))-(-5+-5)))*-5)))/-5)--5)+(-5*(((-7.2*(-7.2-(-5/-5)))*(-7.2-(-7.2/(-5*-7.2))))-(-5/-5)))))</f>
        <v>-2008.52</v>
      </c>
      <c r="C9281" t="n" s="0">
        <v>-2008.5200000000002</v>
      </c>
    </row>
    <row r="9282">
      <c r="A9282" t="n" s="0">
        <v>-7.19</v>
      </c>
      <c r="B9282" t="n" s="0">
        <f>(-5-((((-5*(-5/((-5/(((-5*(-7.19--5))-(-5+((-5*-7.19)*(((-5--5)+(-7.19--5))+-7.19))))-(-5+-5)))*-5)))/-5)--5)+(-5*(((-7.19*(-7.19-(-5/-5)))*(-7.19-(-7.19/(-5*-7.19))))-(-5/-5)))))</f>
        <v>-2000.4369949999998</v>
      </c>
      <c r="C9282" t="n" s="0">
        <v>-2000.436995</v>
      </c>
    </row>
    <row r="9283">
      <c r="A9283" t="n" s="0">
        <v>-7.18</v>
      </c>
      <c r="B9283" t="n" s="0">
        <f>(-5-((((-5*(-5/((-5/(((-5*(-7.18--5))-(-5+((-5*-7.18)*(((-5--5)+(-7.18--5))+-7.18))))-(-5+-5)))*-5)))/-5)--5)+(-5*(((-7.18*(-7.18-(-5/-5)))*(-7.18-(-7.18/(-5*-7.18))))-(-5/-5)))))</f>
        <v>-1992.37596</v>
      </c>
      <c r="C9283" t="n" s="0">
        <v>-1992.3759599999998</v>
      </c>
    </row>
    <row r="9284">
      <c r="A9284" t="n" s="0">
        <v>-7.17</v>
      </c>
      <c r="B9284" t="n" s="0">
        <f>(-5-((((-5*(-5/((-5/(((-5*(-7.17--5))-(-5+((-5*-7.17)*(((-5--5)+(-7.17--5))+-7.17))))-(-5+-5)))*-5)))/-5)--5)+(-5*(((-7.17*(-7.17-(-5/-5)))*(-7.17-(-7.17/(-5*-7.17))))-(-5/-5)))))</f>
        <v>-1984.336865</v>
      </c>
      <c r="C9284" t="n" s="0">
        <v>-1984.336865</v>
      </c>
    </row>
    <row r="9285">
      <c r="A9285" t="n" s="0">
        <v>-7.16</v>
      </c>
      <c r="B9285" t="n" s="0">
        <f>(-5-((((-5*(-5/((-5/(((-5*(-7.16--5))-(-5+((-5*-7.16)*(((-5--5)+(-7.16--5))+-7.16))))-(-5+-5)))*-5)))/-5)--5)+(-5*(((-7.16*(-7.16-(-5/-5)))*(-7.16-(-7.16/(-5*-7.16))))-(-5/-5)))))</f>
        <v>-1976.3196799999998</v>
      </c>
      <c r="C9285" t="n" s="0">
        <v>-1976.31968</v>
      </c>
    </row>
    <row r="9286">
      <c r="A9286" t="n" s="0">
        <v>-7.15</v>
      </c>
      <c r="B9286" t="n" s="0">
        <f>(-5-((((-5*(-5/((-5/(((-5*(-7.15--5))-(-5+((-5*-7.15)*(((-5--5)+(-7.15--5))+-7.15))))-(-5+-5)))*-5)))/-5)--5)+(-5*(((-7.15*(-7.15-(-5/-5)))*(-7.15-(-7.15/(-5*-7.15))))-(-5/-5)))))</f>
        <v>-1968.324375</v>
      </c>
      <c r="C9286" t="n" s="0">
        <v>-1968.3243750000004</v>
      </c>
    </row>
    <row r="9287">
      <c r="A9287" t="n" s="0">
        <v>-7.14</v>
      </c>
      <c r="B9287" t="n" s="0">
        <f>(-5-((((-5*(-5/((-5/(((-5*(-7.14--5))-(-5+((-5*-7.14)*(((-5--5)+(-7.14--5))+-7.14))))-(-5+-5)))*-5)))/-5)--5)+(-5*(((-7.14*(-7.14-(-5/-5)))*(-7.14-(-7.14/(-5*-7.14))))-(-5/-5)))))</f>
        <v>-1960.35092</v>
      </c>
      <c r="C9287" t="n" s="0">
        <v>-1960.3509199999999</v>
      </c>
    </row>
    <row r="9288">
      <c r="A9288" t="n" s="0">
        <v>-7.13</v>
      </c>
      <c r="B9288" t="n" s="0">
        <f>(-5-((((-5*(-5/((-5/(((-5*(-7.13--5))-(-5+((-5*-7.13)*(((-5--5)+(-7.13--5))+-7.13))))-(-5+-5)))*-5)))/-5)--5)+(-5*(((-7.13*(-7.13-(-5/-5)))*(-7.13-(-7.13/(-5*-7.13))))-(-5/-5)))))</f>
        <v>-1952.3992849999997</v>
      </c>
      <c r="C9288" t="n" s="0">
        <v>-1952.399285</v>
      </c>
    </row>
    <row r="9289">
      <c r="A9289" t="n" s="0">
        <v>-7.12</v>
      </c>
      <c r="B9289" t="n" s="0">
        <f>(-5-((((-5*(-5/((-5/(((-5*(-7.12--5))-(-5+((-5*-7.12)*(((-5--5)+(-7.12--5))+-7.12))))-(-5+-5)))*-5)))/-5)--5)+(-5*(((-7.12*(-7.12-(-5/-5)))*(-7.12-(-7.12/(-5*-7.12))))-(-5/-5)))))</f>
        <v>-1944.46944</v>
      </c>
      <c r="C9289" t="n" s="0">
        <v>-1944.46944</v>
      </c>
    </row>
    <row r="9290">
      <c r="A9290" t="n" s="0">
        <v>-7.11</v>
      </c>
      <c r="B9290" t="n" s="0">
        <f>(-5-((((-5*(-5/((-5/(((-5*(-7.11--5))-(-5+((-5*-7.11)*(((-5--5)+(-7.11--5))+-7.11))))-(-5+-5)))*-5)))/-5)--5)+(-5*(((-7.11*(-7.11-(-5/-5)))*(-7.11-(-7.11/(-5*-7.11))))-(-5/-5)))))</f>
        <v>-1936.561355</v>
      </c>
      <c r="C9290" t="n" s="0">
        <v>-1936.5613550000003</v>
      </c>
    </row>
    <row r="9291">
      <c r="A9291" t="n" s="0">
        <v>-7.1</v>
      </c>
      <c r="B9291" t="n" s="0">
        <f>(-5-((((-5*(-5/((-5/(((-5*(-7.1--5))-(-5+((-5*-7.1)*(((-5--5)+(-7.1--5))+-7.1))))-(-5+-5)))*-5)))/-5)--5)+(-5*(((-7.1*(-7.1-(-5/-5)))*(-7.1-(-7.1/(-5*-7.1))))-(-5/-5)))))</f>
        <v>-1928.6750000000002</v>
      </c>
      <c r="C9291" t="n" s="0">
        <v>-1928.6749999999997</v>
      </c>
    </row>
    <row r="9292">
      <c r="A9292" t="n" s="0">
        <v>-7.09</v>
      </c>
      <c r="B9292" t="n" s="0">
        <f>(-5-((((-5*(-5/((-5/(((-5*(-7.09--5))-(-5+((-5*-7.09)*(((-5--5)+(-7.09--5))+-7.09))))-(-5+-5)))*-5)))/-5)--5)+(-5*(((-7.09*(-7.09-(-5/-5)))*(-7.09-(-7.09/(-5*-7.09))))-(-5/-5)))))</f>
        <v>-1920.8103449999999</v>
      </c>
      <c r="C9292" t="n" s="0">
        <v>-1920.8103449999999</v>
      </c>
    </row>
    <row r="9293">
      <c r="A9293" t="n" s="0">
        <v>-7.08</v>
      </c>
      <c r="B9293" t="n" s="0">
        <f>(-5-((((-5*(-5/((-5/(((-5*(-7.08--5))-(-5+((-5*-7.08)*(((-5--5)+(-7.08--5))+-7.08))))-(-5+-5)))*-5)))/-5)--5)+(-5*(((-7.08*(-7.08-(-5/-5)))*(-7.08-(-7.08/(-5*-7.08))))-(-5/-5)))))</f>
        <v>-1912.96736</v>
      </c>
      <c r="C9293" t="n" s="0">
        <v>-1912.96736</v>
      </c>
    </row>
    <row r="9294">
      <c r="A9294" t="n" s="0">
        <v>-7.07</v>
      </c>
      <c r="B9294" t="n" s="0">
        <f>(-5-((((-5*(-5/((-5/(((-5*(-7.07--5))-(-5+((-5*-7.07)*(((-5--5)+(-7.07--5))+-7.07))))-(-5+-5)))*-5)))/-5)--5)+(-5*(((-7.07*(-7.07-(-5/-5)))*(-7.07-(-7.07/(-5*-7.07))))-(-5/-5)))))</f>
        <v>-1905.1460149999998</v>
      </c>
      <c r="C9294" t="n" s="0">
        <v>-1905.1460150000003</v>
      </c>
    </row>
    <row r="9295">
      <c r="A9295" t="n" s="0">
        <v>-7.06</v>
      </c>
      <c r="B9295" t="n" s="0">
        <f>(-5-((((-5*(-5/((-5/(((-5*(-7.06--5))-(-5+((-5*-7.06)*(((-5--5)+(-7.06--5))+-7.06))))-(-5+-5)))*-5)))/-5)--5)+(-5*(((-7.06*(-7.06-(-5/-5)))*(-7.06-(-7.06/(-5*-7.06))))-(-5/-5)))))</f>
        <v>-1897.3462799999998</v>
      </c>
      <c r="C9295" t="n" s="0">
        <v>-1897.34628</v>
      </c>
    </row>
    <row r="9296">
      <c r="A9296" t="n" s="0">
        <v>-7.05</v>
      </c>
      <c r="B9296" t="n" s="0">
        <f>(-5-((((-5*(-5/((-5/(((-5*(-7.05--5))-(-5+((-5*-7.05)*(((-5--5)+(-7.05--5))+-7.05))))-(-5+-5)))*-5)))/-5)--5)+(-5*(((-7.05*(-7.05-(-5/-5)))*(-7.05-(-7.05/(-5*-7.05))))-(-5/-5)))))</f>
        <v>-1889.568125</v>
      </c>
      <c r="C9296" t="n" s="0">
        <v>-1889.568125</v>
      </c>
    </row>
    <row r="9297">
      <c r="A9297" t="n" s="0">
        <v>-7.04</v>
      </c>
      <c r="B9297" t="n" s="0">
        <f>(-5-((((-5*(-5/((-5/(((-5*(-7.04--5))-(-5+((-5*-7.04)*(((-5--5)+(-7.04--5))+-7.04))))-(-5+-5)))*-5)))/-5)--5)+(-5*(((-7.04*(-7.04-(-5/-5)))*(-7.04-(-7.04/(-5*-7.04))))-(-5/-5)))))</f>
        <v>-1881.81152</v>
      </c>
      <c r="C9297" t="n" s="0">
        <v>-1881.8115199999997</v>
      </c>
    </row>
    <row r="9298">
      <c r="A9298" t="n" s="0">
        <v>-7.03</v>
      </c>
      <c r="B9298" t="n" s="0">
        <f>(-5-((((-5*(-5/((-5/(((-5*(-7.03--5))-(-5+((-5*-7.03)*(((-5--5)+(-7.03--5))+-7.03))))-(-5+-5)))*-5)))/-5)--5)+(-5*(((-7.03*(-7.03-(-5/-5)))*(-7.03-(-7.03/(-5*-7.03))))-(-5/-5)))))</f>
        <v>-1874.076435</v>
      </c>
      <c r="C9298" t="n" s="0">
        <v>-1874.076435</v>
      </c>
    </row>
    <row r="9299">
      <c r="A9299" t="n" s="0">
        <v>-7.02</v>
      </c>
      <c r="B9299" t="n" s="0">
        <f>(-5-((((-5*(-5/((-5/(((-5*(-7.02--5))-(-5+((-5*-7.02)*(((-5--5)+(-7.02--5))+-7.02))))-(-5+-5)))*-5)))/-5)--5)+(-5*(((-7.02*(-7.02-(-5/-5)))*(-7.02-(-7.02/(-5*-7.02))))-(-5/-5)))))</f>
        <v>-1866.3628399999998</v>
      </c>
      <c r="C9299" t="n" s="0">
        <v>-1866.3628399999996</v>
      </c>
    </row>
    <row r="9300">
      <c r="A9300" t="n" s="0">
        <v>-7.01</v>
      </c>
      <c r="B9300" t="n" s="0">
        <f>(-5-((((-5*(-5/((-5/(((-5*(-7.01--5))-(-5+((-5*-7.01)*(((-5--5)+(-7.01--5))+-7.01))))-(-5+-5)))*-5)))/-5)--5)+(-5*(((-7.01*(-7.01-(-5/-5)))*(-7.01-(-7.01/(-5*-7.01))))-(-5/-5)))))</f>
        <v>-1858.6707049999998</v>
      </c>
      <c r="C9300" t="n" s="0">
        <v>-1858.6707049999995</v>
      </c>
    </row>
    <row r="9301">
      <c r="A9301" t="n" s="0">
        <v>-7.0</v>
      </c>
      <c r="B9301" t="n" s="0">
        <f>(-5-((((-5*(-5/((-5/(((-5*(-7--5))-(-5+((-5*-7)*(((-5--5)+(-7--5))+-7))))-(-5+-5)))*-5)))/-5)--5)+(-5*(((-7*(-7-(-5/-5)))*(-7-(-7/(-5*-7))))-(-5/-5)))))</f>
        <v>-1851.0000000000002</v>
      </c>
      <c r="C9301" t="n" s="0">
        <v>-1851.0</v>
      </c>
    </row>
    <row r="9302">
      <c r="A9302" t="n" s="0">
        <v>-6.99</v>
      </c>
      <c r="B9302" t="n" s="0">
        <f>(-5-((((-5*(-5/((-5/(((-5*(-6.99--5))-(-5+((-5*-6.99)*(((-5--5)+(-6.99--5))+-6.99))))-(-5+-5)))*-5)))/-5)--5)+(-5*(((-6.99*(-6.99-(-5/-5)))*(-6.99-(-6.99/(-5*-6.99))))-(-5/-5)))))</f>
        <v>-1843.350695</v>
      </c>
      <c r="C9302" t="n" s="0">
        <v>-1843.350695</v>
      </c>
    </row>
    <row r="9303">
      <c r="A9303" t="n" s="0">
        <v>-6.98</v>
      </c>
      <c r="B9303" t="n" s="0">
        <f>(-5-((((-5*(-5/((-5/(((-5*(-6.98--5))-(-5+((-5*-6.98)*(((-5--5)+(-6.98--5))+-6.98))))-(-5+-5)))*-5)))/-5)--5)+(-5*(((-6.98*(-6.98-(-5/-5)))*(-6.98-(-6.98/(-5*-6.98))))-(-5/-5)))))</f>
        <v>-1835.7227599999999</v>
      </c>
      <c r="C9303" t="n" s="0">
        <v>-1835.7227600000006</v>
      </c>
    </row>
    <row r="9304">
      <c r="A9304" t="n" s="0">
        <v>-6.97</v>
      </c>
      <c r="B9304" t="n" s="0">
        <f>(-5-((((-5*(-5/((-5/(((-5*(-6.97--5))-(-5+((-5*-6.97)*(((-5--5)+(-6.97--5))+-6.97))))-(-5+-5)))*-5)))/-5)--5)+(-5*(((-6.97*(-6.97-(-5/-5)))*(-6.97-(-6.97/(-5*-6.97))))-(-5/-5)))))</f>
        <v>-1828.116165</v>
      </c>
      <c r="C9304" t="n" s="0">
        <v>-1828.116165</v>
      </c>
    </row>
    <row r="9305">
      <c r="A9305" t="n" s="0">
        <v>-6.96</v>
      </c>
      <c r="B9305" t="n" s="0">
        <f>(-5-((((-5*(-5/((-5/(((-5*(-6.96--5))-(-5+((-5*-6.96)*(((-5--5)+(-6.96--5))+-6.96))))-(-5+-5)))*-5)))/-5)--5)+(-5*(((-6.96*(-6.96-(-5/-5)))*(-6.96-(-6.96/(-5*-6.96))))-(-5/-5)))))</f>
        <v>-1820.5308800000003</v>
      </c>
      <c r="C9305" t="n" s="0">
        <v>-1820.53088</v>
      </c>
    </row>
    <row r="9306">
      <c r="A9306" t="n" s="0">
        <v>-6.95</v>
      </c>
      <c r="B9306" t="n" s="0">
        <f>(-5-((((-5*(-5/((-5/(((-5*(-6.95--5))-(-5+((-5*-6.95)*(((-5--5)+(-6.95--5))+-6.95))))-(-5+-5)))*-5)))/-5)--5)+(-5*(((-6.95*(-6.95-(-5/-5)))*(-6.95-(-6.95/(-5*-6.95))))-(-5/-5)))))</f>
        <v>-1812.9668749999998</v>
      </c>
      <c r="C9306" t="n" s="0">
        <v>-1812.966875</v>
      </c>
    </row>
    <row r="9307">
      <c r="A9307" t="n" s="0">
        <v>-6.94</v>
      </c>
      <c r="B9307" t="n" s="0">
        <f>(-5-((((-5*(-5/((-5/(((-5*(-6.94--5))-(-5+((-5*-6.94)*(((-5--5)+(-6.94--5))+-6.94))))-(-5+-5)))*-5)))/-5)--5)+(-5*(((-6.94*(-6.94-(-5/-5)))*(-6.94-(-6.94/(-5*-6.94))))-(-5/-5)))))</f>
        <v>-1805.4241200000004</v>
      </c>
      <c r="C9307" t="n" s="0">
        <v>-1805.4241200000001</v>
      </c>
    </row>
    <row r="9308">
      <c r="A9308" t="n" s="0">
        <v>-6.93</v>
      </c>
      <c r="B9308" t="n" s="0">
        <f>(-5-((((-5*(-5/((-5/(((-5*(-6.93--5))-(-5+((-5*-6.93)*(((-5--5)+(-6.93--5))+-6.93))))-(-5+-5)))*-5)))/-5)--5)+(-5*(((-6.93*(-6.93-(-5/-5)))*(-6.93-(-6.93/(-5*-6.93))))-(-5/-5)))))</f>
        <v>-1797.9025850000003</v>
      </c>
      <c r="C9308" t="n" s="0">
        <v>-1797.9025849999998</v>
      </c>
    </row>
    <row r="9309">
      <c r="A9309" t="n" s="0">
        <v>-6.92</v>
      </c>
      <c r="B9309" t="n" s="0">
        <f>(-5-((((-5*(-5/((-5/(((-5*(-6.92--5))-(-5+((-5*-6.92)*(((-5--5)+(-6.92--5))+-6.92))))-(-5+-5)))*-5)))/-5)--5)+(-5*(((-6.92*(-6.92-(-5/-5)))*(-6.92-(-6.92/(-5*-6.92))))-(-5/-5)))))</f>
        <v>-1790.40224</v>
      </c>
      <c r="C9309" t="n" s="0">
        <v>-1790.40224</v>
      </c>
    </row>
    <row r="9310">
      <c r="A9310" t="n" s="0">
        <v>-6.91</v>
      </c>
      <c r="B9310" t="n" s="0">
        <f>(-5-((((-5*(-5/((-5/(((-5*(-6.91--5))-(-5+((-5*-6.91)*(((-5--5)+(-6.91--5))+-6.91))))-(-5+-5)))*-5)))/-5)--5)+(-5*(((-6.91*(-6.91-(-5/-5)))*(-6.91-(-6.91/(-5*-6.91))))-(-5/-5)))))</f>
        <v>-1782.9230550000002</v>
      </c>
      <c r="C9310" t="n" s="0">
        <v>-1782.923055</v>
      </c>
    </row>
    <row r="9311">
      <c r="A9311" t="n" s="0">
        <v>-6.9</v>
      </c>
      <c r="B9311" t="n" s="0">
        <f>(-5-((((-5*(-5/((-5/(((-5*(-6.9--5))-(-5+((-5*-6.9)*(((-5--5)+(-6.9--5))+-6.9))))-(-5+-5)))*-5)))/-5)--5)+(-5*(((-6.9*(-6.9-(-5/-5)))*(-6.9-(-6.9/(-5*-6.9))))-(-5/-5)))))</f>
        <v>-1775.4650000000001</v>
      </c>
      <c r="C9311" t="n" s="0">
        <v>-1775.4650000000004</v>
      </c>
    </row>
    <row r="9312">
      <c r="A9312" t="n" s="0">
        <v>-6.89</v>
      </c>
      <c r="B9312" t="n" s="0">
        <f>(-5-((((-5*(-5/((-5/(((-5*(-6.89--5))-(-5+((-5*-6.89)*(((-5--5)+(-6.89--5))+-6.89))))-(-5+-5)))*-5)))/-5)--5)+(-5*(((-6.89*(-6.89-(-5/-5)))*(-6.89-(-6.89/(-5*-6.89))))-(-5/-5)))))</f>
        <v>-1768.0280450000002</v>
      </c>
      <c r="C9312" t="n" s="0">
        <v>-1768.0280449999996</v>
      </c>
    </row>
    <row r="9313">
      <c r="A9313" t="n" s="0">
        <v>-6.88</v>
      </c>
      <c r="B9313" t="n" s="0">
        <f>(-5-((((-5*(-5/((-5/(((-5*(-6.88--5))-(-5+((-5*-6.88)*(((-5--5)+(-6.88--5))+-6.88))))-(-5+-5)))*-5)))/-5)--5)+(-5*(((-6.88*(-6.88-(-5/-5)))*(-6.88-(-6.88/(-5*-6.88))))-(-5/-5)))))</f>
        <v>-1760.6121600000001</v>
      </c>
      <c r="C9313" t="n" s="0">
        <v>-1760.61216</v>
      </c>
    </row>
    <row r="9314">
      <c r="A9314" t="n" s="0">
        <v>-6.87</v>
      </c>
      <c r="B9314" t="n" s="0">
        <f>(-5-((((-5*(-5/((-5/(((-5*(-6.87--5))-(-5+((-5*-6.87)*(((-5--5)+(-6.87--5))+-6.87))))-(-5+-5)))*-5)))/-5)--5)+(-5*(((-6.87*(-6.87-(-5/-5)))*(-6.87-(-6.87/(-5*-6.87))))-(-5/-5)))))</f>
        <v>-1753.2173149999996</v>
      </c>
      <c r="C9314" t="n" s="0">
        <v>-1753.2173149999999</v>
      </c>
    </row>
    <row r="9315">
      <c r="A9315" t="n" s="0">
        <v>-6.86</v>
      </c>
      <c r="B9315" t="n" s="0">
        <f>(-5-((((-5*(-5/((-5/(((-5*(-6.86--5))-(-5+((-5*-6.86)*(((-5--5)+(-6.86--5))+-6.86))))-(-5+-5)))*-5)))/-5)--5)+(-5*(((-6.86*(-6.86-(-5/-5)))*(-6.86-(-6.86/(-5*-6.86))))-(-5/-5)))))</f>
        <v>-1745.84348</v>
      </c>
      <c r="C9315" t="n" s="0">
        <v>-1745.8434800000002</v>
      </c>
    </row>
    <row r="9316">
      <c r="A9316" t="n" s="0">
        <v>-6.85</v>
      </c>
      <c r="B9316" t="n" s="0">
        <f>(-5-((((-5*(-5/((-5/(((-5*(-6.85--5))-(-5+((-5*-6.85)*(((-5--5)+(-6.85--5))+-6.85))))-(-5+-5)))*-5)))/-5)--5)+(-5*(((-6.85*(-6.85-(-5/-5)))*(-6.85-(-6.85/(-5*-6.85))))-(-5/-5)))))</f>
        <v>-1738.4906250000001</v>
      </c>
      <c r="C9316" t="n" s="0">
        <v>-1738.4906249999997</v>
      </c>
    </row>
    <row r="9317">
      <c r="A9317" t="n" s="0">
        <v>-6.84</v>
      </c>
      <c r="B9317" t="n" s="0">
        <f>(-5-((((-5*(-5/((-5/(((-5*(-6.84--5))-(-5+((-5*-6.84)*(((-5--5)+(-6.84--5))+-6.84))))-(-5+-5)))*-5)))/-5)--5)+(-5*(((-6.84*(-6.84-(-5/-5)))*(-6.84-(-6.84/(-5*-6.84))))-(-5/-5)))))</f>
        <v>-1731.1587200000004</v>
      </c>
      <c r="C9317" t="n" s="0">
        <v>-1731.15872</v>
      </c>
    </row>
    <row r="9318">
      <c r="A9318" t="n" s="0">
        <v>-6.83</v>
      </c>
      <c r="B9318" t="n" s="0">
        <f>(-5-((((-5*(-5/((-5/(((-5*(-6.83--5))-(-5+((-5*-6.83)*(((-5--5)+(-6.83--5))+-6.83))))-(-5+-5)))*-5)))/-5)--5)+(-5*(((-6.83*(-6.83-(-5/-5)))*(-6.83-(-6.83/(-5*-6.83))))-(-5/-5)))))</f>
        <v>-1723.847735</v>
      </c>
      <c r="C9318" t="n" s="0">
        <v>-1723.847735</v>
      </c>
    </row>
    <row r="9319">
      <c r="A9319" t="n" s="0">
        <v>-6.82</v>
      </c>
      <c r="B9319" t="n" s="0">
        <f>(-5-((((-5*(-5/((-5/(((-5*(-6.82--5))-(-5+((-5*-6.82)*(((-5--5)+(-6.82--5))+-6.82))))-(-5+-5)))*-5)))/-5)--5)+(-5*(((-6.82*(-6.82-(-5/-5)))*(-6.82-(-6.82/(-5*-6.82))))-(-5/-5)))))</f>
        <v>-1716.5576399999998</v>
      </c>
      <c r="C9319" t="n" s="0">
        <v>-1716.5576400000002</v>
      </c>
    </row>
    <row r="9320">
      <c r="A9320" t="n" s="0">
        <v>-6.81</v>
      </c>
      <c r="B9320" t="n" s="0">
        <f>(-5-((((-5*(-5/((-5/(((-5*(-6.81--5))-(-5+((-5*-6.81)*(((-5--5)+(-6.81--5))+-6.81))))-(-5+-5)))*-5)))/-5)--5)+(-5*(((-6.81*(-6.81-(-5/-5)))*(-6.81-(-6.81/(-5*-6.81))))-(-5/-5)))))</f>
        <v>-1709.288405</v>
      </c>
      <c r="C9320" t="n" s="0">
        <v>-1709.2884049999996</v>
      </c>
    </row>
    <row r="9321">
      <c r="A9321" t="n" s="0">
        <v>-6.8</v>
      </c>
      <c r="B9321" t="n" s="0">
        <f>(-5-((((-5*(-5/((-5/(((-5*(-6.8--5))-(-5+((-5*-6.8)*(((-5--5)+(-6.8--5))+-6.8))))-(-5+-5)))*-5)))/-5)--5)+(-5*(((-6.8*(-6.8-(-5/-5)))*(-6.8-(-6.8/(-5*-6.8))))-(-5/-5)))))</f>
        <v>-1702.0400000000002</v>
      </c>
      <c r="C9321" t="n" s="0">
        <v>-1702.04</v>
      </c>
    </row>
    <row r="9322">
      <c r="A9322" t="n" s="0">
        <v>-6.79</v>
      </c>
      <c r="B9322" t="n" s="0">
        <f>(-5-((((-5*(-5/((-5/(((-5*(-6.79--5))-(-5+((-5*-6.79)*(((-5--5)+(-6.79--5))+-6.79))))-(-5+-5)))*-5)))/-5)--5)+(-5*(((-6.79*(-6.79-(-5/-5)))*(-6.79-(-6.79/(-5*-6.79))))-(-5/-5)))))</f>
        <v>-1694.8123950000002</v>
      </c>
      <c r="C9322" t="n" s="0">
        <v>-1694.812395</v>
      </c>
    </row>
    <row r="9323">
      <c r="A9323" t="n" s="0">
        <v>-6.78</v>
      </c>
      <c r="B9323" t="n" s="0">
        <f>(-5-((((-5*(-5/((-5/(((-5*(-6.78--5))-(-5+((-5*-6.78)*(((-5--5)+(-6.78--5))+-6.78))))-(-5+-5)))*-5)))/-5)--5)+(-5*(((-6.78*(-6.78-(-5/-5)))*(-6.78-(-6.78/(-5*-6.78))))-(-5/-5)))))</f>
        <v>-1687.60556</v>
      </c>
      <c r="C9323" t="n" s="0">
        <v>-1687.6055600000002</v>
      </c>
    </row>
    <row r="9324">
      <c r="A9324" t="n" s="0">
        <v>-6.77</v>
      </c>
      <c r="B9324" t="n" s="0">
        <f>(-5-((((-5*(-5/((-5/(((-5*(-6.77--5))-(-5+((-5*-6.77)*(((-5--5)+(-6.77--5))+-6.77))))-(-5+-5)))*-5)))/-5)--5)+(-5*(((-6.77*(-6.77-(-5/-5)))*(-6.77-(-6.77/(-5*-6.77))))-(-5/-5)))))</f>
        <v>-1680.419465</v>
      </c>
      <c r="C9324" t="n" s="0">
        <v>-1680.4194649999995</v>
      </c>
    </row>
    <row r="9325">
      <c r="A9325" t="n" s="0">
        <v>-6.76</v>
      </c>
      <c r="B9325" t="n" s="0">
        <f>(-5-((((-5*(-5/((-5/(((-5*(-6.76--5))-(-5+((-5*-6.76)*(((-5--5)+(-6.76--5))+-6.76))))-(-5+-5)))*-5)))/-5)--5)+(-5*(((-6.76*(-6.76-(-5/-5)))*(-6.76-(-6.76/(-5*-6.76))))-(-5/-5)))))</f>
        <v>-1673.2540800000002</v>
      </c>
      <c r="C9325" t="n" s="0">
        <v>-1673.25408</v>
      </c>
    </row>
    <row r="9326">
      <c r="A9326" t="n" s="0">
        <v>-6.75</v>
      </c>
      <c r="B9326" t="n" s="0">
        <f>(-5-((((-5*(-5/((-5/(((-5*(-6.75--5))-(-5+((-5*-6.75)*(((-5--5)+(-6.75--5))+-6.75))))-(-5+-5)))*-5)))/-5)--5)+(-5*(((-6.75*(-6.75-(-5/-5)))*(-6.75-(-6.75/(-5*-6.75))))-(-5/-5)))))</f>
        <v>-1666.1093750000002</v>
      </c>
      <c r="C9326" t="n" s="0">
        <v>-1666.109375</v>
      </c>
    </row>
    <row r="9327">
      <c r="A9327" t="n" s="0">
        <v>-6.74</v>
      </c>
      <c r="B9327" t="n" s="0">
        <f>(-5-((((-5*(-5/((-5/(((-5*(-6.74--5))-(-5+((-5*-6.74)*(((-5--5)+(-6.74--5))+-6.74))))-(-5+-5)))*-5)))/-5)--5)+(-5*(((-6.74*(-6.74-(-5/-5)))*(-6.74-(-6.74/(-5*-6.74))))-(-5/-5)))))</f>
        <v>-1658.9853200000002</v>
      </c>
      <c r="C9327" t="n" s="0">
        <v>-1658.98532</v>
      </c>
    </row>
    <row r="9328">
      <c r="A9328" t="n" s="0">
        <v>-6.73</v>
      </c>
      <c r="B9328" t="n" s="0">
        <f>(-5-((((-5*(-5/((-5/(((-5*(-6.73--5))-(-5+((-5*-6.73)*(((-5--5)+(-6.73--5))+-6.73))))-(-5+-5)))*-5)))/-5)--5)+(-5*(((-6.73*(-6.73-(-5/-5)))*(-6.73-(-6.73/(-5*-6.73))))-(-5/-5)))))</f>
        <v>-1651.8818850000002</v>
      </c>
      <c r="C9328" t="n" s="0">
        <v>-1651.8818850000005</v>
      </c>
    </row>
    <row r="9329">
      <c r="A9329" t="n" s="0">
        <v>-6.72</v>
      </c>
      <c r="B9329" t="n" s="0">
        <f>(-5-((((-5*(-5/((-5/(((-5*(-6.72--5))-(-5+((-5*-6.72)*(((-5--5)+(-6.72--5))+-6.72))))-(-5+-5)))*-5)))/-5)--5)+(-5*(((-6.72*(-6.72-(-5/-5)))*(-6.72-(-6.72/(-5*-6.72))))-(-5/-5)))))</f>
        <v>-1644.79904</v>
      </c>
      <c r="C9329" t="n" s="0">
        <v>-1644.7990399999999</v>
      </c>
    </row>
    <row r="9330">
      <c r="A9330" t="n" s="0">
        <v>-6.71</v>
      </c>
      <c r="B9330" t="n" s="0">
        <f>(-5-((((-5*(-5/((-5/(((-5*(-6.71--5))-(-5+((-5*-6.71)*(((-5--5)+(-6.71--5))+-6.71))))-(-5+-5)))*-5)))/-5)--5)+(-5*(((-6.71*(-6.71-(-5/-5)))*(-6.71-(-6.71/(-5*-6.71))))-(-5/-5)))))</f>
        <v>-1637.736755</v>
      </c>
      <c r="C9330" t="n" s="0">
        <v>-1637.7367550000001</v>
      </c>
    </row>
    <row r="9331">
      <c r="A9331" t="n" s="0">
        <v>-6.7</v>
      </c>
      <c r="B9331" t="n" s="0">
        <f>(-5-((((-5*(-5/((-5/(((-5*(-6.7--5))-(-5+((-5*-6.7)*(((-5--5)+(-6.7--5))+-6.7))))-(-5+-5)))*-5)))/-5)--5)+(-5*(((-6.7*(-6.7-(-5/-5)))*(-6.7-(-6.7/(-5*-6.7))))-(-5/-5)))))</f>
        <v>-1630.695</v>
      </c>
      <c r="C9331" t="n" s="0">
        <v>-1630.695</v>
      </c>
    </row>
    <row r="9332">
      <c r="A9332" t="n" s="0">
        <v>-6.69</v>
      </c>
      <c r="B9332" t="n" s="0">
        <f>(-5-((((-5*(-5/((-5/(((-5*(-6.69--5))-(-5+((-5*-6.69)*(((-5--5)+(-6.69--5))+-6.69))))-(-5+-5)))*-5)))/-5)--5)+(-5*(((-6.69*(-6.69-(-5/-5)))*(-6.69-(-6.69/(-5*-6.69))))-(-5/-5)))))</f>
        <v>-1623.673745</v>
      </c>
      <c r="C9332" t="n" s="0">
        <v>-1623.6737450000003</v>
      </c>
    </row>
    <row r="9333">
      <c r="A9333" t="n" s="0">
        <v>-6.68</v>
      </c>
      <c r="B9333" t="n" s="0">
        <f>(-5-((((-5*(-5/((-5/(((-5*(-6.68--5))-(-5+((-5*-6.68)*(((-5--5)+(-6.68--5))+-6.68))))-(-5+-5)))*-5)))/-5)--5)+(-5*(((-6.68*(-6.68-(-5/-5)))*(-6.68-(-6.68/(-5*-6.68))))-(-5/-5)))))</f>
        <v>-1616.67296</v>
      </c>
      <c r="C9333" t="n" s="0">
        <v>-1616.6729599999996</v>
      </c>
    </row>
    <row r="9334">
      <c r="A9334" t="n" s="0">
        <v>-6.67</v>
      </c>
      <c r="B9334" t="n" s="0">
        <f>(-5-((((-5*(-5/((-5/(((-5*(-6.67--5))-(-5+((-5*-6.67)*(((-5--5)+(-6.67--5))+-6.67))))-(-5+-5)))*-5)))/-5)--5)+(-5*(((-6.67*(-6.67-(-5/-5)))*(-6.67-(-6.67/(-5*-6.67))))-(-5/-5)))))</f>
        <v>-1609.692615</v>
      </c>
      <c r="C9334" t="n" s="0">
        <v>-1609.6926149999997</v>
      </c>
    </row>
    <row r="9335">
      <c r="A9335" t="n" s="0">
        <v>-6.66</v>
      </c>
      <c r="B9335" t="n" s="0">
        <f>(-5-((((-5*(-5/((-5/(((-5*(-6.66--5))-(-5+((-5*-6.66)*(((-5--5)+(-6.66--5))+-6.66))))-(-5+-5)))*-5)))/-5)--5)+(-5*(((-6.66*(-6.66-(-5/-5)))*(-6.66-(-6.66/(-5*-6.66))))-(-5/-5)))))</f>
        <v>-1602.7326799999998</v>
      </c>
      <c r="C9335" t="n" s="0">
        <v>-1602.73268</v>
      </c>
    </row>
    <row r="9336">
      <c r="A9336" t="n" s="0">
        <v>-6.65</v>
      </c>
      <c r="B9336" t="n" s="0">
        <f>(-5-((((-5*(-5/((-5/(((-5*(-6.65--5))-(-5+((-5*-6.65)*(((-5--5)+(-6.65--5))+-6.65))))-(-5+-5)))*-5)))/-5)--5)+(-5*(((-6.65*(-6.65-(-5/-5)))*(-6.65-(-6.65/(-5*-6.65))))-(-5/-5)))))</f>
        <v>-1595.793125</v>
      </c>
      <c r="C9336" t="n" s="0">
        <v>-1595.7931250000001</v>
      </c>
    </row>
    <row r="9337">
      <c r="A9337" t="n" s="0">
        <v>-6.64</v>
      </c>
      <c r="B9337" t="n" s="0">
        <f>(-5-((((-5*(-5/((-5/(((-5*(-6.64--5))-(-5+((-5*-6.64)*(((-5--5)+(-6.64--5))+-6.64))))-(-5+-5)))*-5)))/-5)--5)+(-5*(((-6.64*(-6.64-(-5/-5)))*(-6.64-(-6.64/(-5*-6.64))))-(-5/-5)))))</f>
        <v>-1588.87392</v>
      </c>
      <c r="C9337" t="n" s="0">
        <v>-1588.87392</v>
      </c>
    </row>
    <row r="9338">
      <c r="A9338" t="n" s="0">
        <v>-6.63</v>
      </c>
      <c r="B9338" t="n" s="0">
        <f>(-5-((((-5*(-5/((-5/(((-5*(-6.63--5))-(-5+((-5*-6.63)*(((-5--5)+(-6.63--5))+-6.63))))-(-5+-5)))*-5)))/-5)--5)+(-5*(((-6.63*(-6.63-(-5/-5)))*(-6.63-(-6.63/(-5*-6.63))))-(-5/-5)))))</f>
        <v>-1581.975035</v>
      </c>
      <c r="C9338" t="n" s="0">
        <v>-1581.975035</v>
      </c>
    </row>
    <row r="9339">
      <c r="A9339" t="n" s="0">
        <v>-6.62</v>
      </c>
      <c r="B9339" t="n" s="0">
        <f>(-5-((((-5*(-5/((-5/(((-5*(-6.62--5))-(-5+((-5*-6.62)*(((-5--5)+(-6.62--5))+-6.62))))-(-5+-5)))*-5)))/-5)--5)+(-5*(((-6.62*(-6.62-(-5/-5)))*(-6.62-(-6.62/(-5*-6.62))))-(-5/-5)))))</f>
        <v>-1575.0964399999998</v>
      </c>
      <c r="C9339" t="n" s="0">
        <v>-1575.0964399999998</v>
      </c>
    </row>
    <row r="9340">
      <c r="A9340" t="n" s="0">
        <v>-6.61</v>
      </c>
      <c r="B9340" t="n" s="0">
        <f>(-5-((((-5*(-5/((-5/(((-5*(-6.61--5))-(-5+((-5*-6.61)*(((-5--5)+(-6.61--5))+-6.61))))-(-5+-5)))*-5)))/-5)--5)+(-5*(((-6.61*(-6.61-(-5/-5)))*(-6.61-(-6.61/(-5*-6.61))))-(-5/-5)))))</f>
        <v>-1568.2381050000001</v>
      </c>
      <c r="C9340" t="n" s="0">
        <v>-1568.2381050000001</v>
      </c>
    </row>
    <row r="9341">
      <c r="A9341" t="n" s="0">
        <v>-6.6</v>
      </c>
      <c r="B9341" t="n" s="0">
        <f>(-5-((((-5*(-5/((-5/(((-5*(-6.6--5))-(-5+((-5*-6.6)*(((-5--5)+(-6.6--5))+-6.6))))-(-5+-5)))*-5)))/-5)--5)+(-5*(((-6.6*(-6.6-(-5/-5)))*(-6.6-(-6.6/(-5*-6.6))))-(-5/-5)))))</f>
        <v>-1561.3999999999999</v>
      </c>
      <c r="C9341" t="n" s="0">
        <v>-1561.3999999999999</v>
      </c>
    </row>
    <row r="9342">
      <c r="A9342" t="n" s="0">
        <v>-6.59</v>
      </c>
      <c r="B9342" t="n" s="0">
        <f>(-5-((((-5*(-5/((-5/(((-5*(-6.59--5))-(-5+((-5*-6.59)*(((-5--5)+(-6.59--5))+-6.59))))-(-5+-5)))*-5)))/-5)--5)+(-5*(((-6.59*(-6.59-(-5/-5)))*(-6.59-(-6.59/(-5*-6.59))))-(-5/-5)))))</f>
        <v>-1554.5820949999998</v>
      </c>
      <c r="C9342" t="n" s="0">
        <v>-1554.5820949999998</v>
      </c>
    </row>
    <row r="9343">
      <c r="A9343" t="n" s="0">
        <v>-6.58</v>
      </c>
      <c r="B9343" t="n" s="0">
        <f>(-5-((((-5*(-5/((-5/(((-5*(-6.58--5))-(-5+((-5*-6.58)*(((-5--5)+(-6.58--5))+-6.58))))-(-5+-5)))*-5)))/-5)--5)+(-5*(((-6.58*(-6.58-(-5/-5)))*(-6.58-(-6.58/(-5*-6.58))))-(-5/-5)))))</f>
        <v>-1547.78436</v>
      </c>
      <c r="C9343" t="n" s="0">
        <v>-1547.7843599999999</v>
      </c>
    </row>
    <row r="9344">
      <c r="A9344" t="n" s="0">
        <v>-6.57</v>
      </c>
      <c r="B9344" t="n" s="0">
        <f>(-5-((((-5*(-5/((-5/(((-5*(-6.57--5))-(-5+((-5*-6.57)*(((-5--5)+(-6.57--5))+-6.57))))-(-5+-5)))*-5)))/-5)--5)+(-5*(((-6.57*(-6.57-(-5/-5)))*(-6.57-(-6.57/(-5*-6.57))))-(-5/-5)))))</f>
        <v>-1541.006765</v>
      </c>
      <c r="C9344" t="n" s="0">
        <v>-1541.0067650000003</v>
      </c>
    </row>
    <row r="9345">
      <c r="A9345" t="n" s="0">
        <v>-6.56</v>
      </c>
      <c r="B9345" t="n" s="0">
        <f>(-5-((((-5*(-5/((-5/(((-5*(-6.56--5))-(-5+((-5*-6.56)*(((-5--5)+(-6.56--5))+-6.56))))-(-5+-5)))*-5)))/-5)--5)+(-5*(((-6.56*(-6.56-(-5/-5)))*(-6.56-(-6.56/(-5*-6.56))))-(-5/-5)))))</f>
        <v>-1534.2492799999998</v>
      </c>
      <c r="C9345" t="n" s="0">
        <v>-1534.2492799999998</v>
      </c>
    </row>
    <row r="9346">
      <c r="A9346" t="n" s="0">
        <v>-6.55</v>
      </c>
      <c r="B9346" t="n" s="0">
        <f>(-5-((((-5*(-5/((-5/(((-5*(-6.55--5))-(-5+((-5*-6.55)*(((-5--5)+(-6.55--5))+-6.55))))-(-5+-5)))*-5)))/-5)--5)+(-5*(((-6.55*(-6.55-(-5/-5)))*(-6.55-(-6.55/(-5*-6.55))))-(-5/-5)))))</f>
        <v>-1527.511875</v>
      </c>
      <c r="C9346" t="n" s="0">
        <v>-1527.5118750000001</v>
      </c>
    </row>
    <row r="9347">
      <c r="A9347" t="n" s="0">
        <v>-6.54</v>
      </c>
      <c r="B9347" t="n" s="0">
        <f>(-5-((((-5*(-5/((-5/(((-5*(-6.54--5))-(-5+((-5*-6.54)*(((-5--5)+(-6.54--5))+-6.54))))-(-5+-5)))*-5)))/-5)--5)+(-5*(((-6.54*(-6.54-(-5/-5)))*(-6.54-(-6.54/(-5*-6.54))))-(-5/-5)))))</f>
        <v>-1520.7945200000001</v>
      </c>
      <c r="C9347" t="n" s="0">
        <v>-1520.79452</v>
      </c>
    </row>
    <row r="9348">
      <c r="A9348" t="n" s="0">
        <v>-6.53</v>
      </c>
      <c r="B9348" t="n" s="0">
        <f>(-5-((((-5*(-5/((-5/(((-5*(-6.53--5))-(-5+((-5*-6.53)*(((-5--5)+(-6.53--5))+-6.53))))-(-5+-5)))*-5)))/-5)--5)+(-5*(((-6.53*(-6.53-(-5/-5)))*(-6.53-(-6.53/(-5*-6.53))))-(-5/-5)))))</f>
        <v>-1514.0971849999999</v>
      </c>
      <c r="C9348" t="n" s="0">
        <v>-1514.097185</v>
      </c>
    </row>
    <row r="9349">
      <c r="A9349" t="n" s="0">
        <v>-6.52</v>
      </c>
      <c r="B9349" t="n" s="0">
        <f>(-5-((((-5*(-5/((-5/(((-5*(-6.52--5))-(-5+((-5*-6.52)*(((-5--5)+(-6.52--5))+-6.52))))-(-5+-5)))*-5)))/-5)--5)+(-5*(((-6.52*(-6.52-(-5/-5)))*(-6.52-(-6.52/(-5*-6.52))))-(-5/-5)))))</f>
        <v>-1507.4198400000002</v>
      </c>
      <c r="C9349" t="n" s="0">
        <v>-1507.4198399999996</v>
      </c>
    </row>
    <row r="9350">
      <c r="A9350" t="n" s="0">
        <v>-6.51</v>
      </c>
      <c r="B9350" t="n" s="0">
        <f>(-5-((((-5*(-5/((-5/(((-5*(-6.51--5))-(-5+((-5*-6.51)*(((-5--5)+(-6.51--5))+-6.51))))-(-5+-5)))*-5)))/-5)--5)+(-5*(((-6.51*(-6.51-(-5/-5)))*(-6.51-(-6.51/(-5*-6.51))))-(-5/-5)))))</f>
        <v>-1500.7624550000003</v>
      </c>
      <c r="C9350" t="n" s="0">
        <v>-1500.7624549999996</v>
      </c>
    </row>
    <row r="9351">
      <c r="A9351" t="n" s="0">
        <v>-6.5</v>
      </c>
      <c r="B9351" t="n" s="0">
        <f>(-5-((((-5*(-5/((-5/(((-5*(-6.5--5))-(-5+((-5*-6.5)*(((-5--5)+(-6.5--5))+-6.5))))-(-5+-5)))*-5)))/-5)--5)+(-5*(((-6.5*(-6.5-(-5/-5)))*(-6.5-(-6.5/(-5*-6.5))))-(-5/-5)))))</f>
        <v>-1494.125</v>
      </c>
      <c r="C9351" t="n" s="0">
        <v>-1494.125</v>
      </c>
    </row>
    <row r="9352">
      <c r="A9352" t="n" s="0">
        <v>-6.49</v>
      </c>
      <c r="B9352" t="n" s="0">
        <f>(-5-((((-5*(-5/((-5/(((-5*(-6.49--5))-(-5+((-5*-6.49)*(((-5--5)+(-6.49--5))+-6.49))))-(-5+-5)))*-5)))/-5)--5)+(-5*(((-6.49*(-6.49-(-5/-5)))*(-6.49-(-6.49/(-5*-6.49))))-(-5/-5)))))</f>
        <v>-1487.5074450000002</v>
      </c>
      <c r="C9352" t="n" s="0">
        <v>-1487.5074450000002</v>
      </c>
    </row>
    <row r="9353">
      <c r="A9353" t="n" s="0">
        <v>-6.48</v>
      </c>
      <c r="B9353" t="n" s="0">
        <f>(-5-((((-5*(-5/((-5/(((-5*(-6.48--5))-(-5+((-5*-6.48)*(((-5--5)+(-6.48--5))+-6.48))))-(-5+-5)))*-5)))/-5)--5)+(-5*(((-6.48*(-6.48-(-5/-5)))*(-6.48-(-6.48/(-5*-6.48))))-(-5/-5)))))</f>
        <v>-1480.90976</v>
      </c>
      <c r="C9353" t="n" s="0">
        <v>-1480.9097600000002</v>
      </c>
    </row>
    <row r="9354">
      <c r="A9354" t="n" s="0">
        <v>-6.47</v>
      </c>
      <c r="B9354" t="n" s="0">
        <f>(-5-((((-5*(-5/((-5/(((-5*(-6.47--5))-(-5+((-5*-6.47)*(((-5--5)+(-6.47--5))+-6.47))))-(-5+-5)))*-5)))/-5)--5)+(-5*(((-6.47*(-6.47-(-5/-5)))*(-6.47-(-6.47/(-5*-6.47))))-(-5/-5)))))</f>
        <v>-1474.3319150000002</v>
      </c>
      <c r="C9354" t="n" s="0">
        <v>-1474.331915</v>
      </c>
    </row>
    <row r="9355">
      <c r="A9355" t="n" s="0">
        <v>-6.46</v>
      </c>
      <c r="B9355" t="n" s="0">
        <f>(-5-((((-5*(-5/((-5/(((-5*(-6.46--5))-(-5+((-5*-6.46)*(((-5--5)+(-6.46--5))+-6.46))))-(-5+-5)))*-5)))/-5)--5)+(-5*(((-6.46*(-6.46-(-5/-5)))*(-6.46-(-6.46/(-5*-6.46))))-(-5/-5)))))</f>
        <v>-1467.7738799999997</v>
      </c>
      <c r="C9355" t="n" s="0">
        <v>-1467.77388</v>
      </c>
    </row>
    <row r="9356">
      <c r="A9356" t="n" s="0">
        <v>-6.45</v>
      </c>
      <c r="B9356" t="n" s="0">
        <f>(-5-((((-5*(-5/((-5/(((-5*(-6.45--5))-(-5+((-5*-6.45)*(((-5--5)+(-6.45--5))+-6.45))))-(-5+-5)))*-5)))/-5)--5)+(-5*(((-6.45*(-6.45-(-5/-5)))*(-6.45-(-6.45/(-5*-6.45))))-(-5/-5)))))</f>
        <v>-1461.235625</v>
      </c>
      <c r="C9356" t="n" s="0">
        <v>-1461.235625</v>
      </c>
    </row>
    <row r="9357">
      <c r="A9357" t="n" s="0">
        <v>-6.44</v>
      </c>
      <c r="B9357" t="n" s="0">
        <f>(-5-((((-5*(-5/((-5/(((-5*(-6.44--5))-(-5+((-5*-6.44)*(((-5--5)+(-6.44--5))+-6.44))))-(-5+-5)))*-5)))/-5)--5)+(-5*(((-6.44*(-6.44-(-5/-5)))*(-6.44-(-6.44/(-5*-6.44))))-(-5/-5)))))</f>
        <v>-1454.71712</v>
      </c>
      <c r="C9357" t="n" s="0">
        <v>-1454.7171200000005</v>
      </c>
    </row>
    <row r="9358">
      <c r="A9358" t="n" s="0">
        <v>-6.43</v>
      </c>
      <c r="B9358" t="n" s="0">
        <f>(-5-((((-5*(-5/((-5/(((-5*(-6.43--5))-(-5+((-5*-6.43)*(((-5--5)+(-6.43--5))+-6.43))))-(-5+-5)))*-5)))/-5)--5)+(-5*(((-6.43*(-6.43-(-5/-5)))*(-6.43-(-6.43/(-5*-6.43))))-(-5/-5)))))</f>
        <v>-1448.2183349999998</v>
      </c>
      <c r="C9358" t="n" s="0">
        <v>-1448.2183349999996</v>
      </c>
    </row>
    <row r="9359">
      <c r="A9359" t="n" s="0">
        <v>-6.42</v>
      </c>
      <c r="B9359" t="n" s="0">
        <f>(-5-((((-5*(-5/((-5/(((-5*(-6.42--5))-(-5+((-5*-6.42)*(((-5--5)+(-6.42--5))+-6.42))))-(-5+-5)))*-5)))/-5)--5)+(-5*(((-6.42*(-6.42-(-5/-5)))*(-6.42-(-6.42/(-5*-6.42))))-(-5/-5)))))</f>
        <v>-1441.7392400000003</v>
      </c>
      <c r="C9359" t="n" s="0">
        <v>-1441.73924</v>
      </c>
    </row>
    <row r="9360">
      <c r="A9360" t="n" s="0">
        <v>-6.41</v>
      </c>
      <c r="B9360" t="n" s="0">
        <f>(-5-((((-5*(-5/((-5/(((-5*(-6.41--5))-(-5+((-5*-6.41)*(((-5--5)+(-6.41--5))+-6.41))))-(-5+-5)))*-5)))/-5)--5)+(-5*(((-6.41*(-6.41-(-5/-5)))*(-6.41-(-6.41/(-5*-6.41))))-(-5/-5)))))</f>
        <v>-1435.279805</v>
      </c>
      <c r="C9360" t="n" s="0">
        <v>-1435.2798050000004</v>
      </c>
    </row>
    <row r="9361">
      <c r="A9361" t="n" s="0">
        <v>-6.4</v>
      </c>
      <c r="B9361" t="n" s="0">
        <f>(-5-((((-5*(-5/((-5/(((-5*(-6.4--5))-(-5+((-5*-6.4)*(((-5--5)+(-6.4--5))+-6.4))))-(-5+-5)))*-5)))/-5)--5)+(-5*(((-6.4*(-6.4-(-5/-5)))*(-6.4-(-6.4/(-5*-6.4))))-(-5/-5)))))</f>
        <v>-1428.8400000000001</v>
      </c>
      <c r="C9361" t="n" s="0">
        <v>-1428.8400000000004</v>
      </c>
    </row>
    <row r="9362">
      <c r="A9362" t="n" s="0">
        <v>-6.39</v>
      </c>
      <c r="B9362" t="n" s="0">
        <f>(-5-((((-5*(-5/((-5/(((-5*(-6.39--5))-(-5+((-5*-6.39)*(((-5--5)+(-6.39--5))+-6.39))))-(-5+-5)))*-5)))/-5)--5)+(-5*(((-6.39*(-6.39-(-5/-5)))*(-6.39-(-6.39/(-5*-6.39))))-(-5/-5)))))</f>
        <v>-1422.419795</v>
      </c>
      <c r="C9362" t="n" s="0">
        <v>-1422.4197949999998</v>
      </c>
    </row>
    <row r="9363">
      <c r="A9363" t="n" s="0">
        <v>-6.38</v>
      </c>
      <c r="B9363" t="n" s="0">
        <f>(-5-((((-5*(-5/((-5/(((-5*(-6.38--5))-(-5+((-5*-6.38)*(((-5--5)+(-6.38--5))+-6.38))))-(-5+-5)))*-5)))/-5)--5)+(-5*(((-6.38*(-6.38-(-5/-5)))*(-6.38-(-6.38/(-5*-6.38))))-(-5/-5)))))</f>
        <v>-1416.01916</v>
      </c>
      <c r="C9363" t="n" s="0">
        <v>-1416.01916</v>
      </c>
    </row>
    <row r="9364">
      <c r="A9364" t="n" s="0">
        <v>-6.37</v>
      </c>
      <c r="B9364" t="n" s="0">
        <f>(-5-((((-5*(-5/((-5/(((-5*(-6.37--5))-(-5+((-5*-6.37)*(((-5--5)+(-6.37--5))+-6.37))))-(-5+-5)))*-5)))/-5)--5)+(-5*(((-6.37*(-6.37-(-5/-5)))*(-6.37-(-6.37/(-5*-6.37))))-(-5/-5)))))</f>
        <v>-1409.6380649999999</v>
      </c>
      <c r="C9364" t="n" s="0">
        <v>-1409.6380649999999</v>
      </c>
    </row>
    <row r="9365">
      <c r="A9365" t="n" s="0">
        <v>-6.36</v>
      </c>
      <c r="B9365" t="n" s="0">
        <f>(-5-((((-5*(-5/((-5/(((-5*(-6.36--5))-(-5+((-5*-6.36)*(((-5--5)+(-6.36--5))+-6.36))))-(-5+-5)))*-5)))/-5)--5)+(-5*(((-6.36*(-6.36-(-5/-5)))*(-6.36-(-6.36/(-5*-6.36))))-(-5/-5)))))</f>
        <v>-1403.2764800000002</v>
      </c>
      <c r="C9365" t="n" s="0">
        <v>-1403.2764800000002</v>
      </c>
    </row>
    <row r="9366">
      <c r="A9366" t="n" s="0">
        <v>-6.35</v>
      </c>
      <c r="B9366" t="n" s="0">
        <f>(-5-((((-5*(-5/((-5/(((-5*(-6.35--5))-(-5+((-5*-6.35)*(((-5--5)+(-6.35--5))+-6.35))))-(-5+-5)))*-5)))/-5)--5)+(-5*(((-6.35*(-6.35-(-5/-5)))*(-6.35-(-6.35/(-5*-6.35))))-(-5/-5)))))</f>
        <v>-1396.934375</v>
      </c>
      <c r="C9366" t="n" s="0">
        <v>-1396.9343749999998</v>
      </c>
    </row>
    <row r="9367">
      <c r="A9367" t="n" s="0">
        <v>-6.34</v>
      </c>
      <c r="B9367" t="n" s="0">
        <f>(-5-((((-5*(-5/((-5/(((-5*(-6.34--5))-(-5+((-5*-6.34)*(((-5--5)+(-6.34--5))+-6.34))))-(-5+-5)))*-5)))/-5)--5)+(-5*(((-6.34*(-6.34-(-5/-5)))*(-6.34-(-6.34/(-5*-6.34))))-(-5/-5)))))</f>
        <v>-1390.6117199999999</v>
      </c>
      <c r="C9367" t="n" s="0">
        <v>-1390.6117199999999</v>
      </c>
    </row>
    <row r="9368">
      <c r="A9368" t="n" s="0">
        <v>-6.33</v>
      </c>
      <c r="B9368" t="n" s="0">
        <f>(-5-((((-5*(-5/((-5/(((-5*(-6.33--5))-(-5+((-5*-6.33)*(((-5--5)+(-6.33--5))+-6.33))))-(-5+-5)))*-5)))/-5)--5)+(-5*(((-6.33*(-6.33-(-5/-5)))*(-6.33-(-6.33/(-5*-6.33))))-(-5/-5)))))</f>
        <v>-1384.3084850000002</v>
      </c>
      <c r="C9368" t="n" s="0">
        <v>-1384.308485</v>
      </c>
    </row>
    <row r="9369">
      <c r="A9369" t="n" s="0">
        <v>-6.32</v>
      </c>
      <c r="B9369" t="n" s="0">
        <f>(-5-((((-5*(-5/((-5/(((-5*(-6.32--5))-(-5+((-5*-6.32)*(((-5--5)+(-6.32--5))+-6.32))))-(-5+-5)))*-5)))/-5)--5)+(-5*(((-6.32*(-6.32-(-5/-5)))*(-6.32-(-6.32/(-5*-6.32))))-(-5/-5)))))</f>
        <v>-1378.02464</v>
      </c>
      <c r="C9369" t="n" s="0">
        <v>-1378.0246400000003</v>
      </c>
    </row>
    <row r="9370">
      <c r="A9370" t="n" s="0">
        <v>-6.31</v>
      </c>
      <c r="B9370" t="n" s="0">
        <f>(-5-((((-5*(-5/((-5/(((-5*(-6.31--5))-(-5+((-5*-6.31)*(((-5--5)+(-6.31--5))+-6.31))))-(-5+-5)))*-5)))/-5)--5)+(-5*(((-6.31*(-6.31-(-5/-5)))*(-6.31-(-6.31/(-5*-6.31))))-(-5/-5)))))</f>
        <v>-1371.760155</v>
      </c>
      <c r="C9370" t="n" s="0">
        <v>-1371.760155</v>
      </c>
    </row>
    <row r="9371">
      <c r="A9371" t="n" s="0">
        <v>-6.3</v>
      </c>
      <c r="B9371" t="n" s="0">
        <f>(-5-((((-5*(-5/((-5/(((-5*(-6.3--5))-(-5+((-5*-6.3)*(((-5--5)+(-6.3--5))+-6.3))))-(-5+-5)))*-5)))/-5)--5)+(-5*(((-6.3*(-6.3-(-5/-5)))*(-6.3-(-6.3/(-5*-6.3))))-(-5/-5)))))</f>
        <v>-1365.5149999999999</v>
      </c>
      <c r="C9371" t="n" s="0">
        <v>-1365.5149999999999</v>
      </c>
    </row>
    <row r="9372">
      <c r="A9372" t="n" s="0">
        <v>-6.29</v>
      </c>
      <c r="B9372" t="n" s="0">
        <f>(-5-((((-5*(-5/((-5/(((-5*(-6.29--5))-(-5+((-5*-6.29)*(((-5--5)+(-6.29--5))+-6.29))))-(-5+-5)))*-5)))/-5)--5)+(-5*(((-6.29*(-6.29-(-5/-5)))*(-6.29-(-6.29/(-5*-6.29))))-(-5/-5)))))</f>
        <v>-1359.2891450000002</v>
      </c>
      <c r="C9372" t="n" s="0">
        <v>-1359.289145</v>
      </c>
    </row>
    <row r="9373">
      <c r="A9373" t="n" s="0">
        <v>-6.28</v>
      </c>
      <c r="B9373" t="n" s="0">
        <f>(-5-((((-5*(-5/((-5/(((-5*(-6.28--5))-(-5+((-5*-6.28)*(((-5--5)+(-6.28--5))+-6.28))))-(-5+-5)))*-5)))/-5)--5)+(-5*(((-6.28*(-6.28-(-5/-5)))*(-6.28-(-6.28/(-5*-6.28))))-(-5/-5)))))</f>
        <v>-1353.08256</v>
      </c>
      <c r="C9373" t="n" s="0">
        <v>-1353.08256</v>
      </c>
    </row>
    <row r="9374">
      <c r="A9374" t="n" s="0">
        <v>-6.27</v>
      </c>
      <c r="B9374" t="n" s="0">
        <f>(-5-((((-5*(-5/((-5/(((-5*(-6.27--5))-(-5+((-5*-6.27)*(((-5--5)+(-6.27--5))+-6.27))))-(-5+-5)))*-5)))/-5)--5)+(-5*(((-6.27*(-6.27-(-5/-5)))*(-6.27-(-6.27/(-5*-6.27))))-(-5/-5)))))</f>
        <v>-1346.8952150000002</v>
      </c>
      <c r="C9374" t="n" s="0">
        <v>-1346.8952149999998</v>
      </c>
    </row>
    <row r="9375">
      <c r="A9375" t="n" s="0">
        <v>-6.26</v>
      </c>
      <c r="B9375" t="n" s="0">
        <f>(-5-((((-5*(-5/((-5/(((-5*(-6.26--5))-(-5+((-5*-6.26)*(((-5--5)+(-6.26--5))+-6.26))))-(-5+-5)))*-5)))/-5)--5)+(-5*(((-6.26*(-6.26-(-5/-5)))*(-6.26-(-6.26/(-5*-6.26))))-(-5/-5)))))</f>
        <v>-1340.7270800000001</v>
      </c>
      <c r="C9375" t="n" s="0">
        <v>-1340.72708</v>
      </c>
    </row>
    <row r="9376">
      <c r="A9376" t="n" s="0">
        <v>-6.25</v>
      </c>
      <c r="B9376" t="n" s="0">
        <f>(-5-((((-5*(-5/((-5/(((-5*(-6.25--5))-(-5+((-5*-6.25)*(((-5--5)+(-6.25--5))+-6.25))))-(-5+-5)))*-5)))/-5)--5)+(-5*(((-6.25*(-6.25-(-5/-5)))*(-6.25-(-6.25/(-5*-6.25))))-(-5/-5)))))</f>
        <v>-1334.578125</v>
      </c>
      <c r="C9376" t="n" s="0">
        <v>-1334.578125</v>
      </c>
    </row>
    <row r="9377">
      <c r="A9377" t="n" s="0">
        <v>-6.24</v>
      </c>
      <c r="B9377" t="n" s="0">
        <f>(-5-((((-5*(-5/((-5/(((-5*(-6.24--5))-(-5+((-5*-6.24)*(((-5--5)+(-6.24--5))+-6.24))))-(-5+-5)))*-5)))/-5)--5)+(-5*(((-6.24*(-6.24-(-5/-5)))*(-6.24-(-6.24/(-5*-6.24))))-(-5/-5)))))</f>
        <v>-1328.4483200000002</v>
      </c>
      <c r="C9377" t="n" s="0">
        <v>-1328.44832</v>
      </c>
    </row>
    <row r="9378">
      <c r="A9378" t="n" s="0">
        <v>-6.23</v>
      </c>
      <c r="B9378" t="n" s="0">
        <f>(-5-((((-5*(-5/((-5/(((-5*(-6.23--5))-(-5+((-5*-6.23)*(((-5--5)+(-6.23--5))+-6.23))))-(-5+-5)))*-5)))/-5)--5)+(-5*(((-6.23*(-6.23-(-5/-5)))*(-6.23-(-6.23/(-5*-6.23))))-(-5/-5)))))</f>
        <v>-1322.337635</v>
      </c>
      <c r="C9378" t="n" s="0">
        <v>-1322.3376350000003</v>
      </c>
    </row>
    <row r="9379">
      <c r="A9379" t="n" s="0">
        <v>-6.22</v>
      </c>
      <c r="B9379" t="n" s="0">
        <f>(-5-((((-5*(-5/((-5/(((-5*(-6.22--5))-(-5+((-5*-6.22)*(((-5--5)+(-6.22--5))+-6.22))))-(-5+-5)))*-5)))/-5)--5)+(-5*(((-6.22*(-6.22-(-5/-5)))*(-6.22-(-6.22/(-5*-6.22))))-(-5/-5)))))</f>
        <v>-1316.24604</v>
      </c>
      <c r="C9379" t="n" s="0">
        <v>-1316.24604</v>
      </c>
    </row>
    <row r="9380">
      <c r="A9380" t="n" s="0">
        <v>-6.21</v>
      </c>
      <c r="B9380" t="n" s="0">
        <f>(-5-((((-5*(-5/((-5/(((-5*(-6.21--5))-(-5+((-5*-6.21)*(((-5--5)+(-6.21--5))+-6.21))))-(-5+-5)))*-5)))/-5)--5)+(-5*(((-6.21*(-6.21-(-5/-5)))*(-6.21-(-6.21/(-5*-6.21))))-(-5/-5)))))</f>
        <v>-1310.173505</v>
      </c>
      <c r="C9380" t="n" s="0">
        <v>-1310.1735050000002</v>
      </c>
    </row>
    <row r="9381">
      <c r="A9381" t="n" s="0">
        <v>-6.2</v>
      </c>
      <c r="B9381" t="n" s="0">
        <f>(-5-((((-5*(-5/((-5/(((-5*(-6.2--5))-(-5+((-5*-6.2)*(((-5--5)+(-6.2--5))+-6.2))))-(-5+-5)))*-5)))/-5)--5)+(-5*(((-6.2*(-6.2-(-5/-5)))*(-6.2-(-6.2/(-5*-6.2))))-(-5/-5)))))</f>
        <v>-1304.1200000000003</v>
      </c>
      <c r="C9381" t="n" s="0">
        <v>-1304.1200000000001</v>
      </c>
    </row>
    <row r="9382">
      <c r="A9382" t="n" s="0">
        <v>-6.19</v>
      </c>
      <c r="B9382" t="n" s="0">
        <f>(-5-((((-5*(-5/((-5/(((-5*(-6.19--5))-(-5+((-5*-6.19)*(((-5--5)+(-6.19--5))+-6.19))))-(-5+-5)))*-5)))/-5)--5)+(-5*(((-6.19*(-6.19-(-5/-5)))*(-6.19-(-6.19/(-5*-6.19))))-(-5/-5)))))</f>
        <v>-1298.0854949999998</v>
      </c>
      <c r="C9382" t="n" s="0">
        <v>-1298.0854950000003</v>
      </c>
    </row>
    <row r="9383">
      <c r="A9383" t="n" s="0">
        <v>-6.18</v>
      </c>
      <c r="B9383" t="n" s="0">
        <f>(-5-((((-5*(-5/((-5/(((-5*(-6.18--5))-(-5+((-5*-6.18)*(((-5--5)+(-6.18--5))+-6.18))))-(-5+-5)))*-5)))/-5)--5)+(-5*(((-6.18*(-6.18-(-5/-5)))*(-6.18-(-6.18/(-5*-6.18))))-(-5/-5)))))</f>
        <v>-1292.0699600000003</v>
      </c>
      <c r="C9383" t="n" s="0">
        <v>-1292.0699599999998</v>
      </c>
    </row>
    <row r="9384">
      <c r="A9384" t="n" s="0">
        <v>-6.17</v>
      </c>
      <c r="B9384" t="n" s="0">
        <f>(-5-((((-5*(-5/((-5/(((-5*(-6.17--5))-(-5+((-5*-6.17)*(((-5--5)+(-6.17--5))+-6.17))))-(-5+-5)))*-5)))/-5)--5)+(-5*(((-6.17*(-6.17-(-5/-5)))*(-6.17-(-6.17/(-5*-6.17))))-(-5/-5)))))</f>
        <v>-1286.0733650000002</v>
      </c>
      <c r="C9384" t="n" s="0">
        <v>-1286.073365</v>
      </c>
    </row>
    <row r="9385">
      <c r="A9385" t="n" s="0">
        <v>-6.16</v>
      </c>
      <c r="B9385" t="n" s="0">
        <f>(-5-((((-5*(-5/((-5/(((-5*(-6.16--5))-(-5+((-5*-6.16)*(((-5--5)+(-6.16--5))+-6.16))))-(-5+-5)))*-5)))/-5)--5)+(-5*(((-6.16*(-6.16-(-5/-5)))*(-6.16-(-6.16/(-5*-6.16))))-(-5/-5)))))</f>
        <v>-1280.0956799999997</v>
      </c>
      <c r="C9385" t="n" s="0">
        <v>-1280.0956800000001</v>
      </c>
    </row>
    <row r="9386">
      <c r="A9386" t="n" s="0">
        <v>-6.15</v>
      </c>
      <c r="B9386" t="n" s="0">
        <f>(-5-((((-5*(-5/((-5/(((-5*(-6.15--5))-(-5+((-5*-6.15)*(((-5--5)+(-6.15--5))+-6.15))))-(-5+-5)))*-5)))/-5)--5)+(-5*(((-6.15*(-6.15-(-5/-5)))*(-6.15-(-6.15/(-5*-6.15))))-(-5/-5)))))</f>
        <v>-1274.1368749999997</v>
      </c>
      <c r="C9386" t="n" s="0">
        <v>-1274.1368750000004</v>
      </c>
    </row>
    <row r="9387">
      <c r="A9387" t="n" s="0">
        <v>-6.14</v>
      </c>
      <c r="B9387" t="n" s="0">
        <f>(-5-((((-5*(-5/((-5/(((-5*(-6.14--5))-(-5+((-5*-6.14)*(((-5--5)+(-6.14--5))+-6.14))))-(-5+-5)))*-5)))/-5)--5)+(-5*(((-6.14*(-6.14-(-5/-5)))*(-6.14-(-6.14/(-5*-6.14))))-(-5/-5)))))</f>
        <v>-1268.1969199999999</v>
      </c>
      <c r="C9387" t="n" s="0">
        <v>-1268.1969199999999</v>
      </c>
    </row>
    <row r="9388">
      <c r="A9388" t="n" s="0">
        <v>-6.13</v>
      </c>
      <c r="B9388" t="n" s="0">
        <f>(-5-((((-5*(-5/((-5/(((-5*(-6.13--5))-(-5+((-5*-6.13)*(((-5--5)+(-6.13--5))+-6.13))))-(-5+-5)))*-5)))/-5)--5)+(-5*(((-6.13*(-6.13-(-5/-5)))*(-6.13-(-6.13/(-5*-6.13))))-(-5/-5)))))</f>
        <v>-1262.2757849999998</v>
      </c>
      <c r="C9388" t="n" s="0">
        <v>-1262.275785</v>
      </c>
    </row>
    <row r="9389">
      <c r="A9389" t="n" s="0">
        <v>-6.12</v>
      </c>
      <c r="B9389" t="n" s="0">
        <f>(-5-((((-5*(-5/((-5/(((-5*(-6.12--5))-(-5+((-5*-6.12)*(((-5--5)+(-6.12--5))+-6.12))))-(-5+-5)))*-5)))/-5)--5)+(-5*(((-6.12*(-6.12-(-5/-5)))*(-6.12-(-6.12/(-5*-6.12))))-(-5/-5)))))</f>
        <v>-1256.3734400000003</v>
      </c>
      <c r="C9389" t="n" s="0">
        <v>-1256.3734399999998</v>
      </c>
    </row>
    <row r="9390">
      <c r="A9390" t="n" s="0">
        <v>-6.11</v>
      </c>
      <c r="B9390" t="n" s="0">
        <f>(-5-((((-5*(-5/((-5/(((-5*(-6.11--5))-(-5+((-5*-6.11)*(((-5--5)+(-6.11--5))+-6.11))))-(-5+-5)))*-5)))/-5)--5)+(-5*(((-6.11*(-6.11-(-5/-5)))*(-6.11-(-6.11/(-5*-6.11))))-(-5/-5)))))</f>
        <v>-1250.489855</v>
      </c>
      <c r="C9390" t="n" s="0">
        <v>-1250.489855</v>
      </c>
    </row>
    <row r="9391">
      <c r="A9391" t="n" s="0">
        <v>-6.1</v>
      </c>
      <c r="B9391" t="n" s="0">
        <f>(-5-((((-5*(-5/((-5/(((-5*(-6.1--5))-(-5+((-5*-6.1)*(((-5--5)+(-6.1--5))+-6.1))))-(-5+-5)))*-5)))/-5)--5)+(-5*(((-6.1*(-6.1-(-5/-5)))*(-6.1-(-6.1/(-5*-6.1))))-(-5/-5)))))</f>
        <v>-1244.6249999999995</v>
      </c>
      <c r="C9391" t="n" s="0">
        <v>-1244.6249999999998</v>
      </c>
    </row>
    <row r="9392">
      <c r="A9392" t="n" s="0">
        <v>-6.09</v>
      </c>
      <c r="B9392" t="n" s="0">
        <f>(-5-((((-5*(-5/((-5/(((-5*(-6.09--5))-(-5+((-5*-6.09)*(((-5--5)+(-6.09--5))+-6.09))))-(-5+-5)))*-5)))/-5)--5)+(-5*(((-6.09*(-6.09-(-5/-5)))*(-6.09-(-6.09/(-5*-6.09))))-(-5/-5)))))</f>
        <v>-1238.7788449999998</v>
      </c>
      <c r="C9392" t="n" s="0">
        <v>-1238.7788449999998</v>
      </c>
    </row>
    <row r="9393">
      <c r="A9393" t="n" s="0">
        <v>-6.08</v>
      </c>
      <c r="B9393" t="n" s="0">
        <f>(-5-((((-5*(-5/((-5/(((-5*(-6.08--5))-(-5+((-5*-6.08)*(((-5--5)+(-6.08--5))+-6.08))))-(-5+-5)))*-5)))/-5)--5)+(-5*(((-6.08*(-6.08-(-5/-5)))*(-6.08-(-6.08/(-5*-6.08))))-(-5/-5)))))</f>
        <v>-1232.9513600000002</v>
      </c>
      <c r="C9393" t="n" s="0">
        <v>-1232.9513600000002</v>
      </c>
    </row>
    <row r="9394">
      <c r="A9394" t="n" s="0">
        <v>-6.07</v>
      </c>
      <c r="B9394" t="n" s="0">
        <f>(-5-((((-5*(-5/((-5/(((-5*(-6.07--5))-(-5+((-5*-6.07)*(((-5--5)+(-6.07--5))+-6.07))))-(-5+-5)))*-5)))/-5)--5)+(-5*(((-6.07*(-6.07-(-5/-5)))*(-6.07-(-6.07/(-5*-6.07))))-(-5/-5)))))</f>
        <v>-1227.142515</v>
      </c>
      <c r="C9394" t="n" s="0">
        <v>-1227.1425150000002</v>
      </c>
    </row>
    <row r="9395">
      <c r="A9395" t="n" s="0">
        <v>-6.06</v>
      </c>
      <c r="B9395" t="n" s="0">
        <f>(-5-((((-5*(-5/((-5/(((-5*(-6.06--5))-(-5+((-5*-6.06)*(((-5--5)+(-6.06--5))+-6.06))))-(-5+-5)))*-5)))/-5)--5)+(-5*(((-6.06*(-6.06-(-5/-5)))*(-6.06-(-6.06/(-5*-6.06))))-(-5/-5)))))</f>
        <v>-1221.3522799999998</v>
      </c>
      <c r="C9395" t="n" s="0">
        <v>-1221.3522799999998</v>
      </c>
    </row>
    <row r="9396">
      <c r="A9396" t="n" s="0">
        <v>-6.05</v>
      </c>
      <c r="B9396" t="n" s="0">
        <f>(-5-((((-5*(-5/((-5/(((-5*(-6.05--5))-(-5+((-5*-6.05)*(((-5--5)+(-6.05--5))+-6.05))))-(-5+-5)))*-5)))/-5)--5)+(-5*(((-6.05*(-6.05-(-5/-5)))*(-6.05-(-6.05/(-5*-6.05))))-(-5/-5)))))</f>
        <v>-1215.5806249999998</v>
      </c>
      <c r="C9396" t="n" s="0">
        <v>-1215.580625</v>
      </c>
    </row>
    <row r="9397">
      <c r="A9397" t="n" s="0">
        <v>-6.04</v>
      </c>
      <c r="B9397" t="n" s="0">
        <f>(-5-((((-5*(-5/((-5/(((-5*(-6.04--5))-(-5+((-5*-6.04)*(((-5--5)+(-6.04--5))+-6.04))))-(-5+-5)))*-5)))/-5)--5)+(-5*(((-6.04*(-6.04-(-5/-5)))*(-6.04-(-6.04/(-5*-6.04))))-(-5/-5)))))</f>
        <v>-1209.82752</v>
      </c>
      <c r="C9397" t="n" s="0">
        <v>-1209.8275199999998</v>
      </c>
    </row>
    <row r="9398">
      <c r="A9398" t="n" s="0">
        <v>-6.03</v>
      </c>
      <c r="B9398" t="n" s="0">
        <f>(-5-((((-5*(-5/((-5/(((-5*(-6.03--5))-(-5+((-5*-6.03)*(((-5--5)+(-6.03--5))+-6.03))))-(-5+-5)))*-5)))/-5)--5)+(-5*(((-6.03*(-6.03-(-5/-5)))*(-6.03-(-6.03/(-5*-6.03))))-(-5/-5)))))</f>
        <v>-1204.0929350000001</v>
      </c>
      <c r="C9398" t="n" s="0">
        <v>-1204.0929350000001</v>
      </c>
    </row>
    <row r="9399">
      <c r="A9399" t="n" s="0">
        <v>-6.02</v>
      </c>
      <c r="B9399" t="n" s="0">
        <f>(-5-((((-5*(-5/((-5/(((-5*(-6.02--5))-(-5+((-5*-6.02)*(((-5--5)+(-6.02--5))+-6.02))))-(-5+-5)))*-5)))/-5)--5)+(-5*(((-6.02*(-6.02-(-5/-5)))*(-6.02-(-6.02/(-5*-6.02))))-(-5/-5)))))</f>
        <v>-1198.37684</v>
      </c>
      <c r="C9399" t="n" s="0">
        <v>-1198.3768399999997</v>
      </c>
    </row>
    <row r="9400">
      <c r="A9400" t="n" s="0">
        <v>-6.01</v>
      </c>
      <c r="B9400" t="n" s="0">
        <f>(-5-((((-5*(-5/((-5/(((-5*(-6.01--5))-(-5+((-5*-6.01)*(((-5--5)+(-6.01--5))+-6.01))))-(-5+-5)))*-5)))/-5)--5)+(-5*(((-6.01*(-6.01-(-5/-5)))*(-6.01-(-6.01/(-5*-6.01))))-(-5/-5)))))</f>
        <v>-1192.6792050000004</v>
      </c>
      <c r="C9400" t="n" s="0">
        <v>-1192.679205</v>
      </c>
    </row>
    <row r="9401">
      <c r="A9401" t="n" s="0">
        <v>-6.0</v>
      </c>
      <c r="B9401" t="n" s="0">
        <f>(-5-((((-5*(-5/((-5/(((-5*(-6--5))-(-5+((-5*-6)*(((-5--5)+(-6--5))+-6))))-(-5+-5)))*-5)))/-5)--5)+(-5*(((-6*(-6-(-5/-5)))*(-6-(-6/(-5*-6))))-(-5/-5)))))</f>
        <v>-1187.0</v>
      </c>
      <c r="C9401" t="n" s="0">
        <v>-1187.0</v>
      </c>
    </row>
    <row r="9402">
      <c r="A9402" t="n" s="0">
        <v>-5.99</v>
      </c>
      <c r="B9402" t="n" s="0">
        <f>(-5-((((-5*(-5/((-5/(((-5*(-5.99--5))-(-5+((-5*-5.99)*(((-5--5)+(-5.99--5))+-5.99))))-(-5+-5)))*-5)))/-5)--5)+(-5*(((-5.99*(-5.99-(-5/-5)))*(-5.99-(-5.99/(-5*-5.99))))-(-5/-5)))))</f>
        <v>-1181.339195</v>
      </c>
      <c r="C9402" t="n" s="0">
        <v>-1181.339195</v>
      </c>
    </row>
    <row r="9403">
      <c r="A9403" t="n" s="0">
        <v>-5.98</v>
      </c>
      <c r="B9403" t="n" s="0">
        <f>(-5-((((-5*(-5/((-5/(((-5*(-5.98--5))-(-5+((-5*-5.98)*(((-5--5)+(-5.98--5))+-5.98))))-(-5+-5)))*-5)))/-5)--5)+(-5*(((-5.98*(-5.98-(-5/-5)))*(-5.98-(-5.98/(-5*-5.98))))-(-5/-5)))))</f>
        <v>-1175.6967600000003</v>
      </c>
      <c r="C9403" t="n" s="0">
        <v>-1175.6967600000003</v>
      </c>
    </row>
    <row r="9404">
      <c r="A9404" t="n" s="0">
        <v>-5.97</v>
      </c>
      <c r="B9404" t="n" s="0">
        <f>(-5-((((-5*(-5/((-5/(((-5*(-5.97--5))-(-5+((-5*-5.97)*(((-5--5)+(-5.97--5))+-5.97))))-(-5+-5)))*-5)))/-5)--5)+(-5*(((-5.97*(-5.97-(-5/-5)))*(-5.97-(-5.97/(-5*-5.97))))-(-5/-5)))))</f>
        <v>-1170.072665</v>
      </c>
      <c r="C9404" t="n" s="0">
        <v>-1170.072665</v>
      </c>
    </row>
    <row r="9405">
      <c r="A9405" t="n" s="0">
        <v>-5.96</v>
      </c>
      <c r="B9405" t="n" s="0">
        <f>(-5-((((-5*(-5/((-5/(((-5*(-5.96--5))-(-5+((-5*-5.96)*(((-5--5)+(-5.96--5))+-5.96))))-(-5+-5)))*-5)))/-5)--5)+(-5*(((-5.96*(-5.96-(-5/-5)))*(-5.96-(-5.96/(-5*-5.96))))-(-5/-5)))))</f>
        <v>-1164.4668800000002</v>
      </c>
      <c r="C9405" t="n" s="0">
        <v>-1164.4668800000002</v>
      </c>
    </row>
    <row r="9406">
      <c r="A9406" t="n" s="0">
        <v>-5.95</v>
      </c>
      <c r="B9406" t="n" s="0">
        <f>(-5-((((-5*(-5/((-5/(((-5*(-5.95--5))-(-5+((-5*-5.95)*(((-5--5)+(-5.95--5))+-5.95))))-(-5+-5)))*-5)))/-5)--5)+(-5*(((-5.95*(-5.95-(-5/-5)))*(-5.95-(-5.95/(-5*-5.95))))-(-5/-5)))))</f>
        <v>-1158.8793750000002</v>
      </c>
      <c r="C9406" t="n" s="0">
        <v>-1158.879375</v>
      </c>
    </row>
    <row r="9407">
      <c r="A9407" t="n" s="0">
        <v>-5.94</v>
      </c>
      <c r="B9407" t="n" s="0">
        <f>(-5-((((-5*(-5/((-5/(((-5*(-5.94--5))-(-5+((-5*-5.94)*(((-5--5)+(-5.94--5))+-5.94))))-(-5+-5)))*-5)))/-5)--5)+(-5*(((-5.94*(-5.94-(-5/-5)))*(-5.94-(-5.94/(-5*-5.94))))-(-5/-5)))))</f>
        <v>-1153.3101200000003</v>
      </c>
      <c r="C9407" t="n" s="0">
        <v>-1153.31012</v>
      </c>
    </row>
    <row r="9408">
      <c r="A9408" t="n" s="0">
        <v>-5.93</v>
      </c>
      <c r="B9408" t="n" s="0">
        <f>(-5-((((-5*(-5/((-5/(((-5*(-5.93--5))-(-5+((-5*-5.93)*(((-5--5)+(-5.93--5))+-5.93))))-(-5+-5)))*-5)))/-5)--5)+(-5*(((-5.93*(-5.93-(-5/-5)))*(-5.93-(-5.93/(-5*-5.93))))-(-5/-5)))))</f>
        <v>-1147.7590850000004</v>
      </c>
      <c r="C9408" t="n" s="0">
        <v>-1147.759085</v>
      </c>
    </row>
    <row r="9409">
      <c r="A9409" t="n" s="0">
        <v>-5.92</v>
      </c>
      <c r="B9409" t="n" s="0">
        <f>(-5-((((-5*(-5/((-5/(((-5*(-5.92--5))-(-5+((-5*-5.92)*(((-5--5)+(-5.92--5))+-5.92))))-(-5+-5)))*-5)))/-5)--5)+(-5*(((-5.92*(-5.92-(-5/-5)))*(-5.92-(-5.92/(-5*-5.92))))-(-5/-5)))))</f>
        <v>-1142.2262399999997</v>
      </c>
      <c r="C9409" t="n" s="0">
        <v>-1142.2262399999997</v>
      </c>
    </row>
    <row r="9410">
      <c r="A9410" t="n" s="0">
        <v>-5.91</v>
      </c>
      <c r="B9410" t="n" s="0">
        <f>(-5-((((-5*(-5/((-5/(((-5*(-5.91--5))-(-5+((-5*-5.91)*(((-5--5)+(-5.91--5))+-5.91))))-(-5+-5)))*-5)))/-5)--5)+(-5*(((-5.91*(-5.91-(-5/-5)))*(-5.91-(-5.91/(-5*-5.91))))-(-5/-5)))))</f>
        <v>-1136.7115549999999</v>
      </c>
      <c r="C9410" t="n" s="0">
        <v>-1136.711555</v>
      </c>
    </row>
    <row r="9411">
      <c r="A9411" t="n" s="0">
        <v>-5.9</v>
      </c>
      <c r="B9411" t="n" s="0">
        <f>(-5-((((-5*(-5/((-5/(((-5*(-5.9--5))-(-5+((-5*-5.9)*(((-5--5)+(-5.9--5))+-5.9))))-(-5+-5)))*-5)))/-5)--5)+(-5*(((-5.9*(-5.9-(-5/-5)))*(-5.9-(-5.9/(-5*-5.9))))-(-5/-5)))))</f>
        <v>-1131.215</v>
      </c>
      <c r="C9411" t="n" s="0">
        <v>-1131.2150000000004</v>
      </c>
    </row>
    <row r="9412">
      <c r="A9412" t="n" s="0">
        <v>-5.89</v>
      </c>
      <c r="B9412" t="n" s="0">
        <f>(-5-((((-5*(-5/((-5/(((-5*(-5.89--5))-(-5+((-5*-5.89)*(((-5--5)+(-5.89--5))+-5.89))))-(-5+-5)))*-5)))/-5)--5)+(-5*(((-5.89*(-5.89-(-5/-5)))*(-5.89-(-5.89/(-5*-5.89))))-(-5/-5)))))</f>
        <v>-1125.736545</v>
      </c>
      <c r="C9412" t="n" s="0">
        <v>-1125.736545</v>
      </c>
    </row>
    <row r="9413">
      <c r="A9413" t="n" s="0">
        <v>-5.88</v>
      </c>
      <c r="B9413" t="n" s="0">
        <f>(-5-((((-5*(-5/((-5/(((-5*(-5.88--5))-(-5+((-5*-5.88)*(((-5--5)+(-5.88--5))+-5.88))))-(-5+-5)))*-5)))/-5)--5)+(-5*(((-5.88*(-5.88-(-5/-5)))*(-5.88-(-5.88/(-5*-5.88))))-(-5/-5)))))</f>
        <v>-1120.2761600000003</v>
      </c>
      <c r="C9413" t="n" s="0">
        <v>-1120.2761600000001</v>
      </c>
    </row>
    <row r="9414">
      <c r="A9414" t="n" s="0">
        <v>-5.87</v>
      </c>
      <c r="B9414" t="n" s="0">
        <f>(-5-((((-5*(-5/((-5/(((-5*(-5.87--5))-(-5+((-5*-5.87)*(((-5--5)+(-5.87--5))+-5.87))))-(-5+-5)))*-5)))/-5)--5)+(-5*(((-5.87*(-5.87-(-5/-5)))*(-5.87-(-5.87/(-5*-5.87))))-(-5/-5)))))</f>
        <v>-1114.8338150000002</v>
      </c>
      <c r="C9414" t="n" s="0">
        <v>-1114.833815</v>
      </c>
    </row>
    <row r="9415">
      <c r="A9415" t="n" s="0">
        <v>-5.86</v>
      </c>
      <c r="B9415" t="n" s="0">
        <f>(-5-((((-5*(-5/((-5/(((-5*(-5.86--5))-(-5+((-5*-5.86)*(((-5--5)+(-5.86--5))+-5.86))))-(-5+-5)))*-5)))/-5)--5)+(-5*(((-5.86*(-5.86-(-5/-5)))*(-5.86-(-5.86/(-5*-5.86))))-(-5/-5)))))</f>
        <v>-1109.4094799999998</v>
      </c>
      <c r="C9415" t="n" s="0">
        <v>-1109.40948</v>
      </c>
    </row>
    <row r="9416">
      <c r="A9416" t="n" s="0">
        <v>-5.85</v>
      </c>
      <c r="B9416" t="n" s="0">
        <f>(-5-((((-5*(-5/((-5/(((-5*(-5.85--5))-(-5+((-5*-5.85)*(((-5--5)+(-5.85--5))+-5.85))))-(-5+-5)))*-5)))/-5)--5)+(-5*(((-5.85*(-5.85-(-5/-5)))*(-5.85-(-5.85/(-5*-5.85))))-(-5/-5)))))</f>
        <v>-1104.0031250000002</v>
      </c>
      <c r="C9416" t="n" s="0">
        <v>-1104.0031249999997</v>
      </c>
    </row>
    <row r="9417">
      <c r="A9417" t="n" s="0">
        <v>-5.84</v>
      </c>
      <c r="B9417" t="n" s="0">
        <f>(-5-((((-5*(-5/((-5/(((-5*(-5.84--5))-(-5+((-5*-5.84)*(((-5--5)+(-5.84--5))+-5.84))))-(-5+-5)))*-5)))/-5)--5)+(-5*(((-5.84*(-5.84-(-5/-5)))*(-5.84-(-5.84/(-5*-5.84))))-(-5/-5)))))</f>
        <v>-1098.61472</v>
      </c>
      <c r="C9417" t="n" s="0">
        <v>-1098.6147199999998</v>
      </c>
    </row>
    <row r="9418">
      <c r="A9418" t="n" s="0">
        <v>-5.83</v>
      </c>
      <c r="B9418" t="n" s="0">
        <f>(-5-((((-5*(-5/((-5/(((-5*(-5.83--5))-(-5+((-5*-5.83)*(((-5--5)+(-5.83--5))+-5.83))))-(-5+-5)))*-5)))/-5)--5)+(-5*(((-5.83*(-5.83-(-5/-5)))*(-5.83-(-5.83/(-5*-5.83))))-(-5/-5)))))</f>
        <v>-1093.2442350000001</v>
      </c>
      <c r="C9418" t="n" s="0">
        <v>-1093.2442350000001</v>
      </c>
    </row>
    <row r="9419">
      <c r="A9419" t="n" s="0">
        <v>-5.82</v>
      </c>
      <c r="B9419" t="n" s="0">
        <f>(-5-((((-5*(-5/((-5/(((-5*(-5.82--5))-(-5+((-5*-5.82)*(((-5--5)+(-5.82--5))+-5.82))))-(-5+-5)))*-5)))/-5)--5)+(-5*(((-5.82*(-5.82-(-5/-5)))*(-5.82-(-5.82/(-5*-5.82))))-(-5/-5)))))</f>
        <v>-1087.89164</v>
      </c>
      <c r="C9419" t="n" s="0">
        <v>-1087.8916400000003</v>
      </c>
    </row>
    <row r="9420">
      <c r="A9420" t="n" s="0">
        <v>-5.81</v>
      </c>
      <c r="B9420" t="n" s="0">
        <f>(-5-((((-5*(-5/((-5/(((-5*(-5.81--5))-(-5+((-5*-5.81)*(((-5--5)+(-5.81--5))+-5.81))))-(-5+-5)))*-5)))/-5)--5)+(-5*(((-5.81*(-5.81-(-5/-5)))*(-5.81-(-5.81/(-5*-5.81))))-(-5/-5)))))</f>
        <v>-1082.5569050000001</v>
      </c>
      <c r="C9420" t="n" s="0">
        <v>-1082.556905</v>
      </c>
    </row>
    <row r="9421">
      <c r="A9421" t="n" s="0">
        <v>-5.8</v>
      </c>
      <c r="B9421" t="n" s="0">
        <f>(-5-((((-5*(-5/((-5/(((-5*(-5.8--5))-(-5+((-5*-5.8)*(((-5--5)+(-5.8--5))+-5.8))))-(-5+-5)))*-5)))/-5)--5)+(-5*(((-5.8*(-5.8-(-5/-5)))*(-5.8-(-5.8/(-5*-5.8))))-(-5/-5)))))</f>
        <v>-1077.24</v>
      </c>
      <c r="C9421" t="n" s="0">
        <v>-1077.24</v>
      </c>
    </row>
    <row r="9422">
      <c r="A9422" t="n" s="0">
        <v>-5.79</v>
      </c>
      <c r="B9422" t="n" s="0">
        <f>(-5-((((-5*(-5/((-5/(((-5*(-5.79--5))-(-5+((-5*-5.79)*(((-5--5)+(-5.79--5))+-5.79))))-(-5+-5)))*-5)))/-5)--5)+(-5*(((-5.79*(-5.79-(-5/-5)))*(-5.79-(-5.79/(-5*-5.79))))-(-5/-5)))))</f>
        <v>-1071.9408950000004</v>
      </c>
      <c r="C9422" t="n" s="0">
        <v>-1071.940895</v>
      </c>
    </row>
    <row r="9423">
      <c r="A9423" t="n" s="0">
        <v>-5.78</v>
      </c>
      <c r="B9423" t="n" s="0">
        <f>(-5-((((-5*(-5/((-5/(((-5*(-5.78--5))-(-5+((-5*-5.78)*(((-5--5)+(-5.78--5))+-5.78))))-(-5+-5)))*-5)))/-5)--5)+(-5*(((-5.78*(-5.78-(-5/-5)))*(-5.78-(-5.78/(-5*-5.78))))-(-5/-5)))))</f>
        <v>-1066.65956</v>
      </c>
      <c r="C9423" t="n" s="0">
        <v>-1066.65956</v>
      </c>
    </row>
    <row r="9424">
      <c r="A9424" t="n" s="0">
        <v>-5.77</v>
      </c>
      <c r="B9424" t="n" s="0">
        <f>(-5-((((-5*(-5/((-5/(((-5*(-5.77--5))-(-5+((-5*-5.77)*(((-5--5)+(-5.77--5))+-5.77))))-(-5+-5)))*-5)))/-5)--5)+(-5*(((-5.77*(-5.77-(-5/-5)))*(-5.77-(-5.77/(-5*-5.77))))-(-5/-5)))))</f>
        <v>-1061.3959650000002</v>
      </c>
      <c r="C9424" t="n" s="0">
        <v>-1061.3959649999997</v>
      </c>
    </row>
    <row r="9425">
      <c r="A9425" t="n" s="0">
        <v>-5.76</v>
      </c>
      <c r="B9425" t="n" s="0">
        <f>(-5-((((-5*(-5/((-5/(((-5*(-5.76--5))-(-5+((-5*-5.76)*(((-5--5)+(-5.76--5))+-5.76))))-(-5+-5)))*-5)))/-5)--5)+(-5*(((-5.76*(-5.76-(-5/-5)))*(-5.76-(-5.76/(-5*-5.76))))-(-5/-5)))))</f>
        <v>-1056.1500800000001</v>
      </c>
      <c r="C9425" t="n" s="0">
        <v>-1056.15008</v>
      </c>
    </row>
    <row r="9426">
      <c r="A9426" t="n" s="0">
        <v>-5.75</v>
      </c>
      <c r="B9426" t="n" s="0">
        <f>(-5-((((-5*(-5/((-5/(((-5*(-5.75--5))-(-5+((-5*-5.75)*(((-5--5)+(-5.75--5))+-5.75))))-(-5+-5)))*-5)))/-5)--5)+(-5*(((-5.75*(-5.75-(-5/-5)))*(-5.75-(-5.75/(-5*-5.75))))-(-5/-5)))))</f>
        <v>-1050.921875</v>
      </c>
      <c r="C9426" t="n" s="0">
        <v>-1050.921875</v>
      </c>
    </row>
    <row r="9427">
      <c r="A9427" t="n" s="0">
        <v>-5.74</v>
      </c>
      <c r="B9427" t="n" s="0">
        <f>(-5-((((-5*(-5/((-5/(((-5*(-5.74--5))-(-5+((-5*-5.74)*(((-5--5)+(-5.74--5))+-5.74))))-(-5+-5)))*-5)))/-5)--5)+(-5*(((-5.74*(-5.74-(-5/-5)))*(-5.74-(-5.74/(-5*-5.74))))-(-5/-5)))))</f>
        <v>-1045.7113200000001</v>
      </c>
      <c r="C9427" t="n" s="0">
        <v>-1045.7113200000001</v>
      </c>
    </row>
    <row r="9428">
      <c r="A9428" t="n" s="0">
        <v>-5.73</v>
      </c>
      <c r="B9428" t="n" s="0">
        <f>(-5-((((-5*(-5/((-5/(((-5*(-5.73--5))-(-5+((-5*-5.73)*(((-5--5)+(-5.73--5))+-5.73))))-(-5+-5)))*-5)))/-5)--5)+(-5*(((-5.73*(-5.73-(-5/-5)))*(-5.73-(-5.73/(-5*-5.73))))-(-5/-5)))))</f>
        <v>-1040.5183849999999</v>
      </c>
      <c r="C9428" t="n" s="0">
        <v>-1040.5183850000003</v>
      </c>
    </row>
    <row r="9429">
      <c r="A9429" t="n" s="0">
        <v>-5.72</v>
      </c>
      <c r="B9429" t="n" s="0">
        <f>(-5-((((-5*(-5/((-5/(((-5*(-5.72--5))-(-5+((-5*-5.72)*(((-5--5)+(-5.72--5))+-5.72))))-(-5+-5)))*-5)))/-5)--5)+(-5*(((-5.72*(-5.72-(-5/-5)))*(-5.72-(-5.72/(-5*-5.72))))-(-5/-5)))))</f>
        <v>-1035.34304</v>
      </c>
      <c r="C9429" t="n" s="0">
        <v>-1035.3430399999997</v>
      </c>
    </row>
    <row r="9430">
      <c r="A9430" t="n" s="0">
        <v>-5.71</v>
      </c>
      <c r="B9430" t="n" s="0">
        <f>(-5-((((-5*(-5/((-5/(((-5*(-5.71--5))-(-5+((-5*-5.71)*(((-5--5)+(-5.71--5))+-5.71))))-(-5+-5)))*-5)))/-5)--5)+(-5*(((-5.71*(-5.71-(-5/-5)))*(-5.71-(-5.71/(-5*-5.71))))-(-5/-5)))))</f>
        <v>-1030.1852549999999</v>
      </c>
      <c r="C9430" t="n" s="0">
        <v>-1030.1852549999999</v>
      </c>
    </row>
    <row r="9431">
      <c r="A9431" t="n" s="0">
        <v>-5.7</v>
      </c>
      <c r="B9431" t="n" s="0">
        <f>(-5-((((-5*(-5/((-5/(((-5*(-5.7--5))-(-5+((-5*-5.7)*(((-5--5)+(-5.7--5))+-5.7))))-(-5+-5)))*-5)))/-5)--5)+(-5*(((-5.7*(-5.7-(-5/-5)))*(-5.7-(-5.7/(-5*-5.7))))-(-5/-5)))))</f>
        <v>-1025.045</v>
      </c>
      <c r="C9431" t="n" s="0">
        <v>-1025.045</v>
      </c>
    </row>
    <row r="9432">
      <c r="A9432" t="n" s="0">
        <v>-5.69</v>
      </c>
      <c r="B9432" t="n" s="0">
        <f>(-5-((((-5*(-5/((-5/(((-5*(-5.69--5))-(-5+((-5*-5.69)*(((-5--5)+(-5.69--5))+-5.69))))-(-5+-5)))*-5)))/-5)--5)+(-5*(((-5.69*(-5.69-(-5/-5)))*(-5.69-(-5.69/(-5*-5.69))))-(-5/-5)))))</f>
        <v>-1019.9222449999999</v>
      </c>
      <c r="C9432" t="n" s="0">
        <v>-1019.9222450000002</v>
      </c>
    </row>
    <row r="9433">
      <c r="A9433" t="n" s="0">
        <v>-5.68</v>
      </c>
      <c r="B9433" t="n" s="0">
        <f>(-5-((((-5*(-5/((-5/(((-5*(-5.68--5))-(-5+((-5*-5.68)*(((-5--5)+(-5.68--5))+-5.68))))-(-5+-5)))*-5)))/-5)--5)+(-5*(((-5.68*(-5.68-(-5/-5)))*(-5.68-(-5.68/(-5*-5.68))))-(-5/-5)))))</f>
        <v>-1014.8169600000002</v>
      </c>
      <c r="C9433" t="n" s="0">
        <v>-1014.8169599999998</v>
      </c>
    </row>
    <row r="9434">
      <c r="A9434" t="n" s="0">
        <v>-5.67</v>
      </c>
      <c r="B9434" t="n" s="0">
        <f>(-5-((((-5*(-5/((-5/(((-5*(-5.67--5))-(-5+((-5*-5.67)*(((-5--5)+(-5.67--5))+-5.67))))-(-5+-5)))*-5)))/-5)--5)+(-5*(((-5.67*(-5.67-(-5/-5)))*(-5.67-(-5.67/(-5*-5.67))))-(-5/-5)))))</f>
        <v>-1009.7291150000003</v>
      </c>
      <c r="C9434" t="n" s="0">
        <v>-1009.7291149999999</v>
      </c>
    </row>
    <row r="9435">
      <c r="A9435" t="n" s="0">
        <v>-5.66</v>
      </c>
      <c r="B9435" t="n" s="0">
        <f>(-5-((((-5*(-5/((-5/(((-5*(-5.66--5))-(-5+((-5*-5.66)*(((-5--5)+(-5.66--5))+-5.66))))-(-5+-5)))*-5)))/-5)--5)+(-5*(((-5.66*(-5.66-(-5/-5)))*(-5.66-(-5.66/(-5*-5.66))))-(-5/-5)))))</f>
        <v>-1004.65868</v>
      </c>
      <c r="C9435" t="n" s="0">
        <v>-1004.6586800000001</v>
      </c>
    </row>
    <row r="9436">
      <c r="A9436" t="n" s="0">
        <v>-5.65</v>
      </c>
      <c r="B9436" t="n" s="0">
        <f>(-5-((((-5*(-5/((-5/(((-5*(-5.65--5))-(-5+((-5*-5.65)*(((-5--5)+(-5.65--5))+-5.65))))-(-5+-5)))*-5)))/-5)--5)+(-5*(((-5.65*(-5.65-(-5/-5)))*(-5.65-(-5.65/(-5*-5.65))))-(-5/-5)))))</f>
        <v>-999.6056249999998</v>
      </c>
      <c r="C9436" t="n" s="0">
        <v>-999.6056250000001</v>
      </c>
    </row>
    <row r="9437">
      <c r="A9437" t="n" s="0">
        <v>-5.64</v>
      </c>
      <c r="B9437" t="n" s="0">
        <f>(-5-((((-5*(-5/((-5/(((-5*(-5.64--5))-(-5+((-5*-5.64)*(((-5--5)+(-5.64--5))+-5.64))))-(-5+-5)))*-5)))/-5)--5)+(-5*(((-5.64*(-5.64-(-5/-5)))*(-5.64-(-5.64/(-5*-5.64))))-(-5/-5)))))</f>
        <v>-994.5699199999999</v>
      </c>
      <c r="C9437" t="n" s="0">
        <v>-994.5699199999999</v>
      </c>
    </row>
    <row r="9438">
      <c r="A9438" t="n" s="0">
        <v>-5.63</v>
      </c>
      <c r="B9438" t="n" s="0">
        <f>(-5-((((-5*(-5/((-5/(((-5*(-5.63--5))-(-5+((-5*-5.63)*(((-5--5)+(-5.63--5))+-5.63))))-(-5+-5)))*-5)))/-5)--5)+(-5*(((-5.63*(-5.63-(-5/-5)))*(-5.63-(-5.63/(-5*-5.63))))-(-5/-5)))))</f>
        <v>-989.5515350000002</v>
      </c>
      <c r="C9438" t="n" s="0">
        <v>-989.551535</v>
      </c>
    </row>
    <row r="9439">
      <c r="A9439" t="n" s="0">
        <v>-5.62</v>
      </c>
      <c r="B9439" t="n" s="0">
        <f>(-5-((((-5*(-5/((-5/(((-5*(-5.62--5))-(-5+((-5*-5.62)*(((-5--5)+(-5.62--5))+-5.62))))-(-5+-5)))*-5)))/-5)--5)+(-5*(((-5.62*(-5.62-(-5/-5)))*(-5.62-(-5.62/(-5*-5.62))))-(-5/-5)))))</f>
        <v>-984.55044</v>
      </c>
      <c r="C9439" t="n" s="0">
        <v>-984.5504400000001</v>
      </c>
    </row>
    <row r="9440">
      <c r="A9440" t="n" s="0">
        <v>-5.61</v>
      </c>
      <c r="B9440" t="n" s="0">
        <f>(-5-((((-5*(-5/((-5/(((-5*(-5.61--5))-(-5+((-5*-5.61)*(((-5--5)+(-5.61--5))+-5.61))))-(-5+-5)))*-5)))/-5)--5)+(-5*(((-5.61*(-5.61-(-5/-5)))*(-5.61-(-5.61/(-5*-5.61))))-(-5/-5)))))</f>
        <v>-979.566605</v>
      </c>
      <c r="C9440" t="n" s="0">
        <v>-979.5666050000002</v>
      </c>
    </row>
    <row r="9441">
      <c r="A9441" t="n" s="0">
        <v>-5.6</v>
      </c>
      <c r="B9441" t="n" s="0">
        <f>(-5-((((-5*(-5/((-5/(((-5*(-5.6--5))-(-5+((-5*-5.6)*(((-5--5)+(-5.6--5))+-5.6))))-(-5+-5)))*-5)))/-5)--5)+(-5*(((-5.6*(-5.6-(-5/-5)))*(-5.6-(-5.6/(-5*-5.6))))-(-5/-5)))))</f>
        <v>-974.5999999999999</v>
      </c>
      <c r="C9441" t="n" s="0">
        <v>-974.5999999999998</v>
      </c>
    </row>
    <row r="9442">
      <c r="A9442" t="n" s="0">
        <v>-5.59</v>
      </c>
      <c r="B9442" t="n" s="0">
        <f>(-5-((((-5*(-5/((-5/(((-5*(-5.59--5))-(-5+((-5*-5.59)*(((-5--5)+(-5.59--5))+-5.59))))-(-5+-5)))*-5)))/-5)--5)+(-5*(((-5.59*(-5.59-(-5/-5)))*(-5.59-(-5.59/(-5*-5.59))))-(-5/-5)))))</f>
        <v>-969.6505950000002</v>
      </c>
      <c r="C9442" t="n" s="0">
        <v>-969.650595</v>
      </c>
    </row>
    <row r="9443">
      <c r="A9443" t="n" s="0">
        <v>-5.58</v>
      </c>
      <c r="B9443" t="n" s="0">
        <f>(-5-((((-5*(-5/((-5/(((-5*(-5.58--5))-(-5+((-5*-5.58)*(((-5--5)+(-5.58--5))+-5.58))))-(-5+-5)))*-5)))/-5)--5)+(-5*(((-5.58*(-5.58-(-5/-5)))*(-5.58-(-5.58/(-5*-5.58))))-(-5/-5)))))</f>
        <v>-964.7183599999997</v>
      </c>
      <c r="C9443" t="n" s="0">
        <v>-964.7183600000001</v>
      </c>
    </row>
    <row r="9444">
      <c r="A9444" t="n" s="0">
        <v>-5.57</v>
      </c>
      <c r="B9444" t="n" s="0">
        <f>(-5-((((-5*(-5/((-5/(((-5*(-5.57--5))-(-5+((-5*-5.57)*(((-5--5)+(-5.57--5))+-5.57))))-(-5+-5)))*-5)))/-5)--5)+(-5*(((-5.57*(-5.57-(-5/-5)))*(-5.57-(-5.57/(-5*-5.57))))-(-5/-5)))))</f>
        <v>-959.8032649999998</v>
      </c>
      <c r="C9444" t="n" s="0">
        <v>-959.8032650000002</v>
      </c>
    </row>
    <row r="9445">
      <c r="A9445" t="n" s="0">
        <v>-5.56</v>
      </c>
      <c r="B9445" t="n" s="0">
        <f>(-5-((((-5*(-5/((-5/(((-5*(-5.56--5))-(-5+((-5*-5.56)*(((-5--5)+(-5.56--5))+-5.56))))-(-5+-5)))*-5)))/-5)--5)+(-5*(((-5.56*(-5.56-(-5/-5)))*(-5.56-(-5.56/(-5*-5.56))))-(-5/-5)))))</f>
        <v>-954.90528</v>
      </c>
      <c r="C9445" t="n" s="0">
        <v>-954.9052799999997</v>
      </c>
    </row>
    <row r="9446">
      <c r="A9446" t="n" s="0">
        <v>-5.55</v>
      </c>
      <c r="B9446" t="n" s="0">
        <f>(-5-((((-5*(-5/((-5/(((-5*(-5.55--5))-(-5+((-5*-5.55)*(((-5--5)+(-5.55--5))+-5.55))))-(-5+-5)))*-5)))/-5)--5)+(-5*(((-5.55*(-5.55-(-5/-5)))*(-5.55-(-5.55/(-5*-5.55))))-(-5/-5)))))</f>
        <v>-950.0243750000001</v>
      </c>
      <c r="C9446" t="n" s="0">
        <v>-950.0243749999998</v>
      </c>
    </row>
    <row r="9447">
      <c r="A9447" t="n" s="0">
        <v>-5.54</v>
      </c>
      <c r="B9447" t="n" s="0">
        <f>(-5-((((-5*(-5/((-5/(((-5*(-5.54--5))-(-5+((-5*-5.54)*(((-5--5)+(-5.54--5))+-5.54))))-(-5+-5)))*-5)))/-5)--5)+(-5*(((-5.54*(-5.54-(-5/-5)))*(-5.54-(-5.54/(-5*-5.54))))-(-5/-5)))))</f>
        <v>-945.16052</v>
      </c>
      <c r="C9447" t="n" s="0">
        <v>-945.16052</v>
      </c>
    </row>
    <row r="9448">
      <c r="A9448" t="n" s="0">
        <v>-5.53</v>
      </c>
      <c r="B9448" t="n" s="0">
        <f>(-5-((((-5*(-5/((-5/(((-5*(-5.53--5))-(-5+((-5*-5.53)*(((-5--5)+(-5.53--5))+-5.53))))-(-5+-5)))*-5)))/-5)--5)+(-5*(((-5.53*(-5.53-(-5/-5)))*(-5.53-(-5.53/(-5*-5.53))))-(-5/-5)))))</f>
        <v>-940.3136850000001</v>
      </c>
      <c r="C9448" t="n" s="0">
        <v>-940.3136850000001</v>
      </c>
    </row>
    <row r="9449">
      <c r="A9449" t="n" s="0">
        <v>-5.52</v>
      </c>
      <c r="B9449" t="n" s="0">
        <f>(-5-((((-5*(-5/((-5/(((-5*(-5.52--5))-(-5+((-5*-5.52)*(((-5--5)+(-5.52--5))+-5.52))))-(-5+-5)))*-5)))/-5)--5)+(-5*(((-5.52*(-5.52-(-5/-5)))*(-5.52-(-5.52/(-5*-5.52))))-(-5/-5)))))</f>
        <v>-935.4838399999999</v>
      </c>
      <c r="C9449" t="n" s="0">
        <v>-935.4838399999998</v>
      </c>
    </row>
    <row r="9450">
      <c r="A9450" t="n" s="0">
        <v>-5.51</v>
      </c>
      <c r="B9450" t="n" s="0">
        <f>(-5-((((-5*(-5/((-5/(((-5*(-5.51--5))-(-5+((-5*-5.51)*(((-5--5)+(-5.51--5))+-5.51))))-(-5+-5)))*-5)))/-5)--5)+(-5*(((-5.51*(-5.51-(-5/-5)))*(-5.51-(-5.51/(-5*-5.51))))-(-5/-5)))))</f>
        <v>-930.6709549999999</v>
      </c>
      <c r="C9450" t="n" s="0">
        <v>-930.6709549999998</v>
      </c>
    </row>
    <row r="9451">
      <c r="A9451" t="n" s="0">
        <v>-5.5</v>
      </c>
      <c r="B9451" t="n" s="0">
        <f>(-5-((((-5*(-5/((-5/(((-5*(-5.5--5))-(-5+((-5*-5.5)*(((-5--5)+(-5.5--5))+-5.5))))-(-5+-5)))*-5)))/-5)--5)+(-5*(((-5.5*(-5.5-(-5/-5)))*(-5.5-(-5.5/(-5*-5.5))))-(-5/-5)))))</f>
        <v>-925.875</v>
      </c>
      <c r="C9451" t="n" s="0">
        <v>-925.875</v>
      </c>
    </row>
    <row r="9452">
      <c r="A9452" t="n" s="0">
        <v>-5.49</v>
      </c>
      <c r="B9452" t="n" s="0">
        <f>(-5-((((-5*(-5/((-5/(((-5*(-5.49--5))-(-5+((-5*-5.49)*(((-5--5)+(-5.49--5))+-5.49))))-(-5+-5)))*-5)))/-5)--5)+(-5*(((-5.49*(-5.49-(-5/-5)))*(-5.49-(-5.49/(-5*-5.49))))-(-5/-5)))))</f>
        <v>-921.0959450000003</v>
      </c>
      <c r="C9452" t="n" s="0">
        <v>-921.0959450000001</v>
      </c>
    </row>
    <row r="9453">
      <c r="A9453" t="n" s="0">
        <v>-5.48</v>
      </c>
      <c r="B9453" t="n" s="0">
        <f>(-5-((((-5*(-5/((-5/(((-5*(-5.48--5))-(-5+((-5*-5.48)*(((-5--5)+(-5.48--5))+-5.48))))-(-5+-5)))*-5)))/-5)--5)+(-5*(((-5.48*(-5.48-(-5/-5)))*(-5.48-(-5.48/(-5*-5.48))))-(-5/-5)))))</f>
        <v>-916.3337600000002</v>
      </c>
      <c r="C9453" t="n" s="0">
        <v>-916.3337600000002</v>
      </c>
    </row>
    <row r="9454">
      <c r="A9454" t="n" s="0">
        <v>-5.47</v>
      </c>
      <c r="B9454" t="n" s="0">
        <f>(-5-((((-5*(-5/((-5/(((-5*(-5.47--5))-(-5+((-5*-5.47)*(((-5--5)+(-5.47--5))+-5.47))))-(-5+-5)))*-5)))/-5)--5)+(-5*(((-5.47*(-5.47-(-5/-5)))*(-5.47-(-5.47/(-5*-5.47))))-(-5/-5)))))</f>
        <v>-911.5884149999999</v>
      </c>
      <c r="C9454" t="n" s="0">
        <v>-911.5884149999999</v>
      </c>
    </row>
    <row r="9455">
      <c r="A9455" t="n" s="0">
        <v>-5.46</v>
      </c>
      <c r="B9455" t="n" s="0">
        <f>(-5-((((-5*(-5/((-5/(((-5*(-5.46--5))-(-5+((-5*-5.46)*(((-5--5)+(-5.46--5))+-5.46))))-(-5+-5)))*-5)))/-5)--5)+(-5*(((-5.46*(-5.46-(-5/-5)))*(-5.46-(-5.46/(-5*-5.46))))-(-5/-5)))))</f>
        <v>-906.8598799999999</v>
      </c>
      <c r="C9455" t="n" s="0">
        <v>-906.85988</v>
      </c>
    </row>
    <row r="9456">
      <c r="A9456" t="n" s="0">
        <v>-5.45</v>
      </c>
      <c r="B9456" t="n" s="0">
        <f>(-5-((((-5*(-5/((-5/(((-5*(-5.45--5))-(-5+((-5*-5.45)*(((-5--5)+(-5.45--5))+-5.45))))-(-5+-5)))*-5)))/-5)--5)+(-5*(((-5.45*(-5.45-(-5/-5)))*(-5.45-(-5.45/(-5*-5.45))))-(-5/-5)))))</f>
        <v>-902.1481250000002</v>
      </c>
      <c r="C9456" t="n" s="0">
        <v>-902.1481250000002</v>
      </c>
    </row>
    <row r="9457">
      <c r="A9457" t="n" s="0">
        <v>-5.44</v>
      </c>
      <c r="B9457" t="n" s="0">
        <f>(-5-((((-5*(-5/((-5/(((-5*(-5.44--5))-(-5+((-5*-5.44)*(((-5--5)+(-5.44--5))+-5.44))))-(-5+-5)))*-5)))/-5)--5)+(-5*(((-5.44*(-5.44-(-5/-5)))*(-5.44-(-5.44/(-5*-5.44))))-(-5/-5)))))</f>
        <v>-897.45312</v>
      </c>
      <c r="C9457" t="n" s="0">
        <v>-897.4531200000001</v>
      </c>
    </row>
    <row r="9458">
      <c r="A9458" t="n" s="0">
        <v>-5.43</v>
      </c>
      <c r="B9458" t="n" s="0">
        <f>(-5-((((-5*(-5/((-5/(((-5*(-5.43--5))-(-5+((-5*-5.43)*(((-5--5)+(-5.43--5))+-5.43))))-(-5+-5)))*-5)))/-5)--5)+(-5*(((-5.43*(-5.43-(-5/-5)))*(-5.43-(-5.43/(-5*-5.43))))-(-5/-5)))))</f>
        <v>-892.7748349999998</v>
      </c>
      <c r="C9458" t="n" s="0">
        <v>-892.7748349999997</v>
      </c>
    </row>
    <row r="9459">
      <c r="A9459" t="n" s="0">
        <v>-5.42</v>
      </c>
      <c r="B9459" t="n" s="0">
        <f>(-5-((((-5*(-5/((-5/(((-5*(-5.42--5))-(-5+((-5*-5.42)*(((-5--5)+(-5.42--5))+-5.42))))-(-5+-5)))*-5)))/-5)--5)+(-5*(((-5.42*(-5.42-(-5/-5)))*(-5.42-(-5.42/(-5*-5.42))))-(-5/-5)))))</f>
        <v>-888.11324</v>
      </c>
      <c r="C9459" t="n" s="0">
        <v>-888.11324</v>
      </c>
    </row>
    <row r="9460">
      <c r="A9460" t="n" s="0">
        <v>-5.41</v>
      </c>
      <c r="B9460" t="n" s="0">
        <f>(-5-((((-5*(-5/((-5/(((-5*(-5.41--5))-(-5+((-5*-5.41)*(((-5--5)+(-5.41--5))+-5.41))))-(-5+-5)))*-5)))/-5)--5)+(-5*(((-5.41*(-5.41-(-5/-5)))*(-5.41-(-5.41/(-5*-5.41))))-(-5/-5)))))</f>
        <v>-883.468305</v>
      </c>
      <c r="C9460" t="n" s="0">
        <v>-883.4683050000001</v>
      </c>
    </row>
    <row r="9461">
      <c r="A9461" t="n" s="0">
        <v>-5.4</v>
      </c>
      <c r="B9461" t="n" s="0">
        <f>(-5-((((-5*(-5/((-5/(((-5*(-5.4--5))-(-5+((-5*-5.4)*(((-5--5)+(-5.4--5))+-5.4))))-(-5+-5)))*-5)))/-5)--5)+(-5*(((-5.4*(-5.4-(-5/-5)))*(-5.4-(-5.4/(-5*-5.4))))-(-5/-5)))))</f>
        <v>-878.8399999999999</v>
      </c>
      <c r="C9461" t="n" s="0">
        <v>-878.8400000000003</v>
      </c>
    </row>
    <row r="9462">
      <c r="A9462" t="n" s="0">
        <v>-5.39</v>
      </c>
      <c r="B9462" t="n" s="0">
        <f>(-5-((((-5*(-5/((-5/(((-5*(-5.39--5))-(-5+((-5*-5.39)*(((-5--5)+(-5.39--5))+-5.39))))-(-5+-5)))*-5)))/-5)--5)+(-5*(((-5.39*(-5.39-(-5/-5)))*(-5.39-(-5.39/(-5*-5.39))))-(-5/-5)))))</f>
        <v>-874.2282950000002</v>
      </c>
      <c r="C9462" t="n" s="0">
        <v>-874.2282949999999</v>
      </c>
    </row>
    <row r="9463">
      <c r="A9463" t="n" s="0">
        <v>-5.38</v>
      </c>
      <c r="B9463" t="n" s="0">
        <f>(-5-((((-5*(-5/((-5/(((-5*(-5.38--5))-(-5+((-5*-5.38)*(((-5--5)+(-5.38--5))+-5.38))))-(-5+-5)))*-5)))/-5)--5)+(-5*(((-5.38*(-5.38-(-5/-5)))*(-5.38-(-5.38/(-5*-5.38))))-(-5/-5)))))</f>
        <v>-869.6331600000001</v>
      </c>
      <c r="C9463" t="n" s="0">
        <v>-869.6331599999999</v>
      </c>
    </row>
    <row r="9464">
      <c r="A9464" t="n" s="0">
        <v>-5.37</v>
      </c>
      <c r="B9464" t="n" s="0">
        <f>(-5-((((-5*(-5/((-5/(((-5*(-5.37--5))-(-5+((-5*-5.37)*(((-5--5)+(-5.37--5))+-5.37))))-(-5+-5)))*-5)))/-5)--5)+(-5*(((-5.37*(-5.37-(-5/-5)))*(-5.37-(-5.37/(-5*-5.37))))-(-5/-5)))))</f>
        <v>-865.0545649999998</v>
      </c>
      <c r="C9464" t="n" s="0">
        <v>-865.054565</v>
      </c>
    </row>
    <row r="9465">
      <c r="A9465" t="n" s="0">
        <v>-5.36</v>
      </c>
      <c r="B9465" t="n" s="0">
        <f>(-5-((((-5*(-5/((-5/(((-5*(-5.36--5))-(-5+((-5*-5.36)*(((-5--5)+(-5.36--5))+-5.36))))-(-5+-5)))*-5)))/-5)--5)+(-5*(((-5.36*(-5.36-(-5/-5)))*(-5.36-(-5.36/(-5*-5.36))))-(-5/-5)))))</f>
        <v>-860.49248</v>
      </c>
      <c r="C9465" t="n" s="0">
        <v>-860.4924800000002</v>
      </c>
    </row>
    <row r="9466">
      <c r="A9466" t="n" s="0">
        <v>-5.35</v>
      </c>
      <c r="B9466" t="n" s="0">
        <f>(-5-((((-5*(-5/((-5/(((-5*(-5.35--5))-(-5+((-5*-5.35)*(((-5--5)+(-5.35--5))+-5.35))))-(-5+-5)))*-5)))/-5)--5)+(-5*(((-5.35*(-5.35-(-5/-5)))*(-5.35-(-5.35/(-5*-5.35))))-(-5/-5)))))</f>
        <v>-855.9468749999999</v>
      </c>
      <c r="C9466" t="n" s="0">
        <v>-855.9468749999997</v>
      </c>
    </row>
    <row r="9467">
      <c r="A9467" t="n" s="0">
        <v>-5.34</v>
      </c>
      <c r="B9467" t="n" s="0">
        <f>(-5-((((-5*(-5/((-5/(((-5*(-5.34--5))-(-5+((-5*-5.34)*(((-5--5)+(-5.34--5))+-5.34))))-(-5+-5)))*-5)))/-5)--5)+(-5*(((-5.34*(-5.34-(-5/-5)))*(-5.34-(-5.34/(-5*-5.34))))-(-5/-5)))))</f>
        <v>-851.41772</v>
      </c>
      <c r="C9467" t="n" s="0">
        <v>-851.41772</v>
      </c>
    </row>
    <row r="9468">
      <c r="A9468" t="n" s="0">
        <v>-5.33</v>
      </c>
      <c r="B9468" t="n" s="0">
        <f>(-5-((((-5*(-5/((-5/(((-5*(-5.33--5))-(-5+((-5*-5.33)*(((-5--5)+(-5.33--5))+-5.33))))-(-5+-5)))*-5)))/-5)--5)+(-5*(((-5.33*(-5.33-(-5/-5)))*(-5.33-(-5.33/(-5*-5.33))))-(-5/-5)))))</f>
        <v>-846.904985</v>
      </c>
      <c r="C9468" t="n" s="0">
        <v>-846.9049850000001</v>
      </c>
    </row>
    <row r="9469">
      <c r="A9469" t="n" s="0">
        <v>-5.32</v>
      </c>
      <c r="B9469" t="n" s="0">
        <f>(-5-((((-5*(-5/((-5/(((-5*(-5.32--5))-(-5+((-5*-5.32)*(((-5--5)+(-5.32--5))+-5.32))))-(-5+-5)))*-5)))/-5)--5)+(-5*(((-5.32*(-5.32-(-5/-5)))*(-5.32-(-5.32/(-5*-5.32))))-(-5/-5)))))</f>
        <v>-842.4086399999998</v>
      </c>
      <c r="C9469" t="n" s="0">
        <v>-842.4086400000002</v>
      </c>
    </row>
    <row r="9470">
      <c r="A9470" t="n" s="0">
        <v>-5.31</v>
      </c>
      <c r="B9470" t="n" s="0">
        <f>(-5-((((-5*(-5/((-5/(((-5*(-5.31--5))-(-5+((-5*-5.31)*(((-5--5)+(-5.31--5))+-5.31))))-(-5+-5)))*-5)))/-5)--5)+(-5*(((-5.31*(-5.31-(-5/-5)))*(-5.31-(-5.31/(-5*-5.31))))-(-5/-5)))))</f>
        <v>-837.928655</v>
      </c>
      <c r="C9470" t="n" s="0">
        <v>-837.9286549999998</v>
      </c>
    </row>
    <row r="9471">
      <c r="A9471" t="n" s="0">
        <v>-5.3</v>
      </c>
      <c r="B9471" t="n" s="0">
        <f>(-5-((((-5*(-5/((-5/(((-5*(-5.3--5))-(-5+((-5*-5.3)*(((-5--5)+(-5.3--5))+-5.3))))-(-5+-5)))*-5)))/-5)--5)+(-5*(((-5.3*(-5.3-(-5/-5)))*(-5.3-(-5.3/(-5*-5.3))))-(-5/-5)))))</f>
        <v>-833.465</v>
      </c>
      <c r="C9471" t="n" s="0">
        <v>-833.4649999999998</v>
      </c>
    </row>
    <row r="9472">
      <c r="A9472" t="n" s="0">
        <v>-5.29</v>
      </c>
      <c r="B9472" t="n" s="0">
        <f>(-5-((((-5*(-5/((-5/(((-5*(-5.29--5))-(-5+((-5*-5.29)*(((-5--5)+(-5.29--5))+-5.29))))-(-5+-5)))*-5)))/-5)--5)+(-5*(((-5.29*(-5.29-(-5/-5)))*(-5.29-(-5.29/(-5*-5.29))))-(-5/-5)))))</f>
        <v>-829.0176449999999</v>
      </c>
      <c r="C9472" t="n" s="0">
        <v>-829.017645</v>
      </c>
    </row>
    <row r="9473">
      <c r="A9473" t="n" s="0">
        <v>-5.28</v>
      </c>
      <c r="B9473" t="n" s="0">
        <f>(-5-((((-5*(-5/((-5/(((-5*(-5.28--5))-(-5+((-5*-5.28)*(((-5--5)+(-5.28--5))+-5.28))))-(-5+-5)))*-5)))/-5)--5)+(-5*(((-5.28*(-5.28-(-5/-5)))*(-5.28-(-5.28/(-5*-5.28))))-(-5/-5)))))</f>
        <v>-824.58656</v>
      </c>
      <c r="C9473" t="n" s="0">
        <v>-824.5865600000001</v>
      </c>
    </row>
    <row r="9474">
      <c r="A9474" t="n" s="0">
        <v>-5.27</v>
      </c>
      <c r="B9474" t="n" s="0">
        <f>(-5-((((-5*(-5/((-5/(((-5*(-5.27--5))-(-5+((-5*-5.27)*(((-5--5)+(-5.27--5))+-5.27))))-(-5+-5)))*-5)))/-5)--5)+(-5*(((-5.27*(-5.27-(-5/-5)))*(-5.27-(-5.27/(-5*-5.27))))-(-5/-5)))))</f>
        <v>-820.171715</v>
      </c>
      <c r="C9474" t="n" s="0">
        <v>-820.1717149999997</v>
      </c>
    </row>
    <row r="9475">
      <c r="A9475" t="n" s="0">
        <v>-5.26</v>
      </c>
      <c r="B9475" t="n" s="0">
        <f>(-5-((((-5*(-5/((-5/(((-5*(-5.26--5))-(-5+((-5*-5.26)*(((-5--5)+(-5.26--5))+-5.26))))-(-5+-5)))*-5)))/-5)--5)+(-5*(((-5.26*(-5.26-(-5/-5)))*(-5.26-(-5.26/(-5*-5.26))))-(-5/-5)))))</f>
        <v>-815.7730799999999</v>
      </c>
      <c r="C9475" t="n" s="0">
        <v>-815.7730799999998</v>
      </c>
    </row>
    <row r="9476">
      <c r="A9476" t="n" s="0">
        <v>-5.25</v>
      </c>
      <c r="B9476" t="n" s="0">
        <f>(-5-((((-5*(-5/((-5/(((-5*(-5.25--5))-(-5+((-5*-5.25)*(((-5--5)+(-5.25--5))+-5.25))))-(-5+-5)))*-5)))/-5)--5)+(-5*(((-5.25*(-5.25-(-5/-5)))*(-5.25-(-5.25/(-5*-5.25))))-(-5/-5)))))</f>
        <v>-811.3906250000002</v>
      </c>
      <c r="C9476" t="n" s="0">
        <v>-811.390625</v>
      </c>
    </row>
    <row r="9477">
      <c r="A9477" t="n" s="0">
        <v>-5.24</v>
      </c>
      <c r="B9477" t="n" s="0">
        <f>(-5-((((-5*(-5/((-5/(((-5*(-5.24--5))-(-5+((-5*-5.24)*(((-5--5)+(-5.24--5))+-5.24))))-(-5+-5)))*-5)))/-5)--5)+(-5*(((-5.24*(-5.24-(-5/-5)))*(-5.24-(-5.24/(-5*-5.24))))-(-5/-5)))))</f>
        <v>-807.02432</v>
      </c>
      <c r="C9477" t="n" s="0">
        <v>-807.0243200000001</v>
      </c>
    </row>
    <row r="9478">
      <c r="A9478" t="n" s="0">
        <v>-5.23</v>
      </c>
      <c r="B9478" t="n" s="0">
        <f>(-5-((((-5*(-5/((-5/(((-5*(-5.23--5))-(-5+((-5*-5.23)*(((-5--5)+(-5.23--5))+-5.23))))-(-5+-5)))*-5)))/-5)--5)+(-5*(((-5.23*(-5.23-(-5/-5)))*(-5.23-(-5.23/(-5*-5.23))))-(-5/-5)))))</f>
        <v>-802.6741350000002</v>
      </c>
      <c r="C9478" t="n" s="0">
        <v>-802.6741350000002</v>
      </c>
    </row>
    <row r="9479">
      <c r="A9479" t="n" s="0">
        <v>-5.22</v>
      </c>
      <c r="B9479" t="n" s="0">
        <f>(-5-((((-5*(-5/((-5/(((-5*(-5.22--5))-(-5+((-5*-5.22)*(((-5--5)+(-5.22--5))+-5.22))))-(-5+-5)))*-5)))/-5)--5)+(-5*(((-5.22*(-5.22-(-5/-5)))*(-5.22-(-5.22/(-5*-5.22))))-(-5/-5)))))</f>
        <v>-798.34004</v>
      </c>
      <c r="C9479" t="n" s="0">
        <v>-798.3400399999998</v>
      </c>
    </row>
    <row r="9480">
      <c r="A9480" t="n" s="0">
        <v>-5.21</v>
      </c>
      <c r="B9480" t="n" s="0">
        <f>(-5-((((-5*(-5/((-5/(((-5*(-5.21--5))-(-5+((-5*-5.21)*(((-5--5)+(-5.21--5))+-5.21))))-(-5+-5)))*-5)))/-5)--5)+(-5*(((-5.21*(-5.21-(-5/-5)))*(-5.21-(-5.21/(-5*-5.21))))-(-5/-5)))))</f>
        <v>-794.0220049999999</v>
      </c>
      <c r="C9480" t="n" s="0">
        <v>-794.0220049999999</v>
      </c>
    </row>
    <row r="9481">
      <c r="A9481" t="n" s="0">
        <v>-5.2</v>
      </c>
      <c r="B9481" t="n" s="0">
        <f>(-5-((((-5*(-5/((-5/(((-5*(-5.2--5))-(-5+((-5*-5.2)*(((-5--5)+(-5.2--5))+-5.2))))-(-5+-5)))*-5)))/-5)--5)+(-5*(((-5.2*(-5.2-(-5/-5)))*(-5.2-(-5.2/(-5*-5.2))))-(-5/-5)))))</f>
        <v>-789.72</v>
      </c>
      <c r="C9481" t="n" s="0">
        <v>-789.72</v>
      </c>
    </row>
    <row r="9482">
      <c r="A9482" t="n" s="0">
        <v>-5.19</v>
      </c>
      <c r="B9482" t="n" s="0">
        <f>(-5-((((-5*(-5/((-5/(((-5*(-5.19--5))-(-5+((-5*-5.19)*(((-5--5)+(-5.19--5))+-5.19))))-(-5+-5)))*-5)))/-5)--5)+(-5*(((-5.19*(-5.19-(-5/-5)))*(-5.19-(-5.19/(-5*-5.19))))-(-5/-5)))))</f>
        <v>-785.433995</v>
      </c>
      <c r="C9482" t="n" s="0">
        <v>-785.4339950000002</v>
      </c>
    </row>
    <row r="9483">
      <c r="A9483" t="n" s="0">
        <v>-5.18</v>
      </c>
      <c r="B9483" t="n" s="0">
        <f>(-5-((((-5*(-5/((-5/(((-5*(-5.18--5))-(-5+((-5*-5.18)*(((-5--5)+(-5.18--5))+-5.18))))-(-5+-5)))*-5)))/-5)--5)+(-5*(((-5.18*(-5.18-(-5/-5)))*(-5.18-(-5.18/(-5*-5.18))))-(-5/-5)))))</f>
        <v>-781.16396</v>
      </c>
      <c r="C9483" t="n" s="0">
        <v>-781.1639599999999</v>
      </c>
    </row>
    <row r="9484">
      <c r="A9484" t="n" s="0">
        <v>-5.17</v>
      </c>
      <c r="B9484" t="n" s="0">
        <f>(-5-((((-5*(-5/((-5/(((-5*(-5.17--5))-(-5+((-5*-5.17)*(((-5--5)+(-5.17--5))+-5.17))))-(-5+-5)))*-5)))/-5)--5)+(-5*(((-5.17*(-5.17-(-5/-5)))*(-5.17-(-5.17/(-5*-5.17))))-(-5/-5)))))</f>
        <v>-776.9098650000001</v>
      </c>
      <c r="C9484" t="n" s="0">
        <v>-776.909865</v>
      </c>
    </row>
    <row r="9485">
      <c r="A9485" t="n" s="0">
        <v>-5.16</v>
      </c>
      <c r="B9485" t="n" s="0">
        <f>(-5-((((-5*(-5/((-5/(((-5*(-5.16--5))-(-5+((-5*-5.16)*(((-5--5)+(-5.16--5))+-5.16))))-(-5+-5)))*-5)))/-5)--5)+(-5*(((-5.16*(-5.16-(-5/-5)))*(-5.16-(-5.16/(-5*-5.16))))-(-5/-5)))))</f>
        <v>-772.6716799999999</v>
      </c>
      <c r="C9485" t="n" s="0">
        <v>-772.6716800000002</v>
      </c>
    </row>
    <row r="9486">
      <c r="A9486" t="n" s="0">
        <v>-5.15</v>
      </c>
      <c r="B9486" t="n" s="0">
        <f>(-5-((((-5*(-5/((-5/(((-5*(-5.15--5))-(-5+((-5*-5.15)*(((-5--5)+(-5.15--5))+-5.15))))-(-5+-5)))*-5)))/-5)--5)+(-5*(((-5.15*(-5.15-(-5/-5)))*(-5.15-(-5.15/(-5*-5.15))))-(-5/-5)))))</f>
        <v>-768.4493749999999</v>
      </c>
      <c r="C9486" t="n" s="0">
        <v>-768.4493750000003</v>
      </c>
    </row>
    <row r="9487">
      <c r="A9487" t="n" s="0">
        <v>-5.14</v>
      </c>
      <c r="B9487" t="n" s="0">
        <f>(-5-((((-5*(-5/((-5/(((-5*(-5.14--5))-(-5+((-5*-5.14)*(((-5--5)+(-5.14--5))+-5.14))))-(-5+-5)))*-5)))/-5)--5)+(-5*(((-5.14*(-5.14-(-5/-5)))*(-5.14-(-5.14/(-5*-5.14))))-(-5/-5)))))</f>
        <v>-764.24292</v>
      </c>
      <c r="C9487" t="n" s="0">
        <v>-764.2429199999998</v>
      </c>
    </row>
    <row r="9488">
      <c r="A9488" t="n" s="0">
        <v>-5.13</v>
      </c>
      <c r="B9488" t="n" s="0">
        <f>(-5-((((-5*(-5/((-5/(((-5*(-5.13--5))-(-5+((-5*-5.13)*(((-5--5)+(-5.13--5))+-5.13))))-(-5+-5)))*-5)))/-5)--5)+(-5*(((-5.13*(-5.13-(-5/-5)))*(-5.13-(-5.13/(-5*-5.13))))-(-5/-5)))))</f>
        <v>-760.0522849999998</v>
      </c>
      <c r="C9488" t="n" s="0">
        <v>-760.052285</v>
      </c>
    </row>
    <row r="9489">
      <c r="A9489" t="n" s="0">
        <v>-5.12</v>
      </c>
      <c r="B9489" t="n" s="0">
        <f>(-5-((((-5*(-5/((-5/(((-5*(-5.12--5))-(-5+((-5*-5.12)*(((-5--5)+(-5.12--5))+-5.12))))-(-5+-5)))*-5)))/-5)--5)+(-5*(((-5.12*(-5.12-(-5/-5)))*(-5.12-(-5.12/(-5*-5.12))))-(-5/-5)))))</f>
        <v>-755.87744</v>
      </c>
      <c r="C9489" t="n" s="0">
        <v>-755.8774400000002</v>
      </c>
    </row>
    <row r="9490">
      <c r="A9490" t="n" s="0">
        <v>-5.11</v>
      </c>
      <c r="B9490" t="n" s="0">
        <f>(-5-((((-5*(-5/((-5/(((-5*(-5.11--5))-(-5+((-5*-5.11)*(((-5--5)+(-5.11--5))+-5.11))))-(-5+-5)))*-5)))/-5)--5)+(-5*(((-5.11*(-5.11-(-5/-5)))*(-5.11-(-5.11/(-5*-5.11))))-(-5/-5)))))</f>
        <v>-751.718355</v>
      </c>
      <c r="C9490" t="n" s="0">
        <v>-751.7183550000002</v>
      </c>
    </row>
    <row r="9491">
      <c r="A9491" t="n" s="0">
        <v>-5.1</v>
      </c>
      <c r="B9491" t="n" s="0">
        <f>(-5-((((-5*(-5/((-5/(((-5*(-5.1--5))-(-5+((-5*-5.1)*(((-5--5)+(-5.1--5))+-5.1))))-(-5+-5)))*-5)))/-5)--5)+(-5*(((-5.1*(-5.1-(-5/-5)))*(-5.1-(-5.1/(-5*-5.1))))-(-5/-5)))))</f>
        <v>-747.575</v>
      </c>
      <c r="C9491" t="n" s="0">
        <v>-747.5749999999998</v>
      </c>
    </row>
    <row r="9492">
      <c r="A9492" t="n" s="0">
        <v>-5.09</v>
      </c>
      <c r="B9492" t="n" s="0">
        <f>(-5-((((-5*(-5/((-5/(((-5*(-5.09--5))-(-5+((-5*-5.09)*(((-5--5)+(-5.09--5))+-5.09))))-(-5+-5)))*-5)))/-5)--5)+(-5*(((-5.09*(-5.09-(-5/-5)))*(-5.09-(-5.09/(-5*-5.09))))-(-5/-5)))))</f>
        <v>-743.447345</v>
      </c>
      <c r="C9492" t="n" s="0">
        <v>-743.4473449999998</v>
      </c>
    </row>
    <row r="9493">
      <c r="A9493" t="n" s="0">
        <v>-5.08</v>
      </c>
      <c r="B9493" t="n" s="0">
        <f>(-5-((((-5*(-5/((-5/(((-5*(-5.08--5))-(-5+((-5*-5.08)*(((-5--5)+(-5.08--5))+-5.08))))-(-5+-5)))*-5)))/-5)--5)+(-5*(((-5.08*(-5.08-(-5/-5)))*(-5.08-(-5.08/(-5*-5.08))))-(-5/-5)))))</f>
        <v>-739.33536</v>
      </c>
      <c r="C9493" t="n" s="0">
        <v>-739.3353600000002</v>
      </c>
    </row>
    <row r="9494">
      <c r="A9494" t="n" s="0">
        <v>-5.07</v>
      </c>
      <c r="B9494" t="n" s="0">
        <f>(-5-((((-5*(-5/((-5/(((-5*(-5.07--5))-(-5+((-5*-5.07)*(((-5--5)+(-5.07--5))+-5.07))))-(-5+-5)))*-5)))/-5)--5)+(-5*(((-5.07*(-5.07-(-5/-5)))*(-5.07-(-5.07/(-5*-5.07))))-(-5/-5)))))</f>
        <v>-735.239015</v>
      </c>
      <c r="C9494" t="n" s="0">
        <v>-735.2390150000001</v>
      </c>
    </row>
    <row r="9495">
      <c r="A9495" t="n" s="0">
        <v>-5.06</v>
      </c>
      <c r="B9495" t="n" s="0">
        <f>(-5-((((-5*(-5/((-5/(((-5*(-5.06--5))-(-5+((-5*-5.06)*(((-5--5)+(-5.06--5))+-5.06))))-(-5+-5)))*-5)))/-5)--5)+(-5*(((-5.06*(-5.06-(-5/-5)))*(-5.06-(-5.06/(-5*-5.06))))-(-5/-5)))))</f>
        <v>-731.15828</v>
      </c>
      <c r="C9495" t="n" s="0">
        <v>-731.1582799999998</v>
      </c>
    </row>
    <row r="9496">
      <c r="A9496" t="n" s="0">
        <v>-5.05</v>
      </c>
      <c r="B9496" t="n" s="0">
        <f>(-5-((((-5*(-5/((-5/(((-5*(-5.05--5))-(-5+((-5*-5.05)*(((-5--5)+(-5.05--5))+-5.05))))-(-5+-5)))*-5)))/-5)--5)+(-5*(((-5.05*(-5.05-(-5/-5)))*(-5.05-(-5.05/(-5*-5.05))))-(-5/-5)))))</f>
        <v>-727.0931250000002</v>
      </c>
      <c r="C9496" t="n" s="0">
        <v>-727.0931249999999</v>
      </c>
    </row>
    <row r="9497">
      <c r="A9497" t="n" s="0">
        <v>-5.04</v>
      </c>
      <c r="B9497" t="n" s="0">
        <f>(-5-((((-5*(-5/((-5/(((-5*(-5.04--5))-(-5+((-5*-5.04)*(((-5--5)+(-5.04--5))+-5.04))))-(-5+-5)))*-5)))/-5)--5)+(-5*(((-5.04*(-5.04-(-5/-5)))*(-5.04-(-5.04/(-5*-5.04))))-(-5/-5)))))</f>
        <v>-723.0435200000003</v>
      </c>
      <c r="C9497" t="n" s="0">
        <v>-723.0435200000001</v>
      </c>
    </row>
    <row r="9498">
      <c r="A9498" t="n" s="0">
        <v>-5.03</v>
      </c>
      <c r="B9498" t="n" s="0">
        <f>(-5-((((-5*(-5/((-5/(((-5*(-5.03--5))-(-5+((-5*-5.03)*(((-5--5)+(-5.03--5))+-5.03))))-(-5+-5)))*-5)))/-5)--5)+(-5*(((-5.03*(-5.03-(-5/-5)))*(-5.03-(-5.03/(-5*-5.03))))-(-5/-5)))))</f>
        <v>-719.0094349999999</v>
      </c>
      <c r="C9498" t="n" s="0">
        <v>-719.0094350000002</v>
      </c>
    </row>
    <row r="9499">
      <c r="A9499" t="n" s="0">
        <v>-5.02</v>
      </c>
      <c r="B9499" t="n" s="0">
        <f>(-5-((((-5*(-5/((-5/(((-5*(-5.02--5))-(-5+((-5*-5.02)*(((-5--5)+(-5.02--5))+-5.02))))-(-5+-5)))*-5)))/-5)--5)+(-5*(((-5.02*(-5.02-(-5/-5)))*(-5.02-(-5.02/(-5*-5.02))))-(-5/-5)))))</f>
        <v>-714.99084</v>
      </c>
      <c r="C9499" t="n" s="0">
        <v>-714.9908399999998</v>
      </c>
    </row>
    <row r="9500">
      <c r="A9500" t="n" s="0">
        <v>-5.01</v>
      </c>
      <c r="B9500" t="n" s="0">
        <f>(-5-((((-5*(-5/((-5/(((-5*(-5.01--5))-(-5+((-5*-5.01)*(((-5--5)+(-5.01--5))+-5.01))))-(-5+-5)))*-5)))/-5)--5)+(-5*(((-5.01*(-5.01-(-5/-5)))*(-5.01-(-5.01/(-5*-5.01))))-(-5/-5)))))</f>
        <v>-710.987705</v>
      </c>
      <c r="C9500" t="n" s="0">
        <v>-710.9877049999999</v>
      </c>
    </row>
    <row r="9501">
      <c r="A9501" t="n" s="0">
        <v>-5.0</v>
      </c>
      <c r="B9501" t="n" s="0">
        <f>(-5-((((-5*(-5/((-5/(((-5*(-5--5))-(-5+((-5*-5)*(((-5--5)+(-5--5))+-5))))-(-5+-5)))*-5)))/-5)--5)+(-5*(((-5*(-5-(-5/-5)))*(-5-(-5/(-5*-5))))-(-5/-5)))))</f>
        <v>-706.9999999999998</v>
      </c>
      <c r="C9501" t="n" s="0">
        <v>-707.0</v>
      </c>
    </row>
    <row r="9502">
      <c r="A9502" t="n" s="0">
        <v>-4.99</v>
      </c>
      <c r="B9502" t="n" s="0">
        <f>(-5-((((-5*(-5/((-5/(((-5*(-4.99--5))-(-5+((-5*-4.99)*(((-5--5)+(-4.99--5))+-4.99))))-(-5+-5)))*-5)))/-5)--5)+(-5*(((-4.99*(-4.99-(-5/-5)))*(-4.99-(-4.99/(-5*-4.99))))-(-5/-5)))))</f>
        <v>-703.0276949999998</v>
      </c>
      <c r="C9502" t="n" s="0">
        <v>-703.0276950000001</v>
      </c>
    </row>
    <row r="9503">
      <c r="A9503" t="n" s="0">
        <v>-4.98</v>
      </c>
      <c r="B9503" t="n" s="0">
        <f>(-5-((((-5*(-5/((-5/(((-5*(-4.98--5))-(-5+((-5*-4.98)*(((-5--5)+(-4.98--5))+-4.98))))-(-5+-5)))*-5)))/-5)--5)+(-5*(((-4.98*(-4.98-(-5/-5)))*(-4.98-(-4.98/(-5*-4.98))))-(-5/-5)))))</f>
        <v>-699.0707600000001</v>
      </c>
      <c r="C9503" t="n" s="0">
        <v>-699.0707600000003</v>
      </c>
    </row>
    <row r="9504">
      <c r="A9504" t="n" s="0">
        <v>-4.97</v>
      </c>
      <c r="B9504" t="n" s="0">
        <f>(-5-((((-5*(-5/((-5/(((-5*(-4.97--5))-(-5+((-5*-4.97)*(((-5--5)+(-4.97--5))+-4.97))))-(-5+-5)))*-5)))/-5)--5)+(-5*(((-4.97*(-4.97-(-5/-5)))*(-4.97-(-4.97/(-5*-4.97))))-(-5/-5)))))</f>
        <v>-695.1291650000003</v>
      </c>
      <c r="C9504" t="n" s="0">
        <v>-695.1291649999998</v>
      </c>
    </row>
    <row r="9505">
      <c r="A9505" t="n" s="0">
        <v>-4.96</v>
      </c>
      <c r="B9505" t="n" s="0">
        <f>(-5-((((-5*(-5/((-5/(((-5*(-4.96--5))-(-5+((-5*-4.96)*(((-5--5)+(-4.96--5))+-4.96))))-(-5+-5)))*-5)))/-5)--5)+(-5*(((-4.96*(-4.96-(-5/-5)))*(-4.96-(-4.96/(-5*-4.96))))-(-5/-5)))))</f>
        <v>-691.20288</v>
      </c>
      <c r="C9505" t="n" s="0">
        <v>-691.20288</v>
      </c>
    </row>
    <row r="9506">
      <c r="A9506" t="n" s="0">
        <v>-4.95</v>
      </c>
      <c r="B9506" t="n" s="0">
        <f>(-5-((((-5*(-5/((-5/(((-5*(-4.95--5))-(-5+((-5*-4.95)*(((-5--5)+(-4.95--5))+-4.95))))-(-5+-5)))*-5)))/-5)--5)+(-5*(((-4.95*(-4.95-(-5/-5)))*(-4.95-(-4.95/(-5*-4.95))))-(-5/-5)))))</f>
        <v>-687.291875</v>
      </c>
      <c r="C9506" t="n" s="0">
        <v>-687.2918750000001</v>
      </c>
    </row>
    <row r="9507">
      <c r="A9507" t="n" s="0">
        <v>-4.94</v>
      </c>
      <c r="B9507" t="n" s="0">
        <f>(-5-((((-5*(-5/((-5/(((-5*(-4.94--5))-(-5+((-5*-4.94)*(((-5--5)+(-4.94--5))+-4.94))))-(-5+-5)))*-5)))/-5)--5)+(-5*(((-4.94*(-4.94-(-5/-5)))*(-4.94-(-4.94/(-5*-4.94))))-(-5/-5)))))</f>
        <v>-683.3961199999998</v>
      </c>
      <c r="C9507" t="n" s="0">
        <v>-683.3961200000001</v>
      </c>
    </row>
    <row r="9508">
      <c r="A9508" t="n" s="0">
        <v>-4.93</v>
      </c>
      <c r="B9508" t="n" s="0">
        <f>(-5-((((-5*(-5/((-5/(((-5*(-4.93--5))-(-5+((-5*-4.93)*(((-5--5)+(-4.93--5))+-4.93))))-(-5+-5)))*-5)))/-5)--5)+(-5*(((-4.93*(-4.93-(-5/-5)))*(-4.93-(-4.93/(-5*-4.93))))-(-5/-5)))))</f>
        <v>-679.515585</v>
      </c>
      <c r="C9508" t="n" s="0">
        <v>-679.5155849999999</v>
      </c>
    </row>
    <row r="9509">
      <c r="A9509" t="n" s="0">
        <v>-4.92</v>
      </c>
      <c r="B9509" t="n" s="0">
        <f>(-5-((((-5*(-5/((-5/(((-5*(-4.92--5))-(-5+((-5*-4.92)*(((-5--5)+(-4.92--5))+-4.92))))-(-5+-5)))*-5)))/-5)--5)+(-5*(((-4.92*(-4.92-(-5/-5)))*(-4.92-(-4.92/(-5*-4.92))))-(-5/-5)))))</f>
        <v>-675.65024</v>
      </c>
      <c r="C9509" t="n" s="0">
        <v>-675.6502399999998</v>
      </c>
    </row>
    <row r="9510">
      <c r="A9510" t="n" s="0">
        <v>-4.91</v>
      </c>
      <c r="B9510" t="n" s="0">
        <f>(-5-((((-5*(-5/((-5/(((-5*(-4.91--5))-(-5+((-5*-4.91)*(((-5--5)+(-4.91--5))+-4.91))))-(-5+-5)))*-5)))/-5)--5)+(-5*(((-4.91*(-4.91-(-5/-5)))*(-4.91-(-4.91/(-5*-4.91))))-(-5/-5)))))</f>
        <v>-671.800055</v>
      </c>
      <c r="C9510" t="n" s="0">
        <v>-671.800055</v>
      </c>
    </row>
    <row r="9511">
      <c r="A9511" t="n" s="0">
        <v>-4.9</v>
      </c>
      <c r="B9511" t="n" s="0">
        <f>(-5-((((-5*(-5/((-5/(((-5*(-4.9--5))-(-5+((-5*-4.9)*(((-5--5)+(-4.9--5))+-4.9))))-(-5+-5)))*-5)))/-5)--5)+(-5*(((-4.9*(-4.9-(-5/-5)))*(-4.9-(-4.9/(-5*-4.9))))-(-5/-5)))))</f>
        <v>-667.965</v>
      </c>
      <c r="C9511" t="n" s="0">
        <v>-667.9650000000001</v>
      </c>
    </row>
    <row r="9512">
      <c r="A9512" t="n" s="0">
        <v>-4.89</v>
      </c>
      <c r="B9512" t="n" s="0">
        <f>(-5-((((-5*(-5/((-5/(((-5*(-4.89--5))-(-5+((-5*-4.89)*(((-5--5)+(-4.89--5))+-4.89))))-(-5+-5)))*-5)))/-5)--5)+(-5*(((-4.89*(-4.89-(-5/-5)))*(-4.89-(-4.89/(-5*-4.89))))-(-5/-5)))))</f>
        <v>-664.1450450000001</v>
      </c>
      <c r="C9512" t="n" s="0">
        <v>-664.1450449999999</v>
      </c>
    </row>
    <row r="9513">
      <c r="A9513" t="n" s="0">
        <v>-4.88</v>
      </c>
      <c r="B9513" t="n" s="0">
        <f>(-5-((((-5*(-5/((-5/(((-5*(-4.88--5))-(-5+((-5*-4.88)*(((-5--5)+(-4.88--5))+-4.88))))-(-5+-5)))*-5)))/-5)--5)+(-5*(((-4.88*(-4.88-(-5/-5)))*(-4.88-(-4.88/(-5*-4.88))))-(-5/-5)))))</f>
        <v>-660.3401600000001</v>
      </c>
      <c r="C9513" t="n" s="0">
        <v>-660.3401599999999</v>
      </c>
    </row>
    <row r="9514">
      <c r="A9514" t="n" s="0">
        <v>-4.87</v>
      </c>
      <c r="B9514" t="n" s="0">
        <f>(-5-((((-5*(-5/((-5/(((-5*(-4.87--5))-(-5+((-5*-4.87)*(((-5--5)+(-4.87--5))+-4.87))))-(-5+-5)))*-5)))/-5)--5)+(-5*(((-4.87*(-4.87-(-5/-5)))*(-4.87-(-4.87/(-5*-4.87))))-(-5/-5)))))</f>
        <v>-656.5503150000002</v>
      </c>
      <c r="C9514" t="n" s="0">
        <v>-656.5503150000001</v>
      </c>
    </row>
    <row r="9515">
      <c r="A9515" t="n" s="0">
        <v>-4.86</v>
      </c>
      <c r="B9515" t="n" s="0">
        <f>(-5-((((-5*(-5/((-5/(((-5*(-4.86--5))-(-5+((-5*-4.86)*(((-5--5)+(-4.86--5))+-4.86))))-(-5+-5)))*-5)))/-5)--5)+(-5*(((-4.86*(-4.86-(-5/-5)))*(-4.86-(-4.86/(-5*-4.86))))-(-5/-5)))))</f>
        <v>-652.7754799999999</v>
      </c>
      <c r="C9515" t="n" s="0">
        <v>-652.7754800000001</v>
      </c>
    </row>
    <row r="9516">
      <c r="A9516" t="n" s="0">
        <v>-4.85</v>
      </c>
      <c r="B9516" t="n" s="0">
        <f>(-5-((((-5*(-5/((-5/(((-5*(-4.85--5))-(-5+((-5*-4.85)*(((-5--5)+(-4.85--5))+-4.85))))-(-5+-5)))*-5)))/-5)--5)+(-5*(((-4.85*(-4.85-(-5/-5)))*(-4.85-(-4.85/(-5*-4.85))))-(-5/-5)))))</f>
        <v>-649.015625</v>
      </c>
      <c r="C9516" t="n" s="0">
        <v>-649.0156249999998</v>
      </c>
    </row>
    <row r="9517">
      <c r="A9517" t="n" s="0">
        <v>-4.84</v>
      </c>
      <c r="B9517" t="n" s="0">
        <f>(-5-((((-5*(-5/((-5/(((-5*(-4.84--5))-(-5+((-5*-4.84)*(((-5--5)+(-4.84--5))+-4.84))))-(-5+-5)))*-5)))/-5)--5)+(-5*(((-4.84*(-4.84-(-5/-5)))*(-4.84-(-4.84/(-5*-4.84))))-(-5/-5)))))</f>
        <v>-645.27072</v>
      </c>
      <c r="C9517" t="n" s="0">
        <v>-645.2707199999999</v>
      </c>
    </row>
    <row r="9518">
      <c r="A9518" t="n" s="0">
        <v>-4.83</v>
      </c>
      <c r="B9518" t="n" s="0">
        <f>(-5-((((-5*(-5/((-5/(((-5*(-4.83--5))-(-5+((-5*-4.83)*(((-5--5)+(-4.83--5))+-4.83))))-(-5+-5)))*-5)))/-5)--5)+(-5*(((-4.83*(-4.83-(-5/-5)))*(-4.83-(-4.83/(-5*-4.83))))-(-5/-5)))))</f>
        <v>-641.540735</v>
      </c>
      <c r="C9518" t="n" s="0">
        <v>-641.540735</v>
      </c>
    </row>
    <row r="9519">
      <c r="A9519" t="n" s="0">
        <v>-4.82</v>
      </c>
      <c r="B9519" t="n" s="0">
        <f>(-5-((((-5*(-5/((-5/(((-5*(-4.82--5))-(-5+((-5*-4.82)*(((-5--5)+(-4.82--5))+-4.82))))-(-5+-5)))*-5)))/-5)--5)+(-5*(((-4.82*(-4.82-(-5/-5)))*(-4.82-(-4.82/(-5*-4.82))))-(-5/-5)))))</f>
        <v>-637.8256399999998</v>
      </c>
      <c r="C9519" t="n" s="0">
        <v>-637.8256400000001</v>
      </c>
    </row>
    <row r="9520">
      <c r="A9520" t="n" s="0">
        <v>-4.81</v>
      </c>
      <c r="B9520" t="n" s="0">
        <f>(-5-((((-5*(-5/((-5/(((-5*(-4.81--5))-(-5+((-5*-4.81)*(((-5--5)+(-4.81--5))+-4.81))))-(-5+-5)))*-5)))/-5)--5)+(-5*(((-4.81*(-4.81-(-5/-5)))*(-4.81-(-4.81/(-5*-4.81))))-(-5/-5)))))</f>
        <v>-634.125405</v>
      </c>
      <c r="C9520" t="n" s="0">
        <v>-634.1254049999999</v>
      </c>
    </row>
    <row r="9521">
      <c r="A9521" t="n" s="0">
        <v>-4.8</v>
      </c>
      <c r="B9521" t="n" s="0">
        <f>(-5-((((-5*(-5/((-5/(((-5*(-4.8--5))-(-5+((-5*-4.8)*(((-5--5)+(-4.8--5))+-4.8))))-(-5+-5)))*-5)))/-5)--5)+(-5*(((-4.8*(-4.8-(-5/-5)))*(-4.8-(-4.8/(-5*-4.8))))-(-5/-5)))))</f>
        <v>-630.44</v>
      </c>
      <c r="C9521" t="n" s="0">
        <v>-630.4399999999999</v>
      </c>
    </row>
    <row r="9522">
      <c r="A9522" t="n" s="0">
        <v>-4.79</v>
      </c>
      <c r="B9522" t="n" s="0">
        <f>(-5-((((-5*(-5/((-5/(((-5*(-4.79--5))-(-5+((-5*-4.79)*(((-5--5)+(-4.79--5))+-4.79))))-(-5+-5)))*-5)))/-5)--5)+(-5*(((-4.79*(-4.79-(-5/-5)))*(-4.79-(-4.79/(-5*-4.79))))-(-5/-5)))))</f>
        <v>-626.769395</v>
      </c>
      <c r="C9522" t="n" s="0">
        <v>-626.769395</v>
      </c>
    </row>
    <row r="9523">
      <c r="A9523" t="n" s="0">
        <v>-4.78</v>
      </c>
      <c r="B9523" t="n" s="0">
        <f>(-5-((((-5*(-5/((-5/(((-5*(-4.78--5))-(-5+((-5*-4.78)*(((-5--5)+(-4.78--5))+-4.78))))-(-5+-5)))*-5)))/-5)--5)+(-5*(((-4.78*(-4.78-(-5/-5)))*(-4.78-(-4.78/(-5*-4.78))))-(-5/-5)))))</f>
        <v>-623.11356</v>
      </c>
      <c r="C9523" t="n" s="0">
        <v>-623.1135600000001</v>
      </c>
    </row>
    <row r="9524">
      <c r="A9524" t="n" s="0">
        <v>-4.77</v>
      </c>
      <c r="B9524" t="n" s="0">
        <f>(-5-((((-5*(-5/((-5/(((-5*(-4.77--5))-(-5+((-5*-4.77)*(((-5--5)+(-4.77--5))+-4.77))))-(-5+-5)))*-5)))/-5)--5)+(-5*(((-4.77*(-4.77-(-5/-5)))*(-4.77-(-4.77/(-5*-4.77))))-(-5/-5)))))</f>
        <v>-619.4724649999998</v>
      </c>
      <c r="C9524" t="n" s="0">
        <v>-619.4724649999998</v>
      </c>
    </row>
    <row r="9525">
      <c r="A9525" t="n" s="0">
        <v>-4.76</v>
      </c>
      <c r="B9525" t="n" s="0">
        <f>(-5-((((-5*(-5/((-5/(((-5*(-4.76--5))-(-5+((-5*-4.76)*(((-5--5)+(-4.76--5))+-4.76))))-(-5+-5)))*-5)))/-5)--5)+(-5*(((-4.76*(-4.76-(-5/-5)))*(-4.76-(-4.76/(-5*-4.76))))-(-5/-5)))))</f>
        <v>-615.8460799999999</v>
      </c>
      <c r="C9525" t="n" s="0">
        <v>-615.8460799999999</v>
      </c>
    </row>
    <row r="9526">
      <c r="A9526" t="n" s="0">
        <v>-4.75</v>
      </c>
      <c r="B9526" t="n" s="0">
        <f>(-5-((((-5*(-5/((-5/(((-5*(-4.75--5))-(-5+((-5*-4.75)*(((-5--5)+(-4.75--5))+-4.75))))-(-5+-5)))*-5)))/-5)--5)+(-5*(((-4.75*(-4.75-(-5/-5)))*(-4.75-(-4.75/(-5*-4.75))))-(-5/-5)))))</f>
        <v>-612.234375</v>
      </c>
      <c r="C9526" t="n" s="0">
        <v>-612.234375</v>
      </c>
    </row>
    <row r="9527">
      <c r="A9527" t="n" s="0">
        <v>-4.74</v>
      </c>
      <c r="B9527" t="n" s="0">
        <f>(-5-((((-5*(-5/((-5/(((-5*(-4.74--5))-(-5+((-5*-4.74)*(((-5--5)+(-4.74--5))+-4.74))))-(-5+-5)))*-5)))/-5)--5)+(-5*(((-4.74*(-4.74-(-5/-5)))*(-4.74-(-4.74/(-5*-4.74))))-(-5/-5)))))</f>
        <v>-608.6373200000003</v>
      </c>
      <c r="C9527" t="n" s="0">
        <v>-608.6373200000002</v>
      </c>
    </row>
    <row r="9528">
      <c r="A9528" t="n" s="0">
        <v>-4.73</v>
      </c>
      <c r="B9528" t="n" s="0">
        <f>(-5-((((-5*(-5/((-5/(((-5*(-4.73--5))-(-5+((-5*-4.73)*(((-5--5)+(-4.73--5))+-4.73))))-(-5+-5)))*-5)))/-5)--5)+(-5*(((-4.73*(-4.73-(-5/-5)))*(-4.73-(-4.73/(-5*-4.73))))-(-5/-5)))))</f>
        <v>-605.054885</v>
      </c>
      <c r="C9528" t="n" s="0">
        <v>-605.0548850000002</v>
      </c>
    </row>
    <row r="9529">
      <c r="A9529" t="n" s="0">
        <v>-4.72</v>
      </c>
      <c r="B9529" t="n" s="0">
        <f>(-5-((((-5*(-5/((-5/(((-5*(-4.72--5))-(-5+((-5*-4.72)*(((-5--5)+(-4.72--5))+-4.72))))-(-5+-5)))*-5)))/-5)--5)+(-5*(((-4.72*(-4.72-(-5/-5)))*(-4.72-(-4.72/(-5*-4.72))))-(-5/-5)))))</f>
        <v>-601.4870400000001</v>
      </c>
      <c r="C9529" t="n" s="0">
        <v>-601.4870399999999</v>
      </c>
    </row>
    <row r="9530">
      <c r="A9530" t="n" s="0">
        <v>-4.71</v>
      </c>
      <c r="B9530" t="n" s="0">
        <f>(-5-((((-5*(-5/((-5/(((-5*(-4.71--5))-(-5+((-5*-4.71)*(((-5--5)+(-4.71--5))+-4.71))))-(-5+-5)))*-5)))/-5)--5)+(-5*(((-4.71*(-4.71-(-5/-5)))*(-4.71-(-4.71/(-5*-4.71))))-(-5/-5)))))</f>
        <v>-597.933755</v>
      </c>
      <c r="C9530" t="n" s="0">
        <v>-597.933755</v>
      </c>
    </row>
    <row r="9531">
      <c r="A9531" t="n" s="0">
        <v>-4.7</v>
      </c>
      <c r="B9531" t="n" s="0">
        <f>(-5-((((-5*(-5/((-5/(((-5*(-4.7--5))-(-5+((-5*-4.7)*(((-5--5)+(-4.7--5))+-4.7))))-(-5+-5)))*-5)))/-5)--5)+(-5*(((-4.7*(-4.7-(-5/-5)))*(-4.7-(-4.7/(-5*-4.7))))-(-5/-5)))))</f>
        <v>-594.395</v>
      </c>
      <c r="C9531" t="n" s="0">
        <v>-594.3950000000001</v>
      </c>
    </row>
    <row r="9532">
      <c r="A9532" t="n" s="0">
        <v>-4.69</v>
      </c>
      <c r="B9532" t="n" s="0">
        <f>(-5-((((-5*(-5/((-5/(((-5*(-4.69--5))-(-5+((-5*-4.69)*(((-5--5)+(-4.69--5))+-4.69))))-(-5+-5)))*-5)))/-5)--5)+(-5*(((-4.69*(-4.69-(-5/-5)))*(-4.69-(-4.69/(-5*-4.69))))-(-5/-5)))))</f>
        <v>-590.8707449999999</v>
      </c>
      <c r="C9532" t="n" s="0">
        <v>-590.8707450000002</v>
      </c>
    </row>
    <row r="9533">
      <c r="A9533" t="n" s="0">
        <v>-4.68</v>
      </c>
      <c r="B9533" t="n" s="0">
        <f>(-5-((((-5*(-5/((-5/(((-5*(-4.68--5))-(-5+((-5*-4.68)*(((-5--5)+(-4.68--5))+-4.68))))-(-5+-5)))*-5)))/-5)--5)+(-5*(((-4.68*(-4.68-(-5/-5)))*(-4.68-(-4.68/(-5*-4.68))))-(-5/-5)))))</f>
        <v>-587.36096</v>
      </c>
      <c r="C9533" t="n" s="0">
        <v>-587.3609599999999</v>
      </c>
    </row>
    <row r="9534">
      <c r="A9534" t="n" s="0">
        <v>-4.67</v>
      </c>
      <c r="B9534" t="n" s="0">
        <f>(-5-((((-5*(-5/((-5/(((-5*(-4.67--5))-(-5+((-5*-4.67)*(((-5--5)+(-4.67--5))+-4.67))))-(-5+-5)))*-5)))/-5)--5)+(-5*(((-4.67*(-4.67-(-5/-5)))*(-4.67-(-4.67/(-5*-4.67))))-(-5/-5)))))</f>
        <v>-583.8656149999999</v>
      </c>
      <c r="C9534" t="n" s="0">
        <v>-583.8656149999999</v>
      </c>
    </row>
    <row r="9535">
      <c r="A9535" t="n" s="0">
        <v>-4.66</v>
      </c>
      <c r="B9535" t="n" s="0">
        <f>(-5-((((-5*(-5/((-5/(((-5*(-4.66--5))-(-5+((-5*-4.66)*(((-5--5)+(-4.66--5))+-4.66))))-(-5+-5)))*-5)))/-5)--5)+(-5*(((-4.66*(-4.66-(-5/-5)))*(-4.66-(-4.66/(-5*-4.66))))-(-5/-5)))))</f>
        <v>-580.38468</v>
      </c>
      <c r="C9535" t="n" s="0">
        <v>-580.3846800000001</v>
      </c>
    </row>
    <row r="9536">
      <c r="A9536" t="n" s="0">
        <v>-4.65</v>
      </c>
      <c r="B9536" t="n" s="0">
        <f>(-5-((((-5*(-5/((-5/(((-5*(-4.65--5))-(-5+((-5*-4.65)*(((-5--5)+(-4.65--5))+-4.65))))-(-5+-5)))*-5)))/-5)--5)+(-5*(((-4.65*(-4.65-(-5/-5)))*(-4.65-(-4.65/(-5*-4.65))))-(-5/-5)))))</f>
        <v>-576.918125</v>
      </c>
      <c r="C9536" t="n" s="0">
        <v>-576.9181250000001</v>
      </c>
    </row>
    <row r="9537">
      <c r="A9537" t="n" s="0">
        <v>-4.64</v>
      </c>
      <c r="B9537" t="n" s="0">
        <f>(-5-((((-5*(-5/((-5/(((-5*(-4.64--5))-(-5+((-5*-4.64)*(((-5--5)+(-4.64--5))+-4.64))))-(-5+-5)))*-5)))/-5)--5)+(-5*(((-4.64*(-4.64-(-5/-5)))*(-4.64-(-4.64/(-5*-4.64))))-(-5/-5)))))</f>
        <v>-573.46592</v>
      </c>
      <c r="C9537" t="n" s="0">
        <v>-573.4659199999999</v>
      </c>
    </row>
    <row r="9538">
      <c r="A9538" t="n" s="0">
        <v>-4.63</v>
      </c>
      <c r="B9538" t="n" s="0">
        <f>(-5-((((-5*(-5/((-5/(((-5*(-4.63--5))-(-5+((-5*-4.63)*(((-5--5)+(-4.63--5))+-4.63))))-(-5+-5)))*-5)))/-5)--5)+(-5*(((-4.63*(-4.63-(-5/-5)))*(-4.63-(-4.63/(-5*-4.63))))-(-5/-5)))))</f>
        <v>-570.028035</v>
      </c>
      <c r="C9538" t="n" s="0">
        <v>-570.0280349999999</v>
      </c>
    </row>
    <row r="9539">
      <c r="A9539" t="n" s="0">
        <v>-4.62</v>
      </c>
      <c r="B9539" t="n" s="0">
        <f>(-5-((((-5*(-5/((-5/(((-5*(-4.62--5))-(-5+((-5*-4.62)*(((-5--5)+(-4.62--5))+-4.62))))-(-5+-5)))*-5)))/-5)--5)+(-5*(((-4.62*(-4.62-(-5/-5)))*(-4.62-(-4.62/(-5*-4.62))))-(-5/-5)))))</f>
        <v>-566.6044400000002</v>
      </c>
      <c r="C9539" t="n" s="0">
        <v>-566.6044400000001</v>
      </c>
    </row>
    <row r="9540">
      <c r="A9540" t="n" s="0">
        <v>-4.61</v>
      </c>
      <c r="B9540" t="n" s="0">
        <f>(-5-((((-5*(-5/((-5/(((-5*(-4.61--5))-(-5+((-5*-4.61)*(((-5--5)+(-4.61--5))+-4.61))))-(-5+-5)))*-5)))/-5)--5)+(-5*(((-4.61*(-4.61-(-5/-5)))*(-4.61-(-4.61/(-5*-4.61))))-(-5/-5)))))</f>
        <v>-563.195105</v>
      </c>
      <c r="C9540" t="n" s="0">
        <v>-563.1951050000001</v>
      </c>
    </row>
    <row r="9541">
      <c r="A9541" t="n" s="0">
        <v>-4.6</v>
      </c>
      <c r="B9541" t="n" s="0">
        <f>(-5-((((-5*(-5/((-5/(((-5*(-4.6--5))-(-5+((-5*-4.6)*(((-5--5)+(-4.6--5))+-4.6))))-(-5+-5)))*-5)))/-5)--5)+(-5*(((-4.6*(-4.6-(-5/-5)))*(-4.6-(-4.6/(-5*-4.6))))-(-5/-5)))))</f>
        <v>-559.8000000000001</v>
      </c>
      <c r="C9541" t="n" s="0">
        <v>-559.8</v>
      </c>
    </row>
    <row r="9542">
      <c r="A9542" t="n" s="0">
        <v>-4.59</v>
      </c>
      <c r="B9542" t="n" s="0">
        <f>(-5-((((-5*(-5/((-5/(((-5*(-4.59--5))-(-5+((-5*-4.59)*(((-5--5)+(-4.59--5))+-4.59))))-(-5+-5)))*-5)))/-5)--5)+(-5*(((-4.59*(-4.59-(-5/-5)))*(-4.59-(-4.59/(-5*-4.59))))-(-5/-5)))))</f>
        <v>-556.419095</v>
      </c>
      <c r="C9542" t="n" s="0">
        <v>-556.419095</v>
      </c>
    </row>
    <row r="9543">
      <c r="A9543" t="n" s="0">
        <v>-4.58</v>
      </c>
      <c r="B9543" t="n" s="0">
        <f>(-5-((((-5*(-5/((-5/(((-5*(-4.58--5))-(-5+((-5*-4.58)*(((-5--5)+(-4.58--5))+-4.58))))-(-5+-5)))*-5)))/-5)--5)+(-5*(((-4.58*(-4.58-(-5/-5)))*(-4.58-(-4.58/(-5*-4.58))))-(-5/-5)))))</f>
        <v>-553.05236</v>
      </c>
      <c r="C9543" t="n" s="0">
        <v>-553.05236</v>
      </c>
    </row>
    <row r="9544">
      <c r="A9544" t="n" s="0">
        <v>-4.57</v>
      </c>
      <c r="B9544" t="n" s="0">
        <f>(-5-((((-5*(-5/((-5/(((-5*(-4.57--5))-(-5+((-5*-4.57)*(((-5--5)+(-4.57--5))+-4.57))))-(-5+-5)))*-5)))/-5)--5)+(-5*(((-4.57*(-4.57-(-5/-5)))*(-4.57-(-4.57/(-5*-4.57))))-(-5/-5)))))</f>
        <v>-549.6997650000001</v>
      </c>
      <c r="C9544" t="n" s="0">
        <v>-549.6997650000002</v>
      </c>
    </row>
    <row r="9545">
      <c r="A9545" t="n" s="0">
        <v>-4.56</v>
      </c>
      <c r="B9545" t="n" s="0">
        <f>(-5-((((-5*(-5/((-5/(((-5*(-4.56--5))-(-5+((-5*-4.56)*(((-5--5)+(-4.56--5))+-4.56))))-(-5+-5)))*-5)))/-5)--5)+(-5*(((-4.56*(-4.56-(-5/-5)))*(-4.56-(-4.56/(-5*-4.56))))-(-5/-5)))))</f>
        <v>-546.36128</v>
      </c>
      <c r="C9545" t="n" s="0">
        <v>-546.3612799999997</v>
      </c>
    </row>
    <row r="9546">
      <c r="A9546" t="n" s="0">
        <v>-4.55</v>
      </c>
      <c r="B9546" t="n" s="0">
        <f>(-5-((((-5*(-5/((-5/(((-5*(-4.55--5))-(-5+((-5*-4.55)*(((-5--5)+(-4.55--5))+-4.55))))-(-5+-5)))*-5)))/-5)--5)+(-5*(((-4.55*(-4.55-(-5/-5)))*(-4.55-(-4.55/(-5*-4.55))))-(-5/-5)))))</f>
        <v>-543.036875</v>
      </c>
      <c r="C9546" t="n" s="0">
        <v>-543.0368749999999</v>
      </c>
    </row>
    <row r="9547">
      <c r="A9547" t="n" s="0">
        <v>-4.54</v>
      </c>
      <c r="B9547" t="n" s="0">
        <f>(-5-((((-5*(-5/((-5/(((-5*(-4.54--5))-(-5+((-5*-4.54)*(((-5--5)+(-4.54--5))+-4.54))))-(-5+-5)))*-5)))/-5)--5)+(-5*(((-4.54*(-4.54-(-5/-5)))*(-4.54-(-4.54/(-5*-4.54))))-(-5/-5)))))</f>
        <v>-539.7265199999999</v>
      </c>
      <c r="C9547" t="n" s="0">
        <v>-539.72652</v>
      </c>
    </row>
    <row r="9548">
      <c r="A9548" t="n" s="0">
        <v>-4.53</v>
      </c>
      <c r="B9548" t="n" s="0">
        <f>(-5-((((-5*(-5/((-5/(((-5*(-4.53--5))-(-5+((-5*-4.53)*(((-5--5)+(-4.53--5))+-4.53))))-(-5+-5)))*-5)))/-5)--5)+(-5*(((-4.53*(-4.53-(-5/-5)))*(-4.53-(-4.53/(-5*-4.53))))-(-5/-5)))))</f>
        <v>-536.430185</v>
      </c>
      <c r="C9548" t="n" s="0">
        <v>-536.430185</v>
      </c>
    </row>
    <row r="9549">
      <c r="A9549" t="n" s="0">
        <v>-4.52</v>
      </c>
      <c r="B9549" t="n" s="0">
        <f>(-5-((((-5*(-5/((-5/(((-5*(-4.52--5))-(-5+((-5*-4.52)*(((-5--5)+(-4.52--5))+-4.52))))-(-5+-5)))*-5)))/-5)--5)+(-5*(((-4.52*(-4.52-(-5/-5)))*(-4.52-(-4.52/(-5*-4.52))))-(-5/-5)))))</f>
        <v>-533.1478400000002</v>
      </c>
      <c r="C9549" t="n" s="0">
        <v>-533.1478399999999</v>
      </c>
    </row>
    <row r="9550">
      <c r="A9550" t="n" s="0">
        <v>-4.51</v>
      </c>
      <c r="B9550" t="n" s="0">
        <f>(-5-((((-5*(-5/((-5/(((-5*(-4.51--5))-(-5+((-5*-4.51)*(((-5--5)+(-4.51--5))+-4.51))))-(-5+-5)))*-5)))/-5)--5)+(-5*(((-4.51*(-4.51-(-5/-5)))*(-4.51-(-4.51/(-5*-4.51))))-(-5/-5)))))</f>
        <v>-529.8794549999999</v>
      </c>
      <c r="C9550" t="n" s="0">
        <v>-529.8794549999999</v>
      </c>
    </row>
    <row r="9551">
      <c r="A9551" t="n" s="0">
        <v>-4.5</v>
      </c>
      <c r="B9551" t="n" s="0">
        <f>(-5-((((-5*(-5/((-5/(((-5*(-4.5--5))-(-5+((-5*-4.5)*(((-5--5)+(-4.5--5))+-4.5))))-(-5+-5)))*-5)))/-5)--5)+(-5*(((-4.5*(-4.5-(-5/-5)))*(-4.5-(-4.5/(-5*-4.5))))-(-5/-5)))))</f>
        <v>-526.625</v>
      </c>
      <c r="C9551" t="n" s="0">
        <v>-526.625</v>
      </c>
    </row>
    <row r="9552">
      <c r="A9552" t="n" s="0">
        <v>-4.49</v>
      </c>
      <c r="B9552" t="n" s="0">
        <f>(-5-((((-5*(-5/((-5/(((-5*(-4.49--5))-(-5+((-5*-4.49)*(((-5--5)+(-4.49--5))+-4.49))))-(-5+-5)))*-5)))/-5)--5)+(-5*(((-4.49*(-4.49-(-5/-5)))*(-4.49-(-4.49/(-5*-4.49))))-(-5/-5)))))</f>
        <v>-523.384445</v>
      </c>
      <c r="C9552" t="n" s="0">
        <v>-523.3844450000001</v>
      </c>
    </row>
    <row r="9553">
      <c r="A9553" t="n" s="0">
        <v>-4.48</v>
      </c>
      <c r="B9553" t="n" s="0">
        <f>(-5-((((-5*(-5/((-5/(((-5*(-4.48--5))-(-5+((-5*-4.48)*(((-5--5)+(-4.48--5))+-4.48))))-(-5+-5)))*-5)))/-5)--5)+(-5*(((-4.48*(-4.48-(-5/-5)))*(-4.48-(-4.48/(-5*-4.48))))-(-5/-5)))))</f>
        <v>-520.1577599999999</v>
      </c>
      <c r="C9553" t="n" s="0">
        <v>-520.15776</v>
      </c>
    </row>
    <row r="9554">
      <c r="A9554" t="n" s="0">
        <v>-4.47</v>
      </c>
      <c r="B9554" t="n" s="0">
        <f>(-5-((((-5*(-5/((-5/(((-5*(-4.47--5))-(-5+((-5*-4.47)*(((-5--5)+(-4.47--5))+-4.47))))-(-5+-5)))*-5)))/-5)--5)+(-5*(((-4.47*(-4.47-(-5/-5)))*(-4.47-(-4.47/(-5*-4.47))))-(-5/-5)))))</f>
        <v>-516.944915</v>
      </c>
      <c r="C9554" t="n" s="0">
        <v>-516.9449149999999</v>
      </c>
    </row>
    <row r="9555">
      <c r="A9555" t="n" s="0">
        <v>-4.46</v>
      </c>
      <c r="B9555" t="n" s="0">
        <f>(-5-((((-5*(-5/((-5/(((-5*(-4.46--5))-(-5+((-5*-4.46)*(((-5--5)+(-4.46--5))+-4.46))))-(-5+-5)))*-5)))/-5)--5)+(-5*(((-4.46*(-4.46-(-5/-5)))*(-4.46-(-4.46/(-5*-4.46))))-(-5/-5)))))</f>
        <v>-513.7458799999999</v>
      </c>
      <c r="C9555" t="n" s="0">
        <v>-513.74588</v>
      </c>
    </row>
    <row r="9556">
      <c r="A9556" t="n" s="0">
        <v>-4.45</v>
      </c>
      <c r="B9556" t="n" s="0">
        <f>(-5-((((-5*(-5/((-5/(((-5*(-4.45--5))-(-5+((-5*-4.45)*(((-5--5)+(-4.45--5))+-4.45))))-(-5+-5)))*-5)))/-5)--5)+(-5*(((-4.45*(-4.45-(-5/-5)))*(-4.45-(-4.45/(-5*-4.45))))-(-5/-5)))))</f>
        <v>-510.5606249999999</v>
      </c>
      <c r="C9556" t="n" s="0">
        <v>-510.5606250000001</v>
      </c>
    </row>
    <row r="9557">
      <c r="A9557" t="n" s="0">
        <v>-4.44</v>
      </c>
      <c r="B9557" t="n" s="0">
        <f>(-5-((((-5*(-5/((-5/(((-5*(-4.44--5))-(-5+((-5*-4.44)*(((-5--5)+(-4.44--5))+-4.44))))-(-5+-5)))*-5)))/-5)--5)+(-5*(((-4.44*(-4.44-(-5/-5)))*(-4.44-(-4.44/(-5*-4.44))))-(-5/-5)))))</f>
        <v>-507.38912000000005</v>
      </c>
      <c r="C9557" t="n" s="0">
        <v>-507.3891200000001</v>
      </c>
    </row>
    <row r="9558">
      <c r="A9558" t="n" s="0">
        <v>-4.43</v>
      </c>
      <c r="B9558" t="n" s="0">
        <f>(-5-((((-5*(-5/((-5/(((-5*(-4.43--5))-(-5+((-5*-4.43)*(((-5--5)+(-4.43--5))+-4.43))))-(-5+-5)))*-5)))/-5)--5)+(-5*(((-4.43*(-4.43-(-5/-5)))*(-4.43-(-4.43/(-5*-4.43))))-(-5/-5)))))</f>
        <v>-504.23133499999994</v>
      </c>
      <c r="C9558" t="n" s="0">
        <v>-504.23133499999994</v>
      </c>
    </row>
    <row r="9559">
      <c r="A9559" t="n" s="0">
        <v>-4.42</v>
      </c>
      <c r="B9559" t="n" s="0">
        <f>(-5-((((-5*(-5/((-5/(((-5*(-4.42--5))-(-5+((-5*-4.42)*(((-5--5)+(-4.42--5))+-4.42))))-(-5+-5)))*-5)))/-5)--5)+(-5*(((-4.42*(-4.42-(-5/-5)))*(-4.42-(-4.42/(-5*-4.42))))-(-5/-5)))))</f>
        <v>-501.08723999999995</v>
      </c>
      <c r="C9559" t="n" s="0">
        <v>-501.08723999999995</v>
      </c>
    </row>
    <row r="9560">
      <c r="A9560" t="n" s="0">
        <v>-4.41</v>
      </c>
      <c r="B9560" t="n" s="0">
        <f>(-5-((((-5*(-5/((-5/(((-5*(-4.41--5))-(-5+((-5*-4.41)*(((-5--5)+(-4.41--5))+-4.41))))-(-5+-5)))*-5)))/-5)--5)+(-5*(((-4.41*(-4.41-(-5/-5)))*(-4.41-(-4.41/(-5*-4.41))))-(-5/-5)))))</f>
        <v>-497.95680500000003</v>
      </c>
      <c r="C9560" t="n" s="0">
        <v>-497.9568050000001</v>
      </c>
    </row>
    <row r="9561">
      <c r="A9561" t="n" s="0">
        <v>-4.4</v>
      </c>
      <c r="B9561" t="n" s="0">
        <f>(-5-((((-5*(-5/((-5/(((-5*(-4.4--5))-(-5+((-5*-4.4)*(((-5--5)+(-4.4--5))+-4.4))))-(-5+-5)))*-5)))/-5)--5)+(-5*(((-4.4*(-4.4-(-5/-5)))*(-4.4-(-4.4/(-5*-4.4))))-(-5/-5)))))</f>
        <v>-494.84</v>
      </c>
      <c r="C9561" t="n" s="0">
        <v>-494.84000000000015</v>
      </c>
    </row>
    <row r="9562">
      <c r="A9562" t="n" s="0">
        <v>-4.39</v>
      </c>
      <c r="B9562" t="n" s="0">
        <f>(-5-((((-5*(-5/((-5/(((-5*(-4.39--5))-(-5+((-5*-4.39)*(((-5--5)+(-4.39--5))+-4.39))))-(-5+-5)))*-5)))/-5)--5)+(-5*(((-4.39*(-4.39-(-5/-5)))*(-4.39-(-4.39/(-5*-4.39))))-(-5/-5)))))</f>
        <v>-491.73679500000003</v>
      </c>
      <c r="C9562" t="n" s="0">
        <v>-491.7367949999999</v>
      </c>
    </row>
    <row r="9563">
      <c r="A9563" t="n" s="0">
        <v>-4.38</v>
      </c>
      <c r="B9563" t="n" s="0">
        <f>(-5-((((-5*(-5/((-5/(((-5*(-4.38--5))-(-5+((-5*-4.38)*(((-5--5)+(-4.38--5))+-4.38))))-(-5+-5)))*-5)))/-5)--5)+(-5*(((-4.38*(-4.38-(-5/-5)))*(-4.38-(-4.38/(-5*-4.38))))-(-5/-5)))))</f>
        <v>-488.64716000000004</v>
      </c>
      <c r="C9563" t="n" s="0">
        <v>-488.64716</v>
      </c>
    </row>
    <row r="9564">
      <c r="A9564" t="n" s="0">
        <v>-4.37</v>
      </c>
      <c r="B9564" t="n" s="0">
        <f>(-5-((((-5*(-5/((-5/(((-5*(-4.37--5))-(-5+((-5*-4.37)*(((-5--5)+(-4.37--5))+-4.37))))-(-5+-5)))*-5)))/-5)--5)+(-5*(((-4.37*(-4.37-(-5/-5)))*(-4.37-(-4.37/(-5*-4.37))))-(-5/-5)))))</f>
        <v>-485.57106500000003</v>
      </c>
      <c r="C9564" t="n" s="0">
        <v>-485.5710650000001</v>
      </c>
    </row>
    <row r="9565">
      <c r="A9565" t="n" s="0">
        <v>-4.36</v>
      </c>
      <c r="B9565" t="n" s="0">
        <f>(-5-((((-5*(-5/((-5/(((-5*(-4.36--5))-(-5+((-5*-4.36)*(((-5--5)+(-4.36--5))+-4.36))))-(-5+-5)))*-5)))/-5)--5)+(-5*(((-4.36*(-4.36-(-5/-5)))*(-4.36-(-4.36/(-5*-4.36))))-(-5/-5)))))</f>
        <v>-482.50847999999996</v>
      </c>
      <c r="C9565" t="n" s="0">
        <v>-482.5084800000001</v>
      </c>
    </row>
    <row r="9566">
      <c r="A9566" t="n" s="0">
        <v>-4.35</v>
      </c>
      <c r="B9566" t="n" s="0">
        <f>(-5-((((-5*(-5/((-5/(((-5*(-4.35--5))-(-5+((-5*-4.35)*(((-5--5)+(-4.35--5))+-4.35))))-(-5+-5)))*-5)))/-5)--5)+(-5*(((-4.35*(-4.35-(-5/-5)))*(-4.35-(-4.35/(-5*-4.35))))-(-5/-5)))))</f>
        <v>-479.459375</v>
      </c>
      <c r="C9566" t="n" s="0">
        <v>-479.45937499999985</v>
      </c>
    </row>
    <row r="9567">
      <c r="A9567" t="n" s="0">
        <v>-4.34</v>
      </c>
      <c r="B9567" t="n" s="0">
        <f>(-5-((((-5*(-5/((-5/(((-5*(-4.34--5))-(-5+((-5*-4.34)*(((-5--5)+(-4.34--5))+-4.34))))-(-5+-5)))*-5)))/-5)--5)+(-5*(((-4.34*(-4.34-(-5/-5)))*(-4.34-(-4.34/(-5*-4.34))))-(-5/-5)))))</f>
        <v>-476.42372</v>
      </c>
      <c r="C9567" t="n" s="0">
        <v>-476.4237199999999</v>
      </c>
    </row>
    <row r="9568">
      <c r="A9568" t="n" s="0">
        <v>-4.33</v>
      </c>
      <c r="B9568" t="n" s="0">
        <f>(-5-((((-5*(-5/((-5/(((-5*(-4.33--5))-(-5+((-5*-4.33)*(((-5--5)+(-4.33--5))+-4.33))))-(-5+-5)))*-5)))/-5)--5)+(-5*(((-4.33*(-4.33-(-5/-5)))*(-4.33-(-4.33/(-5*-4.33))))-(-5/-5)))))</f>
        <v>-473.40148500000004</v>
      </c>
      <c r="C9568" t="n" s="0">
        <v>-473.401485</v>
      </c>
    </row>
    <row r="9569">
      <c r="A9569" t="n" s="0">
        <v>-4.32</v>
      </c>
      <c r="B9569" t="n" s="0">
        <f>(-5-((((-5*(-5/((-5/(((-5*(-4.32--5))-(-5+((-5*-4.32)*(((-5--5)+(-4.32--5))+-4.32))))-(-5+-5)))*-5)))/-5)--5)+(-5*(((-4.32*(-4.32-(-5/-5)))*(-4.32-(-4.32/(-5*-4.32))))-(-5/-5)))))</f>
        <v>-470.39264</v>
      </c>
      <c r="C9569" t="n" s="0">
        <v>-470.39264000000003</v>
      </c>
    </row>
    <row r="9570">
      <c r="A9570" t="n" s="0">
        <v>-4.31</v>
      </c>
      <c r="B9570" t="n" s="0">
        <f>(-5-((((-5*(-5/((-5/(((-5*(-4.31--5))-(-5+((-5*-4.31)*(((-5--5)+(-4.31--5))+-4.31))))-(-5+-5)))*-5)))/-5)--5)+(-5*(((-4.31*(-4.31-(-5/-5)))*(-4.31-(-4.31/(-5*-4.31))))-(-5/-5)))))</f>
        <v>-467.397155</v>
      </c>
      <c r="C9570" t="n" s="0">
        <v>-467.39715499999994</v>
      </c>
    </row>
    <row r="9571">
      <c r="A9571" t="n" s="0">
        <v>-4.3</v>
      </c>
      <c r="B9571" t="n" s="0">
        <f>(-5-((((-5*(-5/((-5/(((-5*(-4.3--5))-(-5+((-5*-4.3)*(((-5--5)+(-4.3--5))+-4.3))))-(-5+-5)))*-5)))/-5)--5)+(-5*(((-4.3*(-4.3-(-5/-5)))*(-4.3-(-4.3/(-5*-4.3))))-(-5/-5)))))</f>
        <v>-464.41499999999996</v>
      </c>
      <c r="C9571" t="n" s="0">
        <v>-464.41499999999996</v>
      </c>
    </row>
    <row r="9572">
      <c r="A9572" t="n" s="0">
        <v>-4.29</v>
      </c>
      <c r="B9572" t="n" s="0">
        <f>(-5-((((-5*(-5/((-5/(((-5*(-4.29--5))-(-5+((-5*-4.29)*(((-5--5)+(-4.29--5))+-4.29))))-(-5+-5)))*-5)))/-5)--5)+(-5*(((-4.29*(-4.29-(-5/-5)))*(-4.29-(-4.29/(-5*-4.29))))-(-5/-5)))))</f>
        <v>-461.446145</v>
      </c>
      <c r="C9572" t="n" s="0">
        <v>-461.44614500000006</v>
      </c>
    </row>
    <row r="9573">
      <c r="A9573" t="n" s="0">
        <v>-4.28</v>
      </c>
      <c r="B9573" t="n" s="0">
        <f>(-5-((((-5*(-5/((-5/(((-5*(-4.28--5))-(-5+((-5*-4.28)*(((-5--5)+(-4.28--5))+-4.28))))-(-5+-5)))*-5)))/-5)--5)+(-5*(((-4.28*(-4.28-(-5/-5)))*(-4.28-(-4.28/(-5*-4.28))))-(-5/-5)))))</f>
        <v>-458.49056</v>
      </c>
      <c r="C9573" t="n" s="0">
        <v>-458.49056</v>
      </c>
    </row>
    <row r="9574">
      <c r="A9574" t="n" s="0">
        <v>-4.27</v>
      </c>
      <c r="B9574" t="n" s="0">
        <f>(-5-((((-5*(-5/((-5/(((-5*(-4.27--5))-(-5+((-5*-4.27)*(((-5--5)+(-4.27--5))+-4.27))))-(-5+-5)))*-5)))/-5)--5)+(-5*(((-4.27*(-4.27-(-5/-5)))*(-4.27-(-4.27/(-5*-4.27))))-(-5/-5)))))</f>
        <v>-455.54821499999997</v>
      </c>
      <c r="C9574" t="n" s="0">
        <v>-455.54821499999986</v>
      </c>
    </row>
    <row r="9575">
      <c r="A9575" t="n" s="0">
        <v>-4.26</v>
      </c>
      <c r="B9575" t="n" s="0">
        <f>(-5-((((-5*(-5/((-5/(((-5*(-4.26--5))-(-5+((-5*-4.26)*(((-5--5)+(-4.26--5))+-4.26))))-(-5+-5)))*-5)))/-5)--5)+(-5*(((-4.26*(-4.26-(-5/-5)))*(-4.26-(-4.26/(-5*-4.26))))-(-5/-5)))))</f>
        <v>-452.61908</v>
      </c>
      <c r="C9575" t="n" s="0">
        <v>-452.61907999999994</v>
      </c>
    </row>
    <row r="9576">
      <c r="A9576" t="n" s="0">
        <v>-4.25</v>
      </c>
      <c r="B9576" t="n" s="0">
        <f>(-5-((((-5*(-5/((-5/(((-5*(-4.25--5))-(-5+((-5*-4.25)*(((-5--5)+(-4.25--5))+-4.25))))-(-5+-5)))*-5)))/-5)--5)+(-5*(((-4.25*(-4.25-(-5/-5)))*(-4.25-(-4.25/(-5*-4.25))))-(-5/-5)))))</f>
        <v>-449.703125</v>
      </c>
      <c r="C9576" t="n" s="0">
        <v>-449.703125</v>
      </c>
    </row>
    <row r="9577">
      <c r="A9577" t="n" s="0">
        <v>-4.24</v>
      </c>
      <c r="B9577" t="n" s="0">
        <f>(-5-((((-5*(-5/((-5/(((-5*(-4.24--5))-(-5+((-5*-4.24)*(((-5--5)+(-4.24--5))+-4.24))))-(-5+-5)))*-5)))/-5)--5)+(-5*(((-4.24*(-4.24-(-5/-5)))*(-4.24-(-4.24/(-5*-4.24))))-(-5/-5)))))</f>
        <v>-446.80032</v>
      </c>
      <c r="C9577" t="n" s="0">
        <v>-446.80032000000006</v>
      </c>
    </row>
    <row r="9578">
      <c r="A9578" t="n" s="0">
        <v>-4.23</v>
      </c>
      <c r="B9578" t="n" s="0">
        <f>(-5-((((-5*(-5/((-5/(((-5*(-4.23--5))-(-5+((-5*-4.23)*(((-5--5)+(-4.23--5))+-4.23))))-(-5+-5)))*-5)))/-5)--5)+(-5*(((-4.23*(-4.23-(-5/-5)))*(-4.23-(-4.23/(-5*-4.23))))-(-5/-5)))))</f>
        <v>-443.910635</v>
      </c>
      <c r="C9578" t="n" s="0">
        <v>-443.9106350000001</v>
      </c>
    </row>
    <row r="9579">
      <c r="A9579" t="n" s="0">
        <v>-4.22</v>
      </c>
      <c r="B9579" t="n" s="0">
        <f>(-5-((((-5*(-5/((-5/(((-5*(-4.22--5))-(-5+((-5*-4.22)*(((-5--5)+(-4.22--5))+-4.22))))-(-5+-5)))*-5)))/-5)--5)+(-5*(((-4.22*(-4.22-(-5/-5)))*(-4.22-(-4.22/(-5*-4.22))))-(-5/-5)))))</f>
        <v>-441.03404</v>
      </c>
      <c r="C9579" t="n" s="0">
        <v>-441.03403999999995</v>
      </c>
    </row>
    <row r="9580">
      <c r="A9580" t="n" s="0">
        <v>-4.21</v>
      </c>
      <c r="B9580" t="n" s="0">
        <f>(-5-((((-5*(-5/((-5/(((-5*(-4.21--5))-(-5+((-5*-4.21)*(((-5--5)+(-4.21--5))+-4.21))))-(-5+-5)))*-5)))/-5)--5)+(-5*(((-4.21*(-4.21-(-5/-5)))*(-4.21-(-4.21/(-5*-4.21))))-(-5/-5)))))</f>
        <v>-438.170505</v>
      </c>
      <c r="C9580" t="n" s="0">
        <v>-438.170505</v>
      </c>
    </row>
    <row r="9581">
      <c r="A9581" t="n" s="0">
        <v>-4.2</v>
      </c>
      <c r="B9581" t="n" s="0">
        <f>(-5-((((-5*(-5/((-5/(((-5*(-4.2--5))-(-5+((-5*-4.2)*(((-5--5)+(-4.2--5))+-4.2))))-(-5+-5)))*-5)))/-5)--5)+(-5*(((-4.2*(-4.2-(-5/-5)))*(-4.2-(-4.2/(-5*-4.2))))-(-5/-5)))))</f>
        <v>-435.32</v>
      </c>
      <c r="C9581" t="n" s="0">
        <v>-435.32000000000005</v>
      </c>
    </row>
    <row r="9582">
      <c r="A9582" t="n" s="0">
        <v>-4.19</v>
      </c>
      <c r="B9582" t="n" s="0">
        <f>(-5-((((-5*(-5/((-5/(((-5*(-4.19--5))-(-5+((-5*-4.19)*(((-5--5)+(-4.19--5))+-4.19))))-(-5+-5)))*-5)))/-5)--5)+(-5*(((-4.19*(-4.19-(-5/-5)))*(-4.19-(-4.19/(-5*-4.19))))-(-5/-5)))))</f>
        <v>-432.48249500000003</v>
      </c>
      <c r="C9582" t="n" s="0">
        <v>-432.48249500000014</v>
      </c>
    </row>
    <row r="9583">
      <c r="A9583" t="n" s="0">
        <v>-4.18</v>
      </c>
      <c r="B9583" t="n" s="0">
        <f>(-5-((((-5*(-5/((-5/(((-5*(-4.18--5))-(-5+((-5*-4.18)*(((-5--5)+(-4.18--5))+-4.18))))-(-5+-5)))*-5)))/-5)--5)+(-5*(((-4.18*(-4.18-(-5/-5)))*(-4.18-(-4.18/(-5*-4.18))))-(-5/-5)))))</f>
        <v>-429.65796</v>
      </c>
      <c r="C9583" t="n" s="0">
        <v>-429.65795999999995</v>
      </c>
    </row>
    <row r="9584">
      <c r="A9584" t="n" s="0">
        <v>-4.17</v>
      </c>
      <c r="B9584" t="n" s="0">
        <f>(-5-((((-5*(-5/((-5/(((-5*(-4.17--5))-(-5+((-5*-4.17)*(((-5--5)+(-4.17--5))+-4.17))))-(-5+-5)))*-5)))/-5)--5)+(-5*(((-4.17*(-4.17-(-5/-5)))*(-4.17-(-4.17/(-5*-4.17))))-(-5/-5)))))</f>
        <v>-426.846365</v>
      </c>
      <c r="C9584" t="n" s="0">
        <v>-426.846365</v>
      </c>
    </row>
    <row r="9585">
      <c r="A9585" t="n" s="0">
        <v>-4.16</v>
      </c>
      <c r="B9585" t="n" s="0">
        <f>(-5-((((-5*(-5/((-5/(((-5*(-4.16--5))-(-5+((-5*-4.16)*(((-5--5)+(-4.16--5))+-4.16))))-(-5+-5)))*-5)))/-5)--5)+(-5*(((-4.16*(-4.16-(-5/-5)))*(-4.16-(-4.16/(-5*-4.16))))-(-5/-5)))))</f>
        <v>-424.04768</v>
      </c>
      <c r="C9585" t="n" s="0">
        <v>-424.04768000000007</v>
      </c>
    </row>
    <row r="9586">
      <c r="A9586" t="n" s="0">
        <v>-4.15</v>
      </c>
      <c r="B9586" t="n" s="0">
        <f>(-5-((((-5*(-5/((-5/(((-5*(-4.15--5))-(-5+((-5*-4.15)*(((-5--5)+(-4.15--5))+-4.15))))-(-5+-5)))*-5)))/-5)--5)+(-5*(((-4.15*(-4.15-(-5/-5)))*(-4.15-(-4.15/(-5*-4.15))))-(-5/-5)))))</f>
        <v>-421.261875</v>
      </c>
      <c r="C9586" t="n" s="0">
        <v>-421.2618750000001</v>
      </c>
    </row>
    <row r="9587">
      <c r="A9587" t="n" s="0">
        <v>-4.14</v>
      </c>
      <c r="B9587" t="n" s="0">
        <f>(-5-((((-5*(-5/((-5/(((-5*(-4.14--5))-(-5+((-5*-4.14)*(((-5--5)+(-4.14--5))+-4.14))))-(-5+-5)))*-5)))/-5)--5)+(-5*(((-4.14*(-4.14-(-5/-5)))*(-4.14-(-4.14/(-5*-4.14))))-(-5/-5)))))</f>
        <v>-418.48892</v>
      </c>
      <c r="C9587" t="n" s="0">
        <v>-418.48891999999995</v>
      </c>
    </row>
    <row r="9588">
      <c r="A9588" t="n" s="0">
        <v>-4.13</v>
      </c>
      <c r="B9588" t="n" s="0">
        <f>(-5-((((-5*(-5/((-5/(((-5*(-4.13--5))-(-5+((-5*-4.13)*(((-5--5)+(-4.13--5))+-4.13))))-(-5+-5)))*-5)))/-5)--5)+(-5*(((-4.13*(-4.13-(-5/-5)))*(-4.13-(-4.13/(-5*-4.13))))-(-5/-5)))))</f>
        <v>-415.728785</v>
      </c>
      <c r="C9588" t="n" s="0">
        <v>-415.728785</v>
      </c>
    </row>
    <row r="9589">
      <c r="A9589" t="n" s="0">
        <v>-4.12</v>
      </c>
      <c r="B9589" t="n" s="0">
        <f>(-5-((((-5*(-5/((-5/(((-5*(-4.12--5))-(-5+((-5*-4.12)*(((-5--5)+(-4.12--5))+-4.12))))-(-5+-5)))*-5)))/-5)--5)+(-5*(((-4.12*(-4.12-(-5/-5)))*(-4.12-(-4.12/(-5*-4.12))))-(-5/-5)))))</f>
        <v>-412.98144</v>
      </c>
      <c r="C9589" t="n" s="0">
        <v>-412.98144</v>
      </c>
    </row>
    <row r="9590">
      <c r="A9590" t="n" s="0">
        <v>-4.11</v>
      </c>
      <c r="B9590" t="n" s="0">
        <f>(-5-((((-5*(-5/((-5/(((-5*(-4.11--5))-(-5+((-5*-4.11)*(((-5--5)+(-4.11--5))+-4.11))))-(-5+-5)))*-5)))/-5)--5)+(-5*(((-4.11*(-4.11-(-5/-5)))*(-4.11-(-4.11/(-5*-4.11))))-(-5/-5)))))</f>
        <v>-410.246855</v>
      </c>
      <c r="C9590" t="n" s="0">
        <v>-410.24685500000004</v>
      </c>
    </row>
    <row r="9591">
      <c r="A9591" t="n" s="0">
        <v>-4.1</v>
      </c>
      <c r="B9591" t="n" s="0">
        <f>(-5-((((-5*(-5/((-5/(((-5*(-4.1--5))-(-5+((-5*-4.1)*(((-5--5)+(-4.1--5))+-4.1))))-(-5+-5)))*-5)))/-5)--5)+(-5*(((-4.1*(-4.1-(-5/-5)))*(-4.1-(-4.1/(-5*-4.1))))-(-5/-5)))))</f>
        <v>-407.525</v>
      </c>
      <c r="C9591" t="n" s="0">
        <v>-407.5249999999999</v>
      </c>
    </row>
    <row r="9592">
      <c r="A9592" t="n" s="0">
        <v>-4.09</v>
      </c>
      <c r="B9592" t="n" s="0">
        <f>(-5-((((-5*(-5/((-5/(((-5*(-4.09--5))-(-5+((-5*-4.09)*(((-5--5)+(-4.09--5))+-4.09))))-(-5+-5)))*-5)))/-5)--5)+(-5*(((-4.09*(-4.09-(-5/-5)))*(-4.09-(-4.09/(-5*-4.09))))-(-5/-5)))))</f>
        <v>-404.81584499999997</v>
      </c>
      <c r="C9592" t="n" s="0">
        <v>-404.81584499999985</v>
      </c>
    </row>
    <row r="9593">
      <c r="A9593" t="n" s="0">
        <v>-4.08</v>
      </c>
      <c r="B9593" t="n" s="0">
        <f>(-5-((((-5*(-5/((-5/(((-5*(-4.08--5))-(-5+((-5*-4.08)*(((-5--5)+(-4.08--5))+-4.08))))-(-5+-5)))*-5)))/-5)--5)+(-5*(((-4.08*(-4.08-(-5/-5)))*(-4.08-(-4.08/(-5*-4.08))))-(-5/-5)))))</f>
        <v>-402.11936</v>
      </c>
      <c r="C9593" t="n" s="0">
        <v>-402.1193600000001</v>
      </c>
    </row>
    <row r="9594">
      <c r="A9594" t="n" s="0">
        <v>-4.07</v>
      </c>
      <c r="B9594" t="n" s="0">
        <f>(-5-((((-5*(-5/((-5/(((-5*(-4.07--5))-(-5+((-5*-4.07)*(((-5--5)+(-4.07--5))+-4.07))))-(-5+-5)))*-5)))/-5)--5)+(-5*(((-4.07*(-4.07-(-5/-5)))*(-4.07-(-4.07/(-5*-4.07))))-(-5/-5)))))</f>
        <v>-399.435515</v>
      </c>
      <c r="C9594" t="n" s="0">
        <v>-399.43551500000007</v>
      </c>
    </row>
    <row r="9595">
      <c r="A9595" t="n" s="0">
        <v>-4.06</v>
      </c>
      <c r="B9595" t="n" s="0">
        <f>(-5-((((-5*(-5/((-5/(((-5*(-4.06--5))-(-5+((-5*-4.06)*(((-5--5)+(-4.06--5))+-4.06))))-(-5+-5)))*-5)))/-5)--5)+(-5*(((-4.06*(-4.06-(-5/-5)))*(-4.06-(-4.06/(-5*-4.06))))-(-5/-5)))))</f>
        <v>-396.76428000000004</v>
      </c>
      <c r="C9595" t="n" s="0">
        <v>-396.76427999999987</v>
      </c>
    </row>
    <row r="9596">
      <c r="A9596" t="n" s="0">
        <v>-4.05</v>
      </c>
      <c r="B9596" t="n" s="0">
        <f>(-5-((((-5*(-5/((-5/(((-5*(-4.05--5))-(-5+((-5*-4.05)*(((-5--5)+(-4.05--5))+-4.05))))-(-5+-5)))*-5)))/-5)--5)+(-5*(((-4.05*(-4.05-(-5/-5)))*(-4.05-(-4.05/(-5*-4.05))))-(-5/-5)))))</f>
        <v>-394.105625</v>
      </c>
      <c r="C9596" t="n" s="0">
        <v>-394.1056249999999</v>
      </c>
    </row>
    <row r="9597">
      <c r="A9597" t="n" s="0">
        <v>-4.04</v>
      </c>
      <c r="B9597" t="n" s="0">
        <f>(-5-((((-5*(-5/((-5/(((-5*(-4.04--5))-(-5+((-5*-4.04)*(((-5--5)+(-4.04--5))+-4.04))))-(-5+-5)))*-5)))/-5)--5)+(-5*(((-4.04*(-4.04-(-5/-5)))*(-4.04-(-4.04/(-5*-4.04))))-(-5/-5)))))</f>
        <v>-391.45952</v>
      </c>
      <c r="C9597" t="n" s="0">
        <v>-391.45952</v>
      </c>
    </row>
    <row r="9598">
      <c r="A9598" t="n" s="0">
        <v>-4.03</v>
      </c>
      <c r="B9598" t="n" s="0">
        <f>(-5-((((-5*(-5/((-5/(((-5*(-4.03--5))-(-5+((-5*-4.03)*(((-5--5)+(-4.03--5))+-4.03))))-(-5+-5)))*-5)))/-5)--5)+(-5*(((-4.03*(-4.03-(-5/-5)))*(-4.03-(-4.03/(-5*-4.03))))-(-5/-5)))))</f>
        <v>-388.82593499999996</v>
      </c>
      <c r="C9598" t="n" s="0">
        <v>-388.8259350000001</v>
      </c>
    </row>
    <row r="9599">
      <c r="A9599" t="n" s="0">
        <v>-4.02</v>
      </c>
      <c r="B9599" t="n" s="0">
        <f>(-5-((((-5*(-5/((-5/(((-5*(-4.02--5))-(-5+((-5*-4.02)*(((-5--5)+(-4.02--5))+-4.02))))-(-5+-5)))*-5)))/-5)--5)+(-5*(((-4.02*(-4.02-(-5/-5)))*(-4.02-(-4.02/(-5*-4.02))))-(-5/-5)))))</f>
        <v>-386.20484000000005</v>
      </c>
      <c r="C9599" t="n" s="0">
        <v>-386.2048399999998</v>
      </c>
    </row>
    <row r="9600">
      <c r="A9600" t="n" s="0">
        <v>-4.01</v>
      </c>
      <c r="B9600" t="n" s="0">
        <f>(-5-((((-5*(-5/((-5/(((-5*(-4.01--5))-(-5+((-5*-4.01)*(((-5--5)+(-4.01--5))+-4.01))))-(-5+-5)))*-5)))/-5)--5)+(-5*(((-4.01*(-4.01-(-5/-5)))*(-4.01-(-4.01/(-5*-4.01))))-(-5/-5)))))</f>
        <v>-383.596205</v>
      </c>
      <c r="C9600" t="n" s="0">
        <v>-383.5962049999999</v>
      </c>
    </row>
    <row r="9601">
      <c r="A9601" t="n" s="0">
        <v>-4.0</v>
      </c>
      <c r="B9601" t="n" s="0">
        <f>(-5-((((-5*(-5/((-5/(((-5*(-4--5))-(-5+((-5*-4)*(((-5--5)+(-4--5))+-4))))-(-5+-5)))*-5)))/-5)--5)+(-5*(((-4*(-4-(-5/-5)))*(-4-(-4/(-5*-4))))-(-5/-5)))))</f>
        <v>-381.0</v>
      </c>
      <c r="C9601" t="n" s="0">
        <v>-381.0</v>
      </c>
    </row>
    <row r="9602">
      <c r="A9602" t="n" s="0">
        <v>-3.99</v>
      </c>
      <c r="B9602" t="n" s="0">
        <f>(-5-((((-5*(-5/((-5/(((-5*(-3.99--5))-(-5+((-5*-3.99)*(((-5--5)+(-3.99--5))+-3.99))))-(-5+-5)))*-5)))/-5)--5)+(-5*(((-3.99*(-3.99-(-5/-5)))*(-3.99-(-3.99/(-5*-3.99))))-(-5/-5)))))</f>
        <v>-378.416195</v>
      </c>
      <c r="C9602" t="n" s="0">
        <v>-378.4161950000001</v>
      </c>
    </row>
    <row r="9603">
      <c r="A9603" t="n" s="0">
        <v>-3.98</v>
      </c>
      <c r="B9603" t="n" s="0">
        <f>(-5-((((-5*(-5/((-5/(((-5*(-3.98--5))-(-5+((-5*-3.98)*(((-5--5)+(-3.98--5))+-3.98))))-(-5+-5)))*-5)))/-5)--5)+(-5*(((-3.98*(-3.98-(-5/-5)))*(-3.98-(-3.98/(-5*-3.98))))-(-5/-5)))))</f>
        <v>-375.84476</v>
      </c>
      <c r="C9603" t="n" s="0">
        <v>-375.84476</v>
      </c>
    </row>
    <row r="9604">
      <c r="A9604" t="n" s="0">
        <v>-3.97</v>
      </c>
      <c r="B9604" t="n" s="0">
        <f>(-5-((((-5*(-5/((-5/(((-5*(-3.97--5))-(-5+((-5*-3.97)*(((-5--5)+(-3.97--5))+-3.97))))-(-5+-5)))*-5)))/-5)--5)+(-5*(((-3.97*(-3.97-(-5/-5)))*(-3.97-(-3.97/(-5*-3.97))))-(-5/-5)))))</f>
        <v>-373.285665</v>
      </c>
      <c r="C9604" t="n" s="0">
        <v>-373.28566500000005</v>
      </c>
    </row>
    <row r="9605">
      <c r="A9605" t="n" s="0">
        <v>-3.96</v>
      </c>
      <c r="B9605" t="n" s="0">
        <f>(-5-((((-5*(-5/((-5/(((-5*(-3.96--5))-(-5+((-5*-3.96)*(((-5--5)+(-3.96--5))+-3.96))))-(-5+-5)))*-5)))/-5)--5)+(-5*(((-3.96*(-3.96-(-5/-5)))*(-3.96-(-3.96/(-5*-3.96))))-(-5/-5)))))</f>
        <v>-370.73888000000005</v>
      </c>
      <c r="C9605" t="n" s="0">
        <v>-370.73888</v>
      </c>
    </row>
    <row r="9606">
      <c r="A9606" t="n" s="0">
        <v>-3.95</v>
      </c>
      <c r="B9606" t="n" s="0">
        <f>(-5-((((-5*(-5/((-5/(((-5*(-3.95--5))-(-5+((-5*-3.95)*(((-5--5)+(-3.95--5))+-3.95))))-(-5+-5)))*-5)))/-5)--5)+(-5*(((-3.95*(-3.95-(-5/-5)))*(-3.95-(-3.95/(-5*-3.95))))-(-5/-5)))))</f>
        <v>-368.204375</v>
      </c>
      <c r="C9606" t="n" s="0">
        <v>-368.204375</v>
      </c>
    </row>
    <row r="9607">
      <c r="A9607" t="n" s="0">
        <v>-3.94</v>
      </c>
      <c r="B9607" t="n" s="0">
        <f>(-5-((((-5*(-5/((-5/(((-5*(-3.94--5))-(-5+((-5*-3.94)*(((-5--5)+(-3.94--5))+-3.94))))-(-5+-5)))*-5)))/-5)--5)+(-5*(((-3.94*(-3.94-(-5/-5)))*(-3.94-(-3.94/(-5*-3.94))))-(-5/-5)))))</f>
        <v>-365.68212</v>
      </c>
      <c r="C9607" t="n" s="0">
        <v>-365.68211999999994</v>
      </c>
    </row>
    <row r="9608">
      <c r="A9608" t="n" s="0">
        <v>-3.93</v>
      </c>
      <c r="B9608" t="n" s="0">
        <f>(-5-((((-5*(-5/((-5/(((-5*(-3.93--5))-(-5+((-5*-3.93)*(((-5--5)+(-3.93--5))+-3.93))))-(-5+-5)))*-5)))/-5)--5)+(-5*(((-3.93*(-3.93-(-5/-5)))*(-3.93-(-3.93/(-5*-3.93))))-(-5/-5)))))</f>
        <v>-363.172085</v>
      </c>
      <c r="C9608" t="n" s="0">
        <v>-363.17208500000004</v>
      </c>
    </row>
    <row r="9609">
      <c r="A9609" t="n" s="0">
        <v>-3.92</v>
      </c>
      <c r="B9609" t="n" s="0">
        <f>(-5-((((-5*(-5/((-5/(((-5*(-3.92--5))-(-5+((-5*-3.92)*(((-5--5)+(-3.92--5))+-3.92))))-(-5+-5)))*-5)))/-5)--5)+(-5*(((-3.92*(-3.92-(-5/-5)))*(-3.92-(-3.92/(-5*-3.92))))-(-5/-5)))))</f>
        <v>-360.67424</v>
      </c>
      <c r="C9609" t="n" s="0">
        <v>-360.67423999999994</v>
      </c>
    </row>
    <row r="9610">
      <c r="A9610" t="n" s="0">
        <v>-3.91</v>
      </c>
      <c r="B9610" t="n" s="0">
        <f>(-5-((((-5*(-5/((-5/(((-5*(-3.91--5))-(-5+((-5*-3.91)*(((-5--5)+(-3.91--5))+-3.91))))-(-5+-5)))*-5)))/-5)--5)+(-5*(((-3.91*(-3.91-(-5/-5)))*(-3.91-(-3.91/(-5*-3.91))))-(-5/-5)))))</f>
        <v>-358.188555</v>
      </c>
      <c r="C9610" t="n" s="0">
        <v>-358.18855500000006</v>
      </c>
    </row>
    <row r="9611">
      <c r="A9611" t="n" s="0">
        <v>-3.9</v>
      </c>
      <c r="B9611" t="n" s="0">
        <f>(-5-((((-5*(-5/((-5/(((-5*(-3.9--5))-(-5+((-5*-3.9)*(((-5--5)+(-3.9--5))+-3.9))))-(-5+-5)))*-5)))/-5)--5)+(-5*(((-3.9*(-3.9-(-5/-5)))*(-3.9-(-3.9/(-5*-3.9))))-(-5/-5)))))</f>
        <v>-355.71500000000003</v>
      </c>
      <c r="C9611" t="n" s="0">
        <v>-355.715</v>
      </c>
    </row>
    <row r="9612">
      <c r="A9612" t="n" s="0">
        <v>-3.89</v>
      </c>
      <c r="B9612" t="n" s="0">
        <f>(-5-((((-5*(-5/((-5/(((-5*(-3.89--5))-(-5+((-5*-3.89)*(((-5--5)+(-3.89--5))+-3.89))))-(-5+-5)))*-5)))/-5)--5)+(-5*(((-3.89*(-3.89-(-5/-5)))*(-3.89-(-3.89/(-5*-3.89))))-(-5/-5)))))</f>
        <v>-353.253545</v>
      </c>
      <c r="C9612" t="n" s="0">
        <v>-353.2535450000001</v>
      </c>
    </row>
    <row r="9613">
      <c r="A9613" t="n" s="0">
        <v>-3.88</v>
      </c>
      <c r="B9613" t="n" s="0">
        <f>(-5-((((-5*(-5/((-5/(((-5*(-3.88--5))-(-5+((-5*-3.88)*(((-5--5)+(-3.88--5))+-3.88))))-(-5+-5)))*-5)))/-5)--5)+(-5*(((-3.88*(-3.88-(-5/-5)))*(-3.88-(-3.88/(-5*-3.88))))-(-5/-5)))))</f>
        <v>-350.80416</v>
      </c>
      <c r="C9613" t="n" s="0">
        <v>-350.80415999999997</v>
      </c>
    </row>
    <row r="9614">
      <c r="A9614" t="n" s="0">
        <v>-3.87</v>
      </c>
      <c r="B9614" t="n" s="0">
        <f>(-5-((((-5*(-5/((-5/(((-5*(-3.87--5))-(-5+((-5*-3.87)*(((-5--5)+(-3.87--5))+-3.87))))-(-5+-5)))*-5)))/-5)--5)+(-5*(((-3.87*(-3.87-(-5/-5)))*(-3.87-(-3.87/(-5*-3.87))))-(-5/-5)))))</f>
        <v>-348.36681500000003</v>
      </c>
      <c r="C9614" t="n" s="0">
        <v>-348.36681500000003</v>
      </c>
    </row>
    <row r="9615">
      <c r="A9615" t="n" s="0">
        <v>-3.86</v>
      </c>
      <c r="B9615" t="n" s="0">
        <f>(-5-((((-5*(-5/((-5/(((-5*(-3.86--5))-(-5+((-5*-3.86)*(((-5--5)+(-3.86--5))+-3.86))))-(-5+-5)))*-5)))/-5)--5)+(-5*(((-3.86*(-3.86-(-5/-5)))*(-3.86-(-3.86/(-5*-3.86))))-(-5/-5)))))</f>
        <v>-345.94148</v>
      </c>
      <c r="C9615" t="n" s="0">
        <v>-345.94147999999996</v>
      </c>
    </row>
    <row r="9616">
      <c r="A9616" t="n" s="0">
        <v>-3.85</v>
      </c>
      <c r="B9616" t="n" s="0">
        <f>(-5-((((-5*(-5/((-5/(((-5*(-3.85--5))-(-5+((-5*-3.85)*(((-5--5)+(-3.85--5))+-3.85))))-(-5+-5)))*-5)))/-5)--5)+(-5*(((-3.85*(-3.85-(-5/-5)))*(-3.85-(-3.85/(-5*-3.85))))-(-5/-5)))))</f>
        <v>-343.528125</v>
      </c>
      <c r="C9616" t="n" s="0">
        <v>-343.528125</v>
      </c>
    </row>
    <row r="9617">
      <c r="A9617" t="n" s="0">
        <v>-3.84</v>
      </c>
      <c r="B9617" t="n" s="0">
        <f>(-5-((((-5*(-5/((-5/(((-5*(-3.84--5))-(-5+((-5*-3.84)*(((-5--5)+(-3.84--5))+-3.84))))-(-5+-5)))*-5)))/-5)--5)+(-5*(((-3.84*(-3.84-(-5/-5)))*(-3.84-(-3.84/(-5*-3.84))))-(-5/-5)))))</f>
        <v>-341.12672000000003</v>
      </c>
      <c r="C9617" t="n" s="0">
        <v>-341.1267199999999</v>
      </c>
    </row>
    <row r="9618">
      <c r="A9618" t="n" s="0">
        <v>-3.83</v>
      </c>
      <c r="B9618" t="n" s="0">
        <f>(-5-((((-5*(-5/((-5/(((-5*(-3.83--5))-(-5+((-5*-3.83)*(((-5--5)+(-3.83--5))+-3.83))))-(-5+-5)))*-5)))/-5)--5)+(-5*(((-3.83*(-3.83-(-5/-5)))*(-3.83-(-3.83/(-5*-3.83))))-(-5/-5)))))</f>
        <v>-338.737235</v>
      </c>
      <c r="C9618" t="n" s="0">
        <v>-338.73723500000006</v>
      </c>
    </row>
    <row r="9619">
      <c r="A9619" t="n" s="0">
        <v>-3.82</v>
      </c>
      <c r="B9619" t="n" s="0">
        <f>(-5-((((-5*(-5/((-5/(((-5*(-3.82--5))-(-5+((-5*-3.82)*(((-5--5)+(-3.82--5))+-3.82))))-(-5+-5)))*-5)))/-5)--5)+(-5*(((-3.82*(-3.82-(-5/-5)))*(-3.82-(-3.82/(-5*-3.82))))-(-5/-5)))))</f>
        <v>-336.35963999999996</v>
      </c>
      <c r="C9619" t="n" s="0">
        <v>-336.35963999999996</v>
      </c>
    </row>
    <row r="9620">
      <c r="A9620" t="n" s="0">
        <v>-3.81</v>
      </c>
      <c r="B9620" t="n" s="0">
        <f>(-5-((((-5*(-5/((-5/(((-5*(-3.81--5))-(-5+((-5*-3.81)*(((-5--5)+(-3.81--5))+-3.81))))-(-5+-5)))*-5)))/-5)--5)+(-5*(((-3.81*(-3.81-(-5/-5)))*(-3.81-(-3.81/(-5*-3.81))))-(-5/-5)))))</f>
        <v>-333.99390500000004</v>
      </c>
      <c r="C9620" t="n" s="0">
        <v>-333.993905</v>
      </c>
    </row>
    <row r="9621">
      <c r="A9621" t="n" s="0">
        <v>-3.8</v>
      </c>
      <c r="B9621" t="n" s="0">
        <f>(-5-((((-5*(-5/((-5/(((-5*(-3.8--5))-(-5+((-5*-3.8)*(((-5--5)+(-3.8--5))+-3.8))))-(-5+-5)))*-5)))/-5)--5)+(-5*(((-3.8*(-3.8-(-5/-5)))*(-3.8-(-3.8/(-5*-3.8))))-(-5/-5)))))</f>
        <v>-331.64</v>
      </c>
      <c r="C9621" t="n" s="0">
        <v>-331.63999999999993</v>
      </c>
    </row>
    <row r="9622">
      <c r="A9622" t="n" s="0">
        <v>-3.79</v>
      </c>
      <c r="B9622" t="n" s="0">
        <f>(-5-((((-5*(-5/((-5/(((-5*(-3.79--5))-(-5+((-5*-3.79)*(((-5--5)+(-3.79--5))+-3.79))))-(-5+-5)))*-5)))/-5)--5)+(-5*(((-3.79*(-3.79-(-5/-5)))*(-3.79-(-3.79/(-5*-3.79))))-(-5/-5)))))</f>
        <v>-329.297895</v>
      </c>
      <c r="C9622" t="n" s="0">
        <v>-329.29789500000004</v>
      </c>
    </row>
    <row r="9623">
      <c r="A9623" t="n" s="0">
        <v>-3.78</v>
      </c>
      <c r="B9623" t="n" s="0">
        <f>(-5-((((-5*(-5/((-5/(((-5*(-3.78--5))-(-5+((-5*-3.78)*(((-5--5)+(-3.78--5))+-3.78))))-(-5+-5)))*-5)))/-5)--5)+(-5*(((-3.78*(-3.78-(-5/-5)))*(-3.78-(-3.78/(-5*-3.78))))-(-5/-5)))))</f>
        <v>-326.96756</v>
      </c>
      <c r="C9623" t="n" s="0">
        <v>-326.96755999999993</v>
      </c>
    </row>
    <row r="9624">
      <c r="A9624" t="n" s="0">
        <v>-3.77</v>
      </c>
      <c r="B9624" t="n" s="0">
        <f>(-5-((((-5*(-5/((-5/(((-5*(-3.77--5))-(-5+((-5*-3.77)*(((-5--5)+(-3.77--5))+-3.77))))-(-5+-5)))*-5)))/-5)--5)+(-5*(((-3.77*(-3.77-(-5/-5)))*(-3.77-(-3.77/(-5*-3.77))))-(-5/-5)))))</f>
        <v>-324.648965</v>
      </c>
      <c r="C9624" t="n" s="0">
        <v>-324.648965</v>
      </c>
    </row>
    <row r="9625">
      <c r="A9625" t="n" s="0">
        <v>-3.76</v>
      </c>
      <c r="B9625" t="n" s="0">
        <f>(-5-((((-5*(-5/((-5/(((-5*(-3.76--5))-(-5+((-5*-3.76)*(((-5--5)+(-3.76--5))+-3.76))))-(-5+-5)))*-5)))/-5)--5)+(-5*(((-3.76*(-3.76-(-5/-5)))*(-3.76-(-3.76/(-5*-3.76))))-(-5/-5)))))</f>
        <v>-322.34207999999995</v>
      </c>
      <c r="C9625" t="n" s="0">
        <v>-322.3420799999999</v>
      </c>
    </row>
    <row r="9626">
      <c r="A9626" t="n" s="0">
        <v>-3.75</v>
      </c>
      <c r="B9626" t="n" s="0">
        <f>(-5-((((-5*(-5/((-5/(((-5*(-3.75--5))-(-5+((-5*-3.75)*(((-5--5)+(-3.75--5))+-3.75))))-(-5+-5)))*-5)))/-5)--5)+(-5*(((-3.75*(-3.75-(-5/-5)))*(-3.75-(-3.75/(-5*-3.75))))-(-5/-5)))))</f>
        <v>-320.046875</v>
      </c>
      <c r="C9626" t="n" s="0">
        <v>-320.046875</v>
      </c>
    </row>
    <row r="9627">
      <c r="A9627" t="n" s="0">
        <v>-3.74</v>
      </c>
      <c r="B9627" t="n" s="0">
        <f>(-5-((((-5*(-5/((-5/(((-5*(-3.74--5))-(-5+((-5*-3.74)*(((-5--5)+(-3.74--5))+-3.74))))-(-5+-5)))*-5)))/-5)--5)+(-5*(((-3.74*(-3.74-(-5/-5)))*(-3.74-(-3.74/(-5*-3.74))))-(-5/-5)))))</f>
        <v>-317.76332</v>
      </c>
      <c r="C9627" t="n" s="0">
        <v>-317.76332000000014</v>
      </c>
    </row>
    <row r="9628">
      <c r="A9628" t="n" s="0">
        <v>-3.73</v>
      </c>
      <c r="B9628" t="n" s="0">
        <f>(-5-((((-5*(-5/((-5/(((-5*(-3.73--5))-(-5+((-5*-3.73)*(((-5--5)+(-3.73--5))+-3.73))))-(-5+-5)))*-5)))/-5)--5)+(-5*(((-3.73*(-3.73-(-5/-5)))*(-3.73-(-3.73/(-5*-3.73))))-(-5/-5)))))</f>
        <v>-315.491385</v>
      </c>
      <c r="C9628" t="n" s="0">
        <v>-315.49138500000004</v>
      </c>
    </row>
    <row r="9629">
      <c r="A9629" t="n" s="0">
        <v>-3.72</v>
      </c>
      <c r="B9629" t="n" s="0">
        <f>(-5-((((-5*(-5/((-5/(((-5*(-3.72--5))-(-5+((-5*-3.72)*(((-5--5)+(-3.72--5))+-3.72))))-(-5+-5)))*-5)))/-5)--5)+(-5*(((-3.72*(-3.72-(-5/-5)))*(-3.72-(-3.72/(-5*-3.72))))-(-5/-5)))))</f>
        <v>-313.23104</v>
      </c>
      <c r="C9629" t="n" s="0">
        <v>-313.23104000000006</v>
      </c>
    </row>
    <row r="9630">
      <c r="A9630" t="n" s="0">
        <v>-3.71</v>
      </c>
      <c r="B9630" t="n" s="0">
        <f>(-5-((((-5*(-5/((-5/(((-5*(-3.71--5))-(-5+((-5*-3.71)*(((-5--5)+(-3.71--5))+-3.71))))-(-5+-5)))*-5)))/-5)--5)+(-5*(((-3.71*(-3.71-(-5/-5)))*(-3.71-(-3.71/(-5*-3.71))))-(-5/-5)))))</f>
        <v>-310.982255</v>
      </c>
      <c r="C9630" t="n" s="0">
        <v>-310.982255</v>
      </c>
    </row>
    <row r="9631">
      <c r="A9631" t="n" s="0">
        <v>-3.7</v>
      </c>
      <c r="B9631" t="n" s="0">
        <f>(-5-((((-5*(-5/((-5/(((-5*(-3.7--5))-(-5+((-5*-3.7)*(((-5--5)+(-3.7--5))+-3.7))))-(-5+-5)))*-5)))/-5)--5)+(-5*(((-3.7*(-3.7-(-5/-5)))*(-3.7-(-3.7/(-5*-3.7))))-(-5/-5)))))</f>
        <v>-308.745</v>
      </c>
      <c r="C9631" t="n" s="0">
        <v>-308.74500000000006</v>
      </c>
    </row>
    <row r="9632">
      <c r="A9632" t="n" s="0">
        <v>-3.69</v>
      </c>
      <c r="B9632" t="n" s="0">
        <f>(-5-((((-5*(-5/((-5/(((-5*(-3.69--5))-(-5+((-5*-3.69)*(((-5--5)+(-3.69--5))+-3.69))))-(-5+-5)))*-5)))/-5)--5)+(-5*(((-3.69*(-3.69-(-5/-5)))*(-3.69-(-3.69/(-5*-3.69))))-(-5/-5)))))</f>
        <v>-306.519245</v>
      </c>
      <c r="C9632" t="n" s="0">
        <v>-306.51924499999996</v>
      </c>
    </row>
    <row r="9633">
      <c r="A9633" t="n" s="0">
        <v>-3.68</v>
      </c>
      <c r="B9633" t="n" s="0">
        <f>(-5-((((-5*(-5/((-5/(((-5*(-3.68--5))-(-5+((-5*-3.68)*(((-5--5)+(-3.68--5))+-3.68))))-(-5+-5)))*-5)))/-5)--5)+(-5*(((-3.68*(-3.68-(-5/-5)))*(-3.68-(-3.68/(-5*-3.68))))-(-5/-5)))))</f>
        <v>-304.30496</v>
      </c>
      <c r="C9633" t="n" s="0">
        <v>-304.30496</v>
      </c>
    </row>
    <row r="9634">
      <c r="A9634" t="n" s="0">
        <v>-3.67</v>
      </c>
      <c r="B9634" t="n" s="0">
        <f>(-5-((((-5*(-5/((-5/(((-5*(-3.67--5))-(-5+((-5*-3.67)*(((-5--5)+(-3.67--5))+-3.67))))-(-5+-5)))*-5)))/-5)--5)+(-5*(((-3.67*(-3.67-(-5/-5)))*(-3.67-(-3.67/(-5*-3.67))))-(-5/-5)))))</f>
        <v>-302.102115</v>
      </c>
      <c r="C9634" t="n" s="0">
        <v>-302.10211499999997</v>
      </c>
    </row>
    <row r="9635">
      <c r="A9635" t="n" s="0">
        <v>-3.66</v>
      </c>
      <c r="B9635" t="n" s="0">
        <f>(-5-((((-5*(-5/((-5/(((-5*(-3.66--5))-(-5+((-5*-3.66)*(((-5--5)+(-3.66--5))+-3.66))))-(-5+-5)))*-5)))/-5)--5)+(-5*(((-3.66*(-3.66-(-5/-5)))*(-3.66-(-3.66/(-5*-3.66))))-(-5/-5)))))</f>
        <v>-299.91067999999996</v>
      </c>
      <c r="C9635" t="n" s="0">
        <v>-299.91068000000007</v>
      </c>
    </row>
    <row r="9636">
      <c r="A9636" t="n" s="0">
        <v>-3.65</v>
      </c>
      <c r="B9636" t="n" s="0">
        <f>(-5-((((-5*(-5/((-5/(((-5*(-3.65--5))-(-5+((-5*-3.65)*(((-5--5)+(-3.65--5))+-3.65))))-(-5+-5)))*-5)))/-5)--5)+(-5*(((-3.65*(-3.65-(-5/-5)))*(-3.65-(-3.65/(-5*-3.65))))-(-5/-5)))))</f>
        <v>-297.730625</v>
      </c>
      <c r="C9636" t="n" s="0">
        <v>-297.730625</v>
      </c>
    </row>
    <row r="9637">
      <c r="A9637" t="n" s="0">
        <v>-3.64</v>
      </c>
      <c r="B9637" t="n" s="0">
        <f>(-5-((((-5*(-5/((-5/(((-5*(-3.64--5))-(-5+((-5*-3.64)*(((-5--5)+(-3.64--5))+-3.64))))-(-5+-5)))*-5)))/-5)--5)+(-5*(((-3.64*(-3.64-(-5/-5)))*(-3.64-(-3.64/(-5*-3.64))))-(-5/-5)))))</f>
        <v>-295.56192000000004</v>
      </c>
      <c r="C9637" t="n" s="0">
        <v>-295.56192000000004</v>
      </c>
    </row>
    <row r="9638">
      <c r="A9638" t="n" s="0">
        <v>-3.63</v>
      </c>
      <c r="B9638" t="n" s="0">
        <f>(-5-((((-5*(-5/((-5/(((-5*(-3.63--5))-(-5+((-5*-3.63)*(((-5--5)+(-3.63--5))+-3.63))))-(-5+-5)))*-5)))/-5)--5)+(-5*(((-3.63*(-3.63-(-5/-5)))*(-3.63-(-3.63/(-5*-3.63))))-(-5/-5)))))</f>
        <v>-293.40453499999995</v>
      </c>
      <c r="C9638" t="n" s="0">
        <v>-293.40453499999995</v>
      </c>
    </row>
    <row r="9639">
      <c r="A9639" t="n" s="0">
        <v>-3.62</v>
      </c>
      <c r="B9639" t="n" s="0">
        <f>(-5-((((-5*(-5/((-5/(((-5*(-3.62--5))-(-5+((-5*-3.62)*(((-5--5)+(-3.62--5))+-3.62))))-(-5+-5)))*-5)))/-5)--5)+(-5*(((-3.62*(-3.62-(-5/-5)))*(-3.62-(-3.62/(-5*-3.62))))-(-5/-5)))))</f>
        <v>-291.25844</v>
      </c>
      <c r="C9639" t="n" s="0">
        <v>-291.25844000000006</v>
      </c>
    </row>
    <row r="9640">
      <c r="A9640" t="n" s="0">
        <v>-3.61</v>
      </c>
      <c r="B9640" t="n" s="0">
        <f>(-5-((((-5*(-5/((-5/(((-5*(-3.61--5))-(-5+((-5*-3.61)*(((-5--5)+(-3.61--5))+-3.61))))-(-5+-5)))*-5)))/-5)--5)+(-5*(((-3.61*(-3.61-(-5/-5)))*(-3.61-(-3.61/(-5*-3.61))))-(-5/-5)))))</f>
        <v>-289.12360500000005</v>
      </c>
      <c r="C9640" t="n" s="0">
        <v>-289.12360499999994</v>
      </c>
    </row>
    <row r="9641">
      <c r="A9641" t="n" s="0">
        <v>-3.6</v>
      </c>
      <c r="B9641" t="n" s="0">
        <f>(-5-((((-5*(-5/((-5/(((-5*(-3.6--5))-(-5+((-5*-3.6)*(((-5--5)+(-3.6--5))+-3.6))))-(-5+-5)))*-5)))/-5)--5)+(-5*(((-3.6*(-3.6-(-5/-5)))*(-3.6-(-3.6/(-5*-3.6))))-(-5/-5)))))</f>
        <v>-287.0</v>
      </c>
      <c r="C9641" t="n" s="0">
        <v>-287.00000000000006</v>
      </c>
    </row>
    <row r="9642">
      <c r="A9642" t="n" s="0">
        <v>-3.59</v>
      </c>
      <c r="B9642" t="n" s="0">
        <f>(-5-((((-5*(-5/((-5/(((-5*(-3.59--5))-(-5+((-5*-3.59)*(((-5--5)+(-3.59--5))+-3.59))))-(-5+-5)))*-5)))/-5)--5)+(-5*(((-3.59*(-3.59-(-5/-5)))*(-3.59-(-3.59/(-5*-3.59))))-(-5/-5)))))</f>
        <v>-284.88759500000003</v>
      </c>
      <c r="C9642" t="n" s="0">
        <v>-284.887595</v>
      </c>
    </row>
    <row r="9643">
      <c r="A9643" t="n" s="0">
        <v>-3.58</v>
      </c>
      <c r="B9643" t="n" s="0">
        <f>(-5-((((-5*(-5/((-5/(((-5*(-3.58--5))-(-5+((-5*-3.58)*(((-5--5)+(-3.58--5))+-3.58))))-(-5+-5)))*-5)))/-5)--5)+(-5*(((-3.58*(-3.58-(-5/-5)))*(-3.58-(-3.58/(-5*-3.58))))-(-5/-5)))))</f>
        <v>-282.78636</v>
      </c>
      <c r="C9643" t="n" s="0">
        <v>-282.78636</v>
      </c>
    </row>
    <row r="9644">
      <c r="A9644" t="n" s="0">
        <v>-3.57</v>
      </c>
      <c r="B9644" t="n" s="0">
        <f>(-5-((((-5*(-5/((-5/(((-5*(-3.57--5))-(-5+((-5*-3.57)*(((-5--5)+(-3.57--5))+-3.57))))-(-5+-5)))*-5)))/-5)--5)+(-5*(((-3.57*(-3.57-(-5/-5)))*(-3.57-(-3.57/(-5*-3.57))))-(-5/-5)))))</f>
        <v>-280.69626500000004</v>
      </c>
      <c r="C9644" t="n" s="0">
        <v>-280.696265</v>
      </c>
    </row>
    <row r="9645">
      <c r="A9645" t="n" s="0">
        <v>-3.56</v>
      </c>
      <c r="B9645" t="n" s="0">
        <f>(-5-((((-5*(-5/((-5/(((-5*(-3.56--5))-(-5+((-5*-3.56)*(((-5--5)+(-3.56--5))+-3.56))))-(-5+-5)))*-5)))/-5)--5)+(-5*(((-3.56*(-3.56-(-5/-5)))*(-3.56-(-3.56/(-5*-3.56))))-(-5/-5)))))</f>
        <v>-278.61728000000005</v>
      </c>
      <c r="C9645" t="n" s="0">
        <v>-278.61728000000005</v>
      </c>
    </row>
    <row r="9646">
      <c r="A9646" t="n" s="0">
        <v>-3.55</v>
      </c>
      <c r="B9646" t="n" s="0">
        <f>(-5-((((-5*(-5/((-5/(((-5*(-3.55--5))-(-5+((-5*-3.55)*(((-5--5)+(-3.55--5))+-3.55))))-(-5+-5)))*-5)))/-5)--5)+(-5*(((-3.55*(-3.55-(-5/-5)))*(-3.55-(-3.55/(-5*-3.55))))-(-5/-5)))))</f>
        <v>-276.549375</v>
      </c>
      <c r="C9646" t="n" s="0">
        <v>-276.54937499999994</v>
      </c>
    </row>
    <row r="9647">
      <c r="A9647" t="n" s="0">
        <v>-3.54</v>
      </c>
      <c r="B9647" t="n" s="0">
        <f>(-5-((((-5*(-5/((-5/(((-5*(-3.54--5))-(-5+((-5*-3.54)*(((-5--5)+(-3.54--5))+-3.54))))-(-5+-5)))*-5)))/-5)--5)+(-5*(((-3.54*(-3.54-(-5/-5)))*(-3.54-(-3.54/(-5*-3.54))))-(-5/-5)))))</f>
        <v>-274.49252</v>
      </c>
      <c r="C9647" t="n" s="0">
        <v>-274.49252</v>
      </c>
    </row>
    <row r="9648">
      <c r="A9648" t="n" s="0">
        <v>-3.53</v>
      </c>
      <c r="B9648" t="n" s="0">
        <f>(-5-((((-5*(-5/((-5/(((-5*(-3.53--5))-(-5+((-5*-3.53)*(((-5--5)+(-3.53--5))+-3.53))))-(-5+-5)))*-5)))/-5)--5)+(-5*(((-3.53*(-3.53-(-5/-5)))*(-3.53-(-3.53/(-5*-3.53))))-(-5/-5)))))</f>
        <v>-272.446685</v>
      </c>
      <c r="C9648" t="n" s="0">
        <v>-272.446685</v>
      </c>
    </row>
    <row r="9649">
      <c r="A9649" t="n" s="0">
        <v>-3.52</v>
      </c>
      <c r="B9649" t="n" s="0">
        <f>(-5-((((-5*(-5/((-5/(((-5*(-3.52--5))-(-5+((-5*-3.52)*(((-5--5)+(-3.52--5))+-3.52))))-(-5+-5)))*-5)))/-5)--5)+(-5*(((-3.52*(-3.52-(-5/-5)))*(-3.52-(-3.52/(-5*-3.52))))-(-5/-5)))))</f>
        <v>-270.41184000000004</v>
      </c>
      <c r="C9649" t="n" s="0">
        <v>-270.41184</v>
      </c>
    </row>
    <row r="9650">
      <c r="A9650" t="n" s="0">
        <v>-3.51</v>
      </c>
      <c r="B9650" t="n" s="0">
        <f>(-5-((((-5*(-5/((-5/(((-5*(-3.51--5))-(-5+((-5*-3.51)*(((-5--5)+(-3.51--5))+-3.51))))-(-5+-5)))*-5)))/-5)--5)+(-5*(((-3.51*(-3.51-(-5/-5)))*(-3.51-(-3.51/(-5*-3.51))))-(-5/-5)))))</f>
        <v>-268.38795500000003</v>
      </c>
      <c r="C9650" t="n" s="0">
        <v>-268.3879549999999</v>
      </c>
    </row>
    <row r="9651">
      <c r="A9651" t="n" s="0">
        <v>-3.5</v>
      </c>
      <c r="B9651" t="n" s="0">
        <f>(-5-((((-5*(-5/((-5/(((-5*(-3.5--5))-(-5+((-5*-3.5)*(((-5--5)+(-3.5--5))+-3.5))))-(-5+-5)))*-5)))/-5)--5)+(-5*(((-3.5*(-3.5-(-5/-5)))*(-3.5-(-3.5/(-5*-3.5))))-(-5/-5)))))</f>
        <v>-266.375</v>
      </c>
      <c r="C9651" t="n" s="0">
        <v>-266.375</v>
      </c>
    </row>
    <row r="9652">
      <c r="A9652" t="n" s="0">
        <v>-3.49</v>
      </c>
      <c r="B9652" t="n" s="0">
        <f>(-5-((((-5*(-5/((-5/(((-5*(-3.49--5))-(-5+((-5*-3.49)*(((-5--5)+(-3.49--5))+-3.49))))-(-5+-5)))*-5)))/-5)--5)+(-5*(((-3.49*(-3.49-(-5/-5)))*(-3.49-(-3.49/(-5*-3.49))))-(-5/-5)))))</f>
        <v>-264.372945</v>
      </c>
      <c r="C9652" t="n" s="0">
        <v>-264.3729450000001</v>
      </c>
    </row>
    <row r="9653">
      <c r="A9653" t="n" s="0">
        <v>-3.48</v>
      </c>
      <c r="B9653" t="n" s="0">
        <f>(-5-((((-5*(-5/((-5/(((-5*(-3.48--5))-(-5+((-5*-3.48)*(((-5--5)+(-3.48--5))+-3.48))))-(-5+-5)))*-5)))/-5)--5)+(-5*(((-3.48*(-3.48-(-5/-5)))*(-3.48-(-3.48/(-5*-3.48))))-(-5/-5)))))</f>
        <v>-262.38176</v>
      </c>
      <c r="C9653" t="n" s="0">
        <v>-262.38176</v>
      </c>
    </row>
    <row r="9654">
      <c r="A9654" t="n" s="0">
        <v>-3.47</v>
      </c>
      <c r="B9654" t="n" s="0">
        <f>(-5-((((-5*(-5/((-5/(((-5*(-3.47--5))-(-5+((-5*-3.47)*(((-5--5)+(-3.47--5))+-3.47))))-(-5+-5)))*-5)))/-5)--5)+(-5*(((-3.47*(-3.47-(-5/-5)))*(-3.47-(-3.47/(-5*-3.47))))-(-5/-5)))))</f>
        <v>-260.401415</v>
      </c>
      <c r="C9654" t="n" s="0">
        <v>-260.40141500000004</v>
      </c>
    </row>
    <row r="9655">
      <c r="A9655" t="n" s="0">
        <v>-3.46</v>
      </c>
      <c r="B9655" t="n" s="0">
        <f>(-5-((((-5*(-5/((-5/(((-5*(-3.46--5))-(-5+((-5*-3.46)*(((-5--5)+(-3.46--5))+-3.46))))-(-5+-5)))*-5)))/-5)--5)+(-5*(((-3.46*(-3.46-(-5/-5)))*(-3.46-(-3.46/(-5*-3.46))))-(-5/-5)))))</f>
        <v>-258.43188</v>
      </c>
      <c r="C9655" t="n" s="0">
        <v>-258.43188</v>
      </c>
    </row>
    <row r="9656">
      <c r="A9656" t="n" s="0">
        <v>-3.45</v>
      </c>
      <c r="B9656" t="n" s="0">
        <f>(-5-((((-5*(-5/((-5/(((-5*(-3.45--5))-(-5+((-5*-3.45)*(((-5--5)+(-3.45--5))+-3.45))))-(-5+-5)))*-5)))/-5)--5)+(-5*(((-3.45*(-3.45-(-5/-5)))*(-3.45-(-3.45/(-5*-3.45))))-(-5/-5)))))</f>
        <v>-256.473125</v>
      </c>
      <c r="C9656" t="n" s="0">
        <v>-256.47312500000004</v>
      </c>
    </row>
    <row r="9657">
      <c r="A9657" t="n" s="0">
        <v>-3.44</v>
      </c>
      <c r="B9657" t="n" s="0">
        <f>(-5-((((-5*(-5/((-5/(((-5*(-3.44--5))-(-5+((-5*-3.44)*(((-5--5)+(-3.44--5))+-3.44))))-(-5+-5)))*-5)))/-5)--5)+(-5*(((-3.44*(-3.44-(-5/-5)))*(-3.44-(-3.44/(-5*-3.44))))-(-5/-5)))))</f>
        <v>-254.52512000000002</v>
      </c>
      <c r="C9657" t="n" s="0">
        <v>-254.52512</v>
      </c>
    </row>
    <row r="9658">
      <c r="A9658" t="n" s="0">
        <v>-3.43</v>
      </c>
      <c r="B9658" t="n" s="0">
        <f>(-5-((((-5*(-5/((-5/(((-5*(-3.43--5))-(-5+((-5*-3.43)*(((-5--5)+(-3.43--5))+-3.43))))-(-5+-5)))*-5)))/-5)--5)+(-5*(((-3.43*(-3.43-(-5/-5)))*(-3.43-(-3.43/(-5*-3.43))))-(-5/-5)))))</f>
        <v>-252.58783500000004</v>
      </c>
      <c r="C9658" t="n" s="0">
        <v>-252.587835</v>
      </c>
    </row>
    <row r="9659">
      <c r="A9659" t="n" s="0">
        <v>-3.42</v>
      </c>
      <c r="B9659" t="n" s="0">
        <f>(-5-((((-5*(-5/((-5/(((-5*(-3.42--5))-(-5+((-5*-3.42)*(((-5--5)+(-3.42--5))+-3.42))))-(-5+-5)))*-5)))/-5)--5)+(-5*(((-3.42*(-3.42-(-5/-5)))*(-3.42-(-3.42/(-5*-3.42))))-(-5/-5)))))</f>
        <v>-250.66124000000002</v>
      </c>
      <c r="C9659" t="n" s="0">
        <v>-250.66123999999996</v>
      </c>
    </row>
    <row r="9660">
      <c r="A9660" t="n" s="0">
        <v>-3.41</v>
      </c>
      <c r="B9660" t="n" s="0">
        <f>(-5-((((-5*(-5/((-5/(((-5*(-3.41--5))-(-5+((-5*-3.41)*(((-5--5)+(-3.41--5))+-3.41))))-(-5+-5)))*-5)))/-5)--5)+(-5*(((-3.41*(-3.41-(-5/-5)))*(-3.41-(-3.41/(-5*-3.41))))-(-5/-5)))))</f>
        <v>-248.74530499999997</v>
      </c>
      <c r="C9660" t="n" s="0">
        <v>-248.74530500000003</v>
      </c>
    </row>
    <row r="9661">
      <c r="A9661" t="n" s="0">
        <v>-3.4</v>
      </c>
      <c r="B9661" t="n" s="0">
        <f>(-5-((((-5*(-5/((-5/(((-5*(-3.4--5))-(-5+((-5*-3.4)*(((-5--5)+(-3.4--5))+-3.4))))-(-5+-5)))*-5)))/-5)--5)+(-5*(((-3.4*(-3.4-(-5/-5)))*(-3.4-(-3.4/(-5*-3.4))))-(-5/-5)))))</f>
        <v>-246.84</v>
      </c>
      <c r="C9661" t="n" s="0">
        <v>-246.83999999999997</v>
      </c>
    </row>
    <row r="9662">
      <c r="A9662" t="n" s="0">
        <v>-3.39</v>
      </c>
      <c r="B9662" t="n" s="0">
        <f>(-5-((((-5*(-5/((-5/(((-5*(-3.39--5))-(-5+((-5*-3.39)*(((-5--5)+(-3.39--5))+-3.39))))-(-5+-5)))*-5)))/-5)--5)+(-5*(((-3.39*(-3.39-(-5/-5)))*(-3.39-(-3.39/(-5*-3.39))))-(-5/-5)))))</f>
        <v>-244.945295</v>
      </c>
      <c r="C9662" t="n" s="0">
        <v>-244.94529500000002</v>
      </c>
    </row>
    <row r="9663">
      <c r="A9663" t="n" s="0">
        <v>-3.38</v>
      </c>
      <c r="B9663" t="n" s="0">
        <f>(-5-((((-5*(-5/((-5/(((-5*(-3.38--5))-(-5+((-5*-3.38)*(((-5--5)+(-3.38--5))+-3.38))))-(-5+-5)))*-5)))/-5)--5)+(-5*(((-3.38*(-3.38-(-5/-5)))*(-3.38-(-3.38/(-5*-3.38))))-(-5/-5)))))</f>
        <v>-243.06116</v>
      </c>
      <c r="C9663" t="n" s="0">
        <v>-243.06115999999997</v>
      </c>
    </row>
    <row r="9664">
      <c r="A9664" t="n" s="0">
        <v>-3.37</v>
      </c>
      <c r="B9664" t="n" s="0">
        <f>(-5-((((-5*(-5/((-5/(((-5*(-3.37--5))-(-5+((-5*-3.37)*(((-5--5)+(-3.37--5))+-3.37))))-(-5+-5)))*-5)))/-5)--5)+(-5*(((-3.37*(-3.37-(-5/-5)))*(-3.37-(-3.37/(-5*-3.37))))-(-5/-5)))))</f>
        <v>-241.187565</v>
      </c>
      <c r="C9664" t="n" s="0">
        <v>-241.187565</v>
      </c>
    </row>
    <row r="9665">
      <c r="A9665" t="n" s="0">
        <v>-3.36</v>
      </c>
      <c r="B9665" t="n" s="0">
        <f>(-5-((((-5*(-5/((-5/(((-5*(-3.36--5))-(-5+((-5*-3.36)*(((-5--5)+(-3.36--5))+-3.36))))-(-5+-5)))*-5)))/-5)--5)+(-5*(((-3.36*(-3.36-(-5/-5)))*(-3.36-(-3.36/(-5*-3.36))))-(-5/-5)))))</f>
        <v>-239.32448000000002</v>
      </c>
      <c r="C9665" t="n" s="0">
        <v>-239.32447999999997</v>
      </c>
    </row>
    <row r="9666">
      <c r="A9666" t="n" s="0">
        <v>-3.35</v>
      </c>
      <c r="B9666" t="n" s="0">
        <f>(-5-((((-5*(-5/((-5/(((-5*(-3.35--5))-(-5+((-5*-3.35)*(((-5--5)+(-3.35--5))+-3.35))))-(-5+-5)))*-5)))/-5)--5)+(-5*(((-3.35*(-3.35-(-5/-5)))*(-3.35-(-3.35/(-5*-3.35))))-(-5/-5)))))</f>
        <v>-237.471875</v>
      </c>
      <c r="C9666" t="n" s="0">
        <v>-237.471875</v>
      </c>
    </row>
    <row r="9667">
      <c r="A9667" t="n" s="0">
        <v>-3.34</v>
      </c>
      <c r="B9667" t="n" s="0">
        <f>(-5-((((-5*(-5/((-5/(((-5*(-3.34--5))-(-5+((-5*-3.34)*(((-5--5)+(-3.34--5))+-3.34))))-(-5+-5)))*-5)))/-5)--5)+(-5*(((-3.34*(-3.34-(-5/-5)))*(-3.34-(-3.34/(-5*-3.34))))-(-5/-5)))))</f>
        <v>-235.62971999999996</v>
      </c>
      <c r="C9667" t="n" s="0">
        <v>-235.62972</v>
      </c>
    </row>
    <row r="9668">
      <c r="A9668" t="n" s="0">
        <v>-3.33</v>
      </c>
      <c r="B9668" t="n" s="0">
        <f>(-5-((((-5*(-5/((-5/(((-5*(-3.33--5))-(-5+((-5*-3.33)*(((-5--5)+(-3.33--5))+-3.33))))-(-5+-5)))*-5)))/-5)--5)+(-5*(((-3.33*(-3.33-(-5/-5)))*(-3.33-(-3.33/(-5*-3.33))))-(-5/-5)))))</f>
        <v>-233.797985</v>
      </c>
      <c r="C9668" t="n" s="0">
        <v>-233.797985</v>
      </c>
    </row>
    <row r="9669">
      <c r="A9669" t="n" s="0">
        <v>-3.32</v>
      </c>
      <c r="B9669" t="n" s="0">
        <f>(-5-((((-5*(-5/((-5/(((-5*(-3.32--5))-(-5+((-5*-3.32)*(((-5--5)+(-3.32--5))+-3.32))))-(-5+-5)))*-5)))/-5)--5)+(-5*(((-3.32*(-3.32-(-5/-5)))*(-3.32-(-3.32/(-5*-3.32))))-(-5/-5)))))</f>
        <v>-231.97664</v>
      </c>
      <c r="C9669" t="n" s="0">
        <v>-231.97664</v>
      </c>
    </row>
    <row r="9670">
      <c r="A9670" t="n" s="0">
        <v>-3.31</v>
      </c>
      <c r="B9670" t="n" s="0">
        <f>(-5-((((-5*(-5/((-5/(((-5*(-3.31--5))-(-5+((-5*-3.31)*(((-5--5)+(-3.31--5))+-3.31))))-(-5+-5)))*-5)))/-5)--5)+(-5*(((-3.31*(-3.31-(-5/-5)))*(-3.31-(-3.31/(-5*-3.31))))-(-5/-5)))))</f>
        <v>-230.165655</v>
      </c>
      <c r="C9670" t="n" s="0">
        <v>-230.16565500000002</v>
      </c>
    </row>
    <row r="9671">
      <c r="A9671" t="n" s="0">
        <v>-3.3</v>
      </c>
      <c r="B9671" t="n" s="0">
        <f>(-5-((((-5*(-5/((-5/(((-5*(-3.3--5))-(-5+((-5*-3.3)*(((-5--5)+(-3.3--5))+-3.3))))-(-5+-5)))*-5)))/-5)--5)+(-5*(((-3.3*(-3.3-(-5/-5)))*(-3.3-(-3.3/(-5*-3.3))))-(-5/-5)))))</f>
        <v>-228.365</v>
      </c>
      <c r="C9671" t="n" s="0">
        <v>-228.365</v>
      </c>
    </row>
    <row r="9672">
      <c r="A9672" t="n" s="0">
        <v>-3.29</v>
      </c>
      <c r="B9672" t="n" s="0">
        <f>(-5-((((-5*(-5/((-5/(((-5*(-3.29--5))-(-5+((-5*-3.29)*(((-5--5)+(-3.29--5))+-3.29))))-(-5+-5)))*-5)))/-5)--5)+(-5*(((-3.29*(-3.29-(-5/-5)))*(-3.29-(-3.29/(-5*-3.29))))-(-5/-5)))))</f>
        <v>-226.574645</v>
      </c>
      <c r="C9672" t="n" s="0">
        <v>-226.574645</v>
      </c>
    </row>
    <row r="9673">
      <c r="A9673" t="n" s="0">
        <v>-3.28</v>
      </c>
      <c r="B9673" t="n" s="0">
        <f>(-5-((((-5*(-5/((-5/(((-5*(-3.28--5))-(-5+((-5*-3.28)*(((-5--5)+(-3.28--5))+-3.28))))-(-5+-5)))*-5)))/-5)--5)+(-5*(((-3.28*(-3.28-(-5/-5)))*(-3.28-(-3.28/(-5*-3.28))))-(-5/-5)))))</f>
        <v>-224.79456</v>
      </c>
      <c r="C9673" t="n" s="0">
        <v>-224.79455999999996</v>
      </c>
    </row>
    <row r="9674">
      <c r="A9674" t="n" s="0">
        <v>-3.27</v>
      </c>
      <c r="B9674" t="n" s="0">
        <f>(-5-((((-5*(-5/((-5/(((-5*(-3.27--5))-(-5+((-5*-3.27)*(((-5--5)+(-3.27--5))+-3.27))))-(-5+-5)))*-5)))/-5)--5)+(-5*(((-3.27*(-3.27-(-5/-5)))*(-3.27-(-3.27/(-5*-3.27))))-(-5/-5)))))</f>
        <v>-223.024715</v>
      </c>
      <c r="C9674" t="n" s="0">
        <v>-223.024715</v>
      </c>
    </row>
    <row r="9675">
      <c r="A9675" t="n" s="0">
        <v>-3.26</v>
      </c>
      <c r="B9675" t="n" s="0">
        <f>(-5-((((-5*(-5/((-5/(((-5*(-3.26--5))-(-5+((-5*-3.26)*(((-5--5)+(-3.26--5))+-3.26))))-(-5+-5)))*-5)))/-5)--5)+(-5*(((-3.26*(-3.26-(-5/-5)))*(-3.26-(-3.26/(-5*-3.26))))-(-5/-5)))))</f>
        <v>-221.26507999999998</v>
      </c>
      <c r="C9675" t="n" s="0">
        <v>-221.26507999999995</v>
      </c>
    </row>
    <row r="9676">
      <c r="A9676" t="n" s="0">
        <v>-3.25</v>
      </c>
      <c r="B9676" t="n" s="0">
        <f>(-5-((((-5*(-5/((-5/(((-5*(-3.25--5))-(-5+((-5*-3.25)*(((-5--5)+(-3.25--5))+-3.25))))-(-5+-5)))*-5)))/-5)--5)+(-5*(((-3.25*(-3.25-(-5/-5)))*(-3.25-(-3.25/(-5*-3.25))))-(-5/-5)))))</f>
        <v>-219.515625</v>
      </c>
      <c r="C9676" t="n" s="0">
        <v>-219.515625</v>
      </c>
    </row>
    <row r="9677">
      <c r="A9677" t="n" s="0">
        <v>-3.24</v>
      </c>
      <c r="B9677" t="n" s="0">
        <f>(-5-((((-5*(-5/((-5/(((-5*(-3.24--5))-(-5+((-5*-3.24)*(((-5--5)+(-3.24--5))+-3.24))))-(-5+-5)))*-5)))/-5)--5)+(-5*(((-3.24*(-3.24-(-5/-5)))*(-3.24-(-3.24/(-5*-3.24))))-(-5/-5)))))</f>
        <v>-217.77632</v>
      </c>
      <c r="C9677" t="n" s="0">
        <v>-217.77632000000003</v>
      </c>
    </row>
    <row r="9678">
      <c r="A9678" t="n" s="0">
        <v>-3.23</v>
      </c>
      <c r="B9678" t="n" s="0">
        <f>(-5-((((-5*(-5/((-5/(((-5*(-3.23--5))-(-5+((-5*-3.23)*(((-5--5)+(-3.23--5))+-3.23))))-(-5+-5)))*-5)))/-5)--5)+(-5*(((-3.23*(-3.23-(-5/-5)))*(-3.23-(-3.23/(-5*-3.23))))-(-5/-5)))))</f>
        <v>-216.047135</v>
      </c>
      <c r="C9678" t="n" s="0">
        <v>-216.047135</v>
      </c>
    </row>
    <row r="9679">
      <c r="A9679" t="n" s="0">
        <v>-3.22</v>
      </c>
      <c r="B9679" t="n" s="0">
        <f>(-5-((((-5*(-5/((-5/(((-5*(-3.22--5))-(-5+((-5*-3.22)*(((-5--5)+(-3.22--5))+-3.22))))-(-5+-5)))*-5)))/-5)--5)+(-5*(((-3.22*(-3.22-(-5/-5)))*(-3.22-(-3.22/(-5*-3.22))))-(-5/-5)))))</f>
        <v>-214.32804000000002</v>
      </c>
      <c r="C9679" t="n" s="0">
        <v>-214.32804000000007</v>
      </c>
    </row>
    <row r="9680">
      <c r="A9680" t="n" s="0">
        <v>-3.21</v>
      </c>
      <c r="B9680" t="n" s="0">
        <f>(-5-((((-5*(-5/((-5/(((-5*(-3.21--5))-(-5+((-5*-3.21)*(((-5--5)+(-3.21--5))+-3.21))))-(-5+-5)))*-5)))/-5)--5)+(-5*(((-3.21*(-3.21-(-5/-5)))*(-3.21-(-3.21/(-5*-3.21))))-(-5/-5)))))</f>
        <v>-212.619005</v>
      </c>
      <c r="C9680" t="n" s="0">
        <v>-212.61900500000002</v>
      </c>
    </row>
    <row r="9681">
      <c r="A9681" t="n" s="0">
        <v>-3.2</v>
      </c>
      <c r="B9681" t="n" s="0">
        <f>(-5-((((-5*(-5/((-5/(((-5*(-3.2--5))-(-5+((-5*-3.2)*(((-5--5)+(-3.2--5))+-3.2))))-(-5+-5)))*-5)))/-5)--5)+(-5*(((-3.2*(-3.2-(-5/-5)))*(-3.2-(-3.2/(-5*-3.2))))-(-5/-5)))))</f>
        <v>-210.92</v>
      </c>
      <c r="C9681" t="n" s="0">
        <v>-210.92000000000004</v>
      </c>
    </row>
    <row r="9682">
      <c r="A9682" t="n" s="0">
        <v>-3.19</v>
      </c>
      <c r="B9682" t="n" s="0">
        <f>(-5-((((-5*(-5/((-5/(((-5*(-3.19--5))-(-5+((-5*-3.19)*(((-5--5)+(-3.19--5))+-3.19))))-(-5+-5)))*-5)))/-5)--5)+(-5*(((-3.19*(-3.19-(-5/-5)))*(-3.19-(-3.19/(-5*-3.19))))-(-5/-5)))))</f>
        <v>-209.230995</v>
      </c>
      <c r="C9682" t="n" s="0">
        <v>-209.230995</v>
      </c>
    </row>
    <row r="9683">
      <c r="A9683" t="n" s="0">
        <v>-3.18</v>
      </c>
      <c r="B9683" t="n" s="0">
        <f>(-5-((((-5*(-5/((-5/(((-5*(-3.18--5))-(-5+((-5*-3.18)*(((-5--5)+(-3.18--5))+-3.18))))-(-5+-5)))*-5)))/-5)--5)+(-5*(((-3.18*(-3.18-(-5/-5)))*(-3.18-(-3.18/(-5*-3.18))))-(-5/-5)))))</f>
        <v>-207.55196</v>
      </c>
      <c r="C9683" t="n" s="0">
        <v>-207.55196000000004</v>
      </c>
    </row>
    <row r="9684">
      <c r="A9684" t="n" s="0">
        <v>-3.17</v>
      </c>
      <c r="B9684" t="n" s="0">
        <f>(-5-((((-5*(-5/((-5/(((-5*(-3.17--5))-(-5+((-5*-3.17)*(((-5--5)+(-3.17--5))+-3.17))))-(-5+-5)))*-5)))/-5)--5)+(-5*(((-3.17*(-3.17-(-5/-5)))*(-3.17-(-3.17/(-5*-3.17))))-(-5/-5)))))</f>
        <v>-205.88286500000004</v>
      </c>
      <c r="C9684" t="n" s="0">
        <v>-205.88286499999998</v>
      </c>
    </row>
    <row r="9685">
      <c r="A9685" t="n" s="0">
        <v>-3.16</v>
      </c>
      <c r="B9685" t="n" s="0">
        <f>(-5-((((-5*(-5/((-5/(((-5*(-3.16--5))-(-5+((-5*-3.16)*(((-5--5)+(-3.16--5))+-3.16))))-(-5+-5)))*-5)))/-5)--5)+(-5*(((-3.16*(-3.16-(-5/-5)))*(-3.16-(-3.16/(-5*-3.16))))-(-5/-5)))))</f>
        <v>-204.22368000000003</v>
      </c>
      <c r="C9685" t="n" s="0">
        <v>-204.22368000000003</v>
      </c>
    </row>
    <row r="9686">
      <c r="A9686" t="n" s="0">
        <v>-3.15</v>
      </c>
      <c r="B9686" t="n" s="0">
        <f>(-5-((((-5*(-5/((-5/(((-5*(-3.15--5))-(-5+((-5*-3.15)*(((-5--5)+(-3.15--5))+-3.15))))-(-5+-5)))*-5)))/-5)--5)+(-5*(((-3.15*(-3.15-(-5/-5)))*(-3.15-(-3.15/(-5*-3.15))))-(-5/-5)))))</f>
        <v>-202.574375</v>
      </c>
      <c r="C9686" t="n" s="0">
        <v>-202.57437499999997</v>
      </c>
    </row>
    <row r="9687">
      <c r="A9687" t="n" s="0">
        <v>-3.14</v>
      </c>
      <c r="B9687" t="n" s="0">
        <f>(-5-((((-5*(-5/((-5/(((-5*(-3.14--5))-(-5+((-5*-3.14)*(((-5--5)+(-3.14--5))+-3.14))))-(-5+-5)))*-5)))/-5)--5)+(-5*(((-3.14*(-3.14-(-5/-5)))*(-3.14-(-3.14/(-5*-3.14))))-(-5/-5)))))</f>
        <v>-200.93492000000003</v>
      </c>
      <c r="C9687" t="n" s="0">
        <v>-200.93492</v>
      </c>
    </row>
    <row r="9688">
      <c r="A9688" t="n" s="0">
        <v>-3.13</v>
      </c>
      <c r="B9688" t="n" s="0">
        <f>(-5-((((-5*(-5/((-5/(((-5*(-3.13--5))-(-5+((-5*-3.13)*(((-5--5)+(-3.13--5))+-3.13))))-(-5+-5)))*-5)))/-5)--5)+(-5*(((-3.13*(-3.13-(-5/-5)))*(-3.13-(-3.13/(-5*-3.13))))-(-5/-5)))))</f>
        <v>-199.305285</v>
      </c>
      <c r="C9688" t="n" s="0">
        <v>-199.30528499999997</v>
      </c>
    </row>
    <row r="9689">
      <c r="A9689" t="n" s="0">
        <v>-3.12</v>
      </c>
      <c r="B9689" t="n" s="0">
        <f>(-5-((((-5*(-5/((-5/(((-5*(-3.12--5))-(-5+((-5*-3.12)*(((-5--5)+(-3.12--5))+-3.12))))-(-5+-5)))*-5)))/-5)--5)+(-5*(((-3.12*(-3.12-(-5/-5)))*(-3.12-(-3.12/(-5*-3.12))))-(-5/-5)))))</f>
        <v>-197.68543999999997</v>
      </c>
      <c r="C9689" t="n" s="0">
        <v>-197.68544000000003</v>
      </c>
    </row>
    <row r="9690">
      <c r="A9690" t="n" s="0">
        <v>-3.11</v>
      </c>
      <c r="B9690" t="n" s="0">
        <f>(-5-((((-5*(-5/((-5/(((-5*(-3.11--5))-(-5+((-5*-3.11)*(((-5--5)+(-3.11--5))+-3.11))))-(-5+-5)))*-5)))/-5)--5)+(-5*(((-3.11*(-3.11-(-5/-5)))*(-3.11-(-3.11/(-5*-3.11))))-(-5/-5)))))</f>
        <v>-196.07535499999997</v>
      </c>
      <c r="C9690" t="n" s="0">
        <v>-196.075355</v>
      </c>
    </row>
    <row r="9691">
      <c r="A9691" t="n" s="0">
        <v>-3.1</v>
      </c>
      <c r="B9691" t="n" s="0">
        <f>(-5-((((-5*(-5/((-5/(((-5*(-3.1--5))-(-5+((-5*-3.1)*(((-5--5)+(-3.1--5))+-3.1))))-(-5+-5)))*-5)))/-5)--5)+(-5*(((-3.1*(-3.1-(-5/-5)))*(-3.1-(-3.1/(-5*-3.1))))-(-5/-5)))))</f>
        <v>-194.475</v>
      </c>
      <c r="C9691" t="n" s="0">
        <v>-194.47500000000002</v>
      </c>
    </row>
    <row r="9692">
      <c r="A9692" t="n" s="0">
        <v>-3.09</v>
      </c>
      <c r="B9692" t="n" s="0">
        <f>(-5-((((-5*(-5/((-5/(((-5*(-3.09--5))-(-5+((-5*-3.09)*(((-5--5)+(-3.09--5))+-3.09))))-(-5+-5)))*-5)))/-5)--5)+(-5*(((-3.09*(-3.09-(-5/-5)))*(-3.09-(-3.09/(-5*-3.09))))-(-5/-5)))))</f>
        <v>-192.884345</v>
      </c>
      <c r="C9692" t="n" s="0">
        <v>-192.884345</v>
      </c>
    </row>
    <row r="9693">
      <c r="A9693" t="n" s="0">
        <v>-3.08</v>
      </c>
      <c r="B9693" t="n" s="0">
        <f>(-5-((((-5*(-5/((-5/(((-5*(-3.08--5))-(-5+((-5*-3.08)*(((-5--5)+(-3.08--5))+-3.08))))-(-5+-5)))*-5)))/-5)--5)+(-5*(((-3.08*(-3.08-(-5/-5)))*(-3.08-(-3.08/(-5*-3.08))))-(-5/-5)))))</f>
        <v>-191.30336</v>
      </c>
      <c r="C9693" t="n" s="0">
        <v>-191.30336000000003</v>
      </c>
    </row>
    <row r="9694">
      <c r="A9694" t="n" s="0">
        <v>-3.07</v>
      </c>
      <c r="B9694" t="n" s="0">
        <f>(-5-((((-5*(-5/((-5/(((-5*(-3.07--5))-(-5+((-5*-3.07)*(((-5--5)+(-3.07--5))+-3.07))))-(-5+-5)))*-5)))/-5)--5)+(-5*(((-3.07*(-3.07-(-5/-5)))*(-3.07-(-3.07/(-5*-3.07))))-(-5/-5)))))</f>
        <v>-189.732015</v>
      </c>
      <c r="C9694" t="n" s="0">
        <v>-189.73201499999996</v>
      </c>
    </row>
    <row r="9695">
      <c r="A9695" t="n" s="0">
        <v>-3.06</v>
      </c>
      <c r="B9695" t="n" s="0">
        <f>(-5-((((-5*(-5/((-5/(((-5*(-3.06--5))-(-5+((-5*-3.06)*(((-5--5)+(-3.06--5))+-3.06))))-(-5+-5)))*-5)))/-5)--5)+(-5*(((-3.06*(-3.06-(-5/-5)))*(-3.06-(-3.06/(-5*-3.06))))-(-5/-5)))))</f>
        <v>-188.17028</v>
      </c>
      <c r="C9695" t="n" s="0">
        <v>-188.17028000000002</v>
      </c>
    </row>
    <row r="9696">
      <c r="A9696" t="n" s="0">
        <v>-3.05</v>
      </c>
      <c r="B9696" t="n" s="0">
        <f>(-5-((((-5*(-5/((-5/(((-5*(-3.05--5))-(-5+((-5*-3.05)*(((-5--5)+(-3.05--5))+-3.05))))-(-5+-5)))*-5)))/-5)--5)+(-5*(((-3.05*(-3.05-(-5/-5)))*(-3.05-(-3.05/(-5*-3.05))))-(-5/-5)))))</f>
        <v>-186.61812499999996</v>
      </c>
      <c r="C9696" t="n" s="0">
        <v>-186.61812499999996</v>
      </c>
    </row>
    <row r="9697">
      <c r="A9697" t="n" s="0">
        <v>-3.04</v>
      </c>
      <c r="B9697" t="n" s="0">
        <f>(-5-((((-5*(-5/((-5/(((-5*(-3.04--5))-(-5+((-5*-3.04)*(((-5--5)+(-3.04--5))+-3.04))))-(-5+-5)))*-5)))/-5)--5)+(-5*(((-3.04*(-3.04-(-5/-5)))*(-3.04-(-3.04/(-5*-3.04))))-(-5/-5)))))</f>
        <v>-185.07552</v>
      </c>
      <c r="C9697" t="n" s="0">
        <v>-185.07552000000004</v>
      </c>
    </row>
    <row r="9698">
      <c r="A9698" t="n" s="0">
        <v>-3.03</v>
      </c>
      <c r="B9698" t="n" s="0">
        <f>(-5-((((-5*(-5/((-5/(((-5*(-3.03--5))-(-5+((-5*-3.03)*(((-5--5)+(-3.03--5))+-3.03))))-(-5+-5)))*-5)))/-5)--5)+(-5*(((-3.03*(-3.03-(-5/-5)))*(-3.03-(-3.03/(-5*-3.03))))-(-5/-5)))))</f>
        <v>-183.542435</v>
      </c>
      <c r="C9698" t="n" s="0">
        <v>-183.54243499999995</v>
      </c>
    </row>
    <row r="9699">
      <c r="A9699" t="n" s="0">
        <v>-3.02</v>
      </c>
      <c r="B9699" t="n" s="0">
        <f>(-5-((((-5*(-5/((-5/(((-5*(-3.02--5))-(-5+((-5*-3.02)*(((-5--5)+(-3.02--5))+-3.02))))-(-5+-5)))*-5)))/-5)--5)+(-5*(((-3.02*(-3.02-(-5/-5)))*(-3.02-(-3.02/(-5*-3.02))))-(-5/-5)))))</f>
        <v>-182.01884</v>
      </c>
      <c r="C9699" t="n" s="0">
        <v>-182.01884</v>
      </c>
    </row>
    <row r="9700">
      <c r="A9700" t="n" s="0">
        <v>-3.01</v>
      </c>
      <c r="B9700" t="n" s="0">
        <f>(-5-((((-5*(-5/((-5/(((-5*(-3.01--5))-(-5+((-5*-3.01)*(((-5--5)+(-3.01--5))+-3.01))))-(-5+-5)))*-5)))/-5)--5)+(-5*(((-3.01*(-3.01-(-5/-5)))*(-3.01-(-3.01/(-5*-3.01))))-(-5/-5)))))</f>
        <v>-180.504705</v>
      </c>
      <c r="C9700" t="n" s="0">
        <v>-180.50470499999997</v>
      </c>
    </row>
    <row r="9701">
      <c r="A9701" t="n" s="0">
        <v>-3.0</v>
      </c>
      <c r="B9701" t="n" s="0">
        <f>(-5-((((-5*(-5/((-5/(((-5*(-3--5))-(-5+((-5*-3)*(((-5--5)+(-3--5))+-3))))-(-5+-5)))*-5)))/-5)--5)+(-5*(((-3*(-3-(-5/-5)))*(-3-(-3/(-5*-3))))-(-5/-5)))))</f>
        <v>-179.0</v>
      </c>
      <c r="C9701" t="n" s="0">
        <v>-179.0</v>
      </c>
    </row>
    <row r="9702">
      <c r="A9702" t="n" s="0">
        <v>-2.99</v>
      </c>
      <c r="B9702" t="n" s="0">
        <f>(-5-((((-5*(-5/((-5/(((-5*(-2.99--5))-(-5+((-5*-2.99)*(((-5--5)+(-2.99--5))+-2.99))))-(-5+-5)))*-5)))/-5)--5)+(-5*(((-2.99*(-2.99-(-5/-5)))*(-2.99-(-2.99/(-5*-2.99))))-(-5/-5)))))</f>
        <v>-177.504695</v>
      </c>
      <c r="C9702" t="n" s="0">
        <v>-177.50469500000003</v>
      </c>
    </row>
    <row r="9703">
      <c r="A9703" t="n" s="0">
        <v>-2.98</v>
      </c>
      <c r="B9703" t="n" s="0">
        <f>(-5-((((-5*(-5/((-5/(((-5*(-2.98--5))-(-5+((-5*-2.98)*(((-5--5)+(-2.98--5))+-2.98))))-(-5+-5)))*-5)))/-5)--5)+(-5*(((-2.98*(-2.98-(-5/-5)))*(-2.98-(-2.98/(-5*-2.98))))-(-5/-5)))))</f>
        <v>-176.01875999999996</v>
      </c>
      <c r="C9703" t="n" s="0">
        <v>-176.01876</v>
      </c>
    </row>
    <row r="9704">
      <c r="A9704" t="n" s="0">
        <v>-2.97</v>
      </c>
      <c r="B9704" t="n" s="0">
        <f>(-5-((((-5*(-5/((-5/(((-5*(-2.97--5))-(-5+((-5*-2.97)*(((-5--5)+(-2.97--5))+-2.97))))-(-5+-5)))*-5)))/-5)--5)+(-5*(((-2.97*(-2.97-(-5/-5)))*(-2.97-(-2.97/(-5*-2.97))))-(-5/-5)))))</f>
        <v>-174.54216499999998</v>
      </c>
      <c r="C9704" t="n" s="0">
        <v>-174.54216500000004</v>
      </c>
    </row>
    <row r="9705">
      <c r="A9705" t="n" s="0">
        <v>-2.96</v>
      </c>
      <c r="B9705" t="n" s="0">
        <f>(-5-((((-5*(-5/((-5/(((-5*(-2.96--5))-(-5+((-5*-2.96)*(((-5--5)+(-2.96--5))+-2.96))))-(-5+-5)))*-5)))/-5)--5)+(-5*(((-2.96*(-2.96-(-5/-5)))*(-2.96-(-2.96/(-5*-2.96))))-(-5/-5)))))</f>
        <v>-173.07487999999998</v>
      </c>
      <c r="C9705" t="n" s="0">
        <v>-173.07487999999998</v>
      </c>
    </row>
    <row r="9706">
      <c r="A9706" t="n" s="0">
        <v>-2.95</v>
      </c>
      <c r="B9706" t="n" s="0">
        <f>(-5-((((-5*(-5/((-5/(((-5*(-2.95--5))-(-5+((-5*-2.95)*(((-5--5)+(-2.95--5))+-2.95))))-(-5+-5)))*-5)))/-5)--5)+(-5*(((-2.95*(-2.95-(-5/-5)))*(-2.95-(-2.95/(-5*-2.95))))-(-5/-5)))))</f>
        <v>-171.61687500000002</v>
      </c>
      <c r="C9706" t="n" s="0">
        <v>-171.61687500000002</v>
      </c>
    </row>
    <row r="9707">
      <c r="A9707" t="n" s="0">
        <v>-2.94</v>
      </c>
      <c r="B9707" t="n" s="0">
        <f>(-5-((((-5*(-5/((-5/(((-5*(-2.94--5))-(-5+((-5*-2.94)*(((-5--5)+(-2.94--5))+-2.94))))-(-5+-5)))*-5)))/-5)--5)+(-5*(((-2.94*(-2.94-(-5/-5)))*(-2.94-(-2.94/(-5*-2.94))))-(-5/-5)))))</f>
        <v>-170.16812000000002</v>
      </c>
      <c r="C9707" t="n" s="0">
        <v>-170.16812</v>
      </c>
    </row>
    <row r="9708">
      <c r="A9708" t="n" s="0">
        <v>-2.93</v>
      </c>
      <c r="B9708" t="n" s="0">
        <f>(-5-((((-5*(-5/((-5/(((-5*(-2.93--5))-(-5+((-5*-2.93)*(((-5--5)+(-2.93--5))+-2.93))))-(-5+-5)))*-5)))/-5)--5)+(-5*(((-2.93*(-2.93-(-5/-5)))*(-2.93-(-2.93/(-5*-2.93))))-(-5/-5)))))</f>
        <v>-168.728585</v>
      </c>
      <c r="C9708" t="n" s="0">
        <v>-168.728585</v>
      </c>
    </row>
    <row r="9709">
      <c r="A9709" t="n" s="0">
        <v>-2.92</v>
      </c>
      <c r="B9709" t="n" s="0">
        <f>(-5-((((-5*(-5/((-5/(((-5*(-2.92--5))-(-5+((-5*-2.92)*(((-5--5)+(-2.92--5))+-2.92))))-(-5+-5)))*-5)))/-5)--5)+(-5*(((-2.92*(-2.92-(-5/-5)))*(-2.92-(-2.92/(-5*-2.92))))-(-5/-5)))))</f>
        <v>-167.29824</v>
      </c>
      <c r="C9709" t="n" s="0">
        <v>-167.29823999999996</v>
      </c>
    </row>
    <row r="9710">
      <c r="A9710" t="n" s="0">
        <v>-2.91</v>
      </c>
      <c r="B9710" t="n" s="0">
        <f>(-5-((((-5*(-5/((-5/(((-5*(-2.91--5))-(-5+((-5*-2.91)*(((-5--5)+(-2.91--5))+-2.91))))-(-5+-5)))*-5)))/-5)--5)+(-5*(((-2.91*(-2.91-(-5/-5)))*(-2.91-(-2.91/(-5*-2.91))))-(-5/-5)))))</f>
        <v>-165.87705500000004</v>
      </c>
      <c r="C9710" t="n" s="0">
        <v>-165.877055</v>
      </c>
    </row>
    <row r="9711">
      <c r="A9711" t="n" s="0">
        <v>-2.9</v>
      </c>
      <c r="B9711" t="n" s="0">
        <f>(-5-((((-5*(-5/((-5/(((-5*(-2.9--5))-(-5+((-5*-2.9)*(((-5--5)+(-2.9--5))+-2.9))))-(-5+-5)))*-5)))/-5)--5)+(-5*(((-2.9*(-2.9-(-5/-5)))*(-2.9-(-2.9/(-5*-2.9))))-(-5/-5)))))</f>
        <v>-164.465</v>
      </c>
      <c r="C9711" t="n" s="0">
        <v>-164.46499999999997</v>
      </c>
    </row>
    <row r="9712">
      <c r="A9712" t="n" s="0">
        <v>-2.89</v>
      </c>
      <c r="B9712" t="n" s="0">
        <f>(-5-((((-5*(-5/((-5/(((-5*(-2.89--5))-(-5+((-5*-2.89)*(((-5--5)+(-2.89--5))+-2.89))))-(-5+-5)))*-5)))/-5)--5)+(-5*(((-2.89*(-2.89-(-5/-5)))*(-2.89-(-2.89/(-5*-2.89))))-(-5/-5)))))</f>
        <v>-163.06204499999998</v>
      </c>
      <c r="C9712" t="n" s="0">
        <v>-163.06204499999998</v>
      </c>
    </row>
    <row r="9713">
      <c r="A9713" t="n" s="0">
        <v>-2.88</v>
      </c>
      <c r="B9713" t="n" s="0">
        <f>(-5-((((-5*(-5/((-5/(((-5*(-2.88--5))-(-5+((-5*-2.88)*(((-5--5)+(-2.88--5))+-2.88))))-(-5+-5)))*-5)))/-5)--5)+(-5*(((-2.88*(-2.88-(-5/-5)))*(-2.88-(-2.88/(-5*-2.88))))-(-5/-5)))))</f>
        <v>-161.66816</v>
      </c>
      <c r="C9713" t="n" s="0">
        <v>-161.66816</v>
      </c>
    </row>
    <row r="9714">
      <c r="A9714" t="n" s="0">
        <v>-2.87</v>
      </c>
      <c r="B9714" t="n" s="0">
        <f>(-5-((((-5*(-5/((-5/(((-5*(-2.87--5))-(-5+((-5*-2.87)*(((-5--5)+(-2.87--5))+-2.87))))-(-5+-5)))*-5)))/-5)--5)+(-5*(((-2.87*(-2.87-(-5/-5)))*(-2.87-(-2.87/(-5*-2.87))))-(-5/-5)))))</f>
        <v>-160.28331500000002</v>
      </c>
      <c r="C9714" t="n" s="0">
        <v>-160.28331500000002</v>
      </c>
    </row>
    <row r="9715">
      <c r="A9715" t="n" s="0">
        <v>-2.86</v>
      </c>
      <c r="B9715" t="n" s="0">
        <f>(-5-((((-5*(-5/((-5/(((-5*(-2.86--5))-(-5+((-5*-2.86)*(((-5--5)+(-2.86--5))+-2.86))))-(-5+-5)))*-5)))/-5)--5)+(-5*(((-2.86*(-2.86-(-5/-5)))*(-2.86-(-2.86/(-5*-2.86))))-(-5/-5)))))</f>
        <v>-158.90748000000002</v>
      </c>
      <c r="C9715" t="n" s="0">
        <v>-158.90748</v>
      </c>
    </row>
    <row r="9716">
      <c r="A9716" t="n" s="0">
        <v>-2.85</v>
      </c>
      <c r="B9716" t="n" s="0">
        <f>(-5-((((-5*(-5/((-5/(((-5*(-2.85--5))-(-5+((-5*-2.85)*(((-5--5)+(-2.85--5))+-2.85))))-(-5+-5)))*-5)))/-5)--5)+(-5*(((-2.85*(-2.85-(-5/-5)))*(-2.85-(-2.85/(-5*-2.85))))-(-5/-5)))))</f>
        <v>-157.540625</v>
      </c>
      <c r="C9716" t="n" s="0">
        <v>-157.540625</v>
      </c>
    </row>
    <row r="9717">
      <c r="A9717" t="n" s="0">
        <v>-2.84</v>
      </c>
      <c r="B9717" t="n" s="0">
        <f>(-5-((((-5*(-5/((-5/(((-5*(-2.84--5))-(-5+((-5*-2.84)*(((-5--5)+(-2.84--5))+-2.84))))-(-5+-5)))*-5)))/-5)--5)+(-5*(((-2.84*(-2.84-(-5/-5)))*(-2.84-(-2.84/(-5*-2.84))))-(-5/-5)))))</f>
        <v>-156.18272000000002</v>
      </c>
      <c r="C9717" t="n" s="0">
        <v>-156.18272</v>
      </c>
    </row>
    <row r="9718">
      <c r="A9718" t="n" s="0">
        <v>-2.83</v>
      </c>
      <c r="B9718" t="n" s="0">
        <f>(-5-((((-5*(-5/((-5/(((-5*(-2.83--5))-(-5+((-5*-2.83)*(((-5--5)+(-2.83--5))+-2.83))))-(-5+-5)))*-5)))/-5)--5)+(-5*(((-2.83*(-2.83-(-5/-5)))*(-2.83-(-2.83/(-5*-2.83))))-(-5/-5)))))</f>
        <v>-154.833735</v>
      </c>
      <c r="C9718" t="n" s="0">
        <v>-154.83373500000002</v>
      </c>
    </row>
    <row r="9719">
      <c r="A9719" t="n" s="0">
        <v>-2.82</v>
      </c>
      <c r="B9719" t="n" s="0">
        <f>(-5-((((-5*(-5/((-5/(((-5*(-2.82--5))-(-5+((-5*-2.82)*(((-5--5)+(-2.82--5))+-2.82))))-(-5+-5)))*-5)))/-5)--5)+(-5*(((-2.82*(-2.82-(-5/-5)))*(-2.82-(-2.82/(-5*-2.82))))-(-5/-5)))))</f>
        <v>-153.49364</v>
      </c>
      <c r="C9719" t="n" s="0">
        <v>-153.49364</v>
      </c>
    </row>
    <row r="9720">
      <c r="A9720" t="n" s="0">
        <v>-2.81</v>
      </c>
      <c r="B9720" t="n" s="0">
        <f>(-5-((((-5*(-5/((-5/(((-5*(-2.81--5))-(-5+((-5*-2.81)*(((-5--5)+(-2.81--5))+-2.81))))-(-5+-5)))*-5)))/-5)--5)+(-5*(((-2.81*(-2.81-(-5/-5)))*(-2.81-(-2.81/(-5*-2.81))))-(-5/-5)))))</f>
        <v>-152.162405</v>
      </c>
      <c r="C9720" t="n" s="0">
        <v>-152.162405</v>
      </c>
    </row>
    <row r="9721">
      <c r="A9721" t="n" s="0">
        <v>-2.8</v>
      </c>
      <c r="B9721" t="n" s="0">
        <f>(-5-((((-5*(-5/((-5/(((-5*(-2.8--5))-(-5+((-5*-2.8)*(((-5--5)+(-2.8--5))+-2.8))))-(-5+-5)))*-5)))/-5)--5)+(-5*(((-2.8*(-2.8-(-5/-5)))*(-2.8-(-2.8/(-5*-2.8))))-(-5/-5)))))</f>
        <v>-150.83999999999997</v>
      </c>
      <c r="C9721" t="n" s="0">
        <v>-150.83999999999997</v>
      </c>
    </row>
    <row r="9722">
      <c r="A9722" t="n" s="0">
        <v>-2.79</v>
      </c>
      <c r="B9722" t="n" s="0">
        <f>(-5-((((-5*(-5/((-5/(((-5*(-2.79--5))-(-5+((-5*-2.79)*(((-5--5)+(-2.79--5))+-2.79))))-(-5+-5)))*-5)))/-5)--5)+(-5*(((-2.79*(-2.79-(-5/-5)))*(-2.79-(-2.79/(-5*-2.79))))-(-5/-5)))))</f>
        <v>-149.526395</v>
      </c>
      <c r="C9722" t="n" s="0">
        <v>-149.526395</v>
      </c>
    </row>
    <row r="9723">
      <c r="A9723" t="n" s="0">
        <v>-2.78</v>
      </c>
      <c r="B9723" t="n" s="0">
        <f>(-5-((((-5*(-5/((-5/(((-5*(-2.78--5))-(-5+((-5*-2.78)*(((-5--5)+(-2.78--5))+-2.78))))-(-5+-5)))*-5)))/-5)--5)+(-5*(((-2.78*(-2.78-(-5/-5)))*(-2.78-(-2.78/(-5*-2.78))))-(-5/-5)))))</f>
        <v>-148.22155999999998</v>
      </c>
      <c r="C9723" t="n" s="0">
        <v>-148.22155999999998</v>
      </c>
    </row>
    <row r="9724">
      <c r="A9724" t="n" s="0">
        <v>-2.77</v>
      </c>
      <c r="B9724" t="n" s="0">
        <f>(-5-((((-5*(-5/((-5/(((-5*(-2.77--5))-(-5+((-5*-2.77)*(((-5--5)+(-2.77--5))+-2.77))))-(-5+-5)))*-5)))/-5)--5)+(-5*(((-2.77*(-2.77-(-5/-5)))*(-2.77-(-2.77/(-5*-2.77))))-(-5/-5)))))</f>
        <v>-146.92546499999997</v>
      </c>
      <c r="C9724" t="n" s="0">
        <v>-146.925465</v>
      </c>
    </row>
    <row r="9725">
      <c r="A9725" t="n" s="0">
        <v>-2.76</v>
      </c>
      <c r="B9725" t="n" s="0">
        <f>(-5-((((-5*(-5/((-5/(((-5*(-2.76--5))-(-5+((-5*-2.76)*(((-5--5)+(-2.76--5))+-2.76))))-(-5+-5)))*-5)))/-5)--5)+(-5*(((-2.76*(-2.76-(-5/-5)))*(-2.76-(-2.76/(-5*-2.76))))-(-5/-5)))))</f>
        <v>-145.63808</v>
      </c>
      <c r="C9725" t="n" s="0">
        <v>-145.63807999999997</v>
      </c>
    </row>
    <row r="9726">
      <c r="A9726" t="n" s="0">
        <v>-2.75</v>
      </c>
      <c r="B9726" t="n" s="0">
        <f>(-5-((((-5*(-5/((-5/(((-5*(-2.75--5))-(-5+((-5*-2.75)*(((-5--5)+(-2.75--5))+-2.75))))-(-5+-5)))*-5)))/-5)--5)+(-5*(((-2.75*(-2.75-(-5/-5)))*(-2.75-(-2.75/(-5*-2.75))))-(-5/-5)))))</f>
        <v>-144.359375</v>
      </c>
      <c r="C9726" t="n" s="0">
        <v>-144.359375</v>
      </c>
    </row>
    <row r="9727">
      <c r="A9727" t="n" s="0">
        <v>-2.74</v>
      </c>
      <c r="B9727" t="n" s="0">
        <f>(-5-((((-5*(-5/((-5/(((-5*(-2.74--5))-(-5+((-5*-2.74)*(((-5--5)+(-2.74--5))+-2.74))))-(-5+-5)))*-5)))/-5)--5)+(-5*(((-2.74*(-2.74-(-5/-5)))*(-2.74-(-2.74/(-5*-2.74))))-(-5/-5)))))</f>
        <v>-143.08932</v>
      </c>
      <c r="C9727" t="n" s="0">
        <v>-143.08932000000004</v>
      </c>
    </row>
    <row r="9728">
      <c r="A9728" t="n" s="0">
        <v>-2.73</v>
      </c>
      <c r="B9728" t="n" s="0">
        <f>(-5-((((-5*(-5/((-5/(((-5*(-2.73--5))-(-5+((-5*-2.73)*(((-5--5)+(-2.73--5))+-2.73))))-(-5+-5)))*-5)))/-5)--5)+(-5*(((-2.73*(-2.73-(-5/-5)))*(-2.73-(-2.73/(-5*-2.73))))-(-5/-5)))))</f>
        <v>-141.82788499999998</v>
      </c>
      <c r="C9728" t="n" s="0">
        <v>-141.82788499999998</v>
      </c>
    </row>
    <row r="9729">
      <c r="A9729" t="n" s="0">
        <v>-2.72</v>
      </c>
      <c r="B9729" t="n" s="0">
        <f>(-5-((((-5*(-5/((-5/(((-5*(-2.72--5))-(-5+((-5*-2.72)*(((-5--5)+(-2.72--5))+-2.72))))-(-5+-5)))*-5)))/-5)--5)+(-5*(((-2.72*(-2.72-(-5/-5)))*(-2.72-(-2.72/(-5*-2.72))))-(-5/-5)))))</f>
        <v>-140.57504</v>
      </c>
      <c r="C9729" t="n" s="0">
        <v>-140.57504</v>
      </c>
    </row>
    <row r="9730">
      <c r="A9730" t="n" s="0">
        <v>-2.71</v>
      </c>
      <c r="B9730" t="n" s="0">
        <f>(-5-((((-5*(-5/((-5/(((-5*(-2.71--5))-(-5+((-5*-2.71)*(((-5--5)+(-2.71--5))+-2.71))))-(-5+-5)))*-5)))/-5)--5)+(-5*(((-2.71*(-2.71-(-5/-5)))*(-2.71-(-2.71/(-5*-2.71))))-(-5/-5)))))</f>
        <v>-139.330755</v>
      </c>
      <c r="C9730" t="n" s="0">
        <v>-139.330755</v>
      </c>
    </row>
    <row r="9731">
      <c r="A9731" t="n" s="0">
        <v>-2.7</v>
      </c>
      <c r="B9731" t="n" s="0">
        <f>(-5-((((-5*(-5/((-5/(((-5*(-2.7--5))-(-5+((-5*-2.7)*(((-5--5)+(-2.7--5))+-2.7))))-(-5+-5)))*-5)))/-5)--5)+(-5*(((-2.7*(-2.7-(-5/-5)))*(-2.7-(-2.7/(-5*-2.7))))-(-5/-5)))))</f>
        <v>-138.095</v>
      </c>
      <c r="C9731" t="n" s="0">
        <v>-138.09500000000003</v>
      </c>
    </row>
    <row r="9732">
      <c r="A9732" t="n" s="0">
        <v>-2.69</v>
      </c>
      <c r="B9732" t="n" s="0">
        <f>(-5-((((-5*(-5/((-5/(((-5*(-2.69--5))-(-5+((-5*-2.69)*(((-5--5)+(-2.69--5))+-2.69))))-(-5+-5)))*-5)))/-5)--5)+(-5*(((-2.69*(-2.69-(-5/-5)))*(-2.69-(-2.69/(-5*-2.69))))-(-5/-5)))))</f>
        <v>-136.867745</v>
      </c>
      <c r="C9732" t="n" s="0">
        <v>-136.86774499999999</v>
      </c>
    </row>
    <row r="9733">
      <c r="A9733" t="n" s="0">
        <v>-2.68</v>
      </c>
      <c r="B9733" t="n" s="0">
        <f>(-5-((((-5*(-5/((-5/(((-5*(-2.68--5))-(-5+((-5*-2.68)*(((-5--5)+(-2.68--5))+-2.68))))-(-5+-5)))*-5)))/-5)--5)+(-5*(((-2.68*(-2.68-(-5/-5)))*(-2.68-(-2.68/(-5*-2.68))))-(-5/-5)))))</f>
        <v>-135.64896000000002</v>
      </c>
      <c r="C9733" t="n" s="0">
        <v>-135.64896000000005</v>
      </c>
    </row>
    <row r="9734">
      <c r="A9734" t="n" s="0">
        <v>-2.67</v>
      </c>
      <c r="B9734" t="n" s="0">
        <f>(-5-((((-5*(-5/((-5/(((-5*(-2.67--5))-(-5+((-5*-2.67)*(((-5--5)+(-2.67--5))+-2.67))))-(-5+-5)))*-5)))/-5)--5)+(-5*(((-2.67*(-2.67-(-5/-5)))*(-2.67-(-2.67/(-5*-2.67))))-(-5/-5)))))</f>
        <v>-134.438615</v>
      </c>
      <c r="C9734" t="n" s="0">
        <v>-134.43861500000003</v>
      </c>
    </row>
    <row r="9735">
      <c r="A9735" t="n" s="0">
        <v>-2.66</v>
      </c>
      <c r="B9735" t="n" s="0">
        <f>(-5-((((-5*(-5/((-5/(((-5*(-2.66--5))-(-5+((-5*-2.66)*(((-5--5)+(-2.66--5))+-2.66))))-(-5+-5)))*-5)))/-5)--5)+(-5*(((-2.66*(-2.66-(-5/-5)))*(-2.66-(-2.66/(-5*-2.66))))-(-5/-5)))))</f>
        <v>-133.23668</v>
      </c>
      <c r="C9735" t="n" s="0">
        <v>-133.23668000000004</v>
      </c>
    </row>
    <row r="9736">
      <c r="A9736" t="n" s="0">
        <v>-2.65</v>
      </c>
      <c r="B9736" t="n" s="0">
        <f>(-5-((((-5*(-5/((-5/(((-5*(-2.65--5))-(-5+((-5*-2.65)*(((-5--5)+(-2.65--5))+-2.65))))-(-5+-5)))*-5)))/-5)--5)+(-5*(((-2.65*(-2.65-(-5/-5)))*(-2.65-(-2.65/(-5*-2.65))))-(-5/-5)))))</f>
        <v>-132.043125</v>
      </c>
      <c r="C9736" t="n" s="0">
        <v>-132.04312499999997</v>
      </c>
    </row>
    <row r="9737">
      <c r="A9737" t="n" s="0">
        <v>-2.64</v>
      </c>
      <c r="B9737" t="n" s="0">
        <f>(-5-((((-5*(-5/((-5/(((-5*(-2.64--5))-(-5+((-5*-2.64)*(((-5--5)+(-2.64--5))+-2.64))))-(-5+-5)))*-5)))/-5)--5)+(-5*(((-2.64*(-2.64-(-5/-5)))*(-2.64-(-2.64/(-5*-2.64))))-(-5/-5)))))</f>
        <v>-130.85792</v>
      </c>
      <c r="C9737" t="n" s="0">
        <v>-130.85792</v>
      </c>
    </row>
    <row r="9738">
      <c r="A9738" t="n" s="0">
        <v>-2.63</v>
      </c>
      <c r="B9738" t="n" s="0">
        <f>(-5-((((-5*(-5/((-5/(((-5*(-2.63--5))-(-5+((-5*-2.63)*(((-5--5)+(-2.63--5))+-2.63))))-(-5+-5)))*-5)))/-5)--5)+(-5*(((-2.63*(-2.63-(-5/-5)))*(-2.63-(-2.63/(-5*-2.63))))-(-5/-5)))))</f>
        <v>-129.681035</v>
      </c>
      <c r="C9738" t="n" s="0">
        <v>-129.68103499999998</v>
      </c>
    </row>
    <row r="9739">
      <c r="A9739" t="n" s="0">
        <v>-2.62</v>
      </c>
      <c r="B9739" t="n" s="0">
        <f>(-5-((((-5*(-5/((-5/(((-5*(-2.62--5))-(-5+((-5*-2.62)*(((-5--5)+(-2.62--5))+-2.62))))-(-5+-5)))*-5)))/-5)--5)+(-5*(((-2.62*(-2.62-(-5/-5)))*(-2.62-(-2.62/(-5*-2.62))))-(-5/-5)))))</f>
        <v>-128.51244</v>
      </c>
      <c r="C9739" t="n" s="0">
        <v>-128.51244000000003</v>
      </c>
    </row>
    <row r="9740">
      <c r="A9740" t="n" s="0">
        <v>-2.61</v>
      </c>
      <c r="B9740" t="n" s="0">
        <f>(-5-((((-5*(-5/((-5/(((-5*(-2.61--5))-(-5+((-5*-2.61)*(((-5--5)+(-2.61--5))+-2.61))))-(-5+-5)))*-5)))/-5)--5)+(-5*(((-2.61*(-2.61-(-5/-5)))*(-2.61-(-2.61/(-5*-2.61))))-(-5/-5)))))</f>
        <v>-127.352105</v>
      </c>
      <c r="C9740" t="n" s="0">
        <v>-127.35210499999998</v>
      </c>
    </row>
    <row r="9741">
      <c r="A9741" t="n" s="0">
        <v>-2.6</v>
      </c>
      <c r="B9741" t="n" s="0">
        <f>(-5-((((-5*(-5/((-5/(((-5*(-2.6--5))-(-5+((-5*-2.6)*(((-5--5)+(-2.6--5))+-2.6))))-(-5+-5)))*-5)))/-5)--5)+(-5*(((-2.6*(-2.6-(-5/-5)))*(-2.6-(-2.6/(-5*-2.6))))-(-5/-5)))))</f>
        <v>-126.19999999999999</v>
      </c>
      <c r="C9741" t="n" s="0">
        <v>-126.19999999999999</v>
      </c>
    </row>
    <row r="9742">
      <c r="A9742" t="n" s="0">
        <v>-2.59</v>
      </c>
      <c r="B9742" t="n" s="0">
        <f>(-5-((((-5*(-5/((-5/(((-5*(-2.59--5))-(-5+((-5*-2.59)*(((-5--5)+(-2.59--5))+-2.59))))-(-5+-5)))*-5)))/-5)--5)+(-5*(((-2.59*(-2.59-(-5/-5)))*(-2.59-(-2.59/(-5*-2.59))))-(-5/-5)))))</f>
        <v>-125.056095</v>
      </c>
      <c r="C9742" t="n" s="0">
        <v>-125.05609499999998</v>
      </c>
    </row>
    <row r="9743">
      <c r="A9743" t="n" s="0">
        <v>-2.58</v>
      </c>
      <c r="B9743" t="n" s="0">
        <f>(-5-((((-5*(-5/((-5/(((-5*(-2.58--5))-(-5+((-5*-2.58)*(((-5--5)+(-2.58--5))+-2.58))))-(-5+-5)))*-5)))/-5)--5)+(-5*(((-2.58*(-2.58-(-5/-5)))*(-2.58-(-2.58/(-5*-2.58))))-(-5/-5)))))</f>
        <v>-123.92036000000002</v>
      </c>
      <c r="C9743" t="n" s="0">
        <v>-123.92036</v>
      </c>
    </row>
    <row r="9744">
      <c r="A9744" t="n" s="0">
        <v>-2.57</v>
      </c>
      <c r="B9744" t="n" s="0">
        <f>(-5-((((-5*(-5/((-5/(((-5*(-2.57--5))-(-5+((-5*-2.57)*(((-5--5)+(-2.57--5))+-2.57))))-(-5+-5)))*-5)))/-5)--5)+(-5*(((-2.57*(-2.57-(-5/-5)))*(-2.57-(-2.57/(-5*-2.57))))-(-5/-5)))))</f>
        <v>-122.792765</v>
      </c>
      <c r="C9744" t="n" s="0">
        <v>-122.79276499999997</v>
      </c>
    </row>
    <row r="9745">
      <c r="A9745" t="n" s="0">
        <v>-2.56</v>
      </c>
      <c r="B9745" t="n" s="0">
        <f>(-5-((((-5*(-5/((-5/(((-5*(-2.56--5))-(-5+((-5*-2.56)*(((-5--5)+(-2.56--5))+-2.56))))-(-5+-5)))*-5)))/-5)--5)+(-5*(((-2.56*(-2.56-(-5/-5)))*(-2.56-(-2.56/(-5*-2.56))))-(-5/-5)))))</f>
        <v>-121.67328</v>
      </c>
      <c r="C9745" t="n" s="0">
        <v>-121.67328000000003</v>
      </c>
    </row>
    <row r="9746">
      <c r="A9746" t="n" s="0">
        <v>-2.55</v>
      </c>
      <c r="B9746" t="n" s="0">
        <f>(-5-((((-5*(-5/((-5/(((-5*(-2.55--5))-(-5+((-5*-2.55)*(((-5--5)+(-2.55--5))+-2.55))))-(-5+-5)))*-5)))/-5)--5)+(-5*(((-2.55*(-2.55-(-5/-5)))*(-2.55-(-2.55/(-5*-2.55))))-(-5/-5)))))</f>
        <v>-120.56187499999999</v>
      </c>
      <c r="C9746" t="n" s="0">
        <v>-120.56187499999999</v>
      </c>
    </row>
    <row r="9747">
      <c r="A9747" t="n" s="0">
        <v>-2.54</v>
      </c>
      <c r="B9747" t="n" s="0">
        <f>(-5-((((-5*(-5/((-5/(((-5*(-2.54--5))-(-5+((-5*-2.54)*(((-5--5)+(-2.54--5))+-2.54))))-(-5+-5)))*-5)))/-5)--5)+(-5*(((-2.54*(-2.54-(-5/-5)))*(-2.54-(-2.54/(-5*-2.54))))-(-5/-5)))))</f>
        <v>-119.45852</v>
      </c>
      <c r="C9747" t="n" s="0">
        <v>-119.45852000000002</v>
      </c>
    </row>
    <row r="9748">
      <c r="A9748" t="n" s="0">
        <v>-2.53</v>
      </c>
      <c r="B9748" t="n" s="0">
        <f>(-5-((((-5*(-5/((-5/(((-5*(-2.53--5))-(-5+((-5*-2.53)*(((-5--5)+(-2.53--5))+-2.53))))-(-5+-5)))*-5)))/-5)--5)+(-5*(((-2.53*(-2.53-(-5/-5)))*(-2.53-(-2.53/(-5*-2.53))))-(-5/-5)))))</f>
        <v>-118.363185</v>
      </c>
      <c r="C9748" t="n" s="0">
        <v>-118.36318499999999</v>
      </c>
    </row>
    <row r="9749">
      <c r="A9749" t="n" s="0">
        <v>-2.52</v>
      </c>
      <c r="B9749" t="n" s="0">
        <f>(-5-((((-5*(-5/((-5/(((-5*(-2.52--5))-(-5+((-5*-2.52)*(((-5--5)+(-2.52--5))+-2.52))))-(-5+-5)))*-5)))/-5)--5)+(-5*(((-2.52*(-2.52-(-5/-5)))*(-2.52-(-2.52/(-5*-2.52))))-(-5/-5)))))</f>
        <v>-117.27584</v>
      </c>
      <c r="C9749" t="n" s="0">
        <v>-117.27584</v>
      </c>
    </row>
    <row r="9750">
      <c r="A9750" t="n" s="0">
        <v>-2.51</v>
      </c>
      <c r="B9750" t="n" s="0">
        <f>(-5-((((-5*(-5/((-5/(((-5*(-2.51--5))-(-5+((-5*-2.51)*(((-5--5)+(-2.51--5))+-2.51))))-(-5+-5)))*-5)))/-5)--5)+(-5*(((-2.51*(-2.51-(-5/-5)))*(-2.51-(-2.51/(-5*-2.51))))-(-5/-5)))))</f>
        <v>-116.196455</v>
      </c>
      <c r="C9750" t="n" s="0">
        <v>-116.19645499999999</v>
      </c>
    </row>
    <row r="9751">
      <c r="A9751" t="n" s="0">
        <v>-2.5</v>
      </c>
      <c r="B9751" t="n" s="0">
        <f>(-5-((((-5*(-5/((-5/(((-5*(-2.5--5))-(-5+((-5*-2.5)*(((-5--5)+(-2.5--5))+-2.5))))-(-5+-5)))*-5)))/-5)--5)+(-5*(((-2.5*(-2.5-(-5/-5)))*(-2.5-(-2.5/(-5*-2.5))))-(-5/-5)))))</f>
        <v>-115.125</v>
      </c>
      <c r="C9751" t="n" s="0">
        <v>-115.125</v>
      </c>
    </row>
    <row r="9752">
      <c r="A9752" t="n" s="0">
        <v>-2.49</v>
      </c>
      <c r="B9752" t="n" s="0">
        <f>(-5-((((-5*(-5/((-5/(((-5*(-2.49--5))-(-5+((-5*-2.49)*(((-5--5)+(-2.49--5))+-2.49))))-(-5+-5)))*-5)))/-5)--5)+(-5*(((-2.49*(-2.49-(-5/-5)))*(-2.49-(-2.49/(-5*-2.49))))-(-5/-5)))))</f>
        <v>-114.06144499999999</v>
      </c>
      <c r="C9752" t="n" s="0">
        <v>-114.06144500000002</v>
      </c>
    </row>
    <row r="9753">
      <c r="A9753" t="n" s="0">
        <v>-2.48</v>
      </c>
      <c r="B9753" t="n" s="0">
        <f>(-5-((((-5*(-5/((-5/(((-5*(-2.48--5))-(-5+((-5*-2.48)*(((-5--5)+(-2.48--5))+-2.48))))-(-5+-5)))*-5)))/-5)--5)+(-5*(((-2.48*(-2.48-(-5/-5)))*(-2.48-(-2.48/(-5*-2.48))))-(-5/-5)))))</f>
        <v>-113.00576</v>
      </c>
      <c r="C9753" t="n" s="0">
        <v>-113.00576</v>
      </c>
    </row>
    <row r="9754">
      <c r="A9754" t="n" s="0">
        <v>-2.47</v>
      </c>
      <c r="B9754" t="n" s="0">
        <f>(-5-((((-5*(-5/((-5/(((-5*(-2.47--5))-(-5+((-5*-2.47)*(((-5--5)+(-2.47--5))+-2.47))))-(-5+-5)))*-5)))/-5)--5)+(-5*(((-2.47*(-2.47-(-5/-5)))*(-2.47-(-2.47/(-5*-2.47))))-(-5/-5)))))</f>
        <v>-111.957915</v>
      </c>
      <c r="C9754" t="n" s="0">
        <v>-111.95791500000001</v>
      </c>
    </row>
    <row r="9755">
      <c r="A9755" t="n" s="0">
        <v>-2.46</v>
      </c>
      <c r="B9755" t="n" s="0">
        <f>(-5-((((-5*(-5/((-5/(((-5*(-2.46--5))-(-5+((-5*-2.46)*(((-5--5)+(-2.46--5))+-2.46))))-(-5+-5)))*-5)))/-5)--5)+(-5*(((-2.46*(-2.46-(-5/-5)))*(-2.46-(-2.46/(-5*-2.46))))-(-5/-5)))))</f>
        <v>-110.91788</v>
      </c>
      <c r="C9755" t="n" s="0">
        <v>-110.91787999999998</v>
      </c>
    </row>
    <row r="9756">
      <c r="A9756" t="n" s="0">
        <v>-2.45</v>
      </c>
      <c r="B9756" t="n" s="0">
        <f>(-5-((((-5*(-5/((-5/(((-5*(-2.45--5))-(-5+((-5*-2.45)*(((-5--5)+(-2.45--5))+-2.45))))-(-5+-5)))*-5)))/-5)--5)+(-5*(((-2.45*(-2.45-(-5/-5)))*(-2.45-(-2.45/(-5*-2.45))))-(-5/-5)))))</f>
        <v>-109.885625</v>
      </c>
      <c r="C9756" t="n" s="0">
        <v>-109.885625</v>
      </c>
    </row>
    <row r="9757">
      <c r="A9757" t="n" s="0">
        <v>-2.44</v>
      </c>
      <c r="B9757" t="n" s="0">
        <f>(-5-((((-5*(-5/((-5/(((-5*(-2.44--5))-(-5+((-5*-2.44)*(((-5--5)+(-2.44--5))+-2.44))))-(-5+-5)))*-5)))/-5)--5)+(-5*(((-2.44*(-2.44-(-5/-5)))*(-2.44-(-2.44/(-5*-2.44))))-(-5/-5)))))</f>
        <v>-108.86112</v>
      </c>
      <c r="C9757" t="n" s="0">
        <v>-108.86112</v>
      </c>
    </row>
    <row r="9758">
      <c r="A9758" t="n" s="0">
        <v>-2.43</v>
      </c>
      <c r="B9758" t="n" s="0">
        <f>(-5-((((-5*(-5/((-5/(((-5*(-2.43--5))-(-5+((-5*-2.43)*(((-5--5)+(-2.43--5))+-2.43))))-(-5+-5)))*-5)))/-5)--5)+(-5*(((-2.43*(-2.43-(-5/-5)))*(-2.43-(-2.43/(-5*-2.43))))-(-5/-5)))))</f>
        <v>-107.844335</v>
      </c>
      <c r="C9758" t="n" s="0">
        <v>-107.84433500000002</v>
      </c>
    </row>
    <row r="9759">
      <c r="A9759" t="n" s="0">
        <v>-2.42</v>
      </c>
      <c r="B9759" t="n" s="0">
        <f>(-5-((((-5*(-5/((-5/(((-5*(-2.42--5))-(-5+((-5*-2.42)*(((-5--5)+(-2.42--5))+-2.42))))-(-5+-5)))*-5)))/-5)--5)+(-5*(((-2.42*(-2.42-(-5/-5)))*(-2.42-(-2.42/(-5*-2.42))))-(-5/-5)))))</f>
        <v>-106.83524</v>
      </c>
      <c r="C9759" t="n" s="0">
        <v>-106.83524</v>
      </c>
    </row>
    <row r="9760">
      <c r="A9760" t="n" s="0">
        <v>-2.41</v>
      </c>
      <c r="B9760" t="n" s="0">
        <f>(-5-((((-5*(-5/((-5/(((-5*(-2.41--5))-(-5+((-5*-2.41)*(((-5--5)+(-2.41--5))+-2.41))))-(-5+-5)))*-5)))/-5)--5)+(-5*(((-2.41*(-2.41-(-5/-5)))*(-2.41-(-2.41/(-5*-2.41))))-(-5/-5)))))</f>
        <v>-105.833805</v>
      </c>
      <c r="C9760" t="n" s="0">
        <v>-105.83380500000003</v>
      </c>
    </row>
    <row r="9761">
      <c r="A9761" t="n" s="0">
        <v>-2.4</v>
      </c>
      <c r="B9761" t="n" s="0">
        <f>(-5-((((-5*(-5/((-5/(((-5*(-2.4--5))-(-5+((-5*-2.4)*(((-5--5)+(-2.4--5))+-2.4))))-(-5+-5)))*-5)))/-5)--5)+(-5*(((-2.4*(-2.4-(-5/-5)))*(-2.4-(-2.4/(-5*-2.4))))-(-5/-5)))))</f>
        <v>-104.84</v>
      </c>
      <c r="C9761" t="n" s="0">
        <v>-104.83999999999999</v>
      </c>
    </row>
    <row r="9762">
      <c r="A9762" t="n" s="0">
        <v>-2.39</v>
      </c>
      <c r="B9762" t="n" s="0">
        <f>(-5-((((-5*(-5/((-5/(((-5*(-2.39--5))-(-5+((-5*-2.39)*(((-5--5)+(-2.39--5))+-2.39))))-(-5+-5)))*-5)))/-5)--5)+(-5*(((-2.39*(-2.39-(-5/-5)))*(-2.39-(-2.39/(-5*-2.39))))-(-5/-5)))))</f>
        <v>-103.853795</v>
      </c>
      <c r="C9762" t="n" s="0">
        <v>-103.853795</v>
      </c>
    </row>
    <row r="9763">
      <c r="A9763" t="n" s="0">
        <v>-2.38</v>
      </c>
      <c r="B9763" t="n" s="0">
        <f>(-5-((((-5*(-5/((-5/(((-5*(-2.38--5))-(-5+((-5*-2.38)*(((-5--5)+(-2.38--5))+-2.38))))-(-5+-5)))*-5)))/-5)--5)+(-5*(((-2.38*(-2.38-(-5/-5)))*(-2.38-(-2.38/(-5*-2.38))))-(-5/-5)))))</f>
        <v>-102.87516</v>
      </c>
      <c r="C9763" t="n" s="0">
        <v>-102.87516</v>
      </c>
    </row>
    <row r="9764">
      <c r="A9764" t="n" s="0">
        <v>-2.37</v>
      </c>
      <c r="B9764" t="n" s="0">
        <f>(-5-((((-5*(-5/((-5/(((-5*(-2.37--5))-(-5+((-5*-2.37)*(((-5--5)+(-2.37--5))+-2.37))))-(-5+-5)))*-5)))/-5)--5)+(-5*(((-2.37*(-2.37-(-5/-5)))*(-2.37-(-2.37/(-5*-2.37))))-(-5/-5)))))</f>
        <v>-101.904065</v>
      </c>
      <c r="C9764" t="n" s="0">
        <v>-101.90406500000002</v>
      </c>
    </row>
    <row r="9765">
      <c r="A9765" t="n" s="0">
        <v>-2.36</v>
      </c>
      <c r="B9765" t="n" s="0">
        <f>(-5-((((-5*(-5/((-5/(((-5*(-2.36--5))-(-5+((-5*-2.36)*(((-5--5)+(-2.36--5))+-2.36))))-(-5+-5)))*-5)))/-5)--5)+(-5*(((-2.36*(-2.36-(-5/-5)))*(-2.36-(-2.36/(-5*-2.36))))-(-5/-5)))))</f>
        <v>-100.94048</v>
      </c>
      <c r="C9765" t="n" s="0">
        <v>-100.94048</v>
      </c>
    </row>
    <row r="9766">
      <c r="A9766" t="n" s="0">
        <v>-2.35</v>
      </c>
      <c r="B9766" t="n" s="0">
        <f>(-5-((((-5*(-5/((-5/(((-5*(-2.35--5))-(-5+((-5*-2.35)*(((-5--5)+(-2.35--5))+-2.35))))-(-5+-5)))*-5)))/-5)--5)+(-5*(((-2.35*(-2.35-(-5/-5)))*(-2.35-(-2.35/(-5*-2.35))))-(-5/-5)))))</f>
        <v>-99.984375</v>
      </c>
      <c r="C9766" t="n" s="0">
        <v>-99.984375</v>
      </c>
    </row>
    <row r="9767">
      <c r="A9767" t="n" s="0">
        <v>-2.34</v>
      </c>
      <c r="B9767" t="n" s="0">
        <f>(-5-((((-5*(-5/((-5/(((-5*(-2.34--5))-(-5+((-5*-2.34)*(((-5--5)+(-2.34--5))+-2.34))))-(-5+-5)))*-5)))/-5)--5)+(-5*(((-2.34*(-2.34-(-5/-5)))*(-2.34-(-2.34/(-5*-2.34))))-(-5/-5)))))</f>
        <v>-99.03572</v>
      </c>
      <c r="C9767" t="n" s="0">
        <v>-99.03571999999998</v>
      </c>
    </row>
    <row r="9768">
      <c r="A9768" t="n" s="0">
        <v>-2.33</v>
      </c>
      <c r="B9768" t="n" s="0">
        <f>(-5-((((-5*(-5/((-5/(((-5*(-2.33--5))-(-5+((-5*-2.33)*(((-5--5)+(-2.33--5))+-2.33))))-(-5+-5)))*-5)))/-5)--5)+(-5*(((-2.33*(-2.33-(-5/-5)))*(-2.33-(-2.33/(-5*-2.33))))-(-5/-5)))))</f>
        <v>-98.09448499999999</v>
      </c>
      <c r="C9768" t="n" s="0">
        <v>-98.094485</v>
      </c>
    </row>
    <row r="9769">
      <c r="A9769" t="n" s="0">
        <v>-2.32</v>
      </c>
      <c r="B9769" t="n" s="0">
        <f>(-5-((((-5*(-5/((-5/(((-5*(-2.32--5))-(-5+((-5*-2.32)*(((-5--5)+(-2.32--5))+-2.32))))-(-5+-5)))*-5)))/-5)--5)+(-5*(((-2.32*(-2.32-(-5/-5)))*(-2.32-(-2.32/(-5*-2.32))))-(-5/-5)))))</f>
        <v>-97.16064</v>
      </c>
      <c r="C9769" t="n" s="0">
        <v>-97.16063999999997</v>
      </c>
    </row>
    <row r="9770">
      <c r="A9770" t="n" s="0">
        <v>-2.31</v>
      </c>
      <c r="B9770" t="n" s="0">
        <f>(-5-((((-5*(-5/((-5/(((-5*(-2.31--5))-(-5+((-5*-2.31)*(((-5--5)+(-2.31--5))+-2.31))))-(-5+-5)))*-5)))/-5)--5)+(-5*(((-2.31*(-2.31-(-5/-5)))*(-2.31-(-2.31/(-5*-2.31))))-(-5/-5)))))</f>
        <v>-96.234155</v>
      </c>
      <c r="C9770" t="n" s="0">
        <v>-96.23415500000002</v>
      </c>
    </row>
    <row r="9771">
      <c r="A9771" t="n" s="0">
        <v>-2.3</v>
      </c>
      <c r="B9771" t="n" s="0">
        <f>(-5-((((-5*(-5/((-5/(((-5*(-2.3--5))-(-5+((-5*-2.3)*(((-5--5)+(-2.3--5))+-2.3))))-(-5+-5)))*-5)))/-5)--5)+(-5*(((-2.3*(-2.3-(-5/-5)))*(-2.3-(-2.3/(-5*-2.3))))-(-5/-5)))))</f>
        <v>-95.315</v>
      </c>
      <c r="C9771" t="n" s="0">
        <v>-95.315</v>
      </c>
    </row>
    <row r="9772">
      <c r="A9772" t="n" s="0">
        <v>-2.29</v>
      </c>
      <c r="B9772" t="n" s="0">
        <f>(-5-((((-5*(-5/((-5/(((-5*(-2.29--5))-(-5+((-5*-2.29)*(((-5--5)+(-2.29--5))+-2.29))))-(-5+-5)))*-5)))/-5)--5)+(-5*(((-2.29*(-2.29-(-5/-5)))*(-2.29-(-2.29/(-5*-2.29))))-(-5/-5)))))</f>
        <v>-94.40314500000001</v>
      </c>
      <c r="C9772" t="n" s="0">
        <v>-94.40314500000001</v>
      </c>
    </row>
    <row r="9773">
      <c r="A9773" t="n" s="0">
        <v>-2.28</v>
      </c>
      <c r="B9773" t="n" s="0">
        <f>(-5-((((-5*(-5/((-5/(((-5*(-2.28--5))-(-5+((-5*-2.28)*(((-5--5)+(-2.28--5))+-2.28))))-(-5+-5)))*-5)))/-5)--5)+(-5*(((-2.28*(-2.28-(-5/-5)))*(-2.28-(-2.28/(-5*-2.28))))-(-5/-5)))))</f>
        <v>-93.49856000000001</v>
      </c>
      <c r="C9773" t="n" s="0">
        <v>-93.49855999999998</v>
      </c>
    </row>
    <row r="9774">
      <c r="A9774" t="n" s="0">
        <v>-2.27</v>
      </c>
      <c r="B9774" t="n" s="0">
        <f>(-5-((((-5*(-5/((-5/(((-5*(-2.27--5))-(-5+((-5*-2.27)*(((-5--5)+(-2.27--5))+-2.27))))-(-5+-5)))*-5)))/-5)--5)+(-5*(((-2.27*(-2.27-(-5/-5)))*(-2.27-(-2.27/(-5*-2.27))))-(-5/-5)))))</f>
        <v>-92.601215</v>
      </c>
      <c r="C9774" t="n" s="0">
        <v>-92.60121500000001</v>
      </c>
    </row>
    <row r="9775">
      <c r="A9775" t="n" s="0">
        <v>-2.26</v>
      </c>
      <c r="B9775" t="n" s="0">
        <f>(-5-((((-5*(-5/((-5/(((-5*(-2.26--5))-(-5+((-5*-2.26)*(((-5--5)+(-2.26--5))+-2.26))))-(-5+-5)))*-5)))/-5)--5)+(-5*(((-2.26*(-2.26-(-5/-5)))*(-2.26-(-2.26/(-5*-2.26))))-(-5/-5)))))</f>
        <v>-91.71108</v>
      </c>
      <c r="C9775" t="n" s="0">
        <v>-91.71107999999998</v>
      </c>
    </row>
    <row r="9776">
      <c r="A9776" t="n" s="0">
        <v>-2.25</v>
      </c>
      <c r="B9776" t="n" s="0">
        <f>(-5-((((-5*(-5/((-5/(((-5*(-2.25--5))-(-5+((-5*-2.25)*(((-5--5)+(-2.25--5))+-2.25))))-(-5+-5)))*-5)))/-5)--5)+(-5*(((-2.25*(-2.25-(-5/-5)))*(-2.25-(-2.25/(-5*-2.25))))-(-5/-5)))))</f>
        <v>-90.828125</v>
      </c>
      <c r="C9776" t="n" s="0">
        <v>-90.828125</v>
      </c>
    </row>
    <row r="9777">
      <c r="A9777" t="n" s="0">
        <v>-2.24</v>
      </c>
      <c r="B9777" t="n" s="0">
        <f>(-5-((((-5*(-5/((-5/(((-5*(-2.24--5))-(-5+((-5*-2.24)*(((-5--5)+(-2.24--5))+-2.24))))-(-5+-5)))*-5)))/-5)--5)+(-5*(((-2.24*(-2.24-(-5/-5)))*(-2.24-(-2.24/(-5*-2.24))))-(-5/-5)))))</f>
        <v>-89.95232</v>
      </c>
      <c r="C9777" t="n" s="0">
        <v>-89.95232000000001</v>
      </c>
    </row>
    <row r="9778">
      <c r="A9778" t="n" s="0">
        <v>-2.23</v>
      </c>
      <c r="B9778" t="n" s="0">
        <f>(-5-((((-5*(-5/((-5/(((-5*(-2.23--5))-(-5+((-5*-2.23)*(((-5--5)+(-2.23--5))+-2.23))))-(-5+-5)))*-5)))/-5)--5)+(-5*(((-2.23*(-2.23-(-5/-5)))*(-2.23-(-2.23/(-5*-2.23))))-(-5/-5)))))</f>
        <v>-89.083635</v>
      </c>
      <c r="C9778" t="n" s="0">
        <v>-89.083635</v>
      </c>
    </row>
    <row r="9779">
      <c r="A9779" t="n" s="0">
        <v>-2.22</v>
      </c>
      <c r="B9779" t="n" s="0">
        <f>(-5-((((-5*(-5/((-5/(((-5*(-2.22--5))-(-5+((-5*-2.22)*(((-5--5)+(-2.22--5))+-2.22))))-(-5+-5)))*-5)))/-5)--5)+(-5*(((-2.22*(-2.22-(-5/-5)))*(-2.22-(-2.22/(-5*-2.22))))-(-5/-5)))))</f>
        <v>-88.22204</v>
      </c>
      <c r="C9779" t="n" s="0">
        <v>-88.22204</v>
      </c>
    </row>
    <row r="9780">
      <c r="A9780" t="n" s="0">
        <v>-2.21</v>
      </c>
      <c r="B9780" t="n" s="0">
        <f>(-5-((((-5*(-5/((-5/(((-5*(-2.21--5))-(-5+((-5*-2.21)*(((-5--5)+(-2.21--5))+-2.21))))-(-5+-5)))*-5)))/-5)--5)+(-5*(((-2.21*(-2.21-(-5/-5)))*(-2.21-(-2.21/(-5*-2.21))))-(-5/-5)))))</f>
        <v>-87.367505</v>
      </c>
      <c r="C9780" t="n" s="0">
        <v>-87.367505</v>
      </c>
    </row>
    <row r="9781">
      <c r="A9781" t="n" s="0">
        <v>-2.2</v>
      </c>
      <c r="B9781" t="n" s="0">
        <f>(-5-((((-5*(-5/((-5/(((-5*(-2.2--5))-(-5+((-5*-2.2)*(((-5--5)+(-2.2--5))+-2.2))))-(-5+-5)))*-5)))/-5)--5)+(-5*(((-2.2*(-2.2-(-5/-5)))*(-2.2-(-2.2/(-5*-2.2))))-(-5/-5)))))</f>
        <v>-86.52000000000001</v>
      </c>
      <c r="C9781" t="n" s="0">
        <v>-86.52000000000001</v>
      </c>
    </row>
    <row r="9782">
      <c r="A9782" t="n" s="0">
        <v>-2.19</v>
      </c>
      <c r="B9782" t="n" s="0">
        <f>(-5-((((-5*(-5/((-5/(((-5*(-2.19--5))-(-5+((-5*-2.19)*(((-5--5)+(-2.19--5))+-2.19))))-(-5+-5)))*-5)))/-5)--5)+(-5*(((-2.19*(-2.19-(-5/-5)))*(-2.19-(-2.19/(-5*-2.19))))-(-5/-5)))))</f>
        <v>-85.679495</v>
      </c>
      <c r="C9782" t="n" s="0">
        <v>-85.679495</v>
      </c>
    </row>
    <row r="9783">
      <c r="A9783" t="n" s="0">
        <v>-2.18</v>
      </c>
      <c r="B9783" t="n" s="0">
        <f>(-5-((((-5*(-5/((-5/(((-5*(-2.18--5))-(-5+((-5*-2.18)*(((-5--5)+(-2.18--5))+-2.18))))-(-5+-5)))*-5)))/-5)--5)+(-5*(((-2.18*(-2.18-(-5/-5)))*(-2.18-(-2.18/(-5*-2.18))))-(-5/-5)))))</f>
        <v>-84.84595999999999</v>
      </c>
      <c r="C9783" t="n" s="0">
        <v>-84.84596000000002</v>
      </c>
    </row>
    <row r="9784">
      <c r="A9784" t="n" s="0">
        <v>-2.17</v>
      </c>
      <c r="B9784" t="n" s="0">
        <f>(-5-((((-5*(-5/((-5/(((-5*(-2.17--5))-(-5+((-5*-2.17)*(((-5--5)+(-2.17--5))+-2.17))))-(-5+-5)))*-5)))/-5)--5)+(-5*(((-2.17*(-2.17-(-5/-5)))*(-2.17-(-2.17/(-5*-2.17))))-(-5/-5)))))</f>
        <v>-84.019365</v>
      </c>
      <c r="C9784" t="n" s="0">
        <v>-84.019365</v>
      </c>
    </row>
    <row r="9785">
      <c r="A9785" t="n" s="0">
        <v>-2.16</v>
      </c>
      <c r="B9785" t="n" s="0">
        <f>(-5-((((-5*(-5/((-5/(((-5*(-2.16--5))-(-5+((-5*-2.16)*(((-5--5)+(-2.16--5))+-2.16))))-(-5+-5)))*-5)))/-5)--5)+(-5*(((-2.16*(-2.16-(-5/-5)))*(-2.16-(-2.16/(-5*-2.16))))-(-5/-5)))))</f>
        <v>-83.19968</v>
      </c>
      <c r="C9785" t="n" s="0">
        <v>-83.19968000000001</v>
      </c>
    </row>
    <row r="9786">
      <c r="A9786" t="n" s="0">
        <v>-2.15</v>
      </c>
      <c r="B9786" t="n" s="0">
        <f>(-5-((((-5*(-5/((-5/(((-5*(-2.15--5))-(-5+((-5*-2.15)*(((-5--5)+(-2.15--5))+-2.15))))-(-5+-5)))*-5)))/-5)--5)+(-5*(((-2.15*(-2.15-(-5/-5)))*(-2.15-(-2.15/(-5*-2.15))))-(-5/-5)))))</f>
        <v>-82.386875</v>
      </c>
      <c r="C9786" t="n" s="0">
        <v>-82.38687499999999</v>
      </c>
    </row>
    <row r="9787">
      <c r="A9787" t="n" s="0">
        <v>-2.14</v>
      </c>
      <c r="B9787" t="n" s="0">
        <f>(-5-((((-5*(-5/((-5/(((-5*(-2.14--5))-(-5+((-5*-2.14)*(((-5--5)+(-2.14--5))+-2.14))))-(-5+-5)))*-5)))/-5)--5)+(-5*(((-2.14*(-2.14-(-5/-5)))*(-2.14-(-2.14/(-5*-2.14))))-(-5/-5)))))</f>
        <v>-81.58092</v>
      </c>
      <c r="C9787" t="n" s="0">
        <v>-81.58092</v>
      </c>
    </row>
    <row r="9788">
      <c r="A9788" t="n" s="0">
        <v>-2.13</v>
      </c>
      <c r="B9788" t="n" s="0">
        <f>(-5-((((-5*(-5/((-5/(((-5*(-2.13--5))-(-5+((-5*-2.13)*(((-5--5)+(-2.13--5))+-2.13))))-(-5+-5)))*-5)))/-5)--5)+(-5*(((-2.13*(-2.13-(-5/-5)))*(-2.13-(-2.13/(-5*-2.13))))-(-5/-5)))))</f>
        <v>-80.781785</v>
      </c>
      <c r="C9788" t="n" s="0">
        <v>-80.78178499999999</v>
      </c>
    </row>
    <row r="9789">
      <c r="A9789" t="n" s="0">
        <v>-2.12</v>
      </c>
      <c r="B9789" t="n" s="0">
        <f>(-5-((((-5*(-5/((-5/(((-5*(-2.12--5))-(-5+((-5*-2.12)*(((-5--5)+(-2.12--5))+-2.12))))-(-5+-5)))*-5)))/-5)--5)+(-5*(((-2.12*(-2.12-(-5/-5)))*(-2.12-(-2.12/(-5*-2.12))))-(-5/-5)))))</f>
        <v>-79.98944</v>
      </c>
      <c r="C9789" t="n" s="0">
        <v>-79.98944</v>
      </c>
    </row>
    <row r="9790">
      <c r="A9790" t="n" s="0">
        <v>-2.11</v>
      </c>
      <c r="B9790" t="n" s="0">
        <f>(-5-((((-5*(-5/((-5/(((-5*(-2.11--5))-(-5+((-5*-2.11)*(((-5--5)+(-2.11--5))+-2.11))))-(-5+-5)))*-5)))/-5)--5)+(-5*(((-2.11*(-2.11-(-5/-5)))*(-2.11-(-2.11/(-5*-2.11))))-(-5/-5)))))</f>
        <v>-79.20385499999999</v>
      </c>
      <c r="C9790" t="n" s="0">
        <v>-79.20385499999999</v>
      </c>
    </row>
    <row r="9791">
      <c r="A9791" t="n" s="0">
        <v>-2.1</v>
      </c>
      <c r="B9791" t="n" s="0">
        <f>(-5-((((-5*(-5/((-5/(((-5*(-2.1--5))-(-5+((-5*-2.1)*(((-5--5)+(-2.1--5))+-2.1))))-(-5+-5)))*-5)))/-5)--5)+(-5*(((-2.1*(-2.1-(-5/-5)))*(-2.1-(-2.1/(-5*-2.1))))-(-5/-5)))))</f>
        <v>-78.425</v>
      </c>
      <c r="C9791" t="n" s="0">
        <v>-78.42500000000001</v>
      </c>
    </row>
    <row r="9792">
      <c r="A9792" t="n" s="0">
        <v>-2.09</v>
      </c>
      <c r="B9792" t="n" s="0">
        <f>(-5-((((-5*(-5/((-5/(((-5*(-2.09--5))-(-5+((-5*-2.09)*(((-5--5)+(-2.09--5))+-2.09))))-(-5+-5)))*-5)))/-5)--5)+(-5*(((-2.09*(-2.09-(-5/-5)))*(-2.09-(-2.09/(-5*-2.09))))-(-5/-5)))))</f>
        <v>-77.652845</v>
      </c>
      <c r="C9792" t="n" s="0">
        <v>-77.65284499999999</v>
      </c>
    </row>
    <row r="9793">
      <c r="A9793" t="n" s="0">
        <v>-2.08</v>
      </c>
      <c r="B9793" t="n" s="0">
        <f>(-5-((((-5*(-5/((-5/(((-5*(-2.08--5))-(-5+((-5*-2.08)*(((-5--5)+(-2.08--5))+-2.08))))-(-5+-5)))*-5)))/-5)--5)+(-5*(((-2.08*(-2.08-(-5/-5)))*(-2.08-(-2.08/(-5*-2.08))))-(-5/-5)))))</f>
        <v>-76.88736</v>
      </c>
      <c r="C9793" t="n" s="0">
        <v>-76.88736</v>
      </c>
    </row>
    <row r="9794">
      <c r="A9794" t="n" s="0">
        <v>-2.07</v>
      </c>
      <c r="B9794" t="n" s="0">
        <f>(-5-((((-5*(-5/((-5/(((-5*(-2.07--5))-(-5+((-5*-2.07)*(((-5--5)+(-2.07--5))+-2.07))))-(-5+-5)))*-5)))/-5)--5)+(-5*(((-2.07*(-2.07-(-5/-5)))*(-2.07-(-2.07/(-5*-2.07))))-(-5/-5)))))</f>
        <v>-76.12851500000001</v>
      </c>
      <c r="C9794" t="n" s="0">
        <v>-76.128515</v>
      </c>
    </row>
    <row r="9795">
      <c r="A9795" t="n" s="0">
        <v>-2.06</v>
      </c>
      <c r="B9795" t="n" s="0">
        <f>(-5-((((-5*(-5/((-5/(((-5*(-2.06--5))-(-5+((-5*-2.06)*(((-5--5)+(-2.06--5))+-2.06))))-(-5+-5)))*-5)))/-5)--5)+(-5*(((-2.06*(-2.06-(-5/-5)))*(-2.06-(-2.06/(-5*-2.06))))-(-5/-5)))))</f>
        <v>-75.37628</v>
      </c>
      <c r="C9795" t="n" s="0">
        <v>-75.37628000000001</v>
      </c>
    </row>
    <row r="9796">
      <c r="A9796" t="n" s="0">
        <v>-2.05</v>
      </c>
      <c r="B9796" t="n" s="0">
        <f>(-5-((((-5*(-5/((-5/(((-5*(-2.05--5))-(-5+((-5*-2.05)*(((-5--5)+(-2.05--5))+-2.05))))-(-5+-5)))*-5)))/-5)--5)+(-5*(((-2.05*(-2.05-(-5/-5)))*(-2.05-(-2.05/(-5*-2.05))))-(-5/-5)))))</f>
        <v>-74.630625</v>
      </c>
      <c r="C9796" t="n" s="0">
        <v>-74.63062499999998</v>
      </c>
    </row>
    <row r="9797">
      <c r="A9797" t="n" s="0">
        <v>-2.04</v>
      </c>
      <c r="B9797" t="n" s="0">
        <f>(-5-((((-5*(-5/((-5/(((-5*(-2.04--5))-(-5+((-5*-2.04)*(((-5--5)+(-2.04--5))+-2.04))))-(-5+-5)))*-5)))/-5)--5)+(-5*(((-2.04*(-2.04-(-5/-5)))*(-2.04-(-2.04/(-5*-2.04))))-(-5/-5)))))</f>
        <v>-73.89152</v>
      </c>
      <c r="C9797" t="n" s="0">
        <v>-73.89152000000001</v>
      </c>
    </row>
    <row r="9798">
      <c r="A9798" t="n" s="0">
        <v>-2.03</v>
      </c>
      <c r="B9798" t="n" s="0">
        <f>(-5-((((-5*(-5/((-5/(((-5*(-2.03--5))-(-5+((-5*-2.03)*(((-5--5)+(-2.03--5))+-2.03))))-(-5+-5)))*-5)))/-5)--5)+(-5*(((-2.03*(-2.03-(-5/-5)))*(-2.03-(-2.03/(-5*-2.03))))-(-5/-5)))))</f>
        <v>-73.158935</v>
      </c>
      <c r="C9798" t="n" s="0">
        <v>-73.15893499999999</v>
      </c>
    </row>
    <row r="9799">
      <c r="A9799" t="n" s="0">
        <v>-2.02</v>
      </c>
      <c r="B9799" t="n" s="0">
        <f>(-5-((((-5*(-5/((-5/(((-5*(-2.02--5))-(-5+((-5*-2.02)*(((-5--5)+(-2.02--5))+-2.02))))-(-5+-5)))*-5)))/-5)--5)+(-5*(((-2.02*(-2.02-(-5/-5)))*(-2.02-(-2.02/(-5*-2.02))))-(-5/-5)))))</f>
        <v>-72.43284</v>
      </c>
      <c r="C9799" t="n" s="0">
        <v>-72.43284</v>
      </c>
    </row>
    <row r="9800">
      <c r="A9800" t="n" s="0">
        <v>-2.01</v>
      </c>
      <c r="B9800" t="n" s="0">
        <f>(-5-((((-5*(-5/((-5/(((-5*(-2.01--5))-(-5+((-5*-2.01)*(((-5--5)+(-2.01--5))+-2.01))))-(-5+-5)))*-5)))/-5)--5)+(-5*(((-2.01*(-2.01-(-5/-5)))*(-2.01-(-2.01/(-5*-2.01))))-(-5/-5)))))</f>
        <v>-71.713205</v>
      </c>
      <c r="C9800" t="n" s="0">
        <v>-71.71320499999999</v>
      </c>
    </row>
    <row r="9801">
      <c r="A9801" t="n" s="0">
        <v>-2.0</v>
      </c>
      <c r="B9801" t="n" s="0">
        <f>(-5-((((-5*(-5/((-5/(((-5*(-2--5))-(-5+((-5*-2)*(((-5--5)+(-2--5))+-2))))-(-5+-5)))*-5)))/-5)--5)+(-5*(((-2*(-2-(-5/-5)))*(-2-(-2/(-5*-2))))-(-5/-5)))))</f>
        <v>-71.0</v>
      </c>
      <c r="C9801" t="n" s="0">
        <v>-71.0</v>
      </c>
    </row>
    <row r="9802">
      <c r="A9802" t="n" s="0">
        <v>-1.99</v>
      </c>
      <c r="B9802" t="n" s="0">
        <f>(-5-((((-5*(-5/((-5/(((-5*(-1.99--5))-(-5+((-5*-1.99)*(((-5--5)+(-1.99--5))+-1.99))))-(-5+-5)))*-5)))/-5)--5)+(-5*(((-1.99*(-1.99-(-5/-5)))*(-1.99-(-1.99/(-5*-1.99))))-(-5/-5)))))</f>
        <v>-70.293195</v>
      </c>
      <c r="C9802" t="n" s="0">
        <v>-70.293195</v>
      </c>
    </row>
    <row r="9803">
      <c r="A9803" t="n" s="0">
        <v>-1.98</v>
      </c>
      <c r="B9803" t="n" s="0">
        <f>(-5-((((-5*(-5/((-5/(((-5*(-1.98--5))-(-5+((-5*-1.98)*(((-5--5)+(-1.98--5))+-1.98))))-(-5+-5)))*-5)))/-5)--5)+(-5*(((-1.98*(-1.98-(-5/-5)))*(-1.98-(-1.98/(-5*-1.98))))-(-5/-5)))))</f>
        <v>-69.59276000000001</v>
      </c>
      <c r="C9803" t="n" s="0">
        <v>-69.59276</v>
      </c>
    </row>
    <row r="9804">
      <c r="A9804" t="n" s="0">
        <v>-1.97</v>
      </c>
      <c r="B9804" t="n" s="0">
        <f>(-5-((((-5*(-5/((-5/(((-5*(-1.97--5))-(-5+((-5*-1.97)*(((-5--5)+(-1.97--5))+-1.97))))-(-5+-5)))*-5)))/-5)--5)+(-5*(((-1.97*(-1.97-(-5/-5)))*(-1.97-(-1.97/(-5*-1.97))))-(-5/-5)))))</f>
        <v>-68.89866499999998</v>
      </c>
      <c r="C9804" t="n" s="0">
        <v>-68.898665</v>
      </c>
    </row>
    <row r="9805">
      <c r="A9805" t="n" s="0">
        <v>-1.96</v>
      </c>
      <c r="B9805" t="n" s="0">
        <f>(-5-((((-5*(-5/((-5/(((-5*(-1.96--5))-(-5+((-5*-1.96)*(((-5--5)+(-1.96--5))+-1.96))))-(-5+-5)))*-5)))/-5)--5)+(-5*(((-1.96*(-1.96-(-5/-5)))*(-1.96-(-1.96/(-5*-1.96))))-(-5/-5)))))</f>
        <v>-68.21088</v>
      </c>
      <c r="C9805" t="n" s="0">
        <v>-68.21088</v>
      </c>
    </row>
    <row r="9806">
      <c r="A9806" t="n" s="0">
        <v>-1.95</v>
      </c>
      <c r="B9806" t="n" s="0">
        <f>(-5-((((-5*(-5/((-5/(((-5*(-1.95--5))-(-5+((-5*-1.95)*(((-5--5)+(-1.95--5))+-1.95))))-(-5+-5)))*-5)))/-5)--5)+(-5*(((-1.95*(-1.95-(-5/-5)))*(-1.95-(-1.95/(-5*-1.95))))-(-5/-5)))))</f>
        <v>-67.529375</v>
      </c>
      <c r="C9806" t="n" s="0">
        <v>-67.52937499999999</v>
      </c>
    </row>
    <row r="9807">
      <c r="A9807" t="n" s="0">
        <v>-1.94</v>
      </c>
      <c r="B9807" t="n" s="0">
        <f>(-5-((((-5*(-5/((-5/(((-5*(-1.94--5))-(-5+((-5*-1.94)*(((-5--5)+(-1.94--5))+-1.94))))-(-5+-5)))*-5)))/-5)--5)+(-5*(((-1.94*(-1.94-(-5/-5)))*(-1.94-(-1.94/(-5*-1.94))))-(-5/-5)))))</f>
        <v>-66.85412</v>
      </c>
      <c r="C9807" t="n" s="0">
        <v>-66.85412</v>
      </c>
    </row>
    <row r="9808">
      <c r="A9808" t="n" s="0">
        <v>-1.93</v>
      </c>
      <c r="B9808" t="n" s="0">
        <f>(-5-((((-5*(-5/((-5/(((-5*(-1.93--5))-(-5+((-5*-1.93)*(((-5--5)+(-1.93--5))+-1.93))))-(-5+-5)))*-5)))/-5)--5)+(-5*(((-1.93*(-1.93-(-5/-5)))*(-1.93-(-1.93/(-5*-1.93))))-(-5/-5)))))</f>
        <v>-66.185085</v>
      </c>
      <c r="C9808" t="n" s="0">
        <v>-66.18508499999999</v>
      </c>
    </row>
    <row r="9809">
      <c r="A9809" t="n" s="0">
        <v>-1.92</v>
      </c>
      <c r="B9809" t="n" s="0">
        <f>(-5-((((-5*(-5/((-5/(((-5*(-1.92--5))-(-5+((-5*-1.92)*(((-5--5)+(-1.92--5))+-1.92))))-(-5+-5)))*-5)))/-5)--5)+(-5*(((-1.92*(-1.92-(-5/-5)))*(-1.92-(-1.92/(-5*-1.92))))-(-5/-5)))))</f>
        <v>-65.52224000000001</v>
      </c>
      <c r="C9809" t="n" s="0">
        <v>-65.52223999999998</v>
      </c>
    </row>
    <row r="9810">
      <c r="A9810" t="n" s="0">
        <v>-1.91</v>
      </c>
      <c r="B9810" t="n" s="0">
        <f>(-5-((((-5*(-5/((-5/(((-5*(-1.91--5))-(-5+((-5*-1.91)*(((-5--5)+(-1.91--5))+-1.91))))-(-5+-5)))*-5)))/-5)--5)+(-5*(((-1.91*(-1.91-(-5/-5)))*(-1.91-(-1.91/(-5*-1.91))))-(-5/-5)))))</f>
        <v>-64.865555</v>
      </c>
      <c r="C9810" t="n" s="0">
        <v>-64.865555</v>
      </c>
    </row>
    <row r="9811">
      <c r="A9811" t="n" s="0">
        <v>-1.9</v>
      </c>
      <c r="B9811" t="n" s="0">
        <f>(-5-((((-5*(-5/((-5/(((-5*(-1.9--5))-(-5+((-5*-1.9)*(((-5--5)+(-1.9--5))+-1.9))))-(-5+-5)))*-5)))/-5)--5)+(-5*(((-1.9*(-1.9-(-5/-5)))*(-1.9-(-1.9/(-5*-1.9))))-(-5/-5)))))</f>
        <v>-64.215</v>
      </c>
      <c r="C9811" t="n" s="0">
        <v>-64.21499999999999</v>
      </c>
    </row>
    <row r="9812">
      <c r="A9812" t="n" s="0">
        <v>-1.89</v>
      </c>
      <c r="B9812" t="n" s="0">
        <f>(-5-((((-5*(-5/((-5/(((-5*(-1.89--5))-(-5+((-5*-1.89)*(((-5--5)+(-1.89--5))+-1.89))))-(-5+-5)))*-5)))/-5)--5)+(-5*(((-1.89*(-1.89-(-5/-5)))*(-1.89-(-1.89/(-5*-1.89))))-(-5/-5)))))</f>
        <v>-63.570544999999996</v>
      </c>
      <c r="C9812" t="n" s="0">
        <v>-63.570544999999996</v>
      </c>
    </row>
    <row r="9813">
      <c r="A9813" t="n" s="0">
        <v>-1.88</v>
      </c>
      <c r="B9813" t="n" s="0">
        <f>(-5-((((-5*(-5/((-5/(((-5*(-1.88--5))-(-5+((-5*-1.88)*(((-5--5)+(-1.88--5))+-1.88))))-(-5+-5)))*-5)))/-5)--5)+(-5*(((-1.88*(-1.88-(-5/-5)))*(-1.88-(-1.88/(-5*-1.88))))-(-5/-5)))))</f>
        <v>-62.93216</v>
      </c>
      <c r="C9813" t="n" s="0">
        <v>-62.932159999999996</v>
      </c>
    </row>
    <row r="9814">
      <c r="A9814" t="n" s="0">
        <v>-1.87</v>
      </c>
      <c r="B9814" t="n" s="0">
        <f>(-5-((((-5*(-5/((-5/(((-5*(-1.87--5))-(-5+((-5*-1.87)*(((-5--5)+(-1.87--5))+-1.87))))-(-5+-5)))*-5)))/-5)--5)+(-5*(((-1.87*(-1.87-(-5/-5)))*(-1.87-(-1.87/(-5*-1.87))))-(-5/-5)))))</f>
        <v>-62.299814999999995</v>
      </c>
      <c r="C9814" t="n" s="0">
        <v>-62.29981500000001</v>
      </c>
    </row>
    <row r="9815">
      <c r="A9815" t="n" s="0">
        <v>-1.86</v>
      </c>
      <c r="B9815" t="n" s="0">
        <f>(-5-((((-5*(-5/((-5/(((-5*(-1.86--5))-(-5+((-5*-1.86)*(((-5--5)+(-1.86--5))+-1.86))))-(-5+-5)))*-5)))/-5)--5)+(-5*(((-1.86*(-1.86-(-5/-5)))*(-1.86-(-1.86/(-5*-1.86))))-(-5/-5)))))</f>
        <v>-61.67348</v>
      </c>
      <c r="C9815" t="n" s="0">
        <v>-61.673480000000005</v>
      </c>
    </row>
    <row r="9816">
      <c r="A9816" t="n" s="0">
        <v>-1.85</v>
      </c>
      <c r="B9816" t="n" s="0">
        <f>(-5-((((-5*(-5/((-5/(((-5*(-1.85--5))-(-5+((-5*-1.85)*(((-5--5)+(-1.85--5))+-1.85))))-(-5+-5)))*-5)))/-5)--5)+(-5*(((-1.85*(-1.85-(-5/-5)))*(-1.85-(-1.85/(-5*-1.85))))-(-5/-5)))))</f>
        <v>-61.053125</v>
      </c>
      <c r="C9816" t="n" s="0">
        <v>-61.05312500000001</v>
      </c>
    </row>
    <row r="9817">
      <c r="A9817" t="n" s="0">
        <v>-1.84</v>
      </c>
      <c r="B9817" t="n" s="0">
        <f>(-5-((((-5*(-5/((-5/(((-5*(-1.84--5))-(-5+((-5*-1.84)*(((-5--5)+(-1.84--5))+-1.84))))-(-5+-5)))*-5)))/-5)--5)+(-5*(((-1.84*(-1.84-(-5/-5)))*(-1.84-(-1.84/(-5*-1.84))))-(-5/-5)))))</f>
        <v>-60.438719999999996</v>
      </c>
      <c r="C9817" t="n" s="0">
        <v>-60.43872</v>
      </c>
    </row>
    <row r="9818">
      <c r="A9818" t="n" s="0">
        <v>-1.83</v>
      </c>
      <c r="B9818" t="n" s="0">
        <f>(-5-((((-5*(-5/((-5/(((-5*(-1.83--5))-(-5+((-5*-1.83)*(((-5--5)+(-1.83--5))+-1.83))))-(-5+-5)))*-5)))/-5)--5)+(-5*(((-1.83*(-1.83-(-5/-5)))*(-1.83-(-1.83/(-5*-1.83))))-(-5/-5)))))</f>
        <v>-59.830235</v>
      </c>
      <c r="C9818" t="n" s="0">
        <v>-59.83023500000001</v>
      </c>
    </row>
    <row r="9819">
      <c r="A9819" t="n" s="0">
        <v>-1.82</v>
      </c>
      <c r="B9819" t="n" s="0">
        <f>(-5-((((-5*(-5/((-5/(((-5*(-1.82--5))-(-5+((-5*-1.82)*(((-5--5)+(-1.82--5))+-1.82))))-(-5+-5)))*-5)))/-5)--5)+(-5*(((-1.82*(-1.82-(-5/-5)))*(-1.82-(-1.82/(-5*-1.82))))-(-5/-5)))))</f>
        <v>-59.22764</v>
      </c>
      <c r="C9819" t="n" s="0">
        <v>-59.22764</v>
      </c>
    </row>
    <row r="9820">
      <c r="A9820" t="n" s="0">
        <v>-1.81</v>
      </c>
      <c r="B9820" t="n" s="0">
        <f>(-5-((((-5*(-5/((-5/(((-5*(-1.81--5))-(-5+((-5*-1.81)*(((-5--5)+(-1.81--5))+-1.81))))-(-5+-5)))*-5)))/-5)--5)+(-5*(((-1.81*(-1.81-(-5/-5)))*(-1.81-(-1.81/(-5*-1.81))))-(-5/-5)))))</f>
        <v>-58.630905000000006</v>
      </c>
      <c r="C9820" t="n" s="0">
        <v>-58.630905000000006</v>
      </c>
    </row>
    <row r="9821">
      <c r="A9821" t="n" s="0">
        <v>-1.8</v>
      </c>
      <c r="B9821" t="n" s="0">
        <f>(-5-((((-5*(-5/((-5/(((-5*(-1.8--5))-(-5+((-5*-1.8)*(((-5--5)+(-1.8--5))+-1.8))))-(-5+-5)))*-5)))/-5)--5)+(-5*(((-1.8*(-1.8-(-5/-5)))*(-1.8-(-1.8/(-5*-1.8))))-(-5/-5)))))</f>
        <v>-58.04</v>
      </c>
      <c r="C9821" t="n" s="0">
        <v>-58.04</v>
      </c>
    </row>
    <row r="9822">
      <c r="A9822" t="n" s="0">
        <v>-1.79</v>
      </c>
      <c r="B9822" t="n" s="0">
        <f>(-5-((((-5*(-5/((-5/(((-5*(-1.79--5))-(-5+((-5*-1.79)*(((-5--5)+(-1.79--5))+-1.79))))-(-5+-5)))*-5)))/-5)--5)+(-5*(((-1.79*(-1.79-(-5/-5)))*(-1.79-(-1.79/(-5*-1.79))))-(-5/-5)))))</f>
        <v>-57.45489499999999</v>
      </c>
      <c r="C9822" t="n" s="0">
        <v>-57.454895</v>
      </c>
    </row>
    <row r="9823">
      <c r="A9823" t="n" s="0">
        <v>-1.78</v>
      </c>
      <c r="B9823" t="n" s="0">
        <f>(-5-((((-5*(-5/((-5/(((-5*(-1.78--5))-(-5+((-5*-1.78)*(((-5--5)+(-1.78--5))+-1.78))))-(-5+-5)))*-5)))/-5)--5)+(-5*(((-1.78*(-1.78-(-5/-5)))*(-1.78-(-1.78/(-5*-1.78))))-(-5/-5)))))</f>
        <v>-56.87556</v>
      </c>
      <c r="C9823" t="n" s="0">
        <v>-56.87556000000001</v>
      </c>
    </row>
    <row r="9824">
      <c r="A9824" t="n" s="0">
        <v>-1.77</v>
      </c>
      <c r="B9824" t="n" s="0">
        <f>(-5-((((-5*(-5/((-5/(((-5*(-1.77--5))-(-5+((-5*-1.77)*(((-5--5)+(-1.77--5))+-1.77))))-(-5+-5)))*-5)))/-5)--5)+(-5*(((-1.77*(-1.77-(-5/-5)))*(-1.77-(-1.77/(-5*-1.77))))-(-5/-5)))))</f>
        <v>-56.301965</v>
      </c>
      <c r="C9824" t="n" s="0">
        <v>-56.301965</v>
      </c>
    </row>
    <row r="9825">
      <c r="A9825" t="n" s="0">
        <v>-1.76</v>
      </c>
      <c r="B9825" t="n" s="0">
        <f>(-5-((((-5*(-5/((-5/(((-5*(-1.76--5))-(-5+((-5*-1.76)*(((-5--5)+(-1.76--5))+-1.76))))-(-5+-5)))*-5)))/-5)--5)+(-5*(((-1.76*(-1.76-(-5/-5)))*(-1.76-(-1.76/(-5*-1.76))))-(-5/-5)))))</f>
        <v>-55.73408</v>
      </c>
      <c r="C9825" t="n" s="0">
        <v>-55.73408</v>
      </c>
    </row>
    <row r="9826">
      <c r="A9826" t="n" s="0">
        <v>-1.75</v>
      </c>
      <c r="B9826" t="n" s="0">
        <f>(-5-((((-5*(-5/((-5/(((-5*(-1.75--5))-(-5+((-5*-1.75)*(((-5--5)+(-1.75--5))+-1.75))))-(-5+-5)))*-5)))/-5)--5)+(-5*(((-1.75*(-1.75-(-5/-5)))*(-1.75-(-1.75/(-5*-1.75))))-(-5/-5)))))</f>
        <v>-55.171875</v>
      </c>
      <c r="C9826" t="n" s="0">
        <v>-55.171875</v>
      </c>
    </row>
    <row r="9827">
      <c r="A9827" t="n" s="0">
        <v>-1.74</v>
      </c>
      <c r="B9827" t="n" s="0">
        <f>(-5-((((-5*(-5/((-5/(((-5*(-1.74--5))-(-5+((-5*-1.74)*(((-5--5)+(-1.74--5))+-1.74))))-(-5+-5)))*-5)))/-5)--5)+(-5*(((-1.74*(-1.74-(-5/-5)))*(-1.74-(-1.74/(-5*-1.74))))-(-5/-5)))))</f>
        <v>-54.615320000000025</v>
      </c>
      <c r="C9827" t="n" s="0">
        <v>-54.61532</v>
      </c>
    </row>
    <row r="9828">
      <c r="A9828" t="n" s="0">
        <v>-1.73</v>
      </c>
      <c r="B9828" t="n" s="0">
        <f>(-5-((((-5*(-5/((-5/(((-5*(-1.73--5))-(-5+((-5*-1.73)*(((-5--5)+(-1.73--5))+-1.73))))-(-5+-5)))*-5)))/-5)--5)+(-5*(((-1.73*(-1.73-(-5/-5)))*(-1.73-(-1.73/(-5*-1.73))))-(-5/-5)))))</f>
        <v>-54.064385</v>
      </c>
      <c r="C9828" t="n" s="0">
        <v>-54.064385</v>
      </c>
    </row>
    <row r="9829">
      <c r="A9829" t="n" s="0">
        <v>-1.72</v>
      </c>
      <c r="B9829" t="n" s="0">
        <f>(-5-((((-5*(-5/((-5/(((-5*(-1.72--5))-(-5+((-5*-1.72)*(((-5--5)+(-1.72--5))+-1.72))))-(-5+-5)))*-5)))/-5)--5)+(-5*(((-1.72*(-1.72-(-5/-5)))*(-1.72-(-1.72/(-5*-1.72))))-(-5/-5)))))</f>
        <v>-53.519040000000025</v>
      </c>
      <c r="C9829" t="n" s="0">
        <v>-53.51904</v>
      </c>
    </row>
    <row r="9830">
      <c r="A9830" t="n" s="0">
        <v>-1.71</v>
      </c>
      <c r="B9830" t="n" s="0">
        <f>(-5-((((-5*(-5/((-5/(((-5*(-1.71--5))-(-5+((-5*-1.71)*(((-5--5)+(-1.71--5))+-1.71))))-(-5+-5)))*-5)))/-5)--5)+(-5*(((-1.71*(-1.71-(-5/-5)))*(-1.71-(-1.71/(-5*-1.71))))-(-5/-5)))))</f>
        <v>-52.979254999999995</v>
      </c>
      <c r="C9830" t="n" s="0">
        <v>-52.979254999999995</v>
      </c>
    </row>
    <row r="9831">
      <c r="A9831" t="n" s="0">
        <v>-1.7</v>
      </c>
      <c r="B9831" t="n" s="0">
        <f>(-5-((((-5*(-5/((-5/(((-5*(-1.7--5))-(-5+((-5*-1.7)*(((-5--5)+(-1.7--5))+-1.7))))-(-5+-5)))*-5)))/-5)--5)+(-5*(((-1.7*(-1.7-(-5/-5)))*(-1.7-(-1.7/(-5*-1.7))))-(-5/-5)))))</f>
        <v>-52.44499999999999</v>
      </c>
      <c r="C9831" t="n" s="0">
        <v>-52.445</v>
      </c>
    </row>
    <row r="9832">
      <c r="A9832" t="n" s="0">
        <v>-1.69</v>
      </c>
      <c r="B9832" t="n" s="0">
        <f>(-5-((((-5*(-5/((-5/(((-5*(-1.69--5))-(-5+((-5*-1.69)*(((-5--5)+(-1.69--5))+-1.69))))-(-5+-5)))*-5)))/-5)--5)+(-5*(((-1.69*(-1.69-(-5/-5)))*(-1.69-(-1.69/(-5*-1.69))))-(-5/-5)))))</f>
        <v>-51.91624499999998</v>
      </c>
      <c r="C9832" t="n" s="0">
        <v>-51.916245</v>
      </c>
    </row>
    <row r="9833">
      <c r="A9833" t="n" s="0">
        <v>-1.68</v>
      </c>
      <c r="B9833" t="n" s="0">
        <f>(-5-((((-5*(-5/((-5/(((-5*(-1.68--5))-(-5+((-5*-1.68)*(((-5--5)+(-1.68--5))+-1.68))))-(-5+-5)))*-5)))/-5)--5)+(-5*(((-1.68*(-1.68-(-5/-5)))*(-1.68-(-1.68/(-5*-1.68))))-(-5/-5)))))</f>
        <v>-51.39295999999998</v>
      </c>
      <c r="C9833" t="n" s="0">
        <v>-51.392959999999995</v>
      </c>
    </row>
    <row r="9834">
      <c r="A9834" t="n" s="0">
        <v>-1.67</v>
      </c>
      <c r="B9834" t="n" s="0">
        <f>(-5-((((-5*(-5/((-5/(((-5*(-1.67--5))-(-5+((-5*-1.67)*(((-5--5)+(-1.67--5))+-1.67))))-(-5+-5)))*-5)))/-5)--5)+(-5*(((-1.67*(-1.67-(-5/-5)))*(-1.67-(-1.67/(-5*-1.67))))-(-5/-5)))))</f>
        <v>-50.875114999999994</v>
      </c>
      <c r="C9834" t="n" s="0">
        <v>-50.875114999999994</v>
      </c>
    </row>
    <row r="9835">
      <c r="A9835" t="n" s="0">
        <v>-1.66</v>
      </c>
      <c r="B9835" t="n" s="0">
        <f>(-5-((((-5*(-5/((-5/(((-5*(-1.66--5))-(-5+((-5*-1.66)*(((-5--5)+(-1.66--5))+-1.66))))-(-5+-5)))*-5)))/-5)--5)+(-5*(((-1.66*(-1.66-(-5/-5)))*(-1.66-(-1.66/(-5*-1.66))))-(-5/-5)))))</f>
        <v>-50.36268</v>
      </c>
      <c r="C9835" t="n" s="0">
        <v>-50.36268</v>
      </c>
    </row>
    <row r="9836">
      <c r="A9836" t="n" s="0">
        <v>-1.65</v>
      </c>
      <c r="B9836" t="n" s="0">
        <f>(-5-((((-5*(-5/((-5/(((-5*(-1.65--5))-(-5+((-5*-1.65)*(((-5--5)+(-1.65--5))+-1.65))))-(-5+-5)))*-5)))/-5)--5)+(-5*(((-1.65*(-1.65-(-5/-5)))*(-1.65-(-1.65/(-5*-1.65))))-(-5/-5)))))</f>
        <v>-49.85562500000002</v>
      </c>
      <c r="C9836" t="n" s="0">
        <v>-49.855625</v>
      </c>
    </row>
    <row r="9837">
      <c r="A9837" t="n" s="0">
        <v>-1.64</v>
      </c>
      <c r="B9837" t="n" s="0">
        <f>(-5-((((-5*(-5/((-5/(((-5*(-1.64--5))-(-5+((-5*-1.64)*(((-5--5)+(-1.64--5))+-1.64))))-(-5+-5)))*-5)))/-5)--5)+(-5*(((-1.64*(-1.64-(-5/-5)))*(-1.64-(-1.64/(-5*-1.64))))-(-5/-5)))))</f>
        <v>-49.353919999999995</v>
      </c>
      <c r="C9837" t="n" s="0">
        <v>-49.353919999999995</v>
      </c>
    </row>
    <row r="9838">
      <c r="A9838" t="n" s="0">
        <v>-1.63</v>
      </c>
      <c r="B9838" t="n" s="0">
        <f>(-5-((((-5*(-5/((-5/(((-5*(-1.63--5))-(-5+((-5*-1.63)*(((-5--5)+(-1.63--5))+-1.63))))-(-5+-5)))*-5)))/-5)--5)+(-5*(((-1.63*(-1.63-(-5/-5)))*(-1.63-(-1.63/(-5*-1.63))))-(-5/-5)))))</f>
        <v>-48.857534999999984</v>
      </c>
      <c r="C9838" t="n" s="0">
        <v>-48.857535</v>
      </c>
    </row>
    <row r="9839">
      <c r="A9839" t="n" s="0">
        <v>-1.62</v>
      </c>
      <c r="B9839" t="n" s="0">
        <f>(-5-((((-5*(-5/((-5/(((-5*(-1.62--5))-(-5+((-5*-1.62)*(((-5--5)+(-1.62--5))+-1.62))))-(-5+-5)))*-5)))/-5)--5)+(-5*(((-1.62*(-1.62-(-5/-5)))*(-1.62-(-1.62/(-5*-1.62))))-(-5/-5)))))</f>
        <v>-48.366440000000004</v>
      </c>
      <c r="C9839" t="n" s="0">
        <v>-48.366440000000004</v>
      </c>
    </row>
    <row r="9840">
      <c r="A9840" t="n" s="0">
        <v>-1.61</v>
      </c>
      <c r="B9840" t="n" s="0">
        <f>(-5-((((-5*(-5/((-5/(((-5*(-1.61--5))-(-5+((-5*-1.61)*(((-5--5)+(-1.61--5))+-1.61))))-(-5+-5)))*-5)))/-5)--5)+(-5*(((-1.61*(-1.61-(-5/-5)))*(-1.61-(-1.61/(-5*-1.61))))-(-5/-5)))))</f>
        <v>-47.880605</v>
      </c>
      <c r="C9840" t="n" s="0">
        <v>-47.88060500000001</v>
      </c>
    </row>
    <row r="9841">
      <c r="A9841" t="n" s="0">
        <v>-1.6</v>
      </c>
      <c r="B9841" t="n" s="0">
        <f>(-5-((((-5*(-5/((-5/(((-5*(-1.6--5))-(-5+((-5*-1.6)*(((-5--5)+(-1.6--5))+-1.6))))-(-5+-5)))*-5)))/-5)--5)+(-5*(((-1.6*(-1.6-(-5/-5)))*(-1.6-(-1.6/(-5*-1.6))))-(-5/-5)))))</f>
        <v>-47.4</v>
      </c>
      <c r="C9841" t="n" s="0">
        <v>-47.400000000000006</v>
      </c>
    </row>
    <row r="9842">
      <c r="A9842" t="n" s="0">
        <v>-1.59</v>
      </c>
      <c r="B9842" t="n" s="0">
        <f>(-5-((((-5*(-5/((-5/(((-5*(-1.59--5))-(-5+((-5*-1.59)*(((-5--5)+(-1.59--5))+-1.59))))-(-5+-5)))*-5)))/-5)--5)+(-5*(((-1.59*(-1.59-(-5/-5)))*(-1.59-(-1.59/(-5*-1.59))))-(-5/-5)))))</f>
        <v>-46.924595000000025</v>
      </c>
      <c r="C9842" t="n" s="0">
        <v>-46.924595000000004</v>
      </c>
    </row>
    <row r="9843">
      <c r="A9843" t="n" s="0">
        <v>-1.58</v>
      </c>
      <c r="B9843" t="n" s="0">
        <f>(-5-((((-5*(-5/((-5/(((-5*(-1.58--5))-(-5+((-5*-1.58)*(((-5--5)+(-1.58--5))+-1.58))))-(-5+-5)))*-5)))/-5)--5)+(-5*(((-1.58*(-1.58-(-5/-5)))*(-1.58-(-1.58/(-5*-1.58))))-(-5/-5)))))</f>
        <v>-46.45436</v>
      </c>
      <c r="C9843" t="n" s="0">
        <v>-46.45436000000001</v>
      </c>
    </row>
    <row r="9844">
      <c r="A9844" t="n" s="0">
        <v>-1.57</v>
      </c>
      <c r="B9844" t="n" s="0">
        <f>(-5-((((-5*(-5/((-5/(((-5*(-1.57--5))-(-5+((-5*-1.57)*(((-5--5)+(-1.57--5))+-1.57))))-(-5+-5)))*-5)))/-5)--5)+(-5*(((-1.57*(-1.57-(-5/-5)))*(-1.57-(-1.57/(-5*-1.57))))-(-5/-5)))))</f>
        <v>-45.989265</v>
      </c>
      <c r="C9844" t="n" s="0">
        <v>-45.989265</v>
      </c>
    </row>
    <row r="9845">
      <c r="A9845" t="n" s="0">
        <v>-1.56</v>
      </c>
      <c r="B9845" t="n" s="0">
        <f>(-5-((((-5*(-5/((-5/(((-5*(-1.56--5))-(-5+((-5*-1.56)*(((-5--5)+(-1.56--5))+-1.56))))-(-5+-5)))*-5)))/-5)--5)+(-5*(((-1.56*(-1.56-(-5/-5)))*(-1.56-(-1.56/(-5*-1.56))))-(-5/-5)))))</f>
        <v>-45.52928</v>
      </c>
      <c r="C9845" t="n" s="0">
        <v>-45.52928</v>
      </c>
    </row>
    <row r="9846">
      <c r="A9846" t="n" s="0">
        <v>-1.55</v>
      </c>
      <c r="B9846" t="n" s="0">
        <f>(-5-((((-5*(-5/((-5/(((-5*(-1.55--5))-(-5+((-5*-1.55)*(((-5--5)+(-1.55--5))+-1.55))))-(-5+-5)))*-5)))/-5)--5)+(-5*(((-1.55*(-1.55-(-5/-5)))*(-1.55-(-1.55/(-5*-1.55))))-(-5/-5)))))</f>
        <v>-45.074375</v>
      </c>
      <c r="C9846" t="n" s="0">
        <v>-45.074375</v>
      </c>
    </row>
    <row r="9847">
      <c r="A9847" t="n" s="0">
        <v>-1.54</v>
      </c>
      <c r="B9847" t="n" s="0">
        <f>(-5-((((-5*(-5/((-5/(((-5*(-1.54--5))-(-5+((-5*-1.54)*(((-5--5)+(-1.54--5))+-1.54))))-(-5+-5)))*-5)))/-5)--5)+(-5*(((-1.54*(-1.54-(-5/-5)))*(-1.54-(-1.54/(-5*-1.54))))-(-5/-5)))))</f>
        <v>-44.62452</v>
      </c>
      <c r="C9847" t="n" s="0">
        <v>-44.624520000000004</v>
      </c>
    </row>
    <row r="9848">
      <c r="A9848" t="n" s="0">
        <v>-1.53</v>
      </c>
      <c r="B9848" t="n" s="0">
        <f>(-5-((((-5*(-5/((-5/(((-5*(-1.53--5))-(-5+((-5*-1.53)*(((-5--5)+(-1.53--5))+-1.53))))-(-5+-5)))*-5)))/-5)--5)+(-5*(((-1.53*(-1.53-(-5/-5)))*(-1.53-(-1.53/(-5*-1.53))))-(-5/-5)))))</f>
        <v>-44.179685</v>
      </c>
      <c r="C9848" t="n" s="0">
        <v>-44.179685</v>
      </c>
    </row>
    <row r="9849">
      <c r="A9849" t="n" s="0">
        <v>-1.52</v>
      </c>
      <c r="B9849" t="n" s="0">
        <f>(-5-((((-5*(-5/((-5/(((-5*(-1.52--5))-(-5+((-5*-1.52)*(((-5--5)+(-1.52--5))+-1.52))))-(-5+-5)))*-5)))/-5)--5)+(-5*(((-1.52*(-1.52-(-5/-5)))*(-1.52-(-1.52/(-5*-1.52))))-(-5/-5)))))</f>
        <v>-43.73983999999998</v>
      </c>
      <c r="C9849" t="n" s="0">
        <v>-43.73984</v>
      </c>
    </row>
    <row r="9850">
      <c r="A9850" t="n" s="0">
        <v>-1.51</v>
      </c>
      <c r="B9850" t="n" s="0">
        <f>(-5-((((-5*(-5/((-5/(((-5*(-1.51--5))-(-5+((-5*-1.51)*(((-5--5)+(-1.51--5))+-1.51))))-(-5+-5)))*-5)))/-5)--5)+(-5*(((-1.51*(-1.51-(-5/-5)))*(-1.51-(-1.51/(-5*-1.51))))-(-5/-5)))))</f>
        <v>-43.304955</v>
      </c>
      <c r="C9850" t="n" s="0">
        <v>-43.304955</v>
      </c>
    </row>
    <row r="9851">
      <c r="A9851" t="n" s="0">
        <v>-1.5</v>
      </c>
      <c r="B9851" t="n" s="0">
        <f>(-5-((((-5*(-5/((-5/(((-5*(-1.5--5))-(-5+((-5*-1.5)*(((-5--5)+(-1.5--5))+-1.5))))-(-5+-5)))*-5)))/-5)--5)+(-5*(((-1.5*(-1.5-(-5/-5)))*(-1.5-(-1.5/(-5*-1.5))))-(-5/-5)))))</f>
        <v>-42.875</v>
      </c>
      <c r="C9851" t="n" s="0">
        <v>-42.875</v>
      </c>
    </row>
    <row r="9852">
      <c r="A9852" t="n" s="0">
        <v>-1.49</v>
      </c>
      <c r="B9852" t="n" s="0">
        <f>(-5-((((-5*(-5/((-5/(((-5*(-1.49--5))-(-5+((-5*-1.49)*(((-5--5)+(-1.49--5))+-1.49))))-(-5+-5)))*-5)))/-5)--5)+(-5*(((-1.49*(-1.49-(-5/-5)))*(-1.49-(-1.49/(-5*-1.49))))-(-5/-5)))))</f>
        <v>-42.449945</v>
      </c>
      <c r="C9852" t="n" s="0">
        <v>-42.449945</v>
      </c>
    </row>
    <row r="9853">
      <c r="A9853" t="n" s="0">
        <v>-1.48</v>
      </c>
      <c r="B9853" t="n" s="0">
        <f>(-5-((((-5*(-5/((-5/(((-5*(-1.48--5))-(-5+((-5*-1.48)*(((-5--5)+(-1.48--5))+-1.48))))-(-5+-5)))*-5)))/-5)--5)+(-5*(((-1.48*(-1.48-(-5/-5)))*(-1.48-(-1.48/(-5*-1.48))))-(-5/-5)))))</f>
        <v>-42.02976000000002</v>
      </c>
      <c r="C9853" t="n" s="0">
        <v>-42.029759999999996</v>
      </c>
    </row>
    <row r="9854">
      <c r="A9854" t="n" s="0">
        <v>-1.47</v>
      </c>
      <c r="B9854" t="n" s="0">
        <f>(-5-((((-5*(-5/((-5/(((-5*(-1.47--5))-(-5+((-5*-1.47)*(((-5--5)+(-1.47--5))+-1.47))))-(-5+-5)))*-5)))/-5)--5)+(-5*(((-1.47*(-1.47-(-5/-5)))*(-1.47-(-1.47/(-5*-1.47))))-(-5/-5)))))</f>
        <v>-41.614415</v>
      </c>
      <c r="C9854" t="n" s="0">
        <v>-41.614414999999994</v>
      </c>
    </row>
    <row r="9855">
      <c r="A9855" t="n" s="0">
        <v>-1.46</v>
      </c>
      <c r="B9855" t="n" s="0">
        <f>(-5-((((-5*(-5/((-5/(((-5*(-1.46--5))-(-5+((-5*-1.46)*(((-5--5)+(-1.46--5))+-1.46))))-(-5+-5)))*-5)))/-5)--5)+(-5*(((-1.46*(-1.46-(-5/-5)))*(-1.46-(-1.46/(-5*-1.46))))-(-5/-5)))))</f>
        <v>-41.20388</v>
      </c>
      <c r="C9855" t="n" s="0">
        <v>-41.20388</v>
      </c>
    </row>
    <row r="9856">
      <c r="A9856" t="n" s="0">
        <v>-1.45</v>
      </c>
      <c r="B9856" t="n" s="0">
        <f>(-5-((((-5*(-5/((-5/(((-5*(-1.45--5))-(-5+((-5*-1.45)*(((-5--5)+(-1.45--5))+-1.45))))-(-5+-5)))*-5)))/-5)--5)+(-5*(((-1.45*(-1.45-(-5/-5)))*(-1.45-(-1.45/(-5*-1.45))))-(-5/-5)))))</f>
        <v>-40.798125</v>
      </c>
      <c r="C9856" t="n" s="0">
        <v>-40.798125</v>
      </c>
    </row>
    <row r="9857">
      <c r="A9857" t="n" s="0">
        <v>-1.44</v>
      </c>
      <c r="B9857" t="n" s="0">
        <f>(-5-((((-5*(-5/((-5/(((-5*(-1.44--5))-(-5+((-5*-1.44)*(((-5--5)+(-1.44--5))+-1.44))))-(-5+-5)))*-5)))/-5)--5)+(-5*(((-1.44*(-1.44-(-5/-5)))*(-1.44-(-1.44/(-5*-1.44))))-(-5/-5)))))</f>
        <v>-40.39712</v>
      </c>
      <c r="C9857" t="n" s="0">
        <v>-40.39712</v>
      </c>
    </row>
    <row r="9858">
      <c r="A9858" t="n" s="0">
        <v>-1.43</v>
      </c>
      <c r="B9858" t="n" s="0">
        <f>(-5-((((-5*(-5/((-5/(((-5*(-1.43--5))-(-5+((-5*-1.43)*(((-5--5)+(-1.43--5))+-1.43))))-(-5+-5)))*-5)))/-5)--5)+(-5*(((-1.43*(-1.43-(-5/-5)))*(-1.43-(-1.43/(-5*-1.43))))-(-5/-5)))))</f>
        <v>-40.000835</v>
      </c>
      <c r="C9858" t="n" s="0">
        <v>-40.000834999999995</v>
      </c>
    </row>
    <row r="9859">
      <c r="A9859" t="n" s="0">
        <v>-1.42</v>
      </c>
      <c r="B9859" t="n" s="0">
        <f>(-5-((((-5*(-5/((-5/(((-5*(-1.42--5))-(-5+((-5*-1.42)*(((-5--5)+(-1.42--5))+-1.42))))-(-5+-5)))*-5)))/-5)--5)+(-5*(((-1.42*(-1.42-(-5/-5)))*(-1.42-(-1.42/(-5*-1.42))))-(-5/-5)))))</f>
        <v>-39.60923999999998</v>
      </c>
      <c r="C9859" t="n" s="0">
        <v>-39.60923999999999</v>
      </c>
    </row>
    <row r="9860">
      <c r="A9860" t="n" s="0">
        <v>-1.41</v>
      </c>
      <c r="B9860" t="n" s="0">
        <f>(-5-((((-5*(-5/((-5/(((-5*(-1.41--5))-(-5+((-5*-1.41)*(((-5--5)+(-1.41--5))+-1.41))))-(-5+-5)))*-5)))/-5)--5)+(-5*(((-1.41*(-1.41-(-5/-5)))*(-1.41-(-1.41/(-5*-1.41))))-(-5/-5)))))</f>
        <v>-39.222305</v>
      </c>
      <c r="C9860" t="n" s="0">
        <v>-39.222305</v>
      </c>
    </row>
    <row r="9861">
      <c r="A9861" t="n" s="0">
        <v>-1.4</v>
      </c>
      <c r="B9861" t="n" s="0">
        <f>(-5-((((-5*(-5/((-5/(((-5*(-1.4--5))-(-5+((-5*-1.4)*(((-5--5)+(-1.4--5))+-1.4))))-(-5+-5)))*-5)))/-5)--5)+(-5*(((-1.4*(-1.4-(-5/-5)))*(-1.4-(-1.4/(-5*-1.4))))-(-5/-5)))))</f>
        <v>-38.83999999999998</v>
      </c>
      <c r="C9861" t="n" s="0">
        <v>-38.839999999999996</v>
      </c>
    </row>
    <row r="9862">
      <c r="A9862" t="n" s="0">
        <v>-1.39</v>
      </c>
      <c r="B9862" t="n" s="0">
        <f>(-5-((((-5*(-5/((-5/(((-5*(-1.39--5))-(-5+((-5*-1.39)*(((-5--5)+(-1.39--5))+-1.39))))-(-5+-5)))*-5)))/-5)--5)+(-5*(((-1.39*(-1.39-(-5/-5)))*(-1.39-(-1.39/(-5*-1.39))))-(-5/-5)))))</f>
        <v>-38.462295</v>
      </c>
      <c r="C9862" t="n" s="0">
        <v>-38.462295</v>
      </c>
    </row>
    <row r="9863">
      <c r="A9863" t="n" s="0">
        <v>-1.38</v>
      </c>
      <c r="B9863" t="n" s="0">
        <f>(-5-((((-5*(-5/((-5/(((-5*(-1.38--5))-(-5+((-5*-1.38)*(((-5--5)+(-1.38--5))+-1.38))))-(-5+-5)))*-5)))/-5)--5)+(-5*(((-1.38*(-1.38-(-5/-5)))*(-1.38-(-1.38/(-5*-1.38))))-(-5/-5)))))</f>
        <v>-38.08916</v>
      </c>
      <c r="C9863" t="n" s="0">
        <v>-38.08915999999999</v>
      </c>
    </row>
    <row r="9864">
      <c r="A9864" t="n" s="0">
        <v>-1.37</v>
      </c>
      <c r="B9864" t="n" s="0">
        <f>(-5-((((-5*(-5/((-5/(((-5*(-1.37--5))-(-5+((-5*-1.37)*(((-5--5)+(-1.37--5))+-1.37))))-(-5+-5)))*-5)))/-5)--5)+(-5*(((-1.37*(-1.37-(-5/-5)))*(-1.37-(-1.37/(-5*-1.37))))-(-5/-5)))))</f>
        <v>-37.720565</v>
      </c>
      <c r="C9864" t="n" s="0">
        <v>-37.72056500000001</v>
      </c>
    </row>
    <row r="9865">
      <c r="A9865" t="n" s="0">
        <v>-1.36</v>
      </c>
      <c r="B9865" t="n" s="0">
        <f>(-5-((((-5*(-5/((-5/(((-5*(-1.36--5))-(-5+((-5*-1.36)*(((-5--5)+(-1.36--5))+-1.36))))-(-5+-5)))*-5)))/-5)--5)+(-5*(((-1.36*(-1.36-(-5/-5)))*(-1.36-(-1.36/(-5*-1.36))))-(-5/-5)))))</f>
        <v>-37.356480000000005</v>
      </c>
      <c r="C9865" t="n" s="0">
        <v>-37.356480000000005</v>
      </c>
    </row>
    <row r="9866">
      <c r="A9866" t="n" s="0">
        <v>-1.35</v>
      </c>
      <c r="B9866" t="n" s="0">
        <f>(-5-((((-5*(-5/((-5/(((-5*(-1.35--5))-(-5+((-5*-1.35)*(((-5--5)+(-1.35--5))+-1.35))))-(-5+-5)))*-5)))/-5)--5)+(-5*(((-1.35*(-1.35-(-5/-5)))*(-1.35-(-1.35/(-5*-1.35))))-(-5/-5)))))</f>
        <v>-36.996875</v>
      </c>
      <c r="C9866" t="n" s="0">
        <v>-36.996875</v>
      </c>
    </row>
    <row r="9867">
      <c r="A9867" t="n" s="0">
        <v>-1.34</v>
      </c>
      <c r="B9867" t="n" s="0">
        <f>(-5-((((-5*(-5/((-5/(((-5*(-1.34--5))-(-5+((-5*-1.34)*(((-5--5)+(-1.34--5))+-1.34))))-(-5+-5)))*-5)))/-5)--5)+(-5*(((-1.34*(-1.34-(-5/-5)))*(-1.34-(-1.34/(-5*-1.34))))-(-5/-5)))))</f>
        <v>-36.64172</v>
      </c>
      <c r="C9867" t="n" s="0">
        <v>-36.64172000000001</v>
      </c>
    </row>
    <row r="9868">
      <c r="A9868" t="n" s="0">
        <v>-1.33</v>
      </c>
      <c r="B9868" t="n" s="0">
        <f>(-5-((((-5*(-5/((-5/(((-5*(-1.33--5))-(-5+((-5*-1.33)*(((-5--5)+(-1.33--5))+-1.33))))-(-5+-5)))*-5)))/-5)--5)+(-5*(((-1.33*(-1.33-(-5/-5)))*(-1.33-(-1.33/(-5*-1.33))))-(-5/-5)))))</f>
        <v>-36.290985</v>
      </c>
      <c r="C9868" t="n" s="0">
        <v>-36.290985000000006</v>
      </c>
    </row>
    <row r="9869">
      <c r="A9869" t="n" s="0">
        <v>-1.32</v>
      </c>
      <c r="B9869" t="n" s="0">
        <f>(-5-((((-5*(-5/((-5/(((-5*(-1.32--5))-(-5+((-5*-1.32)*(((-5--5)+(-1.32--5))+-1.32))))-(-5+-5)))*-5)))/-5)--5)+(-5*(((-1.32*(-1.32-(-5/-5)))*(-1.32-(-1.32/(-5*-1.32))))-(-5/-5)))))</f>
        <v>-35.94463999999998</v>
      </c>
      <c r="C9869" t="n" s="0">
        <v>-35.94464</v>
      </c>
    </row>
    <row r="9870">
      <c r="A9870" t="n" s="0">
        <v>-1.31</v>
      </c>
      <c r="B9870" t="n" s="0">
        <f>(-5-((((-5*(-5/((-5/(((-5*(-1.31--5))-(-5+((-5*-1.31)*(((-5--5)+(-1.31--5))+-1.31))))-(-5+-5)))*-5)))/-5)--5)+(-5*(((-1.31*(-1.31-(-5/-5)))*(-1.31-(-1.31/(-5*-1.31))))-(-5/-5)))))</f>
        <v>-35.602655</v>
      </c>
      <c r="C9870" t="n" s="0">
        <v>-35.602655</v>
      </c>
    </row>
    <row r="9871">
      <c r="A9871" t="n" s="0">
        <v>-1.3</v>
      </c>
      <c r="B9871" t="n" s="0">
        <f>(-5-((((-5*(-5/((-5/(((-5*(-1.3--5))-(-5+((-5*-1.3)*(((-5--5)+(-1.3--5))+-1.3))))-(-5+-5)))*-5)))/-5)--5)+(-5*(((-1.3*(-1.3-(-5/-5)))*(-1.3-(-1.3/(-5*-1.3))))-(-5/-5)))))</f>
        <v>-35.265</v>
      </c>
      <c r="C9871" t="n" s="0">
        <v>-35.265</v>
      </c>
    </row>
    <row r="9872">
      <c r="A9872" t="n" s="0">
        <v>-1.29</v>
      </c>
      <c r="B9872" t="n" s="0">
        <f>(-5-((((-5*(-5/((-5/(((-5*(-1.29--5))-(-5+((-5*-1.29)*(((-5--5)+(-1.29--5))+-1.29))))-(-5+-5)))*-5)))/-5)--5)+(-5*(((-1.29*(-1.29-(-5/-5)))*(-1.29-(-1.29/(-5*-1.29))))-(-5/-5)))))</f>
        <v>-34.931644999999996</v>
      </c>
      <c r="C9872" t="n" s="0">
        <v>-34.931645</v>
      </c>
    </row>
    <row r="9873">
      <c r="A9873" t="n" s="0">
        <v>-1.28</v>
      </c>
      <c r="B9873" t="n" s="0">
        <f>(-5-((((-5*(-5/((-5/(((-5*(-1.28--5))-(-5+((-5*-1.28)*(((-5--5)+(-1.28--5))+-1.28))))-(-5+-5)))*-5)))/-5)--5)+(-5*(((-1.28*(-1.28-(-5/-5)))*(-1.28-(-1.28/(-5*-1.28))))-(-5/-5)))))</f>
        <v>-34.60255999999998</v>
      </c>
      <c r="C9873" t="n" s="0">
        <v>-34.602560000000004</v>
      </c>
    </row>
    <row r="9874">
      <c r="A9874" t="n" s="0">
        <v>-1.27</v>
      </c>
      <c r="B9874" t="n" s="0">
        <f>(-5-((((-5*(-5/((-5/(((-5*(-1.27--5))-(-5+((-5*-1.27)*(((-5--5)+(-1.27--5))+-1.27))))-(-5+-5)))*-5)))/-5)--5)+(-5*(((-1.27*(-1.27-(-5/-5)))*(-1.27-(-1.27/(-5*-1.27))))-(-5/-5)))))</f>
        <v>-34.277715</v>
      </c>
      <c r="C9874" t="n" s="0">
        <v>-34.277715</v>
      </c>
    </row>
    <row r="9875">
      <c r="A9875" t="n" s="0">
        <v>-1.26</v>
      </c>
      <c r="B9875" t="n" s="0">
        <f>(-5-((((-5*(-5/((-5/(((-5*(-1.26--5))-(-5+((-5*-1.26)*(((-5--5)+(-1.26--5))+-1.26))))-(-5+-5)))*-5)))/-5)--5)+(-5*(((-1.26*(-1.26-(-5/-5)))*(-1.26-(-1.26/(-5*-1.26))))-(-5/-5)))))</f>
        <v>-33.95708000000002</v>
      </c>
      <c r="C9875" t="n" s="0">
        <v>-33.957080000000005</v>
      </c>
    </row>
    <row r="9876">
      <c r="A9876" t="n" s="0">
        <v>-1.25</v>
      </c>
      <c r="B9876" t="n" s="0">
        <f>(-5-((((-5*(-5/((-5/(((-5*(-1.25--5))-(-5+((-5*-1.25)*(((-5--5)+(-1.25--5))+-1.25))))-(-5+-5)))*-5)))/-5)--5)+(-5*(((-1.25*(-1.25-(-5/-5)))*(-1.25-(-1.25/(-5*-1.25))))-(-5/-5)))))</f>
        <v>-33.640625</v>
      </c>
      <c r="C9876" t="n" s="0">
        <v>-33.640625</v>
      </c>
    </row>
    <row r="9877">
      <c r="A9877" t="n" s="0">
        <v>-1.24</v>
      </c>
      <c r="B9877" t="n" s="0">
        <f>(-5-((((-5*(-5/((-5/(((-5*(-1.24--5))-(-5+((-5*-1.24)*(((-5--5)+(-1.24--5))+-1.24))))-(-5+-5)))*-5)))/-5)--5)+(-5*(((-1.24*(-1.24-(-5/-5)))*(-1.24-(-1.24/(-5*-1.24))))-(-5/-5)))))</f>
        <v>-33.32831999999998</v>
      </c>
      <c r="C9877" t="n" s="0">
        <v>-33.328320000000005</v>
      </c>
    </row>
    <row r="9878">
      <c r="A9878" t="n" s="0">
        <v>-1.23</v>
      </c>
      <c r="B9878" t="n" s="0">
        <f>(-5-((((-5*(-5/((-5/(((-5*(-1.23--5))-(-5+((-5*-1.23)*(((-5--5)+(-1.23--5))+-1.23))))-(-5+-5)))*-5)))/-5)--5)+(-5*(((-1.23*(-1.23-(-5/-5)))*(-1.23-(-1.23/(-5*-1.23))))-(-5/-5)))))</f>
        <v>-33.020134999999996</v>
      </c>
      <c r="C9878" t="n" s="0">
        <v>-33.020134999999996</v>
      </c>
    </row>
    <row r="9879">
      <c r="A9879" t="n" s="0">
        <v>-1.22</v>
      </c>
      <c r="B9879" t="n" s="0">
        <f>(-5-((((-5*(-5/((-5/(((-5*(-1.22--5))-(-5+((-5*-1.22)*(((-5--5)+(-1.22--5))+-1.22))))-(-5+-5)))*-5)))/-5)--5)+(-5*(((-1.22*(-1.22-(-5/-5)))*(-1.22-(-1.22/(-5*-1.22))))-(-5/-5)))))</f>
        <v>-32.71603999999998</v>
      </c>
      <c r="C9879" t="n" s="0">
        <v>-32.71604</v>
      </c>
    </row>
    <row r="9880">
      <c r="A9880" t="n" s="0">
        <v>-1.21</v>
      </c>
      <c r="B9880" t="n" s="0">
        <f>(-5-((((-5*(-5/((-5/(((-5*(-1.21--5))-(-5+((-5*-1.21)*(((-5--5)+(-1.21--5))+-1.21))))-(-5+-5)))*-5)))/-5)--5)+(-5*(((-1.21*(-1.21-(-5/-5)))*(-1.21-(-1.21/(-5*-1.21))))-(-5/-5)))))</f>
        <v>-32.416005</v>
      </c>
      <c r="C9880" t="n" s="0">
        <v>-32.416005</v>
      </c>
    </row>
    <row r="9881">
      <c r="A9881" t="n" s="0">
        <v>-1.2</v>
      </c>
      <c r="B9881" t="n" s="0">
        <f>(-5-((((-5*(-5/((-5/(((-5*(-1.2--5))-(-5+((-5*-1.2)*(((-5--5)+(-1.2--5))+-1.2))))-(-5+-5)))*-5)))/-5)--5)+(-5*(((-1.2*(-1.2-(-5/-5)))*(-1.2-(-1.2/(-5*-1.2))))-(-5/-5)))))</f>
        <v>-32.119999999999976</v>
      </c>
      <c r="C9881" t="n" s="0">
        <v>-32.12</v>
      </c>
    </row>
    <row r="9882">
      <c r="A9882" t="n" s="0">
        <v>-1.19</v>
      </c>
      <c r="B9882" t="n" s="0">
        <f>(-5-((((-5*(-5/((-5/(((-5*(-1.19--5))-(-5+((-5*-1.19)*(((-5--5)+(-1.19--5))+-1.19))))-(-5+-5)))*-5)))/-5)--5)+(-5*(((-1.19*(-1.19-(-5/-5)))*(-1.19-(-1.19/(-5*-1.19))))-(-5/-5)))))</f>
        <v>-31.827995</v>
      </c>
      <c r="C9882" t="n" s="0">
        <v>-31.827995</v>
      </c>
    </row>
    <row r="9883">
      <c r="A9883" t="n" s="0">
        <v>-1.18</v>
      </c>
      <c r="B9883" t="n" s="0">
        <f>(-5-((((-5*(-5/((-5/(((-5*(-1.18--5))-(-5+((-5*-1.18)*(((-5--5)+(-1.18--5))+-1.18))))-(-5+-5)))*-5)))/-5)--5)+(-5*(((-1.18*(-1.18-(-5/-5)))*(-1.18-(-1.18/(-5*-1.18))))-(-5/-5)))))</f>
        <v>-31.53996000000002</v>
      </c>
      <c r="C9883" t="n" s="0">
        <v>-31.539959999999997</v>
      </c>
    </row>
    <row r="9884">
      <c r="A9884" t="n" s="0">
        <v>-1.17</v>
      </c>
      <c r="B9884" t="n" s="0">
        <f>(-5-((((-5*(-5/((-5/(((-5*(-1.17--5))-(-5+((-5*-1.17)*(((-5--5)+(-1.17--5))+-1.17))))-(-5+-5)))*-5)))/-5)--5)+(-5*(((-1.17*(-1.17-(-5/-5)))*(-1.17-(-1.17/(-5*-1.17))))-(-5/-5)))))</f>
        <v>-31.25586499999998</v>
      </c>
      <c r="C9884" t="n" s="0">
        <v>-31.255865</v>
      </c>
    </row>
    <row r="9885">
      <c r="A9885" t="n" s="0">
        <v>-1.16</v>
      </c>
      <c r="B9885" t="n" s="0">
        <f>(-5-((((-5*(-5/((-5/(((-5*(-1.16--5))-(-5+((-5*-1.16)*(((-5--5)+(-1.16--5))+-1.16))))-(-5+-5)))*-5)))/-5)--5)+(-5*(((-1.16*(-1.16-(-5/-5)))*(-1.16-(-1.16/(-5*-1.16))))-(-5/-5)))))</f>
        <v>-30.975679999999997</v>
      </c>
      <c r="C9885" t="n" s="0">
        <v>-30.975679999999997</v>
      </c>
    </row>
    <row r="9886">
      <c r="A9886" t="n" s="0">
        <v>-1.15</v>
      </c>
      <c r="B9886" t="n" s="0">
        <f>(-5-((((-5*(-5/((-5/(((-5*(-1.15--5))-(-5+((-5*-1.15)*(((-5--5)+(-1.15--5))+-1.15))))-(-5+-5)))*-5)))/-5)--5)+(-5*(((-1.15*(-1.15-(-5/-5)))*(-1.15-(-1.15/(-5*-1.15))))-(-5/-5)))))</f>
        <v>-30.69937500000002</v>
      </c>
      <c r="C9886" t="n" s="0">
        <v>-30.699374999999996</v>
      </c>
    </row>
    <row r="9887">
      <c r="A9887" t="n" s="0">
        <v>-1.14</v>
      </c>
      <c r="B9887" t="n" s="0">
        <f>(-5-((((-5*(-5/((-5/(((-5*(-1.14--5))-(-5+((-5*-1.14)*(((-5--5)+(-1.14--5))+-1.14))))-(-5+-5)))*-5)))/-5)--5)+(-5*(((-1.14*(-1.14-(-5/-5)))*(-1.14-(-1.14/(-5*-1.14))))-(-5/-5)))))</f>
        <v>-30.42692</v>
      </c>
      <c r="C9887" t="n" s="0">
        <v>-30.426919999999996</v>
      </c>
    </row>
    <row r="9888">
      <c r="A9888" t="n" s="0">
        <v>-1.13</v>
      </c>
      <c r="B9888" t="n" s="0">
        <f>(-5-((((-5*(-5/((-5/(((-5*(-1.13--5))-(-5+((-5*-1.13)*(((-5--5)+(-1.13--5))+-1.13))))-(-5+-5)))*-5)))/-5)--5)+(-5*(((-1.13*(-1.13-(-5/-5)))*(-1.13-(-1.13/(-5*-1.13))))-(-5/-5)))))</f>
        <v>-30.158285</v>
      </c>
      <c r="C9888" t="n" s="0">
        <v>-30.158284999999996</v>
      </c>
    </row>
    <row r="9889">
      <c r="A9889" t="n" s="0">
        <v>-1.12</v>
      </c>
      <c r="B9889" t="n" s="0">
        <f>(-5-((((-5*(-5/((-5/(((-5*(-1.12--5))-(-5+((-5*-1.12)*(((-5--5)+(-1.12--5))+-1.12))))-(-5+-5)))*-5)))/-5)--5)+(-5*(((-1.12*(-1.12-(-5/-5)))*(-1.12-(-1.12/(-5*-1.12))))-(-5/-5)))))</f>
        <v>-29.89344000000002</v>
      </c>
      <c r="C9889" t="n" s="0">
        <v>-29.893440000000002</v>
      </c>
    </row>
    <row r="9890">
      <c r="A9890" t="n" s="0">
        <v>-1.11</v>
      </c>
      <c r="B9890" t="n" s="0">
        <f>(-5-((((-5*(-5/((-5/(((-5*(-1.11--5))-(-5+((-5*-1.11)*(((-5--5)+(-1.11--5))+-1.11))))-(-5+-5)))*-5)))/-5)--5)+(-5*(((-1.11*(-1.11-(-5/-5)))*(-1.11-(-1.11/(-5*-1.11))))-(-5/-5)))))</f>
        <v>-29.632355</v>
      </c>
      <c r="C9890" t="n" s="0">
        <v>-29.632355000000004</v>
      </c>
    </row>
    <row r="9891">
      <c r="A9891" t="n" s="0">
        <v>-1.1</v>
      </c>
      <c r="B9891" t="n" s="0">
        <f>(-5-((((-5*(-5/((-5/(((-5*(-1.1--5))-(-5+((-5*-1.1)*(((-5--5)+(-1.1--5))+-1.1))))-(-5+-5)))*-5)))/-5)--5)+(-5*(((-1.1*(-1.1-(-5/-5)))*(-1.1-(-1.1/(-5*-1.1))))-(-5/-5)))))</f>
        <v>-29.37499999999998</v>
      </c>
      <c r="C9891" t="n" s="0">
        <v>-29.375000000000004</v>
      </c>
    </row>
    <row r="9892">
      <c r="A9892" t="n" s="0">
        <v>-1.09</v>
      </c>
      <c r="B9892" t="n" s="0">
        <f>(-5-((((-5*(-5/((-5/(((-5*(-1.09--5))-(-5+((-5*-1.09)*(((-5--5)+(-1.09--5))+-1.09))))-(-5+-5)))*-5)))/-5)--5)+(-5*(((-1.09*(-1.09-(-5/-5)))*(-1.09-(-1.09/(-5*-1.09))))-(-5/-5)))))</f>
        <v>-29.121344999999998</v>
      </c>
      <c r="C9892" t="n" s="0">
        <v>-29.121345</v>
      </c>
    </row>
    <row r="9893">
      <c r="A9893" t="n" s="0">
        <v>-1.08</v>
      </c>
      <c r="B9893" t="n" s="0">
        <f>(-5-((((-5*(-5/((-5/(((-5*(-1.08--5))-(-5+((-5*-1.08)*(((-5--5)+(-1.08--5))+-1.08))))-(-5+-5)))*-5)))/-5)--5)+(-5*(((-1.08*(-1.08-(-5/-5)))*(-1.08-(-1.08/(-5*-1.08))))-(-5/-5)))))</f>
        <v>-28.87135999999998</v>
      </c>
      <c r="C9893" t="n" s="0">
        <v>-28.871360000000003</v>
      </c>
    </row>
    <row r="9894">
      <c r="A9894" t="n" s="0">
        <v>-1.07</v>
      </c>
      <c r="B9894" t="n" s="0">
        <f>(-5-((((-5*(-5/((-5/(((-5*(-1.07--5))-(-5+((-5*-1.07)*(((-5--5)+(-1.07--5))+-1.07))))-(-5+-5)))*-5)))/-5)--5)+(-5*(((-1.07*(-1.07-(-5/-5)))*(-1.07-(-1.07/(-5*-1.07))))-(-5/-5)))))</f>
        <v>-28.62501499999998</v>
      </c>
      <c r="C9894" t="n" s="0">
        <v>-28.625015</v>
      </c>
    </row>
    <row r="9895">
      <c r="A9895" t="n" s="0">
        <v>-1.06</v>
      </c>
      <c r="B9895" t="n" s="0">
        <f>(-5-((((-5*(-5/((-5/(((-5*(-1.06--5))-(-5+((-5*-1.06)*(((-5--5)+(-1.06--5))+-1.06))))-(-5+-5)))*-5)))/-5)--5)+(-5*(((-1.06*(-1.06-(-5/-5)))*(-1.06-(-1.06/(-5*-1.06))))-(-5/-5)))))</f>
        <v>-28.38227999999998</v>
      </c>
      <c r="C9895" t="n" s="0">
        <v>-28.38228</v>
      </c>
    </row>
    <row r="9896">
      <c r="A9896" t="n" s="0">
        <v>-1.05</v>
      </c>
      <c r="B9896" t="n" s="0">
        <f>(-5-((((-5*(-5/((-5/(((-5*(-1.05--5))-(-5+((-5*-1.05)*(((-5--5)+(-1.05--5))+-1.05))))-(-5+-5)))*-5)))/-5)--5)+(-5*(((-1.05*(-1.05-(-5/-5)))*(-1.05-(-1.05/(-5*-1.05))))-(-5/-5)))))</f>
        <v>-28.14312500000002</v>
      </c>
      <c r="C9896" t="n" s="0">
        <v>-28.143125</v>
      </c>
    </row>
    <row r="9897">
      <c r="A9897" t="n" s="0">
        <v>-1.04</v>
      </c>
      <c r="B9897" t="n" s="0">
        <f>(-5-((((-5*(-5/((-5/(((-5*(-1.04--5))-(-5+((-5*-1.04)*(((-5--5)+(-1.04--5))+-1.04))))-(-5+-5)))*-5)))/-5)--5)+(-5*(((-1.04*(-1.04-(-5/-5)))*(-1.04-(-1.04/(-5*-1.04))))-(-5/-5)))))</f>
        <v>-27.90752000000002</v>
      </c>
      <c r="C9897" t="n" s="0">
        <v>-27.90752</v>
      </c>
    </row>
    <row r="9898">
      <c r="A9898" t="n" s="0">
        <v>-1.03</v>
      </c>
      <c r="B9898" t="n" s="0">
        <f>(-5-((((-5*(-5/((-5/(((-5*(-1.03--5))-(-5+((-5*-1.03)*(((-5--5)+(-1.03--5))+-1.03))))-(-5+-5)))*-5)))/-5)--5)+(-5*(((-1.03*(-1.03-(-5/-5)))*(-1.03-(-1.03/(-5*-1.03))))-(-5/-5)))))</f>
        <v>-27.67543499999998</v>
      </c>
      <c r="C9898" t="n" s="0">
        <v>-27.675435</v>
      </c>
    </row>
    <row r="9899">
      <c r="A9899" t="n" s="0">
        <v>-1.02</v>
      </c>
      <c r="B9899" t="n" s="0">
        <f>(-5-((((-5*(-5/((-5/(((-5*(-1.02--5))-(-5+((-5*-1.02)*(((-5--5)+(-1.02--5))+-1.02))))-(-5+-5)))*-5)))/-5)--5)+(-5*(((-1.02*(-1.02-(-5/-5)))*(-1.02-(-1.02/(-5*-1.02))))-(-5/-5)))))</f>
        <v>-27.44684</v>
      </c>
      <c r="C9899" t="n" s="0">
        <v>-27.44684</v>
      </c>
    </row>
    <row r="9900">
      <c r="A9900" t="n" s="0">
        <v>-1.01</v>
      </c>
      <c r="B9900" t="n" s="0">
        <f>(-5-((((-5*(-5/((-5/(((-5*(-1.01--5))-(-5+((-5*-1.01)*(((-5--5)+(-1.01--5))+-1.01))))-(-5+-5)))*-5)))/-5)--5)+(-5*(((-1.01*(-1.01-(-5/-5)))*(-1.01-(-1.01/(-5*-1.01))))-(-5/-5)))))</f>
        <v>-27.22170499999998</v>
      </c>
      <c r="C9900" t="n" s="0">
        <v>-27.221705</v>
      </c>
    </row>
    <row r="9901">
      <c r="A9901" t="n" s="0">
        <v>-1.0</v>
      </c>
      <c r="B9901" t="n" s="0">
        <f>(-5-((((-5*(-5/((-5/(((-5*(-1--5))-(-5+((-5*-1)*(((-5--5)+(-1--5))+-1))))-(-5+-5)))*-5)))/-5)--5)+(-5*(((-1*(-1-(-5/-5)))*(-1-(-1/(-5*-1))))-(-5/-5)))))</f>
        <v>-27.0</v>
      </c>
      <c r="C9901" t="n" s="0">
        <v>-27.0</v>
      </c>
    </row>
    <row r="9902">
      <c r="A9902" t="n" s="0">
        <v>-0.99</v>
      </c>
      <c r="B9902" t="n" s="0">
        <f>(-5-((((-5*(-5/((-5/(((-5*(-0.99--5))-(-5+((-5*-0.99)*(((-5--5)+(-0.99--5))+-0.99))))-(-5+-5)))*-5)))/-5)--5)+(-5*(((-0.99*(-0.99-(-5/-5)))*(-0.99-(-0.99/(-5*-0.99))))-(-5/-5)))))</f>
        <v>-26.781694999999978</v>
      </c>
      <c r="C9902" t="n" s="0">
        <v>-26.781695</v>
      </c>
    </row>
    <row r="9903">
      <c r="A9903" t="n" s="0">
        <v>-0.98</v>
      </c>
      <c r="B9903" t="n" s="0">
        <f>(-5-((((-5*(-5/((-5/(((-5*(-0.98--5))-(-5+((-5*-0.98)*(((-5--5)+(-0.98--5))+-0.98))))-(-5+-5)))*-5)))/-5)--5)+(-5*(((-0.98*(-0.98-(-5/-5)))*(-0.98-(-0.98/(-5*-0.98))))-(-5/-5)))))</f>
        <v>-26.566760000000002</v>
      </c>
      <c r="C9903" t="n" s="0">
        <v>-26.56676</v>
      </c>
    </row>
    <row r="9904">
      <c r="A9904" t="n" s="0">
        <v>-0.97</v>
      </c>
      <c r="B9904" t="n" s="0">
        <f>(-5-((((-5*(-5/((-5/(((-5*(-0.97--5))-(-5+((-5*-0.97)*(((-5--5)+(-0.97--5))+-0.97))))-(-5+-5)))*-5)))/-5)--5)+(-5*(((-0.97*(-0.97-(-5/-5)))*(-0.97-(-0.97/(-5*-0.97))))-(-5/-5)))))</f>
        <v>-26.355164999999978</v>
      </c>
      <c r="C9904" t="n" s="0">
        <v>-26.355165</v>
      </c>
    </row>
    <row r="9905">
      <c r="A9905" t="n" s="0">
        <v>-0.96</v>
      </c>
      <c r="B9905" t="n" s="0">
        <f>(-5-((((-5*(-5/((-5/(((-5*(-0.96--5))-(-5+((-5*-0.96)*(((-5--5)+(-0.96--5))+-0.96))))-(-5+-5)))*-5)))/-5)--5)+(-5*(((-0.96*(-0.96-(-5/-5)))*(-0.96-(-0.96/(-5*-0.96))))-(-5/-5)))))</f>
        <v>-26.14688000000002</v>
      </c>
      <c r="C9905" t="n" s="0">
        <v>-26.14688</v>
      </c>
    </row>
    <row r="9906">
      <c r="A9906" t="n" s="0">
        <v>-0.95</v>
      </c>
      <c r="B9906" t="n" s="0">
        <f>(-5-((((-5*(-5/((-5/(((-5*(-0.95--5))-(-5+((-5*-0.95)*(((-5--5)+(-0.95--5))+-0.95))))-(-5+-5)))*-5)))/-5)--5)+(-5*(((-0.95*(-0.95-(-5/-5)))*(-0.95-(-0.95/(-5*-0.95))))-(-5/-5)))))</f>
        <v>-25.94187500000002</v>
      </c>
      <c r="C9906" t="n" s="0">
        <v>-25.941875</v>
      </c>
    </row>
    <row r="9907">
      <c r="A9907" t="n" s="0">
        <v>-0.94</v>
      </c>
      <c r="B9907" t="n" s="0">
        <f>(-5-((((-5*(-5/((-5/(((-5*(-0.94--5))-(-5+((-5*-0.94)*(((-5--5)+(-0.94--5))+-0.94))))-(-5+-5)))*-5)))/-5)--5)+(-5*(((-0.94*(-0.94-(-5/-5)))*(-0.94-(-0.94/(-5*-0.94))))-(-5/-5)))))</f>
        <v>-25.74011999999998</v>
      </c>
      <c r="C9907" t="n" s="0">
        <v>-25.740119999999997</v>
      </c>
    </row>
    <row r="9908">
      <c r="A9908" t="n" s="0">
        <v>-0.93</v>
      </c>
      <c r="B9908" t="n" s="0">
        <f>(-5-((((-5*(-5/((-5/(((-5*(-0.93--5))-(-5+((-5*-0.93)*(((-5--5)+(-0.93--5))+-0.93))))-(-5+-5)))*-5)))/-5)--5)+(-5*(((-0.93*(-0.93-(-5/-5)))*(-0.93-(-0.93/(-5*-0.93))))-(-5/-5)))))</f>
        <v>-25.54158499999998</v>
      </c>
      <c r="C9908" t="n" s="0">
        <v>-25.541585</v>
      </c>
    </row>
    <row r="9909">
      <c r="A9909" t="n" s="0">
        <v>-0.92</v>
      </c>
      <c r="B9909" t="n" s="0">
        <f>(-5-((((-5*(-5/((-5/(((-5*(-0.92--5))-(-5+((-5*-0.92)*(((-5--5)+(-0.92--5))+-0.92))))-(-5+-5)))*-5)))/-5)--5)+(-5*(((-0.92*(-0.92-(-5/-5)))*(-0.92-(-0.92/(-5*-0.92))))-(-5/-5)))))</f>
        <v>-25.34623999999998</v>
      </c>
      <c r="C9909" t="n" s="0">
        <v>-25.34624</v>
      </c>
    </row>
    <row r="9910">
      <c r="A9910" t="n" s="0">
        <v>-0.91</v>
      </c>
      <c r="B9910" t="n" s="0">
        <f>(-5-((((-5*(-5/((-5/(((-5*(-0.91--5))-(-5+((-5*-0.91)*(((-5--5)+(-0.91--5))+-0.91))))-(-5+-5)))*-5)))/-5)--5)+(-5*(((-0.91*(-0.91-(-5/-5)))*(-0.91-(-0.91/(-5*-0.91))))-(-5/-5)))))</f>
        <v>-25.154055</v>
      </c>
      <c r="C9910" t="n" s="0">
        <v>-25.154055</v>
      </c>
    </row>
    <row r="9911">
      <c r="A9911" t="n" s="0">
        <v>-0.9</v>
      </c>
      <c r="B9911" t="n" s="0">
        <f>(-5-((((-5*(-5/((-5/(((-5*(-0.9--5))-(-5+((-5*-0.9)*(((-5--5)+(-0.9--5))+-0.9))))-(-5+-5)))*-5)))/-5)--5)+(-5*(((-0.9*(-0.9-(-5/-5)))*(-0.9-(-0.9/(-5*-0.9))))-(-5/-5)))))</f>
        <v>-24.96499999999998</v>
      </c>
      <c r="C9911" t="n" s="0">
        <v>-24.965</v>
      </c>
    </row>
    <row r="9912">
      <c r="A9912" t="n" s="0">
        <v>-0.89</v>
      </c>
      <c r="B9912" t="n" s="0">
        <f>(-5-((((-5*(-5/((-5/(((-5*(-0.89--5))-(-5+((-5*-0.89)*(((-5--5)+(-0.89--5))+-0.89))))-(-5+-5)))*-5)))/-5)--5)+(-5*(((-0.89*(-0.89-(-5/-5)))*(-0.89-(-0.89/(-5*-0.89))))-(-5/-5)))))</f>
        <v>-24.779045</v>
      </c>
      <c r="C9912" t="n" s="0">
        <v>-24.779045</v>
      </c>
    </row>
    <row r="9913">
      <c r="A9913" t="n" s="0">
        <v>-0.88</v>
      </c>
      <c r="B9913" t="n" s="0">
        <f>(-5-((((-5*(-5/((-5/(((-5*(-0.88--5))-(-5+((-5*-0.88)*(((-5--5)+(-0.88--5))+-0.88))))-(-5+-5)))*-5)))/-5)--5)+(-5*(((-0.88*(-0.88-(-5/-5)))*(-0.88-(-0.88/(-5*-0.88))))-(-5/-5)))))</f>
        <v>-24.59616000000002</v>
      </c>
      <c r="C9913" t="n" s="0">
        <v>-24.596159999999998</v>
      </c>
    </row>
    <row r="9914">
      <c r="A9914" t="n" s="0">
        <v>-0.87</v>
      </c>
      <c r="B9914" t="n" s="0">
        <f>(-5-((((-5*(-5/((-5/(((-5*(-0.87--5))-(-5+((-5*-0.87)*(((-5--5)+(-0.87--5))+-0.87))))-(-5+-5)))*-5)))/-5)--5)+(-5*(((-0.87*(-0.87-(-5/-5)))*(-0.87-(-0.87/(-5*-0.87))))-(-5/-5)))))</f>
        <v>-24.416315</v>
      </c>
      <c r="C9914" t="n" s="0">
        <v>-24.416314999999997</v>
      </c>
    </row>
    <row r="9915">
      <c r="A9915" t="n" s="0">
        <v>-0.86</v>
      </c>
      <c r="B9915" t="n" s="0">
        <f>(-5-((((-5*(-5/((-5/(((-5*(-0.86--5))-(-5+((-5*-0.86)*(((-5--5)+(-0.86--5))+-0.86))))-(-5+-5)))*-5)))/-5)--5)+(-5*(((-0.86*(-0.86-(-5/-5)))*(-0.86-(-0.86/(-5*-0.86))))-(-5/-5)))))</f>
        <v>-24.23948</v>
      </c>
      <c r="C9915" t="n" s="0">
        <v>-24.23948</v>
      </c>
    </row>
    <row r="9916">
      <c r="A9916" t="n" s="0">
        <v>-0.85</v>
      </c>
      <c r="B9916" t="n" s="0">
        <f>(-5-((((-5*(-5/((-5/(((-5*(-0.85--5))-(-5+((-5*-0.85)*(((-5--5)+(-0.85--5))+-0.85))))-(-5+-5)))*-5)))/-5)--5)+(-5*(((-0.85*(-0.85-(-5/-5)))*(-0.85-(-0.85/(-5*-0.85))))-(-5/-5)))))</f>
        <v>-24.06562500000002</v>
      </c>
      <c r="C9916" t="n" s="0">
        <v>-24.065625</v>
      </c>
    </row>
    <row r="9917">
      <c r="A9917" t="n" s="0">
        <v>-0.84</v>
      </c>
      <c r="B9917" t="n" s="0">
        <f>(-5-((((-5*(-5/((-5/(((-5*(-0.84--5))-(-5+((-5*-0.84)*(((-5--5)+(-0.84--5))+-0.84))))-(-5+-5)))*-5)))/-5)--5)+(-5*(((-0.84*(-0.84-(-5/-5)))*(-0.84-(-0.84/(-5*-0.84))))-(-5/-5)))))</f>
        <v>-23.89472</v>
      </c>
      <c r="C9917" t="n" s="0">
        <v>-23.89472</v>
      </c>
    </row>
    <row r="9918">
      <c r="A9918" t="n" s="0">
        <v>-0.83</v>
      </c>
      <c r="B9918" t="n" s="0">
        <f>(-5-((((-5*(-5/((-5/(((-5*(-0.83--5))-(-5+((-5*-0.83)*(((-5--5)+(-0.83--5))+-0.83))))-(-5+-5)))*-5)))/-5)--5)+(-5*(((-0.83*(-0.83-(-5/-5)))*(-0.83-(-0.83/(-5*-0.83))))-(-5/-5)))))</f>
        <v>-23.72673499999998</v>
      </c>
      <c r="C9918" t="n" s="0">
        <v>-23.726734999999998</v>
      </c>
    </row>
    <row r="9919">
      <c r="A9919" t="n" s="0">
        <v>-0.82</v>
      </c>
      <c r="B9919" t="n" s="0">
        <f>(-5-((((-5*(-5/((-5/(((-5*(-0.82--5))-(-5+((-5*-0.82)*(((-5--5)+(-0.82--5))+-0.82))))-(-5+-5)))*-5)))/-5)--5)+(-5*(((-0.82*(-0.82-(-5/-5)))*(-0.82-(-0.82/(-5*-0.82))))-(-5/-5)))))</f>
        <v>-23.56164000000002</v>
      </c>
      <c r="C9919" t="n" s="0">
        <v>-23.56164</v>
      </c>
    </row>
    <row r="9920">
      <c r="A9920" t="n" s="0">
        <v>-0.81</v>
      </c>
      <c r="B9920" t="n" s="0">
        <f>(-5-((((-5*(-5/((-5/(((-5*(-0.81--5))-(-5+((-5*-0.81)*(((-5--5)+(-0.81--5))+-0.81))))-(-5+-5)))*-5)))/-5)--5)+(-5*(((-0.81*(-0.81-(-5/-5)))*(-0.81-(-0.81/(-5*-0.81))))-(-5/-5)))))</f>
        <v>-23.399405</v>
      </c>
      <c r="C9920" t="n" s="0">
        <v>-23.399405</v>
      </c>
    </row>
    <row r="9921">
      <c r="A9921" t="n" s="0">
        <v>-0.8</v>
      </c>
      <c r="B9921" t="n" s="0">
        <f>(-5-((((-5*(-5/((-5/(((-5*(-0.8--5))-(-5+((-5*-0.8)*(((-5--5)+(-0.8--5))+-0.8))))-(-5+-5)))*-5)))/-5)--5)+(-5*(((-0.8*(-0.8-(-5/-5)))*(-0.8-(-0.8/(-5*-0.8))))-(-5/-5)))))</f>
        <v>-23.23999999999998</v>
      </c>
      <c r="C9921" t="n" s="0">
        <v>-23.240000000000002</v>
      </c>
    </row>
    <row r="9922">
      <c r="A9922" t="n" s="0">
        <v>-0.79</v>
      </c>
      <c r="B9922" t="n" s="0">
        <f>(-5-((((-5*(-5/((-5/(((-5*(-0.79--5))-(-5+((-5*-0.79)*(((-5--5)+(-0.79--5))+-0.79))))-(-5+-5)))*-5)))/-5)--5)+(-5*(((-0.79*(-0.79-(-5/-5)))*(-0.79-(-0.79/(-5*-0.79))))-(-5/-5)))))</f>
        <v>-23.083395</v>
      </c>
      <c r="C9922" t="n" s="0">
        <v>-23.083395000000003</v>
      </c>
    </row>
    <row r="9923">
      <c r="A9923" t="n" s="0">
        <v>-0.78</v>
      </c>
      <c r="B9923" t="n" s="0">
        <f>(-5-((((-5*(-5/((-5/(((-5*(-0.78--5))-(-5+((-5*-0.78)*(((-5--5)+(-0.78--5))+-0.78))))-(-5+-5)))*-5)))/-5)--5)+(-5*(((-0.78*(-0.78-(-5/-5)))*(-0.78-(-0.78/(-5*-0.78))))-(-5/-5)))))</f>
        <v>-22.92955999999998</v>
      </c>
      <c r="C9923" t="n" s="0">
        <v>-22.929560000000002</v>
      </c>
    </row>
    <row r="9924">
      <c r="A9924" t="n" s="0">
        <v>-0.77</v>
      </c>
      <c r="B9924" t="n" s="0">
        <f>(-5-((((-5*(-5/((-5/(((-5*(-0.77--5))-(-5+((-5*-0.77)*(((-5--5)+(-0.77--5))+-0.77))))-(-5+-5)))*-5)))/-5)--5)+(-5*(((-0.77*(-0.77-(-5/-5)))*(-0.77-(-0.77/(-5*-0.77))))-(-5/-5)))))</f>
        <v>-22.778464999999997</v>
      </c>
      <c r="C9924" t="n" s="0">
        <v>-22.778465</v>
      </c>
    </row>
    <row r="9925">
      <c r="A9925" t="n" s="0">
        <v>-0.76</v>
      </c>
      <c r="B9925" t="n" s="0">
        <f>(-5-((((-5*(-5/((-5/(((-5*(-0.76--5))-(-5+((-5*-0.76)*(((-5--5)+(-0.76--5))+-0.76))))-(-5+-5)))*-5)))/-5)--5)+(-5*(((-0.76*(-0.76-(-5/-5)))*(-0.76-(-0.76/(-5*-0.76))))-(-5/-5)))))</f>
        <v>-22.630079999999978</v>
      </c>
      <c r="C9925" t="n" s="0">
        <v>-22.63008</v>
      </c>
    </row>
    <row r="9926">
      <c r="A9926" t="n" s="0">
        <v>-0.75</v>
      </c>
      <c r="B9926" t="n" s="0">
        <f>(-5-((((-5*(-5/((-5/(((-5*(-0.75--5))-(-5+((-5*-0.75)*(((-5--5)+(-0.75--5))+-0.75))))-(-5+-5)))*-5)))/-5)--5)+(-5*(((-0.75*(-0.75-(-5/-5)))*(-0.75-(-0.75/(-5*-0.75))))-(-5/-5)))))</f>
        <v>-22.484375</v>
      </c>
      <c r="C9926" t="n" s="0">
        <v>-22.484375</v>
      </c>
    </row>
    <row r="9927">
      <c r="A9927" t="n" s="0">
        <v>-0.74</v>
      </c>
      <c r="B9927" t="n" s="0">
        <f>(-5-((((-5*(-5/((-5/(((-5*(-0.74--5))-(-5+((-5*-0.74)*(((-5--5)+(-0.74--5))+-0.74))))-(-5+-5)))*-5)))/-5)--5)+(-5*(((-0.74*(-0.74-(-5/-5)))*(-0.74-(-0.74/(-5*-0.74))))-(-5/-5)))))</f>
        <v>-22.34132000000002</v>
      </c>
      <c r="C9927" t="n" s="0">
        <v>-22.34132</v>
      </c>
    </row>
    <row r="9928">
      <c r="A9928" t="n" s="0">
        <v>-0.73</v>
      </c>
      <c r="B9928" t="n" s="0">
        <f>(-5-((((-5*(-5/((-5/(((-5*(-0.73--5))-(-5+((-5*-0.73)*(((-5--5)+(-0.73--5))+-0.73))))-(-5+-5)))*-5)))/-5)--5)+(-5*(((-0.73*(-0.73-(-5/-5)))*(-0.73-(-0.73/(-5*-0.73))))-(-5/-5)))))</f>
        <v>-22.200885</v>
      </c>
      <c r="C9928" t="n" s="0">
        <v>-22.200885</v>
      </c>
    </row>
    <row r="9929">
      <c r="A9929" t="n" s="0">
        <v>-0.72</v>
      </c>
      <c r="B9929" t="n" s="0">
        <f>(-5-((((-5*(-5/((-5/(((-5*(-0.72--5))-(-5+((-5*-0.72)*(((-5--5)+(-0.72--5))+-0.72))))-(-5+-5)))*-5)))/-5)--5)+(-5*(((-0.72*(-0.72-(-5/-5)))*(-0.72-(-0.72/(-5*-0.72))))-(-5/-5)))))</f>
        <v>-22.06303999999998</v>
      </c>
      <c r="C9929" t="n" s="0">
        <v>-22.06304</v>
      </c>
    </row>
    <row r="9930">
      <c r="A9930" t="n" s="0">
        <v>-0.71</v>
      </c>
      <c r="B9930" t="n" s="0">
        <f>(-5-((((-5*(-5/((-5/(((-5*(-0.71--5))-(-5+((-5*-0.71)*(((-5--5)+(-0.71--5))+-0.71))))-(-5+-5)))*-5)))/-5)--5)+(-5*(((-0.71*(-0.71-(-5/-5)))*(-0.71-(-0.71/(-5*-0.71))))-(-5/-5)))))</f>
        <v>-21.927754999999998</v>
      </c>
      <c r="C9930" t="n" s="0">
        <v>-21.927754999999998</v>
      </c>
    </row>
    <row r="9931">
      <c r="A9931" t="n" s="0">
        <v>-0.7</v>
      </c>
      <c r="B9931" t="n" s="0">
        <f>(-5-((((-5*(-5/((-5/(((-5*(-0.7--5))-(-5+((-5*-0.7)*(((-5--5)+(-0.7--5))+-0.7))))-(-5+-5)))*-5)))/-5)--5)+(-5*(((-0.7*(-0.7-(-5/-5)))*(-0.7-(-0.7/(-5*-0.7))))-(-5/-5)))))</f>
        <v>-21.795</v>
      </c>
      <c r="C9931" t="n" s="0">
        <v>-21.794999999999998</v>
      </c>
    </row>
    <row r="9932">
      <c r="A9932" t="n" s="0">
        <v>-0.69</v>
      </c>
      <c r="B9932" t="n" s="0">
        <f>(-5-((((-5*(-5/((-5/(((-5*(-0.69--5))-(-5+((-5*-0.69)*(((-5--5)+(-0.69--5))+-0.69))))-(-5+-5)))*-5)))/-5)--5)+(-5*(((-0.69*(-0.69-(-5/-5)))*(-0.69-(-0.69/(-5*-0.69))))-(-5/-5)))))</f>
        <v>-21.664745</v>
      </c>
      <c r="C9932" t="n" s="0">
        <v>-21.664745</v>
      </c>
    </row>
    <row r="9933">
      <c r="A9933" t="n" s="0">
        <v>-0.68</v>
      </c>
      <c r="B9933" t="n" s="0">
        <f>(-5-((((-5*(-5/((-5/(((-5*(-0.68--5))-(-5+((-5*-0.68)*(((-5--5)+(-0.68--5))+-0.68))))-(-5+-5)))*-5)))/-5)--5)+(-5*(((-0.68*(-0.68-(-5/-5)))*(-0.68-(-0.68/(-5*-0.68))))-(-5/-5)))))</f>
        <v>-21.53695999999998</v>
      </c>
      <c r="C9933" t="n" s="0">
        <v>-21.53696</v>
      </c>
    </row>
    <row r="9934">
      <c r="A9934" t="n" s="0">
        <v>-0.67</v>
      </c>
      <c r="B9934" t="n" s="0">
        <f>(-5-((((-5*(-5/((-5/(((-5*(-0.67--5))-(-5+((-5*-0.67)*(((-5--5)+(-0.67--5))+-0.67))))-(-5+-5)))*-5)))/-5)--5)+(-5*(((-0.67*(-0.67-(-5/-5)))*(-0.67-(-0.67/(-5*-0.67))))-(-5/-5)))))</f>
        <v>-21.411614999999998</v>
      </c>
      <c r="C9934" t="n" s="0">
        <v>-21.411615</v>
      </c>
    </row>
    <row r="9935">
      <c r="A9935" t="n" s="0">
        <v>-0.66</v>
      </c>
      <c r="B9935" t="n" s="0">
        <f>(-5-((((-5*(-5/((-5/(((-5*(-0.66--5))-(-5+((-5*-0.66)*(((-5--5)+(-0.66--5))+-0.66))))-(-5+-5)))*-5)))/-5)--5)+(-5*(((-0.66*(-0.66-(-5/-5)))*(-0.66-(-0.66/(-5*-0.66))))-(-5/-5)))))</f>
        <v>-21.28868</v>
      </c>
      <c r="C9935" t="n" s="0">
        <v>-21.28868</v>
      </c>
    </row>
    <row r="9936">
      <c r="A9936" t="n" s="0">
        <v>-0.65</v>
      </c>
      <c r="B9936" t="n" s="0">
        <f>(-5-((((-5*(-5/((-5/(((-5*(-0.65--5))-(-5+((-5*-0.65)*(((-5--5)+(-0.65--5))+-0.65))))-(-5+-5)))*-5)))/-5)--5)+(-5*(((-0.65*(-0.65-(-5/-5)))*(-0.65-(-0.65/(-5*-0.65))))-(-5/-5)))))</f>
        <v>-21.168125</v>
      </c>
      <c r="C9936" t="n" s="0">
        <v>-21.168125</v>
      </c>
    </row>
    <row r="9937">
      <c r="A9937" t="n" s="0">
        <v>-0.64</v>
      </c>
      <c r="B9937" t="n" s="0">
        <f>(-5-((((-5*(-5/((-5/(((-5*(-0.64--5))-(-5+((-5*-0.64)*(((-5--5)+(-0.64--5))+-0.64))))-(-5+-5)))*-5)))/-5)--5)+(-5*(((-0.64*(-0.64-(-5/-5)))*(-0.64-(-0.64/(-5*-0.64))))-(-5/-5)))))</f>
        <v>-21.04992</v>
      </c>
      <c r="C9937" t="n" s="0">
        <v>-21.04992</v>
      </c>
    </row>
    <row r="9938">
      <c r="A9938" t="n" s="0">
        <v>-0.63</v>
      </c>
      <c r="B9938" t="n" s="0">
        <f>(-5-((((-5*(-5/((-5/(((-5*(-0.63--5))-(-5+((-5*-0.63)*(((-5--5)+(-0.63--5))+-0.63))))-(-5+-5)))*-5)))/-5)--5)+(-5*(((-0.63*(-0.63-(-5/-5)))*(-0.63-(-0.63/(-5*-0.63))))-(-5/-5)))))</f>
        <v>-20.934035</v>
      </c>
      <c r="C9938" t="n" s="0">
        <v>-20.934035</v>
      </c>
    </row>
    <row r="9939">
      <c r="A9939" t="n" s="0">
        <v>-0.62</v>
      </c>
      <c r="B9939" t="n" s="0">
        <f>(-5-((((-5*(-5/((-5/(((-5*(-0.62--5))-(-5+((-5*-0.62)*(((-5--5)+(-0.62--5))+-0.62))))-(-5+-5)))*-5)))/-5)--5)+(-5*(((-0.62*(-0.62-(-5/-5)))*(-0.62-(-0.62/(-5*-0.62))))-(-5/-5)))))</f>
        <v>-20.820439999999998</v>
      </c>
      <c r="C9939" t="n" s="0">
        <v>-20.82044</v>
      </c>
    </row>
    <row r="9940">
      <c r="A9940" t="n" s="0">
        <v>-0.61</v>
      </c>
      <c r="B9940" t="n" s="0">
        <f>(-5-((((-5*(-5/((-5/(((-5*(-0.61--5))-(-5+((-5*-0.61)*(((-5--5)+(-0.61--5))+-0.61))))-(-5+-5)))*-5)))/-5)--5)+(-5*(((-0.61*(-0.61-(-5/-5)))*(-0.61-(-0.61/(-5*-0.61))))-(-5/-5)))))</f>
        <v>-20.709105</v>
      </c>
      <c r="C9940" t="n" s="0">
        <v>-20.709105</v>
      </c>
    </row>
    <row r="9941">
      <c r="A9941" t="n" s="0">
        <v>-0.6</v>
      </c>
      <c r="B9941" t="n" s="0">
        <f>(-5-((((-5*(-5/((-5/(((-5*(-0.6--5))-(-5+((-5*-0.6)*(((-5--5)+(-0.6--5))+-0.6))))-(-5+-5)))*-5)))/-5)--5)+(-5*(((-0.6*(-0.6-(-5/-5)))*(-0.6-(-0.6/(-5*-0.6))))-(-5/-5)))))</f>
        <v>-20.59999999999998</v>
      </c>
      <c r="C9941" t="n" s="0">
        <v>-20.6</v>
      </c>
    </row>
    <row r="9942">
      <c r="A9942" t="n" s="0">
        <v>-0.59</v>
      </c>
      <c r="B9942" t="n" s="0">
        <f>(-5-((((-5*(-5/((-5/(((-5*(-0.59--5))-(-5+((-5*-0.59)*(((-5--5)+(-0.59--5))+-0.59))))-(-5+-5)))*-5)))/-5)--5)+(-5*(((-0.59*(-0.59-(-5/-5)))*(-0.59-(-0.59/(-5*-0.59))))-(-5/-5)))))</f>
        <v>-20.493095</v>
      </c>
      <c r="C9942" t="n" s="0">
        <v>-20.493095</v>
      </c>
    </row>
    <row r="9943">
      <c r="A9943" t="n" s="0">
        <v>-0.58</v>
      </c>
      <c r="B9943" t="n" s="0">
        <f>(-5-((((-5*(-5/((-5/(((-5*(-0.58--5))-(-5+((-5*-0.58)*(((-5--5)+(-0.58--5))+-0.58))))-(-5+-5)))*-5)))/-5)--5)+(-5*(((-0.58*(-0.58-(-5/-5)))*(-0.58-(-0.58/(-5*-0.58))))-(-5/-5)))))</f>
        <v>-20.38835999999998</v>
      </c>
      <c r="C9943" t="n" s="0">
        <v>-20.38836</v>
      </c>
    </row>
    <row r="9944">
      <c r="A9944" t="n" s="0">
        <v>-0.57</v>
      </c>
      <c r="B9944" t="n" s="0">
        <f>(-5-((((-5*(-5/((-5/(((-5*(-0.57--5))-(-5+((-5*-0.57)*(((-5--5)+(-0.57--5))+-0.57))))-(-5+-5)))*-5)))/-5)--5)+(-5*(((-0.57*(-0.57-(-5/-5)))*(-0.57-(-0.57/(-5*-0.57))))-(-5/-5)))))</f>
        <v>-20.285765</v>
      </c>
      <c r="C9944" t="n" s="0">
        <v>-20.285764999999998</v>
      </c>
    </row>
    <row r="9945">
      <c r="A9945" t="n" s="0">
        <v>-0.56</v>
      </c>
      <c r="B9945" t="n" s="0">
        <f>(-5-((((-5*(-5/((-5/(((-5*(-0.56--5))-(-5+((-5*-0.56)*(((-5--5)+(-0.56--5))+-0.56))))-(-5+-5)))*-5)))/-5)--5)+(-5*(((-0.56*(-0.56-(-5/-5)))*(-0.56-(-0.56/(-5*-0.56))))-(-5/-5)))))</f>
        <v>-20.18528</v>
      </c>
      <c r="C9945" t="n" s="0">
        <v>-20.18528</v>
      </c>
    </row>
    <row r="9946">
      <c r="A9946" t="n" s="0">
        <v>-0.55</v>
      </c>
      <c r="B9946" t="n" s="0">
        <f>(-5-((((-5*(-5/((-5/(((-5*(-0.55--5))-(-5+((-5*-0.55)*(((-5--5)+(-0.55--5))+-0.55))))-(-5+-5)))*-5)))/-5)--5)+(-5*(((-0.55*(-0.55-(-5/-5)))*(-0.55-(-0.55/(-5*-0.55))))-(-5/-5)))))</f>
        <v>-20.086875</v>
      </c>
      <c r="C9946" t="n" s="0">
        <v>-20.086875</v>
      </c>
    </row>
    <row r="9947">
      <c r="A9947" t="n" s="0">
        <v>-0.54</v>
      </c>
      <c r="B9947" t="n" s="0">
        <f>(-5-((((-5*(-5/((-5/(((-5*(-0.54--5))-(-5+((-5*-0.54)*(((-5--5)+(-0.54--5))+-0.54))))-(-5+-5)))*-5)))/-5)--5)+(-5*(((-0.54*(-0.54-(-5/-5)))*(-0.54-(-0.54/(-5*-0.54))))-(-5/-5)))))</f>
        <v>-19.99052</v>
      </c>
      <c r="C9947" t="n" s="0">
        <v>-19.99052</v>
      </c>
    </row>
    <row r="9948">
      <c r="A9948" t="n" s="0">
        <v>-0.53</v>
      </c>
      <c r="B9948" t="n" s="0">
        <f>(-5-((((-5*(-5/((-5/(((-5*(-0.53--5))-(-5+((-5*-0.53)*(((-5--5)+(-0.53--5))+-0.53))))-(-5+-5)))*-5)))/-5)--5)+(-5*(((-0.53*(-0.53-(-5/-5)))*(-0.53-(-0.53/(-5*-0.53))))-(-5/-5)))))</f>
        <v>-19.896185</v>
      </c>
      <c r="C9948" t="n" s="0">
        <v>-19.896185</v>
      </c>
    </row>
    <row r="9949">
      <c r="A9949" t="n" s="0">
        <v>-0.52</v>
      </c>
      <c r="B9949" t="n" s="0">
        <f>(-5-((((-5*(-5/((-5/(((-5*(-0.52--5))-(-5+((-5*-0.52)*(((-5--5)+(-0.52--5))+-0.52))))-(-5+-5)))*-5)))/-5)--5)+(-5*(((-0.52*(-0.52-(-5/-5)))*(-0.52-(-0.52/(-5*-0.52))))-(-5/-5)))))</f>
        <v>-19.803840000000022</v>
      </c>
      <c r="C9949" t="n" s="0">
        <v>-19.80384</v>
      </c>
    </row>
    <row r="9950">
      <c r="A9950" t="n" s="0">
        <v>-0.51</v>
      </c>
      <c r="B9950" t="n" s="0">
        <f>(-5-((((-5*(-5/((-5/(((-5*(-0.51--5))-(-5+((-5*-0.51)*(((-5--5)+(-0.51--5))+-0.51))))-(-5+-5)))*-5)))/-5)--5)+(-5*(((-0.51*(-0.51-(-5/-5)))*(-0.51-(-0.51/(-5*-0.51))))-(-5/-5)))))</f>
        <v>-19.713455</v>
      </c>
      <c r="C9950" t="n" s="0">
        <v>-19.713455</v>
      </c>
    </row>
    <row r="9951">
      <c r="A9951" t="n" s="0">
        <v>-0.5</v>
      </c>
      <c r="B9951" t="n" s="0">
        <f>(-5-((((-5*(-5/((-5/(((-5*(-0.5--5))-(-5+((-5*-0.5)*(((-5--5)+(-0.5--5))+-0.5))))-(-5+-5)))*-5)))/-5)--5)+(-5*(((-0.5*(-0.5-(-5/-5)))*(-0.5-(-0.5/(-5*-0.5))))-(-5/-5)))))</f>
        <v>-19.625</v>
      </c>
      <c r="C9951" t="n" s="0">
        <v>-19.625</v>
      </c>
    </row>
    <row r="9952">
      <c r="A9952" t="n" s="0">
        <v>-0.49</v>
      </c>
      <c r="B9952" t="n" s="0">
        <f>(-5-((((-5*(-5/((-5/(((-5*(-0.49--5))-(-5+((-5*-0.49)*(((-5--5)+(-0.49--5))+-0.49))))-(-5+-5)))*-5)))/-5)--5)+(-5*(((-0.49*(-0.49-(-5/-5)))*(-0.49-(-0.49/(-5*-0.49))))-(-5/-5)))))</f>
        <v>-19.538445000000003</v>
      </c>
      <c r="C9952" t="n" s="0">
        <v>-19.538445</v>
      </c>
    </row>
    <row r="9953">
      <c r="A9953" t="n" s="0">
        <v>-0.48</v>
      </c>
      <c r="B9953" t="n" s="0">
        <f>(-5-((((-5*(-5/((-5/(((-5*(-0.48--5))-(-5+((-5*-0.48)*(((-5--5)+(-0.48--5))+-0.48))))-(-5+-5)))*-5)))/-5)--5)+(-5*(((-0.48*(-0.48-(-5/-5)))*(-0.48-(-0.48/(-5*-0.48))))-(-5/-5)))))</f>
        <v>-19.45375999999998</v>
      </c>
      <c r="C9953" t="n" s="0">
        <v>-19.45376</v>
      </c>
    </row>
    <row r="9954">
      <c r="A9954" t="n" s="0">
        <v>-0.47</v>
      </c>
      <c r="B9954" t="n" s="0">
        <f>(-5-((((-5*(-5/((-5/(((-5*(-0.47--5))-(-5+((-5*-0.47)*(((-5--5)+(-0.47--5))+-0.47))))-(-5+-5)))*-5)))/-5)--5)+(-5*(((-0.47*(-0.47-(-5/-5)))*(-0.47-(-0.47/(-5*-0.47))))-(-5/-5)))))</f>
        <v>-19.370915</v>
      </c>
      <c r="C9954" t="n" s="0">
        <v>-19.370915</v>
      </c>
    </row>
    <row r="9955">
      <c r="A9955" t="n" s="0">
        <v>-0.46</v>
      </c>
      <c r="B9955" t="n" s="0">
        <f>(-5-((((-5*(-5/((-5/(((-5*(-0.46--5))-(-5+((-5*-0.46)*(((-5--5)+(-0.46--5))+-0.46))))-(-5+-5)))*-5)))/-5)--5)+(-5*(((-0.46*(-0.46-(-5/-5)))*(-0.46-(-0.46/(-5*-0.46))))-(-5/-5)))))</f>
        <v>-19.28988</v>
      </c>
      <c r="C9955" t="n" s="0">
        <v>-19.28988</v>
      </c>
    </row>
    <row r="9956">
      <c r="A9956" t="n" s="0">
        <v>-0.45</v>
      </c>
      <c r="B9956" t="n" s="0">
        <f>(-5-((((-5*(-5/((-5/(((-5*(-0.45--5))-(-5+((-5*-0.45)*(((-5--5)+(-0.45--5))+-0.45))))-(-5+-5)))*-5)))/-5)--5)+(-5*(((-0.45*(-0.45-(-5/-5)))*(-0.45-(-0.45/(-5*-0.45))))-(-5/-5)))))</f>
        <v>-19.210625</v>
      </c>
      <c r="C9956" t="n" s="0">
        <v>-19.210625</v>
      </c>
    </row>
    <row r="9957">
      <c r="A9957" t="n" s="0">
        <v>-0.44</v>
      </c>
      <c r="B9957" t="n" s="0">
        <f>(-5-((((-5*(-5/((-5/(((-5*(-0.44--5))-(-5+((-5*-0.44)*(((-5--5)+(-0.44--5))+-0.44))))-(-5+-5)))*-5)))/-5)--5)+(-5*(((-0.44*(-0.44-(-5/-5)))*(-0.44-(-0.44/(-5*-0.44))))-(-5/-5)))))</f>
        <v>-19.133119999999998</v>
      </c>
      <c r="C9957" t="n" s="0">
        <v>-19.133119999999998</v>
      </c>
    </row>
    <row r="9958">
      <c r="A9958" t="n" s="0">
        <v>-0.43</v>
      </c>
      <c r="B9958" t="n" s="0">
        <f>(-5-((((-5*(-5/((-5/(((-5*(-0.43--5))-(-5+((-5*-0.43)*(((-5--5)+(-0.43--5))+-0.43))))-(-5+-5)))*-5)))/-5)--5)+(-5*(((-0.43*(-0.43-(-5/-5)))*(-0.43-(-0.43/(-5*-0.43))))-(-5/-5)))))</f>
        <v>-19.057335000000002</v>
      </c>
      <c r="C9958" t="n" s="0">
        <v>-19.057335000000002</v>
      </c>
    </row>
    <row r="9959">
      <c r="A9959" t="n" s="0">
        <v>-0.42</v>
      </c>
      <c r="B9959" t="n" s="0">
        <f>(-5-((((-5*(-5/((-5/(((-5*(-0.42--5))-(-5+((-5*-0.42)*(((-5--5)+(-0.42--5))+-0.42))))-(-5+-5)))*-5)))/-5)--5)+(-5*(((-0.42*(-0.42-(-5/-5)))*(-0.42-(-0.42/(-5*-0.42))))-(-5/-5)))))</f>
        <v>-18.98324</v>
      </c>
      <c r="C9959" t="n" s="0">
        <v>-18.98324</v>
      </c>
    </row>
    <row r="9960">
      <c r="A9960" t="n" s="0">
        <v>-0.41</v>
      </c>
      <c r="B9960" t="n" s="0">
        <f>(-5-((((-5*(-5/((-5/(((-5*(-0.41--5))-(-5+((-5*-0.41)*(((-5--5)+(-0.41--5))+-0.41))))-(-5+-5)))*-5)))/-5)--5)+(-5*(((-0.41*(-0.41-(-5/-5)))*(-0.41-(-0.41/(-5*-0.41))))-(-5/-5)))))</f>
        <v>-18.91080500000002</v>
      </c>
      <c r="C9960" t="n" s="0">
        <v>-18.910805</v>
      </c>
    </row>
    <row r="9961">
      <c r="A9961" t="n" s="0">
        <v>-0.4</v>
      </c>
      <c r="B9961" t="n" s="0">
        <f>(-5-((((-5*(-5/((-5/(((-5*(-0.4--5))-(-5+((-5*-0.4)*(((-5--5)+(-0.4--5))+-0.4))))-(-5+-5)))*-5)))/-5)--5)+(-5*(((-0.4*(-0.4-(-5/-5)))*(-0.4-(-0.4/(-5*-0.4))))-(-5/-5)))))</f>
        <v>-18.84</v>
      </c>
      <c r="C9961" t="n" s="0">
        <v>-18.84</v>
      </c>
    </row>
    <row r="9962">
      <c r="A9962" t="n" s="0">
        <v>-0.39</v>
      </c>
      <c r="B9962" t="n" s="0">
        <f>(-5-((((-5*(-5/((-5/(((-5*(-0.39--5))-(-5+((-5*-0.39)*(((-5--5)+(-0.39--5))+-0.39))))-(-5+-5)))*-5)))/-5)--5)+(-5*(((-0.39*(-0.39-(-5/-5)))*(-0.39-(-0.39/(-5*-0.39))))-(-5/-5)))))</f>
        <v>-18.770795</v>
      </c>
      <c r="C9962" t="n" s="0">
        <v>-18.770795</v>
      </c>
    </row>
    <row r="9963">
      <c r="A9963" t="n" s="0">
        <v>-0.38</v>
      </c>
      <c r="B9963" t="n" s="0">
        <f>(-5-((((-5*(-5/((-5/(((-5*(-0.38--5))-(-5+((-5*-0.38)*(((-5--5)+(-0.38--5))+-0.38))))-(-5+-5)))*-5)))/-5)--5)+(-5*(((-0.38*(-0.38-(-5/-5)))*(-0.38-(-0.38/(-5*-0.38))))-(-5/-5)))))</f>
        <v>-18.70316</v>
      </c>
      <c r="C9963" t="n" s="0">
        <v>-18.70316</v>
      </c>
    </row>
    <row r="9964">
      <c r="A9964" t="n" s="0">
        <v>-0.37</v>
      </c>
      <c r="B9964" t="n" s="0">
        <f>(-5-((((-5*(-5/((-5/(((-5*(-0.37--5))-(-5+((-5*-0.37)*(((-5--5)+(-0.37--5))+-0.37))))-(-5+-5)))*-5)))/-5)--5)+(-5*(((-0.37*(-0.37-(-5/-5)))*(-0.37-(-0.37/(-5*-0.37))))-(-5/-5)))))</f>
        <v>-18.63706499999998</v>
      </c>
      <c r="C9964" t="n" s="0">
        <v>-18.637065</v>
      </c>
    </row>
    <row r="9965">
      <c r="A9965" t="n" s="0">
        <v>-0.36</v>
      </c>
      <c r="B9965" t="n" s="0">
        <f>(-5-((((-5*(-5/((-5/(((-5*(-0.36--5))-(-5+((-5*-0.36)*(((-5--5)+(-0.36--5))+-0.36))))-(-5+-5)))*-5)))/-5)--5)+(-5*(((-0.36*(-0.36-(-5/-5)))*(-0.36-(-0.36/(-5*-0.36))))-(-5/-5)))))</f>
        <v>-18.57248</v>
      </c>
      <c r="C9965" t="n" s="0">
        <v>-18.57248</v>
      </c>
    </row>
    <row r="9966">
      <c r="A9966" t="n" s="0">
        <v>-0.35</v>
      </c>
      <c r="B9966" t="n" s="0">
        <f>(-5-((((-5*(-5/((-5/(((-5*(-0.35--5))-(-5+((-5*-0.35)*(((-5--5)+(-0.35--5))+-0.35))))-(-5+-5)))*-5)))/-5)--5)+(-5*(((-0.35*(-0.35-(-5/-5)))*(-0.35-(-0.35/(-5*-0.35))))-(-5/-5)))))</f>
        <v>-18.50937500000002</v>
      </c>
      <c r="C9966" t="n" s="0">
        <v>-18.509375</v>
      </c>
    </row>
    <row r="9967">
      <c r="A9967" t="n" s="0">
        <v>-0.34</v>
      </c>
      <c r="B9967" t="n" s="0">
        <f>(-5-((((-5*(-5/((-5/(((-5*(-0.34--5))-(-5+((-5*-0.34)*(((-5--5)+(-0.34--5))+-0.34))))-(-5+-5)))*-5)))/-5)--5)+(-5*(((-0.34*(-0.34-(-5/-5)))*(-0.34-(-0.34/(-5*-0.34))))-(-5/-5)))))</f>
        <v>-18.44772</v>
      </c>
      <c r="C9967" t="n" s="0">
        <v>-18.44772</v>
      </c>
    </row>
    <row r="9968">
      <c r="A9968" t="n" s="0">
        <v>-0.33</v>
      </c>
      <c r="B9968" t="n" s="0">
        <f>(-5-((((-5*(-5/((-5/(((-5*(-0.33--5))-(-5+((-5*-0.33)*(((-5--5)+(-0.33--5))+-0.33))))-(-5+-5)))*-5)))/-5)--5)+(-5*(((-0.33*(-0.33-(-5/-5)))*(-0.33-(-0.33/(-5*-0.33))))-(-5/-5)))))</f>
        <v>-18.387484999999998</v>
      </c>
      <c r="C9968" t="n" s="0">
        <v>-18.387485</v>
      </c>
    </row>
    <row r="9969">
      <c r="A9969" t="n" s="0">
        <v>-0.32</v>
      </c>
      <c r="B9969" t="n" s="0">
        <f>(-5-((((-5*(-5/((-5/(((-5*(-0.32--5))-(-5+((-5*-0.32)*(((-5--5)+(-0.32--5))+-0.32))))-(-5+-5)))*-5)))/-5)--5)+(-5*(((-0.32*(-0.32-(-5/-5)))*(-0.32-(-0.32/(-5*-0.32))))-(-5/-5)))))</f>
        <v>-18.328639999999982</v>
      </c>
      <c r="C9969" t="n" s="0">
        <v>-18.32864</v>
      </c>
    </row>
    <row r="9970">
      <c r="A9970" t="n" s="0">
        <v>-0.31</v>
      </c>
      <c r="B9970" t="n" s="0">
        <f>(-5-((((-5*(-5/((-5/(((-5*(-0.31--5))-(-5+((-5*-0.31)*(((-5--5)+(-0.31--5))+-0.31))))-(-5+-5)))*-5)))/-5)--5)+(-5*(((-0.31*(-0.31-(-5/-5)))*(-0.31-(-0.31/(-5*-0.31))))-(-5/-5)))))</f>
        <v>-18.27115499999998</v>
      </c>
      <c r="C9970" t="n" s="0">
        <v>-18.271155</v>
      </c>
    </row>
    <row r="9971">
      <c r="A9971" t="n" s="0">
        <v>-0.3</v>
      </c>
      <c r="B9971" t="n" s="0">
        <f>(-5-((((-5*(-5/((-5/(((-5*(-0.3--5))-(-5+((-5*-0.3)*(((-5--5)+(-0.3--5))+-0.3))))-(-5+-5)))*-5)))/-5)--5)+(-5*(((-0.3*(-0.3-(-5/-5)))*(-0.3-(-0.3/(-5*-0.3))))-(-5/-5)))))</f>
        <v>-18.215</v>
      </c>
      <c r="C9971" t="n" s="0">
        <v>-18.215</v>
      </c>
    </row>
    <row r="9972">
      <c r="A9972" t="n" s="0">
        <v>-0.29</v>
      </c>
      <c r="B9972" t="n" s="0">
        <f>(-5-((((-5*(-5/((-5/(((-5*(-0.29--5))-(-5+((-5*-0.29)*(((-5--5)+(-0.29--5))+-0.29))))-(-5+-5)))*-5)))/-5)--5)+(-5*(((-0.29*(-0.29-(-5/-5)))*(-0.29-(-0.29/(-5*-0.29))))-(-5/-5)))))</f>
        <v>-18.160145</v>
      </c>
      <c r="C9972" t="n" s="0">
        <v>-18.160145</v>
      </c>
    </row>
    <row r="9973">
      <c r="A9973" t="n" s="0">
        <v>-0.28</v>
      </c>
      <c r="B9973" t="n" s="0">
        <f>(-5-((((-5*(-5/((-5/(((-5*(-0.28--5))-(-5+((-5*-0.28)*(((-5--5)+(-0.28--5))+-0.28))))-(-5+-5)))*-5)))/-5)--5)+(-5*(((-0.28*(-0.28-(-5/-5)))*(-0.28-(-0.28/(-5*-0.28))))-(-5/-5)))))</f>
        <v>-18.10656000000002</v>
      </c>
      <c r="C9973" t="n" s="0">
        <v>-18.10656</v>
      </c>
    </row>
    <row r="9974">
      <c r="A9974" t="n" s="0">
        <v>-0.27</v>
      </c>
      <c r="B9974" t="n" s="0">
        <f>(-5-((((-5*(-5/((-5/(((-5*(-0.27--5))-(-5+((-5*-0.27)*(((-5--5)+(-0.27--5))+-0.27))))-(-5+-5)))*-5)))/-5)--5)+(-5*(((-0.27*(-0.27-(-5/-5)))*(-0.27-(-0.27/(-5*-0.27))))-(-5/-5)))))</f>
        <v>-18.054215</v>
      </c>
      <c r="C9974" t="n" s="0">
        <v>-18.054215</v>
      </c>
    </row>
    <row r="9975">
      <c r="A9975" t="n" s="0">
        <v>-0.26</v>
      </c>
      <c r="B9975" t="n" s="0">
        <f>(-5-((((-5*(-5/((-5/(((-5*(-0.26--5))-(-5+((-5*-0.26)*(((-5--5)+(-0.26--5))+-0.26))))-(-5+-5)))*-5)))/-5)--5)+(-5*(((-0.26*(-0.26-(-5/-5)))*(-0.26-(-0.26/(-5*-0.26))))-(-5/-5)))))</f>
        <v>-18.00308000000002</v>
      </c>
      <c r="C9975" t="n" s="0">
        <v>-18.00308</v>
      </c>
    </row>
    <row r="9976">
      <c r="A9976" t="n" s="0">
        <v>-0.25</v>
      </c>
      <c r="B9976" t="n" s="0">
        <f>(-5-((((-5*(-5/((-5/(((-5*(-0.25--5))-(-5+((-5*-0.25)*(((-5--5)+(-0.25--5))+-0.25))))-(-5+-5)))*-5)))/-5)--5)+(-5*(((-0.25*(-0.25-(-5/-5)))*(-0.25-(-0.25/(-5*-0.25))))-(-5/-5)))))</f>
        <v>-17.953125</v>
      </c>
      <c r="C9976" t="n" s="0">
        <v>-17.953125</v>
      </c>
    </row>
    <row r="9977">
      <c r="A9977" t="n" s="0">
        <v>-0.24</v>
      </c>
      <c r="B9977" t="n" s="0">
        <f>(-5-((((-5*(-5/((-5/(((-5*(-0.24--5))-(-5+((-5*-0.24)*(((-5--5)+(-0.24--5))+-0.24))))-(-5+-5)))*-5)))/-5)--5)+(-5*(((-0.24*(-0.24-(-5/-5)))*(-0.24-(-0.24/(-5*-0.24))))-(-5/-5)))))</f>
        <v>-17.90432</v>
      </c>
      <c r="C9977" t="n" s="0">
        <v>-17.90432</v>
      </c>
    </row>
    <row r="9978">
      <c r="A9978" t="n" s="0">
        <v>-0.23</v>
      </c>
      <c r="B9978" t="n" s="0">
        <f>(-5-((((-5*(-5/((-5/(((-5*(-0.23--5))-(-5+((-5*-0.23)*(((-5--5)+(-0.23--5))+-0.23))))-(-5+-5)))*-5)))/-5)--5)+(-5*(((-0.23*(-0.23-(-5/-5)))*(-0.23-(-0.23/(-5*-0.23))))-(-5/-5)))))</f>
        <v>-17.856635</v>
      </c>
      <c r="C9978" t="n" s="0">
        <v>-17.856635</v>
      </c>
    </row>
    <row r="9979">
      <c r="A9979" t="n" s="0">
        <v>-0.22</v>
      </c>
      <c r="B9979" t="n" s="0">
        <f>(-5-((((-5*(-5/((-5/(((-5*(-0.22--5))-(-5+((-5*-0.22)*(((-5--5)+(-0.22--5))+-0.22))))-(-5+-5)))*-5)))/-5)--5)+(-5*(((-0.22*(-0.22-(-5/-5)))*(-0.22-(-0.22/(-5*-0.22))))-(-5/-5)))))</f>
        <v>-17.81004</v>
      </c>
      <c r="C9979" t="n" s="0">
        <v>-17.81004</v>
      </c>
    </row>
    <row r="9980">
      <c r="A9980" t="n" s="0">
        <v>-0.21</v>
      </c>
      <c r="B9980" t="n" s="0">
        <f>(-5-((((-5*(-5/((-5/(((-5*(-0.21--5))-(-5+((-5*-0.21)*(((-5--5)+(-0.21--5))+-0.21))))-(-5+-5)))*-5)))/-5)--5)+(-5*(((-0.21*(-0.21-(-5/-5)))*(-0.21-(-0.21/(-5*-0.21))))-(-5/-5)))))</f>
        <v>-17.764505</v>
      </c>
      <c r="C9980" t="n" s="0">
        <v>-17.764505</v>
      </c>
    </row>
    <row r="9981">
      <c r="A9981" t="n" s="0">
        <v>-0.2</v>
      </c>
      <c r="B9981" t="n" s="0">
        <f>(-5-((((-5*(-5/((-5/(((-5*(-0.2--5))-(-5+((-5*-0.2)*(((-5--5)+(-0.2--5))+-0.2))))-(-5+-5)))*-5)))/-5)--5)+(-5*(((-0.2*(-0.2-(-5/-5)))*(-0.2-(-0.2/(-5*-0.2))))-(-5/-5)))))</f>
        <v>-17.72</v>
      </c>
      <c r="C9981" t="n" s="0">
        <v>-17.72</v>
      </c>
    </row>
    <row r="9982">
      <c r="A9982" t="n" s="0">
        <v>-0.19</v>
      </c>
      <c r="B9982" t="n" s="0">
        <f>(-5-((((-5*(-5/((-5/(((-5*(-0.19--5))-(-5+((-5*-0.19)*(((-5--5)+(-0.19--5))+-0.19))))-(-5+-5)))*-5)))/-5)--5)+(-5*(((-0.19*(-0.19-(-5/-5)))*(-0.19-(-0.19/(-5*-0.19))))-(-5/-5)))))</f>
        <v>-17.676495</v>
      </c>
      <c r="C9982" t="n" s="0">
        <v>-17.676495</v>
      </c>
    </row>
    <row r="9983">
      <c r="A9983" t="n" s="0">
        <v>-0.18</v>
      </c>
      <c r="B9983" t="n" s="0">
        <f>(-5-((((-5*(-5/((-5/(((-5*(-0.18--5))-(-5+((-5*-0.18)*(((-5--5)+(-0.18--5))+-0.18))))-(-5+-5)))*-5)))/-5)--5)+(-5*(((-0.18*(-0.18-(-5/-5)))*(-0.18-(-0.18/(-5*-0.18))))-(-5/-5)))))</f>
        <v>-17.633960000000002</v>
      </c>
      <c r="C9983" t="n" s="0">
        <v>-17.633960000000002</v>
      </c>
    </row>
    <row r="9984">
      <c r="A9984" t="n" s="0">
        <v>-0.17</v>
      </c>
      <c r="B9984" t="n" s="0">
        <f>(-5-((((-5*(-5/((-5/(((-5*(-0.17--5))-(-5+((-5*-0.17)*(((-5--5)+(-0.17--5))+-0.17))))-(-5+-5)))*-5)))/-5)--5)+(-5*(((-0.17*(-0.17-(-5/-5)))*(-0.17-(-0.17/(-5*-0.17))))-(-5/-5)))))</f>
        <v>-17.592365</v>
      </c>
      <c r="C9984" t="n" s="0">
        <v>-17.592365</v>
      </c>
    </row>
    <row r="9985">
      <c r="A9985" t="n" s="0">
        <v>-0.16</v>
      </c>
      <c r="B9985" t="n" s="0">
        <f>(-5-((((-5*(-5/((-5/(((-5*(-0.16--5))-(-5+((-5*-0.16)*(((-5--5)+(-0.16--5))+-0.16))))-(-5+-5)))*-5)))/-5)--5)+(-5*(((-0.16*(-0.16-(-5/-5)))*(-0.16-(-0.16/(-5*-0.16))))-(-5/-5)))))</f>
        <v>-17.55168</v>
      </c>
      <c r="C9985" t="n" s="0">
        <v>-17.55168</v>
      </c>
    </row>
    <row r="9986">
      <c r="A9986" t="n" s="0">
        <v>-0.15</v>
      </c>
      <c r="B9986" t="n" s="0">
        <f>(-5-((((-5*(-5/((-5/(((-5*(-0.15--5))-(-5+((-5*-0.15)*(((-5--5)+(-0.15--5))+-0.15))))-(-5+-5)))*-5)))/-5)--5)+(-5*(((-0.15*(-0.15-(-5/-5)))*(-0.15-(-0.15/(-5*-0.15))))-(-5/-5)))))</f>
        <v>-17.511875</v>
      </c>
      <c r="C9986" t="n" s="0">
        <v>-17.511875</v>
      </c>
    </row>
    <row r="9987">
      <c r="A9987" t="n" s="0">
        <v>-0.14</v>
      </c>
      <c r="B9987" t="n" s="0">
        <f>(-5-((((-5*(-5/((-5/(((-5*(-0.14--5))-(-5+((-5*-0.14)*(((-5--5)+(-0.14--5))+-0.14))))-(-5+-5)))*-5)))/-5)--5)+(-5*(((-0.14*(-0.14-(-5/-5)))*(-0.14-(-0.14/(-5*-0.14))))-(-5/-5)))))</f>
        <v>-17.47292</v>
      </c>
      <c r="C9987" t="n" s="0">
        <v>-17.47292</v>
      </c>
    </row>
    <row r="9988">
      <c r="A9988" t="n" s="0">
        <v>-0.13</v>
      </c>
      <c r="B9988" t="n" s="0">
        <f>(-5-((((-5*(-5/((-5/(((-5*(-0.13--5))-(-5+((-5*-0.13)*(((-5--5)+(-0.13--5))+-0.13))))-(-5+-5)))*-5)))/-5)--5)+(-5*(((-0.13*(-0.13-(-5/-5)))*(-0.13-(-0.13/(-5*-0.13))))-(-5/-5)))))</f>
        <v>-17.434784999999998</v>
      </c>
      <c r="C9988" t="n" s="0">
        <v>-17.434785</v>
      </c>
    </row>
    <row r="9989">
      <c r="A9989" t="n" s="0">
        <v>-0.12</v>
      </c>
      <c r="B9989" t="n" s="0">
        <f>(-5-((((-5*(-5/((-5/(((-5*(-0.12--5))-(-5+((-5*-0.12)*(((-5--5)+(-0.12--5))+-0.12))))-(-5+-5)))*-5)))/-5)--5)+(-5*(((-0.12*(-0.12-(-5/-5)))*(-0.12-(-0.12/(-5*-0.12))))-(-5/-5)))))</f>
        <v>-17.39744</v>
      </c>
      <c r="C9989" t="n" s="0">
        <v>-17.39744</v>
      </c>
    </row>
    <row r="9990">
      <c r="A9990" t="n" s="0">
        <v>-0.11</v>
      </c>
      <c r="B9990" t="n" s="0">
        <f>(-5-((((-5*(-5/((-5/(((-5*(-0.11--5))-(-5+((-5*-0.11)*(((-5--5)+(-0.11--5))+-0.11))))-(-5+-5)))*-5)))/-5)--5)+(-5*(((-0.11*(-0.11-(-5/-5)))*(-0.11-(-0.11/(-5*-0.11))))-(-5/-5)))))</f>
        <v>-17.360855</v>
      </c>
      <c r="C9990" t="n" s="0">
        <v>-17.360855</v>
      </c>
    </row>
    <row r="9991">
      <c r="A9991" t="n" s="0">
        <v>-0.1</v>
      </c>
      <c r="B9991" t="n" s="0">
        <f>(-5-((((-5*(-5/((-5/(((-5*(-0.1--5))-(-5+((-5*-0.1)*(((-5--5)+(-0.1--5))+-0.1))))-(-5+-5)))*-5)))/-5)--5)+(-5*(((-0.1*(-0.1-(-5/-5)))*(-0.1-(-0.1/(-5*-0.1))))-(-5/-5)))))</f>
        <v>-17.325</v>
      </c>
      <c r="C9991" t="n" s="0">
        <v>-17.325</v>
      </c>
    </row>
    <row r="9992">
      <c r="A9992" t="n" s="0">
        <v>-0.09</v>
      </c>
      <c r="B9992" t="n" s="0">
        <f>(-5-((((-5*(-5/((-5/(((-5*(-0.09--5))-(-5+((-5*-0.09)*(((-5--5)+(-0.09--5))+-0.09))))-(-5+-5)))*-5)))/-5)--5)+(-5*(((-0.09*(-0.09-(-5/-5)))*(-0.09-(-0.09/(-5*-0.09))))-(-5/-5)))))</f>
        <v>-17.289845</v>
      </c>
      <c r="C9992" t="n" s="0">
        <v>-17.289845</v>
      </c>
    </row>
    <row r="9993">
      <c r="A9993" t="n" s="0">
        <v>-0.08</v>
      </c>
      <c r="B9993" t="n" s="0">
        <f>(-5-((((-5*(-5/((-5/(((-5*(-0.08--5))-(-5+((-5*-0.08)*(((-5--5)+(-0.08--5))+-0.08))))-(-5+-5)))*-5)))/-5)--5)+(-5*(((-0.08*(-0.08-(-5/-5)))*(-0.08-(-0.08/(-5*-0.08))))-(-5/-5)))))</f>
        <v>-17.25536</v>
      </c>
      <c r="C9993" t="n" s="0">
        <v>-17.25536</v>
      </c>
    </row>
    <row r="9994">
      <c r="A9994" t="n" s="0">
        <v>-0.07</v>
      </c>
      <c r="B9994" t="n" s="0">
        <f>(-5-((((-5*(-5/((-5/(((-5*(-0.07--5))-(-5+((-5*-0.07)*(((-5--5)+(-0.07--5))+-0.07))))-(-5+-5)))*-5)))/-5)--5)+(-5*(((-0.07*(-0.07-(-5/-5)))*(-0.07-(-0.07/(-5*-0.07))))-(-5/-5)))))</f>
        <v>-17.221515</v>
      </c>
      <c r="C9994" t="n" s="0">
        <v>-17.221515</v>
      </c>
    </row>
    <row r="9995">
      <c r="A9995" t="n" s="0">
        <v>-0.06</v>
      </c>
      <c r="B9995" t="n" s="0">
        <f>(-5-((((-5*(-5/((-5/(((-5*(-0.06--5))-(-5+((-5*-0.06)*(((-5--5)+(-0.06--5))+-0.06))))-(-5+-5)))*-5)))/-5)--5)+(-5*(((-0.06*(-0.06-(-5/-5)))*(-0.06-(-0.06/(-5*-0.06))))-(-5/-5)))))</f>
        <v>-17.18828</v>
      </c>
      <c r="C9995" t="n" s="0">
        <v>-17.18828</v>
      </c>
    </row>
    <row r="9996">
      <c r="A9996" t="n" s="0">
        <v>-0.05</v>
      </c>
      <c r="B9996" t="n" s="0">
        <f>(-5-((((-5*(-5/((-5/(((-5*(-0.05--5))-(-5+((-5*-0.05)*(((-5--5)+(-0.05--5))+-0.05))))-(-5+-5)))*-5)))/-5)--5)+(-5*(((-0.05*(-0.05-(-5/-5)))*(-0.05-(-0.05/(-5*-0.05))))-(-5/-5)))))</f>
        <v>-17.155625</v>
      </c>
      <c r="C9996" t="n" s="0">
        <v>-17.155625</v>
      </c>
    </row>
    <row r="9997">
      <c r="A9997" t="n" s="0">
        <v>-0.04</v>
      </c>
      <c r="B9997" t="n" s="0">
        <f>(-5-((((-5*(-5/((-5/(((-5*(-0.04--5))-(-5+((-5*-0.04)*(((-5--5)+(-0.04--5))+-0.04))))-(-5+-5)))*-5)))/-5)--5)+(-5*(((-0.04*(-0.04-(-5/-5)))*(-0.04-(-0.04/(-5*-0.04))))-(-5/-5)))))</f>
        <v>-17.12352</v>
      </c>
      <c r="C9997" t="n" s="0">
        <v>-17.12352</v>
      </c>
    </row>
    <row r="9998">
      <c r="A9998" t="n" s="0">
        <v>-0.03</v>
      </c>
      <c r="B9998" t="n" s="0">
        <f>(-5-((((-5*(-5/((-5/(((-5*(-0.03--5))-(-5+((-5*-0.03)*(((-5--5)+(-0.03--5))+-0.03))))-(-5+-5)))*-5)))/-5)--5)+(-5*(((-0.03*(-0.03-(-5/-5)))*(-0.03-(-0.03/(-5*-0.03))))-(-5/-5)))))</f>
        <v>-17.091934999999978</v>
      </c>
      <c r="C9998" t="n" s="0">
        <v>-17.091935</v>
      </c>
    </row>
    <row r="9999">
      <c r="A9999" t="n" s="0">
        <v>-0.02</v>
      </c>
      <c r="B9999" t="n" s="0">
        <f>(-5-((((-5*(-5/((-5/(((-5*(-0.02--5))-(-5+((-5*-0.02)*(((-5--5)+(-0.02--5))+-0.02))))-(-5+-5)))*-5)))/-5)--5)+(-5*(((-0.02*(-0.02-(-5/-5)))*(-0.02-(-0.02/(-5*-0.02))))-(-5/-5)))))</f>
        <v>-17.06084000000002</v>
      </c>
      <c r="C9999" t="n" s="0">
        <v>-17.06084</v>
      </c>
    </row>
    <row r="10000">
      <c r="A10000" t="n" s="0">
        <v>-0.01</v>
      </c>
      <c r="B10000" t="n" s="0">
        <f>(-5-((((-5*(-5/((-5/(((-5*(-0.01--5))-(-5+((-5*-0.01)*(((-5--5)+(-0.01--5))+-0.01))))-(-5+-5)))*-5)))/-5)--5)+(-5*(((-0.01*(-0.01-(-5/-5)))*(-0.01-(-0.01/(-5*-0.01))))-(-5/-5)))))</f>
        <v>-17.030205</v>
      </c>
      <c r="C10000" t="n" s="0">
        <v>-17.030205</v>
      </c>
    </row>
    <row r="10001">
      <c r="A10001" t="n" s="0">
        <v>0.0</v>
      </c>
      <c r="B10001" t="e" s="0">
        <f>(-5-((((-5*(-5/((-5/(((-5*(0--5))-(-5+((-5*0)*(((-5--5)+(0--5))+0))))-(-5+-5)))*-5)))/-5)--5)+(-5*(((0*(0-(-5/-5)))*(0-(0/(-5*0))))-(-5/-5)))))</f>
        <v>#DIV/0!</v>
      </c>
      <c r="C10001" t="n" s="0">
        <v>-17.0</v>
      </c>
    </row>
    <row r="10002">
      <c r="A10002" t="n" s="0">
        <v>0.01</v>
      </c>
      <c r="B10002" t="n" s="0">
        <f>(-5-((((-5*(-5/((-5/(((-5*(0.01--5))-(-5+((-5*0.01)*(((-5--5)+(0.01--5))+0.01))))-(-5+-5)))*-5)))/-5)--5)+(-5*(((0.01*(0.01-(-5/-5)))*(0.01-(0.01/(-5*0.01))))-(-5/-5)))))</f>
        <v>-16.970195</v>
      </c>
      <c r="C10002" t="n" s="0">
        <v>-16.970195</v>
      </c>
    </row>
    <row r="10003">
      <c r="A10003" t="n" s="0">
        <v>0.02</v>
      </c>
      <c r="B10003" t="n" s="0">
        <f>(-5-((((-5*(-5/((-5/(((-5*(0.02--5))-(-5+((-5*0.02)*(((-5--5)+(0.02--5))+0.02))))-(-5+-5)))*-5)))/-5)--5)+(-5*(((0.02*(0.02-(-5/-5)))*(0.02-(0.02/(-5*0.02))))-(-5/-5)))))</f>
        <v>-16.94076</v>
      </c>
      <c r="C10003" t="n" s="0">
        <v>-16.94076</v>
      </c>
    </row>
    <row r="10004">
      <c r="A10004" t="n" s="0">
        <v>0.03</v>
      </c>
      <c r="B10004" t="n" s="0">
        <f>(-5-((((-5*(-5/((-5/(((-5*(0.03--5))-(-5+((-5*0.03)*(((-5--5)+(0.03--5))+0.03))))-(-5+-5)))*-5)))/-5)--5)+(-5*(((0.03*(0.03-(-5/-5)))*(0.03-(0.03/(-5*0.03))))-(-5/-5)))))</f>
        <v>-16.911665</v>
      </c>
      <c r="C10004" t="n" s="0">
        <v>-16.911665</v>
      </c>
    </row>
    <row r="10005">
      <c r="A10005" t="n" s="0">
        <v>0.04</v>
      </c>
      <c r="B10005" t="n" s="0">
        <f>(-5-((((-5*(-5/((-5/(((-5*(0.04--5))-(-5+((-5*0.04)*(((-5--5)+(0.04--5))+0.04))))-(-5+-5)))*-5)))/-5)--5)+(-5*(((0.04*(0.04-(-5/-5)))*(0.04-(0.04/(-5*0.04))))-(-5/-5)))))</f>
        <v>-16.88288</v>
      </c>
      <c r="C10005" t="n" s="0">
        <v>-16.88288</v>
      </c>
    </row>
    <row r="10006">
      <c r="A10006" t="n" s="0">
        <v>0.05</v>
      </c>
      <c r="B10006" t="n" s="0">
        <f>(-5-((((-5*(-5/((-5/(((-5*(0.05--5))-(-5+((-5*0.05)*(((-5--5)+(0.05--5))+0.05))))-(-5+-5)))*-5)))/-5)--5)+(-5*(((0.05*(0.05-(-5/-5)))*(0.05-(0.05/(-5*0.05))))-(-5/-5)))))</f>
        <v>-16.854375</v>
      </c>
      <c r="C10006" t="n" s="0">
        <v>-16.854375</v>
      </c>
    </row>
    <row r="10007">
      <c r="A10007" t="n" s="0">
        <v>0.06</v>
      </c>
      <c r="B10007" t="n" s="0">
        <f>(-5-((((-5*(-5/((-5/(((-5*(0.06--5))-(-5+((-5*0.06)*(((-5--5)+(0.06--5))+0.06))))-(-5+-5)))*-5)))/-5)--5)+(-5*(((0.06*(0.06-(-5/-5)))*(0.06-(0.06/(-5*0.06))))-(-5/-5)))))</f>
        <v>-16.82612</v>
      </c>
      <c r="C10007" t="n" s="0">
        <v>-16.82612</v>
      </c>
    </row>
    <row r="10008">
      <c r="A10008" t="n" s="0">
        <v>0.07</v>
      </c>
      <c r="B10008" t="n" s="0">
        <f>(-5-((((-5*(-5/((-5/(((-5*(0.07--5))-(-5+((-5*0.07)*(((-5--5)+(0.07--5))+0.07))))-(-5+-5)))*-5)))/-5)--5)+(-5*(((0.07*(0.07-(-5/-5)))*(0.07-(0.07/(-5*0.07))))-(-5/-5)))))</f>
        <v>-16.798085</v>
      </c>
      <c r="C10008" t="n" s="0">
        <v>-16.798085</v>
      </c>
    </row>
    <row r="10009">
      <c r="A10009" t="n" s="0">
        <v>0.08</v>
      </c>
      <c r="B10009" t="n" s="0">
        <f>(-5-((((-5*(-5/((-5/(((-5*(0.08--5))-(-5+((-5*0.08)*(((-5--5)+(0.08--5))+0.08))))-(-5+-5)))*-5)))/-5)--5)+(-5*(((0.08*(0.08-(-5/-5)))*(0.08-(0.08/(-5*0.08))))-(-5/-5)))))</f>
        <v>-16.77024</v>
      </c>
      <c r="C10009" t="n" s="0">
        <v>-16.77024</v>
      </c>
    </row>
    <row r="10010">
      <c r="A10010" t="n" s="0">
        <v>0.09</v>
      </c>
      <c r="B10010" t="n" s="0">
        <f>(-5-((((-5*(-5/((-5/(((-5*(0.09--5))-(-5+((-5*0.09)*(((-5--5)+(0.09--5))+0.09))))-(-5+-5)))*-5)))/-5)--5)+(-5*(((0.09*(0.09-(-5/-5)))*(0.09-(0.09/(-5*0.09))))-(-5/-5)))))</f>
        <v>-16.742555</v>
      </c>
      <c r="C10010" t="n" s="0">
        <v>-16.742555</v>
      </c>
    </row>
    <row r="10011">
      <c r="A10011" t="n" s="0">
        <v>0.1</v>
      </c>
      <c r="B10011" t="n" s="0">
        <f>(-5-((((-5*(-5/((-5/(((-5*(0.1--5))-(-5+((-5*0.1)*(((-5--5)+(0.1--5))+0.1))))-(-5+-5)))*-5)))/-5)--5)+(-5*(((0.1*(0.1-(-5/-5)))*(0.1-(0.1/(-5*0.1))))-(-5/-5)))))</f>
        <v>-16.715</v>
      </c>
      <c r="C10011" t="n" s="0">
        <v>-16.715</v>
      </c>
    </row>
    <row r="10012">
      <c r="A10012" t="n" s="0">
        <v>0.11</v>
      </c>
      <c r="B10012" t="n" s="0">
        <f>(-5-((((-5*(-5/((-5/(((-5*(0.11--5))-(-5+((-5*0.11)*(((-5--5)+(0.11--5))+0.11))))-(-5+-5)))*-5)))/-5)--5)+(-5*(((0.11*(0.11-(-5/-5)))*(0.11-(0.11/(-5*0.11))))-(-5/-5)))))</f>
        <v>-16.687545</v>
      </c>
      <c r="C10012" t="n" s="0">
        <v>-16.687545</v>
      </c>
    </row>
    <row r="10013">
      <c r="A10013" t="n" s="0">
        <v>0.12</v>
      </c>
      <c r="B10013" t="n" s="0">
        <f>(-5-((((-5*(-5/((-5/(((-5*(0.12--5))-(-5+((-5*0.12)*(((-5--5)+(0.12--5))+0.12))))-(-5+-5)))*-5)))/-5)--5)+(-5*(((0.12*(0.12-(-5/-5)))*(0.12-(0.12/(-5*0.12))))-(-5/-5)))))</f>
        <v>-16.66016</v>
      </c>
      <c r="C10013" t="n" s="0">
        <v>-16.66016</v>
      </c>
    </row>
    <row r="10014">
      <c r="A10014" t="n" s="0">
        <v>0.13</v>
      </c>
      <c r="B10014" t="n" s="0">
        <f>(-5-((((-5*(-5/((-5/(((-5*(0.13--5))-(-5+((-5*0.13)*(((-5--5)+(0.13--5))+0.13))))-(-5+-5)))*-5)))/-5)--5)+(-5*(((0.13*(0.13-(-5/-5)))*(0.13-(0.13/(-5*0.13))))-(-5/-5)))))</f>
        <v>-16.632815</v>
      </c>
      <c r="C10014" t="n" s="0">
        <v>-16.632815</v>
      </c>
    </row>
    <row r="10015">
      <c r="A10015" t="n" s="0">
        <v>0.14</v>
      </c>
      <c r="B10015" t="n" s="0">
        <f>(-5-((((-5*(-5/((-5/(((-5*(0.14--5))-(-5+((-5*0.14)*(((-5--5)+(0.14--5))+0.14))))-(-5+-5)))*-5)))/-5)--5)+(-5*(((0.14*(0.14-(-5/-5)))*(0.14-(0.14/(-5*0.14))))-(-5/-5)))))</f>
        <v>-16.60548</v>
      </c>
      <c r="C10015" t="n" s="0">
        <v>-16.60548</v>
      </c>
    </row>
    <row r="10016">
      <c r="A10016" t="n" s="0">
        <v>0.15</v>
      </c>
      <c r="B10016" t="n" s="0">
        <f>(-5-((((-5*(-5/((-5/(((-5*(0.15--5))-(-5+((-5*0.15)*(((-5--5)+(0.15--5))+0.15))))-(-5+-5)))*-5)))/-5)--5)+(-5*(((0.15*(0.15-(-5/-5)))*(0.15-(0.15/(-5*0.15))))-(-5/-5)))))</f>
        <v>-16.578125</v>
      </c>
      <c r="C10016" t="n" s="0">
        <v>-16.578125</v>
      </c>
    </row>
    <row r="10017">
      <c r="A10017" t="n" s="0">
        <v>0.16</v>
      </c>
      <c r="B10017" t="n" s="0">
        <f>(-5-((((-5*(-5/((-5/(((-5*(0.16--5))-(-5+((-5*0.16)*(((-5--5)+(0.16--5))+0.16))))-(-5+-5)))*-5)))/-5)--5)+(-5*(((0.16*(0.16-(-5/-5)))*(0.16-(0.16/(-5*0.16))))-(-5/-5)))))</f>
        <v>-16.55072</v>
      </c>
      <c r="C10017" t="n" s="0">
        <v>-16.55072</v>
      </c>
    </row>
    <row r="10018">
      <c r="A10018" t="n" s="0">
        <v>0.17</v>
      </c>
      <c r="B10018" t="n" s="0">
        <f>(-5-((((-5*(-5/((-5/(((-5*(0.17--5))-(-5+((-5*0.17)*(((-5--5)+(0.17--5))+0.17))))-(-5+-5)))*-5)))/-5)--5)+(-5*(((0.17*(0.17-(-5/-5)))*(0.17-(0.17/(-5*0.17))))-(-5/-5)))))</f>
        <v>-16.523235</v>
      </c>
      <c r="C10018" t="n" s="0">
        <v>-16.523235</v>
      </c>
    </row>
    <row r="10019">
      <c r="A10019" t="n" s="0">
        <v>0.18</v>
      </c>
      <c r="B10019" t="n" s="0">
        <f>(-5-((((-5*(-5/((-5/(((-5*(0.18--5))-(-5+((-5*0.18)*(((-5--5)+(0.18--5))+0.18))))-(-5+-5)))*-5)))/-5)--5)+(-5*(((0.18*(0.18-(-5/-5)))*(0.18-(0.18/(-5*0.18))))-(-5/-5)))))</f>
        <v>-16.49564</v>
      </c>
      <c r="C10019" t="n" s="0">
        <v>-16.49564</v>
      </c>
    </row>
    <row r="10020">
      <c r="A10020" t="n" s="0">
        <v>0.19</v>
      </c>
      <c r="B10020" t="n" s="0">
        <f>(-5-((((-5*(-5/((-5/(((-5*(0.19--5))-(-5+((-5*0.19)*(((-5--5)+(0.19--5))+0.19))))-(-5+-5)))*-5)))/-5)--5)+(-5*(((0.19*(0.19-(-5/-5)))*(0.19-(0.19/(-5*0.19))))-(-5/-5)))))</f>
        <v>-16.467905000000002</v>
      </c>
      <c r="C10020" t="n" s="0">
        <v>-16.467905</v>
      </c>
    </row>
    <row r="10021">
      <c r="A10021" t="n" s="0">
        <v>0.2</v>
      </c>
      <c r="B10021" t="n" s="0">
        <f>(-5-((((-5*(-5/((-5/(((-5*(0.2--5))-(-5+((-5*0.2)*(((-5--5)+(0.2--5))+0.2))))-(-5+-5)))*-5)))/-5)--5)+(-5*(((0.2*(0.2-(-5/-5)))*(0.2-(0.2/(-5*0.2))))-(-5/-5)))))</f>
        <v>-16.44</v>
      </c>
      <c r="C10021" t="n" s="0">
        <v>-16.44</v>
      </c>
    </row>
    <row r="10022">
      <c r="A10022" t="n" s="0">
        <v>0.21</v>
      </c>
      <c r="B10022" t="n" s="0">
        <f>(-5-((((-5*(-5/((-5/(((-5*(0.21--5))-(-5+((-5*0.21)*(((-5--5)+(0.21--5))+0.21))))-(-5+-5)))*-5)))/-5)--5)+(-5*(((0.21*(0.21-(-5/-5)))*(0.21-(0.21/(-5*0.21))))-(-5/-5)))))</f>
        <v>-16.411895</v>
      </c>
      <c r="C10022" t="n" s="0">
        <v>-16.411895</v>
      </c>
    </row>
    <row r="10023">
      <c r="A10023" t="n" s="0">
        <v>0.22</v>
      </c>
      <c r="B10023" t="n" s="0">
        <f>(-5-((((-5*(-5/((-5/(((-5*(0.22--5))-(-5+((-5*0.22)*(((-5--5)+(0.22--5))+0.22))))-(-5+-5)))*-5)))/-5)--5)+(-5*(((0.22*(0.22-(-5/-5)))*(0.22-(0.22/(-5*0.22))))-(-5/-5)))))</f>
        <v>-16.38356</v>
      </c>
      <c r="C10023" t="n" s="0">
        <v>-16.38356</v>
      </c>
    </row>
    <row r="10024">
      <c r="A10024" t="n" s="0">
        <v>0.23</v>
      </c>
      <c r="B10024" t="n" s="0">
        <f>(-5-((((-5*(-5/((-5/(((-5*(0.23--5))-(-5+((-5*0.23)*(((-5--5)+(0.23--5))+0.23))))-(-5+-5)))*-5)))/-5)--5)+(-5*(((0.23*(0.23-(-5/-5)))*(0.23-(0.23/(-5*0.23))))-(-5/-5)))))</f>
        <v>-16.354965</v>
      </c>
      <c r="C10024" t="n" s="0">
        <v>-16.354965</v>
      </c>
    </row>
    <row r="10025">
      <c r="A10025" t="n" s="0">
        <v>0.24</v>
      </c>
      <c r="B10025" t="n" s="0">
        <f>(-5-((((-5*(-5/((-5/(((-5*(0.24--5))-(-5+((-5*0.24)*(((-5--5)+(0.24--5))+0.24))))-(-5+-5)))*-5)))/-5)--5)+(-5*(((0.24*(0.24-(-5/-5)))*(0.24-(0.24/(-5*0.24))))-(-5/-5)))))</f>
        <v>-16.32608</v>
      </c>
      <c r="C10025" t="n" s="0">
        <v>-16.32608</v>
      </c>
    </row>
    <row r="10026">
      <c r="A10026" t="n" s="0">
        <v>0.25</v>
      </c>
      <c r="B10026" t="n" s="0">
        <f>(-5-((((-5*(-5/((-5/(((-5*(0.25--5))-(-5+((-5*0.25)*(((-5--5)+(0.25--5))+0.25))))-(-5+-5)))*-5)))/-5)--5)+(-5*(((0.25*(0.25-(-5/-5)))*(0.25-(0.25/(-5*0.25))))-(-5/-5)))))</f>
        <v>-16.296875</v>
      </c>
      <c r="C10026" t="n" s="0">
        <v>-16.296875</v>
      </c>
    </row>
    <row r="10027">
      <c r="A10027" t="n" s="0">
        <v>0.26</v>
      </c>
      <c r="B10027" t="n" s="0">
        <f>(-5-((((-5*(-5/((-5/(((-5*(0.26--5))-(-5+((-5*0.26)*(((-5--5)+(0.26--5))+0.26))))-(-5+-5)))*-5)))/-5)--5)+(-5*(((0.26*(0.26-(-5/-5)))*(0.26-(0.26/(-5*0.26))))-(-5/-5)))))</f>
        <v>-16.26732</v>
      </c>
      <c r="C10027" t="n" s="0">
        <v>-16.26732</v>
      </c>
    </row>
    <row r="10028">
      <c r="A10028" t="n" s="0">
        <v>0.27</v>
      </c>
      <c r="B10028" t="n" s="0">
        <f>(-5-((((-5*(-5/((-5/(((-5*(0.27--5))-(-5+((-5*0.27)*(((-5--5)+(0.27--5))+0.27))))-(-5+-5)))*-5)))/-5)--5)+(-5*(((0.27*(0.27-(-5/-5)))*(0.27-(0.27/(-5*0.27))))-(-5/-5)))))</f>
        <v>-16.237384999999996</v>
      </c>
      <c r="C10028" t="n" s="0">
        <v>-16.237385</v>
      </c>
    </row>
    <row r="10029">
      <c r="A10029" t="n" s="0">
        <v>0.28</v>
      </c>
      <c r="B10029" t="n" s="0">
        <f>(-5-((((-5*(-5/((-5/(((-5*(0.28--5))-(-5+((-5*0.28)*(((-5--5)+(0.28--5))+0.28))))-(-5+-5)))*-5)))/-5)--5)+(-5*(((0.28*(0.28-(-5/-5)))*(0.28-(0.28/(-5*0.28))))-(-5/-5)))))</f>
        <v>-16.20704</v>
      </c>
      <c r="C10029" t="n" s="0">
        <v>-16.20704</v>
      </c>
    </row>
    <row r="10030">
      <c r="A10030" t="n" s="0">
        <v>0.29</v>
      </c>
      <c r="B10030" t="n" s="0">
        <f>(-5-((((-5*(-5/((-5/(((-5*(0.29--5))-(-5+((-5*0.29)*(((-5--5)+(0.29--5))+0.29))))-(-5+-5)))*-5)))/-5)--5)+(-5*(((0.29*(0.29-(-5/-5)))*(0.29-(0.29/(-5*0.29))))-(-5/-5)))))</f>
        <v>-16.176255</v>
      </c>
      <c r="C10030" t="n" s="0">
        <v>-16.176255</v>
      </c>
    </row>
    <row r="10031">
      <c r="A10031" t="n" s="0">
        <v>0.3</v>
      </c>
      <c r="B10031" t="n" s="0">
        <f>(-5-((((-5*(-5/((-5/(((-5*(0.3--5))-(-5+((-5*0.3)*(((-5--5)+(0.3--5))+0.3))))-(-5+-5)))*-5)))/-5)--5)+(-5*(((0.3*(0.3-(-5/-5)))*(0.3-(0.3/(-5*0.3))))-(-5/-5)))))</f>
        <v>-16.145</v>
      </c>
      <c r="C10031" t="n" s="0">
        <v>-16.145</v>
      </c>
    </row>
    <row r="10032">
      <c r="A10032" t="n" s="0">
        <v>0.31</v>
      </c>
      <c r="B10032" t="n" s="0">
        <f>(-5-((((-5*(-5/((-5/(((-5*(0.31--5))-(-5+((-5*0.31)*(((-5--5)+(0.31--5))+0.31))))-(-5+-5)))*-5)))/-5)--5)+(-5*(((0.31*(0.31-(-5/-5)))*(0.31-(0.31/(-5*0.31))))-(-5/-5)))))</f>
        <v>-16.113245</v>
      </c>
      <c r="C10032" t="n" s="0">
        <v>-16.113245</v>
      </c>
    </row>
    <row r="10033">
      <c r="A10033" t="n" s="0">
        <v>0.32</v>
      </c>
      <c r="B10033" t="n" s="0">
        <f>(-5-((((-5*(-5/((-5/(((-5*(0.32--5))-(-5+((-5*0.32)*(((-5--5)+(0.32--5))+0.32))))-(-5+-5)))*-5)))/-5)--5)+(-5*(((0.32*(0.32-(-5/-5)))*(0.32-(0.32/(-5*0.32))))-(-5/-5)))))</f>
        <v>-16.08096</v>
      </c>
      <c r="C10033" t="n" s="0">
        <v>-16.08096</v>
      </c>
    </row>
    <row r="10034">
      <c r="A10034" t="n" s="0">
        <v>0.33</v>
      </c>
      <c r="B10034" t="n" s="0">
        <f>(-5-((((-5*(-5/((-5/(((-5*(0.33--5))-(-5+((-5*0.33)*(((-5--5)+(0.33--5))+0.33))))-(-5+-5)))*-5)))/-5)--5)+(-5*(((0.33*(0.33-(-5/-5)))*(0.33-(0.33/(-5*0.33))))-(-5/-5)))))</f>
        <v>-16.048115000000003</v>
      </c>
      <c r="C10034" t="n" s="0">
        <v>-16.048115</v>
      </c>
    </row>
    <row r="10035">
      <c r="A10035" t="n" s="0">
        <v>0.34</v>
      </c>
      <c r="B10035" t="n" s="0">
        <f>(-5-((((-5*(-5/((-5/(((-5*(0.34--5))-(-5+((-5*0.34)*(((-5--5)+(0.34--5))+0.34))))-(-5+-5)))*-5)))/-5)--5)+(-5*(((0.34*(0.34-(-5/-5)))*(0.34-(0.34/(-5*0.34))))-(-5/-5)))))</f>
        <v>-16.01468</v>
      </c>
      <c r="C10035" t="n" s="0">
        <v>-16.01468</v>
      </c>
    </row>
    <row r="10036">
      <c r="A10036" t="n" s="0">
        <v>0.35</v>
      </c>
      <c r="B10036" t="n" s="0">
        <f>(-5-((((-5*(-5/((-5/(((-5*(0.35--5))-(-5+((-5*0.35)*(((-5--5)+(0.35--5))+0.35))))-(-5+-5)))*-5)))/-5)--5)+(-5*(((0.35*(0.35-(-5/-5)))*(0.35-(0.35/(-5*0.35))))-(-5/-5)))))</f>
        <v>-15.980625000000003</v>
      </c>
      <c r="C10036" t="n" s="0">
        <v>-15.980625</v>
      </c>
    </row>
    <row r="10037">
      <c r="A10037" t="n" s="0">
        <v>0.36</v>
      </c>
      <c r="B10037" t="n" s="0">
        <f>(-5-((((-5*(-5/((-5/(((-5*(0.36--5))-(-5+((-5*0.36)*(((-5--5)+(0.36--5))+0.36))))-(-5+-5)))*-5)))/-5)--5)+(-5*(((0.36*(0.36-(-5/-5)))*(0.36-(0.36/(-5*0.36))))-(-5/-5)))))</f>
        <v>-15.945920000000001</v>
      </c>
      <c r="C10037" t="n" s="0">
        <v>-15.94592</v>
      </c>
    </row>
    <row r="10038">
      <c r="A10038" t="n" s="0">
        <v>0.37</v>
      </c>
      <c r="B10038" t="n" s="0">
        <f>(-5-((((-5*(-5/((-5/(((-5*(0.37--5))-(-5+((-5*0.37)*(((-5--5)+(0.37--5))+0.37))))-(-5+-5)))*-5)))/-5)--5)+(-5*(((0.37*(0.37-(-5/-5)))*(0.37-(0.37/(-5*0.37))))-(-5/-5)))))</f>
        <v>-15.910535</v>
      </c>
      <c r="C10038" t="n" s="0">
        <v>-15.910535</v>
      </c>
    </row>
    <row r="10039">
      <c r="A10039" t="n" s="0">
        <v>0.38</v>
      </c>
      <c r="B10039" t="n" s="0">
        <f>(-5-((((-5*(-5/((-5/(((-5*(0.38--5))-(-5+((-5*0.38)*(((-5--5)+(0.38--5))+0.38))))-(-5+-5)))*-5)))/-5)--5)+(-5*(((0.38*(0.38-(-5/-5)))*(0.38-(0.38/(-5*0.38))))-(-5/-5)))))</f>
        <v>-15.87444</v>
      </c>
      <c r="C10039" t="n" s="0">
        <v>-15.87444</v>
      </c>
    </row>
    <row r="10040">
      <c r="A10040" t="n" s="0">
        <v>0.39</v>
      </c>
      <c r="B10040" t="n" s="0">
        <f>(-5-((((-5*(-5/((-5/(((-5*(0.39--5))-(-5+((-5*0.39)*(((-5--5)+(0.39--5))+0.39))))-(-5+-5)))*-5)))/-5)--5)+(-5*(((0.39*(0.39-(-5/-5)))*(0.39-(0.39/(-5*0.39))))-(-5/-5)))))</f>
        <v>-15.837605</v>
      </c>
      <c r="C10040" t="n" s="0">
        <v>-15.837605</v>
      </c>
    </row>
    <row r="10041">
      <c r="A10041" t="n" s="0">
        <v>0.4</v>
      </c>
      <c r="B10041" t="n" s="0">
        <f>(-5-((((-5*(-5/((-5/(((-5*(0.4--5))-(-5+((-5*0.4)*(((-5--5)+(0.4--5))+0.4))))-(-5+-5)))*-5)))/-5)--5)+(-5*(((0.4*(0.4-(-5/-5)))*(0.4-(0.4/(-5*0.4))))-(-5/-5)))))</f>
        <v>-15.8</v>
      </c>
      <c r="C10041" t="n" s="0">
        <v>-15.8</v>
      </c>
    </row>
    <row r="10042">
      <c r="A10042" t="n" s="0">
        <v>0.41</v>
      </c>
      <c r="B10042" t="n" s="0">
        <f>(-5-((((-5*(-5/((-5/(((-5*(0.41--5))-(-5+((-5*0.41)*(((-5--5)+(0.41--5))+0.41))))-(-5+-5)))*-5)))/-5)--5)+(-5*(((0.41*(0.41-(-5/-5)))*(0.41-(0.41/(-5*0.41))))-(-5/-5)))))</f>
        <v>-15.761595</v>
      </c>
      <c r="C10042" t="n" s="0">
        <v>-15.761595</v>
      </c>
    </row>
    <row r="10043">
      <c r="A10043" t="n" s="0">
        <v>0.42</v>
      </c>
      <c r="B10043" t="n" s="0">
        <f>(-5-((((-5*(-5/((-5/(((-5*(0.42--5))-(-5+((-5*0.42)*(((-5--5)+(0.42--5))+0.42))))-(-5+-5)))*-5)))/-5)--5)+(-5*(((0.42*(0.42-(-5/-5)))*(0.42-(0.42/(-5*0.42))))-(-5/-5)))))</f>
        <v>-15.72236</v>
      </c>
      <c r="C10043" t="n" s="0">
        <v>-15.72236</v>
      </c>
    </row>
    <row r="10044">
      <c r="A10044" t="n" s="0">
        <v>0.43</v>
      </c>
      <c r="B10044" t="n" s="0">
        <f>(-5-((((-5*(-5/((-5/(((-5*(0.43--5))-(-5+((-5*0.43)*(((-5--5)+(0.43--5))+0.43))))-(-5+-5)))*-5)))/-5)--5)+(-5*(((0.43*(0.43-(-5/-5)))*(0.43-(0.43/(-5*0.43))))-(-5/-5)))))</f>
        <v>-15.682264999999997</v>
      </c>
      <c r="C10044" t="n" s="0">
        <v>-15.682265</v>
      </c>
    </row>
    <row r="10045">
      <c r="A10045" t="n" s="0">
        <v>0.44</v>
      </c>
      <c r="B10045" t="n" s="0">
        <f>(-5-((((-5*(-5/((-5/(((-5*(0.44--5))-(-5+((-5*0.44)*(((-5--5)+(0.44--5))+0.44))))-(-5+-5)))*-5)))/-5)--5)+(-5*(((0.44*(0.44-(-5/-5)))*(0.44-(0.44/(-5*0.44))))-(-5/-5)))))</f>
        <v>-15.64128</v>
      </c>
      <c r="C10045" t="n" s="0">
        <v>-15.64128</v>
      </c>
    </row>
    <row r="10046">
      <c r="A10046" t="n" s="0">
        <v>0.45</v>
      </c>
      <c r="B10046" t="n" s="0">
        <f>(-5-((((-5*(-5/((-5/(((-5*(0.45--5))-(-5+((-5*0.45)*(((-5--5)+(0.45--5))+0.45))))-(-5+-5)))*-5)))/-5)--5)+(-5*(((0.45*(0.45-(-5/-5)))*(0.45-(0.45/(-5*0.45))))-(-5/-5)))))</f>
        <v>-15.599375</v>
      </c>
      <c r="C10046" t="n" s="0">
        <v>-15.599375</v>
      </c>
    </row>
    <row r="10047">
      <c r="A10047" t="n" s="0">
        <v>0.46</v>
      </c>
      <c r="B10047" t="n" s="0">
        <f>(-5-((((-5*(-5/((-5/(((-5*(0.46--5))-(-5+((-5*0.46)*(((-5--5)+(0.46--5))+0.46))))-(-5+-5)))*-5)))/-5)--5)+(-5*(((0.46*(0.46-(-5/-5)))*(0.46-(0.46/(-5*0.46))))-(-5/-5)))))</f>
        <v>-15.556519999999999</v>
      </c>
      <c r="C10047" t="n" s="0">
        <v>-15.556519999999999</v>
      </c>
    </row>
    <row r="10048">
      <c r="A10048" t="n" s="0">
        <v>0.47</v>
      </c>
      <c r="B10048" t="n" s="0">
        <f>(-5-((((-5*(-5/((-5/(((-5*(0.47--5))-(-5+((-5*0.47)*(((-5--5)+(0.47--5))+0.47))))-(-5+-5)))*-5)))/-5)--5)+(-5*(((0.47*(0.47-(-5/-5)))*(0.47-(0.47/(-5*0.47))))-(-5/-5)))))</f>
        <v>-15.512684999999998</v>
      </c>
      <c r="C10048" t="n" s="0">
        <v>-15.512685000000001</v>
      </c>
    </row>
    <row r="10049">
      <c r="A10049" t="n" s="0">
        <v>0.48</v>
      </c>
      <c r="B10049" t="n" s="0">
        <f>(-5-((((-5*(-5/((-5/(((-5*(0.48--5))-(-5+((-5*0.48)*(((-5--5)+(0.48--5))+0.48))))-(-5+-5)))*-5)))/-5)--5)+(-5*(((0.48*(0.48-(-5/-5)))*(0.48-(0.48/(-5*0.48))))-(-5/-5)))))</f>
        <v>-15.467839999999997</v>
      </c>
      <c r="C10049" t="n" s="0">
        <v>-15.46784</v>
      </c>
    </row>
    <row r="10050">
      <c r="A10050" t="n" s="0">
        <v>0.49</v>
      </c>
      <c r="B10050" t="n" s="0">
        <f>(-5-((((-5*(-5/((-5/(((-5*(0.49--5))-(-5+((-5*0.49)*(((-5--5)+(0.49--5))+0.49))))-(-5+-5)))*-5)))/-5)--5)+(-5*(((0.49*(0.49-(-5/-5)))*(0.49-(0.49/(-5*0.49))))-(-5/-5)))))</f>
        <v>-15.421955</v>
      </c>
      <c r="C10050" t="n" s="0">
        <v>-15.421955</v>
      </c>
    </row>
    <row r="10051">
      <c r="A10051" t="n" s="0">
        <v>0.5</v>
      </c>
      <c r="B10051" t="n" s="0">
        <f>(-5-((((-5*(-5/((-5/(((-5*(0.5--5))-(-5+((-5*0.5)*(((-5--5)+(0.5--5))+0.5))))-(-5+-5)))*-5)))/-5)--5)+(-5*(((0.5*(0.5-(-5/-5)))*(0.5-(0.5/(-5*0.5))))-(-5/-5)))))</f>
        <v>-15.375</v>
      </c>
      <c r="C10051" t="n" s="0">
        <v>-15.375</v>
      </c>
    </row>
    <row r="10052">
      <c r="A10052" t="n" s="0">
        <v>0.51</v>
      </c>
      <c r="B10052" t="n" s="0">
        <f>(-5-((((-5*(-5/((-5/(((-5*(0.51--5))-(-5+((-5*0.51)*(((-5--5)+(0.51--5))+0.51))))-(-5+-5)))*-5)))/-5)--5)+(-5*(((0.51*(0.51-(-5/-5)))*(0.51-(0.51/(-5*0.51))))-(-5/-5)))))</f>
        <v>-15.326945000000002</v>
      </c>
      <c r="C10052" t="n" s="0">
        <v>-15.326945</v>
      </c>
    </row>
    <row r="10053">
      <c r="A10053" t="n" s="0">
        <v>0.52</v>
      </c>
      <c r="B10053" t="n" s="0">
        <f>(-5-((((-5*(-5/((-5/(((-5*(0.52--5))-(-5+((-5*0.52)*(((-5--5)+(0.52--5))+0.52))))-(-5+-5)))*-5)))/-5)--5)+(-5*(((0.52*(0.52-(-5/-5)))*(0.52-(0.52/(-5*0.52))))-(-5/-5)))))</f>
        <v>-15.27776</v>
      </c>
      <c r="C10053" t="n" s="0">
        <v>-15.27776</v>
      </c>
    </row>
    <row r="10054">
      <c r="A10054" t="n" s="0">
        <v>0.53</v>
      </c>
      <c r="B10054" t="n" s="0">
        <f>(-5-((((-5*(-5/((-5/(((-5*(0.53--5))-(-5+((-5*0.53)*(((-5--5)+(0.53--5))+0.53))))-(-5+-5)))*-5)))/-5)--5)+(-5*(((0.53*(0.53-(-5/-5)))*(0.53-(0.53/(-5*0.53))))-(-5/-5)))))</f>
        <v>-15.227415</v>
      </c>
      <c r="C10054" t="n" s="0">
        <v>-15.227415</v>
      </c>
    </row>
    <row r="10055">
      <c r="A10055" t="n" s="0">
        <v>0.54</v>
      </c>
      <c r="B10055" t="n" s="0">
        <f>(-5-((((-5*(-5/((-5/(((-5*(0.54--5))-(-5+((-5*0.54)*(((-5--5)+(0.54--5))+0.54))))-(-5+-5)))*-5)))/-5)--5)+(-5*(((0.54*(0.54-(-5/-5)))*(0.54-(0.54/(-5*0.54))))-(-5/-5)))))</f>
        <v>-15.175880000000003</v>
      </c>
      <c r="C10055" t="n" s="0">
        <v>-15.17588</v>
      </c>
    </row>
    <row r="10056">
      <c r="A10056" t="n" s="0">
        <v>0.55</v>
      </c>
      <c r="B10056" t="n" s="0">
        <f>(-5-((((-5*(-5/((-5/(((-5*(0.55--5))-(-5+((-5*0.55)*(((-5--5)+(0.55--5))+0.55))))-(-5+-5)))*-5)))/-5)--5)+(-5*(((0.55*(0.55-(-5/-5)))*(0.55-(0.55/(-5*0.55))))-(-5/-5)))))</f>
        <v>-15.123125</v>
      </c>
      <c r="C10056" t="n" s="0">
        <v>-15.123125</v>
      </c>
    </row>
    <row r="10057">
      <c r="A10057" t="n" s="0">
        <v>0.56</v>
      </c>
      <c r="B10057" t="n" s="0">
        <f>(-5-((((-5*(-5/((-5/(((-5*(0.56--5))-(-5+((-5*0.56)*(((-5--5)+(0.56--5))+0.56))))-(-5+-5)))*-5)))/-5)--5)+(-5*(((0.56*(0.56-(-5/-5)))*(0.56-(0.56/(-5*0.56))))-(-5/-5)))))</f>
        <v>-15.069119999999996</v>
      </c>
      <c r="C10057" t="n" s="0">
        <v>-15.06912</v>
      </c>
    </row>
    <row r="10058">
      <c r="A10058" t="n" s="0">
        <v>0.57</v>
      </c>
      <c r="B10058" t="n" s="0">
        <f>(-5-((((-5*(-5/((-5/(((-5*(0.57--5))-(-5+((-5*0.57)*(((-5--5)+(0.57--5))+0.57))))-(-5+-5)))*-5)))/-5)--5)+(-5*(((0.57*(0.57-(-5/-5)))*(0.57-(0.57/(-5*0.57))))-(-5/-5)))))</f>
        <v>-15.013834999999997</v>
      </c>
      <c r="C10058" t="n" s="0">
        <v>-15.013835</v>
      </c>
    </row>
    <row r="10059">
      <c r="A10059" t="n" s="0">
        <v>0.58</v>
      </c>
      <c r="B10059" t="n" s="0">
        <f>(-5-((((-5*(-5/((-5/(((-5*(0.58--5))-(-5+((-5*0.58)*(((-5--5)+(0.58--5))+0.58))))-(-5+-5)))*-5)))/-5)--5)+(-5*(((0.58*(0.58-(-5/-5)))*(0.58-(0.58/(-5*0.58))))-(-5/-5)))))</f>
        <v>-14.957240000000006</v>
      </c>
      <c r="C10059" t="n" s="0">
        <v>-14.95724</v>
      </c>
    </row>
    <row r="10060">
      <c r="A10060" t="n" s="0">
        <v>0.59</v>
      </c>
      <c r="B10060" t="n" s="0">
        <f>(-5-((((-5*(-5/((-5/(((-5*(0.59--5))-(-5+((-5*0.59)*(((-5--5)+(0.59--5))+0.59))))-(-5+-5)))*-5)))/-5)--5)+(-5*(((0.59*(0.59-(-5/-5)))*(0.59-(0.59/(-5*0.59))))-(-5/-5)))))</f>
        <v>-14.899305</v>
      </c>
      <c r="C10060" t="n" s="0">
        <v>-14.899305</v>
      </c>
    </row>
    <row r="10061">
      <c r="A10061" t="n" s="0">
        <v>0.6</v>
      </c>
      <c r="B10061" t="n" s="0">
        <f>(-5-((((-5*(-5/((-5/(((-5*(0.6--5))-(-5+((-5*0.6)*(((-5--5)+(0.6--5))+0.6))))-(-5+-5)))*-5)))/-5)--5)+(-5*(((0.6*(0.6-(-5/-5)))*(0.6-(0.6/(-5*0.6))))-(-5/-5)))))</f>
        <v>-14.84</v>
      </c>
      <c r="C10061" t="n" s="0">
        <v>-14.84</v>
      </c>
    </row>
    <row r="10062">
      <c r="A10062" t="n" s="0">
        <v>0.61</v>
      </c>
      <c r="B10062" t="n" s="0">
        <f>(-5-((((-5*(-5/((-5/(((-5*(0.61--5))-(-5+((-5*0.61)*(((-5--5)+(0.61--5))+0.61))))-(-5+-5)))*-5)))/-5)--5)+(-5*(((0.61*(0.61-(-5/-5)))*(0.61-(0.61/(-5*0.61))))-(-5/-5)))))</f>
        <v>-14.779295000000001</v>
      </c>
      <c r="C10062" t="n" s="0">
        <v>-14.779295000000001</v>
      </c>
    </row>
    <row r="10063">
      <c r="A10063" t="n" s="0">
        <v>0.62</v>
      </c>
      <c r="B10063" t="n" s="0">
        <f>(-5-((((-5*(-5/((-5/(((-5*(0.62--5))-(-5+((-5*0.62)*(((-5--5)+(0.62--5))+0.62))))-(-5+-5)))*-5)))/-5)--5)+(-5*(((0.62*(0.62-(-5/-5)))*(0.62-(0.62/(-5*0.62))))-(-5/-5)))))</f>
        <v>-14.71716</v>
      </c>
      <c r="C10063" t="n" s="0">
        <v>-14.71716</v>
      </c>
    </row>
    <row r="10064">
      <c r="A10064" t="n" s="0">
        <v>0.63</v>
      </c>
      <c r="B10064" t="n" s="0">
        <f>(-5-((((-5*(-5/((-5/(((-5*(0.63--5))-(-5+((-5*0.63)*(((-5--5)+(0.63--5))+0.63))))-(-5+-5)))*-5)))/-5)--5)+(-5*(((0.63*(0.63-(-5/-5)))*(0.63-(0.63/(-5*0.63))))-(-5/-5)))))</f>
        <v>-14.653565</v>
      </c>
      <c r="C10064" t="n" s="0">
        <v>-14.653565</v>
      </c>
    </row>
    <row r="10065">
      <c r="A10065" t="n" s="0">
        <v>0.64</v>
      </c>
      <c r="B10065" t="n" s="0">
        <f>(-5-((((-5*(-5/((-5/(((-5*(0.64--5))-(-5+((-5*0.64)*(((-5--5)+(0.64--5))+0.64))))-(-5+-5)))*-5)))/-5)--5)+(-5*(((0.64*(0.64-(-5/-5)))*(0.64-(0.64/(-5*0.64))))-(-5/-5)))))</f>
        <v>-14.58848</v>
      </c>
      <c r="C10065" t="n" s="0">
        <v>-14.58848</v>
      </c>
    </row>
    <row r="10066">
      <c r="A10066" t="n" s="0">
        <v>0.65</v>
      </c>
      <c r="B10066" t="n" s="0">
        <f>(-5-((((-5*(-5/((-5/(((-5*(0.65--5))-(-5+((-5*0.65)*(((-5--5)+(0.65--5))+0.65))))-(-5+-5)))*-5)))/-5)--5)+(-5*(((0.65*(0.65-(-5/-5)))*(0.65-(0.65/(-5*0.65))))-(-5/-5)))))</f>
        <v>-14.521875</v>
      </c>
      <c r="C10066" t="n" s="0">
        <v>-14.521875</v>
      </c>
    </row>
    <row r="10067">
      <c r="A10067" t="n" s="0">
        <v>0.66</v>
      </c>
      <c r="B10067" t="n" s="0">
        <f>(-5-((((-5*(-5/((-5/(((-5*(0.66--5))-(-5+((-5*0.66)*(((-5--5)+(0.66--5))+0.66))))-(-5+-5)))*-5)))/-5)--5)+(-5*(((0.66*(0.66-(-5/-5)))*(0.66-(0.66/(-5*0.66))))-(-5/-5)))))</f>
        <v>-14.45372</v>
      </c>
      <c r="C10067" t="n" s="0">
        <v>-14.45372</v>
      </c>
    </row>
    <row r="10068">
      <c r="A10068" t="n" s="0">
        <v>0.67</v>
      </c>
      <c r="B10068" t="n" s="0">
        <f>(-5-((((-5*(-5/((-5/(((-5*(0.67--5))-(-5+((-5*0.67)*(((-5--5)+(0.67--5))+0.67))))-(-5+-5)))*-5)))/-5)--5)+(-5*(((0.67*(0.67-(-5/-5)))*(0.67-(0.67/(-5*0.67))))-(-5/-5)))))</f>
        <v>-14.383985</v>
      </c>
      <c r="C10068" t="n" s="0">
        <v>-14.383985</v>
      </c>
    </row>
    <row r="10069">
      <c r="A10069" t="n" s="0">
        <v>0.68</v>
      </c>
      <c r="B10069" t="n" s="0">
        <f>(-5-((((-5*(-5/((-5/(((-5*(0.68--5))-(-5+((-5*0.68)*(((-5--5)+(0.68--5))+0.68))))-(-5+-5)))*-5)))/-5)--5)+(-5*(((0.68*(0.68-(-5/-5)))*(0.68-(0.68/(-5*0.68))))-(-5/-5)))))</f>
        <v>-14.31264</v>
      </c>
      <c r="C10069" t="n" s="0">
        <v>-14.31264</v>
      </c>
    </row>
    <row r="10070">
      <c r="A10070" t="n" s="0">
        <v>0.69</v>
      </c>
      <c r="B10070" t="n" s="0">
        <f>(-5-((((-5*(-5/((-5/(((-5*(0.69--5))-(-5+((-5*0.69)*(((-5--5)+(0.69--5))+0.69))))-(-5+-5)))*-5)))/-5)--5)+(-5*(((0.69*(0.69-(-5/-5)))*(0.69-(0.69/(-5*0.69))))-(-5/-5)))))</f>
        <v>-14.239654999999999</v>
      </c>
      <c r="C10070" t="n" s="0">
        <v>-14.239655</v>
      </c>
    </row>
    <row r="10071">
      <c r="A10071" t="n" s="0">
        <v>0.7</v>
      </c>
      <c r="B10071" t="n" s="0">
        <f>(-5-((((-5*(-5/((-5/(((-5*(0.7--5))-(-5+((-5*0.7)*(((-5--5)+(0.7--5))+0.7))))-(-5+-5)))*-5)))/-5)--5)+(-5*(((0.7*(0.7-(-5/-5)))*(0.7-(0.7/(-5*0.7))))-(-5/-5)))))</f>
        <v>-14.165</v>
      </c>
      <c r="C10071" t="n" s="0">
        <v>-14.165000000000001</v>
      </c>
    </row>
    <row r="10072">
      <c r="A10072" t="n" s="0">
        <v>0.71</v>
      </c>
      <c r="B10072" t="n" s="0">
        <f>(-5-((((-5*(-5/((-5/(((-5*(0.71--5))-(-5+((-5*0.71)*(((-5--5)+(0.71--5))+0.71))))-(-5+-5)))*-5)))/-5)--5)+(-5*(((0.71*(0.71-(-5/-5)))*(0.71-(0.71/(-5*0.71))))-(-5/-5)))))</f>
        <v>-14.088645</v>
      </c>
      <c r="C10072" t="n" s="0">
        <v>-14.088645</v>
      </c>
    </row>
    <row r="10073">
      <c r="A10073" t="n" s="0">
        <v>0.72</v>
      </c>
      <c r="B10073" t="n" s="0">
        <f>(-5-((((-5*(-5/((-5/(((-5*(0.72--5))-(-5+((-5*0.72)*(((-5--5)+(0.72--5))+0.72))))-(-5+-5)))*-5)))/-5)--5)+(-5*(((0.72*(0.72-(-5/-5)))*(0.72-(0.72/(-5*0.72))))-(-5/-5)))))</f>
        <v>-14.01056</v>
      </c>
      <c r="C10073" t="n" s="0">
        <v>-14.01056</v>
      </c>
    </row>
    <row r="10074">
      <c r="A10074" t="n" s="0">
        <v>0.73</v>
      </c>
      <c r="B10074" t="n" s="0">
        <f>(-5-((((-5*(-5/((-5/(((-5*(0.73--5))-(-5+((-5*0.73)*(((-5--5)+(0.73--5))+0.73))))-(-5+-5)))*-5)))/-5)--5)+(-5*(((0.73*(0.73-(-5/-5)))*(0.73-(0.73/(-5*0.73))))-(-5/-5)))))</f>
        <v>-13.930715</v>
      </c>
      <c r="C10074" t="n" s="0">
        <v>-13.930715</v>
      </c>
    </row>
    <row r="10075">
      <c r="A10075" t="n" s="0">
        <v>0.74</v>
      </c>
      <c r="B10075" t="n" s="0">
        <f>(-5-((((-5*(-5/((-5/(((-5*(0.74--5))-(-5+((-5*0.74)*(((-5--5)+(0.74--5))+0.74))))-(-5+-5)))*-5)))/-5)--5)+(-5*(((0.74*(0.74-(-5/-5)))*(0.74-(0.74/(-5*0.74))))-(-5/-5)))))</f>
        <v>-13.84908</v>
      </c>
      <c r="C10075" t="n" s="0">
        <v>-13.84908</v>
      </c>
    </row>
    <row r="10076">
      <c r="A10076" t="n" s="0">
        <v>0.75</v>
      </c>
      <c r="B10076" t="n" s="0">
        <f>(-5-((((-5*(-5/((-5/(((-5*(0.75--5))-(-5+((-5*0.75)*(((-5--5)+(0.75--5))+0.75))))-(-5+-5)))*-5)))/-5)--5)+(-5*(((0.75*(0.75-(-5/-5)))*(0.75-(0.75/(-5*0.75))))-(-5/-5)))))</f>
        <v>-13.765625</v>
      </c>
      <c r="C10076" t="n" s="0">
        <v>-13.765625</v>
      </c>
    </row>
    <row r="10077">
      <c r="A10077" t="n" s="0">
        <v>0.76</v>
      </c>
      <c r="B10077" t="n" s="0">
        <f>(-5-((((-5*(-5/((-5/(((-5*(0.76--5))-(-5+((-5*0.76)*(((-5--5)+(0.76--5))+0.76))))-(-5+-5)))*-5)))/-5)--5)+(-5*(((0.76*(0.76-(-5/-5)))*(0.76-(0.76/(-5*0.76))))-(-5/-5)))))</f>
        <v>-13.68032</v>
      </c>
      <c r="C10077" t="n" s="0">
        <v>-13.680319999999998</v>
      </c>
    </row>
    <row r="10078">
      <c r="A10078" t="n" s="0">
        <v>0.77</v>
      </c>
      <c r="B10078" t="n" s="0">
        <f>(-5-((((-5*(-5/((-5/(((-5*(0.77--5))-(-5+((-5*0.77)*(((-5--5)+(0.77--5))+0.77))))-(-5+-5)))*-5)))/-5)--5)+(-5*(((0.77*(0.77-(-5/-5)))*(0.77-(0.77/(-5*0.77))))-(-5/-5)))))</f>
        <v>-13.593135</v>
      </c>
      <c r="C10078" t="n" s="0">
        <v>-13.593135</v>
      </c>
    </row>
    <row r="10079">
      <c r="A10079" t="n" s="0">
        <v>0.78</v>
      </c>
      <c r="B10079" t="n" s="0">
        <f>(-5-((((-5*(-5/((-5/(((-5*(0.78--5))-(-5+((-5*0.78)*(((-5--5)+(0.78--5))+0.78))))-(-5+-5)))*-5)))/-5)--5)+(-5*(((0.78*(0.78-(-5/-5)))*(0.78-(0.78/(-5*0.78))))-(-5/-5)))))</f>
        <v>-13.50404</v>
      </c>
      <c r="C10079" t="n" s="0">
        <v>-13.50404</v>
      </c>
    </row>
    <row r="10080">
      <c r="A10080" t="n" s="0">
        <v>0.79</v>
      </c>
      <c r="B10080" t="n" s="0">
        <f>(-5-((((-5*(-5/((-5/(((-5*(0.79--5))-(-5+((-5*0.79)*(((-5--5)+(0.79--5))+0.79))))-(-5+-5)))*-5)))/-5)--5)+(-5*(((0.79*(0.79-(-5/-5)))*(0.79-(0.79/(-5*0.79))))-(-5/-5)))))</f>
        <v>-13.413005</v>
      </c>
      <c r="C10080" t="n" s="0">
        <v>-13.413005</v>
      </c>
    </row>
    <row r="10081">
      <c r="A10081" t="n" s="0">
        <v>0.8</v>
      </c>
      <c r="B10081" t="n" s="0">
        <f>(-5-((((-5*(-5/((-5/(((-5*(0.8--5))-(-5+((-5*0.8)*(((-5--5)+(0.8--5))+0.8))))-(-5+-5)))*-5)))/-5)--5)+(-5*(((0.8*(0.8-(-5/-5)))*(0.8-(0.8/(-5*0.8))))-(-5/-5)))))</f>
        <v>-13.319999999999979</v>
      </c>
      <c r="C10081" t="n" s="0">
        <v>-13.32</v>
      </c>
    </row>
    <row r="10082">
      <c r="A10082" t="n" s="0">
        <v>0.81</v>
      </c>
      <c r="B10082" t="n" s="0">
        <f>(-5-((((-5*(-5/((-5/(((-5*(0.81--5))-(-5+((-5*0.81)*(((-5--5)+(0.81--5))+0.81))))-(-5+-5)))*-5)))/-5)--5)+(-5*(((0.81*(0.81-(-5/-5)))*(0.81-(0.81/(-5*0.81))))-(-5/-5)))))</f>
        <v>-13.224995</v>
      </c>
      <c r="C10082" t="n" s="0">
        <v>-13.224995</v>
      </c>
    </row>
    <row r="10083">
      <c r="A10083" t="n" s="0">
        <v>0.82</v>
      </c>
      <c r="B10083" t="n" s="0">
        <f>(-5-((((-5*(-5/((-5/(((-5*(0.82--5))-(-5+((-5*0.82)*(((-5--5)+(0.82--5))+0.82))))-(-5+-5)))*-5)))/-5)--5)+(-5*(((0.82*(0.82-(-5/-5)))*(0.82-(0.82/(-5*0.82))))-(-5/-5)))))</f>
        <v>-13.12796</v>
      </c>
      <c r="C10083" t="n" s="0">
        <v>-13.12796</v>
      </c>
    </row>
    <row r="10084">
      <c r="A10084" t="n" s="0">
        <v>0.83</v>
      </c>
      <c r="B10084" t="n" s="0">
        <f>(-5-((((-5*(-5/((-5/(((-5*(0.83--5))-(-5+((-5*0.83)*(((-5--5)+(0.83--5))+0.83))))-(-5+-5)))*-5)))/-5)--5)+(-5*(((0.83*(0.83-(-5/-5)))*(0.83-(0.83/(-5*0.83))))-(-5/-5)))))</f>
        <v>-13.028865</v>
      </c>
      <c r="C10084" t="n" s="0">
        <v>-13.028865</v>
      </c>
    </row>
    <row r="10085">
      <c r="A10085" t="n" s="0">
        <v>0.84</v>
      </c>
      <c r="B10085" t="n" s="0">
        <f>(-5-((((-5*(-5/((-5/(((-5*(0.84--5))-(-5+((-5*0.84)*(((-5--5)+(0.84--5))+0.84))))-(-5+-5)))*-5)))/-5)--5)+(-5*(((0.84*(0.84-(-5/-5)))*(0.84-(0.84/(-5*0.84))))-(-5/-5)))))</f>
        <v>-12.92768</v>
      </c>
      <c r="C10085" t="n" s="0">
        <v>-12.92768</v>
      </c>
    </row>
    <row r="10086">
      <c r="A10086" t="n" s="0">
        <v>0.85</v>
      </c>
      <c r="B10086" t="n" s="0">
        <f>(-5-((((-5*(-5/((-5/(((-5*(0.85--5))-(-5+((-5*0.85)*(((-5--5)+(0.85--5))+0.85))))-(-5+-5)))*-5)))/-5)--5)+(-5*(((0.85*(0.85-(-5/-5)))*(0.85-(0.85/(-5*0.85))))-(-5/-5)))))</f>
        <v>-12.824375</v>
      </c>
      <c r="C10086" t="n" s="0">
        <v>-12.824375</v>
      </c>
    </row>
    <row r="10087">
      <c r="A10087" t="n" s="0">
        <v>0.86</v>
      </c>
      <c r="B10087" t="n" s="0">
        <f>(-5-((((-5*(-5/((-5/(((-5*(0.86--5))-(-5+((-5*0.86)*(((-5--5)+(0.86--5))+0.86))))-(-5+-5)))*-5)))/-5)--5)+(-5*(((0.86*(0.86-(-5/-5)))*(0.86-(0.86/(-5*0.86))))-(-5/-5)))))</f>
        <v>-12.71892</v>
      </c>
      <c r="C10087" t="n" s="0">
        <v>-12.71892</v>
      </c>
    </row>
    <row r="10088">
      <c r="A10088" t="n" s="0">
        <v>0.87</v>
      </c>
      <c r="B10088" t="n" s="0">
        <f>(-5-((((-5*(-5/((-5/(((-5*(0.87--5))-(-5+((-5*0.87)*(((-5--5)+(0.87--5))+0.87))))-(-5+-5)))*-5)))/-5)--5)+(-5*(((0.87*(0.87-(-5/-5)))*(0.87-(0.87/(-5*0.87))))-(-5/-5)))))</f>
        <v>-12.611285</v>
      </c>
      <c r="C10088" t="n" s="0">
        <v>-12.611285</v>
      </c>
    </row>
    <row r="10089">
      <c r="A10089" t="n" s="0">
        <v>0.88</v>
      </c>
      <c r="B10089" t="n" s="0">
        <f>(-5-((((-5*(-5/((-5/(((-5*(0.88--5))-(-5+((-5*0.88)*(((-5--5)+(0.88--5))+0.88))))-(-5+-5)))*-5)))/-5)--5)+(-5*(((0.88*(0.88-(-5/-5)))*(0.88-(0.88/(-5*0.88))))-(-5/-5)))))</f>
        <v>-12.50144</v>
      </c>
      <c r="C10089" t="n" s="0">
        <v>-12.50144</v>
      </c>
    </row>
    <row r="10090">
      <c r="A10090" t="n" s="0">
        <v>0.89</v>
      </c>
      <c r="B10090" t="n" s="0">
        <f>(-5-((((-5*(-5/((-5/(((-5*(0.89--5))-(-5+((-5*0.89)*(((-5--5)+(0.89--5))+0.89))))-(-5+-5)))*-5)))/-5)--5)+(-5*(((0.89*(0.89-(-5/-5)))*(0.89-(0.89/(-5*0.89))))-(-5/-5)))))</f>
        <v>-12.389355</v>
      </c>
      <c r="C10090" t="n" s="0">
        <v>-12.389355</v>
      </c>
    </row>
    <row r="10091">
      <c r="A10091" t="n" s="0">
        <v>0.9</v>
      </c>
      <c r="B10091" t="n" s="0">
        <f>(-5-((((-5*(-5/((-5/(((-5*(0.9--5))-(-5+((-5*0.9)*(((-5--5)+(0.9--5))+0.9))))-(-5+-5)))*-5)))/-5)--5)+(-5*(((0.9*(0.9-(-5/-5)))*(0.9-(0.9/(-5*0.9))))-(-5/-5)))))</f>
        <v>-12.275</v>
      </c>
      <c r="C10091" t="n" s="0">
        <v>-12.274999999999999</v>
      </c>
    </row>
    <row r="10092">
      <c r="A10092" t="n" s="0">
        <v>0.91</v>
      </c>
      <c r="B10092" t="n" s="0">
        <f>(-5-((((-5*(-5/((-5/(((-5*(0.91--5))-(-5+((-5*0.91)*(((-5--5)+(0.91--5))+0.91))))-(-5+-5)))*-5)))/-5)--5)+(-5*(((0.91*(0.91-(-5/-5)))*(0.91-(0.91/(-5*0.91))))-(-5/-5)))))</f>
        <v>-12.15834500000002</v>
      </c>
      <c r="C10092" t="n" s="0">
        <v>-12.158345</v>
      </c>
    </row>
    <row r="10093">
      <c r="A10093" t="n" s="0">
        <v>0.92</v>
      </c>
      <c r="B10093" t="n" s="0">
        <f>(-5-((((-5*(-5/((-5/(((-5*(0.92--5))-(-5+((-5*0.92)*(((-5--5)+(0.92--5))+0.92))))-(-5+-5)))*-5)))/-5)--5)+(-5*(((0.92*(0.92-(-5/-5)))*(0.92-(0.92/(-5*0.92))))-(-5/-5)))))</f>
        <v>-12.03936</v>
      </c>
      <c r="C10093" t="n" s="0">
        <v>-12.03936</v>
      </c>
    </row>
    <row r="10094">
      <c r="A10094" t="n" s="0">
        <v>0.93</v>
      </c>
      <c r="B10094" t="n" s="0">
        <f>(-5-((((-5*(-5/((-5/(((-5*(0.93--5))-(-5+((-5*0.93)*(((-5--5)+(0.93--5))+0.93))))-(-5+-5)))*-5)))/-5)--5)+(-5*(((0.93*(0.93-(-5/-5)))*(0.93-(0.93/(-5*0.93))))-(-5/-5)))))</f>
        <v>-11.91801500000002</v>
      </c>
      <c r="C10094" t="n" s="0">
        <v>-11.918015</v>
      </c>
    </row>
    <row r="10095">
      <c r="A10095" t="n" s="0">
        <v>0.94</v>
      </c>
      <c r="B10095" t="n" s="0">
        <f>(-5-((((-5*(-5/((-5/(((-5*(0.94--5))-(-5+((-5*0.94)*(((-5--5)+(0.94--5))+0.94))))-(-5+-5)))*-5)))/-5)--5)+(-5*(((0.94*(0.94-(-5/-5)))*(0.94-(0.94/(-5*0.94))))-(-5/-5)))))</f>
        <v>-11.79428</v>
      </c>
      <c r="C10095" t="n" s="0">
        <v>-11.79428</v>
      </c>
    </row>
    <row r="10096">
      <c r="A10096" t="n" s="0">
        <v>0.95</v>
      </c>
      <c r="B10096" t="n" s="0">
        <f>(-5-((((-5*(-5/((-5/(((-5*(0.95--5))-(-5+((-5*0.95)*(((-5--5)+(0.95--5))+0.95))))-(-5+-5)))*-5)))/-5)--5)+(-5*(((0.95*(0.95-(-5/-5)))*(0.95-(0.95/(-5*0.95))))-(-5/-5)))))</f>
        <v>-11.668125000000021</v>
      </c>
      <c r="C10096" t="n" s="0">
        <v>-11.668125</v>
      </c>
    </row>
    <row r="10097">
      <c r="A10097" t="n" s="0">
        <v>0.96</v>
      </c>
      <c r="B10097" t="n" s="0">
        <f>(-5-((((-5*(-5/((-5/(((-5*(0.96--5))-(-5+((-5*0.96)*(((-5--5)+(0.96--5))+0.96))))-(-5+-5)))*-5)))/-5)--5)+(-5*(((0.96*(0.96-(-5/-5)))*(0.96-(0.96/(-5*0.96))))-(-5/-5)))))</f>
        <v>-11.53951999999998</v>
      </c>
      <c r="C10097" t="n" s="0">
        <v>-11.539520000000001</v>
      </c>
    </row>
    <row r="10098">
      <c r="A10098" t="n" s="0">
        <v>0.97</v>
      </c>
      <c r="B10098" t="n" s="0">
        <f>(-5-((((-5*(-5/((-5/(((-5*(0.97--5))-(-5+((-5*0.97)*(((-5--5)+(0.97--5))+0.97))))-(-5+-5)))*-5)))/-5)--5)+(-5*(((0.97*(0.97-(-5/-5)))*(0.97-(0.97/(-5*0.97))))-(-5/-5)))))</f>
        <v>-11.40843499999998</v>
      </c>
      <c r="C10098" t="n" s="0">
        <v>-11.408435</v>
      </c>
    </row>
    <row r="10099">
      <c r="A10099" t="n" s="0">
        <v>0.98</v>
      </c>
      <c r="B10099" t="n" s="0">
        <f>(-5-((((-5*(-5/((-5/(((-5*(0.98--5))-(-5+((-5*0.98)*(((-5--5)+(0.98--5))+0.98))))-(-5+-5)))*-5)))/-5)--5)+(-5*(((0.98*(0.98-(-5/-5)))*(0.98-(0.98/(-5*0.98))))-(-5/-5)))))</f>
        <v>-11.27483999999998</v>
      </c>
      <c r="C10099" t="n" s="0">
        <v>-11.274840000000001</v>
      </c>
    </row>
    <row r="10100">
      <c r="A10100" t="n" s="0">
        <v>0.99</v>
      </c>
      <c r="B10100" t="n" s="0">
        <f>(-5-((((-5*(-5/((-5/(((-5*(0.99--5))-(-5+((-5*0.99)*(((-5--5)+(0.99--5))+0.99))))-(-5+-5)))*-5)))/-5)--5)+(-5*(((0.99*(0.99-(-5/-5)))*(0.99-(0.99/(-5*0.99))))-(-5/-5)))))</f>
        <v>-11.138705</v>
      </c>
      <c r="C10100" t="n" s="0">
        <v>-11.138705</v>
      </c>
    </row>
    <row r="10101">
      <c r="A10101" t="n" s="0">
        <v>1.0</v>
      </c>
      <c r="B10101" t="n" s="0">
        <f>(-5-((((-5*(-5/((-5/(((-5*(1--5))-(-5+((-5*1)*(((-5--5)+(1--5))+1))))-(-5+-5)))*-5)))/-5)--5)+(-5*(((1*(1-(-5/-5)))*(1-(1/(-5*1))))-(-5/-5)))))</f>
        <v>-11.0</v>
      </c>
      <c r="C10101" t="n" s="0">
        <v>-11.0</v>
      </c>
    </row>
    <row r="10102">
      <c r="A10102" t="n" s="0">
        <v>1.01</v>
      </c>
      <c r="B10102" t="n" s="0">
        <f>(-5-((((-5*(-5/((-5/(((-5*(1.01--5))-(-5+((-5*1.01)*(((-5--5)+(1.01--5))+1.01))))-(-5+-5)))*-5)))/-5)--5)+(-5*(((1.01*(1.01-(-5/-5)))*(1.01-(1.01/(-5*1.01))))-(-5/-5)))))</f>
        <v>-10.858695</v>
      </c>
      <c r="C10102" t="n" s="0">
        <v>-10.858694999999999</v>
      </c>
    </row>
    <row r="10103">
      <c r="A10103" t="n" s="0">
        <v>1.02</v>
      </c>
      <c r="B10103" t="n" s="0">
        <f>(-5-((((-5*(-5/((-5/(((-5*(1.02--5))-(-5+((-5*1.02)*(((-5--5)+(1.02--5))+1.02))))-(-5+-5)))*-5)))/-5)--5)+(-5*(((1.02*(1.02-(-5/-5)))*(1.02-(1.02/(-5*1.02))))-(-5/-5)))))</f>
        <v>-10.71476</v>
      </c>
      <c r="C10103" t="n" s="0">
        <v>-10.714759999999998</v>
      </c>
    </row>
    <row r="10104">
      <c r="A10104" t="n" s="0">
        <v>1.03</v>
      </c>
      <c r="B10104" t="n" s="0">
        <f>(-5-((((-5*(-5/((-5/(((-5*(1.03--5))-(-5+((-5*1.03)*(((-5--5)+(1.03--5))+1.03))))-(-5+-5)))*-5)))/-5)--5)+(-5*(((1.03*(1.03-(-5/-5)))*(1.03-(1.03/(-5*1.03))))-(-5/-5)))))</f>
        <v>-10.56816500000002</v>
      </c>
      <c r="C10104" t="n" s="0">
        <v>-10.568165</v>
      </c>
    </row>
    <row r="10105">
      <c r="A10105" t="n" s="0">
        <v>1.04</v>
      </c>
      <c r="B10105" t="n" s="0">
        <f>(-5-((((-5*(-5/((-5/(((-5*(1.04--5))-(-5+((-5*1.04)*(((-5--5)+(1.04--5))+1.04))))-(-5+-5)))*-5)))/-5)--5)+(-5*(((1.04*(1.04-(-5/-5)))*(1.04-(1.04/(-5*1.04))))-(-5/-5)))))</f>
        <v>-10.41888000000002</v>
      </c>
      <c r="C10105" t="n" s="0">
        <v>-10.41888</v>
      </c>
    </row>
    <row r="10106">
      <c r="A10106" t="n" s="0">
        <v>1.05</v>
      </c>
      <c r="B10106" t="n" s="0">
        <f>(-5-((((-5*(-5/((-5/(((-5*(1.05--5))-(-5+((-5*1.05)*(((-5--5)+(1.05--5))+1.05))))-(-5+-5)))*-5)))/-5)--5)+(-5*(((1.05*(1.05-(-5/-5)))*(1.05-(1.05/(-5*1.05))))-(-5/-5)))))</f>
        <v>-10.26687499999996</v>
      </c>
      <c r="C10106" t="n" s="0">
        <v>-10.266874999999999</v>
      </c>
    </row>
    <row r="10107">
      <c r="A10107" t="n" s="0">
        <v>1.06</v>
      </c>
      <c r="B10107" t="n" s="0">
        <f>(-5-((((-5*(-5/((-5/(((-5*(1.06--5))-(-5+((-5*1.06)*(((-5--5)+(1.06--5))+1.06))))-(-5+-5)))*-5)))/-5)--5)+(-5*(((1.06*(1.06-(-5/-5)))*(1.06-(1.06/(-5*1.06))))-(-5/-5)))))</f>
        <v>-10.11212</v>
      </c>
      <c r="C10107" t="n" s="0">
        <v>-10.112119999999999</v>
      </c>
    </row>
    <row r="10108">
      <c r="A10108" t="n" s="0">
        <v>1.07</v>
      </c>
      <c r="B10108" t="n" s="0">
        <f>(-5-((((-5*(-5/((-5/(((-5*(1.07--5))-(-5+((-5*1.07)*(((-5--5)+(1.07--5))+1.07))))-(-5+-5)))*-5)))/-5)--5)+(-5*(((1.07*(1.07-(-5/-5)))*(1.07-(1.07/(-5*1.07))))-(-5/-5)))))</f>
        <v>-9.95458499999998</v>
      </c>
      <c r="C10108" t="n" s="0">
        <v>-9.954585</v>
      </c>
    </row>
    <row r="10109">
      <c r="A10109" t="n" s="0">
        <v>1.08</v>
      </c>
      <c r="B10109" t="n" s="0">
        <f>(-5-((((-5*(-5/((-5/(((-5*(1.08--5))-(-5+((-5*1.08)*(((-5--5)+(1.08--5))+1.08))))-(-5+-5)))*-5)))/-5)--5)+(-5*(((1.08*(1.08-(-5/-5)))*(1.08-(1.08/(-5*1.08))))-(-5/-5)))))</f>
        <v>-9.79424</v>
      </c>
      <c r="C10109" t="n" s="0">
        <v>-9.794239999999999</v>
      </c>
    </row>
    <row r="10110">
      <c r="A10110" t="n" s="0">
        <v>1.09</v>
      </c>
      <c r="B10110" t="n" s="0">
        <f>(-5-((((-5*(-5/((-5/(((-5*(1.09--5))-(-5+((-5*1.09)*(((-5--5)+(1.09--5))+1.09))))-(-5+-5)))*-5)))/-5)--5)+(-5*(((1.09*(1.09-(-5/-5)))*(1.09-(1.09/(-5*1.09))))-(-5/-5)))))</f>
        <v>-9.631055</v>
      </c>
      <c r="C10110" t="n" s="0">
        <v>-9.631055</v>
      </c>
    </row>
    <row r="10111">
      <c r="A10111" t="n" s="0">
        <v>1.1</v>
      </c>
      <c r="B10111" t="n" s="0">
        <f>(-5-((((-5*(-5/((-5/(((-5*(1.1--5))-(-5+((-5*1.1)*(((-5--5)+(1.1--5))+1.1))))-(-5+-5)))*-5)))/-5)--5)+(-5*(((1.1*(1.1-(-5/-5)))*(1.1-(1.1/(-5*1.1))))-(-5/-5)))))</f>
        <v>-9.465</v>
      </c>
      <c r="C10111" t="n" s="0">
        <v>-9.464999999999998</v>
      </c>
    </row>
    <row r="10112">
      <c r="A10112" t="n" s="0">
        <v>1.11</v>
      </c>
      <c r="B10112" t="n" s="0">
        <f>(-5-((((-5*(-5/((-5/(((-5*(1.11--5))-(-5+((-5*1.11)*(((-5--5)+(1.11--5))+1.11))))-(-5+-5)))*-5)))/-5)--5)+(-5*(((1.11*(1.11-(-5/-5)))*(1.11-(1.11/(-5*1.11))))-(-5/-5)))))</f>
        <v>-9.29604499999998</v>
      </c>
      <c r="C10112" t="n" s="0">
        <v>-9.296045</v>
      </c>
    </row>
    <row r="10113">
      <c r="A10113" t="n" s="0">
        <v>1.12</v>
      </c>
      <c r="B10113" t="n" s="0">
        <f>(-5-((((-5*(-5/((-5/(((-5*(1.12--5))-(-5+((-5*1.12)*(((-5--5)+(1.12--5))+1.12))))-(-5+-5)))*-5)))/-5)--5)+(-5*(((1.12*(1.12-(-5/-5)))*(1.12-(1.12/(-5*1.12))))-(-5/-5)))))</f>
        <v>-9.12415999999998</v>
      </c>
      <c r="C10113" t="n" s="0">
        <v>-9.12416</v>
      </c>
    </row>
    <row r="10114">
      <c r="A10114" t="n" s="0">
        <v>1.13</v>
      </c>
      <c r="B10114" t="n" s="0">
        <f>(-5-((((-5*(-5/((-5/(((-5*(1.13--5))-(-5+((-5*1.13)*(((-5--5)+(1.13--5))+1.13))))-(-5+-5)))*-5)))/-5)--5)+(-5*(((1.13*(1.13-(-5/-5)))*(1.13-(1.13/(-5*1.13))))-(-5/-5)))))</f>
        <v>-8.949314999999999</v>
      </c>
      <c r="C10114" t="n" s="0">
        <v>-8.949315000000002</v>
      </c>
    </row>
    <row r="10115">
      <c r="A10115" t="n" s="0">
        <v>1.14</v>
      </c>
      <c r="B10115" t="n" s="0">
        <f>(-5-((((-5*(-5/((-5/(((-5*(1.14--5))-(-5+((-5*1.14)*(((-5--5)+(1.14--5))+1.14))))-(-5+-5)))*-5)))/-5)--5)+(-5*(((1.14*(1.14-(-5/-5)))*(1.14-(1.14/(-5*1.14))))-(-5/-5)))))</f>
        <v>-8.77148000000002</v>
      </c>
      <c r="C10115" t="n" s="0">
        <v>-8.771480000000002</v>
      </c>
    </row>
    <row r="10116">
      <c r="A10116" t="n" s="0">
        <v>1.15</v>
      </c>
      <c r="B10116" t="n" s="0">
        <f>(-5-((((-5*(-5/((-5/(((-5*(1.15--5))-(-5+((-5*1.15)*(((-5--5)+(1.15--5))+1.15))))-(-5+-5)))*-5)))/-5)--5)+(-5*(((1.15*(1.15-(-5/-5)))*(1.15-(1.15/(-5*1.15))))-(-5/-5)))))</f>
        <v>-8.590625</v>
      </c>
      <c r="C10116" t="n" s="0">
        <v>-8.590625000000001</v>
      </c>
    </row>
    <row r="10117">
      <c r="A10117" t="n" s="0">
        <v>1.16</v>
      </c>
      <c r="B10117" t="n" s="0">
        <f>(-5-((((-5*(-5/((-5/(((-5*(1.16--5))-(-5+((-5*1.16)*(((-5--5)+(1.16--5))+1.16))))-(-5+-5)))*-5)))/-5)--5)+(-5*(((1.16*(1.16-(-5/-5)))*(1.16-(1.16/(-5*1.16))))-(-5/-5)))))</f>
        <v>-8.40672000000002</v>
      </c>
      <c r="C10117" t="n" s="0">
        <v>-8.406720000000004</v>
      </c>
    </row>
    <row r="10118">
      <c r="A10118" t="n" s="0">
        <v>1.17</v>
      </c>
      <c r="B10118" t="n" s="0">
        <f>(-5-((((-5*(-5/((-5/(((-5*(1.17--5))-(-5+((-5*1.17)*(((-5--5)+(1.17--5))+1.17))))-(-5+-5)))*-5)))/-5)--5)+(-5*(((1.17*(1.17-(-5/-5)))*(1.17-(1.17/(-5*1.17))))-(-5/-5)))))</f>
        <v>-8.21973500000002</v>
      </c>
      <c r="C10118" t="n" s="0">
        <v>-8.219735000000002</v>
      </c>
    </row>
    <row r="10119">
      <c r="A10119" t="n" s="0">
        <v>1.18</v>
      </c>
      <c r="B10119" t="n" s="0">
        <f>(-5-((((-5*(-5/((-5/(((-5*(1.18--5))-(-5+((-5*1.18)*(((-5--5)+(1.18--5))+1.18))))-(-5+-5)))*-5)))/-5)--5)+(-5*(((1.18*(1.18-(-5/-5)))*(1.18-(1.18/(-5*1.18))))-(-5/-5)))))</f>
        <v>-8.02964</v>
      </c>
      <c r="C10119" t="n" s="0">
        <v>-8.02964</v>
      </c>
    </row>
    <row r="10120">
      <c r="A10120" t="n" s="0">
        <v>1.19</v>
      </c>
      <c r="B10120" t="n" s="0">
        <f>(-5-((((-5*(-5/((-5/(((-5*(1.19--5))-(-5+((-5*1.19)*(((-5--5)+(1.19--5))+1.19))))-(-5+-5)))*-5)))/-5)--5)+(-5*(((1.19*(1.19-(-5/-5)))*(1.19-(1.19/(-5*1.19))))-(-5/-5)))))</f>
        <v>-7.836405</v>
      </c>
      <c r="C10120" t="n" s="0">
        <v>-7.836405000000001</v>
      </c>
    </row>
    <row r="10121">
      <c r="A10121" t="n" s="0">
        <v>1.2</v>
      </c>
      <c r="B10121" t="n" s="0">
        <f>(-5-((((-5*(-5/((-5/(((-5*(1.2--5))-(-5+((-5*1.2)*(((-5--5)+(1.2--5))+1.2))))-(-5+-5)))*-5)))/-5)--5)+(-5*(((1.2*(1.2-(-5/-5)))*(1.2-(1.2/(-5*1.2))))-(-5/-5)))))</f>
        <v>-7.640000000000001</v>
      </c>
      <c r="C10121" t="n" s="0">
        <v>-7.640000000000001</v>
      </c>
    </row>
    <row r="10122">
      <c r="A10122" t="n" s="0">
        <v>1.21</v>
      </c>
      <c r="B10122" t="n" s="0">
        <f>(-5-((((-5*(-5/((-5/(((-5*(1.21--5))-(-5+((-5*1.21)*(((-5--5)+(1.21--5))+1.21))))-(-5+-5)))*-5)))/-5)--5)+(-5*(((1.21*(1.21-(-5/-5)))*(1.21-(1.21/(-5*1.21))))-(-5/-5)))))</f>
        <v>-7.440395</v>
      </c>
      <c r="C10122" t="n" s="0">
        <v>-7.440395000000002</v>
      </c>
    </row>
    <row r="10123">
      <c r="A10123" t="n" s="0">
        <v>1.22</v>
      </c>
      <c r="B10123" t="n" s="0">
        <f>(-5-((((-5*(-5/((-5/(((-5*(1.22--5))-(-5+((-5*1.22)*(((-5--5)+(1.22--5))+1.22))))-(-5+-5)))*-5)))/-5)--5)+(-5*(((1.22*(1.22-(-5/-5)))*(1.22-(1.22/(-5*1.22))))-(-5/-5)))))</f>
        <v>-7.23756</v>
      </c>
      <c r="C10123" t="n" s="0">
        <v>-7.237560000000002</v>
      </c>
    </row>
    <row r="10124">
      <c r="A10124" t="n" s="0">
        <v>1.23</v>
      </c>
      <c r="B10124" t="n" s="0">
        <f>(-5-((((-5*(-5/((-5/(((-5*(1.23--5))-(-5+((-5*1.23)*(((-5--5)+(1.23--5))+1.23))))-(-5+-5)))*-5)))/-5)--5)+(-5*(((1.23*(1.23-(-5/-5)))*(1.23-(1.23/(-5*1.23))))-(-5/-5)))))</f>
        <v>-7.031465</v>
      </c>
      <c r="C10124" t="n" s="0">
        <v>-7.0314650000000025</v>
      </c>
    </row>
    <row r="10125">
      <c r="A10125" t="n" s="0">
        <v>1.24</v>
      </c>
      <c r="B10125" t="n" s="0">
        <f>(-5-((((-5*(-5/((-5/(((-5*(1.24--5))-(-5+((-5*1.24)*(((-5--5)+(1.24--5))+1.24))))-(-5+-5)))*-5)))/-5)--5)+(-5*(((1.24*(1.24-(-5/-5)))*(1.24-(1.24/(-5*1.24))))-(-5/-5)))))</f>
        <v>-6.82208</v>
      </c>
      <c r="C10125" t="n" s="0">
        <v>-6.82208</v>
      </c>
    </row>
    <row r="10126">
      <c r="A10126" t="n" s="0">
        <v>1.25</v>
      </c>
      <c r="B10126" t="n" s="0">
        <f>(-5-((((-5*(-5/((-5/(((-5*(1.25--5))-(-5+((-5*1.25)*(((-5--5)+(1.25--5))+1.25))))-(-5+-5)))*-5)))/-5)--5)+(-5*(((1.25*(1.25-(-5/-5)))*(1.25-(1.25/(-5*1.25))))-(-5/-5)))))</f>
        <v>-6.609375</v>
      </c>
      <c r="C10126" t="n" s="0">
        <v>-6.609375</v>
      </c>
    </row>
    <row r="10127">
      <c r="A10127" t="n" s="0">
        <v>1.26</v>
      </c>
      <c r="B10127" t="n" s="0">
        <f>(-5-((((-5*(-5/((-5/(((-5*(1.26--5))-(-5+((-5*1.26)*(((-5--5)+(1.26--5))+1.26))))-(-5+-5)))*-5)))/-5)--5)+(-5*(((1.26*(1.26-(-5/-5)))*(1.26-(1.26/(-5*1.26))))-(-5/-5)))))</f>
        <v>-6.393319999999999</v>
      </c>
      <c r="C10127" t="n" s="0">
        <v>-6.393319999999999</v>
      </c>
    </row>
    <row r="10128">
      <c r="A10128" t="n" s="0">
        <v>1.27</v>
      </c>
      <c r="B10128" t="n" s="0">
        <f>(-5-((((-5*(-5/((-5/(((-5*(1.27--5))-(-5+((-5*1.27)*(((-5--5)+(1.27--5))+1.27))))-(-5+-5)))*-5)))/-5)--5)+(-5*(((1.27*(1.27-(-5/-5)))*(1.27-(1.27/(-5*1.27))))-(-5/-5)))))</f>
        <v>-6.173885</v>
      </c>
      <c r="C10128" t="n" s="0">
        <v>-6.173884999999997</v>
      </c>
    </row>
    <row r="10129">
      <c r="A10129" t="n" s="0">
        <v>1.28</v>
      </c>
      <c r="B10129" t="n" s="0">
        <f>(-5-((((-5*(-5/((-5/(((-5*(1.28--5))-(-5+((-5*1.28)*(((-5--5)+(1.28--5))+1.28))))-(-5+-5)))*-5)))/-5)--5)+(-5*(((1.28*(1.28-(-5/-5)))*(1.28-(1.28/(-5*1.28))))-(-5/-5)))))</f>
        <v>-5.951040000000001</v>
      </c>
      <c r="C10129" t="n" s="0">
        <v>-5.951039999999997</v>
      </c>
    </row>
    <row r="10130">
      <c r="A10130" t="n" s="0">
        <v>1.29</v>
      </c>
      <c r="B10130" t="n" s="0">
        <f>(-5-((((-5*(-5/((-5/(((-5*(1.29--5))-(-5+((-5*1.29)*(((-5--5)+(1.29--5))+1.29))))-(-5+-5)))*-5)))/-5)--5)+(-5*(((1.29*(1.29-(-5/-5)))*(1.29-(1.29/(-5*1.29))))-(-5/-5)))))</f>
        <v>-5.724755</v>
      </c>
      <c r="C10130" t="n" s="0">
        <v>-5.724754999999998</v>
      </c>
    </row>
    <row r="10131">
      <c r="A10131" t="n" s="0">
        <v>1.3</v>
      </c>
      <c r="B10131" t="n" s="0">
        <f>(-5-((((-5*(-5/((-5/(((-5*(1.3--5))-(-5+((-5*1.3)*(((-5--5)+(1.3--5))+1.3))))-(-5+-5)))*-5)))/-5)--5)+(-5*(((1.3*(1.3-(-5/-5)))*(1.3-(1.3/(-5*1.3))))-(-5/-5)))))</f>
        <v>-5.4950000000000205</v>
      </c>
      <c r="C10131" t="n" s="0">
        <v>-5.495000000000001</v>
      </c>
    </row>
    <row r="10132">
      <c r="A10132" t="n" s="0">
        <v>1.31</v>
      </c>
      <c r="B10132" t="n" s="0">
        <f>(-5-((((-5*(-5/((-5/(((-5*(1.31--5))-(-5+((-5*1.31)*(((-5--5)+(1.31--5))+1.31))))-(-5+-5)))*-5)))/-5)--5)+(-5*(((1.31*(1.31-(-5/-5)))*(1.31-(1.31/(-5*1.31))))-(-5/-5)))))</f>
        <v>-5.2617449999999995</v>
      </c>
      <c r="C10132" t="n" s="0">
        <v>-5.2617449999999995</v>
      </c>
    </row>
    <row r="10133">
      <c r="A10133" t="n" s="0">
        <v>1.32</v>
      </c>
      <c r="B10133" t="n" s="0">
        <f>(-5-((((-5*(-5/((-5/(((-5*(1.32--5))-(-5+((-5*1.32)*(((-5--5)+(1.32--5))+1.32))))-(-5+-5)))*-5)))/-5)--5)+(-5*(((1.32*(1.32-(-5/-5)))*(1.32-(1.32/(-5*1.32))))-(-5/-5)))))</f>
        <v>-5.0249599999999806</v>
      </c>
      <c r="C10133" t="n" s="0">
        <v>-5.02496</v>
      </c>
    </row>
    <row r="10134">
      <c r="A10134" t="n" s="0">
        <v>1.33</v>
      </c>
      <c r="B10134" t="n" s="0">
        <f>(-5-((((-5*(-5/((-5/(((-5*(1.33--5))-(-5+((-5*1.33)*(((-5--5)+(1.33--5))+1.33))))-(-5+-5)))*-5)))/-5)--5)+(-5*(((1.33*(1.33-(-5/-5)))*(1.33-(1.33/(-5*1.33))))-(-5/-5)))))</f>
        <v>-4.784615</v>
      </c>
      <c r="C10134" t="n" s="0">
        <v>-4.784614999999997</v>
      </c>
    </row>
    <row r="10135">
      <c r="A10135" t="n" s="0">
        <v>1.34</v>
      </c>
      <c r="B10135" t="n" s="0">
        <f>(-5-((((-5*(-5/((-5/(((-5*(1.34--5))-(-5+((-5*1.34)*(((-5--5)+(1.34--5))+1.34))))-(-5+-5)))*-5)))/-5)--5)+(-5*(((1.34*(1.34-(-5/-5)))*(1.34-(1.34/(-5*1.34))))-(-5/-5)))))</f>
        <v>-4.5406799999999805</v>
      </c>
      <c r="C10135" t="n" s="0">
        <v>-4.540679999999998</v>
      </c>
    </row>
    <row r="10136">
      <c r="A10136" t="n" s="0">
        <v>1.35</v>
      </c>
      <c r="B10136" t="n" s="0">
        <f>(-5-((((-5*(-5/((-5/(((-5*(1.35--5))-(-5+((-5*1.35)*(((-5--5)+(1.35--5))+1.35))))-(-5+-5)))*-5)))/-5)--5)+(-5*(((1.35*(1.35-(-5/-5)))*(1.35-(1.35/(-5*1.35))))-(-5/-5)))))</f>
        <v>-4.293125</v>
      </c>
      <c r="C10136" t="n" s="0">
        <v>-4.293124999999996</v>
      </c>
    </row>
    <row r="10137">
      <c r="A10137" t="n" s="0">
        <v>1.36</v>
      </c>
      <c r="B10137" t="n" s="0">
        <f>(-5-((((-5*(-5/((-5/(((-5*(1.36--5))-(-5+((-5*1.36)*(((-5--5)+(1.36--5))+1.36))))-(-5+-5)))*-5)))/-5)--5)+(-5*(((1.36*(1.36-(-5/-5)))*(1.36-(1.36/(-5*1.36))))-(-5/-5)))))</f>
        <v>-4.04192</v>
      </c>
      <c r="C10137" t="n" s="0">
        <v>-4.041919999999999</v>
      </c>
    </row>
    <row r="10138">
      <c r="A10138" t="n" s="0">
        <v>1.37</v>
      </c>
      <c r="B10138" t="n" s="0">
        <f>(-5-((((-5*(-5/((-5/(((-5*(1.37--5))-(-5+((-5*1.37)*(((-5--5)+(1.37--5))+1.37))))-(-5+-5)))*-5)))/-5)--5)+(-5*(((1.37*(1.37-(-5/-5)))*(1.37-(1.37/(-5*1.37))))-(-5/-5)))))</f>
        <v>-3.7870350000000004</v>
      </c>
      <c r="C10138" t="n" s="0">
        <v>-3.787034999999996</v>
      </c>
    </row>
    <row r="10139">
      <c r="A10139" t="n" s="0">
        <v>1.38</v>
      </c>
      <c r="B10139" t="n" s="0">
        <f>(-5-((((-5*(-5/((-5/(((-5*(1.38--5))-(-5+((-5*1.38)*(((-5--5)+(1.38--5))+1.38))))-(-5+-5)))*-5)))/-5)--5)+(-5*(((1.38*(1.38-(-5/-5)))*(1.38-(1.38/(-5*1.38))))-(-5/-5)))))</f>
        <v>-3.52844</v>
      </c>
      <c r="C10139" t="n" s="0">
        <v>-3.5284400000000034</v>
      </c>
    </row>
    <row r="10140">
      <c r="A10140" t="n" s="0">
        <v>1.39</v>
      </c>
      <c r="B10140" t="n" s="0">
        <f>(-5-((((-5*(-5/((-5/(((-5*(1.39--5))-(-5+((-5*1.39)*(((-5--5)+(1.39--5))+1.39))))-(-5+-5)))*-5)))/-5)--5)+(-5*(((1.39*(1.39-(-5/-5)))*(1.39-(1.39/(-5*1.39))))-(-5/-5)))))</f>
        <v>-3.266105</v>
      </c>
      <c r="C10140" t="n" s="0">
        <v>-3.2661050000000014</v>
      </c>
    </row>
    <row r="10141">
      <c r="A10141" t="n" s="0">
        <v>1.4</v>
      </c>
      <c r="B10141" t="n" s="0">
        <f>(-5-((((-5*(-5/((-5/(((-5*(1.4--5))-(-5+((-5*1.4)*(((-5--5)+(1.4--5))+1.4))))-(-5+-5)))*-5)))/-5)--5)+(-5*(((1.4*(1.4-(-5/-5)))*(1.4-(1.4/(-5*1.4))))-(-5/-5)))))</f>
        <v>-2.99999999999998</v>
      </c>
      <c r="C10141" t="n" s="0">
        <v>-3.0000000000000036</v>
      </c>
    </row>
    <row r="10142">
      <c r="A10142" t="n" s="0">
        <v>1.41</v>
      </c>
      <c r="B10142" t="n" s="0">
        <f>(-5-((((-5*(-5/((-5/(((-5*(1.41--5))-(-5+((-5*1.41)*(((-5--5)+(1.41--5))+1.41))))-(-5+-5)))*-5)))/-5)--5)+(-5*(((1.41*(1.41-(-5/-5)))*(1.41-(1.41/(-5*1.41))))-(-5/-5)))))</f>
        <v>-2.7300949999999804</v>
      </c>
      <c r="C10142" t="n" s="0">
        <v>-2.7300949999999986</v>
      </c>
    </row>
    <row r="10143">
      <c r="A10143" t="n" s="0">
        <v>1.42</v>
      </c>
      <c r="B10143" t="n" s="0">
        <f>(-5-((((-5*(-5/((-5/(((-5*(1.42--5))-(-5+((-5*1.42)*(((-5--5)+(1.42--5))+1.42))))-(-5+-5)))*-5)))/-5)--5)+(-5*(((1.42*(1.42-(-5/-5)))*(1.42-(1.42/(-5*1.42))))-(-5/-5)))))</f>
        <v>-2.4563600000000005</v>
      </c>
      <c r="C10143" t="n" s="0">
        <v>-2.4563600000000037</v>
      </c>
    </row>
    <row r="10144">
      <c r="A10144" t="n" s="0">
        <v>1.43</v>
      </c>
      <c r="B10144" t="n" s="0">
        <f>(-5-((((-5*(-5/((-5/(((-5*(1.43--5))-(-5+((-5*1.43)*(((-5--5)+(1.43--5))+1.43))))-(-5+-5)))*-5)))/-5)--5)+(-5*(((1.43*(1.43-(-5/-5)))*(1.43-(1.43/(-5*1.43))))-(-5/-5)))))</f>
        <v>-2.1787650000000207</v>
      </c>
      <c r="C10144" t="n" s="0">
        <v>-2.178765000000002</v>
      </c>
    </row>
    <row r="10145">
      <c r="A10145" t="n" s="0">
        <v>1.44</v>
      </c>
      <c r="B10145" t="n" s="0">
        <f>(-5-((((-5*(-5/((-5/(((-5*(1.44--5))-(-5+((-5*1.44)*(((-5--5)+(1.44--5))+1.44))))-(-5+-5)))*-5)))/-5)--5)+(-5*(((1.44*(1.44-(-5/-5)))*(1.44-(1.44/(-5*1.44))))-(-5/-5)))))</f>
        <v>-1.8972800000000198</v>
      </c>
      <c r="C10145" t="n" s="0">
        <v>-1.8972800000000003</v>
      </c>
    </row>
    <row r="10146">
      <c r="A10146" t="n" s="0">
        <v>1.45</v>
      </c>
      <c r="B10146" t="n" s="0">
        <f>(-5-((((-5*(-5/((-5/(((-5*(1.45--5))-(-5+((-5*1.45)*(((-5--5)+(1.45--5))+1.45))))-(-5+-5)))*-5)))/-5)--5)+(-5*(((1.45*(1.45-(-5/-5)))*(1.45-(1.45/(-5*1.45))))-(-5/-5)))))</f>
        <v>-1.61187499999998</v>
      </c>
      <c r="C10146" t="n" s="0">
        <v>-1.6118750000000013</v>
      </c>
    </row>
    <row r="10147">
      <c r="A10147" t="n" s="0">
        <v>1.46</v>
      </c>
      <c r="B10147" t="n" s="0">
        <f>(-5-((((-5*(-5/((-5/(((-5*(1.46--5))-(-5+((-5*1.46)*(((-5--5)+(1.46--5))+1.46))))-(-5+-5)))*-5)))/-5)--5)+(-5*(((1.46*(1.46-(-5/-5)))*(1.46-(1.46/(-5*1.46))))-(-5/-5)))))</f>
        <v>-1.3225200000000203</v>
      </c>
      <c r="C10147" t="n" s="0">
        <v>-1.3225200000000008</v>
      </c>
    </row>
    <row r="10148">
      <c r="A10148" t="n" s="0">
        <v>1.47</v>
      </c>
      <c r="B10148" t="n" s="0">
        <f>(-5-((((-5*(-5/((-5/(((-5*(1.47--5))-(-5+((-5*1.47)*(((-5--5)+(1.47--5))+1.47))))-(-5+-5)))*-5)))/-5)--5)+(-5*(((1.47*(1.47-(-5/-5)))*(1.47-(1.47/(-5*1.47))))-(-5/-5)))))</f>
        <v>-1.0291850000000191</v>
      </c>
      <c r="C10148" t="n" s="0">
        <v>-1.029185</v>
      </c>
    </row>
    <row r="10149">
      <c r="A10149" t="n" s="0">
        <v>1.48</v>
      </c>
      <c r="B10149" t="n" s="0">
        <f>(-5-((((-5*(-5/((-5/(((-5*(1.48--5))-(-5+((-5*1.48)*(((-5--5)+(1.48--5))+1.48))))-(-5+-5)))*-5)))/-5)--5)+(-5*(((1.48*(1.48-(-5/-5)))*(1.48-(1.48/(-5*1.48))))-(-5/-5)))))</f>
        <v>-0.7318399999999796</v>
      </c>
      <c r="C10149" t="n" s="0">
        <v>-0.7318400000000054</v>
      </c>
    </row>
    <row r="10150">
      <c r="A10150" t="n" s="0">
        <v>1.49</v>
      </c>
      <c r="B10150" t="n" s="0">
        <f>(-5-((((-5*(-5/((-5/(((-5*(1.49--5))-(-5+((-5*1.49)*(((-5--5)+(1.49--5))+1.49))))-(-5+-5)))*-5)))/-5)--5)+(-5*(((1.49*(1.49-(-5/-5)))*(1.49-(1.49/(-5*1.49))))-(-5/-5)))))</f>
        <v>-0.43045500000003933</v>
      </c>
      <c r="C10150" t="n" s="0">
        <v>-0.43045500000000203</v>
      </c>
    </row>
    <row r="10151">
      <c r="A10151" t="n" s="0">
        <v>1.5</v>
      </c>
      <c r="B10151" t="n" s="0">
        <f>(-5-((((-5*(-5/((-5/(((-5*(1.5--5))-(-5+((-5*1.5)*(((-5--5)+(1.5--5))+1.5))))-(-5+-5)))*-5)))/-5)--5)+(-5*(((1.5*(1.5-(-5/-5)))*(1.5-(1.5/(-5*1.5))))-(-5/-5)))))</f>
        <v>-0.12499999999998046</v>
      </c>
      <c r="C10151" t="n" s="0">
        <v>-0.125</v>
      </c>
    </row>
    <row r="10152">
      <c r="A10152" t="n" s="0">
        <v>1.51</v>
      </c>
      <c r="B10152" t="n" s="0">
        <f>(-5-((((-5*(-5/((-5/(((-5*(1.51--5))-(-5+((-5*1.51)*(((-5--5)+(1.51--5))+1.51))))-(-5+-5)))*-5)))/-5)--5)+(-5*(((1.51*(1.51-(-5/-5)))*(1.51-(1.51/(-5*1.51))))-(-5/-5)))))</f>
        <v>0.18455499999998004</v>
      </c>
      <c r="C10152" t="n" s="0">
        <v>0.18455499999999958</v>
      </c>
    </row>
    <row r="10153">
      <c r="A10153" t="n" s="0">
        <v>1.52</v>
      </c>
      <c r="B10153" t="n" s="0">
        <f>(-5-((((-5*(-5/((-5/(((-5*(1.52--5))-(-5+((-5*1.52)*(((-5--5)+(1.52--5))+1.52))))-(-5+-5)))*-5)))/-5)--5)+(-5*(((1.52*(1.52-(-5/-5)))*(1.52-(1.52/(-5*1.52))))-(-5/-5)))))</f>
        <v>0.49823999999996005</v>
      </c>
      <c r="C10153" t="n" s="0">
        <v>0.4982400000000027</v>
      </c>
    </row>
    <row r="10154">
      <c r="A10154" t="n" s="0">
        <v>1.53</v>
      </c>
      <c r="B10154" t="n" s="0">
        <f>(-5-((((-5*(-5/((-5/(((-5*(1.53--5))-(-5+((-5*1.53)*(((-5--5)+(1.53--5))+1.53))))-(-5+-5)))*-5)))/-5)--5)+(-5*(((1.53*(1.53-(-5/-5)))*(1.53-(1.53/(-5*1.53))))-(-5/-5)))))</f>
        <v>0.8160850000000197</v>
      </c>
      <c r="C10154" t="n" s="0">
        <v>0.8160850000000011</v>
      </c>
    </row>
    <row r="10155">
      <c r="A10155" t="n" s="0">
        <v>1.54</v>
      </c>
      <c r="B10155" t="n" s="0">
        <f>(-5-((((-5*(-5/((-5/(((-5*(1.54--5))-(-5+((-5*1.54)*(((-5--5)+(1.54--5))+1.54))))-(-5+-5)))*-5)))/-5)--5)+(-5*(((1.54*(1.54-(-5/-5)))*(1.54-(1.54/(-5*1.54))))-(-5/-5)))))</f>
        <v>1.138119999999959</v>
      </c>
      <c r="C10155" t="n" s="0">
        <v>1.1381200000000007</v>
      </c>
    </row>
    <row r="10156">
      <c r="A10156" t="n" s="0">
        <v>1.55</v>
      </c>
      <c r="B10156" t="n" s="0">
        <f>(-5-((((-5*(-5/((-5/(((-5*(1.55--5))-(-5+((-5*1.55)*(((-5--5)+(1.55--5))+1.55))))-(-5+-5)))*-5)))/-5)--5)+(-5*(((1.55*(1.55-(-5/-5)))*(1.55-(1.55/(-5*1.55))))-(-5/-5)))))</f>
        <v>1.464374999999979</v>
      </c>
      <c r="C10156" t="n" s="0">
        <v>1.464375000000004</v>
      </c>
    </row>
    <row r="10157">
      <c r="A10157" t="n" s="0">
        <v>1.56</v>
      </c>
      <c r="B10157" t="n" s="0">
        <f>(-5-((((-5*(-5/((-5/(((-5*(1.56--5))-(-5+((-5*1.56)*(((-5--5)+(1.56--5))+1.56))))-(-5+-5)))*-5)))/-5)--5)+(-5*(((1.56*(1.56-(-5/-5)))*(1.56-(1.56/(-5*1.56))))-(-5/-5)))))</f>
        <v>1.794880000000001</v>
      </c>
      <c r="C10157" t="n" s="0">
        <v>1.7948799999999991</v>
      </c>
    </row>
    <row r="10158">
      <c r="A10158" t="n" s="0">
        <v>1.57</v>
      </c>
      <c r="B10158" t="n" s="0">
        <f>(-5-((((-5*(-5/((-5/(((-5*(1.57--5))-(-5+((-5*1.57)*(((-5--5)+(1.57--5))+1.57))))-(-5+-5)))*-5)))/-5)--5)+(-5*(((1.57*(1.57-(-5/-5)))*(1.57-(1.57/(-5*1.57))))-(-5/-5)))))</f>
        <v>2.1296649999999797</v>
      </c>
      <c r="C10158" t="n" s="0">
        <v>2.129665000000003</v>
      </c>
    </row>
    <row r="10159">
      <c r="A10159" t="n" s="0">
        <v>1.58</v>
      </c>
      <c r="B10159" t="n" s="0">
        <f>(-5-((((-5*(-5/((-5/(((-5*(1.58--5))-(-5+((-5*1.58)*(((-5--5)+(1.58--5))+1.58))))-(-5+-5)))*-5)))/-5)--5)+(-5*(((1.58*(1.58-(-5/-5)))*(1.58-(1.58/(-5*1.58))))-(-5/-5)))))</f>
        <v>2.4687599999999605</v>
      </c>
      <c r="C10159" t="n" s="0">
        <v>2.468760000000003</v>
      </c>
    </row>
    <row r="10160">
      <c r="A10160" t="n" s="0">
        <v>1.59</v>
      </c>
      <c r="B10160" t="n" s="0">
        <f>(-5-((((-5*(-5/((-5/(((-5*(1.59--5))-(-5+((-5*1.59)*(((-5--5)+(1.59--5))+1.59))))-(-5+-5)))*-5)))/-5)--5)+(-5*(((1.59*(1.59-(-5/-5)))*(1.59-(1.59/(-5*1.59))))-(-5/-5)))))</f>
        <v>2.812194999999961</v>
      </c>
      <c r="C10160" t="n" s="0">
        <v>2.8121950000000027</v>
      </c>
    </row>
    <row r="10161">
      <c r="A10161" t="n" s="0">
        <v>1.6</v>
      </c>
      <c r="B10161" t="n" s="0">
        <f>(-5-((((-5*(-5/((-5/(((-5*(1.6--5))-(-5+((-5*1.6)*(((-5--5)+(1.6--5))+1.6))))-(-5+-5)))*-5)))/-5)--5)+(-5*(((1.6*(1.6-(-5/-5)))*(1.6-(1.6/(-5*1.6))))-(-5/-5)))))</f>
        <v>3.1599999999999806</v>
      </c>
      <c r="C10161" t="n" s="0">
        <v>3.1600000000000037</v>
      </c>
    </row>
    <row r="10162">
      <c r="A10162" t="n" s="0">
        <v>1.61</v>
      </c>
      <c r="B10162" t="n" s="0">
        <f>(-5-((((-5*(-5/((-5/(((-5*(1.61--5))-(-5+((-5*1.61)*(((-5--5)+(1.61--5))+1.61))))-(-5+-5)))*-5)))/-5)--5)+(-5*(((1.61*(1.61-(-5/-5)))*(1.61-(1.61/(-5*1.61))))-(-5/-5)))))</f>
        <v>3.512205</v>
      </c>
      <c r="C10162" t="n" s="0">
        <v>3.5122050000000087</v>
      </c>
    </row>
    <row r="10163">
      <c r="A10163" t="n" s="0">
        <v>1.62</v>
      </c>
      <c r="B10163" t="n" s="0">
        <f>(-5-((((-5*(-5/((-5/(((-5*(1.62--5))-(-5+((-5*1.62)*(((-5--5)+(1.62--5))+1.62))))-(-5+-5)))*-5)))/-5)--5)+(-5*(((1.62*(1.62-(-5/-5)))*(1.62-(1.62/(-5*1.62))))-(-5/-5)))))</f>
        <v>3.8688399999999596</v>
      </c>
      <c r="C10163" t="n" s="0">
        <v>3.8688399999999987</v>
      </c>
    </row>
    <row r="10164">
      <c r="A10164" t="n" s="0">
        <v>1.63</v>
      </c>
      <c r="B10164" t="n" s="0">
        <f>(-5-((((-5*(-5/((-5/(((-5*(1.63--5))-(-5+((-5*1.63)*(((-5--5)+(1.63--5))+1.63))))-(-5+-5)))*-5)))/-5)--5)+(-5*(((1.63*(1.63-(-5/-5)))*(1.63-(1.63/(-5*1.63))))-(-5/-5)))))</f>
        <v>4.22993500000004</v>
      </c>
      <c r="C10164" t="n" s="0">
        <v>4.229934999999994</v>
      </c>
    </row>
    <row r="10165">
      <c r="A10165" t="n" s="0">
        <v>1.64</v>
      </c>
      <c r="B10165" t="n" s="0">
        <f>(-5-((((-5*(-5/((-5/(((-5*(1.64--5))-(-5+((-5*1.64)*(((-5--5)+(1.64--5))+1.64))))-(-5+-5)))*-5)))/-5)--5)+(-5*(((1.64*(1.64-(-5/-5)))*(1.64-(1.64/(-5*1.64))))-(-5/-5)))))</f>
        <v>4.595519999999961</v>
      </c>
      <c r="C10165" t="n" s="0">
        <v>4.5955200000000005</v>
      </c>
    </row>
    <row r="10166">
      <c r="A10166" t="n" s="0">
        <v>1.65</v>
      </c>
      <c r="B10166" t="n" s="0">
        <f>(-5-((((-5*(-5/((-5/(((-5*(1.65--5))-(-5+((-5*1.65)*(((-5--5)+(1.65--5))+1.65))))-(-5+-5)))*-5)))/-5)--5)+(-5*(((1.65*(1.65-(-5/-5)))*(1.65-(1.65/(-5*1.65))))-(-5/-5)))))</f>
        <v>4.965624999999999</v>
      </c>
      <c r="C10166" t="n" s="0">
        <v>4.965624999999999</v>
      </c>
    </row>
    <row r="10167">
      <c r="A10167" t="n" s="0">
        <v>1.66</v>
      </c>
      <c r="B10167" t="n" s="0">
        <f>(-5-((((-5*(-5/((-5/(((-5*(1.66--5))-(-5+((-5*1.66)*(((-5--5)+(1.66--5))+1.66))))-(-5+-5)))*-5)))/-5)--5)+(-5*(((1.66*(1.66-(-5/-5)))*(1.66-(1.66/(-5*1.66))))-(-5/-5)))))</f>
        <v>5.34028</v>
      </c>
      <c r="C10167" t="n" s="0">
        <v>5.34028</v>
      </c>
    </row>
    <row r="10168">
      <c r="A10168" t="n" s="0">
        <v>1.67</v>
      </c>
      <c r="B10168" t="n" s="0">
        <f>(-5-((((-5*(-5/((-5/(((-5*(1.67--5))-(-5+((-5*1.67)*(((-5--5)+(1.67--5))+1.67))))-(-5+-5)))*-5)))/-5)--5)+(-5*(((1.67*(1.67-(-5/-5)))*(1.67-(1.67/(-5*1.67))))-(-5/-5)))))</f>
        <v>5.7195149999999995</v>
      </c>
      <c r="C10168" t="n" s="0">
        <v>5.719514999999994</v>
      </c>
    </row>
    <row r="10169">
      <c r="A10169" t="n" s="0">
        <v>1.68</v>
      </c>
      <c r="B10169" t="n" s="0">
        <f>(-5-((((-5*(-5/((-5/(((-5*(1.68--5))-(-5+((-5*1.68)*(((-5--5)+(1.68--5))+1.68))))-(-5+-5)))*-5)))/-5)--5)+(-5*(((1.68*(1.68-(-5/-5)))*(1.68-(1.68/(-5*1.68))))-(-5/-5)))))</f>
        <v>6.10336</v>
      </c>
      <c r="C10169" t="n" s="0">
        <v>6.103359999999995</v>
      </c>
    </row>
    <row r="10170">
      <c r="A10170" t="n" s="0">
        <v>1.69</v>
      </c>
      <c r="B10170" t="n" s="0">
        <f>(-5-((((-5*(-5/((-5/(((-5*(1.69--5))-(-5+((-5*1.69)*(((-5--5)+(1.69--5))+1.69))))-(-5+-5)))*-5)))/-5)--5)+(-5*(((1.69*(1.69-(-5/-5)))*(1.69-(1.69/(-5*1.69))))-(-5/-5)))))</f>
        <v>6.491845000000001</v>
      </c>
      <c r="C10170" t="n" s="0">
        <v>6.491845000000001</v>
      </c>
    </row>
    <row r="10171">
      <c r="A10171" t="n" s="0">
        <v>1.7</v>
      </c>
      <c r="B10171" t="n" s="0">
        <f>(-5-((((-5*(-5/((-5/(((-5*(1.7--5))-(-5+((-5*1.7)*(((-5--5)+(1.7--5))+1.7))))-(-5+-5)))*-5)))/-5)--5)+(-5*(((1.7*(1.7-(-5/-5)))*(1.7-(1.7/(-5*1.7))))-(-5/-5)))))</f>
        <v>6.885</v>
      </c>
      <c r="C10171" t="n" s="0">
        <v>6.884999999999998</v>
      </c>
    </row>
    <row r="10172">
      <c r="A10172" t="n" s="0">
        <v>1.71</v>
      </c>
      <c r="B10172" t="n" s="0">
        <f>(-5-((((-5*(-5/((-5/(((-5*(1.71--5))-(-5+((-5*1.71)*(((-5--5)+(1.71--5))+1.71))))-(-5+-5)))*-5)))/-5)--5)+(-5*(((1.71*(1.71-(-5/-5)))*(1.71-(1.71/(-5*1.71))))-(-5/-5)))))</f>
        <v>7.282855000000001</v>
      </c>
      <c r="C10172" t="n" s="0">
        <v>7.282854999999998</v>
      </c>
    </row>
    <row r="10173">
      <c r="A10173" t="n" s="0">
        <v>1.72</v>
      </c>
      <c r="B10173" t="n" s="0">
        <f>(-5-((((-5*(-5/((-5/(((-5*(1.72--5))-(-5+((-5*1.72)*(((-5--5)+(1.72--5))+1.72))))-(-5+-5)))*-5)))/-5)--5)+(-5*(((1.72*(1.72-(-5/-5)))*(1.72-(1.72/(-5*1.72))))-(-5/-5)))))</f>
        <v>7.68544</v>
      </c>
      <c r="C10173" t="n" s="0">
        <v>7.68544</v>
      </c>
    </row>
    <row r="10174">
      <c r="A10174" t="n" s="0">
        <v>1.73</v>
      </c>
      <c r="B10174" t="n" s="0">
        <f>(-5-((((-5*(-5/((-5/(((-5*(1.73--5))-(-5+((-5*1.73)*(((-5--5)+(1.73--5))+1.73))))-(-5+-5)))*-5)))/-5)--5)+(-5*(((1.73*(1.73-(-5/-5)))*(1.73-(1.73/(-5*1.73))))-(-5/-5)))))</f>
        <v>8.092785</v>
      </c>
      <c r="C10174" t="n" s="0">
        <v>8.092785</v>
      </c>
    </row>
    <row r="10175">
      <c r="A10175" t="n" s="0">
        <v>1.74</v>
      </c>
      <c r="B10175" t="n" s="0">
        <f>(-5-((((-5*(-5/((-5/(((-5*(1.74--5))-(-5+((-5*1.74)*(((-5--5)+(1.74--5))+1.74))))-(-5+-5)))*-5)))/-5)--5)+(-5*(((1.74*(1.74-(-5/-5)))*(1.74-(1.74/(-5*1.74))))-(-5/-5)))))</f>
        <v>8.50492</v>
      </c>
      <c r="C10175" t="n" s="0">
        <v>8.504919999999998</v>
      </c>
    </row>
    <row r="10176">
      <c r="A10176" t="n" s="0">
        <v>1.75</v>
      </c>
      <c r="B10176" t="n" s="0">
        <f>(-5-((((-5*(-5/((-5/(((-5*(1.75--5))-(-5+((-5*1.75)*(((-5--5)+(1.75--5))+1.75))))-(-5+-5)))*-5)))/-5)--5)+(-5*(((1.75*(1.75-(-5/-5)))*(1.75-(1.75/(-5*1.75))))-(-5/-5)))))</f>
        <v>8.921875</v>
      </c>
      <c r="C10176" t="n" s="0">
        <v>8.921875</v>
      </c>
    </row>
    <row r="10177">
      <c r="A10177" t="n" s="0">
        <v>1.76</v>
      </c>
      <c r="B10177" t="n" s="0">
        <f>(-5-((((-5*(-5/((-5/(((-5*(1.76--5))-(-5+((-5*1.76)*(((-5--5)+(1.76--5))+1.76))))-(-5+-5)))*-5)))/-5)--5)+(-5*(((1.76*(1.76-(-5/-5)))*(1.76-(1.76/(-5*1.76))))-(-5/-5)))))</f>
        <v>9.34368</v>
      </c>
      <c r="C10177" t="n" s="0">
        <v>9.343679999999999</v>
      </c>
    </row>
    <row r="10178">
      <c r="A10178" t="n" s="0">
        <v>1.77</v>
      </c>
      <c r="B10178" t="n" s="0">
        <f>(-5-((((-5*(-5/((-5/(((-5*(1.77--5))-(-5+((-5*1.77)*(((-5--5)+(1.77--5))+1.77))))-(-5+-5)))*-5)))/-5)--5)+(-5*(((1.77*(1.77-(-5/-5)))*(1.77-(1.77/(-5*1.77))))-(-5/-5)))))</f>
        <v>9.770365</v>
      </c>
      <c r="C10178" t="n" s="0">
        <v>9.770365000000005</v>
      </c>
    </row>
    <row r="10179">
      <c r="A10179" t="n" s="0">
        <v>1.78</v>
      </c>
      <c r="B10179" t="n" s="0">
        <f>(-5-((((-5*(-5/((-5/(((-5*(1.78--5))-(-5+((-5*1.78)*(((-5--5)+(1.78--5))+1.78))))-(-5+-5)))*-5)))/-5)--5)+(-5*(((1.78*(1.78-(-5/-5)))*(1.78-(1.78/(-5*1.78))))-(-5/-5)))))</f>
        <v>10.20196</v>
      </c>
      <c r="C10179" t="n" s="0">
        <v>10.201960000000003</v>
      </c>
    </row>
    <row r="10180">
      <c r="A10180" t="n" s="0">
        <v>1.79</v>
      </c>
      <c r="B10180" t="n" s="0">
        <f>(-5-((((-5*(-5/((-5/(((-5*(1.79--5))-(-5+((-5*1.79)*(((-5--5)+(1.79--5))+1.79))))-(-5+-5)))*-5)))/-5)--5)+(-5*(((1.79*(1.79-(-5/-5)))*(1.79-(1.79/(-5*1.79))))-(-5/-5)))))</f>
        <v>10.638494999999999</v>
      </c>
      <c r="C10180" t="n" s="0">
        <v>10.638495000000002</v>
      </c>
    </row>
    <row r="10181">
      <c r="A10181" t="n" s="0">
        <v>1.8</v>
      </c>
      <c r="B10181" t="n" s="0">
        <f>(-5-((((-5*(-5/((-5/(((-5*(1.8--5))-(-5+((-5*1.8)*(((-5--5)+(1.8--5))+1.8))))-(-5+-5)))*-5)))/-5)--5)+(-5*(((1.8*(1.8-(-5/-5)))*(1.8-(1.8/(-5*1.8))))-(-5/-5)))))</f>
        <v>11.079999999999998</v>
      </c>
      <c r="C10181" t="n" s="0">
        <v>11.080000000000005</v>
      </c>
    </row>
    <row r="10182">
      <c r="A10182" t="n" s="0">
        <v>1.81</v>
      </c>
      <c r="B10182" t="n" s="0">
        <f>(-5-((((-5*(-5/((-5/(((-5*(1.81--5))-(-5+((-5*1.81)*(((-5--5)+(1.81--5))+1.81))))-(-5+-5)))*-5)))/-5)--5)+(-5*(((1.81*(1.81-(-5/-5)))*(1.81-(1.81/(-5*1.81))))-(-5/-5)))))</f>
        <v>11.526505</v>
      </c>
      <c r="C10182" t="n" s="0">
        <v>11.526505000000004</v>
      </c>
    </row>
    <row r="10183">
      <c r="A10183" t="n" s="0">
        <v>1.82</v>
      </c>
      <c r="B10183" t="n" s="0">
        <f>(-5-((((-5*(-5/((-5/(((-5*(1.82--5))-(-5+((-5*1.82)*(((-5--5)+(1.82--5))+1.82))))-(-5+-5)))*-5)))/-5)--5)+(-5*(((1.82*(1.82-(-5/-5)))*(1.82-(1.82/(-5*1.82))))-(-5/-5)))))</f>
        <v>11.97804</v>
      </c>
      <c r="C10183" t="n" s="0">
        <v>11.978040000000004</v>
      </c>
    </row>
    <row r="10184">
      <c r="A10184" t="n" s="0">
        <v>1.83</v>
      </c>
      <c r="B10184" t="n" s="0">
        <f>(-5-((((-5*(-5/((-5/(((-5*(1.83--5))-(-5+((-5*1.83)*(((-5--5)+(1.83--5))+1.83))))-(-5+-5)))*-5)))/-5)--5)+(-5*(((1.83*(1.83-(-5/-5)))*(1.83-(1.83/(-5*1.83))))-(-5/-5)))))</f>
        <v>12.434635</v>
      </c>
      <c r="C10184" t="n" s="0">
        <v>12.434635</v>
      </c>
    </row>
    <row r="10185">
      <c r="A10185" t="n" s="0">
        <v>1.84</v>
      </c>
      <c r="B10185" t="n" s="0">
        <f>(-5-((((-5*(-5/((-5/(((-5*(1.84--5))-(-5+((-5*1.84)*(((-5--5)+(1.84--5))+1.84))))-(-5+-5)))*-5)))/-5)--5)+(-5*(((1.84*(1.84-(-5/-5)))*(1.84-(1.84/(-5*1.84))))-(-5/-5)))))</f>
        <v>12.89632</v>
      </c>
      <c r="C10185" t="n" s="0">
        <v>12.89632</v>
      </c>
    </row>
    <row r="10186">
      <c r="A10186" t="n" s="0">
        <v>1.85</v>
      </c>
      <c r="B10186" t="n" s="0">
        <f>(-5-((((-5*(-5/((-5/(((-5*(1.85--5))-(-5+((-5*1.85)*(((-5--5)+(1.85--5))+1.85))))-(-5+-5)))*-5)))/-5)--5)+(-5*(((1.85*(1.85-(-5/-5)))*(1.85-(1.85/(-5*1.85))))-(-5/-5)))))</f>
        <v>13.363124999999997</v>
      </c>
      <c r="C10186" t="n" s="0">
        <v>13.363125000000007</v>
      </c>
    </row>
    <row r="10187">
      <c r="A10187" t="n" s="0">
        <v>1.86</v>
      </c>
      <c r="B10187" t="n" s="0">
        <f>(-5-((((-5*(-5/((-5/(((-5*(1.86--5))-(-5+((-5*1.86)*(((-5--5)+(1.86--5))+1.86))))-(-5+-5)))*-5)))/-5)--5)+(-5*(((1.86*(1.86-(-5/-5)))*(1.86-(1.86/(-5*1.86))))-(-5/-5)))))</f>
        <v>13.835079999999998</v>
      </c>
      <c r="C10187" t="n" s="0">
        <v>13.835080000000005</v>
      </c>
    </row>
    <row r="10188">
      <c r="A10188" t="n" s="0">
        <v>1.87</v>
      </c>
      <c r="B10188" t="n" s="0">
        <f>(-5-((((-5*(-5/((-5/(((-5*(1.87--5))-(-5+((-5*1.87)*(((-5--5)+(1.87--5))+1.87))))-(-5+-5)))*-5)))/-5)--5)+(-5*(((1.87*(1.87-(-5/-5)))*(1.87-(1.87/(-5*1.87))))-(-5/-5)))))</f>
        <v>14.312215000000002</v>
      </c>
      <c r="C10188" t="n" s="0">
        <v>14.312215000000009</v>
      </c>
    </row>
    <row r="10189">
      <c r="A10189" t="n" s="0">
        <v>1.88</v>
      </c>
      <c r="B10189" t="n" s="0">
        <f>(-5-((((-5*(-5/((-5/(((-5*(1.88--5))-(-5+((-5*1.88)*(((-5--5)+(1.88--5))+1.88))))-(-5+-5)))*-5)))/-5)--5)+(-5*(((1.88*(1.88-(-5/-5)))*(1.88-(1.88/(-5*1.88))))-(-5/-5)))))</f>
        <v>14.79456</v>
      </c>
      <c r="C10189" t="n" s="0">
        <v>14.794559999999993</v>
      </c>
    </row>
    <row r="10190">
      <c r="A10190" t="n" s="0">
        <v>1.89</v>
      </c>
      <c r="B10190" t="n" s="0">
        <f>(-5-((((-5*(-5/((-5/(((-5*(1.89--5))-(-5+((-5*1.89)*(((-5--5)+(1.89--5))+1.89))))-(-5+-5)))*-5)))/-5)--5)+(-5*(((1.89*(1.89-(-5/-5)))*(1.89-(1.89/(-5*1.89))))-(-5/-5)))))</f>
        <v>15.282145</v>
      </c>
      <c r="C10190" t="n" s="0">
        <v>15.282145</v>
      </c>
    </row>
    <row r="10191">
      <c r="A10191" t="n" s="0">
        <v>1.9</v>
      </c>
      <c r="B10191" t="n" s="0">
        <f>(-5-((((-5*(-5/((-5/(((-5*(1.9--5))-(-5+((-5*1.9)*(((-5--5)+(1.9--5))+1.9))))-(-5+-5)))*-5)))/-5)--5)+(-5*(((1.9*(1.9-(-5/-5)))*(1.9-(1.9/(-5*1.9))))-(-5/-5)))))</f>
        <v>15.774999999999999</v>
      </c>
      <c r="C10191" t="n" s="0">
        <v>15.774999999999991</v>
      </c>
    </row>
    <row r="10192">
      <c r="A10192" t="n" s="0">
        <v>1.91</v>
      </c>
      <c r="B10192" t="n" s="0">
        <f>(-5-((((-5*(-5/((-5/(((-5*(1.91--5))-(-5+((-5*1.91)*(((-5--5)+(1.91--5))+1.91))))-(-5+-5)))*-5)))/-5)--5)+(-5*(((1.91*(1.91-(-5/-5)))*(1.91-(1.91/(-5*1.91))))-(-5/-5)))))</f>
        <v>16.273155</v>
      </c>
      <c r="C10192" t="n" s="0">
        <v>16.273154999999996</v>
      </c>
    </row>
    <row r="10193">
      <c r="A10193" t="n" s="0">
        <v>1.92</v>
      </c>
      <c r="B10193" t="n" s="0">
        <f>(-5-((((-5*(-5/((-5/(((-5*(1.92--5))-(-5+((-5*1.92)*(((-5--5)+(1.92--5))+1.92))))-(-5+-5)))*-5)))/-5)--5)+(-5*(((1.92*(1.92-(-5/-5)))*(1.92-(1.92/(-5*1.92))))-(-5/-5)))))</f>
        <v>16.77664</v>
      </c>
      <c r="C10193" t="n" s="0">
        <v>16.776639999999993</v>
      </c>
    </row>
    <row r="10194">
      <c r="A10194" t="n" s="0">
        <v>1.93</v>
      </c>
      <c r="B10194" t="n" s="0">
        <f>(-5-((((-5*(-5/((-5/(((-5*(1.93--5))-(-5+((-5*1.93)*(((-5--5)+(1.93--5))+1.93))))-(-5+-5)))*-5)))/-5)--5)+(-5*(((1.93*(1.93-(-5/-5)))*(1.93-(1.93/(-5*1.93))))-(-5/-5)))))</f>
        <v>17.285485</v>
      </c>
      <c r="C10194" t="n" s="0">
        <v>17.285485</v>
      </c>
    </row>
    <row r="10195">
      <c r="A10195" t="n" s="0">
        <v>1.94</v>
      </c>
      <c r="B10195" t="n" s="0">
        <f>(-5-((((-5*(-5/((-5/(((-5*(1.94--5))-(-5+((-5*1.94)*(((-5--5)+(1.94--5))+1.94))))-(-5+-5)))*-5)))/-5)--5)+(-5*(((1.94*(1.94-(-5/-5)))*(1.94-(1.94/(-5*1.94))))-(-5/-5)))))</f>
        <v>17.79972</v>
      </c>
      <c r="C10195" t="n" s="0">
        <v>17.79972</v>
      </c>
    </row>
    <row r="10196">
      <c r="A10196" t="n" s="0">
        <v>1.95</v>
      </c>
      <c r="B10196" t="n" s="0">
        <f>(-5-((((-5*(-5/((-5/(((-5*(1.95--5))-(-5+((-5*1.95)*(((-5--5)+(1.95--5))+1.95))))-(-5+-5)))*-5)))/-5)--5)+(-5*(((1.95*(1.95-(-5/-5)))*(1.95-(1.95/(-5*1.95))))-(-5/-5)))))</f>
        <v>18.319375</v>
      </c>
      <c r="C10196" t="n" s="0">
        <v>18.319374999999994</v>
      </c>
    </row>
    <row r="10197">
      <c r="A10197" t="n" s="0">
        <v>1.96</v>
      </c>
      <c r="B10197" t="n" s="0">
        <f>(-5-((((-5*(-5/((-5/(((-5*(1.96--5))-(-5+((-5*1.96)*(((-5--5)+(1.96--5))+1.96))))-(-5+-5)))*-5)))/-5)--5)+(-5*(((1.96*(1.96-(-5/-5)))*(1.96-(1.96/(-5*1.96))))-(-5/-5)))))</f>
        <v>18.844479999999997</v>
      </c>
      <c r="C10197" t="n" s="0">
        <v>18.844479999999997</v>
      </c>
    </row>
    <row r="10198">
      <c r="A10198" t="n" s="0">
        <v>1.97</v>
      </c>
      <c r="B10198" t="n" s="0">
        <f>(-5-((((-5*(-5/((-5/(((-5*(1.97--5))-(-5+((-5*1.97)*(((-5--5)+(1.97--5))+1.97))))-(-5+-5)))*-5)))/-5)--5)+(-5*(((1.97*(1.97-(-5/-5)))*(1.97-(1.97/(-5*1.97))))-(-5/-5)))))</f>
        <v>19.375065</v>
      </c>
      <c r="C10198" t="n" s="0">
        <v>19.375064999999992</v>
      </c>
    </row>
    <row r="10199">
      <c r="A10199" t="n" s="0">
        <v>1.98</v>
      </c>
      <c r="B10199" t="n" s="0">
        <f>(-5-((((-5*(-5/((-5/(((-5*(1.98--5))-(-5+((-5*1.98)*(((-5--5)+(1.98--5))+1.98))))-(-5+-5)))*-5)))/-5)--5)+(-5*(((1.98*(1.98-(-5/-5)))*(1.98-(1.98/(-5*1.98))))-(-5/-5)))))</f>
        <v>19.91116</v>
      </c>
      <c r="C10199" t="n" s="0">
        <v>19.911159999999995</v>
      </c>
    </row>
    <row r="10200">
      <c r="A10200" t="n" s="0">
        <v>1.99</v>
      </c>
      <c r="B10200" t="n" s="0">
        <f>(-5-((((-5*(-5/((-5/(((-5*(1.99--5))-(-5+((-5*1.99)*(((-5--5)+(1.99--5))+1.99))))-(-5+-5)))*-5)))/-5)--5)+(-5*(((1.99*(1.99-(-5/-5)))*(1.99-(1.99/(-5*1.99))))-(-5/-5)))))</f>
        <v>20.452795000000002</v>
      </c>
      <c r="C10200" t="n" s="0">
        <v>20.452795000000002</v>
      </c>
    </row>
    <row r="10201">
      <c r="A10201" t="n" s="0">
        <v>2.0</v>
      </c>
      <c r="B10201" t="n" s="0">
        <f>(-5-((((-5*(-5/((-5/(((-5*(2--5))-(-5+((-5*2)*(((-5--5)+(2--5))+2))))-(-5+-5)))*-5)))/-5)--5)+(-5*(((2*(2-(-5/-5)))*(2-(2/(-5*2))))-(-5/-5)))))</f>
        <v>21.0</v>
      </c>
      <c r="C10201" t="n" s="0">
        <v>21.0</v>
      </c>
    </row>
    <row r="10202">
      <c r="A10202" t="n" s="0">
        <v>2.01</v>
      </c>
      <c r="B10202" t="n" s="0">
        <f>(-5-((((-5*(-5/((-5/(((-5*(2.01--5))-(-5+((-5*2.01)*(((-5--5)+(2.01--5))+2.01))))-(-5+-5)))*-5)))/-5)--5)+(-5*(((2.01*(2.01-(-5/-5)))*(2.01-(2.01/(-5*2.01))))-(-5/-5)))))</f>
        <v>21.552805</v>
      </c>
      <c r="C10202" t="n" s="0">
        <v>21.552804999999985</v>
      </c>
    </row>
    <row r="10203">
      <c r="A10203" t="n" s="0">
        <v>2.02</v>
      </c>
      <c r="B10203" t="n" s="0">
        <f>(-5-((((-5*(-5/((-5/(((-5*(2.02--5))-(-5+((-5*2.02)*(((-5--5)+(2.02--5))+2.02))))-(-5+-5)))*-5)))/-5)--5)+(-5*(((2.02*(2.02-(-5/-5)))*(2.02-(2.02/(-5*2.02))))-(-5/-5)))))</f>
        <v>22.11124</v>
      </c>
      <c r="C10203" t="n" s="0">
        <v>22.111240000000002</v>
      </c>
    </row>
    <row r="10204">
      <c r="A10204" t="n" s="0">
        <v>2.03</v>
      </c>
      <c r="B10204" t="n" s="0">
        <f>(-5-((((-5*(-5/((-5/(((-5*(2.03--5))-(-5+((-5*2.03)*(((-5--5)+(2.03--5))+2.03))))-(-5+-5)))*-5)))/-5)--5)+(-5*(((2.03*(2.03-(-5/-5)))*(2.03-(2.03/(-5*2.03))))-(-5/-5)))))</f>
        <v>22.675335000000004</v>
      </c>
      <c r="C10204" t="n" s="0">
        <v>22.67533499999999</v>
      </c>
    </row>
    <row r="10205">
      <c r="A10205" t="n" s="0">
        <v>2.04</v>
      </c>
      <c r="B10205" t="n" s="0">
        <f>(-5-((((-5*(-5/((-5/(((-5*(2.04--5))-(-5+((-5*2.04)*(((-5--5)+(2.04--5))+2.04))))-(-5+-5)))*-5)))/-5)--5)+(-5*(((2.04*(2.04-(-5/-5)))*(2.04-(2.04/(-5*2.04))))-(-5/-5)))))</f>
        <v>23.24512</v>
      </c>
      <c r="C10205" t="n" s="0">
        <v>23.245120000000007</v>
      </c>
    </row>
    <row r="10206">
      <c r="A10206" t="n" s="0">
        <v>2.05</v>
      </c>
      <c r="B10206" t="n" s="0">
        <f>(-5-((((-5*(-5/((-5/(((-5*(2.05--5))-(-5+((-5*2.05)*(((-5--5)+(2.05--5))+2.05))))-(-5+-5)))*-5)))/-5)--5)+(-5*(((2.05*(2.05-(-5/-5)))*(2.05-(2.05/(-5*2.05))))-(-5/-5)))))</f>
        <v>23.820625</v>
      </c>
      <c r="C10206" t="n" s="0">
        <v>23.820624999999986</v>
      </c>
    </row>
    <row r="10207">
      <c r="A10207" t="n" s="0">
        <v>2.06</v>
      </c>
      <c r="B10207" t="n" s="0">
        <f>(-5-((((-5*(-5/((-5/(((-5*(2.06--5))-(-5+((-5*2.06)*(((-5--5)+(2.06--5))+2.06))))-(-5+-5)))*-5)))/-5)--5)+(-5*(((2.06*(2.06-(-5/-5)))*(2.06-(2.06/(-5*2.06))))-(-5/-5)))))</f>
        <v>24.40188</v>
      </c>
      <c r="C10207" t="n" s="0">
        <v>24.40188</v>
      </c>
    </row>
    <row r="10208">
      <c r="A10208" t="n" s="0">
        <v>2.07</v>
      </c>
      <c r="B10208" t="n" s="0">
        <f>(-5-((((-5*(-5/((-5/(((-5*(2.07--5))-(-5+((-5*2.07)*(((-5--5)+(2.07--5))+2.07))))-(-5+-5)))*-5)))/-5)--5)+(-5*(((2.07*(2.07-(-5/-5)))*(2.07-(2.07/(-5*2.07))))-(-5/-5)))))</f>
        <v>24.988915</v>
      </c>
      <c r="C10208" t="n" s="0">
        <v>24.98891499999999</v>
      </c>
    </row>
    <row r="10209">
      <c r="A10209" t="n" s="0">
        <v>2.08</v>
      </c>
      <c r="B10209" t="n" s="0">
        <f>(-5-((((-5*(-5/((-5/(((-5*(2.08--5))-(-5+((-5*2.08)*(((-5--5)+(2.08--5))+2.08))))-(-5+-5)))*-5)))/-5)--5)+(-5*(((2.08*(2.08-(-5/-5)))*(2.08-(2.08/(-5*2.08))))-(-5/-5)))))</f>
        <v>25.58176</v>
      </c>
      <c r="C10209" t="n" s="0">
        <v>25.58176000000001</v>
      </c>
    </row>
    <row r="10210">
      <c r="A10210" t="n" s="0">
        <v>2.09</v>
      </c>
      <c r="B10210" t="n" s="0">
        <f>(-5-((((-5*(-5/((-5/(((-5*(2.09--5))-(-5+((-5*2.09)*(((-5--5)+(2.09--5))+2.09))))-(-5+-5)))*-5)))/-5)--5)+(-5*(((2.09*(2.09-(-5/-5)))*(2.09-(2.09/(-5*2.09))))-(-5/-5)))))</f>
        <v>26.180445</v>
      </c>
      <c r="C10210" t="n" s="0">
        <v>26.18044499999999</v>
      </c>
    </row>
    <row r="10211">
      <c r="A10211" t="n" s="0">
        <v>2.1</v>
      </c>
      <c r="B10211" t="n" s="0">
        <f>(-5-((((-5*(-5/((-5/(((-5*(2.1--5))-(-5+((-5*2.1)*(((-5--5)+(2.1--5))+2.1))))-(-5+-5)))*-5)))/-5)--5)+(-5*(((2.1*(2.1-(-5/-5)))*(2.1-(2.1/(-5*2.1))))-(-5/-5)))))</f>
        <v>26.785000000000004</v>
      </c>
      <c r="C10211" t="n" s="0">
        <v>26.78500000000001</v>
      </c>
    </row>
    <row r="10212">
      <c r="A10212" t="n" s="0">
        <v>2.11</v>
      </c>
      <c r="B10212" t="n" s="0">
        <f>(-5-((((-5*(-5/((-5/(((-5*(2.11--5))-(-5+((-5*2.11)*(((-5--5)+(2.11--5))+2.11))))-(-5+-5)))*-5)))/-5)--5)+(-5*(((2.11*(2.11-(-5/-5)))*(2.11-(2.11/(-5*2.11))))-(-5/-5)))))</f>
        <v>27.395455</v>
      </c>
      <c r="C10212" t="n" s="0">
        <v>27.395454999999984</v>
      </c>
    </row>
    <row r="10213">
      <c r="A10213" t="n" s="0">
        <v>2.12</v>
      </c>
      <c r="B10213" t="n" s="0">
        <f>(-5-((((-5*(-5/((-5/(((-5*(2.12--5))-(-5+((-5*2.12)*(((-5--5)+(2.12--5))+2.12))))-(-5+-5)))*-5)))/-5)--5)+(-5*(((2.12*(2.12-(-5/-5)))*(2.12-(2.12/(-5*2.12))))-(-5/-5)))))</f>
        <v>28.01184</v>
      </c>
      <c r="C10213" t="n" s="0">
        <v>28.011840000000007</v>
      </c>
    </row>
    <row r="10214">
      <c r="A10214" t="n" s="0">
        <v>2.13</v>
      </c>
      <c r="B10214" t="n" s="0">
        <f>(-5-((((-5*(-5/((-5/(((-5*(2.13--5))-(-5+((-5*2.13)*(((-5--5)+(2.13--5))+2.13))))-(-5+-5)))*-5)))/-5)--5)+(-5*(((2.13*(2.13-(-5/-5)))*(2.13-(2.13/(-5*2.13))))-(-5/-5)))))</f>
        <v>28.634185000000002</v>
      </c>
      <c r="C10214" t="n" s="0">
        <v>28.634184999999995</v>
      </c>
    </row>
    <row r="10215">
      <c r="A10215" t="n" s="0">
        <v>2.14</v>
      </c>
      <c r="B10215" t="n" s="0">
        <f>(-5-((((-5*(-5/((-5/(((-5*(2.14--5))-(-5+((-5*2.14)*(((-5--5)+(2.14--5))+2.14))))-(-5+-5)))*-5)))/-5)--5)+(-5*(((2.14*(2.14-(-5/-5)))*(2.14-(2.14/(-5*2.14))))-(-5/-5)))))</f>
        <v>29.262520000000002</v>
      </c>
      <c r="C10215" t="n" s="0">
        <v>29.26252000000001</v>
      </c>
    </row>
    <row r="10216">
      <c r="A10216" t="n" s="0">
        <v>2.15</v>
      </c>
      <c r="B10216" t="n" s="0">
        <f>(-5-((((-5*(-5/((-5/(((-5*(2.15--5))-(-5+((-5*2.15)*(((-5--5)+(2.15--5))+2.15))))-(-5+-5)))*-5)))/-5)--5)+(-5*(((2.15*(2.15-(-5/-5)))*(2.15-(2.15/(-5*2.15))))-(-5/-5)))))</f>
        <v>29.896875</v>
      </c>
      <c r="C10216" t="n" s="0">
        <v>29.896874999999994</v>
      </c>
    </row>
    <row r="10217">
      <c r="A10217" t="n" s="0">
        <v>2.16</v>
      </c>
      <c r="B10217" t="n" s="0">
        <f>(-5-((((-5*(-5/((-5/(((-5*(2.16--5))-(-5+((-5*2.16)*(((-5--5)+(2.16--5))+2.16))))-(-5+-5)))*-5)))/-5)--5)+(-5*(((2.16*(2.16-(-5/-5)))*(2.16-(2.16/(-5*2.16))))-(-5/-5)))))</f>
        <v>30.537279999999996</v>
      </c>
      <c r="C10217" t="n" s="0">
        <v>30.53728000000001</v>
      </c>
    </row>
    <row r="10218">
      <c r="A10218" t="n" s="0">
        <v>2.17</v>
      </c>
      <c r="B10218" t="n" s="0">
        <f>(-5-((((-5*(-5/((-5/(((-5*(2.17--5))-(-5+((-5*2.17)*(((-5--5)+(2.17--5))+2.17))))-(-5+-5)))*-5)))/-5)--5)+(-5*(((2.17*(2.17-(-5/-5)))*(2.17-(2.17/(-5*2.17))))-(-5/-5)))))</f>
        <v>31.183765</v>
      </c>
      <c r="C10218" t="n" s="0">
        <v>31.183764999999987</v>
      </c>
    </row>
    <row r="10219">
      <c r="A10219" t="n" s="0">
        <v>2.18</v>
      </c>
      <c r="B10219" t="n" s="0">
        <f>(-5-((((-5*(-5/((-5/(((-5*(2.18--5))-(-5+((-5*2.18)*(((-5--5)+(2.18--5))+2.18))))-(-5+-5)))*-5)))/-5)--5)+(-5*(((2.18*(2.18-(-5/-5)))*(2.18-(2.18/(-5*2.18))))-(-5/-5)))))</f>
        <v>31.83636</v>
      </c>
      <c r="C10219" t="n" s="0">
        <v>31.836360000000006</v>
      </c>
    </row>
    <row r="10220">
      <c r="A10220" t="n" s="0">
        <v>2.19</v>
      </c>
      <c r="B10220" t="n" s="0">
        <f>(-5-((((-5*(-5/((-5/(((-5*(2.19--5))-(-5+((-5*2.19)*(((-5--5)+(2.19--5))+2.19))))-(-5+-5)))*-5)))/-5)--5)+(-5*(((2.19*(2.19-(-5/-5)))*(2.19-(2.19/(-5*2.19))))-(-5/-5)))))</f>
        <v>32.495095</v>
      </c>
      <c r="C10220" t="n" s="0">
        <v>32.495095</v>
      </c>
    </row>
    <row r="10221">
      <c r="A10221" t="n" s="0">
        <v>2.2</v>
      </c>
      <c r="B10221" t="n" s="0">
        <f>(-5-((((-5*(-5/((-5/(((-5*(2.2--5))-(-5+((-5*2.2)*(((-5--5)+(2.2--5))+2.2))))-(-5+-5)))*-5)))/-5)--5)+(-5*(((2.2*(2.2-(-5/-5)))*(2.2-(2.2/(-5*2.2))))-(-5/-5)))))</f>
        <v>33.16</v>
      </c>
      <c r="C10221" t="n" s="0">
        <v>33.16000000000002</v>
      </c>
    </row>
    <row r="10222">
      <c r="A10222" t="n" s="0">
        <v>2.21</v>
      </c>
      <c r="B10222" t="n" s="0">
        <f>(-5-((((-5*(-5/((-5/(((-5*(2.21--5))-(-5+((-5*2.21)*(((-5--5)+(2.21--5))+2.21))))-(-5+-5)))*-5)))/-5)--5)+(-5*(((2.21*(2.21-(-5/-5)))*(2.21-(2.21/(-5*2.21))))-(-5/-5)))))</f>
        <v>33.831105</v>
      </c>
      <c r="C10222" t="n" s="0">
        <v>33.831105</v>
      </c>
    </row>
    <row r="10223">
      <c r="A10223" t="n" s="0">
        <v>2.22</v>
      </c>
      <c r="B10223" t="n" s="0">
        <f>(-5-((((-5*(-5/((-5/(((-5*(2.22--5))-(-5+((-5*2.22)*(((-5--5)+(2.22--5))+2.22))))-(-5+-5)))*-5)))/-5)--5)+(-5*(((2.22*(2.22-(-5/-5)))*(2.22-(2.22/(-5*2.22))))-(-5/-5)))))</f>
        <v>34.50844</v>
      </c>
      <c r="C10223" t="n" s="0">
        <v>34.50844000000001</v>
      </c>
    </row>
    <row r="10224">
      <c r="A10224" t="n" s="0">
        <v>2.23</v>
      </c>
      <c r="B10224" t="n" s="0">
        <f>(-5-((((-5*(-5/((-5/(((-5*(2.23--5))-(-5+((-5*2.23)*(((-5--5)+(2.23--5))+2.23))))-(-5+-5)))*-5)))/-5)--5)+(-5*(((2.23*(2.23-(-5/-5)))*(2.23-(2.23/(-5*2.23))))-(-5/-5)))))</f>
        <v>35.192035000000004</v>
      </c>
      <c r="C10224" t="n" s="0">
        <v>35.192035000000004</v>
      </c>
    </row>
    <row r="10225">
      <c r="A10225" t="n" s="0">
        <v>2.24</v>
      </c>
      <c r="B10225" t="n" s="0">
        <f>(-5-((((-5*(-5/((-5/(((-5*(2.24--5))-(-5+((-5*2.24)*(((-5--5)+(2.24--5))+2.24))))-(-5+-5)))*-5)))/-5)--5)+(-5*(((2.24*(2.24-(-5/-5)))*(2.24-(2.24/(-5*2.24))))-(-5/-5)))))</f>
        <v>35.88192</v>
      </c>
      <c r="C10225" t="n" s="0">
        <v>35.88192000000001</v>
      </c>
    </row>
    <row r="10226">
      <c r="A10226" t="n" s="0">
        <v>2.25</v>
      </c>
      <c r="B10226" t="n" s="0">
        <f>(-5-((((-5*(-5/((-5/(((-5*(2.25--5))-(-5+((-5*2.25)*(((-5--5)+(2.25--5))+2.25))))-(-5+-5)))*-5)))/-5)--5)+(-5*(((2.25*(2.25-(-5/-5)))*(2.25-(2.25/(-5*2.25))))-(-5/-5)))))</f>
        <v>36.578125</v>
      </c>
      <c r="C10226" t="n" s="0">
        <v>36.578125</v>
      </c>
    </row>
    <row r="10227">
      <c r="A10227" t="n" s="0">
        <v>2.26</v>
      </c>
      <c r="B10227" t="n" s="0">
        <f>(-5-((((-5*(-5/((-5/(((-5*(2.26--5))-(-5+((-5*2.26)*(((-5--5)+(2.26--5))+2.26))))-(-5+-5)))*-5)))/-5)--5)+(-5*(((2.26*(2.26-(-5/-5)))*(2.26-(2.26/(-5*2.26))))-(-5/-5)))))</f>
        <v>37.280680000000004</v>
      </c>
      <c r="C10227" t="n" s="0">
        <v>37.28067999999999</v>
      </c>
    </row>
    <row r="10228">
      <c r="A10228" t="n" s="0">
        <v>2.27</v>
      </c>
      <c r="B10228" t="n" s="0">
        <f>(-5-((((-5*(-5/((-5/(((-5*(2.27--5))-(-5+((-5*2.27)*(((-5--5)+(2.27--5))+2.27))))-(-5+-5)))*-5)))/-5)--5)+(-5*(((2.27*(2.27-(-5/-5)))*(2.27-(2.27/(-5*2.27))))-(-5/-5)))))</f>
        <v>37.989615</v>
      </c>
      <c r="C10228" t="n" s="0">
        <v>37.98961500000001</v>
      </c>
    </row>
    <row r="10229">
      <c r="A10229" t="n" s="0">
        <v>2.28</v>
      </c>
      <c r="B10229" t="n" s="0">
        <f>(-5-((((-5*(-5/((-5/(((-5*(2.28--5))-(-5+((-5*2.28)*(((-5--5)+(2.28--5))+2.28))))-(-5+-5)))*-5)))/-5)--5)+(-5*(((2.28*(2.28-(-5/-5)))*(2.28-(2.28/(-5*2.28))))-(-5/-5)))))</f>
        <v>38.70496</v>
      </c>
      <c r="C10229" t="n" s="0">
        <v>38.704959999999986</v>
      </c>
    </row>
    <row r="10230">
      <c r="A10230" t="n" s="0">
        <v>2.29</v>
      </c>
      <c r="B10230" t="n" s="0">
        <f>(-5-((((-5*(-5/((-5/(((-5*(2.29--5))-(-5+((-5*2.29)*(((-5--5)+(2.29--5))+2.29))))-(-5+-5)))*-5)))/-5)--5)+(-5*(((2.29*(2.29-(-5/-5)))*(2.29-(2.29/(-5*2.29))))-(-5/-5)))))</f>
        <v>39.426745</v>
      </c>
      <c r="C10230" t="n" s="0">
        <v>39.426745</v>
      </c>
    </row>
    <row r="10231">
      <c r="A10231" t="n" s="0">
        <v>2.3</v>
      </c>
      <c r="B10231" t="n" s="0">
        <f>(-5-((((-5*(-5/((-5/(((-5*(2.3--5))-(-5+((-5*2.3)*(((-5--5)+(2.3--5))+2.3))))-(-5+-5)))*-5)))/-5)--5)+(-5*(((2.3*(2.3-(-5/-5)))*(2.3-(2.3/(-5*2.3))))-(-5/-5)))))</f>
        <v>40.155</v>
      </c>
      <c r="C10231" t="n" s="0">
        <v>40.154999999999994</v>
      </c>
    </row>
    <row r="10232">
      <c r="A10232" t="n" s="0">
        <v>2.31</v>
      </c>
      <c r="B10232" t="n" s="0">
        <f>(-5-((((-5*(-5/((-5/(((-5*(2.31--5))-(-5+((-5*2.31)*(((-5--5)+(2.31--5))+2.31))))-(-5+-5)))*-5)))/-5)--5)+(-5*(((2.31*(2.31-(-5/-5)))*(2.31-(2.31/(-5*2.31))))-(-5/-5)))))</f>
        <v>40.889755</v>
      </c>
      <c r="C10232" t="n" s="0">
        <v>40.889755</v>
      </c>
    </row>
    <row r="10233">
      <c r="A10233" t="n" s="0">
        <v>2.32</v>
      </c>
      <c r="B10233" t="n" s="0">
        <f>(-5-((((-5*(-5/((-5/(((-5*(2.32--5))-(-5+((-5*2.32)*(((-5--5)+(2.32--5))+2.32))))-(-5+-5)))*-5)))/-5)--5)+(-5*(((2.32*(2.32-(-5/-5)))*(2.32-(2.32/(-5*2.32))))-(-5/-5)))))</f>
        <v>41.63104</v>
      </c>
      <c r="C10233" t="n" s="0">
        <v>41.631039999999985</v>
      </c>
    </row>
    <row r="10234">
      <c r="A10234" t="n" s="0">
        <v>2.33</v>
      </c>
      <c r="B10234" t="n" s="0">
        <f>(-5-((((-5*(-5/((-5/(((-5*(2.33--5))-(-5+((-5*2.33)*(((-5--5)+(2.33--5))+2.33))))-(-5+-5)))*-5)))/-5)--5)+(-5*(((2.33*(2.33-(-5/-5)))*(2.33-(2.33/(-5*2.33))))-(-5/-5)))))</f>
        <v>42.378885</v>
      </c>
      <c r="C10234" t="n" s="0">
        <v>42.378885000000004</v>
      </c>
    </row>
    <row r="10235">
      <c r="A10235" t="n" s="0">
        <v>2.34</v>
      </c>
      <c r="B10235" t="n" s="0">
        <f>(-5-((((-5*(-5/((-5/(((-5*(2.34--5))-(-5+((-5*2.34)*(((-5--5)+(2.34--5))+2.34))))-(-5+-5)))*-5)))/-5)--5)+(-5*(((2.34*(2.34-(-5/-5)))*(2.34-(2.34/(-5*2.34))))-(-5/-5)))))</f>
        <v>43.13332</v>
      </c>
      <c r="C10235" t="n" s="0">
        <v>43.13331999999998</v>
      </c>
    </row>
    <row r="10236">
      <c r="A10236" t="n" s="0">
        <v>2.35</v>
      </c>
      <c r="B10236" t="n" s="0">
        <f>(-5-((((-5*(-5/((-5/(((-5*(2.35--5))-(-5+((-5*2.35)*(((-5--5)+(2.35--5))+2.35))))-(-5+-5)))*-5)))/-5)--5)+(-5*(((2.35*(2.35-(-5/-5)))*(2.35-(2.35/(-5*2.35))))-(-5/-5)))))</f>
        <v>43.894375000000004</v>
      </c>
      <c r="C10236" t="n" s="0">
        <v>43.894375</v>
      </c>
    </row>
    <row r="10237">
      <c r="A10237" t="n" s="0">
        <v>2.36</v>
      </c>
      <c r="B10237" t="n" s="0">
        <f>(-5-((((-5*(-5/((-5/(((-5*(2.36--5))-(-5+((-5*2.36)*(((-5--5)+(2.36--5))+2.36))))-(-5+-5)))*-5)))/-5)--5)+(-5*(((2.36*(2.36-(-5/-5)))*(2.36-(2.36/(-5*2.36))))-(-5/-5)))))</f>
        <v>44.66208</v>
      </c>
      <c r="C10237" t="n" s="0">
        <v>44.66207999999999</v>
      </c>
    </row>
    <row r="10238">
      <c r="A10238" t="n" s="0">
        <v>2.37</v>
      </c>
      <c r="B10238" t="n" s="0">
        <f>(-5-((((-5*(-5/((-5/(((-5*(2.37--5))-(-5+((-5*2.37)*(((-5--5)+(2.37--5))+2.37))))-(-5+-5)))*-5)))/-5)--5)+(-5*(((2.37*(2.37-(-5/-5)))*(2.37-(2.37/(-5*2.37))))-(-5/-5)))))</f>
        <v>45.436465</v>
      </c>
      <c r="C10238" t="n" s="0">
        <v>45.43646500000001</v>
      </c>
    </row>
    <row r="10239">
      <c r="A10239" t="n" s="0">
        <v>2.38</v>
      </c>
      <c r="B10239" t="n" s="0">
        <f>(-5-((((-5*(-5/((-5/(((-5*(2.38--5))-(-5+((-5*2.38)*(((-5--5)+(2.38--5))+2.38))))-(-5+-5)))*-5)))/-5)--5)+(-5*(((2.38*(2.38-(-5/-5)))*(2.38-(2.38/(-5*2.38))))-(-5/-5)))))</f>
        <v>46.217560000000006</v>
      </c>
      <c r="C10239" t="n" s="0">
        <v>46.21755999999999</v>
      </c>
    </row>
    <row r="10240">
      <c r="A10240" t="n" s="0">
        <v>2.39</v>
      </c>
      <c r="B10240" t="n" s="0">
        <f>(-5-((((-5*(-5/((-5/(((-5*(2.39--5))-(-5+((-5*2.39)*(((-5--5)+(2.39--5))+2.39))))-(-5+-5)))*-5)))/-5)--5)+(-5*(((2.39*(2.39-(-5/-5)))*(2.39-(2.39/(-5*2.39))))-(-5/-5)))))</f>
        <v>47.005395</v>
      </c>
      <c r="C10240" t="n" s="0">
        <v>47.00539500000001</v>
      </c>
    </row>
    <row r="10241">
      <c r="A10241" t="n" s="0">
        <v>2.4</v>
      </c>
      <c r="B10241" t="n" s="0">
        <f>(-5-((((-5*(-5/((-5/(((-5*(2.4--5))-(-5+((-5*2.4)*(((-5--5)+(2.4--5))+2.4))))-(-5+-5)))*-5)))/-5)--5)+(-5*(((2.4*(2.4-(-5/-5)))*(2.4-(2.4/(-5*2.4))))-(-5/-5)))))</f>
        <v>47.8</v>
      </c>
      <c r="C10241" t="n" s="0">
        <v>47.8</v>
      </c>
    </row>
    <row r="10242">
      <c r="A10242" t="n" s="0">
        <v>2.41</v>
      </c>
      <c r="B10242" t="n" s="0">
        <f>(-5-((((-5*(-5/((-5/(((-5*(2.41--5))-(-5+((-5*2.41)*(((-5--5)+(2.41--5))+2.41))))-(-5+-5)))*-5)))/-5)--5)+(-5*(((2.41*(2.41-(-5/-5)))*(2.41-(2.41/(-5*2.41))))-(-5/-5)))))</f>
        <v>48.601405</v>
      </c>
      <c r="C10242" t="n" s="0">
        <v>48.601405000000014</v>
      </c>
    </row>
    <row r="10243">
      <c r="A10243" t="n" s="0">
        <v>2.42</v>
      </c>
      <c r="B10243" t="n" s="0">
        <f>(-5-((((-5*(-5/((-5/(((-5*(2.42--5))-(-5+((-5*2.42)*(((-5--5)+(2.42--5))+2.42))))-(-5+-5)))*-5)))/-5)--5)+(-5*(((2.42*(2.42-(-5/-5)))*(2.42-(2.42/(-5*2.42))))-(-5/-5)))))</f>
        <v>49.40964</v>
      </c>
      <c r="C10243" t="n" s="0">
        <v>49.409639999999996</v>
      </c>
    </row>
    <row r="10244">
      <c r="A10244" t="n" s="0">
        <v>2.43</v>
      </c>
      <c r="B10244" t="n" s="0">
        <f>(-5-((((-5*(-5/((-5/(((-5*(2.43--5))-(-5+((-5*2.43)*(((-5--5)+(2.43--5))+2.43))))-(-5+-5)))*-5)))/-5)--5)+(-5*(((2.43*(2.43-(-5/-5)))*(2.43-(2.43/(-5*2.43))))-(-5/-5)))))</f>
        <v>50.224735</v>
      </c>
      <c r="C10244" t="n" s="0">
        <v>50.22473500000001</v>
      </c>
    </row>
    <row r="10245">
      <c r="A10245" t="n" s="0">
        <v>2.44</v>
      </c>
      <c r="B10245" t="n" s="0">
        <f>(-5-((((-5*(-5/((-5/(((-5*(2.44--5))-(-5+((-5*2.44)*(((-5--5)+(2.44--5))+2.44))))-(-5+-5)))*-5)))/-5)--5)+(-5*(((2.44*(2.44-(-5/-5)))*(2.44-(2.44/(-5*2.44))))-(-5/-5)))))</f>
        <v>51.04672</v>
      </c>
      <c r="C10245" t="n" s="0">
        <v>51.04671999999999</v>
      </c>
    </row>
    <row r="10246">
      <c r="A10246" t="n" s="0">
        <v>2.45</v>
      </c>
      <c r="B10246" t="n" s="0">
        <f>(-5-((((-5*(-5/((-5/(((-5*(2.45--5))-(-5+((-5*2.45)*(((-5--5)+(2.45--5))+2.45))))-(-5+-5)))*-5)))/-5)--5)+(-5*(((2.45*(2.45-(-5/-5)))*(2.45-(2.45/(-5*2.45))))-(-5/-5)))))</f>
        <v>51.8756250000001</v>
      </c>
      <c r="C10246" t="n" s="0">
        <v>51.875625000000014</v>
      </c>
    </row>
    <row r="10247">
      <c r="A10247" t="n" s="0">
        <v>2.46</v>
      </c>
      <c r="B10247" t="n" s="0">
        <f>(-5-((((-5*(-5/((-5/(((-5*(2.46--5))-(-5+((-5*2.46)*(((-5--5)+(2.46--5))+2.46))))-(-5+-5)))*-5)))/-5)--5)+(-5*(((2.46*(2.46-(-5/-5)))*(2.46-(2.46/(-5*2.46))))-(-5/-5)))))</f>
        <v>52.711479999999995</v>
      </c>
      <c r="C10247" t="n" s="0">
        <v>52.71147999999998</v>
      </c>
    </row>
    <row r="10248">
      <c r="A10248" t="n" s="0">
        <v>2.47</v>
      </c>
      <c r="B10248" t="n" s="0">
        <f>(-5-((((-5*(-5/((-5/(((-5*(2.47--5))-(-5+((-5*2.47)*(((-5--5)+(2.47--5))+2.47))))-(-5+-5)))*-5)))/-5)--5)+(-5*(((2.47*(2.47-(-5/-5)))*(2.47-(2.47/(-5*2.47))))-(-5/-5)))))</f>
        <v>53.554315</v>
      </c>
      <c r="C10248" t="n" s="0">
        <v>53.554315</v>
      </c>
    </row>
    <row r="10249">
      <c r="A10249" t="n" s="0">
        <v>2.48</v>
      </c>
      <c r="B10249" t="n" s="0">
        <f>(-5-((((-5*(-5/((-5/(((-5*(2.48--5))-(-5+((-5*2.48)*(((-5--5)+(2.48--5))+2.48))))-(-5+-5)))*-5)))/-5)--5)+(-5*(((2.48*(2.48-(-5/-5)))*(2.48-(2.48/(-5*2.48))))-(-5/-5)))))</f>
        <v>54.404160000000005</v>
      </c>
      <c r="C10249" t="n" s="0">
        <v>54.404160000000005</v>
      </c>
    </row>
    <row r="10250">
      <c r="A10250" t="n" s="0">
        <v>2.49</v>
      </c>
      <c r="B10250" t="n" s="0">
        <f>(-5-((((-5*(-5/((-5/(((-5*(2.49--5))-(-5+((-5*2.49)*(((-5--5)+(2.49--5))+2.49))))-(-5+-5)))*-5)))/-5)--5)+(-5*(((2.49*(2.49-(-5/-5)))*(2.49-(2.49/(-5*2.49))))-(-5/-5)))))</f>
        <v>55.261044999999996</v>
      </c>
      <c r="C10250" t="n" s="0">
        <v>55.261045000000024</v>
      </c>
    </row>
    <row r="10251">
      <c r="A10251" t="n" s="0">
        <v>2.5</v>
      </c>
      <c r="B10251" t="n" s="0">
        <f>(-5-((((-5*(-5/((-5/(((-5*(2.5--5))-(-5+((-5*2.5)*(((-5--5)+(2.5--5))+2.5))))-(-5+-5)))*-5)))/-5)--5)+(-5*(((2.5*(2.5-(-5/-5)))*(2.5-(2.5/(-5*2.5))))-(-5/-5)))))</f>
        <v>56.125</v>
      </c>
      <c r="C10251" t="n" s="0">
        <v>56.125</v>
      </c>
    </row>
    <row r="10252">
      <c r="A10252" t="n" s="0">
        <v>2.51</v>
      </c>
      <c r="B10252" t="n" s="0">
        <f>(-5-((((-5*(-5/((-5/(((-5*(2.51--5))-(-5+((-5*2.51)*(((-5--5)+(2.51--5))+2.51))))-(-5+-5)))*-5)))/-5)--5)+(-5*(((2.51*(2.51-(-5/-5)))*(2.51-(2.51/(-5*2.51))))-(-5/-5)))))</f>
        <v>56.996055</v>
      </c>
      <c r="C10252" t="n" s="0">
        <v>56.996054999999984</v>
      </c>
    </row>
    <row r="10253">
      <c r="A10253" t="n" s="0">
        <v>2.52</v>
      </c>
      <c r="B10253" t="n" s="0">
        <f>(-5-((((-5*(-5/((-5/(((-5*(2.52--5))-(-5+((-5*2.52)*(((-5--5)+(2.52--5))+2.52))))-(-5+-5)))*-5)))/-5)--5)+(-5*(((2.52*(2.52-(-5/-5)))*(2.52-(2.52/(-5*2.52))))-(-5/-5)))))</f>
        <v>57.8742399999998</v>
      </c>
      <c r="C10253" t="n" s="0">
        <v>57.87424</v>
      </c>
    </row>
    <row r="10254">
      <c r="A10254" t="n" s="0">
        <v>2.53</v>
      </c>
      <c r="B10254" t="n" s="0">
        <f>(-5-((((-5*(-5/((-5/(((-5*(2.53--5))-(-5+((-5*2.53)*(((-5--5)+(2.53--5))+2.53))))-(-5+-5)))*-5)))/-5)--5)+(-5*(((2.53*(2.53-(-5/-5)))*(2.53-(2.53/(-5*2.53))))-(-5/-5)))))</f>
        <v>58.759585</v>
      </c>
      <c r="C10254" t="n" s="0">
        <v>58.75958499999999</v>
      </c>
    </row>
    <row r="10255">
      <c r="A10255" t="n" s="0">
        <v>2.54</v>
      </c>
      <c r="B10255" t="n" s="0">
        <f>(-5-((((-5*(-5/((-5/(((-5*(2.54--5))-(-5+((-5*2.54)*(((-5--5)+(2.54--5))+2.54))))-(-5+-5)))*-5)))/-5)--5)+(-5*(((2.54*(2.54-(-5/-5)))*(2.54-(2.54/(-5*2.54))))-(-5/-5)))))</f>
        <v>59.65212</v>
      </c>
      <c r="C10255" t="n" s="0">
        <v>59.652120000000025</v>
      </c>
    </row>
    <row r="10256">
      <c r="A10256" t="n" s="0">
        <v>2.55</v>
      </c>
      <c r="B10256" t="n" s="0">
        <f>(-5-((((-5*(-5/((-5/(((-5*(2.55--5))-(-5+((-5*2.55)*(((-5--5)+(2.55--5))+2.55))))-(-5+-5)))*-5)))/-5)--5)+(-5*(((2.55*(2.55-(-5/-5)))*(2.55-(2.55/(-5*2.55))))-(-5/-5)))))</f>
        <v>60.551874999999995</v>
      </c>
      <c r="C10256" t="n" s="0">
        <v>60.551874999999995</v>
      </c>
    </row>
    <row r="10257">
      <c r="A10257" t="n" s="0">
        <v>2.56</v>
      </c>
      <c r="B10257" t="n" s="0">
        <f>(-5-((((-5*(-5/((-5/(((-5*(2.56--5))-(-5+((-5*2.56)*(((-5--5)+(2.56--5))+2.56))))-(-5+-5)))*-5)))/-5)--5)+(-5*(((2.56*(2.56-(-5/-5)))*(2.56-(2.56/(-5*2.56))))-(-5/-5)))))</f>
        <v>61.45887999999999</v>
      </c>
      <c r="C10257" t="n" s="0">
        <v>61.45888000000002</v>
      </c>
    </row>
    <row r="10258">
      <c r="A10258" t="n" s="0">
        <v>2.57</v>
      </c>
      <c r="B10258" t="n" s="0">
        <f>(-5-((((-5*(-5/((-5/(((-5*(2.57--5))-(-5+((-5*2.57)*(((-5--5)+(2.57--5))+2.57))))-(-5+-5)))*-5)))/-5)--5)+(-5*(((2.57*(2.57-(-5/-5)))*(2.57-(2.57/(-5*2.57))))-(-5/-5)))))</f>
        <v>62.373165</v>
      </c>
      <c r="C10258" t="n" s="0">
        <v>62.37316499999997</v>
      </c>
    </row>
    <row r="10259">
      <c r="A10259" t="n" s="0">
        <v>2.58</v>
      </c>
      <c r="B10259" t="n" s="0">
        <f>(-5-((((-5*(-5/((-5/(((-5*(2.58--5))-(-5+((-5*2.58)*(((-5--5)+(2.58--5))+2.58))))-(-5+-5)))*-5)))/-5)--5)+(-5*(((2.58*(2.58-(-5/-5)))*(2.58-(2.58/(-5*2.58))))-(-5/-5)))))</f>
        <v>63.29476</v>
      </c>
      <c r="C10259" t="n" s="0">
        <v>63.29476000000001</v>
      </c>
    </row>
    <row r="10260">
      <c r="A10260" t="n" s="0">
        <v>2.59</v>
      </c>
      <c r="B10260" t="n" s="0">
        <f>(-5-((((-5*(-5/((-5/(((-5*(2.59--5))-(-5+((-5*2.59)*(((-5--5)+(2.59--5))+2.59))))-(-5+-5)))*-5)))/-5)--5)+(-5*(((2.59*(2.59-(-5/-5)))*(2.59-(2.59/(-5*2.59))))-(-5/-5)))))</f>
        <v>64.223695</v>
      </c>
      <c r="C10260" t="n" s="0">
        <v>64.22369499999998</v>
      </c>
    </row>
    <row r="10261">
      <c r="A10261" t="n" s="0">
        <v>2.6</v>
      </c>
      <c r="B10261" t="n" s="0">
        <f>(-5-((((-5*(-5/((-5/(((-5*(2.6--5))-(-5+((-5*2.6)*(((-5--5)+(2.6--5))+2.6))))-(-5+-5)))*-5)))/-5)--5)+(-5*(((2.6*(2.6-(-5/-5)))*(2.6-(2.6/(-5*2.6))))-(-5/-5)))))</f>
        <v>65.16</v>
      </c>
      <c r="C10261" t="n" s="0">
        <v>65.16</v>
      </c>
    </row>
    <row r="10262">
      <c r="A10262" t="n" s="0">
        <v>2.61</v>
      </c>
      <c r="B10262" t="n" s="0">
        <f>(-5-((((-5*(-5/((-5/(((-5*(2.61--5))-(-5+((-5*2.61)*(((-5--5)+(2.61--5))+2.61))))-(-5+-5)))*-5)))/-5)--5)+(-5*(((2.61*(2.61-(-5/-5)))*(2.61-(2.61/(-5*2.61))))-(-5/-5)))))</f>
        <v>66.10370499999999</v>
      </c>
      <c r="C10262" t="n" s="0">
        <v>66.10370499999998</v>
      </c>
    </row>
    <row r="10263">
      <c r="A10263" t="n" s="0">
        <v>2.62</v>
      </c>
      <c r="B10263" t="n" s="0">
        <f>(-5-((((-5*(-5/((-5/(((-5*(2.62--5))-(-5+((-5*2.62)*(((-5--5)+(2.62--5))+2.62))))-(-5+-5)))*-5)))/-5)--5)+(-5*(((2.62*(2.62-(-5/-5)))*(2.62-(2.62/(-5*2.62))))-(-5/-5)))))</f>
        <v>67.0548399999998</v>
      </c>
      <c r="C10263" t="n" s="0">
        <v>67.05484</v>
      </c>
    </row>
    <row r="10264">
      <c r="A10264" t="n" s="0">
        <v>2.63</v>
      </c>
      <c r="B10264" t="n" s="0">
        <f>(-5-((((-5*(-5/((-5/(((-5*(2.63--5))-(-5+((-5*2.63)*(((-5--5)+(2.63--5))+2.63))))-(-5+-5)))*-5)))/-5)--5)+(-5*(((2.63*(2.63-(-5/-5)))*(2.63-(2.63/(-5*2.63))))-(-5/-5)))))</f>
        <v>68.013435</v>
      </c>
      <c r="C10264" t="n" s="0">
        <v>68.01343499999999</v>
      </c>
    </row>
    <row r="10265">
      <c r="A10265" t="n" s="0">
        <v>2.64</v>
      </c>
      <c r="B10265" t="n" s="0">
        <f>(-5-((((-5*(-5/((-5/(((-5*(2.64--5))-(-5+((-5*2.64)*(((-5--5)+(2.64--5))+2.64))))-(-5+-5)))*-5)))/-5)--5)+(-5*(((2.64*(2.64-(-5/-5)))*(2.64-(2.64/(-5*2.64))))-(-5/-5)))))</f>
        <v>68.97952</v>
      </c>
      <c r="C10265" t="n" s="0">
        <v>68.97952000000001</v>
      </c>
    </row>
    <row r="10266">
      <c r="A10266" t="n" s="0">
        <v>2.65</v>
      </c>
      <c r="B10266" t="n" s="0">
        <f>(-5-((((-5*(-5/((-5/(((-5*(2.65--5))-(-5+((-5*2.65)*(((-5--5)+(2.65--5))+2.65))))-(-5+-5)))*-5)))/-5)--5)+(-5*(((2.65*(2.65-(-5/-5)))*(2.65-(2.65/(-5*2.65))))-(-5/-5)))))</f>
        <v>69.953125</v>
      </c>
      <c r="C10266" t="n" s="0">
        <v>69.95312499999999</v>
      </c>
    </row>
    <row r="10267">
      <c r="A10267" t="n" s="0">
        <v>2.66</v>
      </c>
      <c r="B10267" t="n" s="0">
        <f>(-5-((((-5*(-5/((-5/(((-5*(2.66--5))-(-5+((-5*2.66)*(((-5--5)+(2.66--5))+2.66))))-(-5+-5)))*-5)))/-5)--5)+(-5*(((2.66*(2.66-(-5/-5)))*(2.66-(2.66/(-5*2.66))))-(-5/-5)))))</f>
        <v>70.93428</v>
      </c>
      <c r="C10267" t="n" s="0">
        <v>70.93428000000003</v>
      </c>
    </row>
    <row r="10268">
      <c r="A10268" t="n" s="0">
        <v>2.67</v>
      </c>
      <c r="B10268" t="n" s="0">
        <f>(-5-((((-5*(-5/((-5/(((-5*(2.67--5))-(-5+((-5*2.67)*(((-5--5)+(2.67--5))+2.67))))-(-5+-5)))*-5)))/-5)--5)+(-5*(((2.67*(2.67-(-5/-5)))*(2.67-(2.67/(-5*2.67))))-(-5/-5)))))</f>
        <v>71.92301499999999</v>
      </c>
      <c r="C10268" t="n" s="0">
        <v>71.923015</v>
      </c>
    </row>
    <row r="10269">
      <c r="A10269" t="n" s="0">
        <v>2.68</v>
      </c>
      <c r="B10269" t="n" s="0">
        <f>(-5-((((-5*(-5/((-5/(((-5*(2.68--5))-(-5+((-5*2.68)*(((-5--5)+(2.68--5))+2.68))))-(-5+-5)))*-5)))/-5)--5)+(-5*(((2.68*(2.68-(-5/-5)))*(2.68-(2.68/(-5*2.68))))-(-5/-5)))))</f>
        <v>72.91936000000001</v>
      </c>
      <c r="C10269" t="n" s="0">
        <v>72.91936000000003</v>
      </c>
    </row>
    <row r="10270">
      <c r="A10270" t="n" s="0">
        <v>2.69</v>
      </c>
      <c r="B10270" t="n" s="0">
        <f>(-5-((((-5*(-5/((-5/(((-5*(2.69--5))-(-5+((-5*2.69)*(((-5--5)+(2.69--5))+2.69))))-(-5+-5)))*-5)))/-5)--5)+(-5*(((2.69*(2.69-(-5/-5)))*(2.69-(2.69/(-5*2.69))))-(-5/-5)))))</f>
        <v>73.923345</v>
      </c>
      <c r="C10270" t="n" s="0">
        <v>73.92334499999998</v>
      </c>
    </row>
    <row r="10271">
      <c r="A10271" t="n" s="0">
        <v>2.7</v>
      </c>
      <c r="B10271" t="n" s="0">
        <f>(-5-((((-5*(-5/((-5/(((-5*(2.7--5))-(-5+((-5*2.7)*(((-5--5)+(2.7--5))+2.7))))-(-5+-5)))*-5)))/-5)--5)+(-5*(((2.7*(2.7-(-5/-5)))*(2.7-(2.7/(-5*2.7))))-(-5/-5)))))</f>
        <v>74.935</v>
      </c>
      <c r="C10271" t="n" s="0">
        <v>74.93500000000003</v>
      </c>
    </row>
    <row r="10272">
      <c r="A10272" t="n" s="0">
        <v>2.71</v>
      </c>
      <c r="B10272" t="n" s="0">
        <f>(-5-((((-5*(-5/((-5/(((-5*(2.71--5))-(-5+((-5*2.71)*(((-5--5)+(2.71--5))+2.71))))-(-5+-5)))*-5)))/-5)--5)+(-5*(((2.71*(2.71-(-5/-5)))*(2.71-(2.71/(-5*2.71))))-(-5/-5)))))</f>
        <v>75.95435499999999</v>
      </c>
      <c r="C10272" t="n" s="0">
        <v>75.954355</v>
      </c>
    </row>
    <row r="10273">
      <c r="A10273" t="n" s="0">
        <v>2.72</v>
      </c>
      <c r="B10273" t="n" s="0">
        <f>(-5-((((-5*(-5/((-5/(((-5*(2.72--5))-(-5+((-5*2.72)*(((-5--5)+(2.72--5))+2.72))))-(-5+-5)))*-5)))/-5)--5)+(-5*(((2.72*(2.72-(-5/-5)))*(2.72-(2.72/(-5*2.72))))-(-5/-5)))))</f>
        <v>76.98143999999999</v>
      </c>
      <c r="C10273" t="n" s="0">
        <v>76.98144</v>
      </c>
    </row>
    <row r="10274">
      <c r="A10274" t="n" s="0">
        <v>2.73</v>
      </c>
      <c r="B10274" t="n" s="0">
        <f>(-5-((((-5*(-5/((-5/(((-5*(2.73--5))-(-5+((-5*2.73)*(((-5--5)+(2.73--5))+2.73))))-(-5+-5)))*-5)))/-5)--5)+(-5*(((2.73*(2.73-(-5/-5)))*(2.73-(2.73/(-5*2.73))))-(-5/-5)))))</f>
        <v>78.016285</v>
      </c>
      <c r="C10274" t="n" s="0">
        <v>78.016285</v>
      </c>
    </row>
    <row r="10275">
      <c r="A10275" t="n" s="0">
        <v>2.74</v>
      </c>
      <c r="B10275" t="n" s="0">
        <f>(-5-((((-5*(-5/((-5/(((-5*(2.74--5))-(-5+((-5*2.74)*(((-5--5)+(2.74--5))+2.74))))-(-5+-5)))*-5)))/-5)--5)+(-5*(((2.74*(2.74-(-5/-5)))*(2.74-(2.74/(-5*2.74))))-(-5/-5)))))</f>
        <v>79.0589199999998</v>
      </c>
      <c r="C10275" t="n" s="0">
        <v>79.05892000000001</v>
      </c>
    </row>
    <row r="10276">
      <c r="A10276" t="n" s="0">
        <v>2.75</v>
      </c>
      <c r="B10276" t="n" s="0">
        <f>(-5-((((-5*(-5/((-5/(((-5*(2.75--5))-(-5+((-5*2.75)*(((-5--5)+(2.75--5))+2.75))))-(-5+-5)))*-5)))/-5)--5)+(-5*(((2.75*(2.75-(-5/-5)))*(2.75-(2.75/(-5*2.75))))-(-5/-5)))))</f>
        <v>80.109375</v>
      </c>
      <c r="C10276" t="n" s="0">
        <v>80.109375</v>
      </c>
    </row>
    <row r="10277">
      <c r="A10277" t="n" s="0">
        <v>2.76</v>
      </c>
      <c r="B10277" t="n" s="0">
        <f>(-5-((((-5*(-5/((-5/(((-5*(2.76--5))-(-5+((-5*2.76)*(((-5--5)+(2.76--5))+2.76))))-(-5+-5)))*-5)))/-5)--5)+(-5*(((2.76*(2.76-(-5/-5)))*(2.76-(2.76/(-5*2.76))))-(-5/-5)))))</f>
        <v>81.16768</v>
      </c>
      <c r="C10277" t="n" s="0">
        <v>81.16767999999999</v>
      </c>
    </row>
    <row r="10278">
      <c r="A10278" t="n" s="0">
        <v>2.77</v>
      </c>
      <c r="B10278" t="n" s="0">
        <f>(-5-((((-5*(-5/((-5/(((-5*(2.77--5))-(-5+((-5*2.77)*(((-5--5)+(2.77--5))+2.77))))-(-5+-5)))*-5)))/-5)--5)+(-5*(((2.77*(2.77-(-5/-5)))*(2.77-(2.77/(-5*2.77))))-(-5/-5)))))</f>
        <v>82.23386500000021</v>
      </c>
      <c r="C10278" t="n" s="0">
        <v>82.23386500000001</v>
      </c>
    </row>
    <row r="10279">
      <c r="A10279" t="n" s="0">
        <v>2.78</v>
      </c>
      <c r="B10279" t="n" s="0">
        <f>(-5-((((-5*(-5/((-5/(((-5*(2.78--5))-(-5+((-5*2.78)*(((-5--5)+(2.78--5))+2.78))))-(-5+-5)))*-5)))/-5)--5)+(-5*(((2.78*(2.78-(-5/-5)))*(2.78-(2.78/(-5*2.78))))-(-5/-5)))))</f>
        <v>83.30796000000001</v>
      </c>
      <c r="C10279" t="n" s="0">
        <v>83.30795999999998</v>
      </c>
    </row>
    <row r="10280">
      <c r="A10280" t="n" s="0">
        <v>2.79</v>
      </c>
      <c r="B10280" t="n" s="0">
        <f>(-5-((((-5*(-5/((-5/(((-5*(2.79--5))-(-5+((-5*2.79)*(((-5--5)+(2.79--5))+2.79))))-(-5+-5)))*-5)))/-5)--5)+(-5*(((2.79*(2.79-(-5/-5)))*(2.79-(2.79/(-5*2.79))))-(-5/-5)))))</f>
        <v>84.389995</v>
      </c>
      <c r="C10280" t="n" s="0">
        <v>84.38999500000001</v>
      </c>
    </row>
    <row r="10281">
      <c r="A10281" t="n" s="0">
        <v>2.8</v>
      </c>
      <c r="B10281" t="n" s="0">
        <f>(-5-((((-5*(-5/((-5/(((-5*(2.8--5))-(-5+((-5*2.8)*(((-5--5)+(2.8--5))+2.8))))-(-5+-5)))*-5)))/-5)--5)+(-5*(((2.8*(2.8-(-5/-5)))*(2.8-(2.8/(-5*2.8))))-(-5/-5)))))</f>
        <v>85.47999999999999</v>
      </c>
      <c r="C10281" t="n" s="0">
        <v>85.47999999999999</v>
      </c>
    </row>
    <row r="10282">
      <c r="A10282" t="n" s="0">
        <v>2.81</v>
      </c>
      <c r="B10282" t="n" s="0">
        <f>(-5-((((-5*(-5/((-5/(((-5*(2.81--5))-(-5+((-5*2.81)*(((-5--5)+(2.81--5))+2.81))))-(-5+-5)))*-5)))/-5)--5)+(-5*(((2.81*(2.81-(-5/-5)))*(2.81-(2.81/(-5*2.81))))-(-5/-5)))))</f>
        <v>86.578005</v>
      </c>
      <c r="C10282" t="n" s="0">
        <v>86.57800500000002</v>
      </c>
    </row>
    <row r="10283">
      <c r="A10283" t="n" s="0">
        <v>2.82</v>
      </c>
      <c r="B10283" t="n" s="0">
        <f>(-5-((((-5*(-5/((-5/(((-5*(2.82--5))-(-5+((-5*2.82)*(((-5--5)+(2.82--5))+2.82))))-(-5+-5)))*-5)))/-5)--5)+(-5*(((2.82*(2.82-(-5/-5)))*(2.82-(2.82/(-5*2.82))))-(-5/-5)))))</f>
        <v>87.68404000000021</v>
      </c>
      <c r="C10283" t="n" s="0">
        <v>87.68404</v>
      </c>
    </row>
    <row r="10284">
      <c r="A10284" t="n" s="0">
        <v>2.83</v>
      </c>
      <c r="B10284" t="n" s="0">
        <f>(-5-((((-5*(-5/((-5/(((-5*(2.83--5))-(-5+((-5*2.83)*(((-5--5)+(2.83--5))+2.83))))-(-5+-5)))*-5)))/-5)--5)+(-5*(((2.83*(2.83-(-5/-5)))*(2.83-(2.83/(-5*2.83))))-(-5/-5)))))</f>
        <v>88.798135</v>
      </c>
      <c r="C10284" t="n" s="0">
        <v>88.79813500000002</v>
      </c>
    </row>
    <row r="10285">
      <c r="A10285" t="n" s="0">
        <v>2.84</v>
      </c>
      <c r="B10285" t="n" s="0">
        <f>(-5-((((-5*(-5/((-5/(((-5*(2.84--5))-(-5+((-5*2.84)*(((-5--5)+(2.84--5))+2.84))))-(-5+-5)))*-5)))/-5)--5)+(-5*(((2.84*(2.84-(-5/-5)))*(2.84-(2.84/(-5*2.84))))-(-5/-5)))))</f>
        <v>89.92032</v>
      </c>
      <c r="C10285" t="n" s="0">
        <v>89.92031999999996</v>
      </c>
    </row>
    <row r="10286">
      <c r="A10286" t="n" s="0">
        <v>2.85</v>
      </c>
      <c r="B10286" t="n" s="0">
        <f>(-5-((((-5*(-5/((-5/(((-5*(2.85--5))-(-5+((-5*2.85)*(((-5--5)+(2.85--5))+2.85))))-(-5+-5)))*-5)))/-5)--5)+(-5*(((2.85*(2.85-(-5/-5)))*(2.85-(2.85/(-5*2.85))))-(-5/-5)))))</f>
        <v>91.050625</v>
      </c>
      <c r="C10286" t="n" s="0">
        <v>91.050625</v>
      </c>
    </row>
    <row r="10287">
      <c r="A10287" t="n" s="0">
        <v>2.86</v>
      </c>
      <c r="B10287" t="n" s="0">
        <f>(-5-((((-5*(-5/((-5/(((-5*(2.86--5))-(-5+((-5*2.86)*(((-5--5)+(2.86--5))+2.86))))-(-5+-5)))*-5)))/-5)--5)+(-5*(((2.86*(2.86-(-5/-5)))*(2.86-(2.86/(-5*2.86))))-(-5/-5)))))</f>
        <v>92.18908</v>
      </c>
      <c r="C10287" t="n" s="0">
        <v>92.18907999999998</v>
      </c>
    </row>
    <row r="10288">
      <c r="A10288" t="n" s="0">
        <v>2.87</v>
      </c>
      <c r="B10288" t="n" s="0">
        <f>(-5-((((-5*(-5/((-5/(((-5*(2.87--5))-(-5+((-5*2.87)*(((-5--5)+(2.87--5))+2.87))))-(-5+-5)))*-5)))/-5)--5)+(-5*(((2.87*(2.87-(-5/-5)))*(2.87-(2.87/(-5*2.87))))-(-5/-5)))))</f>
        <v>93.33571499999981</v>
      </c>
      <c r="C10288" t="n" s="0">
        <v>93.33571500000002</v>
      </c>
    </row>
    <row r="10289">
      <c r="A10289" t="n" s="0">
        <v>2.88</v>
      </c>
      <c r="B10289" t="n" s="0">
        <f>(-5-((((-5*(-5/((-5/(((-5*(2.88--5))-(-5+((-5*2.88)*(((-5--5)+(2.88--5))+2.88))))-(-5+-5)))*-5)))/-5)--5)+(-5*(((2.88*(2.88-(-5/-5)))*(2.88-(2.88/(-5*2.88))))-(-5/-5)))))</f>
        <v>94.49056</v>
      </c>
      <c r="C10289" t="n" s="0">
        <v>94.49056</v>
      </c>
    </row>
    <row r="10290">
      <c r="A10290" t="n" s="0">
        <v>2.89</v>
      </c>
      <c r="B10290" t="n" s="0">
        <f>(-5-((((-5*(-5/((-5/(((-5*(2.89--5))-(-5+((-5*2.89)*(((-5--5)+(2.89--5))+2.89))))-(-5+-5)))*-5)))/-5)--5)+(-5*(((2.89*(2.89-(-5/-5)))*(2.89-(2.89/(-5*2.89))))-(-5/-5)))))</f>
        <v>95.653645</v>
      </c>
      <c r="C10290" t="n" s="0">
        <v>95.65364500000001</v>
      </c>
    </row>
    <row r="10291">
      <c r="A10291" t="n" s="0">
        <v>2.9</v>
      </c>
      <c r="B10291" t="n" s="0">
        <f>(-5-((((-5*(-5/((-5/(((-5*(2.9--5))-(-5+((-5*2.9)*(((-5--5)+(2.9--5))+2.9))))-(-5+-5)))*-5)))/-5)--5)+(-5*(((2.9*(2.9-(-5/-5)))*(2.9-(2.9/(-5*2.9))))-(-5/-5)))))</f>
        <v>96.825</v>
      </c>
      <c r="C10291" t="n" s="0">
        <v>96.825</v>
      </c>
    </row>
    <row r="10292">
      <c r="A10292" t="n" s="0">
        <v>2.91</v>
      </c>
      <c r="B10292" t="n" s="0">
        <f>(-5-((((-5*(-5/((-5/(((-5*(2.91--5))-(-5+((-5*2.91)*(((-5--5)+(2.91--5))+2.91))))-(-5+-5)))*-5)))/-5)--5)+(-5*(((2.91*(2.91-(-5/-5)))*(2.91-(2.91/(-5*2.91))))-(-5/-5)))))</f>
        <v>98.004655</v>
      </c>
      <c r="C10292" t="n" s="0">
        <v>98.00465500000003</v>
      </c>
    </row>
    <row r="10293">
      <c r="A10293" t="n" s="0">
        <v>2.92</v>
      </c>
      <c r="B10293" t="n" s="0">
        <f>(-5-((((-5*(-5/((-5/(((-5*(2.92--5))-(-5+((-5*2.92)*(((-5--5)+(2.92--5))+2.92))))-(-5+-5)))*-5)))/-5)--5)+(-5*(((2.92*(2.92-(-5/-5)))*(2.92-(2.92/(-5*2.92))))-(-5/-5)))))</f>
        <v>99.19264</v>
      </c>
      <c r="C10293" t="n" s="0">
        <v>99.19264</v>
      </c>
    </row>
    <row r="10294">
      <c r="A10294" t="n" s="0">
        <v>2.93</v>
      </c>
      <c r="B10294" t="n" s="0">
        <f>(-5-((((-5*(-5/((-5/(((-5*(2.93--5))-(-5+((-5*2.93)*(((-5--5)+(2.93--5))+2.93))))-(-5+-5)))*-5)))/-5)--5)+(-5*(((2.93*(2.93-(-5/-5)))*(2.93-(2.93/(-5*2.93))))-(-5/-5)))))</f>
        <v>100.38898499999999</v>
      </c>
      <c r="C10294" t="n" s="0">
        <v>100.388985</v>
      </c>
    </row>
    <row r="10295">
      <c r="A10295" t="n" s="0">
        <v>2.94</v>
      </c>
      <c r="B10295" t="n" s="0">
        <f>(-5-((((-5*(-5/((-5/(((-5*(2.94--5))-(-5+((-5*2.94)*(((-5--5)+(2.94--5))+2.94))))-(-5+-5)))*-5)))/-5)--5)+(-5*(((2.94*(2.94-(-5/-5)))*(2.94-(2.94/(-5*2.94))))-(-5/-5)))))</f>
        <v>101.5937200000002</v>
      </c>
      <c r="C10295" t="n" s="0">
        <v>101.59371999999999</v>
      </c>
    </row>
    <row r="10296">
      <c r="A10296" t="n" s="0">
        <v>2.95</v>
      </c>
      <c r="B10296" t="n" s="0">
        <f>(-5-((((-5*(-5/((-5/(((-5*(2.95--5))-(-5+((-5*2.95)*(((-5--5)+(2.95--5))+2.95))))-(-5+-5)))*-5)))/-5)--5)+(-5*(((2.95*(2.95-(-5/-5)))*(2.95-(2.95/(-5*2.95))))-(-5/-5)))))</f>
        <v>102.806875</v>
      </c>
      <c r="C10296" t="n" s="0">
        <v>102.80687500000002</v>
      </c>
    </row>
    <row r="10297">
      <c r="A10297" t="n" s="0">
        <v>2.96</v>
      </c>
      <c r="B10297" t="n" s="0">
        <f>(-5-((((-5*(-5/((-5/(((-5*(2.96--5))-(-5+((-5*2.96)*(((-5--5)+(2.96--5))+2.96))))-(-5+-5)))*-5)))/-5)--5)+(-5*(((2.96*(2.96-(-5/-5)))*(2.96-(2.96/(-5*2.96))))-(-5/-5)))))</f>
        <v>104.02848</v>
      </c>
      <c r="C10297" t="n" s="0">
        <v>104.02847999999997</v>
      </c>
    </row>
    <row r="10298">
      <c r="A10298" t="n" s="0">
        <v>2.97</v>
      </c>
      <c r="B10298" t="n" s="0">
        <f>(-5-((((-5*(-5/((-5/(((-5*(2.97--5))-(-5+((-5*2.97)*(((-5--5)+(2.97--5))+2.97))))-(-5+-5)))*-5)))/-5)--5)+(-5*(((2.97*(2.97-(-5/-5)))*(2.97-(2.97/(-5*2.97))))-(-5/-5)))))</f>
        <v>105.2585649999998</v>
      </c>
      <c r="C10298" t="n" s="0">
        <v>105.25856500000002</v>
      </c>
    </row>
    <row r="10299">
      <c r="A10299" t="n" s="0">
        <v>2.98</v>
      </c>
      <c r="B10299" t="n" s="0">
        <f>(-5-((((-5*(-5/((-5/(((-5*(2.98--5))-(-5+((-5*2.98)*(((-5--5)+(2.98--5))+2.98))))-(-5+-5)))*-5)))/-5)--5)+(-5*(((2.98*(2.98-(-5/-5)))*(2.98-(2.98/(-5*2.98))))-(-5/-5)))))</f>
        <v>106.49716000000001</v>
      </c>
      <c r="C10299" t="n" s="0">
        <v>106.49716</v>
      </c>
    </row>
    <row r="10300">
      <c r="A10300" t="n" s="0">
        <v>2.99</v>
      </c>
      <c r="B10300" t="n" s="0">
        <f>(-5-((((-5*(-5/((-5/(((-5*(2.99--5))-(-5+((-5*2.99)*(((-5--5)+(2.99--5))+2.99))))-(-5+-5)))*-5)))/-5)--5)+(-5*(((2.99*(2.99-(-5/-5)))*(2.99-(2.99/(-5*2.99))))-(-5/-5)))))</f>
        <v>107.74429500000019</v>
      </c>
      <c r="C10300" t="n" s="0">
        <v>107.74429500000002</v>
      </c>
    </row>
    <row r="10301">
      <c r="A10301" t="n" s="0">
        <v>3.0</v>
      </c>
      <c r="B10301" t="n" s="0">
        <f>(-5-((((-5*(-5/((-5/(((-5*(3--5))-(-5+((-5*3)*(((-5--5)+(3--5))+3))))-(-5+-5)))*-5)))/-5)--5)+(-5*(((3*(3-(-5/-5)))*(3-(3/(-5*3))))-(-5/-5)))))</f>
        <v>109.0000000000002</v>
      </c>
      <c r="C10301" t="n" s="0">
        <v>109.0</v>
      </c>
    </row>
    <row r="10302">
      <c r="A10302" t="n" s="0">
        <v>3.01</v>
      </c>
      <c r="B10302" t="n" s="0">
        <f>(-5-((((-5*(-5/((-5/(((-5*(3.01--5))-(-5+((-5*3.01)*(((-5--5)+(3.01--5))+3.01))))-(-5+-5)))*-5)))/-5)--5)+(-5*(((3.01*(3.01-(-5/-5)))*(3.01-(3.01/(-5*3.01))))-(-5/-5)))))</f>
        <v>110.26430500000001</v>
      </c>
      <c r="C10302" t="n" s="0">
        <v>110.26430499999996</v>
      </c>
    </row>
    <row r="10303">
      <c r="A10303" t="n" s="0">
        <v>3.02</v>
      </c>
      <c r="B10303" t="n" s="0">
        <f>(-5-((((-5*(-5/((-5/(((-5*(3.02--5))-(-5+((-5*3.02)*(((-5--5)+(3.02--5))+3.02))))-(-5+-5)))*-5)))/-5)--5)+(-5*(((3.02*(3.02-(-5/-5)))*(3.02-(3.02/(-5*3.02))))-(-5/-5)))))</f>
        <v>111.53724</v>
      </c>
      <c r="C10303" t="n" s="0">
        <v>111.53724</v>
      </c>
    </row>
    <row r="10304">
      <c r="A10304" t="n" s="0">
        <v>3.03</v>
      </c>
      <c r="B10304" t="n" s="0">
        <f>(-5-((((-5*(-5/((-5/(((-5*(3.03--5))-(-5+((-5*3.03)*(((-5--5)+(3.03--5))+3.03))))-(-5+-5)))*-5)))/-5)--5)+(-5*(((3.03*(3.03-(-5/-5)))*(3.03-(3.03/(-5*3.03))))-(-5/-5)))))</f>
        <v>112.818835</v>
      </c>
      <c r="C10304" t="n" s="0">
        <v>112.81883499999995</v>
      </c>
    </row>
    <row r="10305">
      <c r="A10305" t="n" s="0">
        <v>3.04</v>
      </c>
      <c r="B10305" t="n" s="0">
        <f>(-5-((((-5*(-5/((-5/(((-5*(3.04--5))-(-5+((-5*3.04)*(((-5--5)+(3.04--5))+3.04))))-(-5+-5)))*-5)))/-5)--5)+(-5*(((3.04*(3.04-(-5/-5)))*(3.04-(3.04/(-5*3.04))))-(-5/-5)))))</f>
        <v>114.10911999999979</v>
      </c>
      <c r="C10305" t="n" s="0">
        <v>114.10912000000002</v>
      </c>
    </row>
    <row r="10306">
      <c r="A10306" t="n" s="0">
        <v>3.05</v>
      </c>
      <c r="B10306" t="n" s="0">
        <f>(-5-((((-5*(-5/((-5/(((-5*(3.05--5))-(-5+((-5*3.05)*(((-5--5)+(3.05--5))+3.05))))-(-5+-5)))*-5)))/-5)--5)+(-5*(((3.05*(3.05-(-5/-5)))*(3.05-(3.05/(-5*3.05))))-(-5/-5)))))</f>
        <v>115.40812499999981</v>
      </c>
      <c r="C10306" t="n" s="0">
        <v>115.40812499999998</v>
      </c>
    </row>
    <row r="10307">
      <c r="A10307" t="n" s="0">
        <v>3.06</v>
      </c>
      <c r="B10307" t="n" s="0">
        <f>(-5-((((-5*(-5/((-5/(((-5*(3.06--5))-(-5+((-5*3.06)*(((-5--5)+(3.06--5))+3.06))))-(-5+-5)))*-5)))/-5)--5)+(-5*(((3.06*(3.06-(-5/-5)))*(3.06-(3.06/(-5*3.06))))-(-5/-5)))))</f>
        <v>116.71588</v>
      </c>
      <c r="C10307" t="n" s="0">
        <v>116.71588</v>
      </c>
    </row>
    <row r="10308">
      <c r="A10308" t="n" s="0">
        <v>3.07</v>
      </c>
      <c r="B10308" t="n" s="0">
        <f>(-5-((((-5*(-5/((-5/(((-5*(3.07--5))-(-5+((-5*3.07)*(((-5--5)+(3.07--5))+3.07))))-(-5+-5)))*-5)))/-5)--5)+(-5*(((3.07*(3.07-(-5/-5)))*(3.07-(3.07/(-5*3.07))))-(-5/-5)))))</f>
        <v>118.032415</v>
      </c>
      <c r="C10308" t="n" s="0">
        <v>118.03241499999996</v>
      </c>
    </row>
    <row r="10309">
      <c r="A10309" t="n" s="0">
        <v>3.08</v>
      </c>
      <c r="B10309" t="n" s="0">
        <f>(-5-((((-5*(-5/((-5/(((-5*(3.08--5))-(-5+((-5*3.08)*(((-5--5)+(3.08--5))+3.08))))-(-5+-5)))*-5)))/-5)--5)+(-5*(((3.08*(3.08-(-5/-5)))*(3.08-(3.08/(-5*3.08))))-(-5/-5)))))</f>
        <v>119.35776</v>
      </c>
      <c r="C10309" t="n" s="0">
        <v>119.35776000000001</v>
      </c>
    </row>
    <row r="10310">
      <c r="A10310" t="n" s="0">
        <v>3.09</v>
      </c>
      <c r="B10310" t="n" s="0">
        <f>(-5-((((-5*(-5/((-5/(((-5*(3.09--5))-(-5+((-5*3.09)*(((-5--5)+(3.09--5))+3.09))))-(-5+-5)))*-5)))/-5)--5)+(-5*(((3.09*(3.09-(-5/-5)))*(3.09-(3.09/(-5*3.09))))-(-5/-5)))))</f>
        <v>120.69194499999999</v>
      </c>
      <c r="C10310" t="n" s="0">
        <v>120.69194499999998</v>
      </c>
    </row>
    <row r="10311">
      <c r="A10311" t="n" s="0">
        <v>3.1</v>
      </c>
      <c r="B10311" t="n" s="0">
        <f>(-5-((((-5*(-5/((-5/(((-5*(3.1--5))-(-5+((-5*3.1)*(((-5--5)+(3.1--5))+3.1))))-(-5+-5)))*-5)))/-5)--5)+(-5*(((3.1*(3.1-(-5/-5)))*(3.1-(3.1/(-5*3.1))))-(-5/-5)))))</f>
        <v>122.03500000000001</v>
      </c>
      <c r="C10311" t="n" s="0">
        <v>122.03500000000003</v>
      </c>
    </row>
    <row r="10312">
      <c r="A10312" t="n" s="0">
        <v>3.11</v>
      </c>
      <c r="B10312" t="n" s="0">
        <f>(-5-((((-5*(-5/((-5/(((-5*(3.11--5))-(-5+((-5*3.11)*(((-5--5)+(3.11--5))+3.11))))-(-5+-5)))*-5)))/-5)--5)+(-5*(((3.11*(3.11-(-5/-5)))*(3.11-(3.11/(-5*3.11))))-(-5/-5)))))</f>
        <v>123.386955</v>
      </c>
      <c r="C10312" t="n" s="0">
        <v>123.386955</v>
      </c>
    </row>
    <row r="10313">
      <c r="A10313" t="n" s="0">
        <v>3.12</v>
      </c>
      <c r="B10313" t="n" s="0">
        <f>(-5-((((-5*(-5/((-5/(((-5*(3.12--5))-(-5+((-5*3.12)*(((-5--5)+(3.12--5))+3.12))))-(-5+-5)))*-5)))/-5)--5)+(-5*(((3.12*(3.12-(-5/-5)))*(3.12-(3.12/(-5*3.12))))-(-5/-5)))))</f>
        <v>124.74784</v>
      </c>
      <c r="C10313" t="n" s="0">
        <v>124.74784</v>
      </c>
    </row>
    <row r="10314">
      <c r="A10314" t="n" s="0">
        <v>3.13</v>
      </c>
      <c r="B10314" t="n" s="0">
        <f>(-5-((((-5*(-5/((-5/(((-5*(3.13--5))-(-5+((-5*3.13)*(((-5--5)+(3.13--5))+3.13))))-(-5+-5)))*-5)))/-5)--5)+(-5*(((3.13*(3.13-(-5/-5)))*(3.13-(3.13/(-5*3.13))))-(-5/-5)))))</f>
        <v>126.1176850000002</v>
      </c>
      <c r="C10314" t="n" s="0">
        <v>126.117685</v>
      </c>
    </row>
    <row r="10315">
      <c r="A10315" t="n" s="0">
        <v>3.14</v>
      </c>
      <c r="B10315" t="n" s="0">
        <f>(-5-((((-5*(-5/((-5/(((-5*(3.14--5))-(-5+((-5*3.14)*(((-5--5)+(3.14--5))+3.14))))-(-5+-5)))*-5)))/-5)--5)+(-5*(((3.14*(3.14-(-5/-5)))*(3.14-(3.14/(-5*3.14))))-(-5/-5)))))</f>
        <v>127.49652</v>
      </c>
      <c r="C10315" t="n" s="0">
        <v>127.49652</v>
      </c>
    </row>
    <row r="10316">
      <c r="A10316" t="n" s="0">
        <v>3.15</v>
      </c>
      <c r="B10316" t="n" s="0">
        <f>(-5-((((-5*(-5/((-5/(((-5*(3.15--5))-(-5+((-5*3.15)*(((-5--5)+(3.15--5))+3.15))))-(-5+-5)))*-5)))/-5)--5)+(-5*(((3.15*(3.15-(-5/-5)))*(3.15-(3.15/(-5*3.15))))-(-5/-5)))))</f>
        <v>128.884375</v>
      </c>
      <c r="C10316" t="n" s="0">
        <v>128.88437499999998</v>
      </c>
    </row>
    <row r="10317">
      <c r="A10317" t="n" s="0">
        <v>3.16</v>
      </c>
      <c r="B10317" t="n" s="0">
        <f>(-5-((((-5*(-5/((-5/(((-5*(3.16--5))-(-5+((-5*3.16)*(((-5--5)+(3.16--5))+3.16))))-(-5+-5)))*-5)))/-5)--5)+(-5*(((3.16*(3.16-(-5/-5)))*(3.16-(3.16/(-5*3.16))))-(-5/-5)))))</f>
        <v>130.28128</v>
      </c>
      <c r="C10317" t="n" s="0">
        <v>130.28128</v>
      </c>
    </row>
    <row r="10318">
      <c r="A10318" t="n" s="0">
        <v>3.17</v>
      </c>
      <c r="B10318" t="n" s="0">
        <f>(-5-((((-5*(-5/((-5/(((-5*(3.17--5))-(-5+((-5*3.17)*(((-5--5)+(3.17--5))+3.17))))-(-5+-5)))*-5)))/-5)--5)+(-5*(((3.17*(3.17-(-5/-5)))*(3.17-(3.17/(-5*3.17))))-(-5/-5)))))</f>
        <v>131.687265</v>
      </c>
      <c r="C10318" t="n" s="0">
        <v>131.68726499999997</v>
      </c>
    </row>
    <row r="10319">
      <c r="A10319" t="n" s="0">
        <v>3.18</v>
      </c>
      <c r="B10319" t="n" s="0">
        <f>(-5-((((-5*(-5/((-5/(((-5*(3.18--5))-(-5+((-5*3.18)*(((-5--5)+(3.18--5))+3.18))))-(-5+-5)))*-5)))/-5)--5)+(-5*(((3.18*(3.18-(-5/-5)))*(3.18-(3.18/(-5*3.18))))-(-5/-5)))))</f>
        <v>133.10236</v>
      </c>
      <c r="C10319" t="n" s="0">
        <v>133.10236</v>
      </c>
    </row>
    <row r="10320">
      <c r="A10320" t="n" s="0">
        <v>3.19</v>
      </c>
      <c r="B10320" t="n" s="0">
        <f>(-5-((((-5*(-5/((-5/(((-5*(3.19--5))-(-5+((-5*3.19)*(((-5--5)+(3.19--5))+3.19))))-(-5+-5)))*-5)))/-5)--5)+(-5*(((3.19*(3.19-(-5/-5)))*(3.19-(3.19/(-5*3.19))))-(-5/-5)))))</f>
        <v>134.526595</v>
      </c>
      <c r="C10320" t="n" s="0">
        <v>134.526595</v>
      </c>
    </row>
    <row r="10321">
      <c r="A10321" t="n" s="0">
        <v>3.2</v>
      </c>
      <c r="B10321" t="n" s="0">
        <f>(-5-((((-5*(-5/((-5/(((-5*(3.2--5))-(-5+((-5*3.2)*(((-5--5)+(3.2--5))+3.2))))-(-5+-5)))*-5)))/-5)--5)+(-5*(((3.2*(3.2-(-5/-5)))*(3.2-(3.2/(-5*3.2))))-(-5/-5)))))</f>
        <v>135.96</v>
      </c>
      <c r="C10321" t="n" s="0">
        <v>135.96</v>
      </c>
    </row>
    <row r="10322">
      <c r="A10322" t="n" s="0">
        <v>3.21</v>
      </c>
      <c r="B10322" t="n" s="0">
        <f>(-5-((((-5*(-5/((-5/(((-5*(3.21--5))-(-5+((-5*3.21)*(((-5--5)+(3.21--5))+3.21))))-(-5+-5)))*-5)))/-5)--5)+(-5*(((3.21*(3.21-(-5/-5)))*(3.21-(3.21/(-5*3.21))))-(-5/-5)))))</f>
        <v>137.402605</v>
      </c>
      <c r="C10322" t="n" s="0">
        <v>137.402605</v>
      </c>
    </row>
    <row r="10323">
      <c r="A10323" t="n" s="0">
        <v>3.22</v>
      </c>
      <c r="B10323" t="n" s="0">
        <f>(-5-((((-5*(-5/((-5/(((-5*(3.22--5))-(-5+((-5*3.22)*(((-5--5)+(3.22--5))+3.22))))-(-5+-5)))*-5)))/-5)--5)+(-5*(((3.22*(3.22-(-5/-5)))*(3.22-(3.22/(-5*3.22))))-(-5/-5)))))</f>
        <v>138.85444</v>
      </c>
      <c r="C10323" t="n" s="0">
        <v>138.85444000000004</v>
      </c>
    </row>
    <row r="10324">
      <c r="A10324" t="n" s="0">
        <v>3.23</v>
      </c>
      <c r="B10324" t="n" s="0">
        <f>(-5-((((-5*(-5/((-5/(((-5*(3.23--5))-(-5+((-5*3.23)*(((-5--5)+(3.23--5))+3.23))))-(-5+-5)))*-5)))/-5)--5)+(-5*(((3.23*(3.23-(-5/-5)))*(3.23-(3.23/(-5*3.23))))-(-5/-5)))))</f>
        <v>140.3155349999998</v>
      </c>
      <c r="C10324" t="n" s="0">
        <v>140.31553499999998</v>
      </c>
    </row>
    <row r="10325">
      <c r="A10325" t="n" s="0">
        <v>3.24</v>
      </c>
      <c r="B10325" t="n" s="0">
        <f>(-5-((((-5*(-5/((-5/(((-5*(3.24--5))-(-5+((-5*3.24)*(((-5--5)+(3.24--5))+3.24))))-(-5+-5)))*-5)))/-5)--5)+(-5*(((3.24*(3.24-(-5/-5)))*(3.24-(3.24/(-5*3.24))))-(-5/-5)))))</f>
        <v>141.78592</v>
      </c>
      <c r="C10325" t="n" s="0">
        <v>141.78592</v>
      </c>
    </row>
    <row r="10326">
      <c r="A10326" t="n" s="0">
        <v>3.25</v>
      </c>
      <c r="B10326" t="n" s="0">
        <f>(-5-((((-5*(-5/((-5/(((-5*(3.25--5))-(-5+((-5*3.25)*(((-5--5)+(3.25--5))+3.25))))-(-5+-5)))*-5)))/-5)--5)+(-5*(((3.25*(3.25-(-5/-5)))*(3.25-(3.25/(-5*3.25))))-(-5/-5)))))</f>
        <v>143.2656249999998</v>
      </c>
      <c r="C10326" t="n" s="0">
        <v>143.265625</v>
      </c>
    </row>
    <row r="10327">
      <c r="A10327" t="n" s="0">
        <v>3.26</v>
      </c>
      <c r="B10327" t="n" s="0">
        <f>(-5-((((-5*(-5/((-5/(((-5*(3.26--5))-(-5+((-5*3.26)*(((-5--5)+(3.26--5))+3.26))))-(-5+-5)))*-5)))/-5)--5)+(-5*(((3.26*(3.26-(-5/-5)))*(3.26-(3.26/(-5*3.26))))-(-5/-5)))))</f>
        <v>144.75468</v>
      </c>
      <c r="C10327" t="n" s="0">
        <v>144.75467999999995</v>
      </c>
    </row>
    <row r="10328">
      <c r="A10328" t="n" s="0">
        <v>3.27</v>
      </c>
      <c r="B10328" t="n" s="0">
        <f>(-5-((((-5*(-5/((-5/(((-5*(3.27--5))-(-5+((-5*3.27)*(((-5--5)+(3.27--5))+3.27))))-(-5+-5)))*-5)))/-5)--5)+(-5*(((3.27*(3.27-(-5/-5)))*(3.27-(3.27/(-5*3.27))))-(-5/-5)))))</f>
        <v>146.253115</v>
      </c>
      <c r="C10328" t="n" s="0">
        <v>146.253115</v>
      </c>
    </row>
    <row r="10329">
      <c r="A10329" t="n" s="0">
        <v>3.28</v>
      </c>
      <c r="B10329" t="n" s="0">
        <f>(-5-((((-5*(-5/((-5/(((-5*(3.28--5))-(-5+((-5*3.28)*(((-5--5)+(3.28--5))+3.28))))-(-5+-5)))*-5)))/-5)--5)+(-5*(((3.28*(3.28-(-5/-5)))*(3.28-(3.28/(-5*3.28))))-(-5/-5)))))</f>
        <v>147.76096</v>
      </c>
      <c r="C10329" t="n" s="0">
        <v>147.76095999999998</v>
      </c>
    </row>
    <row r="10330">
      <c r="A10330" t="n" s="0">
        <v>3.29</v>
      </c>
      <c r="B10330" t="n" s="0">
        <f>(-5-((((-5*(-5/((-5/(((-5*(3.29--5))-(-5+((-5*3.29)*(((-5--5)+(3.29--5))+3.29))))-(-5+-5)))*-5)))/-5)--5)+(-5*(((3.29*(3.29-(-5/-5)))*(3.29-(3.29/(-5*3.29))))-(-5/-5)))))</f>
        <v>149.278245</v>
      </c>
      <c r="C10330" t="n" s="0">
        <v>149.278245</v>
      </c>
    </row>
    <row r="10331">
      <c r="A10331" t="n" s="0">
        <v>3.3</v>
      </c>
      <c r="B10331" t="n" s="0">
        <f>(-5-((((-5*(-5/((-5/(((-5*(3.3--5))-(-5+((-5*3.3)*(((-5--5)+(3.3--5))+3.3))))-(-5+-5)))*-5)))/-5)--5)+(-5*(((3.3*(3.3-(-5/-5)))*(3.3-(3.3/(-5*3.3))))-(-5/-5)))))</f>
        <v>150.805</v>
      </c>
      <c r="C10331" t="n" s="0">
        <v>150.805</v>
      </c>
    </row>
    <row r="10332">
      <c r="A10332" t="n" s="0">
        <v>3.31</v>
      </c>
      <c r="B10332" t="n" s="0">
        <f>(-5-((((-5*(-5/((-5/(((-5*(3.31--5))-(-5+((-5*3.31)*(((-5--5)+(3.31--5))+3.31))))-(-5+-5)))*-5)))/-5)--5)+(-5*(((3.31*(3.31-(-5/-5)))*(3.31-(3.31/(-5*3.31))))-(-5/-5)))))</f>
        <v>152.341255</v>
      </c>
      <c r="C10332" t="n" s="0">
        <v>152.341255</v>
      </c>
    </row>
    <row r="10333">
      <c r="A10333" t="n" s="0">
        <v>3.32</v>
      </c>
      <c r="B10333" t="n" s="0">
        <f>(-5-((((-5*(-5/((-5/(((-5*(3.32--5))-(-5+((-5*3.32)*(((-5--5)+(3.32--5))+3.32))))-(-5+-5)))*-5)))/-5)--5)+(-5*(((3.32*(3.32-(-5/-5)))*(3.32-(3.32/(-5*3.32))))-(-5/-5)))))</f>
        <v>153.8870400000002</v>
      </c>
      <c r="C10333" t="n" s="0">
        <v>153.88703999999998</v>
      </c>
    </row>
    <row r="10334">
      <c r="A10334" t="n" s="0">
        <v>3.33</v>
      </c>
      <c r="B10334" t="n" s="0">
        <f>(-5-((((-5*(-5/((-5/(((-5*(3.33--5))-(-5+((-5*3.33)*(((-5--5)+(3.33--5))+3.33))))-(-5+-5)))*-5)))/-5)--5)+(-5*(((3.33*(3.33-(-5/-5)))*(3.33-(3.33/(-5*3.33))))-(-5/-5)))))</f>
        <v>155.442385</v>
      </c>
      <c r="C10334" t="n" s="0">
        <v>155.44238500000003</v>
      </c>
    </row>
    <row r="10335">
      <c r="A10335" t="n" s="0">
        <v>3.34</v>
      </c>
      <c r="B10335" t="n" s="0">
        <f>(-5-((((-5*(-5/((-5/(((-5*(3.34--5))-(-5+((-5*3.34)*(((-5--5)+(3.34--5))+3.34))))-(-5+-5)))*-5)))/-5)--5)+(-5*(((3.34*(3.34-(-5/-5)))*(3.34-(3.34/(-5*3.34))))-(-5/-5)))))</f>
        <v>157.00732</v>
      </c>
      <c r="C10335" t="n" s="0">
        <v>157.00731999999996</v>
      </c>
    </row>
    <row r="10336">
      <c r="A10336" t="n" s="0">
        <v>3.35</v>
      </c>
      <c r="B10336" t="n" s="0">
        <f>(-5-((((-5*(-5/((-5/(((-5*(3.35--5))-(-5+((-5*3.35)*(((-5--5)+(3.35--5))+3.35))))-(-5+-5)))*-5)))/-5)--5)+(-5*(((3.35*(3.35-(-5/-5)))*(3.35-(3.35/(-5*3.35))))-(-5/-5)))))</f>
        <v>158.5818750000002</v>
      </c>
      <c r="C10336" t="n" s="0">
        <v>158.58187500000003</v>
      </c>
    </row>
    <row r="10337">
      <c r="A10337" t="n" s="0">
        <v>3.36</v>
      </c>
      <c r="B10337" t="n" s="0">
        <f>(-5-((((-5*(-5/((-5/(((-5*(3.36--5))-(-5+((-5*3.36)*(((-5--5)+(3.36--5))+3.36))))-(-5+-5)))*-5)))/-5)--5)+(-5*(((3.36*(3.36-(-5/-5)))*(3.36-(3.36/(-5*3.36))))-(-5/-5)))))</f>
        <v>160.16608000000002</v>
      </c>
      <c r="C10337" t="n" s="0">
        <v>160.16608</v>
      </c>
    </row>
    <row r="10338">
      <c r="A10338" t="n" s="0">
        <v>3.37</v>
      </c>
      <c r="B10338" t="n" s="0">
        <f>(-5-((((-5*(-5/((-5/(((-5*(3.37--5))-(-5+((-5*3.37)*(((-5--5)+(3.37--5))+3.37))))-(-5+-5)))*-5)))/-5)--5)+(-5*(((3.37*(3.37-(-5/-5)))*(3.37-(3.37/(-5*3.37))))-(-5/-5)))))</f>
        <v>161.75996500000022</v>
      </c>
      <c r="C10338" t="n" s="0">
        <v>161.75996500000002</v>
      </c>
    </row>
    <row r="10339">
      <c r="A10339" t="n" s="0">
        <v>3.38</v>
      </c>
      <c r="B10339" t="n" s="0">
        <f>(-5-((((-5*(-5/((-5/(((-5*(3.38--5))-(-5+((-5*3.38)*(((-5--5)+(3.38--5))+3.38))))-(-5+-5)))*-5)))/-5)--5)+(-5*(((3.38*(3.38-(-5/-5)))*(3.38-(3.38/(-5*3.38))))-(-5/-5)))))</f>
        <v>163.36356</v>
      </c>
      <c r="C10339" t="n" s="0">
        <v>163.36356</v>
      </c>
    </row>
    <row r="10340">
      <c r="A10340" t="n" s="0">
        <v>3.39</v>
      </c>
      <c r="B10340" t="n" s="0">
        <f>(-5-((((-5*(-5/((-5/(((-5*(3.39--5))-(-5+((-5*3.39)*(((-5--5)+(3.39--5))+3.39))))-(-5+-5)))*-5)))/-5)--5)+(-5*(((3.39*(3.39-(-5/-5)))*(3.39-(3.39/(-5*3.39))))-(-5/-5)))))</f>
        <v>164.9768949999998</v>
      </c>
      <c r="C10340" t="n" s="0">
        <v>164.97689500000004</v>
      </c>
    </row>
    <row r="10341">
      <c r="A10341" t="n" s="0">
        <v>3.4</v>
      </c>
      <c r="B10341" t="n" s="0">
        <f>(-5-((((-5*(-5/((-5/(((-5*(3.4--5))-(-5+((-5*3.4)*(((-5--5)+(3.4--5))+3.4))))-(-5+-5)))*-5)))/-5)--5)+(-5*(((3.4*(3.4-(-5/-5)))*(3.4-(3.4/(-5*3.4))))-(-5/-5)))))</f>
        <v>166.6</v>
      </c>
      <c r="C10341" t="n" s="0">
        <v>166.59999999999997</v>
      </c>
    </row>
    <row r="10342">
      <c r="A10342" t="n" s="0">
        <v>3.41</v>
      </c>
      <c r="B10342" t="n" s="0">
        <f>(-5-((((-5*(-5/((-5/(((-5*(3.41--5))-(-5+((-5*3.41)*(((-5--5)+(3.41--5))+3.41))))-(-5+-5)))*-5)))/-5)--5)+(-5*(((3.41*(3.41-(-5/-5)))*(3.41-(3.41/(-5*3.41))))-(-5/-5)))))</f>
        <v>168.232905</v>
      </c>
      <c r="C10342" t="n" s="0">
        <v>168.23290500000002</v>
      </c>
    </row>
    <row r="10343">
      <c r="A10343" t="n" s="0">
        <v>3.42</v>
      </c>
      <c r="B10343" t="n" s="0">
        <f>(-5-((((-5*(-5/((-5/(((-5*(3.42--5))-(-5+((-5*3.42)*(((-5--5)+(3.42--5))+3.42))))-(-5+-5)))*-5)))/-5)--5)+(-5*(((3.42*(3.42-(-5/-5)))*(3.42-(3.42/(-5*3.42))))-(-5/-5)))))</f>
        <v>169.87564</v>
      </c>
      <c r="C10343" t="n" s="0">
        <v>169.87563999999998</v>
      </c>
    </row>
    <row r="10344">
      <c r="A10344" t="n" s="0">
        <v>3.43</v>
      </c>
      <c r="B10344" t="n" s="0">
        <f>(-5-((((-5*(-5/((-5/(((-5*(3.43--5))-(-5+((-5*3.43)*(((-5--5)+(3.43--5))+3.43))))-(-5+-5)))*-5)))/-5)--5)+(-5*(((3.43*(3.43-(-5/-5)))*(3.43-(3.43/(-5*3.43))))-(-5/-5)))))</f>
        <v>171.5282350000002</v>
      </c>
      <c r="C10344" t="n" s="0">
        <v>171.52823500000002</v>
      </c>
    </row>
    <row r="10345">
      <c r="A10345" t="n" s="0">
        <v>3.44</v>
      </c>
      <c r="B10345" t="n" s="0">
        <f>(-5-((((-5*(-5/((-5/(((-5*(3.44--5))-(-5+((-5*3.44)*(((-5--5)+(3.44--5))+3.44))))-(-5+-5)))*-5)))/-5)--5)+(-5*(((3.44*(3.44-(-5/-5)))*(3.44-(3.44/(-5*3.44))))-(-5/-5)))))</f>
        <v>173.19072</v>
      </c>
      <c r="C10345" t="n" s="0">
        <v>173.19071999999997</v>
      </c>
    </row>
    <row r="10346">
      <c r="A10346" t="n" s="0">
        <v>3.45</v>
      </c>
      <c r="B10346" t="n" s="0">
        <f>(-5-((((-5*(-5/((-5/(((-5*(3.45--5))-(-5+((-5*3.45)*(((-5--5)+(3.45--5))+3.45))))-(-5+-5)))*-5)))/-5)--5)+(-5*(((3.45*(3.45-(-5/-5)))*(3.45-(3.45/(-5*3.45))))-(-5/-5)))))</f>
        <v>174.8631249999998</v>
      </c>
      <c r="C10346" t="n" s="0">
        <v>174.86312500000003</v>
      </c>
    </row>
    <row r="10347">
      <c r="A10347" t="n" s="0">
        <v>3.46</v>
      </c>
      <c r="B10347" t="n" s="0">
        <f>(-5-((((-5*(-5/((-5/(((-5*(3.46--5))-(-5+((-5*3.46)*(((-5--5)+(3.46--5))+3.46))))-(-5+-5)))*-5)))/-5)--5)+(-5*(((3.46*(3.46-(-5/-5)))*(3.46-(3.46/(-5*3.46))))-(-5/-5)))))</f>
        <v>176.5454800000002</v>
      </c>
      <c r="C10347" t="n" s="0">
        <v>176.54548</v>
      </c>
    </row>
    <row r="10348">
      <c r="A10348" t="n" s="0">
        <v>3.47</v>
      </c>
      <c r="B10348" t="n" s="0">
        <f>(-5-((((-5*(-5/((-5/(((-5*(3.47--5))-(-5+((-5*3.47)*(((-5--5)+(3.47--5))+3.47))))-(-5+-5)))*-5)))/-5)--5)+(-5*(((3.47*(3.47-(-5/-5)))*(3.47-(3.47/(-5*3.47))))-(-5/-5)))))</f>
        <v>178.237815</v>
      </c>
      <c r="C10348" t="n" s="0">
        <v>178.23781500000004</v>
      </c>
    </row>
    <row r="10349">
      <c r="A10349" t="n" s="0">
        <v>3.48</v>
      </c>
      <c r="B10349" t="n" s="0">
        <f>(-5-((((-5*(-5/((-5/(((-5*(3.48--5))-(-5+((-5*3.48)*(((-5--5)+(3.48--5))+3.48))))-(-5+-5)))*-5)))/-5)--5)+(-5*(((3.48*(3.48-(-5/-5)))*(3.48-(3.48/(-5*3.48))))-(-5/-5)))))</f>
        <v>179.94015999999982</v>
      </c>
      <c r="C10349" t="n" s="0">
        <v>179.94016</v>
      </c>
    </row>
    <row r="10350">
      <c r="A10350" t="n" s="0">
        <v>3.49</v>
      </c>
      <c r="B10350" t="n" s="0">
        <f>(-5-((((-5*(-5/((-5/(((-5*(3.49--5))-(-5+((-5*3.49)*(((-5--5)+(3.49--5))+3.49))))-(-5+-5)))*-5)))/-5)--5)+(-5*(((3.49*(3.49-(-5/-5)))*(3.49-(3.49/(-5*3.49))))-(-5/-5)))))</f>
        <v>181.6525449999998</v>
      </c>
      <c r="C10350" t="n" s="0">
        <v>181.65254500000006</v>
      </c>
    </row>
    <row r="10351">
      <c r="A10351" t="n" s="0">
        <v>3.5</v>
      </c>
      <c r="B10351" t="n" s="0">
        <f>(-5-((((-5*(-5/((-5/(((-5*(3.5--5))-(-5+((-5*3.5)*(((-5--5)+(3.5--5))+3.5))))-(-5+-5)))*-5)))/-5)--5)+(-5*(((3.5*(3.5-(-5/-5)))*(3.5-(3.5/(-5*3.5))))-(-5/-5)))))</f>
        <v>183.375</v>
      </c>
      <c r="C10351" t="n" s="0">
        <v>183.375</v>
      </c>
    </row>
    <row r="10352">
      <c r="A10352" t="n" s="0">
        <v>3.51</v>
      </c>
      <c r="B10352" t="n" s="0">
        <f>(-5-((((-5*(-5/((-5/(((-5*(3.51--5))-(-5+((-5*3.51)*(((-5--5)+(3.51--5))+3.51))))-(-5+-5)))*-5)))/-5)--5)+(-5*(((3.51*(3.51-(-5/-5)))*(3.51-(3.51/(-5*3.51))))-(-5/-5)))))</f>
        <v>185.107555</v>
      </c>
      <c r="C10352" t="n" s="0">
        <v>185.10755499999996</v>
      </c>
    </row>
    <row r="10353">
      <c r="A10353" t="n" s="0">
        <v>3.52</v>
      </c>
      <c r="B10353" t="n" s="0">
        <f>(-5-((((-5*(-5/((-5/(((-5*(3.52--5))-(-5+((-5*3.52)*(((-5--5)+(3.52--5))+3.52))))-(-5+-5)))*-5)))/-5)--5)+(-5*(((3.52*(3.52-(-5/-5)))*(3.52-(3.52/(-5*3.52))))-(-5/-5)))))</f>
        <v>186.8502400000002</v>
      </c>
      <c r="C10353" t="n" s="0">
        <v>186.85023999999999</v>
      </c>
    </row>
    <row r="10354">
      <c r="A10354" t="n" s="0">
        <v>3.53</v>
      </c>
      <c r="B10354" t="n" s="0">
        <f>(-5-((((-5*(-5/((-5/(((-5*(3.53--5))-(-5+((-5*3.53)*(((-5--5)+(3.53--5))+3.53))))-(-5+-5)))*-5)))/-5)--5)+(-5*(((3.53*(3.53-(-5/-5)))*(3.53-(3.53/(-5*3.53))))-(-5/-5)))))</f>
        <v>188.603085</v>
      </c>
      <c r="C10354" t="n" s="0">
        <v>188.603085</v>
      </c>
    </row>
    <row r="10355">
      <c r="A10355" t="n" s="0">
        <v>3.54</v>
      </c>
      <c r="B10355" t="n" s="0">
        <f>(-5-((((-5*(-5/((-5/(((-5*(3.54--5))-(-5+((-5*3.54)*(((-5--5)+(3.54--5))+3.54))))-(-5+-5)))*-5)))/-5)--5)+(-5*(((3.54*(3.54-(-5/-5)))*(3.54-(3.54/(-5*3.54))))-(-5/-5)))))</f>
        <v>190.36612</v>
      </c>
      <c r="C10355" t="n" s="0">
        <v>190.36612000000002</v>
      </c>
    </row>
    <row r="10356">
      <c r="A10356" t="n" s="0">
        <v>3.55</v>
      </c>
      <c r="B10356" t="n" s="0">
        <f>(-5-((((-5*(-5/((-5/(((-5*(3.55--5))-(-5+((-5*3.55)*(((-5--5)+(3.55--5))+3.55))))-(-5+-5)))*-5)))/-5)--5)+(-5*(((3.55*(3.55-(-5/-5)))*(3.55-(3.55/(-5*3.55))))-(-5/-5)))))</f>
        <v>192.139375</v>
      </c>
      <c r="C10356" t="n" s="0">
        <v>192.139375</v>
      </c>
    </row>
    <row r="10357">
      <c r="A10357" t="n" s="0">
        <v>3.56</v>
      </c>
      <c r="B10357" t="n" s="0">
        <f>(-5-((((-5*(-5/((-5/(((-5*(3.56--5))-(-5+((-5*3.56)*(((-5--5)+(3.56--5))+3.56))))-(-5+-5)))*-5)))/-5)--5)+(-5*(((3.56*(3.56-(-5/-5)))*(3.56-(3.56/(-5*3.56))))-(-5/-5)))))</f>
        <v>193.92288</v>
      </c>
      <c r="C10357" t="n" s="0">
        <v>193.92288000000002</v>
      </c>
    </row>
    <row r="10358">
      <c r="A10358" t="n" s="0">
        <v>3.57</v>
      </c>
      <c r="B10358" t="n" s="0">
        <f>(-5-((((-5*(-5/((-5/(((-5*(3.57--5))-(-5+((-5*3.57)*(((-5--5)+(3.57--5))+3.57))))-(-5+-5)))*-5)))/-5)--5)+(-5*(((3.57*(3.57-(-5/-5)))*(3.57-(3.57/(-5*3.57))))-(-5/-5)))))</f>
        <v>195.7166650000002</v>
      </c>
      <c r="C10358" t="n" s="0">
        <v>195.71666499999998</v>
      </c>
    </row>
    <row r="10359">
      <c r="A10359" t="n" s="0">
        <v>3.58</v>
      </c>
      <c r="B10359" t="n" s="0">
        <f>(-5-((((-5*(-5/((-5/(((-5*(3.58--5))-(-5+((-5*3.58)*(((-5--5)+(3.58--5))+3.58))))-(-5+-5)))*-5)))/-5)--5)+(-5*(((3.58*(3.58-(-5/-5)))*(3.58-(3.58/(-5*3.58))))-(-5/-5)))))</f>
        <v>197.5207600000002</v>
      </c>
      <c r="C10359" t="n" s="0">
        <v>197.52076000000002</v>
      </c>
    </row>
    <row r="10360">
      <c r="A10360" t="n" s="0">
        <v>3.59</v>
      </c>
      <c r="B10360" t="n" s="0">
        <f>(-5-((((-5*(-5/((-5/(((-5*(3.59--5))-(-5+((-5*3.59)*(((-5--5)+(3.59--5))+3.59))))-(-5+-5)))*-5)))/-5)--5)+(-5*(((3.59*(3.59-(-5/-5)))*(3.59-(3.59/(-5*3.59))))-(-5/-5)))))</f>
        <v>199.3351949999998</v>
      </c>
      <c r="C10360" t="n" s="0">
        <v>199.335195</v>
      </c>
    </row>
    <row r="10361">
      <c r="A10361" t="n" s="0">
        <v>3.6</v>
      </c>
      <c r="B10361" t="n" s="0">
        <f>(-5-((((-5*(-5/((-5/(((-5*(3.6--5))-(-5+((-5*3.6)*(((-5--5)+(3.6--5))+3.6))))-(-5+-5)))*-5)))/-5)--5)+(-5*(((3.6*(3.6-(-5/-5)))*(3.6-(3.6/(-5*3.6))))-(-5/-5)))))</f>
        <v>201.16</v>
      </c>
      <c r="C10361" t="n" s="0">
        <v>201.16000000000003</v>
      </c>
    </row>
    <row r="10362">
      <c r="A10362" t="n" s="0">
        <v>3.61</v>
      </c>
      <c r="B10362" t="n" s="0">
        <f>(-5-((((-5*(-5/((-5/(((-5*(3.61--5))-(-5+((-5*3.61)*(((-5--5)+(3.61--5))+3.61))))-(-5+-5)))*-5)))/-5)--5)+(-5*(((3.61*(3.61-(-5/-5)))*(3.61-(3.61/(-5*3.61))))-(-5/-5)))))</f>
        <v>202.995205</v>
      </c>
      <c r="C10362" t="n" s="0">
        <v>202.995205</v>
      </c>
    </row>
    <row r="10363">
      <c r="A10363" t="n" s="0">
        <v>3.62</v>
      </c>
      <c r="B10363" t="n" s="0">
        <f>(-5-((((-5*(-5/((-5/(((-5*(3.62--5))-(-5+((-5*3.62)*(((-5--5)+(3.62--5))+3.62))))-(-5+-5)))*-5)))/-5)--5)+(-5*(((3.62*(3.62-(-5/-5)))*(3.62-(3.62/(-5*3.62))))-(-5/-5)))))</f>
        <v>204.84084000000001</v>
      </c>
      <c r="C10363" t="n" s="0">
        <v>204.84084000000001</v>
      </c>
    </row>
    <row r="10364">
      <c r="A10364" t="n" s="0">
        <v>3.63</v>
      </c>
      <c r="B10364" t="n" s="0">
        <f>(-5-((((-5*(-5/((-5/(((-5*(3.63--5))-(-5+((-5*3.63)*(((-5--5)+(3.63--5))+3.63))))-(-5+-5)))*-5)))/-5)--5)+(-5*(((3.63*(3.63-(-5/-5)))*(3.63-(3.63/(-5*3.63))))-(-5/-5)))))</f>
        <v>206.6969349999998</v>
      </c>
      <c r="C10364" t="n" s="0">
        <v>206.696935</v>
      </c>
    </row>
    <row r="10365">
      <c r="A10365" t="n" s="0">
        <v>3.64</v>
      </c>
      <c r="B10365" t="n" s="0">
        <f>(-5-((((-5*(-5/((-5/(((-5*(3.64--5))-(-5+((-5*3.64)*(((-5--5)+(3.64--5))+3.64))))-(-5+-5)))*-5)))/-5)--5)+(-5*(((3.64*(3.64-(-5/-5)))*(3.64-(3.64/(-5*3.64))))-(-5/-5)))))</f>
        <v>208.56352</v>
      </c>
      <c r="C10365" t="n" s="0">
        <v>208.56352</v>
      </c>
    </row>
    <row r="10366">
      <c r="A10366" t="n" s="0">
        <v>3.65</v>
      </c>
      <c r="B10366" t="n" s="0">
        <f>(-5-((((-5*(-5/((-5/(((-5*(3.65--5))-(-5+((-5*3.65)*(((-5--5)+(3.65--5))+3.65))))-(-5+-5)))*-5)))/-5)--5)+(-5*(((3.65*(3.65-(-5/-5)))*(3.65-(3.65/(-5*3.65))))-(-5/-5)))))</f>
        <v>210.4406250000002</v>
      </c>
      <c r="C10366" t="n" s="0">
        <v>210.44062499999998</v>
      </c>
    </row>
    <row r="10367">
      <c r="A10367" t="n" s="0">
        <v>3.66</v>
      </c>
      <c r="B10367" t="n" s="0">
        <f>(-5-((((-5*(-5/((-5/(((-5*(3.66--5))-(-5+((-5*3.66)*(((-5--5)+(3.66--5))+3.66))))-(-5+-5)))*-5)))/-5)--5)+(-5*(((3.66*(3.66-(-5/-5)))*(3.66-(3.66/(-5*3.66))))-(-5/-5)))))</f>
        <v>212.32827999999998</v>
      </c>
      <c r="C10367" t="n" s="0">
        <v>212.32828</v>
      </c>
    </row>
    <row r="10368">
      <c r="A10368" t="n" s="0">
        <v>3.67</v>
      </c>
      <c r="B10368" t="n" s="0">
        <f>(-5-((((-5*(-5/((-5/(((-5*(3.67--5))-(-5+((-5*3.67)*(((-5--5)+(3.67--5))+3.67))))-(-5+-5)))*-5)))/-5)--5)+(-5*(((3.67*(3.67-(-5/-5)))*(3.67-(3.67/(-5*3.67))))-(-5/-5)))))</f>
        <v>214.22651499999978</v>
      </c>
      <c r="C10368" t="n" s="0">
        <v>214.22651499999995</v>
      </c>
    </row>
    <row r="10369">
      <c r="A10369" t="n" s="0">
        <v>3.68</v>
      </c>
      <c r="B10369" t="n" s="0">
        <f>(-5-((((-5*(-5/((-5/(((-5*(3.68--5))-(-5+((-5*3.68)*(((-5--5)+(3.68--5))+3.68))))-(-5+-5)))*-5)))/-5)--5)+(-5*(((3.68*(3.68-(-5/-5)))*(3.68-(3.68/(-5*3.68))))-(-5/-5)))))</f>
        <v>216.1353599999998</v>
      </c>
      <c r="C10369" t="n" s="0">
        <v>216.13536</v>
      </c>
    </row>
    <row r="10370">
      <c r="A10370" t="n" s="0">
        <v>3.69</v>
      </c>
      <c r="B10370" t="n" s="0">
        <f>(-5-((((-5*(-5/((-5/(((-5*(3.69--5))-(-5+((-5*3.69)*(((-5--5)+(3.69--5))+3.69))))-(-5+-5)))*-5)))/-5)--5)+(-5*(((3.69*(3.69-(-5/-5)))*(3.69-(3.69/(-5*3.69))))-(-5/-5)))))</f>
        <v>218.054845</v>
      </c>
      <c r="C10370" t="n" s="0">
        <v>218.05484499999997</v>
      </c>
    </row>
    <row r="10371">
      <c r="A10371" t="n" s="0">
        <v>3.7</v>
      </c>
      <c r="B10371" t="n" s="0">
        <f>(-5-((((-5*(-5/((-5/(((-5*(3.7--5))-(-5+((-5*3.7)*(((-5--5)+(3.7--5))+3.7))))-(-5+-5)))*-5)))/-5)--5)+(-5*(((3.7*(3.7-(-5/-5)))*(3.7-(3.7/(-5*3.7))))-(-5/-5)))))</f>
        <v>219.985</v>
      </c>
      <c r="C10371" t="n" s="0">
        <v>219.98500000000004</v>
      </c>
    </row>
    <row r="10372">
      <c r="A10372" t="n" s="0">
        <v>3.71</v>
      </c>
      <c r="B10372" t="n" s="0">
        <f>(-5-((((-5*(-5/((-5/(((-5*(3.71--5))-(-5+((-5*3.71)*(((-5--5)+(3.71--5))+3.71))))-(-5+-5)))*-5)))/-5)--5)+(-5*(((3.71*(3.71-(-5/-5)))*(3.71-(3.71/(-5*3.71))))-(-5/-5)))))</f>
        <v>221.9258550000002</v>
      </c>
      <c r="C10372" t="n" s="0">
        <v>221.92585499999998</v>
      </c>
    </row>
    <row r="10373">
      <c r="A10373" t="n" s="0">
        <v>3.72</v>
      </c>
      <c r="B10373" t="n" s="0">
        <f>(-5-((((-5*(-5/((-5/(((-5*(3.72--5))-(-5+((-5*3.72)*(((-5--5)+(3.72--5))+3.72))))-(-5+-5)))*-5)))/-5)--5)+(-5*(((3.72*(3.72-(-5/-5)))*(3.72-(3.72/(-5*3.72))))-(-5/-5)))))</f>
        <v>223.87744</v>
      </c>
      <c r="C10373" t="n" s="0">
        <v>223.87744</v>
      </c>
    </row>
    <row r="10374">
      <c r="A10374" t="n" s="0">
        <v>3.73</v>
      </c>
      <c r="B10374" t="n" s="0">
        <f>(-5-((((-5*(-5/((-5/(((-5*(3.73--5))-(-5+((-5*3.73)*(((-5--5)+(3.73--5))+3.73))))-(-5+-5)))*-5)))/-5)--5)+(-5*(((3.73*(3.73-(-5/-5)))*(3.73-(3.73/(-5*3.73))))-(-5/-5)))))</f>
        <v>225.8397850000002</v>
      </c>
      <c r="C10374" t="n" s="0">
        <v>225.839785</v>
      </c>
    </row>
    <row r="10375">
      <c r="A10375" t="n" s="0">
        <v>3.74</v>
      </c>
      <c r="B10375" t="n" s="0">
        <f>(-5-((((-5*(-5/((-5/(((-5*(3.74--5))-(-5+((-5*3.74)*(((-5--5)+(3.74--5))+3.74))))-(-5+-5)))*-5)))/-5)--5)+(-5*(((3.74*(3.74-(-5/-5)))*(3.74-(3.74/(-5*3.74))))-(-5/-5)))))</f>
        <v>227.81291999999982</v>
      </c>
      <c r="C10375" t="n" s="0">
        <v>227.81292000000008</v>
      </c>
    </row>
    <row r="10376">
      <c r="A10376" t="n" s="0">
        <v>3.75</v>
      </c>
      <c r="B10376" t="n" s="0">
        <f>(-5-((((-5*(-5/((-5/(((-5*(3.75--5))-(-5+((-5*3.75)*(((-5--5)+(3.75--5))+3.75))))-(-5+-5)))*-5)))/-5)--5)+(-5*(((3.75*(3.75-(-5/-5)))*(3.75-(3.75/(-5*3.75))))-(-5/-5)))))</f>
        <v>229.796875</v>
      </c>
      <c r="C10376" t="n" s="0">
        <v>229.796875</v>
      </c>
    </row>
    <row r="10377">
      <c r="A10377" t="n" s="0">
        <v>3.76</v>
      </c>
      <c r="B10377" t="n" s="0">
        <f>(-5-((((-5*(-5/((-5/(((-5*(3.76--5))-(-5+((-5*3.76)*(((-5--5)+(3.76--5))+3.76))))-(-5+-5)))*-5)))/-5)--5)+(-5*(((3.76*(3.76-(-5/-5)))*(3.76-(3.76/(-5*3.76))))-(-5/-5)))))</f>
        <v>231.79167999999981</v>
      </c>
      <c r="C10377" t="n" s="0">
        <v>231.79167999999996</v>
      </c>
    </row>
    <row r="10378">
      <c r="A10378" t="n" s="0">
        <v>3.77</v>
      </c>
      <c r="B10378" t="n" s="0">
        <f>(-5-((((-5*(-5/((-5/(((-5*(3.77--5))-(-5+((-5*3.77)*(((-5--5)+(3.77--5))+3.77))))-(-5+-5)))*-5)))/-5)--5)+(-5*(((3.77*(3.77-(-5/-5)))*(3.77-(3.77/(-5*3.77))))-(-5/-5)))))</f>
        <v>233.79736499999999</v>
      </c>
      <c r="C10378" t="n" s="0">
        <v>233.79736499999999</v>
      </c>
    </row>
    <row r="10379">
      <c r="A10379" t="n" s="0">
        <v>3.78</v>
      </c>
      <c r="B10379" t="n" s="0">
        <f>(-5-((((-5*(-5/((-5/(((-5*(3.78--5))-(-5+((-5*3.78)*(((-5--5)+(3.78--5))+3.78))))-(-5+-5)))*-5)))/-5)--5)+(-5*(((3.78*(3.78-(-5/-5)))*(3.78-(3.78/(-5*3.78))))-(-5/-5)))))</f>
        <v>235.81396</v>
      </c>
      <c r="C10379" t="n" s="0">
        <v>235.81395999999998</v>
      </c>
    </row>
    <row r="10380">
      <c r="A10380" t="n" s="0">
        <v>3.79</v>
      </c>
      <c r="B10380" t="n" s="0">
        <f>(-5-((((-5*(-5/((-5/(((-5*(3.79--5))-(-5+((-5*3.79)*(((-5--5)+(3.79--5))+3.79))))-(-5+-5)))*-5)))/-5)--5)+(-5*(((3.79*(3.79-(-5/-5)))*(3.79-(3.79/(-5*3.79))))-(-5/-5)))))</f>
        <v>237.8414949999996</v>
      </c>
      <c r="C10380" t="n" s="0">
        <v>237.841495</v>
      </c>
    </row>
    <row r="10381">
      <c r="A10381" t="n" s="0">
        <v>3.8</v>
      </c>
      <c r="B10381" t="n" s="0">
        <f>(-5-((((-5*(-5/((-5/(((-5*(3.8--5))-(-5+((-5*3.8)*(((-5--5)+(3.8--5))+3.8))))-(-5+-5)))*-5)))/-5)--5)+(-5*(((3.8*(3.8-(-5/-5)))*(3.8-(3.8/(-5*3.8))))-(-5/-5)))))</f>
        <v>239.88</v>
      </c>
      <c r="C10381" t="n" s="0">
        <v>239.87999999999994</v>
      </c>
    </row>
    <row r="10382">
      <c r="A10382" t="n" s="0">
        <v>3.81</v>
      </c>
      <c r="B10382" t="n" s="0">
        <f>(-5-((((-5*(-5/((-5/(((-5*(3.81--5))-(-5+((-5*3.81)*(((-5--5)+(3.81--5))+3.81))))-(-5+-5)))*-5)))/-5)--5)+(-5*(((3.81*(3.81-(-5/-5)))*(3.81-(3.81/(-5*3.81))))-(-5/-5)))))</f>
        <v>241.9295049999998</v>
      </c>
      <c r="C10382" t="n" s="0">
        <v>241.929505</v>
      </c>
    </row>
    <row r="10383">
      <c r="A10383" t="n" s="0">
        <v>3.82</v>
      </c>
      <c r="B10383" t="n" s="0">
        <f>(-5-((((-5*(-5/((-5/(((-5*(3.82--5))-(-5+((-5*3.82)*(((-5--5)+(3.82--5))+3.82))))-(-5+-5)))*-5)))/-5)--5)+(-5*(((3.82*(3.82-(-5/-5)))*(3.82-(3.82/(-5*3.82))))-(-5/-5)))))</f>
        <v>243.99004</v>
      </c>
      <c r="C10383" t="n" s="0">
        <v>243.99003999999996</v>
      </c>
    </row>
    <row r="10384">
      <c r="A10384" t="n" s="0">
        <v>3.83</v>
      </c>
      <c r="B10384" t="n" s="0">
        <f>(-5-((((-5*(-5/((-5/(((-5*(3.83--5))-(-5+((-5*3.83)*(((-5--5)+(3.83--5))+3.83))))-(-5+-5)))*-5)))/-5)--5)+(-5*(((3.83*(3.83-(-5/-5)))*(3.83-(3.83/(-5*3.83))))-(-5/-5)))))</f>
        <v>246.061635</v>
      </c>
      <c r="C10384" t="n" s="0">
        <v>246.06163500000002</v>
      </c>
    </row>
    <row r="10385">
      <c r="A10385" t="n" s="0">
        <v>3.84</v>
      </c>
      <c r="B10385" t="n" s="0">
        <f>(-5-((((-5*(-5/((-5/(((-5*(3.84--5))-(-5+((-5*3.84)*(((-5--5)+(3.84--5))+3.84))))-(-5+-5)))*-5)))/-5)--5)+(-5*(((3.84*(3.84-(-5/-5)))*(3.84-(3.84/(-5*3.84))))-(-5/-5)))))</f>
        <v>248.14432</v>
      </c>
      <c r="C10385" t="n" s="0">
        <v>248.14431999999994</v>
      </c>
    </row>
    <row r="10386">
      <c r="A10386" t="n" s="0">
        <v>3.85</v>
      </c>
      <c r="B10386" t="n" s="0">
        <f>(-5-((((-5*(-5/((-5/(((-5*(3.85--5))-(-5+((-5*3.85)*(((-5--5)+(3.85--5))+3.85))))-(-5+-5)))*-5)))/-5)--5)+(-5*(((3.85*(3.85-(-5/-5)))*(3.85-(3.85/(-5*3.85))))-(-5/-5)))))</f>
        <v>250.2381249999998</v>
      </c>
      <c r="C10386" t="n" s="0">
        <v>250.23812499999997</v>
      </c>
    </row>
    <row r="10387">
      <c r="A10387" t="n" s="0">
        <v>3.86</v>
      </c>
      <c r="B10387" t="n" s="0">
        <f>(-5-((((-5*(-5/((-5/(((-5*(3.86--5))-(-5+((-5*3.86)*(((-5--5)+(3.86--5))+3.86))))-(-5+-5)))*-5)))/-5)--5)+(-5*(((3.86*(3.86-(-5/-5)))*(3.86-(3.86/(-5*3.86))))-(-5/-5)))))</f>
        <v>252.3430800000002</v>
      </c>
      <c r="C10387" t="n" s="0">
        <v>252.34308</v>
      </c>
    </row>
    <row r="10388">
      <c r="A10388" t="n" s="0">
        <v>3.87</v>
      </c>
      <c r="B10388" t="n" s="0">
        <f>(-5-((((-5*(-5/((-5/(((-5*(3.87--5))-(-5+((-5*3.87)*(((-5--5)+(3.87--5))+3.87))))-(-5+-5)))*-5)))/-5)--5)+(-5*(((3.87*(3.87-(-5/-5)))*(3.87-(3.87/(-5*3.87))))-(-5/-5)))))</f>
        <v>254.4592149999998</v>
      </c>
      <c r="C10388" t="n" s="0">
        <v>254.45921500000003</v>
      </c>
    </row>
    <row r="10389">
      <c r="A10389" t="n" s="0">
        <v>3.88</v>
      </c>
      <c r="B10389" t="n" s="0">
        <f>(-5-((((-5*(-5/((-5/(((-5*(3.88--5))-(-5+((-5*3.88)*(((-5--5)+(3.88--5))+3.88))))-(-5+-5)))*-5)))/-5)--5)+(-5*(((3.88*(3.88-(-5/-5)))*(3.88-(3.88/(-5*3.88))))-(-5/-5)))))</f>
        <v>256.5865599999998</v>
      </c>
      <c r="C10389" t="n" s="0">
        <v>256.58656</v>
      </c>
    </row>
    <row r="10390">
      <c r="A10390" t="n" s="0">
        <v>3.89</v>
      </c>
      <c r="B10390" t="n" s="0">
        <f>(-5-((((-5*(-5/((-5/(((-5*(3.89--5))-(-5+((-5*3.89)*(((-5--5)+(3.89--5))+3.89))))-(-5+-5)))*-5)))/-5)--5)+(-5*(((3.89*(3.89-(-5/-5)))*(3.89-(3.89/(-5*3.89))))-(-5/-5)))))</f>
        <v>258.725145</v>
      </c>
      <c r="C10390" t="n" s="0">
        <v>258.72514500000005</v>
      </c>
    </row>
    <row r="10391">
      <c r="A10391" t="n" s="0">
        <v>3.9</v>
      </c>
      <c r="B10391" t="n" s="0">
        <f>(-5-((((-5*(-5/((-5/(((-5*(3.9--5))-(-5+((-5*3.9)*(((-5--5)+(3.9--5))+3.9))))-(-5+-5)))*-5)))/-5)--5)+(-5*(((3.9*(3.9-(-5/-5)))*(3.9-(3.9/(-5*3.9))))-(-5/-5)))))</f>
        <v>260.875</v>
      </c>
      <c r="C10391" t="n" s="0">
        <v>260.87499999999994</v>
      </c>
    </row>
    <row r="10392">
      <c r="A10392" t="n" s="0">
        <v>3.91</v>
      </c>
      <c r="B10392" t="n" s="0">
        <f>(-5-((((-5*(-5/((-5/(((-5*(3.91--5))-(-5+((-5*3.91)*(((-5--5)+(3.91--5))+3.91))))-(-5+-5)))*-5)))/-5)--5)+(-5*(((3.91*(3.91-(-5/-5)))*(3.91-(3.91/(-5*3.91))))-(-5/-5)))))</f>
        <v>263.036155</v>
      </c>
      <c r="C10392" t="n" s="0">
        <v>263.036155</v>
      </c>
    </row>
    <row r="10393">
      <c r="A10393" t="n" s="0">
        <v>3.92</v>
      </c>
      <c r="B10393" t="n" s="0">
        <f>(-5-((((-5*(-5/((-5/(((-5*(3.92--5))-(-5+((-5*3.92)*(((-5--5)+(3.92--5))+3.92))))-(-5+-5)))*-5)))/-5)--5)+(-5*(((3.92*(3.92-(-5/-5)))*(3.92-(3.92/(-5*3.92))))-(-5/-5)))))</f>
        <v>265.2086400000002</v>
      </c>
      <c r="C10393" t="n" s="0">
        <v>265.20863999999995</v>
      </c>
    </row>
    <row r="10394">
      <c r="A10394" t="n" s="0">
        <v>3.93</v>
      </c>
      <c r="B10394" t="n" s="0">
        <f>(-5-((((-5*(-5/((-5/(((-5*(3.93--5))-(-5+((-5*3.93)*(((-5--5)+(3.93--5))+3.93))))-(-5+-5)))*-5)))/-5)--5)+(-5*(((3.93*(3.93-(-5/-5)))*(3.93-(3.93/(-5*3.93))))-(-5/-5)))))</f>
        <v>267.3924849999998</v>
      </c>
      <c r="C10394" t="n" s="0">
        <v>267.3924850000001</v>
      </c>
    </row>
    <row r="10395">
      <c r="A10395" t="n" s="0">
        <v>3.94</v>
      </c>
      <c r="B10395" t="n" s="0">
        <f>(-5-((((-5*(-5/((-5/(((-5*(3.94--5))-(-5+((-5*3.94)*(((-5--5)+(3.94--5))+3.94))))-(-5+-5)))*-5)))/-5)--5)+(-5*(((3.94*(3.94-(-5/-5)))*(3.94-(3.94/(-5*3.94))))-(-5/-5)))))</f>
        <v>269.5877199999998</v>
      </c>
      <c r="C10395" t="n" s="0">
        <v>269.58772</v>
      </c>
    </row>
    <row r="10396">
      <c r="A10396" t="n" s="0">
        <v>3.95</v>
      </c>
      <c r="B10396" t="n" s="0">
        <f>(-5-((((-5*(-5/((-5/(((-5*(3.95--5))-(-5+((-5*3.95)*(((-5--5)+(3.95--5))+3.95))))-(-5+-5)))*-5)))/-5)--5)+(-5*(((3.95*(3.95-(-5/-5)))*(3.95-(3.95/(-5*3.95))))-(-5/-5)))))</f>
        <v>271.79437499999983</v>
      </c>
      <c r="C10396" t="n" s="0">
        <v>271.79437500000006</v>
      </c>
    </row>
    <row r="10397">
      <c r="A10397" t="n" s="0">
        <v>3.96</v>
      </c>
      <c r="B10397" t="n" s="0">
        <f>(-5-((((-5*(-5/((-5/(((-5*(3.96--5))-(-5+((-5*3.96)*(((-5--5)+(3.96--5))+3.96))))-(-5+-5)))*-5)))/-5)--5)+(-5*(((3.96*(3.96-(-5/-5)))*(3.96-(3.96/(-5*3.96))))-(-5/-5)))))</f>
        <v>274.01248</v>
      </c>
      <c r="C10397" t="n" s="0">
        <v>274.01248</v>
      </c>
    </row>
    <row r="10398">
      <c r="A10398" t="n" s="0">
        <v>3.97</v>
      </c>
      <c r="B10398" t="n" s="0">
        <f>(-5-((((-5*(-5/((-5/(((-5*(3.97--5))-(-5+((-5*3.97)*(((-5--5)+(3.97--5))+3.97))))-(-5+-5)))*-5)))/-5)--5)+(-5*(((3.97*(3.97-(-5/-5)))*(3.97-(3.97/(-5*3.97))))-(-5/-5)))))</f>
        <v>276.2420650000002</v>
      </c>
      <c r="C10398" t="n" s="0">
        <v>276.2420650000001</v>
      </c>
    </row>
    <row r="10399">
      <c r="A10399" t="n" s="0">
        <v>3.98</v>
      </c>
      <c r="B10399" t="n" s="0">
        <f>(-5-((((-5*(-5/((-5/(((-5*(3.98--5))-(-5+((-5*3.98)*(((-5--5)+(3.98--5))+3.98))))-(-5+-5)))*-5)))/-5)--5)+(-5*(((3.98*(3.98-(-5/-5)))*(3.98-(3.98/(-5*3.98))))-(-5/-5)))))</f>
        <v>278.4831599999998</v>
      </c>
      <c r="C10399" t="n" s="0">
        <v>278.48316000000005</v>
      </c>
    </row>
    <row r="10400">
      <c r="A10400" t="n" s="0">
        <v>3.99</v>
      </c>
      <c r="B10400" t="n" s="0">
        <f>(-5-((((-5*(-5/((-5/(((-5*(3.99--5))-(-5+((-5*3.99)*(((-5--5)+(3.99--5))+3.99))))-(-5+-5)))*-5)))/-5)--5)+(-5*(((3.99*(3.99-(-5/-5)))*(3.99-(3.99/(-5*3.99))))-(-5/-5)))))</f>
        <v>280.735795</v>
      </c>
      <c r="C10400" t="n" s="0">
        <v>280.7357950000001</v>
      </c>
    </row>
    <row r="10401">
      <c r="A10401" t="n" s="0">
        <v>4.0</v>
      </c>
      <c r="B10401" t="n" s="0">
        <f>(-5-((((-5*(-5/((-5/(((-5*(4--5))-(-5+((-5*4)*(((-5--5)+(4--5))+4))))-(-5+-5)))*-5)))/-5)--5)+(-5*(((4*(4-(-5/-5)))*(4-(4/(-5*4))))-(-5/-5)))))</f>
        <v>283.0</v>
      </c>
      <c r="C10401" t="n" s="0">
        <v>283.0</v>
      </c>
    </row>
    <row r="10402">
      <c r="A10402" t="n" s="0">
        <v>4.01</v>
      </c>
      <c r="B10402" t="n" s="0">
        <f>(-5-((((-5*(-5/((-5/(((-5*(4.01--5))-(-5+((-5*4.01)*(((-5--5)+(4.01--5))+4.01))))-(-5+-5)))*-5)))/-5)--5)+(-5*(((4.01*(4.01-(-5/-5)))*(4.01-(4.01/(-5*4.01))))-(-5/-5)))))</f>
        <v>285.2758049999996</v>
      </c>
      <c r="C10402" t="n" s="0">
        <v>285.27580499999993</v>
      </c>
    </row>
    <row r="10403">
      <c r="A10403" t="n" s="0">
        <v>4.02</v>
      </c>
      <c r="B10403" t="n" s="0">
        <f>(-5-((((-5*(-5/((-5/(((-5*(4.02--5))-(-5+((-5*4.02)*(((-5--5)+(4.02--5))+4.02))))-(-5+-5)))*-5)))/-5)--5)+(-5*(((4.02*(4.02-(-5/-5)))*(4.02-(4.02/(-5*4.02))))-(-5/-5)))))</f>
        <v>287.5632400000002</v>
      </c>
      <c r="C10403" t="n" s="0">
        <v>287.5632399999999</v>
      </c>
    </row>
    <row r="10404">
      <c r="A10404" t="n" s="0">
        <v>4.03</v>
      </c>
      <c r="B10404" t="n" s="0">
        <f>(-5-((((-5*(-5/((-5/(((-5*(4.03--5))-(-5+((-5*4.03)*(((-5--5)+(4.03--5))+4.03))))-(-5+-5)))*-5)))/-5)--5)+(-5*(((4.03*(4.03-(-5/-5)))*(4.03-(4.03/(-5*4.03))))-(-5/-5)))))</f>
        <v>289.8623349999998</v>
      </c>
      <c r="C10404" t="n" s="0">
        <v>289.86233500000003</v>
      </c>
    </row>
    <row r="10405">
      <c r="A10405" t="n" s="0">
        <v>4.04</v>
      </c>
      <c r="B10405" t="n" s="0">
        <f>(-5-((((-5*(-5/((-5/(((-5*(4.04--5))-(-5+((-5*4.04)*(((-5--5)+(4.04--5))+4.04))))-(-5+-5)))*-5)))/-5)--5)+(-5*(((4.04*(4.04-(-5/-5)))*(4.04-(4.04/(-5*4.04))))-(-5/-5)))))</f>
        <v>292.17312</v>
      </c>
      <c r="C10405" t="n" s="0">
        <v>292.17312000000004</v>
      </c>
    </row>
    <row r="10406">
      <c r="A10406" t="n" s="0">
        <v>4.05</v>
      </c>
      <c r="B10406" t="n" s="0">
        <f>(-5-((((-5*(-5/((-5/(((-5*(4.05--5))-(-5+((-5*4.05)*(((-5--5)+(4.05--5))+4.05))))-(-5+-5)))*-5)))/-5)--5)+(-5*(((4.05*(4.05-(-5/-5)))*(4.05-(4.05/(-5*4.05))))-(-5/-5)))))</f>
        <v>294.495625</v>
      </c>
      <c r="C10406" t="n" s="0">
        <v>294.4956249999999</v>
      </c>
    </row>
    <row r="10407">
      <c r="A10407" t="n" s="0">
        <v>4.06</v>
      </c>
      <c r="B10407" t="n" s="0">
        <f>(-5-((((-5*(-5/((-5/(((-5*(4.06--5))-(-5+((-5*4.06)*(((-5--5)+(4.06--5))+4.06))))-(-5+-5)))*-5)))/-5)--5)+(-5*(((4.06*(4.06-(-5/-5)))*(4.06-(4.06/(-5*4.06))))-(-5/-5)))))</f>
        <v>296.82988</v>
      </c>
      <c r="C10407" t="n" s="0">
        <v>296.8298799999999</v>
      </c>
    </row>
    <row r="10408">
      <c r="A10408" t="n" s="0">
        <v>4.07</v>
      </c>
      <c r="B10408" t="n" s="0">
        <f>(-5-((((-5*(-5/((-5/(((-5*(4.07--5))-(-5+((-5*4.07)*(((-5--5)+(4.07--5))+4.07))))-(-5+-5)))*-5)))/-5)--5)+(-5*(((4.07*(4.07-(-5/-5)))*(4.07-(4.07/(-5*4.07))))-(-5/-5)))))</f>
        <v>299.1759149999998</v>
      </c>
      <c r="C10408" t="n" s="0">
        <v>299.1759150000001</v>
      </c>
    </row>
    <row r="10409">
      <c r="A10409" t="n" s="0">
        <v>4.08</v>
      </c>
      <c r="B10409" t="n" s="0">
        <f>(-5-((((-5*(-5/((-5/(((-5*(4.08--5))-(-5+((-5*4.08)*(((-5--5)+(4.08--5))+4.08))))-(-5+-5)))*-5)))/-5)--5)+(-5*(((4.08*(4.08-(-5/-5)))*(4.08-(4.08/(-5*4.08))))-(-5/-5)))))</f>
        <v>301.5337599999996</v>
      </c>
      <c r="C10409" t="n" s="0">
        <v>301.5337600000001</v>
      </c>
    </row>
    <row r="10410">
      <c r="A10410" t="n" s="0">
        <v>4.09</v>
      </c>
      <c r="B10410" t="n" s="0">
        <f>(-5-((((-5*(-5/((-5/(((-5*(4.09--5))-(-5+((-5*4.09)*(((-5--5)+(4.09--5))+4.09))))-(-5+-5)))*-5)))/-5)--5)+(-5*(((4.09*(4.09-(-5/-5)))*(4.09-(4.09/(-5*4.09))))-(-5/-5)))))</f>
        <v>303.9034450000002</v>
      </c>
      <c r="C10410" t="n" s="0">
        <v>303.9034449999999</v>
      </c>
    </row>
    <row r="10411">
      <c r="A10411" t="n" s="0">
        <v>4.1</v>
      </c>
      <c r="B10411" t="n" s="0">
        <f>(-5-((((-5*(-5/((-5/(((-5*(4.1--5))-(-5+((-5*4.1)*(((-5--5)+(4.1--5))+4.1))))-(-5+-5)))*-5)))/-5)--5)+(-5*(((4.1*(4.1-(-5/-5)))*(4.1-(4.1/(-5*4.1))))-(-5/-5)))))</f>
        <v>306.28500000000037</v>
      </c>
      <c r="C10411" t="n" s="0">
        <v>306.2849999999999</v>
      </c>
    </row>
    <row r="10412">
      <c r="A10412" t="n" s="0">
        <v>4.11</v>
      </c>
      <c r="B10412" t="n" s="0">
        <f>(-5-((((-5*(-5/((-5/(((-5*(4.11--5))-(-5+((-5*4.11)*(((-5--5)+(4.11--5))+4.11))))-(-5+-5)))*-5)))/-5)--5)+(-5*(((4.11*(4.11-(-5/-5)))*(4.11-(4.11/(-5*4.11))))-(-5/-5)))))</f>
        <v>308.67845499999976</v>
      </c>
      <c r="C10412" t="n" s="0">
        <v>308.67845500000004</v>
      </c>
    </row>
    <row r="10413">
      <c r="A10413" t="n" s="0">
        <v>4.12</v>
      </c>
      <c r="B10413" t="n" s="0">
        <f>(-5-((((-5*(-5/((-5/(((-5*(4.12--5))-(-5+((-5*4.12)*(((-5--5)+(4.12--5))+4.12))))-(-5+-5)))*-5)))/-5)--5)+(-5*(((4.12*(4.12-(-5/-5)))*(4.12-(4.12/(-5*4.12))))-(-5/-5)))))</f>
        <v>311.08383999999955</v>
      </c>
      <c r="C10413" t="n" s="0">
        <v>311.08384</v>
      </c>
    </row>
    <row r="10414">
      <c r="A10414" t="n" s="0">
        <v>4.13</v>
      </c>
      <c r="B10414" t="n" s="0">
        <f>(-5-((((-5*(-5/((-5/(((-5*(4.13--5))-(-5+((-5*4.13)*(((-5--5)+(4.13--5))+4.13))))-(-5+-5)))*-5)))/-5)--5)+(-5*(((4.13*(4.13-(-5/-5)))*(4.13-(4.13/(-5*4.13))))-(-5/-5)))))</f>
        <v>313.5011850000002</v>
      </c>
      <c r="C10414" t="n" s="0">
        <v>313.50118499999996</v>
      </c>
    </row>
    <row r="10415">
      <c r="A10415" t="n" s="0">
        <v>4.14</v>
      </c>
      <c r="B10415" t="n" s="0">
        <f>(-5-((((-5*(-5/((-5/(((-5*(4.14--5))-(-5+((-5*4.14)*(((-5--5)+(4.14--5))+4.14))))-(-5+-5)))*-5)))/-5)--5)+(-5*(((4.14*(4.14-(-5/-5)))*(4.14-(4.14/(-5*4.14))))-(-5/-5)))))</f>
        <v>315.9305200000002</v>
      </c>
      <c r="C10415" t="n" s="0">
        <v>315.93051999999994</v>
      </c>
    </row>
    <row r="10416">
      <c r="A10416" t="n" s="0">
        <v>4.15</v>
      </c>
      <c r="B10416" t="n" s="0">
        <f>(-5-((((-5*(-5/((-5/(((-5*(4.15--5))-(-5+((-5*4.15)*(((-5--5)+(4.15--5))+4.15))))-(-5+-5)))*-5)))/-5)--5)+(-5*(((4.15*(4.15-(-5/-5)))*(4.15-(4.15/(-5*4.15))))-(-5/-5)))))</f>
        <v>318.37187500000016</v>
      </c>
      <c r="C10416" t="n" s="0">
        <v>318.3718750000001</v>
      </c>
    </row>
    <row r="10417">
      <c r="A10417" t="n" s="0">
        <v>4.16</v>
      </c>
      <c r="B10417" t="n" s="0">
        <f>(-5-((((-5*(-5/((-5/(((-5*(4.16--5))-(-5+((-5*4.16)*(((-5--5)+(4.16--5))+4.16))))-(-5+-5)))*-5)))/-5)--5)+(-5*(((4.16*(4.16-(-5/-5)))*(4.16-(4.16/(-5*4.16))))-(-5/-5)))))</f>
        <v>320.82528000000036</v>
      </c>
      <c r="C10417" t="n" s="0">
        <v>320.8252800000001</v>
      </c>
    </row>
    <row r="10418">
      <c r="A10418" t="n" s="0">
        <v>4.17</v>
      </c>
      <c r="B10418" t="n" s="0">
        <f>(-5-((((-5*(-5/((-5/(((-5*(4.17--5))-(-5+((-5*4.17)*(((-5--5)+(4.17--5))+4.17))))-(-5+-5)))*-5)))/-5)--5)+(-5*(((4.17*(4.17-(-5/-5)))*(4.17-(4.17/(-5*4.17))))-(-5/-5)))))</f>
        <v>323.2907649999998</v>
      </c>
      <c r="C10418" t="n" s="0">
        <v>323.29076499999996</v>
      </c>
    </row>
    <row r="10419">
      <c r="A10419" t="n" s="0">
        <v>4.18</v>
      </c>
      <c r="B10419" t="n" s="0">
        <f>(-5-((((-5*(-5/((-5/(((-5*(4.18--5))-(-5+((-5*4.18)*(((-5--5)+(4.18--5))+4.18))))-(-5+-5)))*-5)))/-5)--5)+(-5*(((4.18*(4.18-(-5/-5)))*(4.18-(4.18/(-5*4.18))))-(-5/-5)))))</f>
        <v>325.7683599999998</v>
      </c>
      <c r="C10419" t="n" s="0">
        <v>325.76836</v>
      </c>
    </row>
    <row r="10420">
      <c r="A10420" t="n" s="0">
        <v>4.19</v>
      </c>
      <c r="B10420" t="n" s="0">
        <f>(-5-((((-5*(-5/((-5/(((-5*(4.19--5))-(-5+((-5*4.19)*(((-5--5)+(4.19--5))+4.19))))-(-5+-5)))*-5)))/-5)--5)+(-5*(((4.19*(4.19-(-5/-5)))*(4.19-(4.19/(-5*4.19))))-(-5/-5)))))</f>
        <v>328.2580950000002</v>
      </c>
      <c r="C10420" t="n" s="0">
        <v>328.2580950000001</v>
      </c>
    </row>
    <row r="10421">
      <c r="A10421" t="n" s="0">
        <v>4.2</v>
      </c>
      <c r="B10421" t="n" s="0">
        <f>(-5-((((-5*(-5/((-5/(((-5*(4.2--5))-(-5+((-5*4.2)*(((-5--5)+(4.2--5))+4.2))))-(-5+-5)))*-5)))/-5)--5)+(-5*(((4.2*(4.2-(-5/-5)))*(4.2-(4.2/(-5*4.2))))-(-5/-5)))))</f>
        <v>330.7599999999998</v>
      </c>
      <c r="C10421" t="n" s="0">
        <v>330.7600000000001</v>
      </c>
    </row>
    <row r="10422">
      <c r="A10422" t="n" s="0">
        <v>4.21</v>
      </c>
      <c r="B10422" t="n" s="0">
        <f>(-5-((((-5*(-5/((-5/(((-5*(4.21--5))-(-5+((-5*4.21)*(((-5--5)+(4.21--5))+4.21))))-(-5+-5)))*-5)))/-5)--5)+(-5*(((4.21*(4.21-(-5/-5)))*(4.21-(4.21/(-5*4.21))))-(-5/-5)))))</f>
        <v>333.274105</v>
      </c>
      <c r="C10422" t="n" s="0">
        <v>333.274105</v>
      </c>
    </row>
    <row r="10423">
      <c r="A10423" t="n" s="0">
        <v>4.22</v>
      </c>
      <c r="B10423" t="n" s="0">
        <f>(-5-((((-5*(-5/((-5/(((-5*(4.22--5))-(-5+((-5*4.22)*(((-5--5)+(4.22--5))+4.22))))-(-5+-5)))*-5)))/-5)--5)+(-5*(((4.22*(4.22-(-5/-5)))*(4.22-(4.22/(-5*4.22))))-(-5/-5)))))</f>
        <v>335.80044</v>
      </c>
      <c r="C10423" t="n" s="0">
        <v>335.8004399999999</v>
      </c>
    </row>
    <row r="10424">
      <c r="A10424" t="n" s="0">
        <v>4.23</v>
      </c>
      <c r="B10424" t="n" s="0">
        <f>(-5-((((-5*(-5/((-5/(((-5*(4.23--5))-(-5+((-5*4.23)*(((-5--5)+(4.23--5))+4.23))))-(-5+-5)))*-5)))/-5)--5)+(-5*(((4.23*(4.23-(-5/-5)))*(4.23-(4.23/(-5*4.23))))-(-5/-5)))))</f>
        <v>338.339035</v>
      </c>
      <c r="C10424" t="n" s="0">
        <v>338.33903500000014</v>
      </c>
    </row>
    <row r="10425">
      <c r="A10425" t="n" s="0">
        <v>4.24</v>
      </c>
      <c r="B10425" t="n" s="0">
        <f>(-5-((((-5*(-5/((-5/(((-5*(4.24--5))-(-5+((-5*4.24)*(((-5--5)+(4.24--5))+4.24))))-(-5+-5)))*-5)))/-5)--5)+(-5*(((4.24*(4.24-(-5/-5)))*(4.24-(4.24/(-5*4.24))))-(-5/-5)))))</f>
        <v>340.88991999999996</v>
      </c>
      <c r="C10425" t="n" s="0">
        <v>340.8899200000001</v>
      </c>
    </row>
    <row r="10426">
      <c r="A10426" t="n" s="0">
        <v>4.25</v>
      </c>
      <c r="B10426" t="n" s="0">
        <f>(-5-((((-5*(-5/((-5/(((-5*(4.25--5))-(-5+((-5*4.25)*(((-5--5)+(4.25--5))+4.25))))-(-5+-5)))*-5)))/-5)--5)+(-5*(((4.25*(4.25-(-5/-5)))*(4.25-(4.25/(-5*4.25))))-(-5/-5)))))</f>
        <v>343.453125</v>
      </c>
      <c r="C10426" t="n" s="0">
        <v>343.453125</v>
      </c>
    </row>
    <row r="10427">
      <c r="A10427" t="n" s="0">
        <v>4.26</v>
      </c>
      <c r="B10427" t="n" s="0">
        <f>(-5-((((-5*(-5/((-5/(((-5*(4.26--5))-(-5+((-5*4.26)*(((-5--5)+(4.26--5))+4.26))))-(-5+-5)))*-5)))/-5)--5)+(-5*(((4.26*(4.26-(-5/-5)))*(4.26-(4.26/(-5*4.26))))-(-5/-5)))))</f>
        <v>346.02868</v>
      </c>
      <c r="C10427" t="n" s="0">
        <v>346.0286799999999</v>
      </c>
    </row>
    <row r="10428">
      <c r="A10428" t="n" s="0">
        <v>4.27</v>
      </c>
      <c r="B10428" t="n" s="0">
        <f>(-5-((((-5*(-5/((-5/(((-5*(4.27--5))-(-5+((-5*4.27)*(((-5--5)+(4.27--5))+4.27))))-(-5+-5)))*-5)))/-5)--5)+(-5*(((4.27*(4.27-(-5/-5)))*(4.27-(4.27/(-5*4.27))))-(-5/-5)))))</f>
        <v>348.6166149999998</v>
      </c>
      <c r="C10428" t="n" s="0">
        <v>348.61661499999985</v>
      </c>
    </row>
    <row r="10429">
      <c r="A10429" t="n" s="0">
        <v>4.28</v>
      </c>
      <c r="B10429" t="n" s="0">
        <f>(-5-((((-5*(-5/((-5/(((-5*(4.28--5))-(-5+((-5*4.28)*(((-5--5)+(4.28--5))+4.28))))-(-5+-5)))*-5)))/-5)--5)+(-5*(((4.28*(4.28-(-5/-5)))*(4.28-(4.28/(-5*4.28))))-(-5/-5)))))</f>
        <v>351.21695999999974</v>
      </c>
      <c r="C10429" t="n" s="0">
        <v>351.21696000000003</v>
      </c>
    </row>
    <row r="10430">
      <c r="A10430" t="n" s="0">
        <v>4.29</v>
      </c>
      <c r="B10430" t="n" s="0">
        <f>(-5-((((-5*(-5/((-5/(((-5*(4.29--5))-(-5+((-5*4.29)*(((-5--5)+(4.29--5))+4.29))))-(-5+-5)))*-5)))/-5)--5)+(-5*(((4.29*(4.29-(-5/-5)))*(4.29-(4.29/(-5*4.29))))-(-5/-5)))))</f>
        <v>353.8297449999998</v>
      </c>
      <c r="C10430" t="n" s="0">
        <v>353.82974500000006</v>
      </c>
    </row>
    <row r="10431">
      <c r="A10431" t="n" s="0">
        <v>4.3</v>
      </c>
      <c r="B10431" t="n" s="0">
        <f>(-5-((((-5*(-5/((-5/(((-5*(4.3--5))-(-5+((-5*4.3)*(((-5--5)+(4.3--5))+4.3))))-(-5+-5)))*-5)))/-5)--5)+(-5*(((4.3*(4.3-(-5/-5)))*(4.3-(4.3/(-5*4.3))))-(-5/-5)))))</f>
        <v>356.455</v>
      </c>
      <c r="C10431" t="n" s="0">
        <v>356.4549999999999</v>
      </c>
    </row>
    <row r="10432">
      <c r="A10432" t="n" s="0">
        <v>4.31</v>
      </c>
      <c r="B10432" t="n" s="0">
        <f>(-5-((((-5*(-5/((-5/(((-5*(4.31--5))-(-5+((-5*4.31)*(((-5--5)+(4.31--5))+4.31))))-(-5+-5)))*-5)))/-5)--5)+(-5*(((4.31*(4.31-(-5/-5)))*(4.31-(4.31/(-5*4.31))))-(-5/-5)))))</f>
        <v>359.092755</v>
      </c>
      <c r="C10432" t="n" s="0">
        <v>359.09275499999995</v>
      </c>
    </row>
    <row r="10433">
      <c r="A10433" t="n" s="0">
        <v>4.32</v>
      </c>
      <c r="B10433" t="n" s="0">
        <f>(-5-((((-5*(-5/((-5/(((-5*(4.32--5))-(-5+((-5*4.32)*(((-5--5)+(4.32--5))+4.32))))-(-5+-5)))*-5)))/-5)--5)+(-5*(((4.32*(4.32-(-5/-5)))*(4.32-(4.32/(-5*4.32))))-(-5/-5)))))</f>
        <v>361.7430399999998</v>
      </c>
      <c r="C10433" t="n" s="0">
        <v>361.74304000000006</v>
      </c>
    </row>
    <row r="10434">
      <c r="A10434" t="n" s="0">
        <v>4.33</v>
      </c>
      <c r="B10434" t="n" s="0">
        <f>(-5-((((-5*(-5/((-5/(((-5*(4.33--5))-(-5+((-5*4.33)*(((-5--5)+(4.33--5))+4.33))))-(-5+-5)))*-5)))/-5)--5)+(-5*(((4.33*(4.33-(-5/-5)))*(4.33-(4.33/(-5*4.33))))-(-5/-5)))))</f>
        <v>364.4058849999998</v>
      </c>
      <c r="C10434" t="n" s="0">
        <v>364.405885</v>
      </c>
    </row>
    <row r="10435">
      <c r="A10435" t="n" s="0">
        <v>4.34</v>
      </c>
      <c r="B10435" t="n" s="0">
        <f>(-5-((((-5*(-5/((-5/(((-5*(4.34--5))-(-5+((-5*4.34)*(((-5--5)+(4.34--5))+4.34))))-(-5+-5)))*-5)))/-5)--5)+(-5*(((4.34*(4.34-(-5/-5)))*(4.34-(4.34/(-5*4.34))))-(-5/-5)))))</f>
        <v>367.0813200000002</v>
      </c>
      <c r="C10435" t="n" s="0">
        <v>367.0813199999999</v>
      </c>
    </row>
    <row r="10436">
      <c r="A10436" t="n" s="0">
        <v>4.35</v>
      </c>
      <c r="B10436" t="n" s="0">
        <f>(-5-((((-5*(-5/((-5/(((-5*(4.35--5))-(-5+((-5*4.35)*(((-5--5)+(4.35--5))+4.35))))-(-5+-5)))*-5)))/-5)--5)+(-5*(((4.35*(4.35-(-5/-5)))*(4.35-(4.35/(-5*4.35))))-(-5/-5)))))</f>
        <v>369.769375</v>
      </c>
      <c r="C10436" t="n" s="0">
        <v>369.7693749999999</v>
      </c>
    </row>
    <row r="10437">
      <c r="A10437" t="n" s="0">
        <v>4.36</v>
      </c>
      <c r="B10437" t="n" s="0">
        <f>(-5-((((-5*(-5/((-5/(((-5*(4.36--5))-(-5+((-5*4.36)*(((-5--5)+(4.36--5))+4.36))))-(-5+-5)))*-5)))/-5)--5)+(-5*(((4.36*(4.36-(-5/-5)))*(4.36-(4.36/(-5*4.36))))-(-5/-5)))))</f>
        <v>372.47007999999977</v>
      </c>
      <c r="C10437" t="n" s="0">
        <v>372.47008000000005</v>
      </c>
    </row>
    <row r="10438">
      <c r="A10438" t="n" s="0">
        <v>4.37</v>
      </c>
      <c r="B10438" t="n" s="0">
        <f>(-5-((((-5*(-5/((-5/(((-5*(4.37--5))-(-5+((-5*4.37)*(((-5--5)+(4.37--5))+4.37))))-(-5+-5)))*-5)))/-5)--5)+(-5*(((4.37*(4.37-(-5/-5)))*(4.37-(4.37/(-5*4.37))))-(-5/-5)))))</f>
        <v>375.18346499999996</v>
      </c>
      <c r="C10438" t="n" s="0">
        <v>375.18346500000007</v>
      </c>
    </row>
    <row r="10439">
      <c r="A10439" t="n" s="0">
        <v>4.38</v>
      </c>
      <c r="B10439" t="n" s="0">
        <f>(-5-((((-5*(-5/((-5/(((-5*(4.38--5))-(-5+((-5*4.38)*(((-5--5)+(4.38--5))+4.38))))-(-5+-5)))*-5)))/-5)--5)+(-5*(((4.38*(4.38-(-5/-5)))*(4.38-(4.38/(-5*4.38))))-(-5/-5)))))</f>
        <v>377.90956</v>
      </c>
      <c r="C10439" t="n" s="0">
        <v>377.90955999999994</v>
      </c>
    </row>
    <row r="10440">
      <c r="A10440" t="n" s="0">
        <v>4.39</v>
      </c>
      <c r="B10440" t="n" s="0">
        <f>(-5-((((-5*(-5/((-5/(((-5*(4.39--5))-(-5+((-5*4.39)*(((-5--5)+(4.39--5))+4.39))))-(-5+-5)))*-5)))/-5)--5)+(-5*(((4.39*(4.39-(-5/-5)))*(4.39-(4.39/(-5*4.39))))-(-5/-5)))))</f>
        <v>380.648395</v>
      </c>
      <c r="C10440" t="n" s="0">
        <v>380.64839499999994</v>
      </c>
    </row>
    <row r="10441">
      <c r="A10441" t="n" s="0">
        <v>4.4</v>
      </c>
      <c r="B10441" t="n" s="0">
        <f>(-5-((((-5*(-5/((-5/(((-5*(4.4--5))-(-5+((-5*4.4)*(((-5--5)+(4.4--5))+4.4))))-(-5+-5)))*-5)))/-5)--5)+(-5*(((4.4*(4.4-(-5/-5)))*(4.4-(4.4/(-5*4.4))))-(-5/-5)))))</f>
        <v>383.4</v>
      </c>
      <c r="C10441" t="n" s="0">
        <v>383.4000000000001</v>
      </c>
    </row>
    <row r="10442">
      <c r="A10442" t="n" s="0">
        <v>4.41</v>
      </c>
      <c r="B10442" t="n" s="0">
        <f>(-5-((((-5*(-5/((-5/(((-5*(4.41--5))-(-5+((-5*4.41)*(((-5--5)+(4.41--5))+4.41))))-(-5+-5)))*-5)))/-5)--5)+(-5*(((4.41*(4.41-(-5/-5)))*(4.41-(4.41/(-5*4.41))))-(-5/-5)))))</f>
        <v>386.164405</v>
      </c>
      <c r="C10442" t="n" s="0">
        <v>386.16440500000004</v>
      </c>
    </row>
    <row r="10443">
      <c r="A10443" t="n" s="0">
        <v>4.42</v>
      </c>
      <c r="B10443" t="n" s="0">
        <f>(-5-((((-5*(-5/((-5/(((-5*(4.42--5))-(-5+((-5*4.42)*(((-5--5)+(4.42--5))+4.42))))-(-5+-5)))*-5)))/-5)--5)+(-5*(((4.42*(4.42-(-5/-5)))*(4.42-(4.42/(-5*4.42))))-(-5/-5)))))</f>
        <v>388.94163999999984</v>
      </c>
      <c r="C10443" t="n" s="0">
        <v>388.94164</v>
      </c>
    </row>
    <row r="10444">
      <c r="A10444" t="n" s="0">
        <v>4.43</v>
      </c>
      <c r="B10444" t="n" s="0">
        <f>(-5-((((-5*(-5/((-5/(((-5*(4.43--5))-(-5+((-5*4.43)*(((-5--5)+(4.43--5))+4.43))))-(-5+-5)))*-5)))/-5)--5)+(-5*(((4.43*(4.43-(-5/-5)))*(4.43-(4.43/(-5*4.43))))-(-5/-5)))))</f>
        <v>391.7317350000002</v>
      </c>
      <c r="C10444" t="n" s="0">
        <v>391.73173499999996</v>
      </c>
    </row>
    <row r="10445">
      <c r="A10445" t="n" s="0">
        <v>4.44</v>
      </c>
      <c r="B10445" t="n" s="0">
        <f>(-5-((((-5*(-5/((-5/(((-5*(4.44--5))-(-5+((-5*4.44)*(((-5--5)+(4.44--5))+4.44))))-(-5+-5)))*-5)))/-5)--5)+(-5*(((4.44*(4.44-(-5/-5)))*(4.44-(4.44/(-5*4.44))))-(-5/-5)))))</f>
        <v>394.53472</v>
      </c>
      <c r="C10445" t="n" s="0">
        <v>394.53472000000005</v>
      </c>
    </row>
    <row r="10446">
      <c r="A10446" t="n" s="0">
        <v>4.45</v>
      </c>
      <c r="B10446" t="n" s="0">
        <f>(-5-((((-5*(-5/((-5/(((-5*(4.45--5))-(-5+((-5*4.45)*(((-5--5)+(4.45--5))+4.45))))-(-5+-5)))*-5)))/-5)--5)+(-5*(((4.45*(4.45-(-5/-5)))*(4.45-(4.45/(-5*4.45))))-(-5/-5)))))</f>
        <v>397.35062500000004</v>
      </c>
      <c r="C10446" t="n" s="0">
        <v>397.35062500000004</v>
      </c>
    </row>
    <row r="10447">
      <c r="A10447" t="n" s="0">
        <v>4.46</v>
      </c>
      <c r="B10447" t="n" s="0">
        <f>(-5-((((-5*(-5/((-5/(((-5*(4.46--5))-(-5+((-5*4.46)*(((-5--5)+(4.46--5))+4.46))))-(-5+-5)))*-5)))/-5)--5)+(-5*(((4.46*(4.46-(-5/-5)))*(4.46-(4.46/(-5*4.46))))-(-5/-5)))))</f>
        <v>400.17948000000024</v>
      </c>
      <c r="C10447" t="n" s="0">
        <v>400.17948</v>
      </c>
    </row>
    <row r="10448">
      <c r="A10448" t="n" s="0">
        <v>4.47</v>
      </c>
      <c r="B10448" t="n" s="0">
        <f>(-5-((((-5*(-5/((-5/(((-5*(4.47--5))-(-5+((-5*4.47)*(((-5--5)+(4.47--5))+4.47))))-(-5+-5)))*-5)))/-5)--5)+(-5*(((4.47*(4.47-(-5/-5)))*(4.47-(4.47/(-5*4.47))))-(-5/-5)))))</f>
        <v>403.0213149999998</v>
      </c>
      <c r="C10448" t="n" s="0">
        <v>403.02131499999996</v>
      </c>
    </row>
    <row r="10449">
      <c r="A10449" t="n" s="0">
        <v>4.48</v>
      </c>
      <c r="B10449" t="n" s="0">
        <f>(-5-((((-5*(-5/((-5/(((-5*(4.48--5))-(-5+((-5*4.48)*(((-5--5)+(4.48--5))+4.48))))-(-5+-5)))*-5)))/-5)--5)+(-5*(((4.48*(4.48-(-5/-5)))*(4.48-(4.48/(-5*4.48))))-(-5/-5)))))</f>
        <v>405.87616</v>
      </c>
      <c r="C10449" t="n" s="0">
        <v>405.8761600000001</v>
      </c>
    </row>
    <row r="10450">
      <c r="A10450" t="n" s="0">
        <v>4.49</v>
      </c>
      <c r="B10450" t="n" s="0">
        <f>(-5-((((-5*(-5/((-5/(((-5*(4.49--5))-(-5+((-5*4.49)*(((-5--5)+(4.49--5))+4.49))))-(-5+-5)))*-5)))/-5)--5)+(-5*(((4.49*(4.49-(-5/-5)))*(4.49-(4.49/(-5*4.49))))-(-5/-5)))))</f>
        <v>408.74404499999997</v>
      </c>
      <c r="C10450" t="n" s="0">
        <v>408.74404500000014</v>
      </c>
    </row>
    <row r="10451">
      <c r="A10451" t="n" s="0">
        <v>4.5</v>
      </c>
      <c r="B10451" t="n" s="0">
        <f>(-5-((((-5*(-5/((-5/(((-5*(4.5--5))-(-5+((-5*4.5)*(((-5--5)+(4.5--5))+4.5))))-(-5+-5)))*-5)))/-5)--5)+(-5*(((4.5*(4.5-(-5/-5)))*(4.5-(4.5/(-5*4.5))))-(-5/-5)))))</f>
        <v>411.625</v>
      </c>
      <c r="C10451" t="n" s="0">
        <v>411.625</v>
      </c>
    </row>
    <row r="10452">
      <c r="A10452" t="n" s="0">
        <v>4.51</v>
      </c>
      <c r="B10452" t="n" s="0">
        <f>(-5-((((-5*(-5/((-5/(((-5*(4.51--5))-(-5+((-5*4.51)*(((-5--5)+(4.51--5))+4.51))))-(-5+-5)))*-5)))/-5)--5)+(-5*(((4.51*(4.51-(-5/-5)))*(4.51-(4.51/(-5*4.51))))-(-5/-5)))))</f>
        <v>414.5190549999998</v>
      </c>
      <c r="C10452" t="n" s="0">
        <v>414.51905499999987</v>
      </c>
    </row>
    <row r="10453">
      <c r="A10453" t="n" s="0">
        <v>4.52</v>
      </c>
      <c r="B10453" t="n" s="0">
        <f>(-5-((((-5*(-5/((-5/(((-5*(4.52--5))-(-5+((-5*4.52)*(((-5--5)+(4.52--5))+4.52))))-(-5+-5)))*-5)))/-5)--5)+(-5*(((4.52*(4.52-(-5/-5)))*(4.52-(4.52/(-5*4.52))))-(-5/-5)))))</f>
        <v>417.4262399999998</v>
      </c>
      <c r="C10453" t="n" s="0">
        <v>417.4262399999999</v>
      </c>
    </row>
    <row r="10454">
      <c r="A10454" t="n" s="0">
        <v>4.53</v>
      </c>
      <c r="B10454" t="n" s="0">
        <f>(-5-((((-5*(-5/((-5/(((-5*(4.53--5))-(-5+((-5*4.53)*(((-5--5)+(4.53--5))+4.53))))-(-5+-5)))*-5)))/-5)--5)+(-5*(((4.53*(4.53-(-5/-5)))*(4.53-(4.53/(-5*4.53))))-(-5/-5)))))</f>
        <v>420.346585</v>
      </c>
      <c r="C10454" t="n" s="0">
        <v>420.346585</v>
      </c>
    </row>
    <row r="10455">
      <c r="A10455" t="n" s="0">
        <v>4.54</v>
      </c>
      <c r="B10455" t="n" s="0">
        <f>(-5-((((-5*(-5/((-5/(((-5*(4.54--5))-(-5+((-5*4.54)*(((-5--5)+(4.54--5))+4.54))))-(-5+-5)))*-5)))/-5)--5)+(-5*(((4.54*(4.54-(-5/-5)))*(4.54-(4.54/(-5*4.54))))-(-5/-5)))))</f>
        <v>423.28011999999984</v>
      </c>
      <c r="C10455" t="n" s="0">
        <v>423.28012</v>
      </c>
    </row>
    <row r="10456">
      <c r="A10456" t="n" s="0">
        <v>4.55</v>
      </c>
      <c r="B10456" t="n" s="0">
        <f>(-5-((((-5*(-5/((-5/(((-5*(4.55--5))-(-5+((-5*4.55)*(((-5--5)+(4.55--5))+4.55))))-(-5+-5)))*-5)))/-5)--5)+(-5*(((4.55*(4.55-(-5/-5)))*(4.55-(4.55/(-5*4.55))))-(-5/-5)))))</f>
        <v>426.226875</v>
      </c>
      <c r="C10456" t="n" s="0">
        <v>426.22687499999995</v>
      </c>
    </row>
    <row r="10457">
      <c r="A10457" t="n" s="0">
        <v>4.56</v>
      </c>
      <c r="B10457" t="n" s="0">
        <f>(-5-((((-5*(-5/((-5/(((-5*(4.56--5))-(-5+((-5*4.56)*(((-5--5)+(4.56--5))+4.56))))-(-5+-5)))*-5)))/-5)--5)+(-5*(((4.56*(4.56-(-5/-5)))*(4.56-(4.56/(-5*4.56))))-(-5/-5)))))</f>
        <v>429.1868800000002</v>
      </c>
      <c r="C10457" t="n" s="0">
        <v>429.18687999999986</v>
      </c>
    </row>
    <row r="10458">
      <c r="A10458" t="n" s="0">
        <v>4.57</v>
      </c>
      <c r="B10458" t="n" s="0">
        <f>(-5-((((-5*(-5/((-5/(((-5*(4.57--5))-(-5+((-5*4.57)*(((-5--5)+(4.57--5))+4.57))))-(-5+-5)))*-5)))/-5)--5)+(-5*(((4.57*(4.57-(-5/-5)))*(4.57-(4.57/(-5*4.57))))-(-5/-5)))))</f>
        <v>432.160165</v>
      </c>
      <c r="C10458" t="n" s="0">
        <v>432.16016500000006</v>
      </c>
    </row>
    <row r="10459">
      <c r="A10459" t="n" s="0">
        <v>4.58</v>
      </c>
      <c r="B10459" t="n" s="0">
        <f>(-5-((((-5*(-5/((-5/(((-5*(4.58--5))-(-5+((-5*4.58)*(((-5--5)+(4.58--5))+4.58))))-(-5+-5)))*-5)))/-5)--5)+(-5*(((4.58*(4.58-(-5/-5)))*(4.58-(4.58/(-5*4.58))))-(-5/-5)))))</f>
        <v>435.14676000000003</v>
      </c>
      <c r="C10459" t="n" s="0">
        <v>435.14676</v>
      </c>
    </row>
    <row r="10460">
      <c r="A10460" t="n" s="0">
        <v>4.59</v>
      </c>
      <c r="B10460" t="n" s="0">
        <f>(-5-((((-5*(-5/((-5/(((-5*(4.59--5))-(-5+((-5*4.59)*(((-5--5)+(4.59--5))+4.59))))-(-5+-5)))*-5)))/-5)--5)+(-5*(((4.59*(4.59-(-5/-5)))*(4.59-(4.59/(-5*4.59))))-(-5/-5)))))</f>
        <v>438.1466950000002</v>
      </c>
      <c r="C10460" t="n" s="0">
        <v>438.14669499999997</v>
      </c>
    </row>
    <row r="10461">
      <c r="A10461" t="n" s="0">
        <v>4.6</v>
      </c>
      <c r="B10461" t="n" s="0">
        <f>(-5-((((-5*(-5/((-5/(((-5*(4.6--5))-(-5+((-5*4.6)*(((-5--5)+(4.6--5))+4.6))))-(-5+-5)))*-5)))/-5)--5)+(-5*(((4.6*(4.6-(-5/-5)))*(4.6-(4.6/(-5*4.6))))-(-5/-5)))))</f>
        <v>441.15999999999997</v>
      </c>
      <c r="C10461" t="n" s="0">
        <v>441.15999999999997</v>
      </c>
    </row>
    <row r="10462">
      <c r="A10462" t="n" s="0">
        <v>4.61</v>
      </c>
      <c r="B10462" t="n" s="0">
        <f>(-5-((((-5*(-5/((-5/(((-5*(4.61--5))-(-5+((-5*4.61)*(((-5--5)+(4.61--5))+4.61))))-(-5+-5)))*-5)))/-5)--5)+(-5*(((4.61*(4.61-(-5/-5)))*(4.61-(4.61/(-5*4.61))))-(-5/-5)))))</f>
        <v>444.1867049999998</v>
      </c>
      <c r="C10462" t="n" s="0">
        <v>444.1867050000001</v>
      </c>
    </row>
    <row r="10463">
      <c r="A10463" t="n" s="0">
        <v>4.62</v>
      </c>
      <c r="B10463" t="n" s="0">
        <f>(-5-((((-5*(-5/((-5/(((-5*(4.62--5))-(-5+((-5*4.62)*(((-5--5)+(4.62--5))+4.62))))-(-5+-5)))*-5)))/-5)--5)+(-5*(((4.62*(4.62-(-5/-5)))*(4.62-(4.62/(-5*4.62))))-(-5/-5)))))</f>
        <v>447.2268400000002</v>
      </c>
      <c r="C10463" t="n" s="0">
        <v>447.22684000000004</v>
      </c>
    </row>
    <row r="10464">
      <c r="A10464" t="n" s="0">
        <v>4.63</v>
      </c>
      <c r="B10464" t="n" s="0">
        <f>(-5-((((-5*(-5/((-5/(((-5*(4.63--5))-(-5+((-5*4.63)*(((-5--5)+(4.63--5))+4.63))))-(-5+-5)))*-5)))/-5)--5)+(-5*(((4.63*(4.63-(-5/-5)))*(4.63-(4.63/(-5*4.63))))-(-5/-5)))))</f>
        <v>450.280435</v>
      </c>
      <c r="C10464" t="n" s="0">
        <v>450.2804349999999</v>
      </c>
    </row>
    <row r="10465">
      <c r="A10465" t="n" s="0">
        <v>4.64</v>
      </c>
      <c r="B10465" t="n" s="0">
        <f>(-5-((((-5*(-5/((-5/(((-5*(4.64--5))-(-5+((-5*4.64)*(((-5--5)+(4.64--5))+4.64))))-(-5+-5)))*-5)))/-5)--5)+(-5*(((4.64*(4.64-(-5/-5)))*(4.64-(4.64/(-5*4.64))))-(-5/-5)))))</f>
        <v>453.34752</v>
      </c>
      <c r="C10465" t="n" s="0">
        <v>453.3475199999999</v>
      </c>
    </row>
    <row r="10466">
      <c r="A10466" t="n" s="0">
        <v>4.65</v>
      </c>
      <c r="B10466" t="n" s="0">
        <f>(-5-((((-5*(-5/((-5/(((-5*(4.65--5))-(-5+((-5*4.65)*(((-5--5)+(4.65--5))+4.65))))-(-5+-5)))*-5)))/-5)--5)+(-5*(((4.65*(4.65-(-5/-5)))*(4.65-(4.65/(-5*4.65))))-(-5/-5)))))</f>
        <v>456.428125</v>
      </c>
      <c r="C10466" t="n" s="0">
        <v>456.4281250000001</v>
      </c>
    </row>
    <row r="10467">
      <c r="A10467" t="n" s="0">
        <v>4.66</v>
      </c>
      <c r="B10467" t="n" s="0">
        <f>(-5-((((-5*(-5/((-5/(((-5*(4.66--5))-(-5+((-5*4.66)*(((-5--5)+(4.66--5))+4.66))))-(-5+-5)))*-5)))/-5)--5)+(-5*(((4.66*(4.66-(-5/-5)))*(4.66-(4.66/(-5*4.66))))-(-5/-5)))))</f>
        <v>459.52227999999997</v>
      </c>
      <c r="C10467" t="n" s="0">
        <v>459.5222800000001</v>
      </c>
    </row>
    <row r="10468">
      <c r="A10468" t="n" s="0">
        <v>4.67</v>
      </c>
      <c r="B10468" t="n" s="0">
        <f>(-5-((((-5*(-5/((-5/(((-5*(4.67--5))-(-5+((-5*4.67)*(((-5--5)+(4.67--5))+4.67))))-(-5+-5)))*-5)))/-5)--5)+(-5*(((4.67*(4.67-(-5/-5)))*(4.67-(4.67/(-5*4.67))))-(-5/-5)))))</f>
        <v>462.630015</v>
      </c>
      <c r="C10468" t="n" s="0">
        <v>462.63001499999996</v>
      </c>
    </row>
    <row r="10469">
      <c r="A10469" t="n" s="0">
        <v>4.68</v>
      </c>
      <c r="B10469" t="n" s="0">
        <f>(-5-((((-5*(-5/((-5/(((-5*(4.68--5))-(-5+((-5*4.68)*(((-5--5)+(4.68--5))+4.68))))-(-5+-5)))*-5)))/-5)--5)+(-5*(((4.68*(4.68-(-5/-5)))*(4.68-(4.68/(-5*4.68))))-(-5/-5)))))</f>
        <v>465.75136</v>
      </c>
      <c r="C10469" t="n" s="0">
        <v>465.7513599999999</v>
      </c>
    </row>
    <row r="10470">
      <c r="A10470" t="n" s="0">
        <v>4.69</v>
      </c>
      <c r="B10470" t="n" s="0">
        <f>(-5-((((-5*(-5/((-5/(((-5*(4.69--5))-(-5+((-5*4.69)*(((-5--5)+(4.69--5))+4.69))))-(-5+-5)))*-5)))/-5)--5)+(-5*(((4.69*(4.69-(-5/-5)))*(4.69-(4.69/(-5*4.69))))-(-5/-5)))))</f>
        <v>468.886345</v>
      </c>
      <c r="C10470" t="n" s="0">
        <v>468.88634500000006</v>
      </c>
    </row>
    <row r="10471">
      <c r="A10471" t="n" s="0">
        <v>4.7</v>
      </c>
      <c r="B10471" t="n" s="0">
        <f>(-5-((((-5*(-5/((-5/(((-5*(4.7--5))-(-5+((-5*4.7)*(((-5--5)+(4.7--5))+4.7))))-(-5+-5)))*-5)))/-5)--5)+(-5*(((4.7*(4.7-(-5/-5)))*(4.7-(4.7/(-5*4.7))))-(-5/-5)))))</f>
        <v>472.035</v>
      </c>
      <c r="C10471" t="n" s="0">
        <v>472.035</v>
      </c>
    </row>
    <row r="10472">
      <c r="A10472" t="n" s="0">
        <v>4.71</v>
      </c>
      <c r="B10472" t="n" s="0">
        <f>(-5-((((-5*(-5/((-5/(((-5*(4.71--5))-(-5+((-5*4.71)*(((-5--5)+(4.71--5))+4.71))))-(-5+-5)))*-5)))/-5)--5)+(-5*(((4.71*(4.71-(-5/-5)))*(4.71-(4.71/(-5*4.71))))-(-5/-5)))))</f>
        <v>475.19735499999996</v>
      </c>
      <c r="C10472" t="n" s="0">
        <v>475.197355</v>
      </c>
    </row>
    <row r="10473">
      <c r="A10473" t="n" s="0">
        <v>4.72</v>
      </c>
      <c r="B10473" t="n" s="0">
        <f>(-5-((((-5*(-5/((-5/(((-5*(4.72--5))-(-5+((-5*4.72)*(((-5--5)+(4.72--5))+4.72))))-(-5+-5)))*-5)))/-5)--5)+(-5*(((4.72*(4.72-(-5/-5)))*(4.72-(4.72/(-5*4.72))))-(-5/-5)))))</f>
        <v>478.37344</v>
      </c>
      <c r="C10473" t="n" s="0">
        <v>478.37343999999996</v>
      </c>
    </row>
    <row r="10474">
      <c r="A10474" t="n" s="0">
        <v>4.73</v>
      </c>
      <c r="B10474" t="n" s="0">
        <f>(-5-((((-5*(-5/((-5/(((-5*(4.73--5))-(-5+((-5*4.73)*(((-5--5)+(4.73--5))+4.73))))-(-5+-5)))*-5)))/-5)--5)+(-5*(((4.73*(4.73-(-5/-5)))*(4.73-(4.73/(-5*4.73))))-(-5/-5)))))</f>
        <v>481.56328499999984</v>
      </c>
      <c r="C10474" t="n" s="0">
        <v>481.5632850000001</v>
      </c>
    </row>
    <row r="10475">
      <c r="A10475" t="n" s="0">
        <v>4.74</v>
      </c>
      <c r="B10475" t="n" s="0">
        <f>(-5-((((-5*(-5/((-5/(((-5*(4.74--5))-(-5+((-5*4.74)*(((-5--5)+(4.74--5))+4.74))))-(-5+-5)))*-5)))/-5)--5)+(-5*(((4.74*(4.74-(-5/-5)))*(4.74-(4.74/(-5*4.74))))-(-5/-5)))))</f>
        <v>484.7669199999998</v>
      </c>
      <c r="C10475" t="n" s="0">
        <v>484.76692000000014</v>
      </c>
    </row>
    <row r="10476">
      <c r="A10476" t="n" s="0">
        <v>4.75</v>
      </c>
      <c r="B10476" t="n" s="0">
        <f>(-5-((((-5*(-5/((-5/(((-5*(4.75--5))-(-5+((-5*4.75)*(((-5--5)+(4.75--5))+4.75))))-(-5+-5)))*-5)))/-5)--5)+(-5*(((4.75*(4.75-(-5/-5)))*(4.75-(4.75/(-5*4.75))))-(-5/-5)))))</f>
        <v>487.9843749999998</v>
      </c>
      <c r="C10476" t="n" s="0">
        <v>487.984375</v>
      </c>
    </row>
    <row r="10477">
      <c r="A10477" t="n" s="0">
        <v>4.76</v>
      </c>
      <c r="B10477" t="n" s="0">
        <f>(-5-((((-5*(-5/((-5/(((-5*(4.76--5))-(-5+((-5*4.76)*(((-5--5)+(4.76--5))+4.76))))-(-5+-5)))*-5)))/-5)--5)+(-5*(((4.76*(4.76-(-5/-5)))*(4.76-(4.76/(-5*4.76))))-(-5/-5)))))</f>
        <v>491.2156799999998</v>
      </c>
      <c r="C10477" t="n" s="0">
        <v>491.2156799999999</v>
      </c>
    </row>
    <row r="10478">
      <c r="A10478" t="n" s="0">
        <v>4.77</v>
      </c>
      <c r="B10478" t="n" s="0">
        <f>(-5-((((-5*(-5/((-5/(((-5*(4.77--5))-(-5+((-5*4.77)*(((-5--5)+(4.77--5))+4.77))))-(-5+-5)))*-5)))/-5)--5)+(-5*(((4.77*(4.77-(-5/-5)))*(4.77-(4.77/(-5*4.77))))-(-5/-5)))))</f>
        <v>494.460865</v>
      </c>
      <c r="C10478" t="n" s="0">
        <v>494.46086499999984</v>
      </c>
    </row>
    <row r="10479">
      <c r="A10479" t="n" s="0">
        <v>4.78</v>
      </c>
      <c r="B10479" t="n" s="0">
        <f>(-5-((((-5*(-5/((-5/(((-5*(4.78--5))-(-5+((-5*4.78)*(((-5--5)+(4.78--5))+4.78))))-(-5+-5)))*-5)))/-5)--5)+(-5*(((4.78*(4.78-(-5/-5)))*(4.78-(4.78/(-5*4.78))))-(-5/-5)))))</f>
        <v>497.71996</v>
      </c>
      <c r="C10479" t="n" s="0">
        <v>497.71996</v>
      </c>
    </row>
    <row r="10480">
      <c r="A10480" t="n" s="0">
        <v>4.79</v>
      </c>
      <c r="B10480" t="n" s="0">
        <f>(-5-((((-5*(-5/((-5/(((-5*(4.79--5))-(-5+((-5*4.79)*(((-5--5)+(4.79--5))+4.79))))-(-5+-5)))*-5)))/-5)--5)+(-5*(((4.79*(4.79-(-5/-5)))*(4.79-(4.79/(-5*4.79))))-(-5/-5)))))</f>
        <v>500.992995</v>
      </c>
      <c r="C10480" t="n" s="0">
        <v>500.99299500000006</v>
      </c>
    </row>
    <row r="10481">
      <c r="A10481" t="n" s="0">
        <v>4.8</v>
      </c>
      <c r="B10481" t="n" s="0">
        <f>(-5-((((-5*(-5/((-5/(((-5*(4.8--5))-(-5+((-5*4.8)*(((-5--5)+(4.8--5))+4.8))))-(-5+-5)))*-5)))/-5)--5)+(-5*(((4.8*(4.8-(-5/-5)))*(4.8-(4.8/(-5*4.8))))-(-5/-5)))))</f>
        <v>504.2799999999998</v>
      </c>
      <c r="C10481" t="n" s="0">
        <v>504.28</v>
      </c>
    </row>
    <row r="10482">
      <c r="A10482" t="n" s="0">
        <v>4.81</v>
      </c>
      <c r="B10482" t="n" s="0">
        <f>(-5-((((-5*(-5/((-5/(((-5*(4.81--5))-(-5+((-5*4.81)*(((-5--5)+(4.81--5))+4.81))))-(-5+-5)))*-5)))/-5)--5)+(-5*(((4.81*(4.81-(-5/-5)))*(4.81-(4.81/(-5*4.81))))-(-5/-5)))))</f>
        <v>507.5810049999998</v>
      </c>
      <c r="C10482" t="n" s="0">
        <v>507.5810049999999</v>
      </c>
    </row>
    <row r="10483">
      <c r="A10483" t="n" s="0">
        <v>4.82</v>
      </c>
      <c r="B10483" t="n" s="0">
        <f>(-5-((((-5*(-5/((-5/(((-5*(4.82--5))-(-5+((-5*4.82)*(((-5--5)+(4.82--5))+4.82))))-(-5+-5)))*-5)))/-5)--5)+(-5*(((4.82*(4.82-(-5/-5)))*(4.82-(4.82/(-5*4.82))))-(-5/-5)))))</f>
        <v>510.8960400000002</v>
      </c>
      <c r="C10483" t="n" s="0">
        <v>510.8960400000002</v>
      </c>
    </row>
    <row r="10484">
      <c r="A10484" t="n" s="0">
        <v>4.83</v>
      </c>
      <c r="B10484" t="n" s="0">
        <f>(-5-((((-5*(-5/((-5/(((-5*(4.83--5))-(-5+((-5*4.83)*(((-5--5)+(4.83--5))+4.83))))-(-5+-5)))*-5)))/-5)--5)+(-5*(((4.83*(4.83-(-5/-5)))*(4.83-(4.83/(-5*4.83))))-(-5/-5)))))</f>
        <v>514.2251349999998</v>
      </c>
      <c r="C10484" t="n" s="0">
        <v>514.2251350000001</v>
      </c>
    </row>
    <row r="10485">
      <c r="A10485" t="n" s="0">
        <v>4.84</v>
      </c>
      <c r="B10485" t="n" s="0">
        <f>(-5-((((-5*(-5/((-5/(((-5*(4.84--5))-(-5+((-5*4.84)*(((-5--5)+(4.84--5))+4.84))))-(-5+-5)))*-5)))/-5)--5)+(-5*(((4.84*(4.84-(-5/-5)))*(4.84-(4.84/(-5*4.84))))-(-5/-5)))))</f>
        <v>517.5683199999999</v>
      </c>
      <c r="C10485" t="n" s="0">
        <v>517.56832</v>
      </c>
    </row>
    <row r="10486">
      <c r="A10486" t="n" s="0">
        <v>4.85</v>
      </c>
      <c r="B10486" t="n" s="0">
        <f>(-5-((((-5*(-5/((-5/(((-5*(4.85--5))-(-5+((-5*4.85)*(((-5--5)+(4.85--5))+4.85))))-(-5+-5)))*-5)))/-5)--5)+(-5*(((4.85*(4.85-(-5/-5)))*(4.85-(4.85/(-5*4.85))))-(-5/-5)))))</f>
        <v>520.925625</v>
      </c>
      <c r="C10486" t="n" s="0">
        <v>520.9256249999999</v>
      </c>
    </row>
    <row r="10487">
      <c r="A10487" t="n" s="0">
        <v>4.86</v>
      </c>
      <c r="B10487" t="n" s="0">
        <f>(-5-((((-5*(-5/((-5/(((-5*(4.86--5))-(-5+((-5*4.86)*(((-5--5)+(4.86--5))+4.86))))-(-5+-5)))*-5)))/-5)--5)+(-5*(((4.86*(4.86-(-5/-5)))*(4.86-(4.86/(-5*4.86))))-(-5/-5)))))</f>
        <v>524.29708</v>
      </c>
      <c r="C10487" t="n" s="0">
        <v>524.2970800000002</v>
      </c>
    </row>
    <row r="10488">
      <c r="A10488" t="n" s="0">
        <v>4.87</v>
      </c>
      <c r="B10488" t="n" s="0">
        <f>(-5-((((-5*(-5/((-5/(((-5*(4.87--5))-(-5+((-5*4.87)*(((-5--5)+(4.87--5))+4.87))))-(-5+-5)))*-5)))/-5)--5)+(-5*(((4.87*(4.87-(-5/-5)))*(4.87-(4.87/(-5*4.87))))-(-5/-5)))))</f>
        <v>527.6827150000001</v>
      </c>
      <c r="C10488" t="n" s="0">
        <v>527.682715</v>
      </c>
    </row>
    <row r="10489">
      <c r="A10489" t="n" s="0">
        <v>4.88</v>
      </c>
      <c r="B10489" t="n" s="0">
        <f>(-5-((((-5*(-5/((-5/(((-5*(4.88--5))-(-5+((-5*4.88)*(((-5--5)+(4.88--5))+4.88))))-(-5+-5)))*-5)))/-5)--5)+(-5*(((4.88*(4.88-(-5/-5)))*(4.88-(4.88/(-5*4.88))))-(-5/-5)))))</f>
        <v>531.0825600000001</v>
      </c>
      <c r="C10489" t="n" s="0">
        <v>531.08256</v>
      </c>
    </row>
    <row r="10490">
      <c r="A10490" t="n" s="0">
        <v>4.89</v>
      </c>
      <c r="B10490" t="n" s="0">
        <f>(-5-((((-5*(-5/((-5/(((-5*(4.89--5))-(-5+((-5*4.89)*(((-5--5)+(4.89--5))+4.89))))-(-5+-5)))*-5)))/-5)--5)+(-5*(((4.89*(4.89-(-5/-5)))*(4.89-(4.89/(-5*4.89))))-(-5/-5)))))</f>
        <v>534.4966449999997</v>
      </c>
      <c r="C10490" t="n" s="0">
        <v>534.4966449999998</v>
      </c>
    </row>
    <row r="10491">
      <c r="A10491" t="n" s="0">
        <v>4.9</v>
      </c>
      <c r="B10491" t="n" s="0">
        <f>(-5-((((-5*(-5/((-5/(((-5*(4.9--5))-(-5+((-5*4.9)*(((-5--5)+(4.9--5))+4.9))))-(-5+-5)))*-5)))/-5)--5)+(-5*(((4.9*(4.9-(-5/-5)))*(4.9-(4.9/(-5*4.9))))-(-5/-5)))))</f>
        <v>537.925</v>
      </c>
      <c r="C10491" t="n" s="0">
        <v>537.9250000000002</v>
      </c>
    </row>
    <row r="10492">
      <c r="A10492" t="n" s="0">
        <v>4.91</v>
      </c>
      <c r="B10492" t="n" s="0">
        <f>(-5-((((-5*(-5/((-5/(((-5*(4.91--5))-(-5+((-5*4.91)*(((-5--5)+(4.91--5))+4.91))))-(-5+-5)))*-5)))/-5)--5)+(-5*(((4.91*(4.91-(-5/-5)))*(4.91-(4.91/(-5*4.91))))-(-5/-5)))))</f>
        <v>541.3676549999998</v>
      </c>
      <c r="C10492" t="n" s="0">
        <v>541.3676550000001</v>
      </c>
    </row>
    <row r="10493">
      <c r="A10493" t="n" s="0">
        <v>4.92</v>
      </c>
      <c r="B10493" t="n" s="0">
        <f>(-5-((((-5*(-5/((-5/(((-5*(4.92--5))-(-5+((-5*4.92)*(((-5--5)+(4.92--5))+4.92))))-(-5+-5)))*-5)))/-5)--5)+(-5*(((4.92*(4.92-(-5/-5)))*(4.92-(4.92/(-5*4.92))))-(-5/-5)))))</f>
        <v>544.8246400000002</v>
      </c>
      <c r="C10493" t="n" s="0">
        <v>544.8246399999999</v>
      </c>
    </row>
    <row r="10494">
      <c r="A10494" t="n" s="0">
        <v>4.93</v>
      </c>
      <c r="B10494" t="n" s="0">
        <f>(-5-((((-5*(-5/((-5/(((-5*(4.93--5))-(-5+((-5*4.93)*(((-5--5)+(4.93--5))+4.93))))-(-5+-5)))*-5)))/-5)--5)+(-5*(((4.93*(4.93-(-5/-5)))*(4.93-(4.93/(-5*4.93))))-(-5/-5)))))</f>
        <v>548.2959849999997</v>
      </c>
      <c r="C10494" t="n" s="0">
        <v>548.295985</v>
      </c>
    </row>
    <row r="10495">
      <c r="A10495" t="n" s="0">
        <v>4.94</v>
      </c>
      <c r="B10495" t="n" s="0">
        <f>(-5-((((-5*(-5/((-5/(((-5*(4.94--5))-(-5+((-5*4.94)*(((-5--5)+(4.94--5))+4.94))))-(-5+-5)))*-5)))/-5)--5)+(-5*(((4.94*(4.94-(-5/-5)))*(4.94-(4.94/(-5*4.94))))-(-5/-5)))))</f>
        <v>551.7817199999998</v>
      </c>
      <c r="C10495" t="n" s="0">
        <v>551.7817200000002</v>
      </c>
    </row>
    <row r="10496">
      <c r="A10496" t="n" s="0">
        <v>4.95</v>
      </c>
      <c r="B10496" t="n" s="0">
        <f>(-5-((((-5*(-5/((-5/(((-5*(4.95--5))-(-5+((-5*4.95)*(((-5--5)+(4.95--5))+4.95))))-(-5+-5)))*-5)))/-5)--5)+(-5*(((4.95*(4.95-(-5/-5)))*(4.95-(4.95/(-5*4.95))))-(-5/-5)))))</f>
        <v>555.281875</v>
      </c>
      <c r="C10496" t="n" s="0">
        <v>555.2818750000001</v>
      </c>
    </row>
    <row r="10497">
      <c r="A10497" t="n" s="0">
        <v>4.96</v>
      </c>
      <c r="B10497" t="n" s="0">
        <f>(-5-((((-5*(-5/((-5/(((-5*(4.96--5))-(-5+((-5*4.96)*(((-5--5)+(4.96--5))+4.96))))-(-5+-5)))*-5)))/-5)--5)+(-5*(((4.96*(4.96-(-5/-5)))*(4.96-(4.96/(-5*4.96))))-(-5/-5)))))</f>
        <v>558.7964799999999</v>
      </c>
      <c r="C10497" t="n" s="0">
        <v>558.79648</v>
      </c>
    </row>
    <row r="10498">
      <c r="A10498" t="n" s="0">
        <v>4.97</v>
      </c>
      <c r="B10498" t="n" s="0">
        <f>(-5-((((-5*(-5/((-5/(((-5*(4.97--5))-(-5+((-5*4.97)*(((-5--5)+(4.97--5))+4.97))))-(-5+-5)))*-5)))/-5)--5)+(-5*(((4.97*(4.97-(-5/-5)))*(4.97-(4.97/(-5*4.97))))-(-5/-5)))))</f>
        <v>562.3255650000002</v>
      </c>
      <c r="C10498" t="n" s="0">
        <v>562.3255649999999</v>
      </c>
    </row>
    <row r="10499">
      <c r="A10499" t="n" s="0">
        <v>4.98</v>
      </c>
      <c r="B10499" t="n" s="0">
        <f>(-5-((((-5*(-5/((-5/(((-5*(4.98--5))-(-5+((-5*4.98)*(((-5--5)+(4.98--5))+4.98))))-(-5+-5)))*-5)))/-5)--5)+(-5*(((4.98*(4.98-(-5/-5)))*(4.98-(4.98/(-5*4.98))))-(-5/-5)))))</f>
        <v>565.86916</v>
      </c>
      <c r="C10499" t="n" s="0">
        <v>565.8691600000002</v>
      </c>
    </row>
    <row r="10500">
      <c r="A10500" t="n" s="0">
        <v>4.99</v>
      </c>
      <c r="B10500" t="n" s="0">
        <f>(-5-((((-5*(-5/((-5/(((-5*(4.99--5))-(-5+((-5*4.99)*(((-5--5)+(4.99--5))+4.99))))-(-5+-5)))*-5)))/-5)--5)+(-5*(((4.99*(4.99-(-5/-5)))*(4.99-(4.99/(-5*4.99))))-(-5/-5)))))</f>
        <v>569.427295</v>
      </c>
      <c r="C10500" t="n" s="0">
        <v>569.4272950000001</v>
      </c>
    </row>
    <row r="10501">
      <c r="A10501" t="n" s="0">
        <v>5.0</v>
      </c>
      <c r="B10501" t="n" s="0">
        <f>(-5-((((-5*(-5/((-5/(((-5*(5--5))-(-5+((-5*5)*(((-5--5)+(5--5))+5))))-(-5+-5)))*-5)))/-5)--5)+(-5*(((5*(5-(-5/-5)))*(5-(5/(-5*5))))-(-5/-5)))))</f>
        <v>572.9999999999998</v>
      </c>
      <c r="C10501" t="n" s="0">
        <v>573.0</v>
      </c>
    </row>
    <row r="10502">
      <c r="A10502" t="n" s="0">
        <v>5.01</v>
      </c>
      <c r="B10502" t="n" s="0">
        <f>(-5-((((-5*(-5/((-5/(((-5*(5.01--5))-(-5+((-5*5.01)*(((-5--5)+(5.01--5))+5.01))))-(-5+-5)))*-5)))/-5)--5)+(-5*(((5.01*(5.01-(-5/-5)))*(5.01-(5.01/(-5*5.01))))-(-5/-5)))))</f>
        <v>576.5873050000002</v>
      </c>
      <c r="C10502" t="n" s="0">
        <v>576.5873049999999</v>
      </c>
    </row>
    <row r="10503">
      <c r="A10503" t="n" s="0">
        <v>5.02</v>
      </c>
      <c r="B10503" t="n" s="0">
        <f>(-5-((((-5*(-5/((-5/(((-5*(5.02--5))-(-5+((-5*5.02)*(((-5--5)+(5.02--5))+5.02))))-(-5+-5)))*-5)))/-5)--5)+(-5*(((5.02*(5.02-(-5/-5)))*(5.02-(5.02/(-5*5.02))))-(-5/-5)))))</f>
        <v>580.1892400000002</v>
      </c>
      <c r="C10503" t="n" s="0">
        <v>580.1892399999998</v>
      </c>
    </row>
    <row r="10504">
      <c r="A10504" t="n" s="0">
        <v>5.03</v>
      </c>
      <c r="B10504" t="n" s="0">
        <f>(-5-((((-5*(-5/((-5/(((-5*(5.03--5))-(-5+((-5*5.03)*(((-5--5)+(5.03--5))+5.03))))-(-5+-5)))*-5)))/-5)--5)+(-5*(((5.03*(5.03-(-5/-5)))*(5.03-(5.03/(-5*5.03))))-(-5/-5)))))</f>
        <v>583.805835</v>
      </c>
      <c r="C10504" t="n" s="0">
        <v>583.8058350000001</v>
      </c>
    </row>
    <row r="10505">
      <c r="A10505" t="n" s="0">
        <v>5.04</v>
      </c>
      <c r="B10505" t="n" s="0">
        <f>(-5-((((-5*(-5/((-5/(((-5*(5.04--5))-(-5+((-5*5.04)*(((-5--5)+(5.04--5))+5.04))))-(-5+-5)))*-5)))/-5)--5)+(-5*(((5.04*(5.04-(-5/-5)))*(5.04-(5.04/(-5*5.04))))-(-5/-5)))))</f>
        <v>587.43712</v>
      </c>
      <c r="C10505" t="n" s="0">
        <v>587.4371199999999</v>
      </c>
    </row>
    <row r="10506">
      <c r="A10506" t="n" s="0">
        <v>5.05</v>
      </c>
      <c r="B10506" t="n" s="0">
        <f>(-5-((((-5*(-5/((-5/(((-5*(5.05--5))-(-5+((-5*5.05)*(((-5--5)+(5.05--5))+5.05))))-(-5+-5)))*-5)))/-5)--5)+(-5*(((5.05*(5.05-(-5/-5)))*(5.05-(5.05/(-5*5.05))))-(-5/-5)))))</f>
        <v>591.083125</v>
      </c>
      <c r="C10506" t="n" s="0">
        <v>591.0831249999999</v>
      </c>
    </row>
    <row r="10507">
      <c r="A10507" t="n" s="0">
        <v>5.06</v>
      </c>
      <c r="B10507" t="n" s="0">
        <f>(-5-((((-5*(-5/((-5/(((-5*(5.06--5))-(-5+((-5*5.06)*(((-5--5)+(5.06--5))+5.06))))-(-5+-5)))*-5)))/-5)--5)+(-5*(((5.06*(5.06-(-5/-5)))*(5.06-(5.06/(-5*5.06))))-(-5/-5)))))</f>
        <v>594.7438800000002</v>
      </c>
      <c r="C10507" t="n" s="0">
        <v>594.7438799999999</v>
      </c>
    </row>
    <row r="10508">
      <c r="A10508" t="n" s="0">
        <v>5.07</v>
      </c>
      <c r="B10508" t="n" s="0">
        <f>(-5-((((-5*(-5/((-5/(((-5*(5.07--5))-(-5+((-5*5.07)*(((-5--5)+(5.07--5))+5.07))))-(-5+-5)))*-5)))/-5)--5)+(-5*(((5.07*(5.07-(-5/-5)))*(5.07-(5.07/(-5*5.07))))-(-5/-5)))))</f>
        <v>598.4194150000002</v>
      </c>
      <c r="C10508" t="n" s="0">
        <v>598.4194150000001</v>
      </c>
    </row>
    <row r="10509">
      <c r="A10509" t="n" s="0">
        <v>5.08</v>
      </c>
      <c r="B10509" t="n" s="0">
        <f>(-5-((((-5*(-5/((-5/(((-5*(5.08--5))-(-5+((-5*5.08)*(((-5--5)+(5.08--5))+5.08))))-(-5+-5)))*-5)))/-5)--5)+(-5*(((5.08*(5.08-(-5/-5)))*(5.08-(5.08/(-5*5.08))))-(-5/-5)))))</f>
        <v>602.1097599999998</v>
      </c>
      <c r="C10509" t="n" s="0">
        <v>602.1097600000002</v>
      </c>
    </row>
    <row r="10510">
      <c r="A10510" t="n" s="0">
        <v>5.09</v>
      </c>
      <c r="B10510" t="n" s="0">
        <f>(-5-((((-5*(-5/((-5/(((-5*(5.09--5))-(-5+((-5*5.09)*(((-5--5)+(5.09--5))+5.09))))-(-5+-5)))*-5)))/-5)--5)+(-5*(((5.09*(5.09-(-5/-5)))*(5.09-(5.09/(-5*5.09))))-(-5/-5)))))</f>
        <v>605.814945</v>
      </c>
      <c r="C10510" t="n" s="0">
        <v>605.8149449999999</v>
      </c>
    </row>
    <row r="10511">
      <c r="A10511" t="n" s="0">
        <v>5.1</v>
      </c>
      <c r="B10511" t="n" s="0">
        <f>(-5-((((-5*(-5/((-5/(((-5*(5.1--5))-(-5+((-5*5.1)*(((-5--5)+(5.1--5))+5.1))))-(-5+-5)))*-5)))/-5)--5)+(-5*(((5.1*(5.1-(-5/-5)))*(5.1-(5.1/(-5*5.1))))-(-5/-5)))))</f>
        <v>609.5349999999999</v>
      </c>
      <c r="C10511" t="n" s="0">
        <v>609.5349999999999</v>
      </c>
    </row>
    <row r="10512">
      <c r="A10512" t="n" s="0">
        <v>5.11</v>
      </c>
      <c r="B10512" t="n" s="0">
        <f>(-5-((((-5*(-5/((-5/(((-5*(5.11--5))-(-5+((-5*5.11)*(((-5--5)+(5.11--5))+5.11))))-(-5+-5)))*-5)))/-5)--5)+(-5*(((5.11*(5.11-(-5/-5)))*(5.11-(5.11/(-5*5.11))))-(-5/-5)))))</f>
        <v>613.269955</v>
      </c>
      <c r="C10512" t="n" s="0">
        <v>613.2699550000002</v>
      </c>
    </row>
    <row r="10513">
      <c r="A10513" t="n" s="0">
        <v>5.12</v>
      </c>
      <c r="B10513" t="n" s="0">
        <f>(-5-((((-5*(-5/((-5/(((-5*(5.12--5))-(-5+((-5*5.12)*(((-5--5)+(5.12--5))+5.12))))-(-5+-5)))*-5)))/-5)--5)+(-5*(((5.12*(5.12-(-5/-5)))*(5.12-(5.12/(-5*5.12))))-(-5/-5)))))</f>
        <v>617.01984</v>
      </c>
      <c r="C10513" t="n" s="0">
        <v>617.0198400000002</v>
      </c>
    </row>
    <row r="10514">
      <c r="A10514" t="n" s="0">
        <v>5.13</v>
      </c>
      <c r="B10514" t="n" s="0">
        <f>(-5-((((-5*(-5/((-5/(((-5*(5.13--5))-(-5+((-5*5.13)*(((-5--5)+(5.13--5))+5.13))))-(-5+-5)))*-5)))/-5)--5)+(-5*(((5.13*(5.13-(-5/-5)))*(5.13-(5.13/(-5*5.13))))-(-5/-5)))))</f>
        <v>620.7846850000002</v>
      </c>
      <c r="C10514" t="n" s="0">
        <v>620.7846850000001</v>
      </c>
    </row>
    <row r="10515">
      <c r="A10515" t="n" s="0">
        <v>5.14</v>
      </c>
      <c r="B10515" t="n" s="0">
        <f>(-5-((((-5*(-5/((-5/(((-5*(5.14--5))-(-5+((-5*5.14)*(((-5--5)+(5.14--5))+5.14))))-(-5+-5)))*-5)))/-5)--5)+(-5*(((5.14*(5.14-(-5/-5)))*(5.14-(5.14/(-5*5.14))))-(-5/-5)))))</f>
        <v>624.5645199999998</v>
      </c>
      <c r="C10515" t="n" s="0">
        <v>624.5645199999998</v>
      </c>
    </row>
    <row r="10516">
      <c r="A10516" t="n" s="0">
        <v>5.15</v>
      </c>
      <c r="B10516" t="n" s="0">
        <f>(-5-((((-5*(-5/((-5/(((-5*(5.15--5))-(-5+((-5*5.15)*(((-5--5)+(5.15--5))+5.15))))-(-5+-5)))*-5)))/-5)--5)+(-5*(((5.15*(5.15-(-5/-5)))*(5.15-(5.15/(-5*5.15))))-(-5/-5)))))</f>
        <v>628.359375</v>
      </c>
      <c r="C10516" t="n" s="0">
        <v>628.3593750000003</v>
      </c>
    </row>
    <row r="10517">
      <c r="A10517" t="n" s="0">
        <v>5.16</v>
      </c>
      <c r="B10517" t="n" s="0">
        <f>(-5-((((-5*(-5/((-5/(((-5*(5.16--5))-(-5+((-5*5.16)*(((-5--5)+(5.16--5))+5.16))))-(-5+-5)))*-5)))/-5)--5)+(-5*(((5.16*(5.16-(-5/-5)))*(5.16-(5.16/(-5*5.16))))-(-5/-5)))))</f>
        <v>632.1692800000003</v>
      </c>
      <c r="C10517" t="n" s="0">
        <v>632.1692800000001</v>
      </c>
    </row>
    <row r="10518">
      <c r="A10518" t="n" s="0">
        <v>5.17</v>
      </c>
      <c r="B10518" t="n" s="0">
        <f>(-5-((((-5*(-5/((-5/(((-5*(5.17--5))-(-5+((-5*5.17)*(((-5--5)+(5.17--5))+5.17))))-(-5+-5)))*-5)))/-5)--5)+(-5*(((5.17*(5.17-(-5/-5)))*(5.17-(5.17/(-5*5.17))))-(-5/-5)))))</f>
        <v>635.9942649999999</v>
      </c>
      <c r="C10518" t="n" s="0">
        <v>635.9942649999999</v>
      </c>
    </row>
    <row r="10519">
      <c r="A10519" t="n" s="0">
        <v>5.18</v>
      </c>
      <c r="B10519" t="n" s="0">
        <f>(-5-((((-5*(-5/((-5/(((-5*(5.18--5))-(-5+((-5*5.18)*(((-5--5)+(5.18--5))+5.18))))-(-5+-5)))*-5)))/-5)--5)+(-5*(((5.18*(5.18-(-5/-5)))*(5.18-(5.18/(-5*5.18))))-(-5/-5)))))</f>
        <v>639.8343600000001</v>
      </c>
      <c r="C10519" t="n" s="0">
        <v>639.8343599999998</v>
      </c>
    </row>
    <row r="10520">
      <c r="A10520" t="n" s="0">
        <v>5.19</v>
      </c>
      <c r="B10520" t="n" s="0">
        <f>(-5-((((-5*(-5/((-5/(((-5*(5.19--5))-(-5+((-5*5.19)*(((-5--5)+(5.19--5))+5.19))))-(-5+-5)))*-5)))/-5)--5)+(-5*(((5.19*(5.19-(-5/-5)))*(5.19-(5.19/(-5*5.19))))-(-5/-5)))))</f>
        <v>643.6895950000003</v>
      </c>
      <c r="C10520" t="n" s="0">
        <v>643.6895950000002</v>
      </c>
    </row>
    <row r="10521">
      <c r="A10521" t="n" s="0">
        <v>5.2</v>
      </c>
      <c r="B10521" t="n" s="0">
        <f>(-5-((((-5*(-5/((-5/(((-5*(5.2--5))-(-5+((-5*5.2)*(((-5--5)+(5.2--5))+5.2))))-(-5+-5)))*-5)))/-5)--5)+(-5*(((5.2*(5.2-(-5/-5)))*(5.2-(5.2/(-5*5.2))))-(-5/-5)))))</f>
        <v>647.56</v>
      </c>
      <c r="C10521" t="n" s="0">
        <v>647.56</v>
      </c>
    </row>
    <row r="10522">
      <c r="A10522" t="n" s="0">
        <v>5.21</v>
      </c>
      <c r="B10522" t="n" s="0">
        <f>(-5-((((-5*(-5/((-5/(((-5*(5.21--5))-(-5+((-5*5.21)*(((-5--5)+(5.21--5))+5.21))))-(-5+-5)))*-5)))/-5)--5)+(-5*(((5.21*(5.21-(-5/-5)))*(5.21-(5.21/(-5*5.21))))-(-5/-5)))))</f>
        <v>651.445605</v>
      </c>
      <c r="C10522" t="n" s="0">
        <v>651.445605</v>
      </c>
    </row>
    <row r="10523">
      <c r="A10523" t="n" s="0">
        <v>5.22</v>
      </c>
      <c r="B10523" t="n" s="0">
        <f>(-5-((((-5*(-5/((-5/(((-5*(5.22--5))-(-5+((-5*5.22)*(((-5--5)+(5.22--5))+5.22))))-(-5+-5)))*-5)))/-5)--5)+(-5*(((5.22*(5.22-(-5/-5)))*(5.22-(5.22/(-5*5.22))))-(-5/-5)))))</f>
        <v>655.34644</v>
      </c>
      <c r="C10523" t="n" s="0">
        <v>655.3464399999998</v>
      </c>
    </row>
    <row r="10524">
      <c r="A10524" t="n" s="0">
        <v>5.23</v>
      </c>
      <c r="B10524" t="n" s="0">
        <f>(-5-((((-5*(-5/((-5/(((-5*(5.23--5))-(-5+((-5*5.23)*(((-5--5)+(5.23--5))+5.23))))-(-5+-5)))*-5)))/-5)--5)+(-5*(((5.23*(5.23-(-5/-5)))*(5.23-(5.23/(-5*5.23))))-(-5/-5)))))</f>
        <v>659.2625350000001</v>
      </c>
      <c r="C10524" t="n" s="0">
        <v>659.2625350000003</v>
      </c>
    </row>
    <row r="10525">
      <c r="A10525" t="n" s="0">
        <v>5.24</v>
      </c>
      <c r="B10525" t="n" s="0">
        <f>(-5-((((-5*(-5/((-5/(((-5*(5.24--5))-(-5+((-5*5.24)*(((-5--5)+(5.24--5))+5.24))))-(-5+-5)))*-5)))/-5)--5)+(-5*(((5.24*(5.24-(-5/-5)))*(5.24-(5.24/(-5*5.24))))-(-5/-5)))))</f>
        <v>663.1939200000002</v>
      </c>
      <c r="C10525" t="n" s="0">
        <v>663.19392</v>
      </c>
    </row>
    <row r="10526">
      <c r="A10526" t="n" s="0">
        <v>5.25</v>
      </c>
      <c r="B10526" t="n" s="0">
        <f>(-5-((((-5*(-5/((-5/(((-5*(5.25--5))-(-5+((-5*5.25)*(((-5--5)+(5.25--5))+5.25))))-(-5+-5)))*-5)))/-5)--5)+(-5*(((5.25*(5.25-(-5/-5)))*(5.25-(5.25/(-5*5.25))))-(-5/-5)))))</f>
        <v>667.1406250000002</v>
      </c>
      <c r="C10526" t="n" s="0">
        <v>667.140625</v>
      </c>
    </row>
    <row r="10527">
      <c r="A10527" t="n" s="0">
        <v>5.26</v>
      </c>
      <c r="B10527" t="n" s="0">
        <f>(-5-((((-5*(-5/((-5/(((-5*(5.26--5))-(-5+((-5*5.26)*(((-5--5)+(5.26--5))+5.26))))-(-5+-5)))*-5)))/-5)--5)+(-5*(((5.26*(5.26-(-5/-5)))*(5.26-(5.26/(-5*5.26))))-(-5/-5)))))</f>
        <v>671.10268</v>
      </c>
      <c r="C10527" t="n" s="0">
        <v>671.1026799999999</v>
      </c>
    </row>
    <row r="10528">
      <c r="A10528" t="n" s="0">
        <v>5.27</v>
      </c>
      <c r="B10528" t="n" s="0">
        <f>(-5-((((-5*(-5/((-5/(((-5*(5.27--5))-(-5+((-5*5.27)*(((-5--5)+(5.27--5))+5.27))))-(-5+-5)))*-5)))/-5)--5)+(-5*(((5.27*(5.27-(-5/-5)))*(5.27-(5.27/(-5*5.27))))-(-5/-5)))))</f>
        <v>675.0801150000002</v>
      </c>
      <c r="C10528" t="n" s="0">
        <v>675.0801149999998</v>
      </c>
    </row>
    <row r="10529">
      <c r="A10529" t="n" s="0">
        <v>5.28</v>
      </c>
      <c r="B10529" t="n" s="0">
        <f>(-5-((((-5*(-5/((-5/(((-5*(5.28--5))-(-5+((-5*5.28)*(((-5--5)+(5.28--5))+5.28))))-(-5+-5)))*-5)))/-5)--5)+(-5*(((5.28*(5.28-(-5/-5)))*(5.28-(5.28/(-5*5.28))))-(-5/-5)))))</f>
        <v>679.0729600000002</v>
      </c>
      <c r="C10529" t="n" s="0">
        <v>679.0729600000001</v>
      </c>
    </row>
    <row r="10530">
      <c r="A10530" t="n" s="0">
        <v>5.29</v>
      </c>
      <c r="B10530" t="n" s="0">
        <f>(-5-((((-5*(-5/((-5/(((-5*(5.29--5))-(-5+((-5*5.29)*(((-5--5)+(5.29--5))+5.29))))-(-5+-5)))*-5)))/-5)--5)+(-5*(((5.29*(5.29-(-5/-5)))*(5.29-(5.29/(-5*5.29))))-(-5/-5)))))</f>
        <v>683.0812450000002</v>
      </c>
      <c r="C10530" t="n" s="0">
        <v>683.081245</v>
      </c>
    </row>
    <row r="10531">
      <c r="A10531" t="n" s="0">
        <v>5.3</v>
      </c>
      <c r="B10531" t="n" s="0">
        <f>(-5-((((-5*(-5/((-5/(((-5*(5.3--5))-(-5+((-5*5.3)*(((-5--5)+(5.3--5))+5.3))))-(-5+-5)))*-5)))/-5)--5)+(-5*(((5.3*(5.3-(-5/-5)))*(5.3-(5.3/(-5*5.3))))-(-5/-5)))))</f>
        <v>687.1050000000002</v>
      </c>
      <c r="C10531" t="n" s="0">
        <v>687.1049999999999</v>
      </c>
    </row>
    <row r="10532">
      <c r="A10532" t="n" s="0">
        <v>5.31</v>
      </c>
      <c r="B10532" t="n" s="0">
        <f>(-5-((((-5*(-5/((-5/(((-5*(5.31--5))-(-5+((-5*5.31)*(((-5--5)+(5.31--5))+5.31))))-(-5+-5)))*-5)))/-5)--5)+(-5*(((5.31*(5.31-(-5/-5)))*(5.31-(5.31/(-5*5.31))))-(-5/-5)))))</f>
        <v>691.1442550000003</v>
      </c>
      <c r="C10532" t="n" s="0">
        <v>691.1442549999998</v>
      </c>
    </row>
    <row r="10533">
      <c r="A10533" t="n" s="0">
        <v>5.32</v>
      </c>
      <c r="B10533" t="n" s="0">
        <f>(-5-((((-5*(-5/((-5/(((-5*(5.32--5))-(-5+((-5*5.32)*(((-5--5)+(5.32--5))+5.32))))-(-5+-5)))*-5)))/-5)--5)+(-5*(((5.32*(5.32-(-5/-5)))*(5.32-(5.32/(-5*5.32))))-(-5/-5)))))</f>
        <v>695.1990400000001</v>
      </c>
      <c r="C10533" t="n" s="0">
        <v>695.1990400000003</v>
      </c>
    </row>
    <row r="10534">
      <c r="A10534" t="n" s="0">
        <v>5.33</v>
      </c>
      <c r="B10534" t="n" s="0">
        <f>(-5-((((-5*(-5/((-5/(((-5*(5.33--5))-(-5+((-5*5.33)*(((-5--5)+(5.33--5))+5.33))))-(-5+-5)))*-5)))/-5)--5)+(-5*(((5.33*(5.33-(-5/-5)))*(5.33-(5.33/(-5*5.33))))-(-5/-5)))))</f>
        <v>699.2693849999999</v>
      </c>
      <c r="C10534" t="n" s="0">
        <v>699.269385</v>
      </c>
    </row>
    <row r="10535">
      <c r="A10535" t="n" s="0">
        <v>5.34</v>
      </c>
      <c r="B10535" t="n" s="0">
        <f>(-5-((((-5*(-5/((-5/(((-5*(5.34--5))-(-5+((-5*5.34)*(((-5--5)+(5.34--5))+5.34))))-(-5+-5)))*-5)))/-5)--5)+(-5*(((5.34*(5.34-(-5/-5)))*(5.34-(5.34/(-5*5.34))))-(-5/-5)))))</f>
        <v>703.35532</v>
      </c>
      <c r="C10535" t="n" s="0">
        <v>703.35532</v>
      </c>
    </row>
    <row r="10536">
      <c r="A10536" t="n" s="0">
        <v>5.35</v>
      </c>
      <c r="B10536" t="n" s="0">
        <f>(-5-((((-5*(-5/((-5/(((-5*(5.35--5))-(-5+((-5*5.35)*(((-5--5)+(5.35--5))+5.35))))-(-5+-5)))*-5)))/-5)--5)+(-5*(((5.35*(5.35-(-5/-5)))*(5.35-(5.35/(-5*5.35))))-(-5/-5)))))</f>
        <v>707.456875</v>
      </c>
      <c r="C10536" t="n" s="0">
        <v>707.4568749999997</v>
      </c>
    </row>
    <row r="10537">
      <c r="A10537" t="n" s="0">
        <v>5.36</v>
      </c>
      <c r="B10537" t="n" s="0">
        <f>(-5-((((-5*(-5/((-5/(((-5*(5.36--5))-(-5+((-5*5.36)*(((-5--5)+(5.36--5))+5.36))))-(-5+-5)))*-5)))/-5)--5)+(-5*(((5.36*(5.36-(-5/-5)))*(5.36-(5.36/(-5*5.36))))-(-5/-5)))))</f>
        <v>711.57408</v>
      </c>
      <c r="C10537" t="n" s="0">
        <v>711.5740800000002</v>
      </c>
    </row>
    <row r="10538">
      <c r="A10538" t="n" s="0">
        <v>5.37</v>
      </c>
      <c r="B10538" t="n" s="0">
        <f>(-5-((((-5*(-5/((-5/(((-5*(5.37--5))-(-5+((-5*5.37)*(((-5--5)+(5.37--5))+5.37))))-(-5+-5)))*-5)))/-5)--5)+(-5*(((5.37*(5.37-(-5/-5)))*(5.37-(5.37/(-5*5.37))))-(-5/-5)))))</f>
        <v>715.7069650000002</v>
      </c>
      <c r="C10538" t="n" s="0">
        <v>715.706965</v>
      </c>
    </row>
    <row r="10539">
      <c r="A10539" t="n" s="0">
        <v>5.38</v>
      </c>
      <c r="B10539" t="n" s="0">
        <f>(-5-((((-5*(-5/((-5/(((-5*(5.38--5))-(-5+((-5*5.38)*(((-5--5)+(5.38--5))+5.38))))-(-5+-5)))*-5)))/-5)--5)+(-5*(((5.38*(5.38-(-5/-5)))*(5.38-(5.38/(-5*5.38))))-(-5/-5)))))</f>
        <v>719.8555600000002</v>
      </c>
      <c r="C10539" t="n" s="0">
        <v>719.85556</v>
      </c>
    </row>
    <row r="10540">
      <c r="A10540" t="n" s="0">
        <v>5.39</v>
      </c>
      <c r="B10540" t="n" s="0">
        <f>(-5-((((-5*(-5/((-5/(((-5*(5.39--5))-(-5+((-5*5.39)*(((-5--5)+(5.39--5))+5.39))))-(-5+-5)))*-5)))/-5)--5)+(-5*(((5.39*(5.39-(-5/-5)))*(5.39-(5.39/(-5*5.39))))-(-5/-5)))))</f>
        <v>724.0198949999999</v>
      </c>
      <c r="C10540" t="n" s="0">
        <v>724.0198949999999</v>
      </c>
    </row>
    <row r="10541">
      <c r="A10541" t="n" s="0">
        <v>5.4</v>
      </c>
      <c r="B10541" t="n" s="0">
        <f>(-5-((((-5*(-5/((-5/(((-5*(5.4--5))-(-5+((-5*5.4)*(((-5--5)+(5.4--5))+5.4))))-(-5+-5)))*-5)))/-5)--5)+(-5*(((5.4*(5.4-(-5/-5)))*(5.4-(5.4/(-5*5.4))))-(-5/-5)))))</f>
        <v>728.1999999999999</v>
      </c>
      <c r="C10541" t="n" s="0">
        <v>728.2000000000002</v>
      </c>
    </row>
    <row r="10542">
      <c r="A10542" t="n" s="0">
        <v>5.41</v>
      </c>
      <c r="B10542" t="n" s="0">
        <f>(-5-((((-5*(-5/((-5/(((-5*(5.41--5))-(-5+((-5*5.41)*(((-5--5)+(5.41--5))+5.41))))-(-5+-5)))*-5)))/-5)--5)+(-5*(((5.41*(5.41-(-5/-5)))*(5.41-(5.41/(-5*5.41))))-(-5/-5)))))</f>
        <v>732.395905</v>
      </c>
      <c r="C10542" t="n" s="0">
        <v>732.3959050000001</v>
      </c>
    </row>
    <row r="10543">
      <c r="A10543" t="n" s="0">
        <v>5.42</v>
      </c>
      <c r="B10543" t="n" s="0">
        <f>(-5-((((-5*(-5/((-5/(((-5*(5.42--5))-(-5+((-5*5.42)*(((-5--5)+(5.42--5))+5.42))))-(-5+-5)))*-5)))/-5)--5)+(-5*(((5.42*(5.42-(-5/-5)))*(5.42-(5.42/(-5*5.42))))-(-5/-5)))))</f>
        <v>736.6076400000002</v>
      </c>
      <c r="C10543" t="n" s="0">
        <v>736.6076400000001</v>
      </c>
    </row>
    <row r="10544">
      <c r="A10544" t="n" s="0">
        <v>5.43</v>
      </c>
      <c r="B10544" t="n" s="0">
        <f>(-5-((((-5*(-5/((-5/(((-5*(5.43--5))-(-5+((-5*5.43)*(((-5--5)+(5.43--5))+5.43))))-(-5+-5)))*-5)))/-5)--5)+(-5*(((5.43*(5.43-(-5/-5)))*(5.43-(5.43/(-5*5.43))))-(-5/-5)))))</f>
        <v>740.835235</v>
      </c>
      <c r="C10544" t="n" s="0">
        <v>740.8352349999998</v>
      </c>
    </row>
    <row r="10545">
      <c r="A10545" t="n" s="0">
        <v>5.44</v>
      </c>
      <c r="B10545" t="n" s="0">
        <f>(-5-((((-5*(-5/((-5/(((-5*(5.44--5))-(-5+((-5*5.44)*(((-5--5)+(5.44--5))+5.44))))-(-5+-5)))*-5)))/-5)--5)+(-5*(((5.44*(5.44-(-5/-5)))*(5.44-(5.44/(-5*5.44))))-(-5/-5)))))</f>
        <v>745.0787200000002</v>
      </c>
      <c r="C10545" t="n" s="0">
        <v>745.0787200000002</v>
      </c>
    </row>
    <row r="10546">
      <c r="A10546" t="n" s="0">
        <v>5.45</v>
      </c>
      <c r="B10546" t="n" s="0">
        <f>(-5-((((-5*(-5/((-5/(((-5*(5.45--5))-(-5+((-5*5.45)*(((-5--5)+(5.45--5))+5.45))))-(-5+-5)))*-5)))/-5)--5)+(-5*(((5.45*(5.45-(-5/-5)))*(5.45-(5.45/(-5*5.45))))-(-5/-5)))))</f>
        <v>749.3381249999998</v>
      </c>
      <c r="C10546" t="n" s="0">
        <v>749.3381250000002</v>
      </c>
    </row>
    <row r="10547">
      <c r="A10547" t="n" s="0">
        <v>5.46</v>
      </c>
      <c r="B10547" t="n" s="0">
        <f>(-5-((((-5*(-5/((-5/(((-5*(5.46--5))-(-5+((-5*5.46)*(((-5--5)+(5.46--5))+5.46))))-(-5+-5)))*-5)))/-5)--5)+(-5*(((5.46*(5.46-(-5/-5)))*(5.46-(5.46/(-5*5.46))))-(-5/-5)))))</f>
        <v>753.61348</v>
      </c>
      <c r="C10547" t="n" s="0">
        <v>753.61348</v>
      </c>
    </row>
    <row r="10548">
      <c r="A10548" t="n" s="0">
        <v>5.47</v>
      </c>
      <c r="B10548" t="n" s="0">
        <f>(-5-((((-5*(-5/((-5/(((-5*(5.47--5))-(-5+((-5*5.47)*(((-5--5)+(5.47--5))+5.47))))-(-5+-5)))*-5)))/-5)--5)+(-5*(((5.47*(5.47-(-5/-5)))*(5.47-(5.47/(-5*5.47))))-(-5/-5)))))</f>
        <v>757.904815</v>
      </c>
      <c r="C10548" t="n" s="0">
        <v>757.9048149999999</v>
      </c>
    </row>
    <row r="10549">
      <c r="A10549" t="n" s="0">
        <v>5.48</v>
      </c>
      <c r="B10549" t="n" s="0">
        <f>(-5-((((-5*(-5/((-5/(((-5*(5.48--5))-(-5+((-5*5.48)*(((-5--5)+(5.48--5))+5.48))))-(-5+-5)))*-5)))/-5)--5)+(-5*(((5.48*(5.48-(-5/-5)))*(5.48-(5.48/(-5*5.48))))-(-5/-5)))))</f>
        <v>762.2121600000002</v>
      </c>
      <c r="C10549" t="n" s="0">
        <v>762.2121600000003</v>
      </c>
    </row>
    <row r="10550">
      <c r="A10550" t="n" s="0">
        <v>5.49</v>
      </c>
      <c r="B10550" t="n" s="0">
        <f>(-5-((((-5*(-5/((-5/(((-5*(5.49--5))-(-5+((-5*5.49)*(((-5--5)+(5.49--5))+5.49))))-(-5+-5)))*-5)))/-5)--5)+(-5*(((5.49*(5.49-(-5/-5)))*(5.49-(5.49/(-5*5.49))))-(-5/-5)))))</f>
        <v>766.535545</v>
      </c>
      <c r="C10550" t="n" s="0">
        <v>766.5355450000001</v>
      </c>
    </row>
    <row r="10551">
      <c r="A10551" t="n" s="0">
        <v>5.5</v>
      </c>
      <c r="B10551" t="n" s="0">
        <f>(-5-((((-5*(-5/((-5/(((-5*(5.5--5))-(-5+((-5*5.5)*(((-5--5)+(5.5--5))+5.5))))-(-5+-5)))*-5)))/-5)--5)+(-5*(((5.5*(5.5-(-5/-5)))*(5.5-(5.5/(-5*5.5))))-(-5/-5)))))</f>
        <v>770.875</v>
      </c>
      <c r="C10551" t="n" s="0">
        <v>770.875</v>
      </c>
    </row>
    <row r="10552">
      <c r="A10552" t="n" s="0">
        <v>5.51</v>
      </c>
      <c r="B10552" t="n" s="0">
        <f>(-5-((((-5*(-5/((-5/(((-5*(5.51--5))-(-5+((-5*5.51)*(((-5--5)+(5.51--5))+5.51))))-(-5+-5)))*-5)))/-5)--5)+(-5*(((5.51*(5.51-(-5/-5)))*(5.51-(5.51/(-5*5.51))))-(-5/-5)))))</f>
        <v>775.2305549999999</v>
      </c>
      <c r="C10552" t="n" s="0">
        <v>775.2305549999999</v>
      </c>
    </row>
    <row r="10553">
      <c r="A10553" t="n" s="0">
        <v>5.52</v>
      </c>
      <c r="B10553" t="n" s="0">
        <f>(-5-((((-5*(-5/((-5/(((-5*(5.52--5))-(-5+((-5*5.52)*(((-5--5)+(5.52--5))+5.52))))-(-5+-5)))*-5)))/-5)--5)+(-5*(((5.52*(5.52-(-5/-5)))*(5.52-(5.52/(-5*5.52))))-(-5/-5)))))</f>
        <v>779.6022400000003</v>
      </c>
      <c r="C10553" t="n" s="0">
        <v>779.6022399999998</v>
      </c>
    </row>
    <row r="10554">
      <c r="A10554" t="n" s="0">
        <v>5.53</v>
      </c>
      <c r="B10554" t="n" s="0">
        <f>(-5-((((-5*(-5/((-5/(((-5*(5.53--5))-(-5+((-5*5.53)*(((-5--5)+(5.53--5))+5.53))))-(-5+-5)))*-5)))/-5)--5)+(-5*(((5.53*(5.53-(-5/-5)))*(5.53-(5.53/(-5*5.53))))-(-5/-5)))))</f>
        <v>783.990085</v>
      </c>
      <c r="C10554" t="n" s="0">
        <v>783.9900850000001</v>
      </c>
    </row>
    <row r="10555">
      <c r="A10555" t="n" s="0">
        <v>5.54</v>
      </c>
      <c r="B10555" t="n" s="0">
        <f>(-5-((((-5*(-5/((-5/(((-5*(5.54--5))-(-5+((-5*5.54)*(((-5--5)+(5.54--5))+5.54))))-(-5+-5)))*-5)))/-5)--5)+(-5*(((5.54*(5.54-(-5/-5)))*(5.54-(5.54/(-5*5.54))))-(-5/-5)))))</f>
        <v>788.3941199999998</v>
      </c>
      <c r="C10555" t="n" s="0">
        <v>788.39412</v>
      </c>
    </row>
    <row r="10556">
      <c r="A10556" t="n" s="0">
        <v>5.55</v>
      </c>
      <c r="B10556" t="n" s="0">
        <f>(-5-((((-5*(-5/((-5/(((-5*(5.55--5))-(-5+((-5*5.55)*(((-5--5)+(5.55--5))+5.55))))-(-5+-5)))*-5)))/-5)--5)+(-5*(((5.55*(5.55-(-5/-5)))*(5.55-(5.55/(-5*5.55))))-(-5/-5)))))</f>
        <v>792.8143749999998</v>
      </c>
      <c r="C10556" t="n" s="0">
        <v>792.8143749999998</v>
      </c>
    </row>
    <row r="10557">
      <c r="A10557" t="n" s="0">
        <v>5.56</v>
      </c>
      <c r="B10557" t="n" s="0">
        <f>(-5-((((-5*(-5/((-5/(((-5*(5.56--5))-(-5+((-5*5.56)*(((-5--5)+(5.56--5))+5.56))))-(-5+-5)))*-5)))/-5)--5)+(-5*(((5.56*(5.56-(-5/-5)))*(5.56-(5.56/(-5*5.56))))-(-5/-5)))))</f>
        <v>797.2508799999999</v>
      </c>
      <c r="C10557" t="n" s="0">
        <v>797.2508799999998</v>
      </c>
    </row>
    <row r="10558">
      <c r="A10558" t="n" s="0">
        <v>5.57</v>
      </c>
      <c r="B10558" t="n" s="0">
        <f>(-5-((((-5*(-5/((-5/(((-5*(5.57--5))-(-5+((-5*5.57)*(((-5--5)+(5.57--5))+5.57))))-(-5+-5)))*-5)))/-5)--5)+(-5*(((5.57*(5.57-(-5/-5)))*(5.57-(5.57/(-5*5.57))))-(-5/-5)))))</f>
        <v>801.7036650000002</v>
      </c>
      <c r="C10558" t="n" s="0">
        <v>801.7036650000002</v>
      </c>
    </row>
    <row r="10559">
      <c r="A10559" t="n" s="0">
        <v>5.58</v>
      </c>
      <c r="B10559" t="n" s="0">
        <f>(-5-((((-5*(-5/((-5/(((-5*(5.58--5))-(-5+((-5*5.58)*(((-5--5)+(5.58--5))+5.58))))-(-5+-5)))*-5)))/-5)--5)+(-5*(((5.58*(5.58-(-5/-5)))*(5.58-(5.58/(-5*5.58))))-(-5/-5)))))</f>
        <v>806.1727600000003</v>
      </c>
      <c r="C10559" t="n" s="0">
        <v>806.1727600000002</v>
      </c>
    </row>
    <row r="10560">
      <c r="A10560" t="n" s="0">
        <v>5.59</v>
      </c>
      <c r="B10560" t="n" s="0">
        <f>(-5-((((-5*(-5/((-5/(((-5*(5.59--5))-(-5+((-5*5.59)*(((-5--5)+(5.59--5))+5.59))))-(-5+-5)))*-5)))/-5)--5)+(-5*(((5.59*(5.59-(-5/-5)))*(5.59-(5.59/(-5*5.59))))-(-5/-5)))))</f>
        <v>810.6581949999999</v>
      </c>
      <c r="C10560" t="n" s="0">
        <v>810.6581949999999</v>
      </c>
    </row>
    <row r="10561">
      <c r="A10561" t="n" s="0">
        <v>5.6</v>
      </c>
      <c r="B10561" t="n" s="0">
        <f>(-5-((((-5*(-5/((-5/(((-5*(5.6--5))-(-5+((-5*5.6)*(((-5--5)+(5.6--5))+5.6))))-(-5+-5)))*-5)))/-5)--5)+(-5*(((5.6*(5.6-(-5/-5)))*(5.6-(5.6/(-5*5.6))))-(-5/-5)))))</f>
        <v>815.16</v>
      </c>
      <c r="C10561" t="n" s="0">
        <v>815.1599999999997</v>
      </c>
    </row>
    <row r="10562">
      <c r="A10562" t="n" s="0">
        <v>5.61</v>
      </c>
      <c r="B10562" t="n" s="0">
        <f>(-5-((((-5*(-5/((-5/(((-5*(5.61--5))-(-5+((-5*5.61)*(((-5--5)+(5.61--5))+5.61))))-(-5+-5)))*-5)))/-5)--5)+(-5*(((5.61*(5.61-(-5/-5)))*(5.61-(5.61/(-5*5.61))))-(-5/-5)))))</f>
        <v>819.6782049999997</v>
      </c>
      <c r="C10562" t="n" s="0">
        <v>819.6782050000002</v>
      </c>
    </row>
    <row r="10563">
      <c r="A10563" t="n" s="0">
        <v>5.62</v>
      </c>
      <c r="B10563" t="n" s="0">
        <f>(-5-((((-5*(-5/((-5/(((-5*(5.62--5))-(-5+((-5*5.62)*(((-5--5)+(5.62--5))+5.62))))-(-5+-5)))*-5)))/-5)--5)+(-5*(((5.62*(5.62-(-5/-5)))*(5.62-(5.62/(-5*5.62))))-(-5/-5)))))</f>
        <v>824.2128400000004</v>
      </c>
      <c r="C10563" t="n" s="0">
        <v>824.21284</v>
      </c>
    </row>
    <row r="10564">
      <c r="A10564" t="n" s="0">
        <v>5.63</v>
      </c>
      <c r="B10564" t="n" s="0">
        <f>(-5-((((-5*(-5/((-5/(((-5*(5.63--5))-(-5+((-5*5.63)*(((-5--5)+(5.63--5))+5.63))))-(-5+-5)))*-5)))/-5)--5)+(-5*(((5.63*(5.63-(-5/-5)))*(5.63-(5.63/(-5*5.63))))-(-5/-5)))))</f>
        <v>828.7639350000001</v>
      </c>
      <c r="C10564" t="n" s="0">
        <v>828.7639349999998</v>
      </c>
    </row>
    <row r="10565">
      <c r="A10565" t="n" s="0">
        <v>5.64</v>
      </c>
      <c r="B10565" t="n" s="0">
        <f>(-5-((((-5*(-5/((-5/(((-5*(5.64--5))-(-5+((-5*5.64)*(((-5--5)+(5.64--5))+5.64))))-(-5+-5)))*-5)))/-5)--5)+(-5*(((5.64*(5.64-(-5/-5)))*(5.64-(5.64/(-5*5.64))))-(-5/-5)))))</f>
        <v>833.3315200000002</v>
      </c>
      <c r="C10565" t="n" s="0">
        <v>833.33152</v>
      </c>
    </row>
    <row r="10566">
      <c r="A10566" t="n" s="0">
        <v>5.65</v>
      </c>
      <c r="B10566" t="n" s="0">
        <f>(-5-((((-5*(-5/((-5/(((-5*(5.65--5))-(-5+((-5*5.65)*(((-5--5)+(5.65--5))+5.65))))-(-5+-5)))*-5)))/-5)--5)+(-5*(((5.65*(5.65-(-5/-5)))*(5.65-(5.65/(-5*5.65))))-(-5/-5)))))</f>
        <v>837.9156250000001</v>
      </c>
      <c r="C10566" t="n" s="0">
        <v>837.9156250000001</v>
      </c>
    </row>
    <row r="10567">
      <c r="A10567" t="n" s="0">
        <v>5.66</v>
      </c>
      <c r="B10567" t="n" s="0">
        <f>(-5-((((-5*(-5/((-5/(((-5*(5.66--5))-(-5+((-5*5.66)*(((-5--5)+(5.66--5))+5.66))))-(-5+-5)))*-5)))/-5)--5)+(-5*(((5.66*(5.66-(-5/-5)))*(5.66-(5.66/(-5*5.66))))-(-5/-5)))))</f>
        <v>842.5162799999999</v>
      </c>
      <c r="C10567" t="n" s="0">
        <v>842.5162800000002</v>
      </c>
    </row>
    <row r="10568">
      <c r="A10568" t="n" s="0">
        <v>5.67</v>
      </c>
      <c r="B10568" t="n" s="0">
        <f>(-5-((((-5*(-5/((-5/(((-5*(5.67--5))-(-5+((-5*5.67)*(((-5--5)+(5.67--5))+5.67))))-(-5+-5)))*-5)))/-5)--5)+(-5*(((5.67*(5.67-(-5/-5)))*(5.67-(5.67/(-5*5.67))))-(-5/-5)))))</f>
        <v>847.1335149999998</v>
      </c>
      <c r="C10568" t="n" s="0">
        <v>847.133515</v>
      </c>
    </row>
    <row r="10569">
      <c r="A10569" t="n" s="0">
        <v>5.68</v>
      </c>
      <c r="B10569" t="n" s="0">
        <f>(-5-((((-5*(-5/((-5/(((-5*(5.68--5))-(-5+((-5*5.68)*(((-5--5)+(5.68--5))+5.68))))-(-5+-5)))*-5)))/-5)--5)+(-5*(((5.68*(5.68-(-5/-5)))*(5.68-(5.68/(-5*5.68))))-(-5/-5)))))</f>
        <v>851.76736</v>
      </c>
      <c r="C10569" t="n" s="0">
        <v>851.7673599999997</v>
      </c>
    </row>
    <row r="10570">
      <c r="A10570" t="n" s="0">
        <v>5.69</v>
      </c>
      <c r="B10570" t="n" s="0">
        <f>(-5-((((-5*(-5/((-5/(((-5*(5.69--5))-(-5+((-5*5.69)*(((-5--5)+(5.69--5))+5.69))))-(-5+-5)))*-5)))/-5)--5)+(-5*(((5.69*(5.69-(-5/-5)))*(5.69-(5.69/(-5*5.69))))-(-5/-5)))))</f>
        <v>856.4178449999998</v>
      </c>
      <c r="C10570" t="n" s="0">
        <v>856.4178450000002</v>
      </c>
    </row>
    <row r="10571">
      <c r="A10571" t="n" s="0">
        <v>5.7</v>
      </c>
      <c r="B10571" t="n" s="0">
        <f>(-5-((((-5*(-5/((-5/(((-5*(5.7--5))-(-5+((-5*5.7)*(((-5--5)+(5.7--5))+5.7))))-(-5+-5)))*-5)))/-5)--5)+(-5*(((5.7*(5.7-(-5/-5)))*(5.7-(5.7/(-5*5.7))))-(-5/-5)))))</f>
        <v>861.0849999999999</v>
      </c>
      <c r="C10571" t="n" s="0">
        <v>861.085</v>
      </c>
    </row>
    <row r="10572">
      <c r="A10572" t="n" s="0">
        <v>5.71</v>
      </c>
      <c r="B10572" t="n" s="0">
        <f>(-5-((((-5*(-5/((-5/(((-5*(5.71--5))-(-5+((-5*5.71)*(((-5--5)+(5.71--5))+5.71))))-(-5+-5)))*-5)))/-5)--5)+(-5*(((5.71*(5.71-(-5/-5)))*(5.71-(5.71/(-5*5.71))))-(-5/-5)))))</f>
        <v>865.7688549999998</v>
      </c>
      <c r="C10572" t="n" s="0">
        <v>865.7688549999999</v>
      </c>
    </row>
    <row r="10573">
      <c r="A10573" t="n" s="0">
        <v>5.72</v>
      </c>
      <c r="B10573" t="n" s="0">
        <f>(-5-((((-5*(-5/((-5/(((-5*(5.72--5))-(-5+((-5*5.72)*(((-5--5)+(5.72--5))+5.72))))-(-5+-5)))*-5)))/-5)--5)+(-5*(((5.72*(5.72-(-5/-5)))*(5.72-(5.72/(-5*5.72))))-(-5/-5)))))</f>
        <v>870.4694399999998</v>
      </c>
      <c r="C10573" t="n" s="0">
        <v>870.4694399999998</v>
      </c>
    </row>
    <row r="10574">
      <c r="A10574" t="n" s="0">
        <v>5.73</v>
      </c>
      <c r="B10574" t="n" s="0">
        <f>(-5-((((-5*(-5/((-5/(((-5*(5.73--5))-(-5+((-5*5.73)*(((-5--5)+(5.73--5))+5.73))))-(-5+-5)))*-5)))/-5)--5)+(-5*(((5.73*(5.73-(-5/-5)))*(5.73-(5.73/(-5*5.73))))-(-5/-5)))))</f>
        <v>875.1867850000004</v>
      </c>
      <c r="C10574" t="n" s="0">
        <v>875.1867850000002</v>
      </c>
    </row>
    <row r="10575">
      <c r="A10575" t="n" s="0">
        <v>5.74</v>
      </c>
      <c r="B10575" t="n" s="0">
        <f>(-5-((((-5*(-5/((-5/(((-5*(5.74--5))-(-5+((-5*5.74)*(((-5--5)+(5.74--5))+5.74))))-(-5+-5)))*-5)))/-5)--5)+(-5*(((5.74*(5.74-(-5/-5)))*(5.74-(5.74/(-5*5.74))))-(-5/-5)))))</f>
        <v>879.9209199999998</v>
      </c>
      <c r="C10575" t="n" s="0">
        <v>879.9209200000001</v>
      </c>
    </row>
    <row r="10576">
      <c r="A10576" t="n" s="0">
        <v>5.75</v>
      </c>
      <c r="B10576" t="n" s="0">
        <f>(-5-((((-5*(-5/((-5/(((-5*(5.75--5))-(-5+((-5*5.75)*(((-5--5)+(5.75--5))+5.75))))-(-5+-5)))*-5)))/-5)--5)+(-5*(((5.75*(5.75-(-5/-5)))*(5.75-(5.75/(-5*5.75))))-(-5/-5)))))</f>
        <v>884.671875</v>
      </c>
      <c r="C10576" t="n" s="0">
        <v>884.671875</v>
      </c>
    </row>
    <row r="10577">
      <c r="A10577" t="n" s="0">
        <v>5.76</v>
      </c>
      <c r="B10577" t="n" s="0">
        <f>(-5-((((-5*(-5/((-5/(((-5*(5.76--5))-(-5+((-5*5.76)*(((-5--5)+(5.76--5))+5.76))))-(-5+-5)))*-5)))/-5)--5)+(-5*(((5.76*(5.76-(-5/-5)))*(5.76-(5.76/(-5*5.76))))-(-5/-5)))))</f>
        <v>889.4396800000001</v>
      </c>
      <c r="C10577" t="n" s="0">
        <v>889.43968</v>
      </c>
    </row>
    <row r="10578">
      <c r="A10578" t="n" s="0">
        <v>5.77</v>
      </c>
      <c r="B10578" t="n" s="0">
        <f>(-5-((((-5*(-5/((-5/(((-5*(5.77--5))-(-5+((-5*5.77)*(((-5--5)+(5.77--5))+5.77))))-(-5+-5)))*-5)))/-5)--5)+(-5*(((5.77*(5.77-(-5/-5)))*(5.77-(5.77/(-5*5.77))))-(-5/-5)))))</f>
        <v>894.2243650000003</v>
      </c>
      <c r="C10578" t="n" s="0">
        <v>894.2243649999998</v>
      </c>
    </row>
    <row r="10579">
      <c r="A10579" t="n" s="0">
        <v>5.78</v>
      </c>
      <c r="B10579" t="n" s="0">
        <f>(-5-((((-5*(-5/((-5/(((-5*(5.78--5))-(-5+((-5*5.78)*(((-5--5)+(5.78--5))+5.78))))-(-5+-5)))*-5)))/-5)--5)+(-5*(((5.78*(5.78-(-5/-5)))*(5.78-(5.78/(-5*5.78))))-(-5/-5)))))</f>
        <v>899.0259599999998</v>
      </c>
      <c r="C10579" t="n" s="0">
        <v>899.02596</v>
      </c>
    </row>
    <row r="10580">
      <c r="A10580" t="n" s="0">
        <v>5.79</v>
      </c>
      <c r="B10580" t="n" s="0">
        <f>(-5-((((-5*(-5/((-5/(((-5*(5.79--5))-(-5+((-5*5.79)*(((-5--5)+(5.79--5))+5.79))))-(-5+-5)))*-5)))/-5)--5)+(-5*(((5.79*(5.79-(-5/-5)))*(5.79-(5.79/(-5*5.79))))-(-5/-5)))))</f>
        <v>903.8444949999996</v>
      </c>
      <c r="C10580" t="n" s="0">
        <v>903.8444950000002</v>
      </c>
    </row>
    <row r="10581">
      <c r="A10581" t="n" s="0">
        <v>5.8</v>
      </c>
      <c r="B10581" t="n" s="0">
        <f>(-5-((((-5*(-5/((-5/(((-5*(5.8--5))-(-5+((-5*5.8)*(((-5--5)+(5.8--5))+5.8))))-(-5+-5)))*-5)))/-5)--5)+(-5*(((5.8*(5.8-(-5/-5)))*(5.8-(5.8/(-5*5.8))))-(-5/-5)))))</f>
        <v>908.6800000000001</v>
      </c>
      <c r="C10581" t="n" s="0">
        <v>908.68</v>
      </c>
    </row>
    <row r="10582">
      <c r="A10582" t="n" s="0">
        <v>5.81</v>
      </c>
      <c r="B10582" t="n" s="0">
        <f>(-5-((((-5*(-5/((-5/(((-5*(5.81--5))-(-5+((-5*5.81)*(((-5--5)+(5.81--5))+5.81))))-(-5+-5)))*-5)))/-5)--5)+(-5*(((5.81*(5.81-(-5/-5)))*(5.81-(5.81/(-5*5.81))))-(-5/-5)))))</f>
        <v>913.532505</v>
      </c>
      <c r="C10582" t="n" s="0">
        <v>913.5325049999998</v>
      </c>
    </row>
    <row r="10583">
      <c r="A10583" t="n" s="0">
        <v>5.82</v>
      </c>
      <c r="B10583" t="n" s="0">
        <f>(-5-((((-5*(-5/((-5/(((-5*(5.82--5))-(-5+((-5*5.82)*(((-5--5)+(5.82--5))+5.82))))-(-5+-5)))*-5)))/-5)--5)+(-5*(((5.82*(5.82-(-5/-5)))*(5.82-(5.82/(-5*5.82))))-(-5/-5)))))</f>
        <v>918.4020399999996</v>
      </c>
      <c r="C10583" t="n" s="0">
        <v>918.4020400000002</v>
      </c>
    </row>
    <row r="10584">
      <c r="A10584" t="n" s="0">
        <v>5.83</v>
      </c>
      <c r="B10584" t="n" s="0">
        <f>(-5-((((-5*(-5/((-5/(((-5*(5.83--5))-(-5+((-5*5.83)*(((-5--5)+(5.83--5))+5.83))))-(-5+-5)))*-5)))/-5)--5)+(-5*(((5.83*(5.83-(-5/-5)))*(5.83-(5.83/(-5*5.83))))-(-5/-5)))))</f>
        <v>923.2886349999999</v>
      </c>
      <c r="C10584" t="n" s="0">
        <v>923.2886350000001</v>
      </c>
    </row>
    <row r="10585">
      <c r="A10585" t="n" s="0">
        <v>5.84</v>
      </c>
      <c r="B10585" t="n" s="0">
        <f>(-5-((((-5*(-5/((-5/(((-5*(5.84--5))-(-5+((-5*5.84)*(((-5--5)+(5.84--5))+5.84))))-(-5+-5)))*-5)))/-5)--5)+(-5*(((5.84*(5.84-(-5/-5)))*(5.84-(5.84/(-5*5.84))))-(-5/-5)))))</f>
        <v>928.1923200000002</v>
      </c>
      <c r="C10585" t="n" s="0">
        <v>928.1923199999999</v>
      </c>
    </row>
    <row r="10586">
      <c r="A10586" t="n" s="0">
        <v>5.85</v>
      </c>
      <c r="B10586" t="n" s="0">
        <f>(-5-((((-5*(-5/((-5/(((-5*(5.85--5))-(-5+((-5*5.85)*(((-5--5)+(5.85--5))+5.85))))-(-5+-5)))*-5)))/-5)--5)+(-5*(((5.85*(5.85-(-5/-5)))*(5.85-(5.85/(-5*5.85))))-(-5/-5)))))</f>
        <v>933.1131249999996</v>
      </c>
      <c r="C10586" t="n" s="0">
        <v>933.1131249999996</v>
      </c>
    </row>
    <row r="10587">
      <c r="A10587" t="n" s="0">
        <v>5.86</v>
      </c>
      <c r="B10587" t="n" s="0">
        <f>(-5-((((-5*(-5/((-5/(((-5*(5.86--5))-(-5+((-5*5.86)*(((-5--5)+(5.86--5))+5.86))))-(-5+-5)))*-5)))/-5)--5)+(-5*(((5.86*(5.86-(-5/-5)))*(5.86-(5.86/(-5*5.86))))-(-5/-5)))))</f>
        <v>938.0510799999997</v>
      </c>
      <c r="C10587" t="n" s="0">
        <v>938.0510800000001</v>
      </c>
    </row>
    <row r="10588">
      <c r="A10588" t="n" s="0">
        <v>5.87</v>
      </c>
      <c r="B10588" t="n" s="0">
        <f>(-5-((((-5*(-5/((-5/(((-5*(5.87--5))-(-5+((-5*5.87)*(((-5--5)+(5.87--5))+5.87))))-(-5+-5)))*-5)))/-5)--5)+(-5*(((5.87*(5.87-(-5/-5)))*(5.87-(5.87/(-5*5.87))))-(-5/-5)))))</f>
        <v>943.0062149999999</v>
      </c>
      <c r="C10588" t="n" s="0">
        <v>943.0062150000001</v>
      </c>
    </row>
    <row r="10589">
      <c r="A10589" t="n" s="0">
        <v>5.88</v>
      </c>
      <c r="B10589" t="n" s="0">
        <f>(-5-((((-5*(-5/((-5/(((-5*(5.88--5))-(-5+((-5*5.88)*(((-5--5)+(5.88--5))+5.88))))-(-5+-5)))*-5)))/-5)--5)+(-5*(((5.88*(5.88-(-5/-5)))*(5.88-(5.88/(-5*5.88))))-(-5/-5)))))</f>
        <v>947.9785599999996</v>
      </c>
      <c r="C10589" t="n" s="0">
        <v>947.9785599999999</v>
      </c>
    </row>
    <row r="10590">
      <c r="A10590" t="n" s="0">
        <v>5.89</v>
      </c>
      <c r="B10590" t="n" s="0">
        <f>(-5-((((-5*(-5/((-5/(((-5*(5.89--5))-(-5+((-5*5.89)*(((-5--5)+(5.89--5))+5.89))))-(-5+-5)))*-5)))/-5)--5)+(-5*(((5.89*(5.89-(-5/-5)))*(5.89-(5.89/(-5*5.89))))-(-5/-5)))))</f>
        <v>952.9681449999998</v>
      </c>
      <c r="C10590" t="n" s="0">
        <v>952.9681449999998</v>
      </c>
    </row>
    <row r="10591">
      <c r="A10591" t="n" s="0">
        <v>5.9</v>
      </c>
      <c r="B10591" t="n" s="0">
        <f>(-5-((((-5*(-5/((-5/(((-5*(5.9--5))-(-5+((-5*5.9)*(((-5--5)+(5.9--5))+5.9))))-(-5+-5)))*-5)))/-5)--5)+(-5*(((5.9*(5.9-(-5/-5)))*(5.9-(5.9/(-5*5.9))))-(-5/-5)))))</f>
        <v>957.9749999999996</v>
      </c>
      <c r="C10591" t="n" s="0">
        <v>957.9750000000003</v>
      </c>
    </row>
    <row r="10592">
      <c r="A10592" t="n" s="0">
        <v>5.91</v>
      </c>
      <c r="B10592" t="n" s="0">
        <f>(-5-((((-5*(-5/((-5/(((-5*(5.91--5))-(-5+((-5*5.91)*(((-5--5)+(5.91--5))+5.91))))-(-5+-5)))*-5)))/-5)--5)+(-5*(((5.91*(5.91-(-5/-5)))*(5.91-(5.91/(-5*5.91))))-(-5/-5)))))</f>
        <v>962.9991549999999</v>
      </c>
      <c r="C10592" t="n" s="0">
        <v>962.9991550000002</v>
      </c>
    </row>
    <row r="10593">
      <c r="A10593" t="n" s="0">
        <v>5.92</v>
      </c>
      <c r="B10593" t="n" s="0">
        <f>(-5-((((-5*(-5/((-5/(((-5*(5.92--5))-(-5+((-5*5.92)*(((-5--5)+(5.92--5))+5.92))))-(-5+-5)))*-5)))/-5)--5)+(-5*(((5.92*(5.92-(-5/-5)))*(5.92-(5.92/(-5*5.92))))-(-5/-5)))))</f>
        <v>968.0406399999999</v>
      </c>
      <c r="C10593" t="n" s="0">
        <v>968.0406399999998</v>
      </c>
    </row>
    <row r="10594">
      <c r="A10594" t="n" s="0">
        <v>5.93</v>
      </c>
      <c r="B10594" t="n" s="0">
        <f>(-5-((((-5*(-5/((-5/(((-5*(5.93--5))-(-5+((-5*5.93)*(((-5--5)+(5.93--5))+5.93))))-(-5+-5)))*-5)))/-5)--5)+(-5*(((5.93*(5.93-(-5/-5)))*(5.93-(5.93/(-5*5.93))))-(-5/-5)))))</f>
        <v>973.099485</v>
      </c>
      <c r="C10594" t="n" s="0">
        <v>973.099485</v>
      </c>
    </row>
    <row r="10595">
      <c r="A10595" t="n" s="0">
        <v>5.94</v>
      </c>
      <c r="B10595" t="n" s="0">
        <f>(-5-((((-5*(-5/((-5/(((-5*(5.94--5))-(-5+((-5*5.94)*(((-5--5)+(5.94--5))+5.94))))-(-5+-5)))*-5)))/-5)--5)+(-5*(((5.94*(5.94-(-5/-5)))*(5.94-(5.94/(-5*5.94))))-(-5/-5)))))</f>
        <v>978.17572</v>
      </c>
      <c r="C10595" t="n" s="0">
        <v>978.1757200000003</v>
      </c>
    </row>
    <row r="10596">
      <c r="A10596" t="n" s="0">
        <v>5.95</v>
      </c>
      <c r="B10596" t="n" s="0">
        <f>(-5-((((-5*(-5/((-5/(((-5*(5.95--5))-(-5+((-5*5.95)*(((-5--5)+(5.95--5))+5.95))))-(-5+-5)))*-5)))/-5)--5)+(-5*(((5.95*(5.95-(-5/-5)))*(5.95-(5.95/(-5*5.95))))-(-5/-5)))))</f>
        <v>983.269375</v>
      </c>
      <c r="C10596" t="n" s="0">
        <v>983.269375</v>
      </c>
    </row>
    <row r="10597">
      <c r="A10597" t="n" s="0">
        <v>5.96</v>
      </c>
      <c r="B10597" t="n" s="0">
        <f>(-5-((((-5*(-5/((-5/(((-5*(5.96--5))-(-5+((-5*5.96)*(((-5--5)+(5.96--5))+5.96))))-(-5+-5)))*-5)))/-5)--5)+(-5*(((5.96*(5.96-(-5/-5)))*(5.96-(5.96/(-5*5.96))))-(-5/-5)))))</f>
        <v>988.3804799999998</v>
      </c>
      <c r="C10597" t="n" s="0">
        <v>988.38048</v>
      </c>
    </row>
    <row r="10598">
      <c r="A10598" t="n" s="0">
        <v>5.97</v>
      </c>
      <c r="B10598" t="n" s="0">
        <f>(-5-((((-5*(-5/((-5/(((-5*(5.97--5))-(-5+((-5*5.97)*(((-5--5)+(5.97--5))+5.97))))-(-5+-5)))*-5)))/-5)--5)+(-5*(((5.97*(5.97-(-5/-5)))*(5.97-(5.97/(-5*5.97))))-(-5/-5)))))</f>
        <v>993.5090649999997</v>
      </c>
      <c r="C10598" t="n" s="0">
        <v>993.5090649999999</v>
      </c>
    </row>
    <row r="10599">
      <c r="A10599" t="n" s="0">
        <v>5.98</v>
      </c>
      <c r="B10599" t="n" s="0">
        <f>(-5-((((-5*(-5/((-5/(((-5*(5.98--5))-(-5+((-5*5.98)*(((-5--5)+(5.98--5))+5.98))))-(-5+-5)))*-5)))/-5)--5)+(-5*(((5.98*(5.98-(-5/-5)))*(5.98-(5.98/(-5*5.98))))-(-5/-5)))))</f>
        <v>998.6551599999997</v>
      </c>
      <c r="C10599" t="n" s="0">
        <v>998.6551600000003</v>
      </c>
    </row>
    <row r="10600">
      <c r="A10600" t="n" s="0">
        <v>5.99</v>
      </c>
      <c r="B10600" t="n" s="0">
        <f>(-5-((((-5*(-5/((-5/(((-5*(5.99--5))-(-5+((-5*5.99)*(((-5--5)+(5.99--5))+5.99))))-(-5+-5)))*-5)))/-5)--5)+(-5*(((5.99*(5.99-(-5/-5)))*(5.99-(5.99/(-5*5.99))))-(-5/-5)))))</f>
        <v>1003.8187949999999</v>
      </c>
      <c r="C10600" t="n" s="0">
        <v>1003.818795</v>
      </c>
    </row>
    <row r="10601">
      <c r="A10601" t="n" s="0">
        <v>6.0</v>
      </c>
      <c r="B10601" t="n" s="0">
        <f>(-5-((((-5*(-5/((-5/(((-5*(6--5))-(-5+((-5*6)*(((-5--5)+(6--5))+6))))-(-5+-5)))*-5)))/-5)--5)+(-5*(((6*(6-(-5/-5)))*(6-(6/(-5*6))))-(-5/-5)))))</f>
        <v>1009.0000000000002</v>
      </c>
      <c r="C10601" t="n" s="0">
        <v>1009.0</v>
      </c>
    </row>
    <row r="10602">
      <c r="A10602" t="n" s="0">
        <v>6.01</v>
      </c>
      <c r="B10602" t="n" s="0">
        <f>(-5-((((-5*(-5/((-5/(((-5*(6.01--5))-(-5+((-5*6.01)*(((-5--5)+(6.01--5))+6.01))))-(-5+-5)))*-5)))/-5)--5)+(-5*(((6.01*(6.01-(-5/-5)))*(6.01-(6.01/(-5*6.01))))-(-5/-5)))))</f>
        <v>1014.1988049999998</v>
      </c>
      <c r="C10602" t="n" s="0">
        <v>1014.198805</v>
      </c>
    </row>
    <row r="10603">
      <c r="A10603" t="n" s="0">
        <v>6.02</v>
      </c>
      <c r="B10603" t="n" s="0">
        <f>(-5-((((-5*(-5/((-5/(((-5*(6.02--5))-(-5+((-5*6.02)*(((-5--5)+(6.02--5))+6.02))))-(-5+-5)))*-5)))/-5)--5)+(-5*(((6.02*(6.02-(-5/-5)))*(6.02-(6.02/(-5*6.02))))-(-5/-5)))))</f>
        <v>1019.4152400000003</v>
      </c>
      <c r="C10603" t="n" s="0">
        <v>1019.4152399999996</v>
      </c>
    </row>
    <row r="10604">
      <c r="A10604" t="n" s="0">
        <v>6.03</v>
      </c>
      <c r="B10604" t="n" s="0">
        <f>(-5-((((-5*(-5/((-5/(((-5*(6.03--5))-(-5+((-5*6.03)*(((-5--5)+(6.03--5))+6.03))))-(-5+-5)))*-5)))/-5)--5)+(-5*(((6.03*(6.03-(-5/-5)))*(6.03-(6.03/(-5*6.03))))-(-5/-5)))))</f>
        <v>1024.6493349999998</v>
      </c>
      <c r="C10604" t="n" s="0">
        <v>1024.649335</v>
      </c>
    </row>
    <row r="10605">
      <c r="A10605" t="n" s="0">
        <v>6.04</v>
      </c>
      <c r="B10605" t="n" s="0">
        <f>(-5-((((-5*(-5/((-5/(((-5*(6.04--5))-(-5+((-5*6.04)*(((-5--5)+(6.04--5))+6.04))))-(-5+-5)))*-5)))/-5)--5)+(-5*(((6.04*(6.04-(-5/-5)))*(6.04-(6.04/(-5*6.04))))-(-5/-5)))))</f>
        <v>1029.90112</v>
      </c>
      <c r="C10605" t="n" s="0">
        <v>1029.90112</v>
      </c>
    </row>
    <row r="10606">
      <c r="A10606" t="n" s="0">
        <v>6.05</v>
      </c>
      <c r="B10606" t="n" s="0">
        <f>(-5-((((-5*(-5/((-5/(((-5*(6.05--5))-(-5+((-5*6.05)*(((-5--5)+(6.05--5))+6.05))))-(-5+-5)))*-5)))/-5)--5)+(-5*(((6.05*(6.05-(-5/-5)))*(6.05-(6.05/(-5*6.05))))-(-5/-5)))))</f>
        <v>1035.1706250000004</v>
      </c>
      <c r="C10606" t="n" s="0">
        <v>1035.1706250000002</v>
      </c>
    </row>
    <row r="10607">
      <c r="A10607" t="n" s="0">
        <v>6.06</v>
      </c>
      <c r="B10607" t="n" s="0">
        <f>(-5-((((-5*(-5/((-5/(((-5*(6.06--5))-(-5+((-5*6.06)*(((-5--5)+(6.06--5))+6.06))))-(-5+-5)))*-5)))/-5)--5)+(-5*(((6.06*(6.06-(-5/-5)))*(6.06-(6.06/(-5*6.06))))-(-5/-5)))))</f>
        <v>1040.4578800000004</v>
      </c>
      <c r="C10607" t="n" s="0">
        <v>1040.4578799999997</v>
      </c>
    </row>
    <row r="10608">
      <c r="A10608" t="n" s="0">
        <v>6.07</v>
      </c>
      <c r="B10608" t="n" s="0">
        <f>(-5-((((-5*(-5/((-5/(((-5*(6.07--5))-(-5+((-5*6.07)*(((-5--5)+(6.07--5))+6.07))))-(-5+-5)))*-5)))/-5)--5)+(-5*(((6.07*(6.07-(-5/-5)))*(6.07-(6.07/(-5*6.07))))-(-5/-5)))))</f>
        <v>1045.7629149999998</v>
      </c>
      <c r="C10608" t="n" s="0">
        <v>1045.762915</v>
      </c>
    </row>
    <row r="10609">
      <c r="A10609" t="n" s="0">
        <v>6.08</v>
      </c>
      <c r="B10609" t="n" s="0">
        <f>(-5-((((-5*(-5/((-5/(((-5*(6.08--5))-(-5+((-5*6.08)*(((-5--5)+(6.08--5))+6.08))))-(-5+-5)))*-5)))/-5)--5)+(-5*(((6.08*(6.08-(-5/-5)))*(6.08-(6.08/(-5*6.08))))-(-5/-5)))))</f>
        <v>1051.0857600000002</v>
      </c>
      <c r="C10609" t="n" s="0">
        <v>1051.0857600000002</v>
      </c>
    </row>
    <row r="10610">
      <c r="A10610" t="n" s="0">
        <v>6.09</v>
      </c>
      <c r="B10610" t="n" s="0">
        <f>(-5-((((-5*(-5/((-5/(((-5*(6.09--5))-(-5+((-5*6.09)*(((-5--5)+(6.09--5))+6.09))))-(-5+-5)))*-5)))/-5)--5)+(-5*(((6.09*(6.09-(-5/-5)))*(6.09-(6.09/(-5*6.09))))-(-5/-5)))))</f>
        <v>1056.4264449999998</v>
      </c>
      <c r="C10610" t="n" s="0">
        <v>1056.426445</v>
      </c>
    </row>
    <row r="10611">
      <c r="A10611" t="n" s="0">
        <v>6.1</v>
      </c>
      <c r="B10611" t="n" s="0">
        <f>(-5-((((-5*(-5/((-5/(((-5*(6.1--5))-(-5+((-5*6.1)*(((-5--5)+(6.1--5))+6.1))))-(-5+-5)))*-5)))/-5)--5)+(-5*(((6.1*(6.1-(-5/-5)))*(6.1-(6.1/(-5*6.1))))-(-5/-5)))))</f>
        <v>1061.7850000000005</v>
      </c>
      <c r="C10611" t="n" s="0">
        <v>1061.7849999999996</v>
      </c>
    </row>
    <row r="10612">
      <c r="A10612" t="n" s="0">
        <v>6.11</v>
      </c>
      <c r="B10612" t="n" s="0">
        <f>(-5-((((-5*(-5/((-5/(((-5*(6.11--5))-(-5+((-5*6.11)*(((-5--5)+(6.11--5))+6.11))))-(-5+-5)))*-5)))/-5)--5)+(-5*(((6.11*(6.11-(-5/-5)))*(6.11-(6.11/(-5*6.11))))-(-5/-5)))))</f>
        <v>1067.1614550000002</v>
      </c>
      <c r="C10612" t="n" s="0">
        <v>1067.1614550000002</v>
      </c>
    </row>
    <row r="10613">
      <c r="A10613" t="n" s="0">
        <v>6.12</v>
      </c>
      <c r="B10613" t="n" s="0">
        <f>(-5-((((-5*(-5/((-5/(((-5*(6.12--5))-(-5+((-5*6.12)*(((-5--5)+(6.12--5))+6.12))))-(-5+-5)))*-5)))/-5)--5)+(-5*(((6.12*(6.12-(-5/-5)))*(6.12-(6.12/(-5*6.12))))-(-5/-5)))))</f>
        <v>1072.5558400000002</v>
      </c>
      <c r="C10613" t="n" s="0">
        <v>1072.55584</v>
      </c>
    </row>
    <row r="10614">
      <c r="A10614" t="n" s="0">
        <v>6.13</v>
      </c>
      <c r="B10614" t="n" s="0">
        <f>(-5-((((-5*(-5/((-5/(((-5*(6.13--5))-(-5+((-5*6.13)*(((-5--5)+(6.13--5))+6.13))))-(-5+-5)))*-5)))/-5)--5)+(-5*(((6.13*(6.13-(-5/-5)))*(6.13-(6.13/(-5*6.13))))-(-5/-5)))))</f>
        <v>1077.9681850000004</v>
      </c>
      <c r="C10614" t="n" s="0">
        <v>1077.968185</v>
      </c>
    </row>
    <row r="10615">
      <c r="A10615" t="n" s="0">
        <v>6.14</v>
      </c>
      <c r="B10615" t="n" s="0">
        <f>(-5-((((-5*(-5/((-5/(((-5*(6.14--5))-(-5+((-5*6.14)*(((-5--5)+(6.14--5))+6.14))))-(-5+-5)))*-5)))/-5)--5)+(-5*(((6.14*(6.14-(-5/-5)))*(6.14-(6.14/(-5*6.14))))-(-5/-5)))))</f>
        <v>1083.3985200000004</v>
      </c>
      <c r="C10615" t="n" s="0">
        <v>1083.3985199999997</v>
      </c>
    </row>
    <row r="10616">
      <c r="A10616" t="n" s="0">
        <v>6.15</v>
      </c>
      <c r="B10616" t="n" s="0">
        <f>(-5-((((-5*(-5/((-5/(((-5*(6.15--5))-(-5+((-5*6.15)*(((-5--5)+(6.15--5))+6.15))))-(-5+-5)))*-5)))/-5)--5)+(-5*(((6.15*(6.15-(-5/-5)))*(6.15-(6.15/(-5*6.15))))-(-5/-5)))))</f>
        <v>1088.8468749999995</v>
      </c>
      <c r="C10616" t="n" s="0">
        <v>1088.8468750000004</v>
      </c>
    </row>
    <row r="10617">
      <c r="A10617" t="n" s="0">
        <v>6.16</v>
      </c>
      <c r="B10617" t="n" s="0">
        <f>(-5-((((-5*(-5/((-5/(((-5*(6.16--5))-(-5+((-5*6.16)*(((-5--5)+(6.16--5))+6.16))))-(-5+-5)))*-5)))/-5)--5)+(-5*(((6.16*(6.16-(-5/-5)))*(6.16-(6.16/(-5*6.16))))-(-5/-5)))))</f>
        <v>1094.3132799999998</v>
      </c>
      <c r="C10617" t="n" s="0">
        <v>1094.31328</v>
      </c>
    </row>
    <row r="10618">
      <c r="A10618" t="n" s="0">
        <v>6.17</v>
      </c>
      <c r="B10618" t="n" s="0">
        <f>(-5-((((-5*(-5/((-5/(((-5*(6.17--5))-(-5+((-5*6.17)*(((-5--5)+(6.17--5))+6.17))))-(-5+-5)))*-5)))/-5)--5)+(-5*(((6.17*(6.17-(-5/-5)))*(6.17-(6.17/(-5*6.17))))-(-5/-5)))))</f>
        <v>1099.7977650000003</v>
      </c>
      <c r="C10618" t="n" s="0">
        <v>1099.797765</v>
      </c>
    </row>
    <row r="10619">
      <c r="A10619" t="n" s="0">
        <v>6.18</v>
      </c>
      <c r="B10619" t="n" s="0">
        <f>(-5-((((-5*(-5/((-5/(((-5*(6.18--5))-(-5+((-5*6.18)*(((-5--5)+(6.18--5))+6.18))))-(-5+-5)))*-5)))/-5)--5)+(-5*(((6.18*(6.18-(-5/-5)))*(6.18-(6.18/(-5*6.18))))-(-5/-5)))))</f>
        <v>1105.3003599999995</v>
      </c>
      <c r="C10619" t="n" s="0">
        <v>1105.3003599999997</v>
      </c>
    </row>
    <row r="10620">
      <c r="A10620" t="n" s="0">
        <v>6.19</v>
      </c>
      <c r="B10620" t="n" s="0">
        <f>(-5-((((-5*(-5/((-5/(((-5*(6.19--5))-(-5+((-5*6.19)*(((-5--5)+(6.19--5))+6.19))))-(-5+-5)))*-5)))/-5)--5)+(-5*(((6.19*(6.19-(-5/-5)))*(6.19-(6.19/(-5*6.19))))-(-5/-5)))))</f>
        <v>1110.821095</v>
      </c>
      <c r="C10620" t="n" s="0">
        <v>1110.8210950000002</v>
      </c>
    </row>
    <row r="10621">
      <c r="A10621" t="n" s="0">
        <v>6.2</v>
      </c>
      <c r="B10621" t="n" s="0">
        <f>(-5-((((-5*(-5/((-5/(((-5*(6.2--5))-(-5+((-5*6.2)*(((-5--5)+(6.2--5))+6.2))))-(-5+-5)))*-5)))/-5)--5)+(-5*(((6.2*(6.2-(-5/-5)))*(6.2-(6.2/(-5*6.2))))-(-5/-5)))))</f>
        <v>1116.3600000000006</v>
      </c>
      <c r="C10621" t="n" s="0">
        <v>1116.36</v>
      </c>
    </row>
    <row r="10622">
      <c r="A10622" t="n" s="0">
        <v>6.21</v>
      </c>
      <c r="B10622" t="n" s="0">
        <f>(-5-((((-5*(-5/((-5/(((-5*(6.21--5))-(-5+((-5*6.21)*(((-5--5)+(6.21--5))+6.21))))-(-5+-5)))*-5)))/-5)--5)+(-5*(((6.21*(6.21-(-5/-5)))*(6.21-(6.21/(-5*6.21))))-(-5/-5)))))</f>
        <v>1121.9171049999998</v>
      </c>
      <c r="C10622" t="n" s="0">
        <v>1121.917105</v>
      </c>
    </row>
    <row r="10623">
      <c r="A10623" t="n" s="0">
        <v>6.22</v>
      </c>
      <c r="B10623" t="n" s="0">
        <f>(-5-((((-5*(-5/((-5/(((-5*(6.22--5))-(-5+((-5*6.22)*(((-5--5)+(6.22--5))+6.22))))-(-5+-5)))*-5)))/-5)--5)+(-5*(((6.22*(6.22-(-5/-5)))*(6.22-(6.22/(-5*6.22))))-(-5/-5)))))</f>
        <v>1127.49244</v>
      </c>
      <c r="C10623" t="n" s="0">
        <v>1127.49244</v>
      </c>
    </row>
    <row r="10624">
      <c r="A10624" t="n" s="0">
        <v>6.23</v>
      </c>
      <c r="B10624" t="n" s="0">
        <f>(-5-((((-5*(-5/((-5/(((-5*(6.23--5))-(-5+((-5*6.23)*(((-5--5)+(6.23--5))+6.23))))-(-5+-5)))*-5)))/-5)--5)+(-5*(((6.23*(6.23-(-5/-5)))*(6.23-(6.23/(-5*6.23))))-(-5/-5)))))</f>
        <v>1133.086035</v>
      </c>
      <c r="C10624" t="n" s="0">
        <v>1133.0860350000003</v>
      </c>
    </row>
    <row r="10625">
      <c r="A10625" t="n" s="0">
        <v>6.24</v>
      </c>
      <c r="B10625" t="n" s="0">
        <f>(-5-((((-5*(-5/((-5/(((-5*(6.24--5))-(-5+((-5*6.24)*(((-5--5)+(6.24--5))+6.24))))-(-5+-5)))*-5)))/-5)--5)+(-5*(((6.24*(6.24-(-5/-5)))*(6.24-(6.24/(-5*6.24))))-(-5/-5)))))</f>
        <v>1138.69792</v>
      </c>
      <c r="C10625" t="n" s="0">
        <v>1138.69792</v>
      </c>
    </row>
    <row r="10626">
      <c r="A10626" t="n" s="0">
        <v>6.25</v>
      </c>
      <c r="B10626" t="n" s="0">
        <f>(-5-((((-5*(-5/((-5/(((-5*(6.25--5))-(-5+((-5*6.25)*(((-5--5)+(6.25--5))+6.25))))-(-5+-5)))*-5)))/-5)--5)+(-5*(((6.25*(6.25-(-5/-5)))*(6.25-(6.25/(-5*6.25))))-(-5/-5)))))</f>
        <v>1144.328125</v>
      </c>
      <c r="C10626" t="n" s="0">
        <v>1144.328125</v>
      </c>
    </row>
    <row r="10627">
      <c r="A10627" t="n" s="0">
        <v>6.26</v>
      </c>
      <c r="B10627" t="n" s="0">
        <f>(-5-((((-5*(-5/((-5/(((-5*(6.26--5))-(-5+((-5*6.26)*(((-5--5)+(6.26--5))+6.26))))-(-5+-5)))*-5)))/-5)--5)+(-5*(((6.26*(6.26-(-5/-5)))*(6.26-(6.26/(-5*6.26))))-(-5/-5)))))</f>
        <v>1149.97668</v>
      </c>
      <c r="C10627" t="n" s="0">
        <v>1149.97668</v>
      </c>
    </row>
    <row r="10628">
      <c r="A10628" t="n" s="0">
        <v>6.27</v>
      </c>
      <c r="B10628" t="n" s="0">
        <f>(-5-((((-5*(-5/((-5/(((-5*(6.27--5))-(-5+((-5*6.27)*(((-5--5)+(6.27--5))+6.27))))-(-5+-5)))*-5)))/-5)--5)+(-5*(((6.27*(6.27-(-5/-5)))*(6.27-(6.27/(-5*6.27))))-(-5/-5)))))</f>
        <v>1155.643615</v>
      </c>
      <c r="C10628" t="n" s="0">
        <v>1155.6436149999997</v>
      </c>
    </row>
    <row r="10629">
      <c r="A10629" t="n" s="0">
        <v>6.28</v>
      </c>
      <c r="B10629" t="n" s="0">
        <f>(-5-((((-5*(-5/((-5/(((-5*(6.28--5))-(-5+((-5*6.28)*(((-5--5)+(6.28--5))+6.28))))-(-5+-5)))*-5)))/-5)--5)+(-5*(((6.28*(6.28-(-5/-5)))*(6.28-(6.28/(-5*6.28))))-(-5/-5)))))</f>
        <v>1161.3289599999998</v>
      </c>
      <c r="C10629" t="n" s="0">
        <v>1161.32896</v>
      </c>
    </row>
    <row r="10630">
      <c r="A10630" t="n" s="0">
        <v>6.29</v>
      </c>
      <c r="B10630" t="n" s="0">
        <f>(-5-((((-5*(-5/((-5/(((-5*(6.29--5))-(-5+((-5*6.29)*(((-5--5)+(6.29--5))+6.29))))-(-5+-5)))*-5)))/-5)--5)+(-5*(((6.29*(6.29-(-5/-5)))*(6.29-(6.29/(-5*6.29))))-(-5/-5)))))</f>
        <v>1167.032745</v>
      </c>
      <c r="C10630" t="n" s="0">
        <v>1167.0327449999997</v>
      </c>
    </row>
    <row r="10631">
      <c r="A10631" t="n" s="0">
        <v>6.3</v>
      </c>
      <c r="B10631" t="n" s="0">
        <f>(-5-((((-5*(-5/((-5/(((-5*(6.3--5))-(-5+((-5*6.3)*(((-5--5)+(6.3--5))+6.3))))-(-5+-5)))*-5)))/-5)--5)+(-5*(((6.3*(6.3-(-5/-5)))*(6.3-(6.3/(-5*6.3))))-(-5/-5)))))</f>
        <v>1172.7549999999999</v>
      </c>
      <c r="C10631" t="n" s="0">
        <v>1172.755</v>
      </c>
    </row>
    <row r="10632">
      <c r="A10632" t="n" s="0">
        <v>6.31</v>
      </c>
      <c r="B10632" t="n" s="0">
        <f>(-5-((((-5*(-5/((-5/(((-5*(6.31--5))-(-5+((-5*6.31)*(((-5--5)+(6.31--5))+6.31))))-(-5+-5)))*-5)))/-5)--5)+(-5*(((6.31*(6.31-(-5/-5)))*(6.31-(6.31/(-5*6.31))))-(-5/-5)))))</f>
        <v>1178.495755</v>
      </c>
      <c r="C10632" t="n" s="0">
        <v>1178.495755</v>
      </c>
    </row>
    <row r="10633">
      <c r="A10633" t="n" s="0">
        <v>6.32</v>
      </c>
      <c r="B10633" t="n" s="0">
        <f>(-5-((((-5*(-5/((-5/(((-5*(6.32--5))-(-5+((-5*6.32)*(((-5--5)+(6.32--5))+6.32))))-(-5+-5)))*-5)))/-5)--5)+(-5*(((6.32*(6.32-(-5/-5)))*(6.32-(6.32/(-5*6.32))))-(-5/-5)))))</f>
        <v>1184.25504</v>
      </c>
      <c r="C10633" t="n" s="0">
        <v>1184.2550400000002</v>
      </c>
    </row>
    <row r="10634">
      <c r="A10634" t="n" s="0">
        <v>6.33</v>
      </c>
      <c r="B10634" t="n" s="0">
        <f>(-5-((((-5*(-5/((-5/(((-5*(6.33--5))-(-5+((-5*6.33)*(((-5--5)+(6.33--5))+6.33))))-(-5+-5)))*-5)))/-5)--5)+(-5*(((6.33*(6.33-(-5/-5)))*(6.33-(6.33/(-5*6.33))))-(-5/-5)))))</f>
        <v>1190.0328849999999</v>
      </c>
      <c r="C10634" t="n" s="0">
        <v>1190.032885</v>
      </c>
    </row>
    <row r="10635">
      <c r="A10635" t="n" s="0">
        <v>6.34</v>
      </c>
      <c r="B10635" t="n" s="0">
        <f>(-5-((((-5*(-5/((-5/(((-5*(6.34--5))-(-5+((-5*6.34)*(((-5--5)+(6.34--5))+6.34))))-(-5+-5)))*-5)))/-5)--5)+(-5*(((6.34*(6.34-(-5/-5)))*(6.34-(6.34/(-5*6.34))))-(-5/-5)))))</f>
        <v>1195.8293199999998</v>
      </c>
      <c r="C10635" t="n" s="0">
        <v>1195.8293199999998</v>
      </c>
    </row>
    <row r="10636">
      <c r="A10636" t="n" s="0">
        <v>6.35</v>
      </c>
      <c r="B10636" t="n" s="0">
        <f>(-5-((((-5*(-5/((-5/(((-5*(6.35--5))-(-5+((-5*6.35)*(((-5--5)+(6.35--5))+6.35))))-(-5+-5)))*-5)))/-5)--5)+(-5*(((6.35*(6.35-(-5/-5)))*(6.35-(6.35/(-5*6.35))))-(-5/-5)))))</f>
        <v>1201.644375</v>
      </c>
      <c r="C10636" t="n" s="0">
        <v>1201.6443749999999</v>
      </c>
    </row>
    <row r="10637">
      <c r="A10637" t="n" s="0">
        <v>6.36</v>
      </c>
      <c r="B10637" t="n" s="0">
        <f>(-5-((((-5*(-5/((-5/(((-5*(6.36--5))-(-5+((-5*6.36)*(((-5--5)+(6.36--5))+6.36))))-(-5+-5)))*-5)))/-5)--5)+(-5*(((6.36*(6.36-(-5/-5)))*(6.36-(6.36/(-5*6.36))))-(-5/-5)))))</f>
        <v>1207.4780799999999</v>
      </c>
      <c r="C10637" t="n" s="0">
        <v>1207.47808</v>
      </c>
    </row>
    <row r="10638">
      <c r="A10638" t="n" s="0">
        <v>6.37</v>
      </c>
      <c r="B10638" t="n" s="0">
        <f>(-5-((((-5*(-5/((-5/(((-5*(6.37--5))-(-5+((-5*6.37)*(((-5--5)+(6.37--5))+6.37))))-(-5+-5)))*-5)))/-5)--5)+(-5*(((6.37*(6.37-(-5/-5)))*(6.37-(6.37/(-5*6.37))))-(-5/-5)))))</f>
        <v>1213.330465</v>
      </c>
      <c r="C10638" t="n" s="0">
        <v>1213.3304649999998</v>
      </c>
    </row>
    <row r="10639">
      <c r="A10639" t="n" s="0">
        <v>6.38</v>
      </c>
      <c r="B10639" t="n" s="0">
        <f>(-5-((((-5*(-5/((-5/(((-5*(6.38--5))-(-5+((-5*6.38)*(((-5--5)+(6.38--5))+6.38))))-(-5+-5)))*-5)))/-5)--5)+(-5*(((6.38*(6.38-(-5/-5)))*(6.38-(6.38/(-5*6.38))))-(-5/-5)))))</f>
        <v>1219.20156</v>
      </c>
      <c r="C10639" t="n" s="0">
        <v>1219.2015600000002</v>
      </c>
    </row>
    <row r="10640">
      <c r="A10640" t="n" s="0">
        <v>6.39</v>
      </c>
      <c r="B10640" t="n" s="0">
        <f>(-5-((((-5*(-5/((-5/(((-5*(6.39--5))-(-5+((-5*6.39)*(((-5--5)+(6.39--5))+6.39))))-(-5+-5)))*-5)))/-5)--5)+(-5*(((6.39*(6.39-(-5/-5)))*(6.39-(6.39/(-5*6.39))))-(-5/-5)))))</f>
        <v>1225.091395</v>
      </c>
      <c r="C10640" t="n" s="0">
        <v>1225.091395</v>
      </c>
    </row>
    <row r="10641">
      <c r="A10641" t="n" s="0">
        <v>6.4</v>
      </c>
      <c r="B10641" t="n" s="0">
        <f>(-5-((((-5*(-5/((-5/(((-5*(6.4--5))-(-5+((-5*6.4)*(((-5--5)+(6.4--5))+6.4))))-(-5+-5)))*-5)))/-5)--5)+(-5*(((6.4*(6.4-(-5/-5)))*(6.4-(6.4/(-5*6.4))))-(-5/-5)))))</f>
        <v>1231.0</v>
      </c>
      <c r="C10641" t="n" s="0">
        <v>1231.0000000000002</v>
      </c>
    </row>
    <row r="10642">
      <c r="A10642" t="n" s="0">
        <v>6.41</v>
      </c>
      <c r="B10642" t="n" s="0">
        <f>(-5-((((-5*(-5/((-5/(((-5*(6.41--5))-(-5+((-5*6.41)*(((-5--5)+(6.41--5))+6.41))))-(-5+-5)))*-5)))/-5)--5)+(-5*(((6.41*(6.41-(-5/-5)))*(6.41-(6.41/(-5*6.41))))-(-5/-5)))))</f>
        <v>1236.927405</v>
      </c>
      <c r="C10642" t="n" s="0">
        <v>1236.9274050000001</v>
      </c>
    </row>
    <row r="10643">
      <c r="A10643" t="n" s="0">
        <v>6.42</v>
      </c>
      <c r="B10643" t="n" s="0">
        <f>(-5-((((-5*(-5/((-5/(((-5*(6.42--5))-(-5+((-5*6.42)*(((-5--5)+(6.42--5))+6.42))))-(-5+-5)))*-5)))/-5)--5)+(-5*(((6.42*(6.42-(-5/-5)))*(6.42-(6.42/(-5*6.42))))-(-5/-5)))))</f>
        <v>1242.8736399999998</v>
      </c>
      <c r="C10643" t="n" s="0">
        <v>1242.87364</v>
      </c>
    </row>
    <row r="10644">
      <c r="A10644" t="n" s="0">
        <v>6.43</v>
      </c>
      <c r="B10644" t="n" s="0">
        <f>(-5-((((-5*(-5/((-5/(((-5*(6.43--5))-(-5+((-5*6.43)*(((-5--5)+(6.43--5))+6.43))))-(-5+-5)))*-5)))/-5)--5)+(-5*(((6.43*(6.43-(-5/-5)))*(6.43-(6.43/(-5*6.43))))-(-5/-5)))))</f>
        <v>1248.8387349999998</v>
      </c>
      <c r="C10644" t="n" s="0">
        <v>1248.8387349999998</v>
      </c>
    </row>
    <row r="10645">
      <c r="A10645" t="n" s="0">
        <v>6.44</v>
      </c>
      <c r="B10645" t="n" s="0">
        <f>(-5-((((-5*(-5/((-5/(((-5*(6.44--5))-(-5+((-5*6.44)*(((-5--5)+(6.44--5))+6.44))))-(-5+-5)))*-5)))/-5)--5)+(-5*(((6.44*(6.44-(-5/-5)))*(6.44-(6.44/(-5*6.44))))-(-5/-5)))))</f>
        <v>1254.8227200000001</v>
      </c>
      <c r="C10645" t="n" s="0">
        <v>1254.8227200000003</v>
      </c>
    </row>
    <row r="10646">
      <c r="A10646" t="n" s="0">
        <v>6.45</v>
      </c>
      <c r="B10646" t="n" s="0">
        <f>(-5-((((-5*(-5/((-5/(((-5*(6.45--5))-(-5+((-5*6.45)*(((-5--5)+(6.45--5))+6.45))))-(-5+-5)))*-5)))/-5)--5)+(-5*(((6.45*(6.45-(-5/-5)))*(6.45-(6.45/(-5*6.45))))-(-5/-5)))))</f>
        <v>1260.825625</v>
      </c>
      <c r="C10646" t="n" s="0">
        <v>1260.8256250000002</v>
      </c>
    </row>
    <row r="10647">
      <c r="A10647" t="n" s="0">
        <v>6.46</v>
      </c>
      <c r="B10647" t="n" s="0">
        <f>(-5-((((-5*(-5/((-5/(((-5*(6.46--5))-(-5+((-5*6.46)*(((-5--5)+(6.46--5))+6.46))))-(-5+-5)))*-5)))/-5)--5)+(-5*(((6.46*(6.46-(-5/-5)))*(6.46-(6.46/(-5*6.46))))-(-5/-5)))))</f>
        <v>1266.8474800000001</v>
      </c>
      <c r="C10647" t="n" s="0">
        <v>1266.8474800000001</v>
      </c>
    </row>
    <row r="10648">
      <c r="A10648" t="n" s="0">
        <v>6.47</v>
      </c>
      <c r="B10648" t="n" s="0">
        <f>(-5-((((-5*(-5/((-5/(((-5*(6.47--5))-(-5+((-5*6.47)*(((-5--5)+(6.47--5))+6.47))))-(-5+-5)))*-5)))/-5)--5)+(-5*(((6.47*(6.47-(-5/-5)))*(6.47-(6.47/(-5*6.47))))-(-5/-5)))))</f>
        <v>1272.888315</v>
      </c>
      <c r="C10648" t="n" s="0">
        <v>1272.888315</v>
      </c>
    </row>
    <row r="10649">
      <c r="A10649" t="n" s="0">
        <v>6.48</v>
      </c>
      <c r="B10649" t="n" s="0">
        <f>(-5-((((-5*(-5/((-5/(((-5*(6.48--5))-(-5+((-5*6.48)*(((-5--5)+(6.48--5))+6.48))))-(-5+-5)))*-5)))/-5)--5)+(-5*(((6.48*(6.48-(-5/-5)))*(6.48-(6.48/(-5*6.48))))-(-5/-5)))))</f>
        <v>1278.94816</v>
      </c>
      <c r="C10649" t="n" s="0">
        <v>1278.9481600000001</v>
      </c>
    </row>
    <row r="10650">
      <c r="A10650" t="n" s="0">
        <v>6.49</v>
      </c>
      <c r="B10650" t="n" s="0">
        <f>(-5-((((-5*(-5/((-5/(((-5*(6.49--5))-(-5+((-5*6.49)*(((-5--5)+(6.49--5))+6.49))))-(-5+-5)))*-5)))/-5)--5)+(-5*(((6.49*(6.49-(-5/-5)))*(6.49-(6.49/(-5*6.49))))-(-5/-5)))))</f>
        <v>1285.027045</v>
      </c>
      <c r="C10650" t="n" s="0">
        <v>1285.0270450000003</v>
      </c>
    </row>
    <row r="10651">
      <c r="A10651" t="n" s="0">
        <v>6.5</v>
      </c>
      <c r="B10651" t="n" s="0">
        <f>(-5-((((-5*(-5/((-5/(((-5*(6.5--5))-(-5+((-5*6.5)*(((-5--5)+(6.5--5))+6.5))))-(-5+-5)))*-5)))/-5)--5)+(-5*(((6.5*(6.5-(-5/-5)))*(6.5-(6.5/(-5*6.5))))-(-5/-5)))))</f>
        <v>1291.125</v>
      </c>
      <c r="C10651" t="n" s="0">
        <v>1291.125</v>
      </c>
    </row>
    <row r="10652">
      <c r="A10652" t="n" s="0">
        <v>6.51</v>
      </c>
      <c r="B10652" t="n" s="0">
        <f>(-5-((((-5*(-5/((-5/(((-5*(6.51--5))-(-5+((-5*6.51)*(((-5--5)+(6.51--5))+6.51))))-(-5+-5)))*-5)))/-5)--5)+(-5*(((6.51*(6.51-(-5/-5)))*(6.51-(6.51/(-5*6.51))))-(-5/-5)))))</f>
        <v>1297.242055</v>
      </c>
      <c r="C10652" t="n" s="0">
        <v>1297.2420549999997</v>
      </c>
    </row>
    <row r="10653">
      <c r="A10653" t="n" s="0">
        <v>6.52</v>
      </c>
      <c r="B10653" t="n" s="0">
        <f>(-5-((((-5*(-5/((-5/(((-5*(6.52--5))-(-5+((-5*6.52)*(((-5--5)+(6.52--5))+6.52))))-(-5+-5)))*-5)))/-5)--5)+(-5*(((6.52*(6.52-(-5/-5)))*(6.52-(6.52/(-5*6.52))))-(-5/-5)))))</f>
        <v>1303.37824</v>
      </c>
      <c r="C10653" t="n" s="0">
        <v>1303.3782399999996</v>
      </c>
    </row>
    <row r="10654">
      <c r="A10654" t="n" s="0">
        <v>6.53</v>
      </c>
      <c r="B10654" t="n" s="0">
        <f>(-5-((((-5*(-5/((-5/(((-5*(6.53--5))-(-5+((-5*6.53)*(((-5--5)+(6.53--5))+6.53))))-(-5+-5)))*-5)))/-5)--5)+(-5*(((6.53*(6.53-(-5/-5)))*(6.53-(6.53/(-5*6.53))))-(-5/-5)))))</f>
        <v>1309.5335850000001</v>
      </c>
      <c r="C10654" t="n" s="0">
        <v>1309.5335850000001</v>
      </c>
    </row>
    <row r="10655">
      <c r="A10655" t="n" s="0">
        <v>6.54</v>
      </c>
      <c r="B10655" t="n" s="0">
        <f>(-5-((((-5*(-5/((-5/(((-5*(6.54--5))-(-5+((-5*6.54)*(((-5--5)+(6.54--5))+6.54))))-(-5+-5)))*-5)))/-5)--5)+(-5*(((6.54*(6.54-(-5/-5)))*(6.54-(6.54/(-5*6.54))))-(-5/-5)))))</f>
        <v>1315.70812</v>
      </c>
      <c r="C10655" t="n" s="0">
        <v>1315.7081199999998</v>
      </c>
    </row>
    <row r="10656">
      <c r="A10656" t="n" s="0">
        <v>6.55</v>
      </c>
      <c r="B10656" t="n" s="0">
        <f>(-5-((((-5*(-5/((-5/(((-5*(6.55--5))-(-5+((-5*6.55)*(((-5--5)+(6.55--5))+6.55))))-(-5+-5)))*-5)))/-5)--5)+(-5*(((6.55*(6.55-(-5/-5)))*(6.55-(6.55/(-5*6.55))))-(-5/-5)))))</f>
        <v>1321.901875</v>
      </c>
      <c r="C10656" t="n" s="0">
        <v>1321.901875</v>
      </c>
    </row>
    <row r="10657">
      <c r="A10657" t="n" s="0">
        <v>6.56</v>
      </c>
      <c r="B10657" t="n" s="0">
        <f>(-5-((((-5*(-5/((-5/(((-5*(6.56--5))-(-5+((-5*6.56)*(((-5--5)+(6.56--5))+6.56))))-(-5+-5)))*-5)))/-5)--5)+(-5*(((6.56*(6.56-(-5/-5)))*(6.56-(6.56/(-5*6.56))))-(-5/-5)))))</f>
        <v>1328.1148799999999</v>
      </c>
      <c r="C10657" t="n" s="0">
        <v>1328.1148799999999</v>
      </c>
    </row>
    <row r="10658">
      <c r="A10658" t="n" s="0">
        <v>6.57</v>
      </c>
      <c r="B10658" t="n" s="0">
        <f>(-5-((((-5*(-5/((-5/(((-5*(6.57--5))-(-5+((-5*6.57)*(((-5--5)+(6.57--5))+6.57))))-(-5+-5)))*-5)))/-5)--5)+(-5*(((6.57*(6.57-(-5/-5)))*(6.57-(6.57/(-5*6.57))))-(-5/-5)))))</f>
        <v>1334.347165</v>
      </c>
      <c r="C10658" t="n" s="0">
        <v>1334.3471650000004</v>
      </c>
    </row>
    <row r="10659">
      <c r="A10659" t="n" s="0">
        <v>6.58</v>
      </c>
      <c r="B10659" t="n" s="0">
        <f>(-5-((((-5*(-5/((-5/(((-5*(6.58--5))-(-5+((-5*6.58)*(((-5--5)+(6.58--5))+6.58))))-(-5+-5)))*-5)))/-5)--5)+(-5*(((6.58*(6.58-(-5/-5)))*(6.58-(6.58/(-5*6.58))))-(-5/-5)))))</f>
        <v>1340.59876</v>
      </c>
      <c r="C10659" t="n" s="0">
        <v>1340.59876</v>
      </c>
    </row>
    <row r="10660">
      <c r="A10660" t="n" s="0">
        <v>6.59</v>
      </c>
      <c r="B10660" t="n" s="0">
        <f>(-5-((((-5*(-5/((-5/(((-5*(6.59--5))-(-5+((-5*6.59)*(((-5--5)+(6.59--5))+6.59))))-(-5+-5)))*-5)))/-5)--5)+(-5*(((6.59*(6.59-(-5/-5)))*(6.59-(6.59/(-5*6.59))))-(-5/-5)))))</f>
        <v>1346.869695</v>
      </c>
      <c r="C10660" t="n" s="0">
        <v>1346.8696949999999</v>
      </c>
    </row>
    <row r="10661">
      <c r="A10661" t="n" s="0">
        <v>6.6</v>
      </c>
      <c r="B10661" t="n" s="0">
        <f>(-5-((((-5*(-5/((-5/(((-5*(6.6--5))-(-5+((-5*6.6)*(((-5--5)+(6.6--5))+6.6))))-(-5+-5)))*-5)))/-5)--5)+(-5*(((6.6*(6.6-(-5/-5)))*(6.6-(6.6/(-5*6.6))))-(-5/-5)))))</f>
        <v>1353.16</v>
      </c>
      <c r="C10661" t="n" s="0">
        <v>1353.16</v>
      </c>
    </row>
    <row r="10662">
      <c r="A10662" t="n" s="0">
        <v>6.61</v>
      </c>
      <c r="B10662" t="n" s="0">
        <f>(-5-((((-5*(-5/((-5/(((-5*(6.61--5))-(-5+((-5*6.61)*(((-5--5)+(6.61--5))+6.61))))-(-5+-5)))*-5)))/-5)--5)+(-5*(((6.61*(6.61-(-5/-5)))*(6.61-(6.61/(-5*6.61))))-(-5/-5)))))</f>
        <v>1359.469705</v>
      </c>
      <c r="C10662" t="n" s="0">
        <v>1359.4697050000002</v>
      </c>
    </row>
    <row r="10663">
      <c r="A10663" t="n" s="0">
        <v>6.62</v>
      </c>
      <c r="B10663" t="n" s="0">
        <f>(-5-((((-5*(-5/((-5/(((-5*(6.62--5))-(-5+((-5*6.62)*(((-5--5)+(6.62--5))+6.62))))-(-5+-5)))*-5)))/-5)--5)+(-5*(((6.62*(6.62-(-5/-5)))*(6.62-(6.62/(-5*6.62))))-(-5/-5)))))</f>
        <v>1365.79884</v>
      </c>
      <c r="C10663" t="n" s="0">
        <v>1365.79884</v>
      </c>
    </row>
    <row r="10664">
      <c r="A10664" t="n" s="0">
        <v>6.63</v>
      </c>
      <c r="B10664" t="n" s="0">
        <f>(-5-((((-5*(-5/((-5/(((-5*(6.63--5))-(-5+((-5*6.63)*(((-5--5)+(6.63--5))+6.63))))-(-5+-5)))*-5)))/-5)--5)+(-5*(((6.63*(6.63-(-5/-5)))*(6.63-(6.63/(-5*6.63))))-(-5/-5)))))</f>
        <v>1372.147435</v>
      </c>
      <c r="C10664" t="n" s="0">
        <v>1372.1474349999999</v>
      </c>
    </row>
    <row r="10665">
      <c r="A10665" t="n" s="0">
        <v>6.64</v>
      </c>
      <c r="B10665" t="n" s="0">
        <f>(-5-((((-5*(-5/((-5/(((-5*(6.64--5))-(-5+((-5*6.64)*(((-5--5)+(6.64--5))+6.64))))-(-5+-5)))*-5)))/-5)--5)+(-5*(((6.64*(6.64-(-5/-5)))*(6.64-(6.64/(-5*6.64))))-(-5/-5)))))</f>
        <v>1378.51552</v>
      </c>
      <c r="C10665" t="n" s="0">
        <v>1378.51552</v>
      </c>
    </row>
    <row r="10666">
      <c r="A10666" t="n" s="0">
        <v>6.65</v>
      </c>
      <c r="B10666" t="n" s="0">
        <f>(-5-((((-5*(-5/((-5/(((-5*(6.65--5))-(-5+((-5*6.65)*(((-5--5)+(6.65--5))+6.65))))-(-5+-5)))*-5)))/-5)--5)+(-5*(((6.65*(6.65-(-5/-5)))*(6.65-(6.65/(-5*6.65))))-(-5/-5)))))</f>
        <v>1384.903125</v>
      </c>
      <c r="C10666" t="n" s="0">
        <v>1384.9031250000003</v>
      </c>
    </row>
    <row r="10667">
      <c r="A10667" t="n" s="0">
        <v>6.66</v>
      </c>
      <c r="B10667" t="n" s="0">
        <f>(-5-((((-5*(-5/((-5/(((-5*(6.66--5))-(-5+((-5*6.66)*(((-5--5)+(6.66--5))+6.66))))-(-5+-5)))*-5)))/-5)--5)+(-5*(((6.66*(6.66-(-5/-5)))*(6.66-(6.66/(-5*6.66))))-(-5/-5)))))</f>
        <v>1391.3102800000001</v>
      </c>
      <c r="C10667" t="n" s="0">
        <v>1391.3102800000001</v>
      </c>
    </row>
    <row r="10668">
      <c r="A10668" t="n" s="0">
        <v>6.67</v>
      </c>
      <c r="B10668" t="n" s="0">
        <f>(-5-((((-5*(-5/((-5/(((-5*(6.67--5))-(-5+((-5*6.67)*(((-5--5)+(6.67--5))+6.67))))-(-5+-5)))*-5)))/-5)--5)+(-5*(((6.67*(6.67-(-5/-5)))*(6.67-(6.67/(-5*6.67))))-(-5/-5)))))</f>
        <v>1397.737015</v>
      </c>
      <c r="C10668" t="n" s="0">
        <v>1397.737015</v>
      </c>
    </row>
    <row r="10669">
      <c r="A10669" t="n" s="0">
        <v>6.68</v>
      </c>
      <c r="B10669" t="n" s="0">
        <f>(-5-((((-5*(-5/((-5/(((-5*(6.68--5))-(-5+((-5*6.68)*(((-5--5)+(6.68--5))+6.68))))-(-5+-5)))*-5)))/-5)--5)+(-5*(((6.68*(6.68-(-5/-5)))*(6.68-(6.68/(-5*6.68))))-(-5/-5)))))</f>
        <v>1404.18336</v>
      </c>
      <c r="C10669" t="n" s="0">
        <v>1404.1833599999998</v>
      </c>
    </row>
    <row r="10670">
      <c r="A10670" t="n" s="0">
        <v>6.69</v>
      </c>
      <c r="B10670" t="n" s="0">
        <f>(-5-((((-5*(-5/((-5/(((-5*(6.69--5))-(-5+((-5*6.69)*(((-5--5)+(6.69--5))+6.69))))-(-5+-5)))*-5)))/-5)--5)+(-5*(((6.69*(6.69-(-5/-5)))*(6.69-(6.69/(-5*6.69))))-(-5/-5)))))</f>
        <v>1410.6493449999998</v>
      </c>
      <c r="C10670" t="n" s="0">
        <v>1410.6493450000005</v>
      </c>
    </row>
    <row r="10671">
      <c r="A10671" t="n" s="0">
        <v>6.7</v>
      </c>
      <c r="B10671" t="n" s="0">
        <f>(-5-((((-5*(-5/((-5/(((-5*(6.7--5))-(-5+((-5*6.7)*(((-5--5)+(6.7--5))+6.7))))-(-5+-5)))*-5)))/-5)--5)+(-5*(((6.7*(6.7-(-5/-5)))*(6.7-(6.7/(-5*6.7))))-(-5/-5)))))</f>
        <v>1417.135</v>
      </c>
      <c r="C10671" t="n" s="0">
        <v>1417.135</v>
      </c>
    </row>
    <row r="10672">
      <c r="A10672" t="n" s="0">
        <v>6.71</v>
      </c>
      <c r="B10672" t="n" s="0">
        <f>(-5-((((-5*(-5/((-5/(((-5*(6.71--5))-(-5+((-5*6.71)*(((-5--5)+(6.71--5))+6.71))))-(-5+-5)))*-5)))/-5)--5)+(-5*(((6.71*(6.71-(-5/-5)))*(6.71-(6.71/(-5*6.71))))-(-5/-5)))))</f>
        <v>1423.640355</v>
      </c>
      <c r="C10672" t="n" s="0">
        <v>1423.6403550000002</v>
      </c>
    </row>
    <row r="10673">
      <c r="A10673" t="n" s="0">
        <v>6.72</v>
      </c>
      <c r="B10673" t="n" s="0">
        <f>(-5-((((-5*(-5/((-5/(((-5*(6.72--5))-(-5+((-5*6.72)*(((-5--5)+(6.72--5))+6.72))))-(-5+-5)))*-5)))/-5)--5)+(-5*(((6.72*(6.72-(-5/-5)))*(6.72-(6.72/(-5*6.72))))-(-5/-5)))))</f>
        <v>1430.16544</v>
      </c>
      <c r="C10673" t="n" s="0">
        <v>1430.1654399999998</v>
      </c>
    </row>
    <row r="10674">
      <c r="A10674" t="n" s="0">
        <v>6.73</v>
      </c>
      <c r="B10674" t="n" s="0">
        <f>(-5-((((-5*(-5/((-5/(((-5*(6.73--5))-(-5+((-5*6.73)*(((-5--5)+(6.73--5))+6.73))))-(-5+-5)))*-5)))/-5)--5)+(-5*(((6.73*(6.73-(-5/-5)))*(6.73-(6.73/(-5*6.73))))-(-5/-5)))))</f>
        <v>1436.7102849999999</v>
      </c>
      <c r="C10674" t="n" s="0">
        <v>1436.7102850000003</v>
      </c>
    </row>
    <row r="10675">
      <c r="A10675" t="n" s="0">
        <v>6.74</v>
      </c>
      <c r="B10675" t="n" s="0">
        <f>(-5-((((-5*(-5/((-5/(((-5*(6.74--5))-(-5+((-5*6.74)*(((-5--5)+(6.74--5))+6.74))))-(-5+-5)))*-5)))/-5)--5)+(-5*(((6.74*(6.74-(-5/-5)))*(6.74-(6.74/(-5*6.74))))-(-5/-5)))))</f>
        <v>1443.27492</v>
      </c>
      <c r="C10675" t="n" s="0">
        <v>1443.27492</v>
      </c>
    </row>
    <row r="10676">
      <c r="A10676" t="n" s="0">
        <v>6.75</v>
      </c>
      <c r="B10676" t="n" s="0">
        <f>(-5-((((-5*(-5/((-5/(((-5*(6.75--5))-(-5+((-5*6.75)*(((-5--5)+(6.75--5))+6.75))))-(-5+-5)))*-5)))/-5)--5)+(-5*(((6.75*(6.75-(-5/-5)))*(6.75-(6.75/(-5*6.75))))-(-5/-5)))))</f>
        <v>1449.859375</v>
      </c>
      <c r="C10676" t="n" s="0">
        <v>1449.859375</v>
      </c>
    </row>
    <row r="10677">
      <c r="A10677" t="n" s="0">
        <v>6.76</v>
      </c>
      <c r="B10677" t="n" s="0">
        <f>(-5-((((-5*(-5/((-5/(((-5*(6.76--5))-(-5+((-5*6.76)*(((-5--5)+(6.76--5))+6.76))))-(-5+-5)))*-5)))/-5)--5)+(-5*(((6.76*(6.76-(-5/-5)))*(6.76-(6.76/(-5*6.76))))-(-5/-5)))))</f>
        <v>1456.4636799999998</v>
      </c>
      <c r="C10677" t="n" s="0">
        <v>1456.46368</v>
      </c>
    </row>
    <row r="10678">
      <c r="A10678" t="n" s="0">
        <v>6.77</v>
      </c>
      <c r="B10678" t="n" s="0">
        <f>(-5-((((-5*(-5/((-5/(((-5*(6.77--5))-(-5+((-5*6.77)*(((-5--5)+(6.77--5))+6.77))))-(-5+-5)))*-5)))/-5)--5)+(-5*(((6.77*(6.77-(-5/-5)))*(6.77-(6.77/(-5*6.77))))-(-5/-5)))))</f>
        <v>1463.087865</v>
      </c>
      <c r="C10678" t="n" s="0">
        <v>1463.0878649999995</v>
      </c>
    </row>
    <row r="10679">
      <c r="A10679" t="n" s="0">
        <v>6.78</v>
      </c>
      <c r="B10679" t="n" s="0">
        <f>(-5-((((-5*(-5/((-5/(((-5*(6.78--5))-(-5+((-5*6.78)*(((-5--5)+(6.78--5))+6.78))))-(-5+-5)))*-5)))/-5)--5)+(-5*(((6.78*(6.78-(-5/-5)))*(6.78-(6.78/(-5*6.78))))-(-5/-5)))))</f>
        <v>1469.73196</v>
      </c>
      <c r="C10679" t="n" s="0">
        <v>1469.7319600000003</v>
      </c>
    </row>
    <row r="10680">
      <c r="A10680" t="n" s="0">
        <v>6.79</v>
      </c>
      <c r="B10680" t="n" s="0">
        <f>(-5-((((-5*(-5/((-5/(((-5*(6.79--5))-(-5+((-5*6.79)*(((-5--5)+(6.79--5))+6.79))))-(-5+-5)))*-5)))/-5)--5)+(-5*(((6.79*(6.79-(-5/-5)))*(6.79-(6.79/(-5*6.79))))-(-5/-5)))))</f>
        <v>1476.3959949999999</v>
      </c>
      <c r="C10680" t="n" s="0">
        <v>1476.3959949999999</v>
      </c>
    </row>
    <row r="10681">
      <c r="A10681" t="n" s="0">
        <v>6.8</v>
      </c>
      <c r="B10681" t="n" s="0">
        <f>(-5-((((-5*(-5/((-5/(((-5*(6.8--5))-(-5+((-5*6.8)*(((-5--5)+(6.8--5))+6.8))))-(-5+-5)))*-5)))/-5)--5)+(-5*(((6.8*(6.8-(-5/-5)))*(6.8-(6.8/(-5*6.8))))-(-5/-5)))))</f>
        <v>1483.0800000000002</v>
      </c>
      <c r="C10681" t="n" s="0">
        <v>1483.08</v>
      </c>
    </row>
    <row r="10682">
      <c r="A10682" t="n" s="0">
        <v>6.81</v>
      </c>
      <c r="B10682" t="n" s="0">
        <f>(-5-((((-5*(-5/((-5/(((-5*(6.81--5))-(-5+((-5*6.81)*(((-5--5)+(6.81--5))+6.81))))-(-5+-5)))*-5)))/-5)--5)+(-5*(((6.81*(6.81-(-5/-5)))*(6.81-(6.81/(-5*6.81))))-(-5/-5)))))</f>
        <v>1489.784005</v>
      </c>
      <c r="C10682" t="n" s="0">
        <v>1489.7840049999998</v>
      </c>
    </row>
    <row r="10683">
      <c r="A10683" t="n" s="0">
        <v>6.82</v>
      </c>
      <c r="B10683" t="n" s="0">
        <f>(-5-((((-5*(-5/((-5/(((-5*(6.82--5))-(-5+((-5*6.82)*(((-5--5)+(6.82--5))+6.82))))-(-5+-5)))*-5)))/-5)--5)+(-5*(((6.82*(6.82-(-5/-5)))*(6.82-(6.82/(-5*6.82))))-(-5/-5)))))</f>
        <v>1496.5080400000002</v>
      </c>
      <c r="C10683" t="n" s="0">
        <v>1496.5080400000004</v>
      </c>
    </row>
    <row r="10684">
      <c r="A10684" t="n" s="0">
        <v>6.83</v>
      </c>
      <c r="B10684" t="n" s="0">
        <f>(-5-((((-5*(-5/((-5/(((-5*(6.83--5))-(-5+((-5*6.83)*(((-5--5)+(6.83--5))+6.83))))-(-5+-5)))*-5)))/-5)--5)+(-5*(((6.83*(6.83-(-5/-5)))*(6.83-(6.83/(-5*6.83))))-(-5/-5)))))</f>
        <v>1503.252135</v>
      </c>
      <c r="C10684" t="n" s="0">
        <v>1503.252135</v>
      </c>
    </row>
    <row r="10685">
      <c r="A10685" t="n" s="0">
        <v>6.84</v>
      </c>
      <c r="B10685" t="n" s="0">
        <f>(-5-((((-5*(-5/((-5/(((-5*(6.84--5))-(-5+((-5*6.84)*(((-5--5)+(6.84--5))+6.84))))-(-5+-5)))*-5)))/-5)--5)+(-5*(((6.84*(6.84-(-5/-5)))*(6.84-(6.84/(-5*6.84))))-(-5/-5)))))</f>
        <v>1510.01632</v>
      </c>
      <c r="C10685" t="n" s="0">
        <v>1510.0163199999997</v>
      </c>
    </row>
    <row r="10686">
      <c r="A10686" t="n" s="0">
        <v>6.85</v>
      </c>
      <c r="B10686" t="n" s="0">
        <f>(-5-((((-5*(-5/((-5/(((-5*(6.85--5))-(-5+((-5*6.85)*(((-5--5)+(6.85--5))+6.85))))-(-5+-5)))*-5)))/-5)--5)+(-5*(((6.85*(6.85-(-5/-5)))*(6.85-(6.85/(-5*6.85))))-(-5/-5)))))</f>
        <v>1516.8006249999999</v>
      </c>
      <c r="C10686" t="n" s="0">
        <v>1516.8006249999996</v>
      </c>
    </row>
    <row r="10687">
      <c r="A10687" t="n" s="0">
        <v>6.86</v>
      </c>
      <c r="B10687" t="n" s="0">
        <f>(-5-((((-5*(-5/((-5/(((-5*(6.86--5))-(-5+((-5*6.86)*(((-5--5)+(6.86--5))+6.86))))-(-5+-5)))*-5)))/-5)--5)+(-5*(((6.86*(6.86-(-5/-5)))*(6.86-(6.86/(-5*6.86))))-(-5/-5)))))</f>
        <v>1523.6050799999998</v>
      </c>
      <c r="C10687" t="n" s="0">
        <v>1523.60508</v>
      </c>
    </row>
    <row r="10688">
      <c r="A10688" t="n" s="0">
        <v>6.87</v>
      </c>
      <c r="B10688" t="n" s="0">
        <f>(-5-((((-5*(-5/((-5/(((-5*(6.87--5))-(-5+((-5*6.87)*(((-5--5)+(6.87--5))+6.87))))-(-5+-5)))*-5)))/-5)--5)+(-5*(((6.87*(6.87-(-5/-5)))*(6.87-(6.87/(-5*6.87))))-(-5/-5)))))</f>
        <v>1530.429715</v>
      </c>
      <c r="C10688" t="n" s="0">
        <v>1530.4297149999998</v>
      </c>
    </row>
    <row r="10689">
      <c r="A10689" t="n" s="0">
        <v>6.88</v>
      </c>
      <c r="B10689" t="n" s="0">
        <f>(-5-((((-5*(-5/((-5/(((-5*(6.88--5))-(-5+((-5*6.88)*(((-5--5)+(6.88--5))+6.88))))-(-5+-5)))*-5)))/-5)--5)+(-5*(((6.88*(6.88-(-5/-5)))*(6.88-(6.88/(-5*6.88))))-(-5/-5)))))</f>
        <v>1537.2745599999998</v>
      </c>
      <c r="C10689" t="n" s="0">
        <v>1537.27456</v>
      </c>
    </row>
    <row r="10690">
      <c r="A10690" t="n" s="0">
        <v>6.89</v>
      </c>
      <c r="B10690" t="n" s="0">
        <f>(-5-((((-5*(-5/((-5/(((-5*(6.89--5))-(-5+((-5*6.89)*(((-5--5)+(6.89--5))+6.89))))-(-5+-5)))*-5)))/-5)--5)+(-5*(((6.89*(6.89-(-5/-5)))*(6.89-(6.89/(-5*6.89))))-(-5/-5)))))</f>
        <v>1544.139645</v>
      </c>
      <c r="C10690" t="n" s="0">
        <v>1544.1396449999997</v>
      </c>
    </row>
    <row r="10691">
      <c r="A10691" t="n" s="0">
        <v>6.9</v>
      </c>
      <c r="B10691" t="n" s="0">
        <f>(-5-((((-5*(-5/((-5/(((-5*(6.9--5))-(-5+((-5*6.9)*(((-5--5)+(6.9--5))+6.9))))-(-5+-5)))*-5)))/-5)--5)+(-5*(((6.9*(6.9-(-5/-5)))*(6.9-(6.9/(-5*6.9))))-(-5/-5)))))</f>
        <v>1551.0249999999999</v>
      </c>
      <c r="C10691" t="n" s="0">
        <v>1551.0250000000003</v>
      </c>
    </row>
    <row r="10692">
      <c r="A10692" t="n" s="0">
        <v>6.91</v>
      </c>
      <c r="B10692" t="n" s="0">
        <f>(-5-((((-5*(-5/((-5/(((-5*(6.91--5))-(-5+((-5*6.91)*(((-5--5)+(6.91--5))+6.91))))-(-5+-5)))*-5)))/-5)--5)+(-5*(((6.91*(6.91-(-5/-5)))*(6.91-(6.91/(-5*6.91))))-(-5/-5)))))</f>
        <v>1557.930655</v>
      </c>
      <c r="C10692" t="n" s="0">
        <v>1557.930655</v>
      </c>
    </row>
    <row r="10693">
      <c r="A10693" t="n" s="0">
        <v>6.92</v>
      </c>
      <c r="B10693" t="n" s="0">
        <f>(-5-((((-5*(-5/((-5/(((-5*(6.92--5))-(-5+((-5*6.92)*(((-5--5)+(6.92--5))+6.92))))-(-5+-5)))*-5)))/-5)--5)+(-5*(((6.92*(6.92-(-5/-5)))*(6.92-(6.92/(-5*6.92))))-(-5/-5)))))</f>
        <v>1564.85664</v>
      </c>
      <c r="C10693" t="n" s="0">
        <v>1564.85664</v>
      </c>
    </row>
    <row r="10694">
      <c r="A10694" t="n" s="0">
        <v>6.93</v>
      </c>
      <c r="B10694" t="n" s="0">
        <f>(-5-((((-5*(-5/((-5/(((-5*(6.93--5))-(-5+((-5*6.93)*(((-5--5)+(6.93--5))+6.93))))-(-5+-5)))*-5)))/-5)--5)+(-5*(((6.93*(6.93-(-5/-5)))*(6.93-(6.93/(-5*6.93))))-(-5/-5)))))</f>
        <v>1571.802985</v>
      </c>
      <c r="C10694" t="n" s="0">
        <v>1571.8029849999998</v>
      </c>
    </row>
    <row r="10695">
      <c r="A10695" t="n" s="0">
        <v>6.94</v>
      </c>
      <c r="B10695" t="n" s="0">
        <f>(-5-((((-5*(-5/((-5/(((-5*(6.94--5))-(-5+((-5*6.94)*(((-5--5)+(6.94--5))+6.94))))-(-5+-5)))*-5)))/-5)--5)+(-5*(((6.94*(6.94-(-5/-5)))*(6.94-(6.94/(-5*6.94))))-(-5/-5)))))</f>
        <v>1578.76972</v>
      </c>
      <c r="C10695" t="n" s="0">
        <v>1578.7697200000002</v>
      </c>
    </row>
    <row r="10696">
      <c r="A10696" t="n" s="0">
        <v>6.95</v>
      </c>
      <c r="B10696" t="n" s="0">
        <f>(-5-((((-5*(-5/((-5/(((-5*(6.95--5))-(-5+((-5*6.95)*(((-5--5)+(6.95--5))+6.95))))-(-5+-5)))*-5)))/-5)--5)+(-5*(((6.95*(6.95-(-5/-5)))*(6.95-(6.95/(-5*6.95))))-(-5/-5)))))</f>
        <v>1585.756875</v>
      </c>
      <c r="C10696" t="n" s="0">
        <v>1585.756875</v>
      </c>
    </row>
    <row r="10697">
      <c r="A10697" t="n" s="0">
        <v>6.96</v>
      </c>
      <c r="B10697" t="n" s="0">
        <f>(-5-((((-5*(-5/((-5/(((-5*(6.96--5))-(-5+((-5*6.96)*(((-5--5)+(6.96--5))+6.96))))-(-5+-5)))*-5)))/-5)--5)+(-5*(((6.96*(6.96-(-5/-5)))*(6.96-(6.96/(-5*6.96))))-(-5/-5)))))</f>
        <v>1592.7644799999998</v>
      </c>
      <c r="C10697" t="n" s="0">
        <v>1592.76448</v>
      </c>
    </row>
    <row r="10698">
      <c r="A10698" t="n" s="0">
        <v>6.97</v>
      </c>
      <c r="B10698" t="n" s="0">
        <f>(-5-((((-5*(-5/((-5/(((-5*(6.97--5))-(-5+((-5*6.97)*(((-5--5)+(6.97--5))+6.97))))-(-5+-5)))*-5)))/-5)--5)+(-5*(((6.97*(6.97-(-5/-5)))*(6.97-(6.97/(-5*6.97))))-(-5/-5)))))</f>
        <v>1599.792565</v>
      </c>
      <c r="C10698" t="n" s="0">
        <v>1599.7925649999997</v>
      </c>
    </row>
    <row r="10699">
      <c r="A10699" t="n" s="0">
        <v>6.98</v>
      </c>
      <c r="B10699" t="n" s="0">
        <f>(-5-((((-5*(-5/((-5/(((-5*(6.98--5))-(-5+((-5*6.98)*(((-5--5)+(6.98--5))+6.98))))-(-5+-5)))*-5)))/-5)--5)+(-5*(((6.98*(6.98-(-5/-5)))*(6.98-(6.98/(-5*6.98))))-(-5/-5)))))</f>
        <v>1606.84116</v>
      </c>
      <c r="C10699" t="n" s="0">
        <v>1606.8411600000004</v>
      </c>
    </row>
    <row r="10700">
      <c r="A10700" t="n" s="0">
        <v>6.99</v>
      </c>
      <c r="B10700" t="n" s="0">
        <f>(-5-((((-5*(-5/((-5/(((-5*(6.99--5))-(-5+((-5*6.99)*(((-5--5)+(6.99--5))+6.99))))-(-5+-5)))*-5)))/-5)--5)+(-5*(((6.99*(6.99-(-5/-5)))*(6.99-(6.99/(-5*6.99))))-(-5/-5)))))</f>
        <v>1613.910295</v>
      </c>
      <c r="C10700" t="n" s="0">
        <v>1613.9102950000001</v>
      </c>
    </row>
    <row r="10701">
      <c r="A10701" t="n" s="0">
        <v>7.0</v>
      </c>
      <c r="B10701" t="n" s="0">
        <f>(-5-((((-5*(-5/((-5/(((-5*(7--5))-(-5+((-5*7)*(((-5--5)+(7--5))+7))))-(-5+-5)))*-5)))/-5)--5)+(-5*(((7*(7-(-5/-5)))*(7-(7/(-5*7))))-(-5/-5)))))</f>
        <v>1621.0</v>
      </c>
      <c r="C10701" t="n" s="0">
        <v>1621.0</v>
      </c>
    </row>
    <row r="10702">
      <c r="A10702" t="n" s="0">
        <v>7.01</v>
      </c>
      <c r="B10702" t="n" s="0">
        <f>(-5-((((-5*(-5/((-5/(((-5*(7.01--5))-(-5+((-5*7.01)*(((-5--5)+(7.01--5))+7.01))))-(-5+-5)))*-5)))/-5)--5)+(-5*(((7.01*(7.01-(-5/-5)))*(7.01-(7.01/(-5*7.01))))-(-5/-5)))))</f>
        <v>1628.1103050000002</v>
      </c>
      <c r="C10702" t="n" s="0">
        <v>1628.1103049999997</v>
      </c>
    </row>
    <row r="10703">
      <c r="A10703" t="n" s="0">
        <v>7.02</v>
      </c>
      <c r="B10703" t="n" s="0">
        <f>(-5-((((-5*(-5/((-5/(((-5*(7.02--5))-(-5+((-5*7.02)*(((-5--5)+(7.02--5))+7.02))))-(-5+-5)))*-5)))/-5)--5)+(-5*(((7.02*(7.02-(-5/-5)))*(7.02-(7.02/(-5*7.02))))-(-5/-5)))))</f>
        <v>1635.2412399999998</v>
      </c>
      <c r="C10703" t="n" s="0">
        <v>1635.2412399999996</v>
      </c>
    </row>
    <row r="10704">
      <c r="A10704" t="n" s="0">
        <v>7.03</v>
      </c>
      <c r="B10704" t="n" s="0">
        <f>(-5-((((-5*(-5/((-5/(((-5*(7.03--5))-(-5+((-5*7.03)*(((-5--5)+(7.03--5))+7.03))))-(-5+-5)))*-5)))/-5)--5)+(-5*(((7.03*(7.03-(-5/-5)))*(7.03-(7.03/(-5*7.03))))-(-5/-5)))))</f>
        <v>1642.392835</v>
      </c>
      <c r="C10704" t="n" s="0">
        <v>1642.392835</v>
      </c>
    </row>
    <row r="10705">
      <c r="A10705" t="n" s="0">
        <v>7.04</v>
      </c>
      <c r="B10705" t="n" s="0">
        <f>(-5-((((-5*(-5/((-5/(((-5*(7.04--5))-(-5+((-5*7.04)*(((-5--5)+(7.04--5))+7.04))))-(-5+-5)))*-5)))/-5)--5)+(-5*(((7.04*(7.04-(-5/-5)))*(7.04-(7.04/(-5*7.04))))-(-5/-5)))))</f>
        <v>1649.56512</v>
      </c>
      <c r="C10705" t="n" s="0">
        <v>1649.5651199999998</v>
      </c>
    </row>
    <row r="10706">
      <c r="A10706" t="n" s="0">
        <v>7.05</v>
      </c>
      <c r="B10706" t="n" s="0">
        <f>(-5-((((-5*(-5/((-5/(((-5*(7.05--5))-(-5+((-5*7.05)*(((-5--5)+(7.05--5))+7.05))))-(-5+-5)))*-5)))/-5)--5)+(-5*(((7.05*(7.05-(-5/-5)))*(7.05-(7.05/(-5*7.05))))-(-5/-5)))))</f>
        <v>1656.758125</v>
      </c>
      <c r="C10706" t="n" s="0">
        <v>1656.758125</v>
      </c>
    </row>
    <row r="10707">
      <c r="A10707" t="n" s="0">
        <v>7.06</v>
      </c>
      <c r="B10707" t="n" s="0">
        <f>(-5-((((-5*(-5/((-5/(((-5*(7.06--5))-(-5+((-5*7.06)*(((-5--5)+(7.06--5))+7.06))))-(-5+-5)))*-5)))/-5)--5)+(-5*(((7.06*(7.06-(-5/-5)))*(7.06-(7.06/(-5*7.06))))-(-5/-5)))))</f>
        <v>1663.97188</v>
      </c>
      <c r="C10707" t="n" s="0">
        <v>1663.9718799999998</v>
      </c>
    </row>
    <row r="10708">
      <c r="A10708" t="n" s="0">
        <v>7.07</v>
      </c>
      <c r="B10708" t="n" s="0">
        <f>(-5-((((-5*(-5/((-5/(((-5*(7.07--5))-(-5+((-5*7.07)*(((-5--5)+(7.07--5))+7.07))))-(-5+-5)))*-5)))/-5)--5)+(-5*(((7.07*(7.07-(-5/-5)))*(7.07-(7.07/(-5*7.07))))-(-5/-5)))))</f>
        <v>1671.206415</v>
      </c>
      <c r="C10708" t="n" s="0">
        <v>1671.206415</v>
      </c>
    </row>
    <row r="10709">
      <c r="A10709" t="n" s="0">
        <v>7.08</v>
      </c>
      <c r="B10709" t="n" s="0">
        <f>(-5-((((-5*(-5/((-5/(((-5*(7.08--5))-(-5+((-5*7.08)*(((-5--5)+(7.08--5))+7.08))))-(-5+-5)))*-5)))/-5)--5)+(-5*(((7.08*(7.08-(-5/-5)))*(7.08-(7.08/(-5*7.08))))-(-5/-5)))))</f>
        <v>1678.46176</v>
      </c>
      <c r="C10709" t="n" s="0">
        <v>1678.4617600000001</v>
      </c>
    </row>
    <row r="10710">
      <c r="A10710" t="n" s="0">
        <v>7.09</v>
      </c>
      <c r="B10710" t="n" s="0">
        <f>(-5-((((-5*(-5/((-5/(((-5*(7.09--5))-(-5+((-5*7.09)*(((-5--5)+(7.09--5))+7.09))))-(-5+-5)))*-5)))/-5)--5)+(-5*(((7.09*(7.09-(-5/-5)))*(7.09-(7.09/(-5*7.09))))-(-5/-5)))))</f>
        <v>1685.7379449999999</v>
      </c>
      <c r="C10710" t="n" s="0">
        <v>1685.7379449999999</v>
      </c>
    </row>
    <row r="10711">
      <c r="A10711" t="n" s="0">
        <v>7.1</v>
      </c>
      <c r="B10711" t="n" s="0">
        <f>(-5-((((-5*(-5/((-5/(((-5*(7.1--5))-(-5+((-5*7.1)*(((-5--5)+(7.1--5))+7.1))))-(-5+-5)))*-5)))/-5)--5)+(-5*(((7.1*(7.1-(-5/-5)))*(7.1-(7.1/(-5*7.1))))-(-5/-5)))))</f>
        <v>1693.035</v>
      </c>
      <c r="C10711" t="n" s="0">
        <v>1693.0349999999999</v>
      </c>
    </row>
    <row r="10712">
      <c r="A10712" t="n" s="0">
        <v>7.11</v>
      </c>
      <c r="B10712" t="n" s="0">
        <f>(-5-((((-5*(-5/((-5/(((-5*(7.11--5))-(-5+((-5*7.11)*(((-5--5)+(7.11--5))+7.11))))-(-5+-5)))*-5)))/-5)--5)+(-5*(((7.11*(7.11-(-5/-5)))*(7.11-(7.11/(-5*7.11))))-(-5/-5)))))</f>
        <v>1700.352955</v>
      </c>
      <c r="C10712" t="n" s="0">
        <v>1700.3529550000003</v>
      </c>
    </row>
    <row r="10713">
      <c r="A10713" t="n" s="0">
        <v>7.12</v>
      </c>
      <c r="B10713" t="n" s="0">
        <f>(-5-((((-5*(-5/((-5/(((-5*(7.12--5))-(-5+((-5*7.12)*(((-5--5)+(7.12--5))+7.12))))-(-5+-5)))*-5)))/-5)--5)+(-5*(((7.12*(7.12-(-5/-5)))*(7.12-(7.12/(-5*7.12))))-(-5/-5)))))</f>
        <v>1707.69184</v>
      </c>
      <c r="C10713" t="n" s="0">
        <v>1707.6918400000002</v>
      </c>
    </row>
    <row r="10714">
      <c r="A10714" t="n" s="0">
        <v>7.13</v>
      </c>
      <c r="B10714" t="n" s="0">
        <f>(-5-((((-5*(-5/((-5/(((-5*(7.13--5))-(-5+((-5*7.13)*(((-5--5)+(7.13--5))+7.13))))-(-5+-5)))*-5)))/-5)--5)+(-5*(((7.13*(7.13-(-5/-5)))*(7.13-(7.13/(-5*7.13))))-(-5/-5)))))</f>
        <v>1715.051685</v>
      </c>
      <c r="C10714" t="n" s="0">
        <v>1715.051685</v>
      </c>
    </row>
    <row r="10715">
      <c r="A10715" t="n" s="0">
        <v>7.14</v>
      </c>
      <c r="B10715" t="n" s="0">
        <f>(-5-((((-5*(-5/((-5/(((-5*(7.14--5))-(-5+((-5*7.14)*(((-5--5)+(7.14--5))+7.14))))-(-5+-5)))*-5)))/-5)--5)+(-5*(((7.14*(7.14-(-5/-5)))*(7.14-(7.14/(-5*7.14))))-(-5/-5)))))</f>
        <v>1722.43252</v>
      </c>
      <c r="C10715" t="n" s="0">
        <v>1722.4325199999998</v>
      </c>
    </row>
    <row r="10716">
      <c r="A10716" t="n" s="0">
        <v>7.15</v>
      </c>
      <c r="B10716" t="n" s="0">
        <f>(-5-((((-5*(-5/((-5/(((-5*(7.15--5))-(-5+((-5*7.15)*(((-5--5)+(7.15--5))+7.15))))-(-5+-5)))*-5)))/-5)--5)+(-5*(((7.15*(7.15-(-5/-5)))*(7.15-(7.15/(-5*7.15))))-(-5/-5)))))</f>
        <v>1729.8343750000001</v>
      </c>
      <c r="C10716" t="n" s="0">
        <v>1729.8343750000001</v>
      </c>
    </row>
    <row r="10717">
      <c r="A10717" t="n" s="0">
        <v>7.16</v>
      </c>
      <c r="B10717" t="n" s="0">
        <f>(-5-((((-5*(-5/((-5/(((-5*(7.16--5))-(-5+((-5*7.16)*(((-5--5)+(7.16--5))+7.16))))-(-5+-5)))*-5)))/-5)--5)+(-5*(((7.16*(7.16-(-5/-5)))*(7.16-(7.16/(-5*7.16))))-(-5/-5)))))</f>
        <v>1737.25728</v>
      </c>
      <c r="C10717" t="n" s="0">
        <v>1737.2572800000003</v>
      </c>
    </row>
    <row r="10718">
      <c r="A10718" t="n" s="0">
        <v>7.17</v>
      </c>
      <c r="B10718" t="n" s="0">
        <f>(-5-((((-5*(-5/((-5/(((-5*(7.17--5))-(-5+((-5*7.17)*(((-5--5)+(7.17--5))+7.17))))-(-5+-5)))*-5)))/-5)--5)+(-5*(((7.17*(7.17-(-5/-5)))*(7.17-(7.17/(-5*7.17))))-(-5/-5)))))</f>
        <v>1744.7012650000001</v>
      </c>
      <c r="C10718" t="n" s="0">
        <v>1744.701265</v>
      </c>
    </row>
    <row r="10719">
      <c r="A10719" t="n" s="0">
        <v>7.18</v>
      </c>
      <c r="B10719" t="n" s="0">
        <f>(-5-((((-5*(-5/((-5/(((-5*(7.18--5))-(-5+((-5*7.18)*(((-5--5)+(7.18--5))+7.18))))-(-5+-5)))*-5)))/-5)--5)+(-5*(((7.18*(7.18-(-5/-5)))*(7.18-(7.18/(-5*7.18))))-(-5/-5)))))</f>
        <v>1752.1663600000002</v>
      </c>
      <c r="C10719" t="n" s="0">
        <v>1752.1663599999997</v>
      </c>
    </row>
    <row r="10720">
      <c r="A10720" t="n" s="0">
        <v>7.19</v>
      </c>
      <c r="B10720" t="n" s="0">
        <f>(-5-((((-5*(-5/((-5/(((-5*(7.19--5))-(-5+((-5*7.19)*(((-5--5)+(7.19--5))+7.19))))-(-5+-5)))*-5)))/-5)--5)+(-5*(((7.19*(7.19-(-5/-5)))*(7.19-(7.19/(-5*7.19))))-(-5/-5)))))</f>
        <v>1759.652595</v>
      </c>
      <c r="C10720" t="n" s="0">
        <v>1759.652595</v>
      </c>
    </row>
    <row r="10721">
      <c r="A10721" t="n" s="0">
        <v>7.2</v>
      </c>
      <c r="B10721" t="n" s="0">
        <f>(-5-((((-5*(-5/((-5/(((-5*(7.2--5))-(-5+((-5*7.2)*(((-5--5)+(7.2--5))+7.2))))-(-5+-5)))*-5)))/-5)--5)+(-5*(((7.2*(7.2-(-5/-5)))*(7.2-(7.2/(-5*7.2))))-(-5/-5)))))</f>
        <v>1767.16</v>
      </c>
      <c r="C10721" t="n" s="0">
        <v>1767.16</v>
      </c>
    </row>
    <row r="10722">
      <c r="A10722" t="n" s="0">
        <v>7.21</v>
      </c>
      <c r="B10722" t="n" s="0">
        <f>(-5-((((-5*(-5/((-5/(((-5*(7.21--5))-(-5+((-5*7.21)*(((-5--5)+(7.21--5))+7.21))))-(-5+-5)))*-5)))/-5)--5)+(-5*(((7.21*(7.21-(-5/-5)))*(7.21-(7.21/(-5*7.21))))-(-5/-5)))))</f>
        <v>1774.688605</v>
      </c>
      <c r="C10722" t="n" s="0">
        <v>1774.688605</v>
      </c>
    </row>
    <row r="10723">
      <c r="A10723" t="n" s="0">
        <v>7.22</v>
      </c>
      <c r="B10723" t="n" s="0">
        <f>(-5-((((-5*(-5/((-5/(((-5*(7.22--5))-(-5+((-5*7.22)*(((-5--5)+(7.22--5))+7.22))))-(-5+-5)))*-5)))/-5)--5)+(-5*(((7.22*(7.22-(-5/-5)))*(7.22-(7.22/(-5*7.22))))-(-5/-5)))))</f>
        <v>1782.23844</v>
      </c>
      <c r="C10723" t="n" s="0">
        <v>1782.2384399999999</v>
      </c>
    </row>
    <row r="10724">
      <c r="A10724" t="n" s="0">
        <v>7.23</v>
      </c>
      <c r="B10724" t="n" s="0">
        <f>(-5-((((-5*(-5/((-5/(((-5*(7.23--5))-(-5+((-5*7.23)*(((-5--5)+(7.23--5))+7.23))))-(-5+-5)))*-5)))/-5)--5)+(-5*(((7.23*(7.23-(-5/-5)))*(7.23-(7.23/(-5*7.23))))-(-5/-5)))))</f>
        <v>1789.8095349999999</v>
      </c>
      <c r="C10724" t="n" s="0">
        <v>1789.809535</v>
      </c>
    </row>
    <row r="10725">
      <c r="A10725" t="n" s="0">
        <v>7.24</v>
      </c>
      <c r="B10725" t="n" s="0">
        <f>(-5-((((-5*(-5/((-5/(((-5*(7.24--5))-(-5+((-5*7.24)*(((-5--5)+(7.24--5))+7.24))))-(-5+-5)))*-5)))/-5)--5)+(-5*(((7.24*(7.24-(-5/-5)))*(7.24-(7.24/(-5*7.24))))-(-5/-5)))))</f>
        <v>1797.40192</v>
      </c>
      <c r="C10725" t="n" s="0">
        <v>1797.4019200000002</v>
      </c>
    </row>
    <row r="10726">
      <c r="A10726" t="n" s="0">
        <v>7.25</v>
      </c>
      <c r="B10726" t="n" s="0">
        <f>(-5-((((-5*(-5/((-5/(((-5*(7.25--5))-(-5+((-5*7.25)*(((-5--5)+(7.25--5))+7.25))))-(-5+-5)))*-5)))/-5)--5)+(-5*(((7.25*(7.25-(-5/-5)))*(7.25-(7.25/(-5*7.25))))-(-5/-5)))))</f>
        <v>1805.015625</v>
      </c>
      <c r="C10726" t="n" s="0">
        <v>1805.015625</v>
      </c>
    </row>
    <row r="10727">
      <c r="A10727" t="n" s="0">
        <v>7.26</v>
      </c>
      <c r="B10727" t="n" s="0">
        <f>(-5-((((-5*(-5/((-5/(((-5*(7.26--5))-(-5+((-5*7.26)*(((-5--5)+(7.26--5))+7.26))))-(-5+-5)))*-5)))/-5)--5)+(-5*(((7.26*(7.26-(-5/-5)))*(7.26-(7.26/(-5*7.26))))-(-5/-5)))))</f>
        <v>1812.6506800000002</v>
      </c>
      <c r="C10727" t="n" s="0">
        <v>1812.65068</v>
      </c>
    </row>
    <row r="10728">
      <c r="A10728" t="n" s="0">
        <v>7.27</v>
      </c>
      <c r="B10728" t="n" s="0">
        <f>(-5-((((-5*(-5/((-5/(((-5*(7.27--5))-(-5+((-5*7.27)*(((-5--5)+(7.27--5))+7.27))))-(-5+-5)))*-5)))/-5)--5)+(-5*(((7.27*(7.27-(-5/-5)))*(7.27-(7.27/(-5*7.27))))-(-5/-5)))))</f>
        <v>1820.307115</v>
      </c>
      <c r="C10728" t="n" s="0">
        <v>1820.3071149999998</v>
      </c>
    </row>
    <row r="10729">
      <c r="A10729" t="n" s="0">
        <v>7.28</v>
      </c>
      <c r="B10729" t="n" s="0">
        <f>(-5-((((-5*(-5/((-5/(((-5*(7.28--5))-(-5+((-5*7.28)*(((-5--5)+(7.28--5))+7.28))))-(-5+-5)))*-5)))/-5)--5)+(-5*(((7.28*(7.28-(-5/-5)))*(7.28-(7.28/(-5*7.28))))-(-5/-5)))))</f>
        <v>1827.98496</v>
      </c>
      <c r="C10729" t="n" s="0">
        <v>1827.98496</v>
      </c>
    </row>
    <row r="10730">
      <c r="A10730" t="n" s="0">
        <v>7.29</v>
      </c>
      <c r="B10730" t="n" s="0">
        <f>(-5-((((-5*(-5/((-5/(((-5*(7.29--5))-(-5+((-5*7.29)*(((-5--5)+(7.29--5))+7.29))))-(-5+-5)))*-5)))/-5)--5)+(-5*(((7.29*(7.29-(-5/-5)))*(7.29-(7.29/(-5*7.29))))-(-5/-5)))))</f>
        <v>1835.6842450000001</v>
      </c>
      <c r="C10730" t="n" s="0">
        <v>1835.6842450000001</v>
      </c>
    </row>
    <row r="10731">
      <c r="A10731" t="n" s="0">
        <v>7.3</v>
      </c>
      <c r="B10731" t="n" s="0">
        <f>(-5-((((-5*(-5/((-5/(((-5*(7.3--5))-(-5+((-5*7.3)*(((-5--5)+(7.3--5))+7.3))))-(-5+-5)))*-5)))/-5)--5)+(-5*(((7.3*(7.3-(-5/-5)))*(7.3-(7.3/(-5*7.3))))-(-5/-5)))))</f>
        <v>1843.405</v>
      </c>
      <c r="C10731" t="n" s="0">
        <v>1843.4050000000002</v>
      </c>
    </row>
    <row r="10732">
      <c r="A10732" t="n" s="0">
        <v>7.31</v>
      </c>
      <c r="B10732" t="n" s="0">
        <f>(-5-((((-5*(-5/((-5/(((-5*(7.31--5))-(-5+((-5*7.31)*(((-5--5)+(7.31--5))+7.31))))-(-5+-5)))*-5)))/-5)--5)+(-5*(((7.31*(7.31-(-5/-5)))*(7.31-(7.31/(-5*7.31))))-(-5/-5)))))</f>
        <v>1851.147255</v>
      </c>
      <c r="C10732" t="n" s="0">
        <v>1851.1472549999996</v>
      </c>
    </row>
    <row r="10733">
      <c r="A10733" t="n" s="0">
        <v>7.32</v>
      </c>
      <c r="B10733" t="n" s="0">
        <f>(-5-((((-5*(-5/((-5/(((-5*(7.32--5))-(-5+((-5*7.32)*(((-5--5)+(7.32--5))+7.32))))-(-5+-5)))*-5)))/-5)--5)+(-5*(((7.32*(7.32-(-5/-5)))*(7.32-(7.32/(-5*7.32))))-(-5/-5)))))</f>
        <v>1858.91104</v>
      </c>
      <c r="C10733" t="n" s="0">
        <v>1858.9110400000002</v>
      </c>
    </row>
    <row r="10734">
      <c r="A10734" t="n" s="0">
        <v>7.33</v>
      </c>
      <c r="B10734" t="n" s="0">
        <f>(-5-((((-5*(-5/((-5/(((-5*(7.33--5))-(-5+((-5*7.33)*(((-5--5)+(7.33--5))+7.33))))-(-5+-5)))*-5)))/-5)--5)+(-5*(((7.33*(7.33-(-5/-5)))*(7.33-(7.33/(-5*7.33))))-(-5/-5)))))</f>
        <v>1866.696385</v>
      </c>
      <c r="C10734" t="n" s="0">
        <v>1866.696385</v>
      </c>
    </row>
    <row r="10735">
      <c r="A10735" t="n" s="0">
        <v>7.34</v>
      </c>
      <c r="B10735" t="n" s="0">
        <f>(-5-((((-5*(-5/((-5/(((-5*(7.34--5))-(-5+((-5*7.34)*(((-5--5)+(7.34--5))+7.34))))-(-5+-5)))*-5)))/-5)--5)+(-5*(((7.34*(7.34-(-5/-5)))*(7.34-(7.34/(-5*7.34))))-(-5/-5)))))</f>
        <v>1874.50332</v>
      </c>
      <c r="C10735" t="n" s="0">
        <v>1874.5033199999998</v>
      </c>
    </row>
    <row r="10736">
      <c r="A10736" t="n" s="0">
        <v>7.35</v>
      </c>
      <c r="B10736" t="n" s="0">
        <f>(-5-((((-5*(-5/((-5/(((-5*(7.35--5))-(-5+((-5*7.35)*(((-5--5)+(7.35--5))+7.35))))-(-5+-5)))*-5)))/-5)--5)+(-5*(((7.35*(7.35-(-5/-5)))*(7.35-(7.35/(-5*7.35))))-(-5/-5)))))</f>
        <v>1882.3318749999999</v>
      </c>
      <c r="C10736" t="n" s="0">
        <v>1882.3318749999996</v>
      </c>
    </row>
    <row r="10737">
      <c r="A10737" t="n" s="0">
        <v>7.36</v>
      </c>
      <c r="B10737" t="n" s="0">
        <f>(-5-((((-5*(-5/((-5/(((-5*(7.36--5))-(-5+((-5*7.36)*(((-5--5)+(7.36--5))+7.36))))-(-5+-5)))*-5)))/-5)--5)+(-5*(((7.36*(7.36-(-5/-5)))*(7.36-(7.36/(-5*7.36))))-(-5/-5)))))</f>
        <v>1890.18208</v>
      </c>
      <c r="C10737" t="n" s="0">
        <v>1890.18208</v>
      </c>
    </row>
    <row r="10738">
      <c r="A10738" t="n" s="0">
        <v>7.37</v>
      </c>
      <c r="B10738" t="n" s="0">
        <f>(-5-((((-5*(-5/((-5/(((-5*(7.37--5))-(-5+((-5*7.37)*(((-5--5)+(7.37--5))+7.37))))-(-5+-5)))*-5)))/-5)--5)+(-5*(((7.37*(7.37-(-5/-5)))*(7.37-(7.37/(-5*7.37))))-(-5/-5)))))</f>
        <v>1898.053965</v>
      </c>
      <c r="C10738" t="n" s="0">
        <v>1898.0539649999998</v>
      </c>
    </row>
    <row r="10739">
      <c r="A10739" t="n" s="0">
        <v>7.38</v>
      </c>
      <c r="B10739" t="n" s="0">
        <f>(-5-((((-5*(-5/((-5/(((-5*(7.38--5))-(-5+((-5*7.38)*(((-5--5)+(7.38--5))+7.38))))-(-5+-5)))*-5)))/-5)--5)+(-5*(((7.38*(7.38-(-5/-5)))*(7.38-(7.38/(-5*7.38))))-(-5/-5)))))</f>
        <v>1905.94756</v>
      </c>
      <c r="C10739" t="n" s="0">
        <v>1905.94756</v>
      </c>
    </row>
    <row r="10740">
      <c r="A10740" t="n" s="0">
        <v>7.39</v>
      </c>
      <c r="B10740" t="n" s="0">
        <f>(-5-((((-5*(-5/((-5/(((-5*(7.39--5))-(-5+((-5*7.39)*(((-5--5)+(7.39--5))+7.39))))-(-5+-5)))*-5)))/-5)--5)+(-5*(((7.39*(7.39-(-5/-5)))*(7.39-(7.39/(-5*7.39))))-(-5/-5)))))</f>
        <v>1913.862895</v>
      </c>
      <c r="C10740" t="n" s="0">
        <v>1913.8628949999998</v>
      </c>
    </row>
    <row r="10741">
      <c r="A10741" t="n" s="0">
        <v>7.4</v>
      </c>
      <c r="B10741" t="n" s="0">
        <f>(-5-((((-5*(-5/((-5/(((-5*(7.4--5))-(-5+((-5*7.4)*(((-5--5)+(7.4--5))+7.4))))-(-5+-5)))*-5)))/-5)--5)+(-5*(((7.4*(7.4-(-5/-5)))*(7.4-(7.4/(-5*7.4))))-(-5/-5)))))</f>
        <v>1921.8000000000002</v>
      </c>
      <c r="C10741" t="n" s="0">
        <v>1921.8000000000004</v>
      </c>
    </row>
    <row r="10742">
      <c r="A10742" t="n" s="0">
        <v>7.41</v>
      </c>
      <c r="B10742" t="n" s="0">
        <f>(-5-((((-5*(-5/((-5/(((-5*(7.41--5))-(-5+((-5*7.41)*(((-5--5)+(7.41--5))+7.41))))-(-5+-5)))*-5)))/-5)--5)+(-5*(((7.41*(7.41-(-5/-5)))*(7.41-(7.41/(-5*7.41))))-(-5/-5)))))</f>
        <v>1929.7589050000001</v>
      </c>
      <c r="C10742" t="n" s="0">
        <v>1929.7589050000001</v>
      </c>
    </row>
    <row r="10743">
      <c r="A10743" t="n" s="0">
        <v>7.42</v>
      </c>
      <c r="B10743" t="n" s="0">
        <f>(-5-((((-5*(-5/((-5/(((-5*(7.42--5))-(-5+((-5*7.42)*(((-5--5)+(7.42--5))+7.42))))-(-5+-5)))*-5)))/-5)--5)+(-5*(((7.42*(7.42-(-5/-5)))*(7.42-(7.42/(-5*7.42))))-(-5/-5)))))</f>
        <v>1937.73964</v>
      </c>
      <c r="C10743" t="n" s="0">
        <v>1937.73964</v>
      </c>
    </row>
    <row r="10744">
      <c r="A10744" t="n" s="0">
        <v>7.43</v>
      </c>
      <c r="B10744" t="n" s="0">
        <f>(-5-((((-5*(-5/((-5/(((-5*(7.43--5))-(-5+((-5*7.43)*(((-5--5)+(7.43--5))+7.43))))-(-5+-5)))*-5)))/-5)--5)+(-5*(((7.43*(7.43-(-5/-5)))*(7.43-(7.43/(-5*7.43))))-(-5/-5)))))</f>
        <v>1945.742235</v>
      </c>
      <c r="C10744" t="n" s="0">
        <v>1945.7422349999997</v>
      </c>
    </row>
    <row r="10745">
      <c r="A10745" t="n" s="0">
        <v>7.44</v>
      </c>
      <c r="B10745" t="n" s="0">
        <f>(-5-((((-5*(-5/((-5/(((-5*(7.44--5))-(-5+((-5*7.44)*(((-5--5)+(7.44--5))+7.44))))-(-5+-5)))*-5)))/-5)--5)+(-5*(((7.44*(7.44-(-5/-5)))*(7.44-(7.44/(-5*7.44))))-(-5/-5)))))</f>
        <v>1953.76672</v>
      </c>
      <c r="C10745" t="n" s="0">
        <v>1953.76672</v>
      </c>
    </row>
    <row r="10746">
      <c r="A10746" t="n" s="0">
        <v>7.45</v>
      </c>
      <c r="B10746" t="n" s="0">
        <f>(-5-((((-5*(-5/((-5/(((-5*(7.45--5))-(-5+((-5*7.45)*(((-5--5)+(7.45--5))+7.45))))-(-5+-5)))*-5)))/-5)--5)+(-5*(((7.45*(7.45-(-5/-5)))*(7.45-(7.45/(-5*7.45))))-(-5/-5)))))</f>
        <v>1961.8131250000001</v>
      </c>
      <c r="C10746" t="n" s="0">
        <v>1961.8131249999997</v>
      </c>
    </row>
    <row r="10747">
      <c r="A10747" t="n" s="0">
        <v>7.46</v>
      </c>
      <c r="B10747" t="n" s="0">
        <f>(-5-((((-5*(-5/((-5/(((-5*(7.46--5))-(-5+((-5*7.46)*(((-5--5)+(7.46--5))+7.46))))-(-5+-5)))*-5)))/-5)--5)+(-5*(((7.46*(7.46-(-5/-5)))*(7.46-(7.46/(-5*7.46))))-(-5/-5)))))</f>
        <v>1969.88148</v>
      </c>
      <c r="C10747" t="n" s="0">
        <v>1969.8814800000002</v>
      </c>
    </row>
    <row r="10748">
      <c r="A10748" t="n" s="0">
        <v>7.47</v>
      </c>
      <c r="B10748" t="n" s="0">
        <f>(-5-((((-5*(-5/((-5/(((-5*(7.47--5))-(-5+((-5*7.47)*(((-5--5)+(7.47--5))+7.47))))-(-5+-5)))*-5)))/-5)--5)+(-5*(((7.47*(7.47-(-5/-5)))*(7.47-(7.47/(-5*7.47))))-(-5/-5)))))</f>
        <v>1977.971815</v>
      </c>
      <c r="C10748" t="n" s="0">
        <v>1977.9718149999997</v>
      </c>
    </row>
    <row r="10749">
      <c r="A10749" t="n" s="0">
        <v>7.48</v>
      </c>
      <c r="B10749" t="n" s="0">
        <f>(-5-((((-5*(-5/((-5/(((-5*(7.48--5))-(-5+((-5*7.48)*(((-5--5)+(7.48--5))+7.48))))-(-5+-5)))*-5)))/-5)--5)+(-5*(((7.48*(7.48-(-5/-5)))*(7.48-(7.48/(-5*7.48))))-(-5/-5)))))</f>
        <v>1986.0841599999999</v>
      </c>
      <c r="C10749" t="n" s="0">
        <v>1986.0841600000006</v>
      </c>
    </row>
    <row r="10750">
      <c r="A10750" t="n" s="0">
        <v>7.49</v>
      </c>
      <c r="B10750" t="n" s="0">
        <f>(-5-((((-5*(-5/((-5/(((-5*(7.49--5))-(-5+((-5*7.49)*(((-5--5)+(7.49--5))+7.49))))-(-5+-5)))*-5)))/-5)--5)+(-5*(((7.49*(7.49-(-5/-5)))*(7.49-(7.49/(-5*7.49))))-(-5/-5)))))</f>
        <v>1994.218545</v>
      </c>
      <c r="C10750" t="n" s="0">
        <v>1994.2185450000002</v>
      </c>
    </row>
    <row r="10751">
      <c r="A10751" t="n" s="0">
        <v>7.5</v>
      </c>
      <c r="B10751" t="n" s="0">
        <f>(-5-((((-5*(-5/((-5/(((-5*(7.5--5))-(-5+((-5*7.5)*(((-5--5)+(7.5--5))+7.5))))-(-5+-5)))*-5)))/-5)--5)+(-5*(((7.5*(7.5-(-5/-5)))*(7.5-(7.5/(-5*7.5))))-(-5/-5)))))</f>
        <v>2002.375</v>
      </c>
      <c r="C10751" t="n" s="0">
        <v>2002.375</v>
      </c>
    </row>
    <row r="10752">
      <c r="A10752" t="n" s="0">
        <v>7.51</v>
      </c>
      <c r="B10752" t="n" s="0">
        <f>(-5-((((-5*(-5/((-5/(((-5*(7.51--5))-(-5+((-5*7.51)*(((-5--5)+(7.51--5))+7.51))))-(-5+-5)))*-5)))/-5)--5)+(-5*(((7.51*(7.51-(-5/-5)))*(7.51-(7.51/(-5*7.51))))-(-5/-5)))))</f>
        <v>2010.5535550000002</v>
      </c>
      <c r="C10752" t="n" s="0">
        <v>2010.553555</v>
      </c>
    </row>
    <row r="10753">
      <c r="A10753" t="n" s="0">
        <v>7.52</v>
      </c>
      <c r="B10753" t="n" s="0">
        <f>(-5-((((-5*(-5/((-5/(((-5*(7.52--5))-(-5+((-5*7.52)*(((-5--5)+(7.52--5))+7.52))))-(-5+-5)))*-5)))/-5)--5)+(-5*(((7.52*(7.52-(-5/-5)))*(7.52-(7.52/(-5*7.52))))-(-5/-5)))))</f>
        <v>2018.75424</v>
      </c>
      <c r="C10753" t="n" s="0">
        <v>2018.7542399999995</v>
      </c>
    </row>
    <row r="10754">
      <c r="A10754" t="n" s="0">
        <v>7.53</v>
      </c>
      <c r="B10754" t="n" s="0">
        <f>(-5-((((-5*(-5/((-5/(((-5*(7.53--5))-(-5+((-5*7.53)*(((-5--5)+(7.53--5))+7.53))))-(-5+-5)))*-5)))/-5)--5)+(-5*(((7.53*(7.53-(-5/-5)))*(7.53-(7.53/(-5*7.53))))-(-5/-5)))))</f>
        <v>2026.977085</v>
      </c>
      <c r="C10754" t="n" s="0">
        <v>2026.9770849999998</v>
      </c>
    </row>
    <row r="10755">
      <c r="A10755" t="n" s="0">
        <v>7.54</v>
      </c>
      <c r="B10755" t="n" s="0">
        <f>(-5-((((-5*(-5/((-5/(((-5*(7.54--5))-(-5+((-5*7.54)*(((-5--5)+(7.54--5))+7.54))))-(-5+-5)))*-5)))/-5)--5)+(-5*(((7.54*(7.54-(-5/-5)))*(7.54-(7.54/(-5*7.54))))-(-5/-5)))))</f>
        <v>2035.22212</v>
      </c>
      <c r="C10755" t="n" s="0">
        <v>2035.22212</v>
      </c>
    </row>
    <row r="10756">
      <c r="A10756" t="n" s="0">
        <v>7.55</v>
      </c>
      <c r="B10756" t="n" s="0">
        <f>(-5-((((-5*(-5/((-5/(((-5*(7.55--5))-(-5+((-5*7.55)*(((-5--5)+(7.55--5))+7.55))))-(-5+-5)))*-5)))/-5)--5)+(-5*(((7.55*(7.55-(-5/-5)))*(7.55-(7.55/(-5*7.55))))-(-5/-5)))))</f>
        <v>2043.489375</v>
      </c>
      <c r="C10756" t="n" s="0">
        <v>2043.4893749999997</v>
      </c>
    </row>
    <row r="10757">
      <c r="A10757" t="n" s="0">
        <v>7.56</v>
      </c>
      <c r="B10757" t="n" s="0">
        <f>(-5-((((-5*(-5/((-5/(((-5*(7.56--5))-(-5+((-5*7.56)*(((-5--5)+(7.56--5))+7.56))))-(-5+-5)))*-5)))/-5)--5)+(-5*(((7.56*(7.56-(-5/-5)))*(7.56-(7.56/(-5*7.56))))-(-5/-5)))))</f>
        <v>2051.7788800000003</v>
      </c>
      <c r="C10757" t="n" s="0">
        <v>2051.77888</v>
      </c>
    </row>
    <row r="10758">
      <c r="A10758" t="n" s="0">
        <v>7.57</v>
      </c>
      <c r="B10758" t="n" s="0">
        <f>(-5-((((-5*(-5/((-5/(((-5*(7.57--5))-(-5+((-5*7.57)*(((-5--5)+(7.57--5))+7.57))))-(-5+-5)))*-5)))/-5)--5)+(-5*(((7.57*(7.57-(-5/-5)))*(7.57-(7.57/(-5*7.57))))-(-5/-5)))))</f>
        <v>2060.090665</v>
      </c>
      <c r="C10758" t="n" s="0">
        <v>2060.090665</v>
      </c>
    </row>
    <row r="10759">
      <c r="A10759" t="n" s="0">
        <v>7.58</v>
      </c>
      <c r="B10759" t="n" s="0">
        <f>(-5-((((-5*(-5/((-5/(((-5*(7.58--5))-(-5+((-5*7.58)*(((-5--5)+(7.58--5))+7.58))))-(-5+-5)))*-5)))/-5)--5)+(-5*(((7.58*(7.58-(-5/-5)))*(7.58-(7.58/(-5*7.58))))-(-5/-5)))))</f>
        <v>2068.42476</v>
      </c>
      <c r="C10759" t="n" s="0">
        <v>2068.42476</v>
      </c>
    </row>
    <row r="10760">
      <c r="A10760" t="n" s="0">
        <v>7.59</v>
      </c>
      <c r="B10760" t="n" s="0">
        <f>(-5-((((-5*(-5/((-5/(((-5*(7.59--5))-(-5+((-5*7.59)*(((-5--5)+(7.59--5))+7.59))))-(-5+-5)))*-5)))/-5)--5)+(-5*(((7.59*(7.59-(-5/-5)))*(7.59-(7.59/(-5*7.59))))-(-5/-5)))))</f>
        <v>2076.781195</v>
      </c>
      <c r="C10760" t="n" s="0">
        <v>2076.781195</v>
      </c>
    </row>
    <row r="10761">
      <c r="A10761" t="n" s="0">
        <v>7.6</v>
      </c>
      <c r="B10761" t="n" s="0">
        <f>(-5-((((-5*(-5/((-5/(((-5*(7.6--5))-(-5+((-5*7.6)*(((-5--5)+(7.6--5))+7.6))))-(-5+-5)))*-5)))/-5)--5)+(-5*(((7.6*(7.6-(-5/-5)))*(7.6-(7.6/(-5*7.6))))-(-5/-5)))))</f>
        <v>2085.16</v>
      </c>
      <c r="C10761" t="n" s="0">
        <v>2085.16</v>
      </c>
    </row>
    <row r="10762">
      <c r="A10762" t="n" s="0">
        <v>7.61</v>
      </c>
      <c r="B10762" t="n" s="0">
        <f>(-5-((((-5*(-5/((-5/(((-5*(7.61--5))-(-5+((-5*7.61)*(((-5--5)+(7.61--5))+7.61))))-(-5+-5)))*-5)))/-5)--5)+(-5*(((7.61*(7.61-(-5/-5)))*(7.61-(7.61/(-5*7.61))))-(-5/-5)))))</f>
        <v>2093.561205</v>
      </c>
      <c r="C10762" t="n" s="0">
        <v>2093.561205</v>
      </c>
    </row>
    <row r="10763">
      <c r="A10763" t="n" s="0">
        <v>7.62</v>
      </c>
      <c r="B10763" t="n" s="0">
        <f>(-5-((((-5*(-5/((-5/(((-5*(7.62--5))-(-5+((-5*7.62)*(((-5--5)+(7.62--5))+7.62))))-(-5+-5)))*-5)))/-5)--5)+(-5*(((7.62*(7.62-(-5/-5)))*(7.62-(7.62/(-5*7.62))))-(-5/-5)))))</f>
        <v>2101.98484</v>
      </c>
      <c r="C10763" t="n" s="0">
        <v>2101.98484</v>
      </c>
    </row>
    <row r="10764">
      <c r="A10764" t="n" s="0">
        <v>7.63</v>
      </c>
      <c r="B10764" t="n" s="0">
        <f>(-5-((((-5*(-5/((-5/(((-5*(7.63--5))-(-5+((-5*7.63)*(((-5--5)+(7.63--5))+7.63))))-(-5+-5)))*-5)))/-5)--5)+(-5*(((7.63*(7.63-(-5/-5)))*(7.63-(7.63/(-5*7.63))))-(-5/-5)))))</f>
        <v>2110.4309350000003</v>
      </c>
      <c r="C10764" t="n" s="0">
        <v>2110.430935</v>
      </c>
    </row>
    <row r="10765">
      <c r="A10765" t="n" s="0">
        <v>7.64</v>
      </c>
      <c r="B10765" t="n" s="0">
        <f>(-5-((((-5*(-5/((-5/(((-5*(7.64--5))-(-5+((-5*7.64)*(((-5--5)+(7.64--5))+7.64))))-(-5+-5)))*-5)))/-5)--5)+(-5*(((7.64*(7.64-(-5/-5)))*(7.64-(7.64/(-5*7.64))))-(-5/-5)))))</f>
        <v>2118.89952</v>
      </c>
      <c r="C10765" t="n" s="0">
        <v>2118.89952</v>
      </c>
    </row>
    <row r="10766">
      <c r="A10766" t="n" s="0">
        <v>7.65</v>
      </c>
      <c r="B10766" t="n" s="0">
        <f>(-5-((((-5*(-5/((-5/(((-5*(7.65--5))-(-5+((-5*7.65)*(((-5--5)+(7.65--5))+7.65))))-(-5+-5)))*-5)))/-5)--5)+(-5*(((7.65*(7.65-(-5/-5)))*(7.65-(7.65/(-5*7.65))))-(-5/-5)))))</f>
        <v>2127.390625</v>
      </c>
      <c r="C10766" t="n" s="0">
        <v>2127.390625</v>
      </c>
    </row>
    <row r="10767">
      <c r="A10767" t="n" s="0">
        <v>7.66</v>
      </c>
      <c r="B10767" t="n" s="0">
        <f>(-5-((((-5*(-5/((-5/(((-5*(7.66--5))-(-5+((-5*7.66)*(((-5--5)+(7.66--5))+7.66))))-(-5+-5)))*-5)))/-5)--5)+(-5*(((7.66*(7.66-(-5/-5)))*(7.66-(7.66/(-5*7.66))))-(-5/-5)))))</f>
        <v>2135.90428</v>
      </c>
      <c r="C10767" t="n" s="0">
        <v>2135.90428</v>
      </c>
    </row>
    <row r="10768">
      <c r="A10768" t="n" s="0">
        <v>7.67</v>
      </c>
      <c r="B10768" t="n" s="0">
        <f>(-5-((((-5*(-5/((-5/(((-5*(7.67--5))-(-5+((-5*7.67)*(((-5--5)+(7.67--5))+7.67))))-(-5+-5)))*-5)))/-5)--5)+(-5*(((7.67*(7.67-(-5/-5)))*(7.67-(7.67/(-5*7.67))))-(-5/-5)))))</f>
        <v>2144.440515</v>
      </c>
      <c r="C10768" t="n" s="0">
        <v>2144.4405150000002</v>
      </c>
    </row>
    <row r="10769">
      <c r="A10769" t="n" s="0">
        <v>7.68</v>
      </c>
      <c r="B10769" t="n" s="0">
        <f>(-5-((((-5*(-5/((-5/(((-5*(7.68--5))-(-5+((-5*7.68)*(((-5--5)+(7.68--5))+7.68))))-(-5+-5)))*-5)))/-5)--5)+(-5*(((7.68*(7.68-(-5/-5)))*(7.68-(7.68/(-5*7.68))))-(-5/-5)))))</f>
        <v>2152.99936</v>
      </c>
      <c r="C10769" t="n" s="0">
        <v>2152.9993599999993</v>
      </c>
    </row>
    <row r="10770">
      <c r="A10770" t="n" s="0">
        <v>7.69</v>
      </c>
      <c r="B10770" t="n" s="0">
        <f>(-5-((((-5*(-5/((-5/(((-5*(7.69--5))-(-5+((-5*7.69)*(((-5--5)+(7.69--5))+7.69))))-(-5+-5)))*-5)))/-5)--5)+(-5*(((7.69*(7.69-(-5/-5)))*(7.69-(7.69/(-5*7.69))))-(-5/-5)))))</f>
        <v>2161.580845</v>
      </c>
      <c r="C10770" t="n" s="0">
        <v>2161.580845000001</v>
      </c>
    </row>
    <row r="10771">
      <c r="A10771" t="n" s="0">
        <v>7.7</v>
      </c>
      <c r="B10771" t="n" s="0">
        <f>(-5-((((-5*(-5/((-5/(((-5*(7.7--5))-(-5+((-5*7.7)*(((-5--5)+(7.7--5))+7.7))))-(-5+-5)))*-5)))/-5)--5)+(-5*(((7.7*(7.7-(-5/-5)))*(7.7-(7.7/(-5*7.7))))-(-5/-5)))))</f>
        <v>2170.185</v>
      </c>
      <c r="C10771" t="n" s="0">
        <v>2170.185</v>
      </c>
    </row>
    <row r="10772">
      <c r="A10772" t="n" s="0">
        <v>7.71</v>
      </c>
      <c r="B10772" t="n" s="0">
        <f>(-5-((((-5*(-5/((-5/(((-5*(7.71--5))-(-5+((-5*7.71)*(((-5--5)+(7.71--5))+7.71))))-(-5+-5)))*-5)))/-5)--5)+(-5*(((7.71*(7.71-(-5/-5)))*(7.71-(7.71/(-5*7.71))))-(-5/-5)))))</f>
        <v>2178.811855</v>
      </c>
      <c r="C10772" t="n" s="0">
        <v>2178.8118550000004</v>
      </c>
    </row>
    <row r="10773">
      <c r="A10773" t="n" s="0">
        <v>7.72</v>
      </c>
      <c r="B10773" t="n" s="0">
        <f>(-5-((((-5*(-5/((-5/(((-5*(7.72--5))-(-5+((-5*7.72)*(((-5--5)+(7.72--5))+7.72))))-(-5+-5)))*-5)))/-5)--5)+(-5*(((7.72*(7.72-(-5/-5)))*(7.72-(7.72/(-5*7.72))))-(-5/-5)))))</f>
        <v>2187.46144</v>
      </c>
      <c r="C10773" t="n" s="0">
        <v>2187.4614399999996</v>
      </c>
    </row>
    <row r="10774">
      <c r="A10774" t="n" s="0">
        <v>7.73</v>
      </c>
      <c r="B10774" t="n" s="0">
        <f>(-5-((((-5*(-5/((-5/(((-5*(7.73--5))-(-5+((-5*7.73)*(((-5--5)+(7.73--5))+7.73))))-(-5+-5)))*-5)))/-5)--5)+(-5*(((7.73*(7.73-(-5/-5)))*(7.73-(7.73/(-5*7.73))))-(-5/-5)))))</f>
        <v>2196.133785</v>
      </c>
      <c r="C10774" t="n" s="0">
        <v>2196.1337850000004</v>
      </c>
    </row>
    <row r="10775">
      <c r="A10775" t="n" s="0">
        <v>7.74</v>
      </c>
      <c r="B10775" t="n" s="0">
        <f>(-5-((((-5*(-5/((-5/(((-5*(7.74--5))-(-5+((-5*7.74)*(((-5--5)+(7.74--5))+7.74))))-(-5+-5)))*-5)))/-5)--5)+(-5*(((7.74*(7.74-(-5/-5)))*(7.74-(7.74/(-5*7.74))))-(-5/-5)))))</f>
        <v>2204.82892</v>
      </c>
      <c r="C10775" t="n" s="0">
        <v>2204.82892</v>
      </c>
    </row>
    <row r="10776">
      <c r="A10776" t="n" s="0">
        <v>7.75</v>
      </c>
      <c r="B10776" t="n" s="0">
        <f>(-5-((((-5*(-5/((-5/(((-5*(7.75--5))-(-5+((-5*7.75)*(((-5--5)+(7.75--5))+7.75))))-(-5+-5)))*-5)))/-5)--5)+(-5*(((7.75*(7.75-(-5/-5)))*(7.75-(7.75/(-5*7.75))))-(-5/-5)))))</f>
        <v>2213.546875</v>
      </c>
      <c r="C10776" t="n" s="0">
        <v>2213.546875</v>
      </c>
    </row>
    <row r="10777">
      <c r="A10777" t="n" s="0">
        <v>7.76</v>
      </c>
      <c r="B10777" t="n" s="0">
        <f>(-5-((((-5*(-5/((-5/(((-5*(7.76--5))-(-5+((-5*7.76)*(((-5--5)+(7.76--5))+7.76))))-(-5+-5)))*-5)))/-5)--5)+(-5*(((7.76*(7.76-(-5/-5)))*(7.76-(7.76/(-5*7.76))))-(-5/-5)))))</f>
        <v>2222.28768</v>
      </c>
      <c r="C10777" t="n" s="0">
        <v>2222.2876800000004</v>
      </c>
    </row>
    <row r="10778">
      <c r="A10778" t="n" s="0">
        <v>7.77</v>
      </c>
      <c r="B10778" t="n" s="0">
        <f>(-5-((((-5*(-5/((-5/(((-5*(7.77--5))-(-5+((-5*7.77)*(((-5--5)+(7.77--5))+7.77))))-(-5+-5)))*-5)))/-5)--5)+(-5*(((7.77*(7.77-(-5/-5)))*(7.77-(7.77/(-5*7.77))))-(-5/-5)))))</f>
        <v>2231.0513650000003</v>
      </c>
      <c r="C10778" t="n" s="0">
        <v>2231.0513649999994</v>
      </c>
    </row>
    <row r="10779">
      <c r="A10779" t="n" s="0">
        <v>7.78</v>
      </c>
      <c r="B10779" t="n" s="0">
        <f>(-5-((((-5*(-5/((-5/(((-5*(7.78--5))-(-5+((-5*7.78)*(((-5--5)+(7.78--5))+7.78))))-(-5+-5)))*-5)))/-5)--5)+(-5*(((7.78*(7.78-(-5/-5)))*(7.78-(7.78/(-5*7.78))))-(-5/-5)))))</f>
        <v>2239.8379600000003</v>
      </c>
      <c r="C10779" t="n" s="0">
        <v>2239.8379600000007</v>
      </c>
    </row>
    <row r="10780">
      <c r="A10780" t="n" s="0">
        <v>7.79</v>
      </c>
      <c r="B10780" t="n" s="0">
        <f>(-5-((((-5*(-5/((-5/(((-5*(7.79--5))-(-5+((-5*7.79)*(((-5--5)+(7.79--5))+7.79))))-(-5+-5)))*-5)))/-5)--5)+(-5*(((7.79*(7.79-(-5/-5)))*(7.79-(7.79/(-5*7.79))))-(-5/-5)))))</f>
        <v>2248.647495</v>
      </c>
      <c r="C10780" t="n" s="0">
        <v>2248.647495</v>
      </c>
    </row>
    <row r="10781">
      <c r="A10781" t="n" s="0">
        <v>7.8</v>
      </c>
      <c r="B10781" t="n" s="0">
        <f>(-5-((((-5*(-5/((-5/(((-5*(7.8--5))-(-5+((-5*7.8)*(((-5--5)+(7.8--5))+7.8))))-(-5+-5)))*-5)))/-5)--5)+(-5*(((7.8*(7.8-(-5/-5)))*(7.8-(7.8/(-5*7.8))))-(-5/-5)))))</f>
        <v>2257.48</v>
      </c>
      <c r="C10781" t="n" s="0">
        <v>2257.48</v>
      </c>
    </row>
    <row r="10782">
      <c r="A10782" t="n" s="0">
        <v>7.81</v>
      </c>
      <c r="B10782" t="n" s="0">
        <f>(-5-((((-5*(-5/((-5/(((-5*(7.81--5))-(-5+((-5*7.81)*(((-5--5)+(7.81--5))+7.81))))-(-5+-5)))*-5)))/-5)--5)+(-5*(((7.81*(7.81-(-5/-5)))*(7.81-(7.81/(-5*7.81))))-(-5/-5)))))</f>
        <v>2266.335505</v>
      </c>
      <c r="C10782" t="n" s="0">
        <v>2266.335504999999</v>
      </c>
    </row>
    <row r="10783">
      <c r="A10783" t="n" s="0">
        <v>7.82</v>
      </c>
      <c r="B10783" t="n" s="0">
        <f>(-5-((((-5*(-5/((-5/(((-5*(7.82--5))-(-5+((-5*7.82)*(((-5--5)+(7.82--5))+7.82))))-(-5+-5)))*-5)))/-5)--5)+(-5*(((7.82*(7.82-(-5/-5)))*(7.82-(7.82/(-5*7.82))))-(-5/-5)))))</f>
        <v>2275.2140400000003</v>
      </c>
      <c r="C10783" t="n" s="0">
        <v>2275.2140400000003</v>
      </c>
    </row>
    <row r="10784">
      <c r="A10784" t="n" s="0">
        <v>7.83</v>
      </c>
      <c r="B10784" t="n" s="0">
        <f>(-5-((((-5*(-5/((-5/(((-5*(7.83--5))-(-5+((-5*7.83)*(((-5--5)+(7.83--5))+7.83))))-(-5+-5)))*-5)))/-5)--5)+(-5*(((7.83*(7.83-(-5/-5)))*(7.83-(7.83/(-5*7.83))))-(-5/-5)))))</f>
        <v>2284.115635</v>
      </c>
      <c r="C10784" t="n" s="0">
        <v>2284.115635</v>
      </c>
    </row>
    <row r="10785">
      <c r="A10785" t="n" s="0">
        <v>7.84</v>
      </c>
      <c r="B10785" t="n" s="0">
        <f>(-5-((((-5*(-5/((-5/(((-5*(7.84--5))-(-5+((-5*7.84)*(((-5--5)+(7.84--5))+7.84))))-(-5+-5)))*-5)))/-5)--5)+(-5*(((7.84*(7.84-(-5/-5)))*(7.84-(7.84/(-5*7.84))))-(-5/-5)))))</f>
        <v>2293.04032</v>
      </c>
      <c r="C10785" t="n" s="0">
        <v>2293.0403199999996</v>
      </c>
    </row>
    <row r="10786">
      <c r="A10786" t="n" s="0">
        <v>7.85</v>
      </c>
      <c r="B10786" t="n" s="0">
        <f>(-5-((((-5*(-5/((-5/(((-5*(7.85--5))-(-5+((-5*7.85)*(((-5--5)+(7.85--5))+7.85))))-(-5+-5)))*-5)))/-5)--5)+(-5*(((7.85*(7.85-(-5/-5)))*(7.85-(7.85/(-5*7.85))))-(-5/-5)))))</f>
        <v>2301.988125</v>
      </c>
      <c r="C10786" t="n" s="0">
        <v>2301.988125</v>
      </c>
    </row>
    <row r="10787">
      <c r="A10787" t="n" s="0">
        <v>7.86</v>
      </c>
      <c r="B10787" t="n" s="0">
        <f>(-5-((((-5*(-5/((-5/(((-5*(7.86--5))-(-5+((-5*7.86)*(((-5--5)+(7.86--5))+7.86))))-(-5+-5)))*-5)))/-5)--5)+(-5*(((7.86*(7.86-(-5/-5)))*(7.86-(7.86/(-5*7.86))))-(-5/-5)))))</f>
        <v>2310.95908</v>
      </c>
      <c r="C10787" t="n" s="0">
        <v>2310.95908</v>
      </c>
    </row>
    <row r="10788">
      <c r="A10788" t="n" s="0">
        <v>7.87</v>
      </c>
      <c r="B10788" t="n" s="0">
        <f>(-5-((((-5*(-5/((-5/(((-5*(7.87--5))-(-5+((-5*7.87)*(((-5--5)+(7.87--5))+7.87))))-(-5+-5)))*-5)))/-5)--5)+(-5*(((7.87*(7.87-(-5/-5)))*(7.87-(7.87/(-5*7.87))))-(-5/-5)))))</f>
        <v>2319.953215</v>
      </c>
      <c r="C10788" t="n" s="0">
        <v>2319.9532150000005</v>
      </c>
    </row>
    <row r="10789">
      <c r="A10789" t="n" s="0">
        <v>7.88</v>
      </c>
      <c r="B10789" t="n" s="0">
        <f>(-5-((((-5*(-5/((-5/(((-5*(7.88--5))-(-5+((-5*7.88)*(((-5--5)+(7.88--5))+7.88))))-(-5+-5)))*-5)))/-5)--5)+(-5*(((7.88*(7.88-(-5/-5)))*(7.88-(7.88/(-5*7.88))))-(-5/-5)))))</f>
        <v>2328.9705599999998</v>
      </c>
      <c r="C10789" t="n" s="0">
        <v>2328.9705599999998</v>
      </c>
    </row>
    <row r="10790">
      <c r="A10790" t="n" s="0">
        <v>7.89</v>
      </c>
      <c r="B10790" t="n" s="0">
        <f>(-5-((((-5*(-5/((-5/(((-5*(7.89--5))-(-5+((-5*7.89)*(((-5--5)+(7.89--5))+7.89))))-(-5+-5)))*-5)))/-5)--5)+(-5*(((7.89*(7.89-(-5/-5)))*(7.89-(7.89/(-5*7.89))))-(-5/-5)))))</f>
        <v>2338.011145</v>
      </c>
      <c r="C10790" t="n" s="0">
        <v>2338.011145</v>
      </c>
    </row>
    <row r="10791">
      <c r="A10791" t="n" s="0">
        <v>7.9</v>
      </c>
      <c r="B10791" t="n" s="0">
        <f>(-5-((((-5*(-5/((-5/(((-5*(7.9--5))-(-5+((-5*7.9)*(((-5--5)+(7.9--5))+7.9))))-(-5+-5)))*-5)))/-5)--5)+(-5*(((7.9*(7.9-(-5/-5)))*(7.9-(7.9/(-5*7.9))))-(-5/-5)))))</f>
        <v>2347.0750000000003</v>
      </c>
      <c r="C10791" t="n" s="0">
        <v>2347.075</v>
      </c>
    </row>
    <row r="10792">
      <c r="A10792" t="n" s="0">
        <v>7.91</v>
      </c>
      <c r="B10792" t="n" s="0">
        <f>(-5-((((-5*(-5/((-5/(((-5*(7.91--5))-(-5+((-5*7.91)*(((-5--5)+(7.91--5))+7.91))))-(-5+-5)))*-5)))/-5)--5)+(-5*(((7.91*(7.91-(-5/-5)))*(7.91-(7.91/(-5*7.91))))-(-5/-5)))))</f>
        <v>2356.162155</v>
      </c>
      <c r="C10792" t="n" s="0">
        <v>2356.1621550000004</v>
      </c>
    </row>
    <row r="10793">
      <c r="A10793" t="n" s="0">
        <v>7.92</v>
      </c>
      <c r="B10793" t="n" s="0">
        <f>(-5-((((-5*(-5/((-5/(((-5*(7.92--5))-(-5+((-5*7.92)*(((-5--5)+(7.92--5))+7.92))))-(-5+-5)))*-5)))/-5)--5)+(-5*(((7.92*(7.92-(-5/-5)))*(7.92-(7.92/(-5*7.92))))-(-5/-5)))))</f>
        <v>2365.2726399999997</v>
      </c>
      <c r="C10793" t="n" s="0">
        <v>2365.27264</v>
      </c>
    </row>
    <row r="10794">
      <c r="A10794" t="n" s="0">
        <v>7.93</v>
      </c>
      <c r="B10794" t="n" s="0">
        <f>(-5-((((-5*(-5/((-5/(((-5*(7.93--5))-(-5+((-5*7.93)*(((-5--5)+(7.93--5))+7.93))))-(-5+-5)))*-5)))/-5)--5)+(-5*(((7.93*(7.93-(-5/-5)))*(7.93-(7.93/(-5*7.93))))-(-5/-5)))))</f>
        <v>2374.406485</v>
      </c>
      <c r="C10794" t="n" s="0">
        <v>2374.4064849999995</v>
      </c>
    </row>
    <row r="10795">
      <c r="A10795" t="n" s="0">
        <v>7.94</v>
      </c>
      <c r="B10795" t="n" s="0">
        <f>(-5-((((-5*(-5/((-5/(((-5*(7.94--5))-(-5+((-5*7.94)*(((-5--5)+(7.94--5))+7.94))))-(-5+-5)))*-5)))/-5)--5)+(-5*(((7.94*(7.94-(-5/-5)))*(7.94-(7.94/(-5*7.94))))-(-5/-5)))))</f>
        <v>2383.56372</v>
      </c>
      <c r="C10795" t="n" s="0">
        <v>2383.5637200000006</v>
      </c>
    </row>
    <row r="10796">
      <c r="A10796" t="n" s="0">
        <v>7.95</v>
      </c>
      <c r="B10796" t="n" s="0">
        <f>(-5-((((-5*(-5/((-5/(((-5*(7.95--5))-(-5+((-5*7.95)*(((-5--5)+(7.95--5))+7.95))))-(-5+-5)))*-5)))/-5)--5)+(-5*(((7.95*(7.95-(-5/-5)))*(7.95-(7.95/(-5*7.95))))-(-5/-5)))))</f>
        <v>2392.7443749999998</v>
      </c>
      <c r="C10796" t="n" s="0">
        <v>2392.7443749999998</v>
      </c>
    </row>
    <row r="10797">
      <c r="A10797" t="n" s="0">
        <v>7.96</v>
      </c>
      <c r="B10797" t="n" s="0">
        <f>(-5-((((-5*(-5/((-5/(((-5*(7.96--5))-(-5+((-5*7.96)*(((-5--5)+(7.96--5))+7.96))))-(-5+-5)))*-5)))/-5)--5)+(-5*(((7.96*(7.96-(-5/-5)))*(7.96-(7.96/(-5*7.96))))-(-5/-5)))))</f>
        <v>2401.94848</v>
      </c>
      <c r="C10797" t="n" s="0">
        <v>2401.9484800000005</v>
      </c>
    </row>
    <row r="10798">
      <c r="A10798" t="n" s="0">
        <v>7.97</v>
      </c>
      <c r="B10798" t="n" s="0">
        <f>(-5-((((-5*(-5/((-5/(((-5*(7.97--5))-(-5+((-5*7.97)*(((-5--5)+(7.97--5))+7.97))))-(-5+-5)))*-5)))/-5)--5)+(-5*(((7.97*(7.97-(-5/-5)))*(7.97-(7.97/(-5*7.97))))-(-5/-5)))))</f>
        <v>2411.176065</v>
      </c>
      <c r="C10798" t="n" s="0">
        <v>2411.1760649999997</v>
      </c>
    </row>
    <row r="10799">
      <c r="A10799" t="n" s="0">
        <v>7.98</v>
      </c>
      <c r="B10799" t="n" s="0">
        <f>(-5-((((-5*(-5/((-5/(((-5*(7.98--5))-(-5+((-5*7.98)*(((-5--5)+(7.98--5))+7.98))))-(-5+-5)))*-5)))/-5)--5)+(-5*(((7.98*(7.98-(-5/-5)))*(7.98-(7.98/(-5*7.98))))-(-5/-5)))))</f>
        <v>2420.42716</v>
      </c>
      <c r="C10799" t="n" s="0">
        <v>2420.4271600000006</v>
      </c>
    </row>
    <row r="10800">
      <c r="A10800" t="n" s="0">
        <v>7.99</v>
      </c>
      <c r="B10800" t="n" s="0">
        <f>(-5-((((-5*(-5/((-5/(((-5*(7.99--5))-(-5+((-5*7.99)*(((-5--5)+(7.99--5))+7.99))))-(-5+-5)))*-5)))/-5)--5)+(-5*(((7.99*(7.99-(-5/-5)))*(7.99-(7.99/(-5*7.99))))-(-5/-5)))))</f>
        <v>2429.701795</v>
      </c>
      <c r="C10800" t="n" s="0">
        <v>2429.7017950000004</v>
      </c>
    </row>
    <row r="10801">
      <c r="A10801" t="n" s="0">
        <v>8.0</v>
      </c>
      <c r="B10801" t="n" s="0">
        <f>(-5-((((-5*(-5/((-5/(((-5*(8--5))-(-5+((-5*8)*(((-5--5)+(8--5))+8))))-(-5+-5)))*-5)))/-5)--5)+(-5*(((8*(8-(-5/-5)))*(8-(8/(-5*8))))-(-5/-5)))))</f>
        <v>2439.0</v>
      </c>
      <c r="C10801" t="n" s="0">
        <v>2439.0</v>
      </c>
    </row>
    <row r="10802">
      <c r="A10802" t="n" s="0">
        <v>8.01</v>
      </c>
      <c r="B10802" t="n" s="0">
        <f>(-5-((((-5*(-5/((-5/(((-5*(8.01--5))-(-5+((-5*8.01)*(((-5--5)+(8.01--5))+8.01))))-(-5+-5)))*-5)))/-5)--5)+(-5*(((8.01*(8.01-(-5/-5)))*(8.01-(8.01/(-5*8.01))))-(-5/-5)))))</f>
        <v>2448.321805</v>
      </c>
      <c r="C10802" t="n" s="0">
        <v>2448.3218049999996</v>
      </c>
    </row>
    <row r="10803">
      <c r="A10803" t="n" s="0">
        <v>8.02</v>
      </c>
      <c r="B10803" t="n" s="0">
        <f>(-5-((((-5*(-5/((-5/(((-5*(8.02--5))-(-5+((-5*8.02)*(((-5--5)+(8.02--5))+8.02))))-(-5+-5)))*-5)))/-5)--5)+(-5*(((8.02*(8.02-(-5/-5)))*(8.02-(8.02/(-5*8.02))))-(-5/-5)))))</f>
        <v>2457.66724</v>
      </c>
      <c r="C10803" t="n" s="0">
        <v>2457.6672399999993</v>
      </c>
    </row>
    <row r="10804">
      <c r="A10804" t="n" s="0">
        <v>8.03</v>
      </c>
      <c r="B10804" t="n" s="0">
        <f>(-5-((((-5*(-5/((-5/(((-5*(8.03--5))-(-5+((-5*8.03)*(((-5--5)+(8.03--5))+8.03))))-(-5+-5)))*-5)))/-5)--5)+(-5*(((8.03*(8.03-(-5/-5)))*(8.03-(8.03/(-5*8.03))))-(-5/-5)))))</f>
        <v>2467.036335</v>
      </c>
      <c r="C10804" t="n" s="0">
        <v>2467.0363349999993</v>
      </c>
    </row>
    <row r="10805">
      <c r="A10805" t="n" s="0">
        <v>8.04</v>
      </c>
      <c r="B10805" t="n" s="0">
        <f>(-5-((((-5*(-5/((-5/(((-5*(8.04--5))-(-5+((-5*8.04)*(((-5--5)+(8.04--5))+8.04))))-(-5+-5)))*-5)))/-5)--5)+(-5*(((8.04*(8.04-(-5/-5)))*(8.04-(8.04/(-5*8.04))))-(-5/-5)))))</f>
        <v>2476.4291200000002</v>
      </c>
      <c r="C10805" t="n" s="0">
        <v>2476.429119999999</v>
      </c>
    </row>
    <row r="10806">
      <c r="A10806" t="n" s="0">
        <v>8.05</v>
      </c>
      <c r="B10806" t="n" s="0">
        <f>(-5-((((-5*(-5/((-5/(((-5*(8.05--5))-(-5+((-5*8.05)*(((-5--5)+(8.05--5))+8.05))))-(-5+-5)))*-5)))/-5)--5)+(-5*(((8.05*(8.05-(-5/-5)))*(8.05-(8.05/(-5*8.05))))-(-5/-5)))))</f>
        <v>2485.845625</v>
      </c>
      <c r="C10806" t="n" s="0">
        <v>2485.845625000001</v>
      </c>
    </row>
    <row r="10807">
      <c r="A10807" t="n" s="0">
        <v>8.06</v>
      </c>
      <c r="B10807" t="n" s="0">
        <f>(-5-((((-5*(-5/((-5/(((-5*(8.06--5))-(-5+((-5*8.06)*(((-5--5)+(8.06--5))+8.06))))-(-5+-5)))*-5)))/-5)--5)+(-5*(((8.06*(8.06-(-5/-5)))*(8.06-(8.06/(-5*8.06))))-(-5/-5)))))</f>
        <v>2495.28588</v>
      </c>
      <c r="C10807" t="n" s="0">
        <v>2495.2858800000004</v>
      </c>
    </row>
    <row r="10808">
      <c r="A10808" t="n" s="0">
        <v>8.07</v>
      </c>
      <c r="B10808" t="n" s="0">
        <f>(-5-((((-5*(-5/((-5/(((-5*(8.07--5))-(-5+((-5*8.07)*(((-5--5)+(8.07--5))+8.07))))-(-5+-5)))*-5)))/-5)--5)+(-5*(((8.07*(8.07-(-5/-5)))*(8.07-(8.07/(-5*8.07))))-(-5/-5)))))</f>
        <v>2504.749915</v>
      </c>
      <c r="C10808" t="n" s="0">
        <v>2504.749915</v>
      </c>
    </row>
    <row r="10809">
      <c r="A10809" t="n" s="0">
        <v>8.08</v>
      </c>
      <c r="B10809" t="n" s="0">
        <f>(-5-((((-5*(-5/((-5/(((-5*(8.08--5))-(-5+((-5*8.08)*(((-5--5)+(8.08--5))+8.08))))-(-5+-5)))*-5)))/-5)--5)+(-5*(((8.08*(8.08-(-5/-5)))*(8.08-(8.08/(-5*8.08))))-(-5/-5)))))</f>
        <v>2514.23776</v>
      </c>
      <c r="C10809" t="n" s="0">
        <v>2514.23776</v>
      </c>
    </row>
    <row r="10810">
      <c r="A10810" t="n" s="0">
        <v>8.09</v>
      </c>
      <c r="B10810" t="n" s="0">
        <f>(-5-((((-5*(-5/((-5/(((-5*(8.09--5))-(-5+((-5*8.09)*(((-5--5)+(8.09--5))+8.09))))-(-5+-5)))*-5)))/-5)--5)+(-5*(((8.09*(8.09-(-5/-5)))*(8.09-(8.09/(-5*8.09))))-(-5/-5)))))</f>
        <v>2523.749445</v>
      </c>
      <c r="C10810" t="n" s="0">
        <v>2523.7494449999995</v>
      </c>
    </row>
    <row r="10811">
      <c r="A10811" t="n" s="0">
        <v>8.1</v>
      </c>
      <c r="B10811" t="n" s="0">
        <f>(-5-((((-5*(-5/((-5/(((-5*(8.1--5))-(-5+((-5*8.1)*(((-5--5)+(8.1--5))+8.1))))-(-5+-5)))*-5)))/-5)--5)+(-5*(((8.1*(8.1-(-5/-5)))*(8.1-(8.1/(-5*8.1))))-(-5/-5)))))</f>
        <v>2533.285</v>
      </c>
      <c r="C10811" t="n" s="0">
        <v>2533.285</v>
      </c>
    </row>
    <row r="10812">
      <c r="A10812" t="n" s="0">
        <v>8.11</v>
      </c>
      <c r="B10812" t="n" s="0">
        <f>(-5-((((-5*(-5/((-5/(((-5*(8.11--5))-(-5+((-5*8.11)*(((-5--5)+(8.11--5))+8.11))))-(-5+-5)))*-5)))/-5)--5)+(-5*(((8.11*(8.11-(-5/-5)))*(8.11-(8.11/(-5*8.11))))-(-5/-5)))))</f>
        <v>2542.844455</v>
      </c>
      <c r="C10812" t="n" s="0">
        <v>2542.844455</v>
      </c>
    </row>
    <row r="10813">
      <c r="A10813" t="n" s="0">
        <v>8.12</v>
      </c>
      <c r="B10813" t="n" s="0">
        <f>(-5-((((-5*(-5/((-5/(((-5*(8.12--5))-(-5+((-5*8.12)*(((-5--5)+(8.12--5))+8.12))))-(-5+-5)))*-5)))/-5)--5)+(-5*(((8.12*(8.12-(-5/-5)))*(8.12-(8.12/(-5*8.12))))-(-5/-5)))))</f>
        <v>2552.4278400000003</v>
      </c>
      <c r="C10813" t="n" s="0">
        <v>2552.427839999999</v>
      </c>
    </row>
    <row r="10814">
      <c r="A10814" t="n" s="0">
        <v>8.13</v>
      </c>
      <c r="B10814" t="n" s="0">
        <f>(-5-((((-5*(-5/((-5/(((-5*(8.13--5))-(-5+((-5*8.13)*(((-5--5)+(8.13--5))+8.13))))-(-5+-5)))*-5)))/-5)--5)+(-5*(((8.13*(8.13-(-5/-5)))*(8.13-(8.13/(-5*8.13))))-(-5/-5)))))</f>
        <v>2562.035185</v>
      </c>
      <c r="C10814" t="n" s="0">
        <v>2562.035185</v>
      </c>
    </row>
    <row r="10815">
      <c r="A10815" t="n" s="0">
        <v>8.14</v>
      </c>
      <c r="B10815" t="n" s="0">
        <f>(-5-((((-5*(-5/((-5/(((-5*(8.14--5))-(-5+((-5*8.14)*(((-5--5)+(8.14--5))+8.14))))-(-5+-5)))*-5)))/-5)--5)+(-5*(((8.14*(8.14-(-5/-5)))*(8.14-(8.14/(-5*8.14))))-(-5/-5)))))</f>
        <v>2571.66652</v>
      </c>
      <c r="C10815" t="n" s="0">
        <v>2571.6665200000007</v>
      </c>
    </row>
    <row r="10816">
      <c r="A10816" t="n" s="0">
        <v>8.15</v>
      </c>
      <c r="B10816" t="n" s="0">
        <f>(-5-((((-5*(-5/((-5/(((-5*(8.15--5))-(-5+((-5*8.15)*(((-5--5)+(8.15--5))+8.15))))-(-5+-5)))*-5)))/-5)--5)+(-5*(((8.15*(8.15-(-5/-5)))*(8.15-(8.15/(-5*8.15))))-(-5/-5)))))</f>
        <v>2581.321875</v>
      </c>
      <c r="C10816" t="n" s="0">
        <v>2581.321875</v>
      </c>
    </row>
    <row r="10817">
      <c r="A10817" t="n" s="0">
        <v>8.16</v>
      </c>
      <c r="B10817" t="n" s="0">
        <f>(-5-((((-5*(-5/((-5/(((-5*(8.16--5))-(-5+((-5*8.16)*(((-5--5)+(8.16--5))+8.16))))-(-5+-5)))*-5)))/-5)--5)+(-5*(((8.16*(8.16-(-5/-5)))*(8.16-(8.16/(-5*8.16))))-(-5/-5)))))</f>
        <v>2591.00128</v>
      </c>
      <c r="C10817" t="n" s="0">
        <v>2591.001280000001</v>
      </c>
    </row>
    <row r="10818">
      <c r="A10818" t="n" s="0">
        <v>8.17</v>
      </c>
      <c r="B10818" t="n" s="0">
        <f>(-5-((((-5*(-5/((-5/(((-5*(8.17--5))-(-5+((-5*8.17)*(((-5--5)+(8.17--5))+8.17))))-(-5+-5)))*-5)))/-5)--5)+(-5*(((8.17*(8.17-(-5/-5)))*(8.17-(8.17/(-5*8.17))))-(-5/-5)))))</f>
        <v>2600.704765</v>
      </c>
      <c r="C10818" t="n" s="0">
        <v>2600.7047650000004</v>
      </c>
    </row>
    <row r="10819">
      <c r="A10819" t="n" s="0">
        <v>8.18</v>
      </c>
      <c r="B10819" t="n" s="0">
        <f>(-5-((((-5*(-5/((-5/(((-5*(8.18--5))-(-5+((-5*8.18)*(((-5--5)+(8.18--5))+8.18))))-(-5+-5)))*-5)))/-5)--5)+(-5*(((8.18*(8.18-(-5/-5)))*(8.18-(8.18/(-5*8.18))))-(-5/-5)))))</f>
        <v>2610.4323600000002</v>
      </c>
      <c r="C10819" t="n" s="0">
        <v>2610.4323599999993</v>
      </c>
    </row>
    <row r="10820">
      <c r="A10820" t="n" s="0">
        <v>8.19</v>
      </c>
      <c r="B10820" t="n" s="0">
        <f>(-5-((((-5*(-5/((-5/(((-5*(8.19--5))-(-5+((-5*8.19)*(((-5--5)+(8.19--5))+8.19))))-(-5+-5)))*-5)))/-5)--5)+(-5*(((8.19*(8.19-(-5/-5)))*(8.19-(8.19/(-5*8.19))))-(-5/-5)))))</f>
        <v>2620.184095</v>
      </c>
      <c r="C10820" t="n" s="0">
        <v>2620.1840949999996</v>
      </c>
    </row>
    <row r="10821">
      <c r="A10821" t="n" s="0">
        <v>8.2</v>
      </c>
      <c r="B10821" t="n" s="0">
        <f>(-5-((((-5*(-5/((-5/(((-5*(8.2--5))-(-5+((-5*8.2)*(((-5--5)+(8.2--5))+8.2))))-(-5+-5)))*-5)))/-5)--5)+(-5*(((8.2*(8.2-(-5/-5)))*(8.2-(8.2/(-5*8.2))))-(-5/-5)))))</f>
        <v>2629.96</v>
      </c>
      <c r="C10821" t="n" s="0">
        <v>2629.959999999999</v>
      </c>
    </row>
    <row r="10822">
      <c r="A10822" t="n" s="0">
        <v>8.21</v>
      </c>
      <c r="B10822" t="n" s="0">
        <f>(-5-((((-5*(-5/((-5/(((-5*(8.21--5))-(-5+((-5*8.21)*(((-5--5)+(8.21--5))+8.21))))-(-5+-5)))*-5)))/-5)--5)+(-5*(((8.21*(8.21-(-5/-5)))*(8.21-(8.21/(-5*8.21))))-(-5/-5)))))</f>
        <v>2639.7601050000003</v>
      </c>
      <c r="C10822" t="n" s="0">
        <v>2639.760105000001</v>
      </c>
    </row>
    <row r="10823">
      <c r="A10823" t="n" s="0">
        <v>8.22</v>
      </c>
      <c r="B10823" t="n" s="0">
        <f>(-5-((((-5*(-5/((-5/(((-5*(8.22--5))-(-5+((-5*8.22)*(((-5--5)+(8.22--5))+8.22))))-(-5+-5)))*-5)))/-5)--5)+(-5*(((8.22*(8.22-(-5/-5)))*(8.22-(8.22/(-5*8.22))))-(-5/-5)))))</f>
        <v>2649.58444</v>
      </c>
      <c r="C10823" t="n" s="0">
        <v>2649.58444</v>
      </c>
    </row>
    <row r="10824">
      <c r="A10824" t="n" s="0">
        <v>8.23</v>
      </c>
      <c r="B10824" t="n" s="0">
        <f>(-5-((((-5*(-5/((-5/(((-5*(8.23--5))-(-5+((-5*8.23)*(((-5--5)+(8.23--5))+8.23))))-(-5+-5)))*-5)))/-5)--5)+(-5*(((8.23*(8.23-(-5/-5)))*(8.23-(8.23/(-5*8.23))))-(-5/-5)))))</f>
        <v>2659.433035</v>
      </c>
      <c r="C10824" t="n" s="0">
        <v>2659.433035000001</v>
      </c>
    </row>
    <row r="10825">
      <c r="A10825" t="n" s="0">
        <v>8.24</v>
      </c>
      <c r="B10825" t="n" s="0">
        <f>(-5-((((-5*(-5/((-5/(((-5*(8.24--5))-(-5+((-5*8.24)*(((-5--5)+(8.24--5))+8.24))))-(-5+-5)))*-5)))/-5)--5)+(-5*(((8.24*(8.24-(-5/-5)))*(8.24-(8.24/(-5*8.24))))-(-5/-5)))))</f>
        <v>2669.3059200000002</v>
      </c>
      <c r="C10825" t="n" s="0">
        <v>2669.30592</v>
      </c>
    </row>
    <row r="10826">
      <c r="A10826" t="n" s="0">
        <v>8.25</v>
      </c>
      <c r="B10826" t="n" s="0">
        <f>(-5-((((-5*(-5/((-5/(((-5*(8.25--5))-(-5+((-5*8.25)*(((-5--5)+(8.25--5))+8.25))))-(-5+-5)))*-5)))/-5)--5)+(-5*(((8.25*(8.25-(-5/-5)))*(8.25-(8.25/(-5*8.25))))-(-5/-5)))))</f>
        <v>2679.203125</v>
      </c>
      <c r="C10826" t="n" s="0">
        <v>2679.203125</v>
      </c>
    </row>
    <row r="10827">
      <c r="A10827" t="n" s="0">
        <v>8.26</v>
      </c>
      <c r="B10827" t="n" s="0">
        <f>(-5-((((-5*(-5/((-5/(((-5*(8.26--5))-(-5+((-5*8.26)*(((-5--5)+(8.26--5))+8.26))))-(-5+-5)))*-5)))/-5)--5)+(-5*(((8.26*(8.26-(-5/-5)))*(8.26-(8.26/(-5*8.26))))-(-5/-5)))))</f>
        <v>2689.12468</v>
      </c>
      <c r="C10827" t="n" s="0">
        <v>2689.1246800000004</v>
      </c>
    </row>
    <row r="10828">
      <c r="A10828" t="n" s="0">
        <v>8.27</v>
      </c>
      <c r="B10828" t="n" s="0">
        <f>(-5-((((-5*(-5/((-5/(((-5*(8.27--5))-(-5+((-5*8.27)*(((-5--5)+(8.27--5))+8.27))))-(-5+-5)))*-5)))/-5)--5)+(-5*(((8.27*(8.27-(-5/-5)))*(8.27-(8.27/(-5*8.27))))-(-5/-5)))))</f>
        <v>2699.070615</v>
      </c>
      <c r="C10828" t="n" s="0">
        <v>2699.070614999999</v>
      </c>
    </row>
    <row r="10829">
      <c r="A10829" t="n" s="0">
        <v>8.28</v>
      </c>
      <c r="B10829" t="n" s="0">
        <f>(-5-((((-5*(-5/((-5/(((-5*(8.28--5))-(-5+((-5*8.28)*(((-5--5)+(8.28--5))+8.28))))-(-5+-5)))*-5)))/-5)--5)+(-5*(((8.28*(8.28-(-5/-5)))*(8.28-(8.28/(-5*8.28))))-(-5/-5)))))</f>
        <v>2709.0409600000003</v>
      </c>
      <c r="C10829" t="n" s="0">
        <v>2709.04096</v>
      </c>
    </row>
    <row r="10830">
      <c r="A10830" t="n" s="0">
        <v>8.29</v>
      </c>
      <c r="B10830" t="n" s="0">
        <f>(-5-((((-5*(-5/((-5/(((-5*(8.29--5))-(-5+((-5*8.29)*(((-5--5)+(8.29--5))+8.29))))-(-5+-5)))*-5)))/-5)--5)+(-5*(((8.29*(8.29-(-5/-5)))*(8.29-(8.29/(-5*8.29))))-(-5/-5)))))</f>
        <v>2719.035745</v>
      </c>
      <c r="C10830" t="n" s="0">
        <v>2719.035744999999</v>
      </c>
    </row>
    <row r="10831">
      <c r="A10831" t="n" s="0">
        <v>8.3</v>
      </c>
      <c r="B10831" t="n" s="0">
        <f>(-5-((((-5*(-5/((-5/(((-5*(8.3--5))-(-5+((-5*8.3)*(((-5--5)+(8.3--5))+8.3))))-(-5+-5)))*-5)))/-5)--5)+(-5*(((8.3*(8.3-(-5/-5)))*(8.3-(8.3/(-5*8.3))))-(-5/-5)))))</f>
        <v>2729.055</v>
      </c>
      <c r="C10831" t="n" s="0">
        <v>2729.0550000000007</v>
      </c>
    </row>
    <row r="10832">
      <c r="A10832" t="n" s="0">
        <v>8.31</v>
      </c>
      <c r="B10832" t="n" s="0">
        <f>(-5-((((-5*(-5/((-5/(((-5*(8.31--5))-(-5+((-5*8.31)*(((-5--5)+(8.31--5))+8.31))))-(-5+-5)))*-5)))/-5)--5)+(-5*(((8.31*(8.31-(-5/-5)))*(8.31-(8.31/(-5*8.31))))-(-5/-5)))))</f>
        <v>2739.098755</v>
      </c>
      <c r="C10832" t="n" s="0">
        <v>2739.098755</v>
      </c>
    </row>
    <row r="10833">
      <c r="A10833" t="n" s="0">
        <v>8.32</v>
      </c>
      <c r="B10833" t="n" s="0">
        <f>(-5-((((-5*(-5/((-5/(((-5*(8.32--5))-(-5+((-5*8.32)*(((-5--5)+(8.32--5))+8.32))))-(-5+-5)))*-5)))/-5)--5)+(-5*(((8.32*(8.32-(-5/-5)))*(8.32-(8.32/(-5*8.32))))-(-5/-5)))))</f>
        <v>2749.16704</v>
      </c>
      <c r="C10833" t="n" s="0">
        <v>2749.1670400000003</v>
      </c>
    </row>
    <row r="10834">
      <c r="A10834" t="n" s="0">
        <v>8.33</v>
      </c>
      <c r="B10834" t="n" s="0">
        <f>(-5-((((-5*(-5/((-5/(((-5*(8.33--5))-(-5+((-5*8.33)*(((-5--5)+(8.33--5))+8.33))))-(-5+-5)))*-5)))/-5)--5)+(-5*(((8.33*(8.33-(-5/-5)))*(8.33-(8.33/(-5*8.33))))-(-5/-5)))))</f>
        <v>2759.259885</v>
      </c>
      <c r="C10834" t="n" s="0">
        <v>2759.259885</v>
      </c>
    </row>
    <row r="10835">
      <c r="A10835" t="n" s="0">
        <v>8.34</v>
      </c>
      <c r="B10835" t="n" s="0">
        <f>(-5-((((-5*(-5/((-5/(((-5*(8.34--5))-(-5+((-5*8.34)*(((-5--5)+(8.34--5))+8.34))))-(-5+-5)))*-5)))/-5)--5)+(-5*(((8.34*(8.34-(-5/-5)))*(8.34-(8.34/(-5*8.34))))-(-5/-5)))))</f>
        <v>2769.37732</v>
      </c>
      <c r="C10835" t="n" s="0">
        <v>2769.37732</v>
      </c>
    </row>
    <row r="10836">
      <c r="A10836" t="n" s="0">
        <v>8.35</v>
      </c>
      <c r="B10836" t="n" s="0">
        <f>(-5-((((-5*(-5/((-5/(((-5*(8.35--5))-(-5+((-5*8.35)*(((-5--5)+(8.35--5))+8.35))))-(-5+-5)))*-5)))/-5)--5)+(-5*(((8.35*(8.35-(-5/-5)))*(8.35-(8.35/(-5*8.35))))-(-5/-5)))))</f>
        <v>2779.519375</v>
      </c>
      <c r="C10836" t="n" s="0">
        <v>2779.519375</v>
      </c>
    </row>
    <row r="10837">
      <c r="A10837" t="n" s="0">
        <v>8.36</v>
      </c>
      <c r="B10837" t="n" s="0">
        <f>(-5-((((-5*(-5/((-5/(((-5*(8.36--5))-(-5+((-5*8.36)*(((-5--5)+(8.36--5))+8.36))))-(-5+-5)))*-5)))/-5)--5)+(-5*(((8.36*(8.36-(-5/-5)))*(8.36-(8.36/(-5*8.36))))-(-5/-5)))))</f>
        <v>2789.68608</v>
      </c>
      <c r="C10837" t="n" s="0">
        <v>2789.6860799999995</v>
      </c>
    </row>
    <row r="10838">
      <c r="A10838" t="n" s="0">
        <v>8.37</v>
      </c>
      <c r="B10838" t="n" s="0">
        <f>(-5-((((-5*(-5/((-5/(((-5*(8.37--5))-(-5+((-5*8.37)*(((-5--5)+(8.37--5))+8.37))))-(-5+-5)))*-5)))/-5)--5)+(-5*(((8.37*(8.37-(-5/-5)))*(8.37-(8.37/(-5*8.37))))-(-5/-5)))))</f>
        <v>2799.877465</v>
      </c>
      <c r="C10838" t="n" s="0">
        <v>2799.877464999999</v>
      </c>
    </row>
    <row r="10839">
      <c r="A10839" t="n" s="0">
        <v>8.38</v>
      </c>
      <c r="B10839" t="n" s="0">
        <f>(-5-((((-5*(-5/((-5/(((-5*(8.38--5))-(-5+((-5*8.38)*(((-5--5)+(8.38--5))+8.38))))-(-5+-5)))*-5)))/-5)--5)+(-5*(((8.38*(8.38-(-5/-5)))*(8.38-(8.38/(-5*8.38))))-(-5/-5)))))</f>
        <v>2810.0935600000003</v>
      </c>
      <c r="C10839" t="n" s="0">
        <v>2810.0935600000007</v>
      </c>
    </row>
    <row r="10840">
      <c r="A10840" t="n" s="0">
        <v>8.39</v>
      </c>
      <c r="B10840" t="n" s="0">
        <f>(-5-((((-5*(-5/((-5/(((-5*(8.39--5))-(-5+((-5*8.39)*(((-5--5)+(8.39--5))+8.39))))-(-5+-5)))*-5)))/-5)--5)+(-5*(((8.39*(8.39-(-5/-5)))*(8.39-(8.39/(-5*8.39))))-(-5/-5)))))</f>
        <v>2820.334395</v>
      </c>
      <c r="C10840" t="n" s="0">
        <v>2820.3343950000008</v>
      </c>
    </row>
    <row r="10841">
      <c r="A10841" t="n" s="0">
        <v>8.4</v>
      </c>
      <c r="B10841" t="n" s="0">
        <f>(-5-((((-5*(-5/((-5/(((-5*(8.4--5))-(-5+((-5*8.4)*(((-5--5)+(8.4--5))+8.4))))-(-5+-5)))*-5)))/-5)--5)+(-5*(((8.4*(8.4-(-5/-5)))*(8.4-(8.4/(-5*8.4))))-(-5/-5)))))</f>
        <v>2830.6</v>
      </c>
      <c r="C10841" t="n" s="0">
        <v>2830.6000000000004</v>
      </c>
    </row>
    <row r="10842">
      <c r="A10842" t="n" s="0">
        <v>8.41</v>
      </c>
      <c r="B10842" t="n" s="0">
        <f>(-5-((((-5*(-5/((-5/(((-5*(8.41--5))-(-5+((-5*8.41)*(((-5--5)+(8.41--5))+8.41))))-(-5+-5)))*-5)))/-5)--5)+(-5*(((8.41*(8.41-(-5/-5)))*(8.41-(8.41/(-5*8.41))))-(-5/-5)))))</f>
        <v>2840.890405</v>
      </c>
      <c r="C10842" t="n" s="0">
        <v>2840.890405</v>
      </c>
    </row>
    <row r="10843">
      <c r="A10843" t="n" s="0">
        <v>8.42</v>
      </c>
      <c r="B10843" t="n" s="0">
        <f>(-5-((((-5*(-5/((-5/(((-5*(8.42--5))-(-5+((-5*8.42)*(((-5--5)+(8.42--5))+8.42))))-(-5+-5)))*-5)))/-5)--5)+(-5*(((8.42*(8.42-(-5/-5)))*(8.42-(8.42/(-5*8.42))))-(-5/-5)))))</f>
        <v>2851.20564</v>
      </c>
      <c r="C10843" t="n" s="0">
        <v>2851.20564</v>
      </c>
    </row>
    <row r="10844">
      <c r="A10844" t="n" s="0">
        <v>8.43</v>
      </c>
      <c r="B10844" t="n" s="0">
        <f>(-5-((((-5*(-5/((-5/(((-5*(8.43--5))-(-5+((-5*8.43)*(((-5--5)+(8.43--5))+8.43))))-(-5+-5)))*-5)))/-5)--5)+(-5*(((8.43*(8.43-(-5/-5)))*(8.43-(8.43/(-5*8.43))))-(-5/-5)))))</f>
        <v>2861.545735</v>
      </c>
      <c r="C10844" t="n" s="0">
        <v>2861.5457349999997</v>
      </c>
    </row>
    <row r="10845">
      <c r="A10845" t="n" s="0">
        <v>8.44</v>
      </c>
      <c r="B10845" t="n" s="0">
        <f>(-5-((((-5*(-5/((-5/(((-5*(8.44--5))-(-5+((-5*8.44)*(((-5--5)+(8.44--5))+8.44))))-(-5+-5)))*-5)))/-5)--5)+(-5*(((8.44*(8.44-(-5/-5)))*(8.44-(8.44/(-5*8.44))))-(-5/-5)))))</f>
        <v>2871.91072</v>
      </c>
      <c r="C10845" t="n" s="0">
        <v>2871.9107199999994</v>
      </c>
    </row>
    <row r="10846">
      <c r="A10846" t="n" s="0">
        <v>8.45</v>
      </c>
      <c r="B10846" t="n" s="0">
        <f>(-5-((((-5*(-5/((-5/(((-5*(8.45--5))-(-5+((-5*8.45)*(((-5--5)+(8.45--5))+8.45))))-(-5+-5)))*-5)))/-5)--5)+(-5*(((8.45*(8.45-(-5/-5)))*(8.45-(8.45/(-5*8.45))))-(-5/-5)))))</f>
        <v>2882.300625</v>
      </c>
      <c r="C10846" t="n" s="0">
        <v>2882.300624999999</v>
      </c>
    </row>
    <row r="10847">
      <c r="A10847" t="n" s="0">
        <v>8.46</v>
      </c>
      <c r="B10847" t="n" s="0">
        <f>(-5-((((-5*(-5/((-5/(((-5*(8.46--5))-(-5+((-5*8.46)*(((-5--5)+(8.46--5))+8.46))))-(-5+-5)))*-5)))/-5)--5)+(-5*(((8.46*(8.46-(-5/-5)))*(8.46-(8.46/(-5*8.46))))-(-5/-5)))))</f>
        <v>2892.7154800000003</v>
      </c>
      <c r="C10847" t="n" s="0">
        <v>2892.715480000001</v>
      </c>
    </row>
    <row r="10848">
      <c r="A10848" t="n" s="0">
        <v>8.47</v>
      </c>
      <c r="B10848" t="n" s="0">
        <f>(-5-((((-5*(-5/((-5/(((-5*(8.47--5))-(-5+((-5*8.47)*(((-5--5)+(8.47--5))+8.47))))-(-5+-5)))*-5)))/-5)--5)+(-5*(((8.47*(8.47-(-5/-5)))*(8.47-(8.47/(-5*8.47))))-(-5/-5)))))</f>
        <v>2903.155315</v>
      </c>
      <c r="C10848" t="n" s="0">
        <v>2903.1553150000004</v>
      </c>
    </row>
    <row r="10849">
      <c r="A10849" t="n" s="0">
        <v>8.48</v>
      </c>
      <c r="B10849" t="n" s="0">
        <f>(-5-((((-5*(-5/((-5/(((-5*(8.48--5))-(-5+((-5*8.48)*(((-5--5)+(8.48--5))+8.48))))-(-5+-5)))*-5)))/-5)--5)+(-5*(((8.48*(8.48-(-5/-5)))*(8.48-(8.48/(-5*8.48))))-(-5/-5)))))</f>
        <v>2913.62016</v>
      </c>
      <c r="C10849" t="n" s="0">
        <v>2913.6201600000004</v>
      </c>
    </row>
    <row r="10850">
      <c r="A10850" t="n" s="0">
        <v>8.49</v>
      </c>
      <c r="B10850" t="n" s="0">
        <f>(-5-((((-5*(-5/((-5/(((-5*(8.49--5))-(-5+((-5*8.49)*(((-5--5)+(8.49--5))+8.49))))-(-5+-5)))*-5)))/-5)--5)+(-5*(((8.49*(8.49-(-5/-5)))*(8.49-(8.49/(-5*8.49))))-(-5/-5)))))</f>
        <v>2924.110045</v>
      </c>
      <c r="C10850" t="n" s="0">
        <v>2924.1100450000004</v>
      </c>
    </row>
    <row r="10851">
      <c r="A10851" t="n" s="0">
        <v>8.5</v>
      </c>
      <c r="B10851" t="n" s="0">
        <f>(-5-((((-5*(-5/((-5/(((-5*(8.5--5))-(-5+((-5*8.5)*(((-5--5)+(8.5--5))+8.5))))-(-5+-5)))*-5)))/-5)--5)+(-5*(((8.5*(8.5-(-5/-5)))*(8.5-(8.5/(-5*8.5))))-(-5/-5)))))</f>
        <v>2934.625</v>
      </c>
      <c r="C10851" t="n" s="0">
        <v>2934.625</v>
      </c>
    </row>
    <row r="10852">
      <c r="A10852" t="n" s="0">
        <v>8.51</v>
      </c>
      <c r="B10852" t="n" s="0">
        <f>(-5-((((-5*(-5/((-5/(((-5*(8.51--5))-(-5+((-5*8.51)*(((-5--5)+(8.51--5))+8.51))))-(-5+-5)))*-5)))/-5)--5)+(-5*(((8.51*(8.51-(-5/-5)))*(8.51-(8.51/(-5*8.51))))-(-5/-5)))))</f>
        <v>2945.165055</v>
      </c>
      <c r="C10852" t="n" s="0">
        <v>2945.165055</v>
      </c>
    </row>
    <row r="10853">
      <c r="A10853" t="n" s="0">
        <v>8.52</v>
      </c>
      <c r="B10853" t="n" s="0">
        <f>(-5-((((-5*(-5/((-5/(((-5*(8.52--5))-(-5+((-5*8.52)*(((-5--5)+(8.52--5))+8.52))))-(-5+-5)))*-5)))/-5)--5)+(-5*(((8.52*(8.52-(-5/-5)))*(8.52-(8.52/(-5*8.52))))-(-5/-5)))))</f>
        <v>2955.73024</v>
      </c>
      <c r="C10853" t="n" s="0">
        <v>2955.7302399999994</v>
      </c>
    </row>
    <row r="10854">
      <c r="A10854" t="n" s="0">
        <v>8.53</v>
      </c>
      <c r="B10854" t="n" s="0">
        <f>(-5-((((-5*(-5/((-5/(((-5*(8.53--5))-(-5+((-5*8.53)*(((-5--5)+(8.53--5))+8.53))))-(-5+-5)))*-5)))/-5)--5)+(-5*(((8.53*(8.53-(-5/-5)))*(8.53-(8.53/(-5*8.53))))-(-5/-5)))))</f>
        <v>2966.320585</v>
      </c>
      <c r="C10854" t="n" s="0">
        <v>2966.320585</v>
      </c>
    </row>
    <row r="10855">
      <c r="A10855" t="n" s="0">
        <v>8.54</v>
      </c>
      <c r="B10855" t="n" s="0">
        <f>(-5-((((-5*(-5/((-5/(((-5*(8.54--5))-(-5+((-5*8.54)*(((-5--5)+(8.54--5))+8.54))))-(-5+-5)))*-5)))/-5)--5)+(-5*(((8.54*(8.54-(-5/-5)))*(8.54-(8.54/(-5*8.54))))-(-5/-5)))))</f>
        <v>2976.9361200000003</v>
      </c>
      <c r="C10855" t="n" s="0">
        <v>2976.936119999999</v>
      </c>
    </row>
    <row r="10856">
      <c r="A10856" t="n" s="0">
        <v>8.55</v>
      </c>
      <c r="B10856" t="n" s="0">
        <f>(-5-((((-5*(-5/((-5/(((-5*(8.55--5))-(-5+((-5*8.55)*(((-5--5)+(8.55--5))+8.55))))-(-5+-5)))*-5)))/-5)--5)+(-5*(((8.55*(8.55-(-5/-5)))*(8.55-(8.55/(-5*8.55))))-(-5/-5)))))</f>
        <v>2987.576875</v>
      </c>
      <c r="C10856" t="n" s="0">
        <v>2987.576875000001</v>
      </c>
    </row>
    <row r="10857">
      <c r="A10857" t="n" s="0">
        <v>8.56</v>
      </c>
      <c r="B10857" t="n" s="0">
        <f>(-5-((((-5*(-5/((-5/(((-5*(8.56--5))-(-5+((-5*8.56)*(((-5--5)+(8.56--5))+8.56))))-(-5+-5)))*-5)))/-5)--5)+(-5*(((8.56*(8.56-(-5/-5)))*(8.56-(8.56/(-5*8.56))))-(-5/-5)))))</f>
        <v>2998.2428800000002</v>
      </c>
      <c r="C10857" t="n" s="0">
        <v>2998.2428800000002</v>
      </c>
    </row>
    <row r="10858">
      <c r="A10858" t="n" s="0">
        <v>8.57</v>
      </c>
      <c r="B10858" t="n" s="0">
        <f>(-5-((((-5*(-5/((-5/(((-5*(8.57--5))-(-5+((-5*8.57)*(((-5--5)+(8.57--5))+8.57))))-(-5+-5)))*-5)))/-5)--5)+(-5*(((8.57*(8.57-(-5/-5)))*(8.57-(8.57/(-5*8.57))))-(-5/-5)))))</f>
        <v>3008.934165</v>
      </c>
      <c r="C10858" t="n" s="0">
        <v>3008.9341650000006</v>
      </c>
    </row>
    <row r="10859">
      <c r="A10859" t="n" s="0">
        <v>8.58</v>
      </c>
      <c r="B10859" t="n" s="0">
        <f>(-5-((((-5*(-5/((-5/(((-5*(8.58--5))-(-5+((-5*8.58)*(((-5--5)+(8.58--5))+8.58))))-(-5+-5)))*-5)))/-5)--5)+(-5*(((8.58*(8.58-(-5/-5)))*(8.58-(8.58/(-5*8.58))))-(-5/-5)))))</f>
        <v>3019.65076</v>
      </c>
      <c r="C10859" t="n" s="0">
        <v>3019.6507600000004</v>
      </c>
    </row>
    <row r="10860">
      <c r="A10860" t="n" s="0">
        <v>8.59</v>
      </c>
      <c r="B10860" t="n" s="0">
        <f>(-5-((((-5*(-5/((-5/(((-5*(8.59--5))-(-5+((-5*8.59)*(((-5--5)+(8.59--5))+8.59))))-(-5+-5)))*-5)))/-5)--5)+(-5*(((8.59*(8.59-(-5/-5)))*(8.59-(8.59/(-5*8.59))))-(-5/-5)))))</f>
        <v>3030.392695</v>
      </c>
      <c r="C10860" t="n" s="0">
        <v>3030.392695</v>
      </c>
    </row>
    <row r="10861">
      <c r="A10861" t="n" s="0">
        <v>8.6</v>
      </c>
      <c r="B10861" t="n" s="0">
        <f>(-5-((((-5*(-5/((-5/(((-5*(8.6--5))-(-5+((-5*8.6)*(((-5--5)+(8.6--5))+8.6))))-(-5+-5)))*-5)))/-5)--5)+(-5*(((8.6*(8.6-(-5/-5)))*(8.6-(8.6/(-5*8.6))))-(-5/-5)))))</f>
        <v>3041.1600000000003</v>
      </c>
      <c r="C10861" t="n" s="0">
        <v>3041.16</v>
      </c>
    </row>
    <row r="10862">
      <c r="A10862" t="n" s="0">
        <v>8.61</v>
      </c>
      <c r="B10862" t="n" s="0">
        <f>(-5-((((-5*(-5/((-5/(((-5*(8.61--5))-(-5+((-5*8.61)*(((-5--5)+(8.61--5))+8.61))))-(-5+-5)))*-5)))/-5)--5)+(-5*(((8.61*(8.61-(-5/-5)))*(8.61-(8.61/(-5*8.61))))-(-5/-5)))))</f>
        <v>3051.952705</v>
      </c>
      <c r="C10862" t="n" s="0">
        <v>3051.9527049999992</v>
      </c>
    </row>
    <row r="10863">
      <c r="A10863" t="n" s="0">
        <v>8.62</v>
      </c>
      <c r="B10863" t="n" s="0">
        <f>(-5-((((-5*(-5/((-5/(((-5*(8.62--5))-(-5+((-5*8.62)*(((-5--5)+(8.62--5))+8.62))))-(-5+-5)))*-5)))/-5)--5)+(-5*(((8.62*(8.62-(-5/-5)))*(8.62-(8.62/(-5*8.62))))-(-5/-5)))))</f>
        <v>3062.77084</v>
      </c>
      <c r="C10863" t="n" s="0">
        <v>3062.7708399999997</v>
      </c>
    </row>
    <row r="10864">
      <c r="A10864" t="n" s="0">
        <v>8.63</v>
      </c>
      <c r="B10864" t="n" s="0">
        <f>(-5-((((-5*(-5/((-5/(((-5*(8.63--5))-(-5+((-5*8.63)*(((-5--5)+(8.63--5))+8.63))))-(-5+-5)))*-5)))/-5)--5)+(-5*(((8.63*(8.63-(-5/-5)))*(8.63-(8.63/(-5*8.63))))-(-5/-5)))))</f>
        <v>3073.6144350000004</v>
      </c>
      <c r="C10864" t="n" s="0">
        <v>3073.614435000001</v>
      </c>
    </row>
    <row r="10865">
      <c r="A10865" t="n" s="0">
        <v>8.64</v>
      </c>
      <c r="B10865" t="n" s="0">
        <f>(-5-((((-5*(-5/((-5/(((-5*(8.64--5))-(-5+((-5*8.64)*(((-5--5)+(8.64--5))+8.64))))-(-5+-5)))*-5)))/-5)--5)+(-5*(((8.64*(8.64-(-5/-5)))*(8.64-(8.64/(-5*8.64))))-(-5/-5)))))</f>
        <v>3084.4835199999998</v>
      </c>
      <c r="C10865" t="n" s="0">
        <v>3084.4835200000007</v>
      </c>
    </row>
    <row r="10866">
      <c r="A10866" t="n" s="0">
        <v>8.65</v>
      </c>
      <c r="B10866" t="n" s="0">
        <f>(-5-((((-5*(-5/((-5/(((-5*(8.65--5))-(-5+((-5*8.65)*(((-5--5)+(8.65--5))+8.65))))-(-5+-5)))*-5)))/-5)--5)+(-5*(((8.65*(8.65-(-5/-5)))*(8.65-(8.65/(-5*8.65))))-(-5/-5)))))</f>
        <v>3095.3781249999997</v>
      </c>
      <c r="C10866" t="n" s="0">
        <v>3095.378125</v>
      </c>
    </row>
    <row r="10867">
      <c r="A10867" t="n" s="0">
        <v>8.66</v>
      </c>
      <c r="B10867" t="n" s="0">
        <f>(-5-((((-5*(-5/((-5/(((-5*(8.66--5))-(-5+((-5*8.66)*(((-5--5)+(8.66--5))+8.66))))-(-5+-5)))*-5)))/-5)--5)+(-5*(((8.66*(8.66-(-5/-5)))*(8.66-(8.66/(-5*8.66))))-(-5/-5)))))</f>
        <v>3106.29828</v>
      </c>
      <c r="C10867" t="n" s="0">
        <v>3106.29828</v>
      </c>
    </row>
    <row r="10868">
      <c r="A10868" t="n" s="0">
        <v>8.67</v>
      </c>
      <c r="B10868" t="n" s="0">
        <f>(-5-((((-5*(-5/((-5/(((-5*(8.67--5))-(-5+((-5*8.67)*(((-5--5)+(8.67--5))+8.67))))-(-5+-5)))*-5)))/-5)--5)+(-5*(((8.67*(8.67-(-5/-5)))*(8.67-(8.67/(-5*8.67))))-(-5/-5)))))</f>
        <v>3117.244015</v>
      </c>
      <c r="C10868" t="n" s="0">
        <v>3117.244015</v>
      </c>
    </row>
    <row r="10869">
      <c r="A10869" t="n" s="0">
        <v>8.68</v>
      </c>
      <c r="B10869" t="n" s="0">
        <f>(-5-((((-5*(-5/((-5/(((-5*(8.68--5))-(-5+((-5*8.68)*(((-5--5)+(8.68--5))+8.68))))-(-5+-5)))*-5)))/-5)--5)+(-5*(((8.68*(8.68-(-5/-5)))*(8.68-(8.68/(-5*8.68))))-(-5/-5)))))</f>
        <v>3128.2153599999997</v>
      </c>
      <c r="C10869" t="n" s="0">
        <v>3128.2153599999992</v>
      </c>
    </row>
    <row r="10870">
      <c r="A10870" t="n" s="0">
        <v>8.69</v>
      </c>
      <c r="B10870" t="n" s="0">
        <f>(-5-((((-5*(-5/((-5/(((-5*(8.69--5))-(-5+((-5*8.69)*(((-5--5)+(8.69--5))+8.69))))-(-5+-5)))*-5)))/-5)--5)+(-5*(((8.69*(8.69-(-5/-5)))*(8.69-(8.69/(-5*8.69))))-(-5/-5)))))</f>
        <v>3139.212345</v>
      </c>
      <c r="C10870" t="n" s="0">
        <v>3139.2123449999995</v>
      </c>
    </row>
    <row r="10871">
      <c r="A10871" t="n" s="0">
        <v>8.7</v>
      </c>
      <c r="B10871" t="n" s="0">
        <f>(-5-((((-5*(-5/((-5/(((-5*(8.7--5))-(-5+((-5*8.7)*(((-5--5)+(8.7--5))+8.7))))-(-5+-5)))*-5)))/-5)--5)+(-5*(((8.7*(8.7-(-5/-5)))*(8.7-(8.7/(-5*8.7))))-(-5/-5)))))</f>
        <v>3150.2349999999997</v>
      </c>
      <c r="C10871" t="n" s="0">
        <v>3150.2349999999988</v>
      </c>
    </row>
    <row r="10872">
      <c r="A10872" t="n" s="0">
        <v>8.71</v>
      </c>
      <c r="B10872" t="n" s="0">
        <f>(-5-((((-5*(-5/((-5/(((-5*(8.71--5))-(-5+((-5*8.71)*(((-5--5)+(8.71--5))+8.71))))-(-5+-5)))*-5)))/-5)--5)+(-5*(((8.71*(8.71-(-5/-5)))*(8.71-(8.71/(-5*8.71))))-(-5/-5)))))</f>
        <v>3161.283355</v>
      </c>
      <c r="C10872" t="n" s="0">
        <v>3161.283355000001</v>
      </c>
    </row>
    <row r="10873">
      <c r="A10873" t="n" s="0">
        <v>8.72</v>
      </c>
      <c r="B10873" t="n" s="0">
        <f>(-5-((((-5*(-5/((-5/(((-5*(8.72--5))-(-5+((-5*8.72)*(((-5--5)+(8.72--5))+8.72))))-(-5+-5)))*-5)))/-5)--5)+(-5*(((8.72*(8.72-(-5/-5)))*(8.72-(8.72/(-5*8.72))))-(-5/-5)))))</f>
        <v>3172.3574399999998</v>
      </c>
      <c r="C10873" t="n" s="0">
        <v>3172.3574400000007</v>
      </c>
    </row>
    <row r="10874">
      <c r="A10874" t="n" s="0">
        <v>8.73</v>
      </c>
      <c r="B10874" t="n" s="0">
        <f>(-5-((((-5*(-5/((-5/(((-5*(8.73--5))-(-5+((-5*8.73)*(((-5--5)+(8.73--5))+8.73))))-(-5+-5)))*-5)))/-5)--5)+(-5*(((8.73*(8.73-(-5/-5)))*(8.73-(8.73/(-5*8.73))))-(-5/-5)))))</f>
        <v>3183.457285</v>
      </c>
      <c r="C10874" t="n" s="0">
        <v>3183.457285000001</v>
      </c>
    </row>
    <row r="10875">
      <c r="A10875" t="n" s="0">
        <v>8.74</v>
      </c>
      <c r="B10875" t="n" s="0">
        <f>(-5-((((-5*(-5/((-5/(((-5*(8.74--5))-(-5+((-5*8.74)*(((-5--5)+(8.74--5))+8.74))))-(-5+-5)))*-5)))/-5)--5)+(-5*(((8.74*(8.74-(-5/-5)))*(8.74-(8.74/(-5*8.74))))-(-5/-5)))))</f>
        <v>3194.5829200000003</v>
      </c>
      <c r="C10875" t="n" s="0">
        <v>3194.5829200000003</v>
      </c>
    </row>
    <row r="10876">
      <c r="A10876" t="n" s="0">
        <v>8.75</v>
      </c>
      <c r="B10876" t="n" s="0">
        <f>(-5-((((-5*(-5/((-5/(((-5*(8.75--5))-(-5+((-5*8.75)*(((-5--5)+(8.75--5))+8.75))))-(-5+-5)))*-5)))/-5)--5)+(-5*(((8.75*(8.75-(-5/-5)))*(8.75-(8.75/(-5*8.75))))-(-5/-5)))))</f>
        <v>3205.734375</v>
      </c>
      <c r="C10876" t="n" s="0">
        <v>3205.734375</v>
      </c>
    </row>
    <row r="10877">
      <c r="A10877" t="n" s="0">
        <v>8.76</v>
      </c>
      <c r="B10877" t="n" s="0">
        <f>(-5-((((-5*(-5/((-5/(((-5*(8.76--5))-(-5+((-5*8.76)*(((-5--5)+(8.76--5))+8.76))))-(-5+-5)))*-5)))/-5)--5)+(-5*(((8.76*(8.76-(-5/-5)))*(8.76-(8.76/(-5*8.76))))-(-5/-5)))))</f>
        <v>3216.9116799999997</v>
      </c>
      <c r="C10877" t="n" s="0">
        <v>3216.91168</v>
      </c>
    </row>
    <row r="10878">
      <c r="A10878" t="n" s="0">
        <v>8.77</v>
      </c>
      <c r="B10878" t="n" s="0">
        <f>(-5-((((-5*(-5/((-5/(((-5*(8.77--5))-(-5+((-5*8.77)*(((-5--5)+(8.77--5))+8.77))))-(-5+-5)))*-5)))/-5)--5)+(-5*(((8.77*(8.77-(-5/-5)))*(8.77-(8.77/(-5*8.77))))-(-5/-5)))))</f>
        <v>3228.114865</v>
      </c>
      <c r="C10878" t="n" s="0">
        <v>3228.114864999999</v>
      </c>
    </row>
    <row r="10879">
      <c r="A10879" t="n" s="0">
        <v>8.78</v>
      </c>
      <c r="B10879" t="n" s="0">
        <f>(-5-((((-5*(-5/((-5/(((-5*(8.78--5))-(-5+((-5*8.78)*(((-5--5)+(8.78--5))+8.78))))-(-5+-5)))*-5)))/-5)--5)+(-5*(((8.78*(8.78-(-5/-5)))*(8.78-(8.78/(-5*8.78))))-(-5/-5)))))</f>
        <v>3239.34396</v>
      </c>
      <c r="C10879" t="n" s="0">
        <v>3239.3439599999992</v>
      </c>
    </row>
    <row r="10880">
      <c r="A10880" t="n" s="0">
        <v>8.79</v>
      </c>
      <c r="B10880" t="n" s="0">
        <f>(-5-((((-5*(-5/((-5/(((-5*(8.79--5))-(-5+((-5*8.79)*(((-5--5)+(8.79--5))+8.79))))-(-5+-5)))*-5)))/-5)--5)+(-5*(((8.79*(8.79-(-5/-5)))*(8.79-(8.79/(-5*8.79))))-(-5/-5)))))</f>
        <v>3250.598995</v>
      </c>
      <c r="C10880" t="n" s="0">
        <v>3250.5989949999985</v>
      </c>
    </row>
    <row r="10881">
      <c r="A10881" t="n" s="0">
        <v>8.8</v>
      </c>
      <c r="B10881" t="n" s="0">
        <f>(-5-((((-5*(-5/((-5/(((-5*(8.8--5))-(-5+((-5*8.8)*(((-5--5)+(8.8--5))+8.8))))-(-5+-5)))*-5)))/-5)--5)+(-5*(((8.8*(8.8-(-5/-5)))*(8.8-(8.8/(-5*8.8))))-(-5/-5)))))</f>
        <v>3261.88</v>
      </c>
      <c r="C10881" t="n" s="0">
        <v>3261.880000000001</v>
      </c>
    </row>
    <row r="10882">
      <c r="A10882" t="n" s="0">
        <v>8.81</v>
      </c>
      <c r="B10882" t="n" s="0">
        <f>(-5-((((-5*(-5/((-5/(((-5*(8.81--5))-(-5+((-5*8.81)*(((-5--5)+(8.81--5))+8.81))))-(-5+-5)))*-5)))/-5)--5)+(-5*(((8.81*(8.81-(-5/-5)))*(8.81-(8.81/(-5*8.81))))-(-5/-5)))))</f>
        <v>3273.187005</v>
      </c>
      <c r="C10882" t="n" s="0">
        <v>3273.187005</v>
      </c>
    </row>
    <row r="10883">
      <c r="A10883" t="n" s="0">
        <v>8.82</v>
      </c>
      <c r="B10883" t="n" s="0">
        <f>(-5-((((-5*(-5/((-5/(((-5*(8.82--5))-(-5+((-5*8.82)*(((-5--5)+(8.82--5))+8.82))))-(-5+-5)))*-5)))/-5)--5)+(-5*(((8.82*(8.82-(-5/-5)))*(8.82-(8.82/(-5*8.82))))-(-5/-5)))))</f>
        <v>3284.52004</v>
      </c>
      <c r="C10883" t="n" s="0">
        <v>3284.5200400000003</v>
      </c>
    </row>
    <row r="10884">
      <c r="A10884" t="n" s="0">
        <v>8.83</v>
      </c>
      <c r="B10884" t="n" s="0">
        <f>(-5-((((-5*(-5/((-5/(((-5*(8.83--5))-(-5+((-5*8.83)*(((-5--5)+(8.83--5))+8.83))))-(-5+-5)))*-5)))/-5)--5)+(-5*(((8.83*(8.83-(-5/-5)))*(8.83-(8.83/(-5*8.83))))-(-5/-5)))))</f>
        <v>3295.8791349999997</v>
      </c>
      <c r="C10884" t="n" s="0">
        <v>3295.8791349999997</v>
      </c>
    </row>
    <row r="10885">
      <c r="A10885" t="n" s="0">
        <v>8.84</v>
      </c>
      <c r="B10885" t="n" s="0">
        <f>(-5-((((-5*(-5/((-5/(((-5*(8.84--5))-(-5+((-5*8.84)*(((-5--5)+(8.84--5))+8.84))))-(-5+-5)))*-5)))/-5)--5)+(-5*(((8.84*(8.84-(-5/-5)))*(8.84-(8.84/(-5*8.84))))-(-5/-5)))))</f>
        <v>3307.2643199999998</v>
      </c>
      <c r="C10885" t="n" s="0">
        <v>3307.2643199999998</v>
      </c>
    </row>
    <row r="10886">
      <c r="A10886" t="n" s="0">
        <v>8.85</v>
      </c>
      <c r="B10886" t="n" s="0">
        <f>(-5-((((-5*(-5/((-5/(((-5*(8.85--5))-(-5+((-5*8.85)*(((-5--5)+(8.85--5))+8.85))))-(-5+-5)))*-5)))/-5)--5)+(-5*(((8.85*(8.85-(-5/-5)))*(8.85-(8.85/(-5*8.85))))-(-5/-5)))))</f>
        <v>3318.675625</v>
      </c>
      <c r="C10886" t="n" s="0">
        <v>3318.675625</v>
      </c>
    </row>
    <row r="10887">
      <c r="A10887" t="n" s="0">
        <v>8.86</v>
      </c>
      <c r="B10887" t="n" s="0">
        <f>(-5-((((-5*(-5/((-5/(((-5*(8.86--5))-(-5+((-5*8.86)*(((-5--5)+(8.86--5))+8.86))))-(-5+-5)))*-5)))/-5)--5)+(-5*(((8.86*(8.86-(-5/-5)))*(8.86-(8.86/(-5*8.86))))-(-5/-5)))))</f>
        <v>3330.1130799999996</v>
      </c>
      <c r="C10887" t="n" s="0">
        <v>3330.113079999999</v>
      </c>
    </row>
    <row r="10888">
      <c r="A10888" t="n" s="0">
        <v>8.87</v>
      </c>
      <c r="B10888" t="n" s="0">
        <f>(-5-((((-5*(-5/((-5/(((-5*(8.87--5))-(-5+((-5*8.87)*(((-5--5)+(8.87--5))+8.87))))-(-5+-5)))*-5)))/-5)--5)+(-5*(((8.87*(8.87-(-5/-5)))*(8.87-(8.87/(-5*8.87))))-(-5/-5)))))</f>
        <v>3341.5767149999997</v>
      </c>
      <c r="C10888" t="n" s="0">
        <v>3341.5767149999992</v>
      </c>
    </row>
    <row r="10889">
      <c r="A10889" t="n" s="0">
        <v>8.88</v>
      </c>
      <c r="B10889" t="n" s="0">
        <f>(-5-((((-5*(-5/((-5/(((-5*(8.88--5))-(-5+((-5*8.88)*(((-5--5)+(8.88--5))+8.88))))-(-5+-5)))*-5)))/-5)--5)+(-5*(((8.88*(8.88-(-5/-5)))*(8.88-(8.88/(-5*8.88))))-(-5/-5)))))</f>
        <v>3353.0665599999998</v>
      </c>
      <c r="C10889" t="n" s="0">
        <v>3353.0665600000007</v>
      </c>
    </row>
    <row r="10890">
      <c r="A10890" t="n" s="0">
        <v>8.89</v>
      </c>
      <c r="B10890" t="n" s="0">
        <f>(-5-((((-5*(-5/((-5/(((-5*(8.89--5))-(-5+((-5*8.89)*(((-5--5)+(8.89--5))+8.89))))-(-5+-5)))*-5)))/-5)--5)+(-5*(((8.89*(8.89-(-5/-5)))*(8.89-(8.89/(-5*8.89))))-(-5/-5)))))</f>
        <v>3364.5826450000004</v>
      </c>
      <c r="C10890" t="n" s="0">
        <v>3364.5826450000004</v>
      </c>
    </row>
    <row r="10891">
      <c r="A10891" t="n" s="0">
        <v>8.9</v>
      </c>
      <c r="B10891" t="n" s="0">
        <f>(-5-((((-5*(-5/((-5/(((-5*(8.9--5))-(-5+((-5*8.9)*(((-5--5)+(8.9--5))+8.9))))-(-5+-5)))*-5)))/-5)--5)+(-5*(((8.9*(8.9-(-5/-5)))*(8.9-(8.9/(-5*8.9))))-(-5/-5)))))</f>
        <v>3376.125</v>
      </c>
      <c r="C10891" t="n" s="0">
        <v>3376.125</v>
      </c>
    </row>
    <row r="10892">
      <c r="A10892" t="n" s="0">
        <v>8.91</v>
      </c>
      <c r="B10892" t="n" s="0">
        <f>(-5-((((-5*(-5/((-5/(((-5*(8.91--5))-(-5+((-5*8.91)*(((-5--5)+(8.91--5))+8.91))))-(-5+-5)))*-5)))/-5)--5)+(-5*(((8.91*(8.91-(-5/-5)))*(8.91-(8.91/(-5*8.91))))-(-5/-5)))))</f>
        <v>3387.693655</v>
      </c>
      <c r="C10892" t="n" s="0">
        <v>3387.6936550000005</v>
      </c>
    </row>
    <row r="10893">
      <c r="A10893" t="n" s="0">
        <v>8.92</v>
      </c>
      <c r="B10893" t="n" s="0">
        <f>(-5-((((-5*(-5/((-5/(((-5*(8.92--5))-(-5+((-5*8.92)*(((-5--5)+(8.92--5))+8.92))))-(-5+-5)))*-5)))/-5)--5)+(-5*(((8.92*(8.92-(-5/-5)))*(8.92-(8.92/(-5*8.92))))-(-5/-5)))))</f>
        <v>3399.28864</v>
      </c>
      <c r="C10893" t="n" s="0">
        <v>3399.2886400000007</v>
      </c>
    </row>
    <row r="10894">
      <c r="A10894" t="n" s="0">
        <v>8.93</v>
      </c>
      <c r="B10894" t="n" s="0">
        <f>(-5-((((-5*(-5/((-5/(((-5*(8.93--5))-(-5+((-5*8.93)*(((-5--5)+(8.93--5))+8.93))))-(-5+-5)))*-5)))/-5)--5)+(-5*(((8.93*(8.93-(-5/-5)))*(8.93-(8.93/(-5*8.93))))-(-5/-5)))))</f>
        <v>3410.9099850000002</v>
      </c>
      <c r="C10894" t="n" s="0">
        <v>3410.909985</v>
      </c>
    </row>
    <row r="10895">
      <c r="A10895" t="n" s="0">
        <v>8.94</v>
      </c>
      <c r="B10895" t="n" s="0">
        <f>(-5-((((-5*(-5/((-5/(((-5*(8.94--5))-(-5+((-5*8.94)*(((-5--5)+(8.94--5))+8.94))))-(-5+-5)))*-5)))/-5)--5)+(-5*(((8.94*(8.94-(-5/-5)))*(8.94-(8.94/(-5*8.94))))-(-5/-5)))))</f>
        <v>3422.55772</v>
      </c>
      <c r="C10895" t="n" s="0">
        <v>3422.5577199999993</v>
      </c>
    </row>
    <row r="10896">
      <c r="A10896" t="n" s="0">
        <v>8.95</v>
      </c>
      <c r="B10896" t="n" s="0">
        <f>(-5-((((-5*(-5/((-5/(((-5*(8.95--5))-(-5+((-5*8.95)*(((-5--5)+(8.95--5))+8.95))))-(-5+-5)))*-5)))/-5)--5)+(-5*(((8.95*(8.95-(-5/-5)))*(8.95-(8.95/(-5*8.95))))-(-5/-5)))))</f>
        <v>3434.231875</v>
      </c>
      <c r="C10896" t="n" s="0">
        <v>3434.2318749999995</v>
      </c>
    </row>
    <row r="10897">
      <c r="A10897" t="n" s="0">
        <v>8.96</v>
      </c>
      <c r="B10897" t="n" s="0">
        <f>(-5-((((-5*(-5/((-5/(((-5*(8.96--5))-(-5+((-5*8.96)*(((-5--5)+(8.96--5))+8.96))))-(-5+-5)))*-5)))/-5)--5)+(-5*(((8.96*(8.96-(-5/-5)))*(8.96-(8.96/(-5*8.96))))-(-5/-5)))))</f>
        <v>3445.9324800000004</v>
      </c>
      <c r="C10897" t="n" s="0">
        <v>3445.932480000001</v>
      </c>
    </row>
    <row r="10898">
      <c r="A10898" t="n" s="0">
        <v>8.97</v>
      </c>
      <c r="B10898" t="n" s="0">
        <f>(-5-((((-5*(-5/((-5/(((-5*(8.97--5))-(-5+((-5*8.97)*(((-5--5)+(8.97--5))+8.97))))-(-5+-5)))*-5)))/-5)--5)+(-5*(((8.97*(8.97-(-5/-5)))*(8.97-(8.97/(-5*8.97))))-(-5/-5)))))</f>
        <v>3457.6595650000004</v>
      </c>
      <c r="C10898" t="n" s="0">
        <v>3457.6595650000004</v>
      </c>
    </row>
    <row r="10899">
      <c r="A10899" t="n" s="0">
        <v>8.98</v>
      </c>
      <c r="B10899" t="n" s="0">
        <f>(-5-((((-5*(-5/((-5/(((-5*(8.98--5))-(-5+((-5*8.98)*(((-5--5)+(8.98--5))+8.98))))-(-5+-5)))*-5)))/-5)--5)+(-5*(((8.98*(8.98-(-5/-5)))*(8.98-(8.98/(-5*8.98))))-(-5/-5)))))</f>
        <v>3469.41316</v>
      </c>
      <c r="C10899" t="n" s="0">
        <v>3469.413160000001</v>
      </c>
    </row>
    <row r="10900">
      <c r="A10900" t="n" s="0">
        <v>8.99</v>
      </c>
      <c r="B10900" t="n" s="0">
        <f>(-5-((((-5*(-5/((-5/(((-5*(8.99--5))-(-5+((-5*8.99)*(((-5--5)+(8.99--5))+8.99))))-(-5+-5)))*-5)))/-5)--5)+(-5*(((8.99*(8.99-(-5/-5)))*(8.99-(8.99/(-5*8.99))))-(-5/-5)))))</f>
        <v>3481.193295</v>
      </c>
      <c r="C10900" t="n" s="0">
        <v>3481.1932950000005</v>
      </c>
    </row>
    <row r="10901">
      <c r="A10901" t="n" s="0">
        <v>9.0</v>
      </c>
      <c r="B10901" t="n" s="0">
        <f>(-5-((((-5*(-5/((-5/(((-5*(9--5))-(-5+((-5*9)*(((-5--5)+(9--5))+9))))-(-5+-5)))*-5)))/-5)--5)+(-5*(((9*(9-(-5/-5)))*(9-(9/(-5*9))))-(-5/-5)))))</f>
        <v>3493.0</v>
      </c>
      <c r="C10901" t="n" s="0">
        <v>3493.0</v>
      </c>
    </row>
    <row r="10902">
      <c r="A10902" t="n" s="0">
        <v>9.01</v>
      </c>
      <c r="B10902" t="n" s="0">
        <f>(-5-((((-5*(-5/((-5/(((-5*(9.01--5))-(-5+((-5*9.01)*(((-5--5)+(9.01--5))+9.01))))-(-5+-5)))*-5)))/-5)--5)+(-5*(((9.01*(9.01-(-5/-5)))*(9.01-(9.01/(-5*9.01))))-(-5/-5)))))</f>
        <v>3504.833305</v>
      </c>
      <c r="C10902" t="n" s="0">
        <v>3504.8333049999997</v>
      </c>
    </row>
    <row r="10903">
      <c r="A10903" t="n" s="0">
        <v>9.02</v>
      </c>
      <c r="B10903" t="n" s="0">
        <f>(-5-((((-5*(-5/((-5/(((-5*(9.02--5))-(-5+((-5*9.02)*(((-5--5)+(9.02--5))+9.02))))-(-5+-5)))*-5)))/-5)--5)+(-5*(((9.02*(9.02-(-5/-5)))*(9.02-(9.02/(-5*9.02))))-(-5/-5)))))</f>
        <v>3516.69324</v>
      </c>
      <c r="C10903" t="n" s="0">
        <v>3516.693239999999</v>
      </c>
    </row>
    <row r="10904">
      <c r="A10904" t="n" s="0">
        <v>9.03</v>
      </c>
      <c r="B10904" t="n" s="0">
        <f>(-5-((((-5*(-5/((-5/(((-5*(9.03--5))-(-5+((-5*9.03)*(((-5--5)+(9.03--5))+9.03))))-(-5+-5)))*-5)))/-5)--5)+(-5*(((9.03*(9.03-(-5/-5)))*(9.03-(9.03/(-5*9.03))))-(-5/-5)))))</f>
        <v>3528.579835</v>
      </c>
      <c r="C10904" t="n" s="0">
        <v>3528.5798349999995</v>
      </c>
    </row>
    <row r="10905">
      <c r="A10905" t="n" s="0">
        <v>9.04</v>
      </c>
      <c r="B10905" t="n" s="0">
        <f>(-5-((((-5*(-5/((-5/(((-5*(9.04--5))-(-5+((-5*9.04)*(((-5--5)+(9.04--5))+9.04))))-(-5+-5)))*-5)))/-5)--5)+(-5*(((9.04*(9.04-(-5/-5)))*(9.04-(9.04/(-5*9.04))))-(-5/-5)))))</f>
        <v>3540.49312</v>
      </c>
      <c r="C10905" t="n" s="0">
        <v>3540.4931199999987</v>
      </c>
    </row>
    <row r="10906">
      <c r="A10906" t="n" s="0">
        <v>9.05</v>
      </c>
      <c r="B10906" t="n" s="0">
        <f>(-5-((((-5*(-5/((-5/(((-5*(9.05--5))-(-5+((-5*9.05)*(((-5--5)+(9.05--5))+9.05))))-(-5+-5)))*-5)))/-5)--5)+(-5*(((9.05*(9.05-(-5/-5)))*(9.05-(9.05/(-5*9.05))))-(-5/-5)))))</f>
        <v>3552.433125</v>
      </c>
      <c r="C10906" t="n" s="0">
        <v>3552.4331250000014</v>
      </c>
    </row>
    <row r="10907">
      <c r="A10907" t="n" s="0">
        <v>9.06</v>
      </c>
      <c r="B10907" t="n" s="0">
        <f>(-5-((((-5*(-5/((-5/(((-5*(9.06--5))-(-5+((-5*9.06)*(((-5--5)+(9.06--5))+9.06))))-(-5+-5)))*-5)))/-5)--5)+(-5*(((9.06*(9.06-(-5/-5)))*(9.06-(9.06/(-5*9.06))))-(-5/-5)))))</f>
        <v>3564.39988</v>
      </c>
      <c r="C10907" t="n" s="0">
        <v>3564.3998800000004</v>
      </c>
    </row>
    <row r="10908">
      <c r="A10908" t="n" s="0">
        <v>9.07</v>
      </c>
      <c r="B10908" t="n" s="0">
        <f>(-5-((((-5*(-5/((-5/(((-5*(9.07--5))-(-5+((-5*9.07)*(((-5--5)+(9.07--5))+9.07))))-(-5+-5)))*-5)))/-5)--5)+(-5*(((9.07*(9.07-(-5/-5)))*(9.07-(9.07/(-5*9.07))))-(-5/-5)))))</f>
        <v>3576.393415</v>
      </c>
      <c r="C10908" t="n" s="0">
        <v>3576.3934150000005</v>
      </c>
    </row>
    <row r="10909">
      <c r="A10909" t="n" s="0">
        <v>9.08</v>
      </c>
      <c r="B10909" t="n" s="0">
        <f>(-5-((((-5*(-5/((-5/(((-5*(9.08--5))-(-5+((-5*9.08)*(((-5--5)+(9.08--5))+9.08))))-(-5+-5)))*-5)))/-5)--5)+(-5*(((9.08*(9.08-(-5/-5)))*(9.08-(9.08/(-5*9.08))))-(-5/-5)))))</f>
        <v>3588.41376</v>
      </c>
      <c r="C10909" t="n" s="0">
        <v>3588.41376</v>
      </c>
    </row>
    <row r="10910">
      <c r="A10910" t="n" s="0">
        <v>9.09</v>
      </c>
      <c r="B10910" t="n" s="0">
        <f>(-5-((((-5*(-5/((-5/(((-5*(9.09--5))-(-5+((-5*9.09)*(((-5--5)+(9.09--5))+9.09))))-(-5+-5)))*-5)))/-5)--5)+(-5*(((9.09*(9.09-(-5/-5)))*(9.09-(9.09/(-5*9.09))))-(-5/-5)))))</f>
        <v>3600.460945</v>
      </c>
      <c r="C10910" t="n" s="0">
        <v>3600.4609450000003</v>
      </c>
    </row>
    <row r="10911">
      <c r="A10911" t="n" s="0">
        <v>9.1</v>
      </c>
      <c r="B10911" t="n" s="0">
        <f>(-5-((((-5*(-5/((-5/(((-5*(9.1--5))-(-5+((-5*9.1)*(((-5--5)+(9.1--5))+9.1))))-(-5+-5)))*-5)))/-5)--5)+(-5*(((9.1*(9.1-(-5/-5)))*(9.1-(9.1/(-5*9.1))))-(-5/-5)))))</f>
        <v>3612.535</v>
      </c>
      <c r="C10911" t="n" s="0">
        <v>3612.535</v>
      </c>
    </row>
    <row r="10912">
      <c r="A10912" t="n" s="0">
        <v>9.11</v>
      </c>
      <c r="B10912" t="n" s="0">
        <f>(-5-((((-5*(-5/((-5/(((-5*(9.11--5))-(-5+((-5*9.11)*(((-5--5)+(9.11--5))+9.11))))-(-5+-5)))*-5)))/-5)--5)+(-5*(((9.11*(9.11-(-5/-5)))*(9.11-(9.11/(-5*9.11))))-(-5/-5)))))</f>
        <v>3624.6359549999997</v>
      </c>
      <c r="C10912" t="n" s="0">
        <v>3624.6359549999997</v>
      </c>
    </row>
    <row r="10913">
      <c r="A10913" t="n" s="0">
        <v>9.12</v>
      </c>
      <c r="B10913" t="n" s="0">
        <f>(-5-((((-5*(-5/((-5/(((-5*(9.12--5))-(-5+((-5*9.12)*(((-5--5)+(9.12--5))+9.12))))-(-5+-5)))*-5)))/-5)--5)+(-5*(((9.12*(9.12-(-5/-5)))*(9.12-(9.12/(-5*9.12))))-(-5/-5)))))</f>
        <v>3636.7638399999996</v>
      </c>
      <c r="C10913" t="n" s="0">
        <v>3636.763839999999</v>
      </c>
    </row>
    <row r="10914">
      <c r="A10914" t="n" s="0">
        <v>9.13</v>
      </c>
      <c r="B10914" t="n" s="0">
        <f>(-5-((((-5*(-5/((-5/(((-5*(9.13--5))-(-5+((-5*9.13)*(((-5--5)+(9.13--5))+9.13))))-(-5+-5)))*-5)))/-5)--5)+(-5*(((9.13*(9.13-(-5/-5)))*(9.13-(9.13/(-5*9.13))))-(-5/-5)))))</f>
        <v>3648.9186849999983</v>
      </c>
      <c r="C10914" t="n" s="0">
        <v>3648.918685000001</v>
      </c>
    </row>
    <row r="10915">
      <c r="A10915" t="n" s="0">
        <v>9.14</v>
      </c>
      <c r="B10915" t="n" s="0">
        <f>(-5-((((-5*(-5/((-5/(((-5*(9.14--5))-(-5+((-5*9.14)*(((-5--5)+(9.14--5))+9.14))))-(-5+-5)))*-5)))/-5)--5)+(-5*(((9.14*(9.14-(-5/-5)))*(9.14-(9.14/(-5*9.14))))-(-5/-5)))))</f>
        <v>3661.10052</v>
      </c>
      <c r="C10915" t="n" s="0">
        <v>3661.100520000001</v>
      </c>
    </row>
    <row r="10916">
      <c r="A10916" t="n" s="0">
        <v>9.15</v>
      </c>
      <c r="B10916" t="n" s="0">
        <f>(-5-((((-5*(-5/((-5/(((-5*(9.15--5))-(-5+((-5*9.15)*(((-5--5)+(9.15--5))+9.15))))-(-5+-5)))*-5)))/-5)--5)+(-5*(((9.15*(9.15-(-5/-5)))*(9.15-(9.15/(-5*9.15))))-(-5/-5)))))</f>
        <v>3673.3093750000003</v>
      </c>
      <c r="C10916" t="n" s="0">
        <v>3673.3093750000003</v>
      </c>
    </row>
    <row r="10917">
      <c r="A10917" t="n" s="0">
        <v>9.16</v>
      </c>
      <c r="B10917" t="n" s="0">
        <f>(-5-((((-5*(-5/((-5/(((-5*(9.16--5))-(-5+((-5*9.16)*(((-5--5)+(9.16--5))+9.16))))-(-5+-5)))*-5)))/-5)--5)+(-5*(((9.16*(9.16-(-5/-5)))*(9.16-(9.16/(-5*9.16))))-(-5/-5)))))</f>
        <v>3685.54528</v>
      </c>
      <c r="C10917" t="n" s="0">
        <v>3685.54528</v>
      </c>
    </row>
    <row r="10918">
      <c r="A10918" t="n" s="0">
        <v>9.17</v>
      </c>
      <c r="B10918" t="n" s="0">
        <f>(-5-((((-5*(-5/((-5/(((-5*(9.17--5))-(-5+((-5*9.17)*(((-5--5)+(9.17--5))+9.17))))-(-5+-5)))*-5)))/-5)--5)+(-5*(((9.17*(9.17-(-5/-5)))*(9.17-(9.17/(-5*9.17))))-(-5/-5)))))</f>
        <v>3697.8082649999997</v>
      </c>
      <c r="C10918" t="n" s="0">
        <v>3697.808265</v>
      </c>
    </row>
    <row r="10919">
      <c r="A10919" t="n" s="0">
        <v>9.18</v>
      </c>
      <c r="B10919" t="n" s="0">
        <f>(-5-((((-5*(-5/((-5/(((-5*(9.18--5))-(-5+((-5*9.18)*(((-5--5)+(9.18--5))+9.18))))-(-5+-5)))*-5)))/-5)--5)+(-5*(((9.18*(9.18-(-5/-5)))*(9.18-(9.18/(-5*9.18))))-(-5/-5)))))</f>
        <v>3710.09836</v>
      </c>
      <c r="C10919" t="n" s="0">
        <v>3710.0983599999995</v>
      </c>
    </row>
    <row r="10920">
      <c r="A10920" t="n" s="0">
        <v>9.19</v>
      </c>
      <c r="B10920" t="n" s="0">
        <f>(-5-((((-5*(-5/((-5/(((-5*(9.19--5))-(-5+((-5*9.19)*(((-5--5)+(9.19--5))+9.19))))-(-5+-5)))*-5)))/-5)--5)+(-5*(((9.19*(9.19-(-5/-5)))*(9.19-(9.19/(-5*9.19))))-(-5/-5)))))</f>
        <v>3722.415595</v>
      </c>
      <c r="C10920" t="n" s="0">
        <v>3722.415595</v>
      </c>
    </row>
    <row r="10921">
      <c r="A10921" t="n" s="0">
        <v>9.2</v>
      </c>
      <c r="B10921" t="n" s="0">
        <f>(-5-((((-5*(-5/((-5/(((-5*(9.2--5))-(-5+((-5*9.2)*(((-5--5)+(9.2--5))+9.2))))-(-5+-5)))*-5)))/-5)--5)+(-5*(((9.2*(9.2-(-5/-5)))*(9.2-(9.2/(-5*9.2))))-(-5/-5)))))</f>
        <v>3734.7599999999998</v>
      </c>
      <c r="C10921" t="n" s="0">
        <v>3734.7599999999998</v>
      </c>
    </row>
    <row r="10922">
      <c r="A10922" t="n" s="0">
        <v>9.21</v>
      </c>
      <c r="B10922" t="n" s="0">
        <f>(-5-((((-5*(-5/((-5/(((-5*(9.21--5))-(-5+((-5*9.21)*(((-5--5)+(9.21--5))+9.21))))-(-5+-5)))*-5)))/-5)--5)+(-5*(((9.21*(9.21-(-5/-5)))*(9.21-(9.21/(-5*9.21))))-(-5/-5)))))</f>
        <v>3747.1316049999996</v>
      </c>
      <c r="C10922" t="n" s="0">
        <v>3747.131605000001</v>
      </c>
    </row>
    <row r="10923">
      <c r="A10923" t="n" s="0">
        <v>9.22</v>
      </c>
      <c r="B10923" t="n" s="0">
        <f>(-5-((((-5*(-5/((-5/(((-5*(9.22--5))-(-5+((-5*9.22)*(((-5--5)+(9.22--5))+9.22))))-(-5+-5)))*-5)))/-5)--5)+(-5*(((9.22*(9.22-(-5/-5)))*(9.22-(9.22/(-5*9.22))))-(-5/-5)))))</f>
        <v>3759.53044</v>
      </c>
      <c r="C10923" t="n" s="0">
        <v>3759.530440000001</v>
      </c>
    </row>
    <row r="10924">
      <c r="A10924" t="n" s="0">
        <v>9.23</v>
      </c>
      <c r="B10924" t="n" s="0">
        <f>(-5-((((-5*(-5/((-5/(((-5*(9.23--5))-(-5+((-5*9.23)*(((-5--5)+(9.23--5))+9.23))))-(-5+-5)))*-5)))/-5)--5)+(-5*(((9.23*(9.23-(-5/-5)))*(9.23-(9.23/(-5*9.23))))-(-5/-5)))))</f>
        <v>3771.9565350000003</v>
      </c>
      <c r="C10924" t="n" s="0">
        <v>3771.9565350000007</v>
      </c>
    </row>
    <row r="10925">
      <c r="A10925" t="n" s="0">
        <v>9.24</v>
      </c>
      <c r="B10925" t="n" s="0">
        <f>(-5-((((-5*(-5/((-5/(((-5*(9.24--5))-(-5+((-5*9.24)*(((-5--5)+(9.24--5))+9.24))))-(-5+-5)))*-5)))/-5)--5)+(-5*(((9.24*(9.24-(-5/-5)))*(9.24-(9.24/(-5*9.24))))-(-5/-5)))))</f>
        <v>3784.40992</v>
      </c>
      <c r="C10925" t="n" s="0">
        <v>3784.40992</v>
      </c>
    </row>
    <row r="10926">
      <c r="A10926" t="n" s="0">
        <v>9.25</v>
      </c>
      <c r="B10926" t="n" s="0">
        <f>(-5-((((-5*(-5/((-5/(((-5*(9.25--5))-(-5+((-5*9.25)*(((-5--5)+(9.25--5))+9.25))))-(-5+-5)))*-5)))/-5)--5)+(-5*(((9.25*(9.25-(-5/-5)))*(9.25-(9.25/(-5*9.25))))-(-5/-5)))))</f>
        <v>3796.890625</v>
      </c>
      <c r="C10926" t="n" s="0">
        <v>3796.890625</v>
      </c>
    </row>
    <row r="10927">
      <c r="A10927" t="n" s="0">
        <v>9.26</v>
      </c>
      <c r="B10927" t="n" s="0">
        <f>(-5-((((-5*(-5/((-5/(((-5*(9.26--5))-(-5+((-5*9.26)*(((-5--5)+(9.26--5))+9.26))))-(-5+-5)))*-5)))/-5)--5)+(-5*(((9.26*(9.26-(-5/-5)))*(9.26-(9.26/(-5*9.26))))-(-5/-5)))))</f>
        <v>3809.398679999998</v>
      </c>
      <c r="C10927" t="n" s="0">
        <v>3809.39868</v>
      </c>
    </row>
    <row r="10928">
      <c r="A10928" t="n" s="0">
        <v>9.27</v>
      </c>
      <c r="B10928" t="n" s="0">
        <f>(-5-((((-5*(-5/((-5/(((-5*(9.27--5))-(-5+((-5*9.27)*(((-5--5)+(9.27--5))+9.27))))-(-5+-5)))*-5)))/-5)--5)+(-5*(((9.27*(9.27-(-5/-5)))*(9.27-(9.27/(-5*9.27))))-(-5/-5)))))</f>
        <v>3821.934115</v>
      </c>
      <c r="C10928" t="n" s="0">
        <v>3821.934114999999</v>
      </c>
    </row>
    <row r="10929">
      <c r="A10929" t="n" s="0">
        <v>9.28</v>
      </c>
      <c r="B10929" t="n" s="0">
        <f>(-5-((((-5*(-5/((-5/(((-5*(9.28--5))-(-5+((-5*9.28)*(((-5--5)+(9.28--5))+9.28))))-(-5+-5)))*-5)))/-5)--5)+(-5*(((9.28*(9.28-(-5/-5)))*(9.28-(9.28/(-5*9.28))))-(-5/-5)))))</f>
        <v>3834.49696</v>
      </c>
      <c r="C10929" t="n" s="0">
        <v>3834.496959999999</v>
      </c>
    </row>
    <row r="10930">
      <c r="A10930" t="n" s="0">
        <v>9.29</v>
      </c>
      <c r="B10930" t="n" s="0">
        <f>(-5-((((-5*(-5/((-5/(((-5*(9.29--5))-(-5+((-5*9.29)*(((-5--5)+(9.29--5))+9.29))))-(-5+-5)))*-5)))/-5)--5)+(-5*(((9.29*(9.29-(-5/-5)))*(9.29-(9.29/(-5*9.29))))-(-5/-5)))))</f>
        <v>3847.087245</v>
      </c>
      <c r="C10930" t="n" s="0">
        <v>3847.0872449999983</v>
      </c>
    </row>
    <row r="10931">
      <c r="A10931" t="n" s="0">
        <v>9.3</v>
      </c>
      <c r="B10931" t="n" s="0">
        <f>(-5-((((-5*(-5/((-5/(((-5*(9.3--5))-(-5+((-5*9.3)*(((-5--5)+(9.3--5))+9.3))))-(-5+-5)))*-5)))/-5)--5)+(-5*(((9.3*(9.3-(-5/-5)))*(9.3-(9.3/(-5*9.3))))-(-5/-5)))))</f>
        <v>3859.705000000002</v>
      </c>
      <c r="C10931" t="n" s="0">
        <v>3859.705000000001</v>
      </c>
    </row>
    <row r="10932">
      <c r="A10932" t="n" s="0">
        <v>9.31</v>
      </c>
      <c r="B10932" t="n" s="0">
        <f>(-5-((((-5*(-5/((-5/(((-5*(9.31--5))-(-5+((-5*9.31)*(((-5--5)+(9.31--5))+9.31))))-(-5+-5)))*-5)))/-5)--5)+(-5*(((9.31*(9.31-(-5/-5)))*(9.31-(9.31/(-5*9.31))))-(-5/-5)))))</f>
        <v>3872.350255</v>
      </c>
      <c r="C10932" t="n" s="0">
        <v>3872.3502550000003</v>
      </c>
    </row>
    <row r="10933">
      <c r="A10933" t="n" s="0">
        <v>9.32</v>
      </c>
      <c r="B10933" t="n" s="0">
        <f>(-5-((((-5*(-5/((-5/(((-5*(9.32--5))-(-5+((-5*9.32)*(((-5--5)+(9.32--5))+9.32))))-(-5+-5)))*-5)))/-5)--5)+(-5*(((9.32*(9.32-(-5/-5)))*(9.32-(9.32/(-5*9.32))))-(-5/-5)))))</f>
        <v>3885.02304</v>
      </c>
      <c r="C10933" t="n" s="0">
        <v>3885.0230400000005</v>
      </c>
    </row>
    <row r="10934">
      <c r="A10934" t="n" s="0">
        <v>9.33</v>
      </c>
      <c r="B10934" t="n" s="0">
        <f>(-5-((((-5*(-5/((-5/(((-5*(9.33--5))-(-5+((-5*9.33)*(((-5--5)+(9.33--5))+9.33))))-(-5+-5)))*-5)))/-5)--5)+(-5*(((9.33*(9.33-(-5/-5)))*(9.33-(9.33/(-5*9.33))))-(-5/-5)))))</f>
        <v>3897.7233850000002</v>
      </c>
      <c r="C10934" t="n" s="0">
        <v>3897.723385</v>
      </c>
    </row>
    <row r="10935">
      <c r="A10935" t="n" s="0">
        <v>9.34</v>
      </c>
      <c r="B10935" t="n" s="0">
        <f>(-5-((((-5*(-5/((-5/(((-5*(9.34--5))-(-5+((-5*9.34)*(((-5--5)+(9.34--5))+9.34))))-(-5+-5)))*-5)))/-5)--5)+(-5*(((9.34*(9.34-(-5/-5)))*(9.34-(9.34/(-5*9.34))))-(-5/-5)))))</f>
        <v>3910.45132</v>
      </c>
      <c r="C10935" t="n" s="0">
        <v>3910.4513199999997</v>
      </c>
    </row>
    <row r="10936">
      <c r="A10936" t="n" s="0">
        <v>9.35</v>
      </c>
      <c r="B10936" t="n" s="0">
        <f>(-5-((((-5*(-5/((-5/(((-5*(9.35--5))-(-5+((-5*9.35)*(((-5--5)+(9.35--5))+9.35))))-(-5+-5)))*-5)))/-5)--5)+(-5*(((9.35*(9.35-(-5/-5)))*(9.35-(9.35/(-5*9.35))))-(-5/-5)))))</f>
        <v>3923.206875</v>
      </c>
      <c r="C10936" t="n" s="0">
        <v>3923.2068750000003</v>
      </c>
    </row>
    <row r="10937">
      <c r="A10937" t="n" s="0">
        <v>9.36</v>
      </c>
      <c r="B10937" t="n" s="0">
        <f>(-5-((((-5*(-5/((-5/(((-5*(9.36--5))-(-5+((-5*9.36)*(((-5--5)+(9.36--5))+9.36))))-(-5+-5)))*-5)))/-5)--5)+(-5*(((9.36*(9.36-(-5/-5)))*(9.36-(9.36/(-5*9.36))))-(-5/-5)))))</f>
        <v>3935.99008</v>
      </c>
      <c r="C10937" t="n" s="0">
        <v>3935.990079999999</v>
      </c>
    </row>
    <row r="10938">
      <c r="A10938" t="n" s="0">
        <v>9.37</v>
      </c>
      <c r="B10938" t="n" s="0">
        <f>(-5-((((-5*(-5/((-5/(((-5*(9.37--5))-(-5+((-5*9.37)*(((-5--5)+(9.37--5))+9.37))))-(-5+-5)))*-5)))/-5)--5)+(-5*(((9.37*(9.37-(-5/-5)))*(9.37-(9.37/(-5*9.37))))-(-5/-5)))))</f>
        <v>3948.800965</v>
      </c>
      <c r="C10938" t="n" s="0">
        <v>3948.8009649999995</v>
      </c>
    </row>
    <row r="10939">
      <c r="A10939" t="n" s="0">
        <v>9.38</v>
      </c>
      <c r="B10939" t="n" s="0">
        <f>(-5-((((-5*(-5/((-5/(((-5*(9.38--5))-(-5+((-5*9.38)*(((-5--5)+(9.38--5))+9.38))))-(-5+-5)))*-5)))/-5)--5)+(-5*(((9.38*(9.38-(-5/-5)))*(9.38-(9.38/(-5*9.38))))-(-5/-5)))))</f>
        <v>3961.639559999998</v>
      </c>
      <c r="C10939" t="n" s="0">
        <v>3961.6395600000005</v>
      </c>
    </row>
    <row r="10940">
      <c r="A10940" t="n" s="0">
        <v>9.39</v>
      </c>
      <c r="B10940" t="n" s="0">
        <f>(-5-((((-5*(-5/((-5/(((-5*(9.39--5))-(-5+((-5*9.39)*(((-5--5)+(9.39--5))+9.39))))-(-5+-5)))*-5)))/-5)--5)+(-5*(((9.39*(9.39-(-5/-5)))*(9.39-(9.39/(-5*9.39))))-(-5/-5)))))</f>
        <v>3974.505895</v>
      </c>
      <c r="C10940" t="n" s="0">
        <v>3974.5058950000007</v>
      </c>
    </row>
    <row r="10941">
      <c r="A10941" t="n" s="0">
        <v>9.4</v>
      </c>
      <c r="B10941" t="n" s="0">
        <f>(-5-((((-5*(-5/((-5/(((-5*(9.4--5))-(-5+((-5*9.4)*(((-5--5)+(9.4--5))+9.4))))-(-5+-5)))*-5)))/-5)--5)+(-5*(((9.4*(9.4-(-5/-5)))*(9.4-(9.4/(-5*9.4))))-(-5/-5)))))</f>
        <v>3987.4</v>
      </c>
      <c r="C10941" t="n" s="0">
        <v>3987.3999999999996</v>
      </c>
    </row>
    <row r="10942">
      <c r="A10942" t="n" s="0">
        <v>9.41</v>
      </c>
      <c r="B10942" t="n" s="0">
        <f>(-5-((((-5*(-5/((-5/(((-5*(9.41--5))-(-5+((-5*9.41)*(((-5--5)+(9.41--5))+9.41))))-(-5+-5)))*-5)))/-5)--5)+(-5*(((9.41*(9.41-(-5/-5)))*(9.41-(9.41/(-5*9.41))))-(-5/-5)))))</f>
        <v>4000.321905</v>
      </c>
      <c r="C10942" t="n" s="0">
        <v>4000.3219050000002</v>
      </c>
    </row>
    <row r="10943">
      <c r="A10943" t="n" s="0">
        <v>9.42</v>
      </c>
      <c r="B10943" t="n" s="0">
        <f>(-5-((((-5*(-5/((-5/(((-5*(9.42--5))-(-5+((-5*9.42)*(((-5--5)+(9.42--5))+9.42))))-(-5+-5)))*-5)))/-5)--5)+(-5*(((9.42*(9.42-(-5/-5)))*(9.42-(9.42/(-5*9.42))))-(-5/-5)))))</f>
        <v>4013.27164</v>
      </c>
      <c r="C10943" t="n" s="0">
        <v>4013.2716400000004</v>
      </c>
    </row>
    <row r="10944">
      <c r="A10944" t="n" s="0">
        <v>9.43</v>
      </c>
      <c r="B10944" t="n" s="0">
        <f>(-5-((((-5*(-5/((-5/(((-5*(9.43--5))-(-5+((-5*9.43)*(((-5--5)+(9.43--5))+9.43))))-(-5+-5)))*-5)))/-5)--5)+(-5*(((9.43*(9.43-(-5/-5)))*(9.43-(9.43/(-5*9.43))))-(-5/-5)))))</f>
        <v>4026.249235</v>
      </c>
      <c r="C10944" t="n" s="0">
        <v>4026.2492349999993</v>
      </c>
    </row>
    <row r="10945">
      <c r="A10945" t="n" s="0">
        <v>9.44</v>
      </c>
      <c r="B10945" t="n" s="0">
        <f>(-5-((((-5*(-5/((-5/(((-5*(9.44--5))-(-5+((-5*9.44)*(((-5--5)+(9.44--5))+9.44))))-(-5+-5)))*-5)))/-5)--5)+(-5*(((9.44*(9.44-(-5/-5)))*(9.44-(9.44/(-5*9.44))))-(-5/-5)))))</f>
        <v>4039.25472</v>
      </c>
      <c r="C10945" t="n" s="0">
        <v>4039.25472</v>
      </c>
    </row>
    <row r="10946">
      <c r="A10946" t="n" s="0">
        <v>9.45</v>
      </c>
      <c r="B10946" t="n" s="0">
        <f>(-5-((((-5*(-5/((-5/(((-5*(9.45--5))-(-5+((-5*9.45)*(((-5--5)+(9.45--5))+9.45))))-(-5+-5)))*-5)))/-5)--5)+(-5*(((9.45*(9.45-(-5/-5)))*(9.45-(9.45/(-5*9.45))))-(-5/-5)))))</f>
        <v>4052.288125</v>
      </c>
      <c r="C10946" t="n" s="0">
        <v>4052.288124999999</v>
      </c>
    </row>
    <row r="10947">
      <c r="A10947" t="n" s="0">
        <v>9.46</v>
      </c>
      <c r="B10947" t="n" s="0">
        <f>(-5-((((-5*(-5/((-5/(((-5*(9.46--5))-(-5+((-5*9.46)*(((-5--5)+(9.46--5))+9.46))))-(-5+-5)))*-5)))/-5)--5)+(-5*(((9.46*(9.46-(-5/-5)))*(9.46-(9.46/(-5*9.46))))-(-5/-5)))))</f>
        <v>4065.34948</v>
      </c>
      <c r="C10947" t="n" s="0">
        <v>4065.349480000001</v>
      </c>
    </row>
    <row r="10948">
      <c r="A10948" t="n" s="0">
        <v>9.47</v>
      </c>
      <c r="B10948" t="n" s="0">
        <f>(-5-((((-5*(-5/((-5/(((-5*(9.47--5))-(-5+((-5*9.47)*(((-5--5)+(9.47--5))+9.47))))-(-5+-5)))*-5)))/-5)--5)+(-5*(((9.47*(9.47-(-5/-5)))*(9.47-(9.47/(-5*9.47))))-(-5/-5)))))</f>
        <v>4078.4388150000023</v>
      </c>
      <c r="C10948" t="n" s="0">
        <v>4078.438815000001</v>
      </c>
    </row>
    <row r="10949">
      <c r="A10949" t="n" s="0">
        <v>9.48</v>
      </c>
      <c r="B10949" t="n" s="0">
        <f>(-5-((((-5*(-5/((-5/(((-5*(9.48--5))-(-5+((-5*9.48)*(((-5--5)+(9.48--5))+9.48))))-(-5+-5)))*-5)))/-5)--5)+(-5*(((9.48*(9.48-(-5/-5)))*(9.48-(9.48/(-5*9.48))))-(-5/-5)))))</f>
        <v>4091.55616</v>
      </c>
      <c r="C10949" t="n" s="0">
        <v>4091.556160000001</v>
      </c>
    </row>
    <row r="10950">
      <c r="A10950" t="n" s="0">
        <v>9.49</v>
      </c>
      <c r="B10950" t="n" s="0">
        <f>(-5-((((-5*(-5/((-5/(((-5*(9.49--5))-(-5+((-5*9.49)*(((-5--5)+(9.49--5))+9.49))))-(-5+-5)))*-5)))/-5)--5)+(-5*(((9.49*(9.49-(-5/-5)))*(9.49-(9.49/(-5*9.49))))-(-5/-5)))))</f>
        <v>4104.701545</v>
      </c>
      <c r="C10950" t="n" s="0">
        <v>4104.701545000001</v>
      </c>
    </row>
    <row r="10951">
      <c r="A10951" t="n" s="0">
        <v>9.5</v>
      </c>
      <c r="B10951" t="n" s="0">
        <f>(-5-((((-5*(-5/((-5/(((-5*(9.5--5))-(-5+((-5*9.5)*(((-5--5)+(9.5--5))+9.5))))-(-5+-5)))*-5)))/-5)--5)+(-5*(((9.5*(9.5-(-5/-5)))*(9.5-(9.5/(-5*9.5))))-(-5/-5)))))</f>
        <v>4117.875</v>
      </c>
      <c r="C10951" t="n" s="0">
        <v>4117.875</v>
      </c>
    </row>
    <row r="10952">
      <c r="A10952" t="n" s="0">
        <v>9.51</v>
      </c>
      <c r="B10952" t="n" s="0">
        <f>(-5-((((-5*(-5/((-5/(((-5*(9.51--5))-(-5+((-5*9.51)*(((-5--5)+(9.51--5))+9.51))))-(-5+-5)))*-5)))/-5)--5)+(-5*(((9.51*(9.51-(-5/-5)))*(9.51-(9.51/(-5*9.51))))-(-5/-5)))))</f>
        <v>4131.076555</v>
      </c>
      <c r="C10952" t="n" s="0">
        <v>4131.076555</v>
      </c>
    </row>
    <row r="10953">
      <c r="A10953" t="n" s="0">
        <v>9.52</v>
      </c>
      <c r="B10953" t="n" s="0">
        <f>(-5-((((-5*(-5/((-5/(((-5*(9.52--5))-(-5+((-5*9.52)*(((-5--5)+(9.52--5))+9.52))))-(-5+-5)))*-5)))/-5)--5)+(-5*(((9.52*(9.52-(-5/-5)))*(9.52-(9.52/(-5*9.52))))-(-5/-5)))))</f>
        <v>4144.30624</v>
      </c>
      <c r="C10953" t="n" s="0">
        <v>4144.30624</v>
      </c>
    </row>
    <row r="10954">
      <c r="A10954" t="n" s="0">
        <v>9.53</v>
      </c>
      <c r="B10954" t="n" s="0">
        <f>(-5-((((-5*(-5/((-5/(((-5*(9.53--5))-(-5+((-5*9.53)*(((-5--5)+(9.53--5))+9.53))))-(-5+-5)))*-5)))/-5)--5)+(-5*(((9.53*(9.53-(-5/-5)))*(9.53-(9.53/(-5*9.53))))-(-5/-5)))))</f>
        <v>4157.564085</v>
      </c>
      <c r="C10954" t="n" s="0">
        <v>4157.564084999999</v>
      </c>
    </row>
    <row r="10955">
      <c r="A10955" t="n" s="0">
        <v>9.54</v>
      </c>
      <c r="B10955" t="n" s="0">
        <f>(-5-((((-5*(-5/((-5/(((-5*(9.54--5))-(-5+((-5*9.54)*(((-5--5)+(9.54--5))+9.54))))-(-5+-5)))*-5)))/-5)--5)+(-5*(((9.54*(9.54-(-5/-5)))*(9.54-(9.54/(-5*9.54))))-(-5/-5)))))</f>
        <v>4170.85012</v>
      </c>
      <c r="C10955" t="n" s="0">
        <v>4170.850119999999</v>
      </c>
    </row>
    <row r="10956">
      <c r="A10956" t="n" s="0">
        <v>9.55</v>
      </c>
      <c r="B10956" t="n" s="0">
        <f>(-5-((((-5*(-5/((-5/(((-5*(9.55--5))-(-5+((-5*9.55)*(((-5--5)+(9.55--5))+9.55))))-(-5+-5)))*-5)))/-5)--5)+(-5*(((9.55*(9.55-(-5/-5)))*(9.55-(9.55/(-5*9.55))))-(-5/-5)))))</f>
        <v>4184.164374999999</v>
      </c>
      <c r="C10956" t="n" s="0">
        <v>4184.164375000001</v>
      </c>
    </row>
    <row r="10957">
      <c r="A10957" t="n" s="0">
        <v>9.56</v>
      </c>
      <c r="B10957" t="n" s="0">
        <f>(-5-((((-5*(-5/((-5/(((-5*(9.56--5))-(-5+((-5*9.56)*(((-5--5)+(9.56--5))+9.56))))-(-5+-5)))*-5)))/-5)--5)+(-5*(((9.56*(9.56-(-5/-5)))*(9.56-(9.56/(-5*9.56))))-(-5/-5)))))</f>
        <v>4197.50688</v>
      </c>
      <c r="C10957" t="n" s="0">
        <v>4197.506880000001</v>
      </c>
    </row>
    <row r="10958">
      <c r="A10958" t="n" s="0">
        <v>9.57</v>
      </c>
      <c r="B10958" t="n" s="0">
        <f>(-5-((((-5*(-5/((-5/(((-5*(9.57--5))-(-5+((-5*9.57)*(((-5--5)+(9.57--5))+9.57))))-(-5+-5)))*-5)))/-5)--5)+(-5*(((9.57*(9.57-(-5/-5)))*(9.57-(9.57/(-5*9.57))))-(-5/-5)))))</f>
        <v>4210.877665</v>
      </c>
      <c r="C10958" t="n" s="0">
        <v>4210.877665000001</v>
      </c>
    </row>
    <row r="10959">
      <c r="A10959" t="n" s="0">
        <v>9.58</v>
      </c>
      <c r="B10959" t="n" s="0">
        <f>(-5-((((-5*(-5/((-5/(((-5*(9.58--5))-(-5+((-5*9.58)*(((-5--5)+(9.58--5))+9.58))))-(-5+-5)))*-5)))/-5)--5)+(-5*(((9.58*(9.58-(-5/-5)))*(9.58-(9.58/(-5*9.58))))-(-5/-5)))))</f>
        <v>4224.27676</v>
      </c>
      <c r="C10959" t="n" s="0">
        <v>4224.27676</v>
      </c>
    </row>
    <row r="10960">
      <c r="A10960" t="n" s="0">
        <v>9.59</v>
      </c>
      <c r="B10960" t="n" s="0">
        <f>(-5-((((-5*(-5/((-5/(((-5*(9.59--5))-(-5+((-5*9.59)*(((-5--5)+(9.59--5))+9.59))))-(-5+-5)))*-5)))/-5)--5)+(-5*(((9.59*(9.59-(-5/-5)))*(9.59-(9.59/(-5*9.59))))-(-5/-5)))))</f>
        <v>4237.704195</v>
      </c>
      <c r="C10960" t="n" s="0">
        <v>4237.704195</v>
      </c>
    </row>
    <row r="10961">
      <c r="A10961" t="n" s="0">
        <v>9.6</v>
      </c>
      <c r="B10961" t="n" s="0">
        <f>(-5-((((-5*(-5/((-5/(((-5*(9.6--5))-(-5+((-5*9.6)*(((-5--5)+(9.6--5))+9.6))))-(-5+-5)))*-5)))/-5)--5)+(-5*(((9.6*(9.6-(-5/-5)))*(9.6-(9.6/(-5*9.6))))-(-5/-5)))))</f>
        <v>4251.159999999998</v>
      </c>
      <c r="C10961" t="n" s="0">
        <v>4251.16</v>
      </c>
    </row>
    <row r="10962">
      <c r="A10962" t="n" s="0">
        <v>9.61</v>
      </c>
      <c r="B10962" t="n" s="0">
        <f>(-5-((((-5*(-5/((-5/(((-5*(9.61--5))-(-5+((-5*9.61)*(((-5--5)+(9.61--5))+9.61))))-(-5+-5)))*-5)))/-5)--5)+(-5*(((9.61*(9.61-(-5/-5)))*(9.61-(9.61/(-5*9.61))))-(-5/-5)))))</f>
        <v>4264.644205</v>
      </c>
      <c r="C10962" t="n" s="0">
        <v>4264.644204999999</v>
      </c>
    </row>
    <row r="10963">
      <c r="A10963" t="n" s="0">
        <v>9.62</v>
      </c>
      <c r="B10963" t="n" s="0">
        <f>(-5-((((-5*(-5/((-5/(((-5*(9.62--5))-(-5+((-5*9.62)*(((-5--5)+(9.62--5))+9.62))))-(-5+-5)))*-5)))/-5)--5)+(-5*(((9.62*(9.62-(-5/-5)))*(9.62-(9.62/(-5*9.62))))-(-5/-5)))))</f>
        <v>4278.15684</v>
      </c>
      <c r="C10963" t="n" s="0">
        <v>4278.15684</v>
      </c>
    </row>
    <row r="10964">
      <c r="A10964" t="n" s="0">
        <v>9.63</v>
      </c>
      <c r="B10964" t="n" s="0">
        <f>(-5-((((-5*(-5/((-5/(((-5*(9.63--5))-(-5+((-5*9.63)*(((-5--5)+(9.63--5))+9.63))))-(-5+-5)))*-5)))/-5)--5)+(-5*(((9.63*(9.63-(-5/-5)))*(9.63-(9.63/(-5*9.63))))-(-5/-5)))))</f>
        <v>4291.697935000002</v>
      </c>
      <c r="C10964" t="n" s="0">
        <v>4291.697935000001</v>
      </c>
    </row>
    <row r="10965">
      <c r="A10965" t="n" s="0">
        <v>9.64</v>
      </c>
      <c r="B10965" t="n" s="0">
        <f>(-5-((((-5*(-5/((-5/(((-5*(9.64--5))-(-5+((-5*9.64)*(((-5--5)+(9.64--5))+9.64))))-(-5+-5)))*-5)))/-5)--5)+(-5*(((9.64*(9.64-(-5/-5)))*(9.64-(9.64/(-5*9.64))))-(-5/-5)))))</f>
        <v>4305.26752</v>
      </c>
      <c r="C10965" t="n" s="0">
        <v>4305.267520000001</v>
      </c>
    </row>
    <row r="10966">
      <c r="A10966" t="n" s="0">
        <v>9.65</v>
      </c>
      <c r="B10966" t="n" s="0">
        <f>(-5-((((-5*(-5/((-5/(((-5*(9.65--5))-(-5+((-5*9.65)*(((-5--5)+(9.65--5))+9.65))))-(-5+-5)))*-5)))/-5)--5)+(-5*(((9.65*(9.65-(-5/-5)))*(9.65-(9.65/(-5*9.65))))-(-5/-5)))))</f>
        <v>4318.865625</v>
      </c>
      <c r="C10966" t="n" s="0">
        <v>4318.865625</v>
      </c>
    </row>
    <row r="10967">
      <c r="A10967" t="n" s="0">
        <v>9.66</v>
      </c>
      <c r="B10967" t="n" s="0">
        <f>(-5-((((-5*(-5/((-5/(((-5*(9.66--5))-(-5+((-5*9.66)*(((-5--5)+(9.66--5))+9.66))))-(-5+-5)))*-5)))/-5)--5)+(-5*(((9.66*(9.66-(-5/-5)))*(9.66-(9.66/(-5*9.66))))-(-5/-5)))))</f>
        <v>4332.49228</v>
      </c>
      <c r="C10967" t="n" s="0">
        <v>4332.49228</v>
      </c>
    </row>
    <row r="10968">
      <c r="A10968" t="n" s="0">
        <v>9.67</v>
      </c>
      <c r="B10968" t="n" s="0">
        <f>(-5-((((-5*(-5/((-5/(((-5*(9.67--5))-(-5+((-5*9.67)*(((-5--5)+(9.67--5))+9.67))))-(-5+-5)))*-5)))/-5)--5)+(-5*(((9.67*(9.67-(-5/-5)))*(9.67-(9.67/(-5*9.67))))-(-5/-5)))))</f>
        <v>4346.147515</v>
      </c>
      <c r="C10968" t="n" s="0">
        <v>4346.147515000001</v>
      </c>
    </row>
    <row r="10969">
      <c r="A10969" t="n" s="0">
        <v>9.68</v>
      </c>
      <c r="B10969" t="n" s="0">
        <f>(-5-((((-5*(-5/((-5/(((-5*(9.68--5))-(-5+((-5*9.68)*(((-5--5)+(9.68--5))+9.68))))-(-5+-5)))*-5)))/-5)--5)+(-5*(((9.68*(9.68-(-5/-5)))*(9.68-(9.68/(-5*9.68))))-(-5/-5)))))</f>
        <v>4359.831360000002</v>
      </c>
      <c r="C10969" t="n" s="0">
        <v>4359.831359999999</v>
      </c>
    </row>
    <row r="10970">
      <c r="A10970" t="n" s="0">
        <v>9.69</v>
      </c>
      <c r="B10970" t="n" s="0">
        <f>(-5-((((-5*(-5/((-5/(((-5*(9.69--5))-(-5+((-5*9.69)*(((-5--5)+(9.69--5))+9.69))))-(-5+-5)))*-5)))/-5)--5)+(-5*(((9.69*(9.69-(-5/-5)))*(9.69-(9.69/(-5*9.69))))-(-5/-5)))))</f>
        <v>4373.543844999998</v>
      </c>
      <c r="C10970" t="n" s="0">
        <v>4373.543844999999</v>
      </c>
    </row>
    <row r="10971">
      <c r="A10971" t="n" s="0">
        <v>9.7</v>
      </c>
      <c r="B10971" t="n" s="0">
        <f>(-5-((((-5*(-5/((-5/(((-5*(9.7--5))-(-5+((-5*9.7)*(((-5--5)+(9.7--5))+9.7))))-(-5+-5)))*-5)))/-5)--5)+(-5*(((9.7*(9.7-(-5/-5)))*(9.7-(9.7/(-5*9.7))))-(-5/-5)))))</f>
        <v>4387.285</v>
      </c>
      <c r="C10971" t="n" s="0">
        <v>4387.284999999999</v>
      </c>
    </row>
    <row r="10972">
      <c r="A10972" t="n" s="0">
        <v>9.71</v>
      </c>
      <c r="B10972" t="n" s="0">
        <f>(-5-((((-5*(-5/((-5/(((-5*(9.71--5))-(-5+((-5*9.71)*(((-5--5)+(9.71--5))+9.71))))-(-5+-5)))*-5)))/-5)--5)+(-5*(((9.71*(9.71-(-5/-5)))*(9.71-(9.71/(-5*9.71))))-(-5/-5)))))</f>
        <v>4401.054854999999</v>
      </c>
      <c r="C10972" t="n" s="0">
        <v>4401.054855000001</v>
      </c>
    </row>
    <row r="10973">
      <c r="A10973" t="n" s="0">
        <v>9.72</v>
      </c>
      <c r="B10973" t="n" s="0">
        <f>(-5-((((-5*(-5/((-5/(((-5*(9.72--5))-(-5+((-5*9.72)*(((-5--5)+(9.72--5))+9.72))))-(-5+-5)))*-5)))/-5)--5)+(-5*(((9.72*(9.72-(-5/-5)))*(9.72-(9.72/(-5*9.72))))-(-5/-5)))))</f>
        <v>4414.85344</v>
      </c>
      <c r="C10973" t="n" s="0">
        <v>4414.853440000001</v>
      </c>
    </row>
    <row r="10974">
      <c r="A10974" t="n" s="0">
        <v>9.73</v>
      </c>
      <c r="B10974" t="n" s="0">
        <f>(-5-((((-5*(-5/((-5/(((-5*(9.73--5))-(-5+((-5*9.73)*(((-5--5)+(9.73--5))+9.73))))-(-5+-5)))*-5)))/-5)--5)+(-5*(((9.73*(9.73-(-5/-5)))*(9.73-(9.73/(-5*9.73))))-(-5/-5)))))</f>
        <v>4428.6807850000005</v>
      </c>
      <c r="C10974" t="n" s="0">
        <v>4428.6807850000005</v>
      </c>
    </row>
    <row r="10975">
      <c r="A10975" t="n" s="0">
        <v>9.74</v>
      </c>
      <c r="B10975" t="n" s="0">
        <f>(-5-((((-5*(-5/((-5/(((-5*(9.74--5))-(-5+((-5*9.74)*(((-5--5)+(9.74--5))+9.74))))-(-5+-5)))*-5)))/-5)--5)+(-5*(((9.74*(9.74-(-5/-5)))*(9.74-(9.74/(-5*9.74))))-(-5/-5)))))</f>
        <v>4442.5369200000005</v>
      </c>
      <c r="C10975" t="n" s="0">
        <v>4442.5369200000005</v>
      </c>
    </row>
    <row r="10976">
      <c r="A10976" t="n" s="0">
        <v>9.75</v>
      </c>
      <c r="B10976" t="n" s="0">
        <f>(-5-((((-5*(-5/((-5/(((-5*(9.75--5))-(-5+((-5*9.75)*(((-5--5)+(9.75--5))+9.75))))-(-5+-5)))*-5)))/-5)--5)+(-5*(((9.75*(9.75-(-5/-5)))*(9.75-(9.75/(-5*9.75))))-(-5/-5)))))</f>
        <v>4456.421875</v>
      </c>
      <c r="C10976" t="n" s="0">
        <v>4456.421875</v>
      </c>
    </row>
    <row r="10977">
      <c r="A10977" t="n" s="0">
        <v>9.76</v>
      </c>
      <c r="B10977" t="n" s="0">
        <f>(-5-((((-5*(-5/((-5/(((-5*(9.76--5))-(-5+((-5*9.76)*(((-5--5)+(9.76--5))+9.76))))-(-5+-5)))*-5)))/-5)--5)+(-5*(((9.76*(9.76-(-5/-5)))*(9.76-(9.76/(-5*9.76))))-(-5/-5)))))</f>
        <v>4470.33568</v>
      </c>
      <c r="C10977" t="n" s="0">
        <v>4470.335679999999</v>
      </c>
    </row>
    <row r="10978">
      <c r="A10978" t="n" s="0">
        <v>9.77</v>
      </c>
      <c r="B10978" t="n" s="0">
        <f>(-5-((((-5*(-5/((-5/(((-5*(9.77--5))-(-5+((-5*9.77)*(((-5--5)+(9.77--5))+9.77))))-(-5+-5)))*-5)))/-5)--5)+(-5*(((9.77*(9.77-(-5/-5)))*(9.77-(9.77/(-5*9.77))))-(-5/-5)))))</f>
        <v>4484.278365</v>
      </c>
      <c r="C10978" t="n" s="0">
        <v>4484.278365</v>
      </c>
    </row>
    <row r="10979">
      <c r="A10979" t="n" s="0">
        <v>9.78</v>
      </c>
      <c r="B10979" t="n" s="0">
        <f>(-5-((((-5*(-5/((-5/(((-5*(9.78--5))-(-5+((-5*9.78)*(((-5--5)+(9.78--5))+9.78))))-(-5+-5)))*-5)))/-5)--5)+(-5*(((9.78*(9.78-(-5/-5)))*(9.78-(9.78/(-5*9.78))))-(-5/-5)))))</f>
        <v>4498.24996</v>
      </c>
      <c r="C10979" t="n" s="0">
        <v>4498.249959999999</v>
      </c>
    </row>
    <row r="10980">
      <c r="A10980" t="n" s="0">
        <v>9.79</v>
      </c>
      <c r="B10980" t="n" s="0">
        <f>(-5-((((-5*(-5/((-5/(((-5*(9.79--5))-(-5+((-5*9.79)*(((-5--5)+(9.79--5))+9.79))))-(-5+-5)))*-5)))/-5)--5)+(-5*(((9.79*(9.79-(-5/-5)))*(9.79-(9.79/(-5*9.79))))-(-5/-5)))))</f>
        <v>4512.250495</v>
      </c>
      <c r="C10980" t="n" s="0">
        <v>4512.250494999998</v>
      </c>
    </row>
    <row r="10981">
      <c r="A10981" t="n" s="0">
        <v>9.8</v>
      </c>
      <c r="B10981" t="n" s="0">
        <f>(-5-((((-5*(-5/((-5/(((-5*(9.8--5))-(-5+((-5*9.8)*(((-5--5)+(9.8--5))+9.8))))-(-5+-5)))*-5)))/-5)--5)+(-5*(((9.8*(9.8-(-5/-5)))*(9.8-(9.8/(-5*9.8))))-(-5/-5)))))</f>
        <v>4526.28</v>
      </c>
      <c r="C10981" t="n" s="0">
        <v>4526.280000000001</v>
      </c>
    </row>
    <row r="10982">
      <c r="A10982" t="n" s="0">
        <v>9.81</v>
      </c>
      <c r="B10982" t="n" s="0">
        <f>(-5-((((-5*(-5/((-5/(((-5*(9.81--5))-(-5+((-5*9.81)*(((-5--5)+(9.81--5))+9.81))))-(-5+-5)))*-5)))/-5)--5)+(-5*(((9.81*(9.81-(-5/-5)))*(9.81-(9.81/(-5*9.81))))-(-5/-5)))))</f>
        <v>4540.338505</v>
      </c>
      <c r="C10982" t="n" s="0">
        <v>4540.338505000001</v>
      </c>
    </row>
    <row r="10983">
      <c r="A10983" t="n" s="0">
        <v>9.82</v>
      </c>
      <c r="B10983" t="n" s="0">
        <f>(-5-((((-5*(-5/((-5/(((-5*(9.82--5))-(-5+((-5*9.82)*(((-5--5)+(9.82--5))+9.82))))-(-5+-5)))*-5)))/-5)--5)+(-5*(((9.82*(9.82-(-5/-5)))*(9.82-(9.82/(-5*9.82))))-(-5/-5)))))</f>
        <v>4554.42604</v>
      </c>
      <c r="C10983" t="n" s="0">
        <v>4554.42604</v>
      </c>
    </row>
    <row r="10984">
      <c r="A10984" t="n" s="0">
        <v>9.83</v>
      </c>
      <c r="B10984" t="n" s="0">
        <f>(-5-((((-5*(-5/((-5/(((-5*(9.83--5))-(-5+((-5*9.83)*(((-5--5)+(9.83--5))+9.83))))-(-5+-5)))*-5)))/-5)--5)+(-5*(((9.83*(9.83-(-5/-5)))*(9.83-(9.83/(-5*9.83))))-(-5/-5)))))</f>
        <v>4568.542634999998</v>
      </c>
      <c r="C10984" t="n" s="0">
        <v>4568.542634999999</v>
      </c>
    </row>
    <row r="10985">
      <c r="A10985" t="n" s="0">
        <v>9.84</v>
      </c>
      <c r="B10985" t="n" s="0">
        <f>(-5-((((-5*(-5/((-5/(((-5*(9.84--5))-(-5+((-5*9.84)*(((-5--5)+(9.84--5))+9.84))))-(-5+-5)))*-5)))/-5)--5)+(-5*(((9.84*(9.84-(-5/-5)))*(9.84-(9.84/(-5*9.84))))-(-5/-5)))))</f>
        <v>4582.688320000002</v>
      </c>
      <c r="C10985" t="n" s="0">
        <v>4582.688319999999</v>
      </c>
    </row>
    <row r="10986">
      <c r="A10986" t="n" s="0">
        <v>9.85</v>
      </c>
      <c r="B10986" t="n" s="0">
        <f>(-5-((((-5*(-5/((-5/(((-5*(9.85--5))-(-5+((-5*9.85)*(((-5--5)+(9.85--5))+9.85))))-(-5+-5)))*-5)))/-5)--5)+(-5*(((9.85*(9.85-(-5/-5)))*(9.85-(9.85/(-5*9.85))))-(-5/-5)))))</f>
        <v>4596.863125</v>
      </c>
      <c r="C10986" t="n" s="0">
        <v>4596.863125</v>
      </c>
    </row>
    <row r="10987">
      <c r="A10987" t="n" s="0">
        <v>9.86</v>
      </c>
      <c r="B10987" t="n" s="0">
        <f>(-5-((((-5*(-5/((-5/(((-5*(9.86--5))-(-5+((-5*9.86)*(((-5--5)+(9.86--5))+9.86))))-(-5+-5)))*-5)))/-5)--5)+(-5*(((9.86*(9.86-(-5/-5)))*(9.86-(9.86/(-5*9.86))))-(-5/-5)))))</f>
        <v>4611.067080000001</v>
      </c>
      <c r="C10987" t="n" s="0">
        <v>4611.06708</v>
      </c>
    </row>
    <row r="10988">
      <c r="A10988" t="n" s="0">
        <v>9.87</v>
      </c>
      <c r="B10988" t="n" s="0">
        <f>(-5-((((-5*(-5/((-5/(((-5*(9.87--5))-(-5+((-5*9.87)*(((-5--5)+(9.87--5))+9.87))))-(-5+-5)))*-5)))/-5)--5)+(-5*(((9.87*(9.87-(-5/-5)))*(9.87-(9.87/(-5*9.87))))-(-5/-5)))))</f>
        <v>4625.300215</v>
      </c>
      <c r="C10988" t="n" s="0">
        <v>4625.300214999998</v>
      </c>
    </row>
    <row r="10989">
      <c r="A10989" t="n" s="0">
        <v>9.88</v>
      </c>
      <c r="B10989" t="n" s="0">
        <f>(-5-((((-5*(-5/((-5/(((-5*(9.88--5))-(-5+((-5*9.88)*(((-5--5)+(9.88--5))+9.88))))-(-5+-5)))*-5)))/-5)--5)+(-5*(((9.88*(9.88-(-5/-5)))*(9.88-(9.88/(-5*9.88))))-(-5/-5)))))</f>
        <v>4639.56256</v>
      </c>
      <c r="C10989" t="n" s="0">
        <v>4639.562560000001</v>
      </c>
    </row>
    <row r="10990">
      <c r="A10990" t="n" s="0">
        <v>9.89</v>
      </c>
      <c r="B10990" t="n" s="0">
        <f>(-5-((((-5*(-5/((-5/(((-5*(9.89--5))-(-5+((-5*9.89)*(((-5--5)+(9.89--5))+9.89))))-(-5+-5)))*-5)))/-5)--5)+(-5*(((9.89*(9.89-(-5/-5)))*(9.89-(9.89/(-5*9.89))))-(-5/-5)))))</f>
        <v>4653.854144999999</v>
      </c>
      <c r="C10990" t="n" s="0">
        <v>4653.854145</v>
      </c>
    </row>
    <row r="10991">
      <c r="A10991" t="n" s="0">
        <v>9.9</v>
      </c>
      <c r="B10991" t="n" s="0">
        <f>(-5-((((-5*(-5/((-5/(((-5*(9.9--5))-(-5+((-5*9.9)*(((-5--5)+(9.9--5))+9.9))))-(-5+-5)))*-5)))/-5)--5)+(-5*(((9.9*(9.9-(-5/-5)))*(9.9-(9.9/(-5*9.9))))-(-5/-5)))))</f>
        <v>4668.175</v>
      </c>
      <c r="C10991" t="n" s="0">
        <v>4668.175</v>
      </c>
    </row>
    <row r="10992">
      <c r="A10992" t="n" s="0">
        <v>9.91</v>
      </c>
      <c r="B10992" t="n" s="0">
        <f>(-5-((((-5*(-5/((-5/(((-5*(9.91--5))-(-5+((-5*9.91)*(((-5--5)+(9.91--5))+9.91))))-(-5+-5)))*-5)))/-5)--5)+(-5*(((9.91*(9.91-(-5/-5)))*(9.91-(9.91/(-5*9.91))))-(-5/-5)))))</f>
        <v>4682.525155</v>
      </c>
      <c r="C10992" t="n" s="0">
        <v>4682.525155</v>
      </c>
    </row>
    <row r="10993">
      <c r="A10993" t="n" s="0">
        <v>9.92</v>
      </c>
      <c r="B10993" t="n" s="0">
        <f>(-5-((((-5*(-5/((-5/(((-5*(9.92--5))-(-5+((-5*9.92)*(((-5--5)+(9.92--5))+9.92))))-(-5+-5)))*-5)))/-5)--5)+(-5*(((9.92*(9.92-(-5/-5)))*(9.92-(9.92/(-5*9.92))))-(-5/-5)))))</f>
        <v>4696.90464</v>
      </c>
      <c r="C10993" t="n" s="0">
        <v>4696.904640000001</v>
      </c>
    </row>
    <row r="10994">
      <c r="A10994" t="n" s="0">
        <v>9.93</v>
      </c>
      <c r="B10994" t="n" s="0">
        <f>(-5-((((-5*(-5/((-5/(((-5*(9.93--5))-(-5+((-5*9.93)*(((-5--5)+(9.93--5))+9.93))))-(-5+-5)))*-5)))/-5)--5)+(-5*(((9.93*(9.93-(-5/-5)))*(9.93-(9.93/(-5*9.93))))-(-5/-5)))))</f>
        <v>4711.313485</v>
      </c>
      <c r="C10994" t="n" s="0">
        <v>4711.313485</v>
      </c>
    </row>
    <row r="10995">
      <c r="A10995" t="n" s="0">
        <v>9.94</v>
      </c>
      <c r="B10995" t="n" s="0">
        <f>(-5-((((-5*(-5/((-5/(((-5*(9.94--5))-(-5+((-5*9.94)*(((-5--5)+(9.94--5))+9.94))))-(-5+-5)))*-5)))/-5)--5)+(-5*(((9.94*(9.94-(-5/-5)))*(9.94-(9.94/(-5*9.94))))-(-5/-5)))))</f>
        <v>4725.751719999999</v>
      </c>
      <c r="C10995" t="n" s="0">
        <v>4725.751719999998</v>
      </c>
    </row>
    <row r="10996">
      <c r="A10996" t="n" s="0">
        <v>9.95</v>
      </c>
      <c r="B10996" t="n" s="0">
        <f>(-5-((((-5*(-5/((-5/(((-5*(9.95--5))-(-5+((-5*9.95)*(((-5--5)+(9.95--5))+9.95))))-(-5+-5)))*-5)))/-5)--5)+(-5*(((9.95*(9.95-(-5/-5)))*(9.95-(9.95/(-5*9.95))))-(-5/-5)))))</f>
        <v>4740.219375000001</v>
      </c>
      <c r="C10996" t="n" s="0">
        <v>4740.219375</v>
      </c>
    </row>
    <row r="10997">
      <c r="A10997" t="n" s="0">
        <v>9.96</v>
      </c>
      <c r="B10997" t="n" s="0">
        <f>(-5-((((-5*(-5/((-5/(((-5*(9.96--5))-(-5+((-5*9.96)*(((-5--5)+(9.96--5))+9.96))))-(-5+-5)))*-5)))/-5)--5)+(-5*(((9.96*(9.96-(-5/-5)))*(9.96-(9.96/(-5*9.96))))-(-5/-5)))))</f>
        <v>4754.71648</v>
      </c>
      <c r="C10997" t="n" s="0">
        <v>4754.716480000002</v>
      </c>
    </row>
    <row r="10998">
      <c r="A10998" t="n" s="0">
        <v>9.97</v>
      </c>
      <c r="B10998" t="n" s="0">
        <f>(-5-((((-5*(-5/((-5/(((-5*(9.97--5))-(-5+((-5*9.97)*(((-5--5)+(9.97--5))+9.97))))-(-5+-5)))*-5)))/-5)--5)+(-5*(((9.97*(9.97-(-5/-5)))*(9.97-(9.97/(-5*9.97))))-(-5/-5)))))</f>
        <v>4769.243065000002</v>
      </c>
      <c r="C10998" t="n" s="0">
        <v>4769.243065000001</v>
      </c>
    </row>
    <row r="10999">
      <c r="A10999" t="n" s="0">
        <v>9.98</v>
      </c>
      <c r="B10999" t="n" s="0">
        <f>(-5-((((-5*(-5/((-5/(((-5*(9.98--5))-(-5+((-5*9.98)*(((-5--5)+(9.98--5))+9.98))))-(-5+-5)))*-5)))/-5)--5)+(-5*(((9.98*(9.98-(-5/-5)))*(9.98-(9.98/(-5*9.98))))-(-5/-5)))))</f>
        <v>4783.79916</v>
      </c>
      <c r="C10999" t="n" s="0">
        <v>4783.7991600000005</v>
      </c>
    </row>
    <row r="11000">
      <c r="A11000" t="n" s="0">
        <v>9.99</v>
      </c>
      <c r="B11000" t="n" s="0">
        <f>(-5-((((-5*(-5/((-5/(((-5*(9.99--5))-(-5+((-5*9.99)*(((-5--5)+(9.99--5))+9.99))))-(-5+-5)))*-5)))/-5)--5)+(-5*(((9.99*(9.99-(-5/-5)))*(9.99-(9.99/(-5*9.99))))-(-5/-5)))))</f>
        <v>4798.384795</v>
      </c>
      <c r="C11000" t="n" s="0">
        <v>4798.384795000001</v>
      </c>
    </row>
    <row r="11001">
      <c r="A11001" t="n" s="0">
        <v>10.0</v>
      </c>
      <c r="B11001" t="n" s="0">
        <f>(-5-((((-5*(-5/((-5/(((-5*(10--5))-(-5+((-5*10)*(((-5--5)+(10--5))+10))))-(-5+-5)))*-5)))/-5)--5)+(-5*(((10*(10-(-5/-5)))*(10-(10/(-5*10))))-(-5/-5)))))</f>
        <v>4813.0</v>
      </c>
      <c r="C11001" t="n" s="0">
        <v>4813.0</v>
      </c>
    </row>
    <row r="11002">
      <c r="A11002" t="n" s="0">
        <v>10.01</v>
      </c>
      <c r="B11002" t="n" s="0">
        <f>(-5-((((-5*(-5/((-5/(((-5*(10.01--5))-(-5+((-5*10.01)*(((-5--5)+(10.01--5))+10.01))))-(-5+-5)))*-5)))/-5)--5)+(-5*(((10.01*(10.01-(-5/-5)))*(10.01-(10.01/(-5*10.01))))-(-5/-5)))))</f>
        <v>4827.644805000002</v>
      </c>
      <c r="C11002" t="n" s="0">
        <v>4827.644804999999</v>
      </c>
    </row>
    <row r="11003">
      <c r="A11003" t="n" s="0">
        <v>10.02</v>
      </c>
      <c r="B11003" t="n" s="0">
        <f>(-5-((((-5*(-5/((-5/(((-5*(10.02--5))-(-5+((-5*10.02)*(((-5--5)+(10.02--5))+10.02))))-(-5+-5)))*-5)))/-5)--5)+(-5*(((10.02*(10.02-(-5/-5)))*(10.02-(10.02/(-5*10.02))))-(-5/-5)))))</f>
        <v>4842.31924</v>
      </c>
      <c r="C11003" t="n" s="0">
        <v>4842.31924</v>
      </c>
    </row>
    <row r="11004">
      <c r="A11004" t="n" s="0">
        <v>10.03</v>
      </c>
      <c r="B11004" t="n" s="0">
        <f>(-5-((((-5*(-5/((-5/(((-5*(10.03--5))-(-5+((-5*10.03)*(((-5--5)+(10.03--5))+10.03))))-(-5+-5)))*-5)))/-5)--5)+(-5*(((10.03*(10.03-(-5/-5)))*(10.03-(10.03/(-5*10.03))))-(-5/-5)))))</f>
        <v>4857.023335</v>
      </c>
      <c r="C11004" t="n" s="0">
        <v>4857.023335</v>
      </c>
    </row>
    <row r="11005">
      <c r="A11005" t="n" s="0">
        <v>10.04</v>
      </c>
      <c r="B11005" t="n" s="0">
        <f>(-5-((((-5*(-5/((-5/(((-5*(10.04--5))-(-5+((-5*10.04)*(((-5--5)+(10.04--5))+10.04))))-(-5+-5)))*-5)))/-5)--5)+(-5*(((10.04*(10.04-(-5/-5)))*(10.04-(10.04/(-5*10.04))))-(-5/-5)))))</f>
        <v>4871.75712</v>
      </c>
      <c r="C11005" t="n" s="0">
        <v>4871.757119999999</v>
      </c>
    </row>
    <row r="11006">
      <c r="A11006" t="n" s="0">
        <v>10.05</v>
      </c>
      <c r="B11006" t="n" s="0">
        <f>(-5-((((-5*(-5/((-5/(((-5*(10.05--5))-(-5+((-5*10.05)*(((-5--5)+(10.05--5))+10.05))))-(-5+-5)))*-5)))/-5)--5)+(-5*(((10.05*(10.05-(-5/-5)))*(10.05-(10.05/(-5*10.05))))-(-5/-5)))))</f>
        <v>4886.520625000002</v>
      </c>
      <c r="C11006" t="n" s="0">
        <v>4886.520625</v>
      </c>
    </row>
    <row r="11007">
      <c r="A11007" t="n" s="0">
        <v>10.06</v>
      </c>
      <c r="B11007" t="n" s="0">
        <f>(-5-((((-5*(-5/((-5/(((-5*(10.06--5))-(-5+((-5*10.06)*(((-5--5)+(10.06--5))+10.06))))-(-5+-5)))*-5)))/-5)--5)+(-5*(((10.06*(10.06-(-5/-5)))*(10.06-(10.06/(-5*10.06))))-(-5/-5)))))</f>
        <v>4901.313880000001</v>
      </c>
      <c r="C11007" t="n" s="0">
        <v>4901.3138800000015</v>
      </c>
    </row>
    <row r="11008">
      <c r="A11008" t="n" s="0">
        <v>10.07</v>
      </c>
      <c r="B11008" t="n" s="0">
        <f>(-5-((((-5*(-5/((-5/(((-5*(10.07--5))-(-5+((-5*10.07)*(((-5--5)+(10.07--5))+10.07))))-(-5+-5)))*-5)))/-5)--5)+(-5*(((10.07*(10.07-(-5/-5)))*(10.07-(10.07/(-5*10.07))))-(-5/-5)))))</f>
        <v>4916.136915</v>
      </c>
      <c r="C11008" t="n" s="0">
        <v>4916.136915000001</v>
      </c>
    </row>
    <row r="11009">
      <c r="A11009" t="n" s="0">
        <v>10.08</v>
      </c>
      <c r="B11009" t="n" s="0">
        <f>(-5-((((-5*(-5/((-5/(((-5*(10.08--5))-(-5+((-5*10.08)*(((-5--5)+(10.08--5))+10.08))))-(-5+-5)))*-5)))/-5)--5)+(-5*(((10.08*(10.08-(-5/-5)))*(10.08-(10.08/(-5*10.08))))-(-5/-5)))))</f>
        <v>4930.98976</v>
      </c>
      <c r="C11009" t="n" s="0">
        <v>4930.9897599999995</v>
      </c>
    </row>
    <row r="11010">
      <c r="A11010" t="n" s="0">
        <v>10.09</v>
      </c>
      <c r="B11010" t="n" s="0">
        <f>(-5-((((-5*(-5/((-5/(((-5*(10.09--5))-(-5+((-5*10.09)*(((-5--5)+(10.09--5))+10.09))))-(-5+-5)))*-5)))/-5)--5)+(-5*(((10.09*(10.09-(-5/-5)))*(10.09-(10.09/(-5*10.09))))-(-5/-5)))))</f>
        <v>4945.872445</v>
      </c>
      <c r="C11010" t="n" s="0">
        <v>4945.872445</v>
      </c>
    </row>
    <row r="11011">
      <c r="A11011" t="n" s="0">
        <v>10.1</v>
      </c>
      <c r="B11011" t="n" s="0">
        <f>(-5-((((-5*(-5/((-5/(((-5*(10.1--5))-(-5+((-5*10.1)*(((-5--5)+(10.1--5))+10.1))))-(-5+-5)))*-5)))/-5)--5)+(-5*(((10.1*(10.1-(-5/-5)))*(10.1-(10.1/(-5*10.1))))-(-5/-5)))))</f>
        <v>4960.785</v>
      </c>
      <c r="C11011" t="n" s="0">
        <v>4960.784999999999</v>
      </c>
    </row>
    <row r="11012">
      <c r="A11012" t="n" s="0">
        <v>10.11</v>
      </c>
      <c r="B11012" t="n" s="0">
        <f>(-5-((((-5*(-5/((-5/(((-5*(10.11--5))-(-5+((-5*10.11)*(((-5--5)+(10.11--5))+10.11))))-(-5+-5)))*-5)))/-5)--5)+(-5*(((10.11*(10.11-(-5/-5)))*(10.11-(10.11/(-5*10.11))))-(-5/-5)))))</f>
        <v>4975.727455</v>
      </c>
      <c r="C11012" t="n" s="0">
        <v>4975.727454999998</v>
      </c>
    </row>
    <row r="11013">
      <c r="A11013" t="n" s="0">
        <v>10.12</v>
      </c>
      <c r="B11013" t="n" s="0">
        <f>(-5-((((-5*(-5/((-5/(((-5*(10.12--5))-(-5+((-5*10.12)*(((-5--5)+(10.12--5))+10.12))))-(-5+-5)))*-5)))/-5)--5)+(-5*(((10.12*(10.12-(-5/-5)))*(10.12-(10.12/(-5*10.12))))-(-5/-5)))))</f>
        <v>4990.69984</v>
      </c>
      <c r="C11013" t="n" s="0">
        <v>4990.699839999998</v>
      </c>
    </row>
    <row r="11014">
      <c r="A11014" t="n" s="0">
        <v>10.13</v>
      </c>
      <c r="B11014" t="n" s="0">
        <f>(-5-((((-5*(-5/((-5/(((-5*(10.13--5))-(-5+((-5*10.13)*(((-5--5)+(10.13--5))+10.13))))-(-5+-5)))*-5)))/-5)--5)+(-5*(((10.13*(10.13-(-5/-5)))*(10.13-(10.13/(-5*10.13))))-(-5/-5)))))</f>
        <v>5005.702185</v>
      </c>
      <c r="C11014" t="n" s="0">
        <v>5005.702185000002</v>
      </c>
    </row>
    <row r="11015">
      <c r="A11015" t="n" s="0">
        <v>10.14</v>
      </c>
      <c r="B11015" t="n" s="0">
        <f>(-5-((((-5*(-5/((-5/(((-5*(10.14--5))-(-5+((-5*10.14)*(((-5--5)+(10.14--5))+10.14))))-(-5+-5)))*-5)))/-5)--5)+(-5*(((10.14*(10.14-(-5/-5)))*(10.14-(10.14/(-5*10.14))))-(-5/-5)))))</f>
        <v>5020.734520000002</v>
      </c>
      <c r="C11015" t="n" s="0">
        <v>5020.734520000001</v>
      </c>
    </row>
    <row r="11016">
      <c r="A11016" t="n" s="0">
        <v>10.15</v>
      </c>
      <c r="B11016" t="n" s="0">
        <f>(-5-((((-5*(-5/((-5/(((-5*(10.15--5))-(-5+((-5*10.15)*(((-5--5)+(10.15--5))+10.15))))-(-5+-5)))*-5)))/-5)--5)+(-5*(((10.15*(10.15-(-5/-5)))*(10.15-(10.15/(-5*10.15))))-(-5/-5)))))</f>
        <v>5035.796875</v>
      </c>
      <c r="C11016" t="n" s="0">
        <v>5035.796875000001</v>
      </c>
    </row>
    <row r="11017">
      <c r="A11017" t="n" s="0">
        <v>10.16</v>
      </c>
      <c r="B11017" t="n" s="0">
        <f>(-5-((((-5*(-5/((-5/(((-5*(10.16--5))-(-5+((-5*10.16)*(((-5--5)+(10.16--5))+10.16))))-(-5+-5)))*-5)))/-5)--5)+(-5*(((10.16*(10.16-(-5/-5)))*(10.16-(10.16/(-5*10.16))))-(-5/-5)))))</f>
        <v>5050.889279999999</v>
      </c>
      <c r="C11017" t="n" s="0">
        <v>5050.88928</v>
      </c>
    </row>
    <row r="11018">
      <c r="A11018" t="n" s="0">
        <v>10.17</v>
      </c>
      <c r="B11018" t="n" s="0">
        <f>(-5-((((-5*(-5/((-5/(((-5*(10.17--5))-(-5+((-5*10.17)*(((-5--5)+(10.17--5))+10.17))))-(-5+-5)))*-5)))/-5)--5)+(-5*(((10.17*(10.17-(-5/-5)))*(10.17-(10.17/(-5*10.17))))-(-5/-5)))))</f>
        <v>5066.011765</v>
      </c>
      <c r="C11018" t="n" s="0">
        <v>5066.011765</v>
      </c>
    </row>
    <row r="11019">
      <c r="A11019" t="n" s="0">
        <v>10.18</v>
      </c>
      <c r="B11019" t="n" s="0">
        <f>(-5-((((-5*(-5/((-5/(((-5*(10.18--5))-(-5+((-5*10.18)*(((-5--5)+(10.18--5))+10.18))))-(-5+-5)))*-5)))/-5)--5)+(-5*(((10.18*(10.18-(-5/-5)))*(10.18-(10.18/(-5*10.18))))-(-5/-5)))))</f>
        <v>5081.16436</v>
      </c>
      <c r="C11019" t="n" s="0">
        <v>5081.164359999999</v>
      </c>
    </row>
    <row r="11020">
      <c r="A11020" t="n" s="0">
        <v>10.19</v>
      </c>
      <c r="B11020" t="n" s="0">
        <f>(-5-((((-5*(-5/((-5/(((-5*(10.19--5))-(-5+((-5*10.19)*(((-5--5)+(10.19--5))+10.19))))-(-5+-5)))*-5)))/-5)--5)+(-5*(((10.19*(10.19-(-5/-5)))*(10.19-(10.19/(-5*10.19))))-(-5/-5)))))</f>
        <v>5096.347095</v>
      </c>
      <c r="C11020" t="n" s="0">
        <v>5096.347094999999</v>
      </c>
    </row>
    <row r="11021">
      <c r="A11021" t="n" s="0">
        <v>10.2</v>
      </c>
      <c r="B11021" t="n" s="0">
        <f>(-5-((((-5*(-5/((-5/(((-5*(10.2--5))-(-5+((-5*10.2)*(((-5--5)+(10.2--5))+10.2))))-(-5+-5)))*-5)))/-5)--5)+(-5*(((10.2*(10.2-(-5/-5)))*(10.2-(10.2/(-5*10.2))))-(-5/-5)))))</f>
        <v>5111.56</v>
      </c>
      <c r="C11021" t="n" s="0">
        <v>5111.5599999999995</v>
      </c>
    </row>
    <row r="11022">
      <c r="A11022" t="n" s="0">
        <v>10.21</v>
      </c>
      <c r="B11022" t="n" s="0">
        <f>(-5-((((-5*(-5/((-5/(((-5*(10.21--5))-(-5+((-5*10.21)*(((-5--5)+(10.21--5))+10.21))))-(-5+-5)))*-5)))/-5)--5)+(-5*(((10.21*(10.21-(-5/-5)))*(10.21-(10.21/(-5*10.21))))-(-5/-5)))))</f>
        <v>5126.803105</v>
      </c>
      <c r="C11022" t="n" s="0">
        <v>5126.803105000002</v>
      </c>
    </row>
    <row r="11023">
      <c r="A11023" t="n" s="0">
        <v>10.22</v>
      </c>
      <c r="B11023" t="n" s="0">
        <f>(-5-((((-5*(-5/((-5/(((-5*(10.22--5))-(-5+((-5*10.22)*(((-5--5)+(10.22--5))+10.22))))-(-5+-5)))*-5)))/-5)--5)+(-5*(((10.22*(10.22-(-5/-5)))*(10.22-(10.22/(-5*10.22))))-(-5/-5)))))</f>
        <v>5142.076440000003</v>
      </c>
      <c r="C11023" t="n" s="0">
        <v>5142.076440000001</v>
      </c>
    </row>
    <row r="11024">
      <c r="A11024" t="n" s="0">
        <v>10.23</v>
      </c>
      <c r="B11024" t="n" s="0">
        <f>(-5-((((-5*(-5/((-5/(((-5*(10.23--5))-(-5+((-5*10.23)*(((-5--5)+(10.23--5))+10.23))))-(-5+-5)))*-5)))/-5)--5)+(-5*(((10.23*(10.23-(-5/-5)))*(10.23-(10.23/(-5*10.23))))-(-5/-5)))))</f>
        <v>5157.380034999998</v>
      </c>
      <c r="C11024" t="n" s="0">
        <v>5157.380035</v>
      </c>
    </row>
    <row r="11025">
      <c r="A11025" t="n" s="0">
        <v>10.24</v>
      </c>
      <c r="B11025" t="n" s="0">
        <f>(-5-((((-5*(-5/((-5/(((-5*(10.24--5))-(-5+((-5*10.24)*(((-5--5)+(10.24--5))+10.24))))-(-5+-5)))*-5)))/-5)--5)+(-5*(((10.24*(10.24-(-5/-5)))*(10.24-(10.24/(-5*10.24))))-(-5/-5)))))</f>
        <v>5172.713919999997</v>
      </c>
      <c r="C11025" t="n" s="0">
        <v>5172.713920000002</v>
      </c>
    </row>
    <row r="11026">
      <c r="A11026" t="n" s="0">
        <v>10.25</v>
      </c>
      <c r="B11026" t="n" s="0">
        <f>(-5-((((-5*(-5/((-5/(((-5*(10.25--5))-(-5+((-5*10.25)*(((-5--5)+(10.25--5))+10.25))))-(-5+-5)))*-5)))/-5)--5)+(-5*(((10.25*(10.25-(-5/-5)))*(10.25-(10.25/(-5*10.25))))-(-5/-5)))))</f>
        <v>5188.078125</v>
      </c>
      <c r="C11026" t="n" s="0">
        <v>5188.078125</v>
      </c>
    </row>
    <row r="11027">
      <c r="A11027" t="n" s="0">
        <v>10.26</v>
      </c>
      <c r="B11027" t="n" s="0">
        <f>(-5-((((-5*(-5/((-5/(((-5*(10.26--5))-(-5+((-5*10.26)*(((-5--5)+(10.26--5))+10.26))))-(-5+-5)))*-5)))/-5)--5)+(-5*(((10.26*(10.26-(-5/-5)))*(10.26-(10.26/(-5*10.26))))-(-5/-5)))))</f>
        <v>5203.47268</v>
      </c>
      <c r="C11027" t="n" s="0">
        <v>5203.47268</v>
      </c>
    </row>
    <row r="11028">
      <c r="A11028" t="n" s="0">
        <v>10.27</v>
      </c>
      <c r="B11028" t="n" s="0">
        <f>(-5-((((-5*(-5/((-5/(((-5*(10.27--5))-(-5+((-5*10.27)*(((-5--5)+(10.27--5))+10.27))))-(-5+-5)))*-5)))/-5)--5)+(-5*(((10.27*(10.27-(-5/-5)))*(10.27-(10.27/(-5*10.27))))-(-5/-5)))))</f>
        <v>5218.897615000001</v>
      </c>
      <c r="C11028" t="n" s="0">
        <v>5218.897615</v>
      </c>
    </row>
    <row r="11029">
      <c r="A11029" t="n" s="0">
        <v>10.28</v>
      </c>
      <c r="B11029" t="n" s="0">
        <f>(-5-((((-5*(-5/((-5/(((-5*(10.28--5))-(-5+((-5*10.28)*(((-5--5)+(10.28--5))+10.28))))-(-5+-5)))*-5)))/-5)--5)+(-5*(((10.28*(10.28-(-5/-5)))*(10.28-(10.28/(-5*10.28))))-(-5/-5)))))</f>
        <v>5234.35296</v>
      </c>
      <c r="C11029" t="n" s="0">
        <v>5234.352959999999</v>
      </c>
    </row>
    <row r="11030">
      <c r="A11030" t="n" s="0">
        <v>10.29</v>
      </c>
      <c r="B11030" t="n" s="0">
        <f>(-5-((((-5*(-5/((-5/(((-5*(10.29--5))-(-5+((-5*10.29)*(((-5--5)+(10.29--5))+10.29))))-(-5+-5)))*-5)))/-5)--5)+(-5*(((10.29*(10.29-(-5/-5)))*(10.29-(10.29/(-5*10.29))))-(-5/-5)))))</f>
        <v>5249.838745</v>
      </c>
      <c r="C11030" t="n" s="0">
        <v>5249.838744999998</v>
      </c>
    </row>
    <row r="11031">
      <c r="A11031" t="n" s="0">
        <v>10.3</v>
      </c>
      <c r="B11031" t="n" s="0">
        <f>(-5-((((-5*(-5/((-5/(((-5*(10.3--5))-(-5+((-5*10.3)*(((-5--5)+(10.3--5))+10.3))))-(-5+-5)))*-5)))/-5)--5)+(-5*(((10.3*(10.3-(-5/-5)))*(10.3-(10.3/(-5*10.3))))-(-5/-5)))))</f>
        <v>5265.3550000000005</v>
      </c>
      <c r="C11031" t="n" s="0">
        <v>5265.355000000001</v>
      </c>
    </row>
    <row r="11032">
      <c r="A11032" t="n" s="0">
        <v>10.31</v>
      </c>
      <c r="B11032" t="n" s="0">
        <f>(-5-((((-5*(-5/((-5/(((-5*(10.31--5))-(-5+((-5*10.31)*(((-5--5)+(10.31--5))+10.31))))-(-5+-5)))*-5)))/-5)--5)+(-5*(((10.31*(10.31-(-5/-5)))*(10.31-(10.31/(-5*10.31))))-(-5/-5)))))</f>
        <v>5280.901755</v>
      </c>
      <c r="C11032" t="n" s="0">
        <v>5280.901755000002</v>
      </c>
    </row>
    <row r="11033">
      <c r="A11033" t="n" s="0">
        <v>10.32</v>
      </c>
      <c r="B11033" t="n" s="0">
        <f>(-5-((((-5*(-5/((-5/(((-5*(10.32--5))-(-5+((-5*10.32)*(((-5--5)+(10.32--5))+10.32))))-(-5+-5)))*-5)))/-5)--5)+(-5*(((10.32*(10.32-(-5/-5)))*(10.32-(10.32/(-5*10.32))))-(-5/-5)))))</f>
        <v>5296.47904</v>
      </c>
      <c r="C11033" t="n" s="0">
        <v>5296.479040000001</v>
      </c>
    </row>
    <row r="11034">
      <c r="A11034" t="n" s="0">
        <v>10.33</v>
      </c>
      <c r="B11034" t="n" s="0">
        <f>(-5-((((-5*(-5/((-5/(((-5*(10.33--5))-(-5+((-5*10.33)*(((-5--5)+(10.33--5))+10.33))))-(-5+-5)))*-5)))/-5)--5)+(-5*(((10.33*(10.33-(-5/-5)))*(10.33-(10.33/(-5*10.33))))-(-5/-5)))))</f>
        <v>5312.0868850000015</v>
      </c>
      <c r="C11034" t="n" s="0">
        <v>5312.086885</v>
      </c>
    </row>
    <row r="11035">
      <c r="A11035" t="n" s="0">
        <v>10.34</v>
      </c>
      <c r="B11035" t="n" s="0">
        <f>(-5-((((-5*(-5/((-5/(((-5*(10.34--5))-(-5+((-5*10.34)*(((-5--5)+(10.34--5))+10.34))))-(-5+-5)))*-5)))/-5)--5)+(-5*(((10.34*(10.34-(-5/-5)))*(10.34-(10.34/(-5*10.34))))-(-5/-5)))))</f>
        <v>5327.7253200000005</v>
      </c>
      <c r="C11035" t="n" s="0">
        <v>5327.7253200000005</v>
      </c>
    </row>
    <row r="11036">
      <c r="A11036" t="n" s="0">
        <v>10.35</v>
      </c>
      <c r="B11036" t="n" s="0">
        <f>(-5-((((-5*(-5/((-5/(((-5*(10.35--5))-(-5+((-5*10.35)*(((-5--5)+(10.35--5))+10.35))))-(-5+-5)))*-5)))/-5)--5)+(-5*(((10.35*(10.35-(-5/-5)))*(10.35-(10.35/(-5*10.35))))-(-5/-5)))))</f>
        <v>5343.394375000001</v>
      </c>
      <c r="C11036" t="n" s="0">
        <v>5343.394375</v>
      </c>
    </row>
    <row r="11037">
      <c r="A11037" t="n" s="0">
        <v>10.36</v>
      </c>
      <c r="B11037" t="n" s="0">
        <f>(-5-((((-5*(-5/((-5/(((-5*(10.36--5))-(-5+((-5*10.36)*(((-5--5)+(10.36--5))+10.36))))-(-5+-5)))*-5)))/-5)--5)+(-5*(((10.36*(10.36-(-5/-5)))*(10.36-(10.36/(-5*10.36))))-(-5/-5)))))</f>
        <v>5359.09408</v>
      </c>
      <c r="C11037" t="n" s="0">
        <v>5359.094079999999</v>
      </c>
    </row>
    <row r="11038">
      <c r="A11038" t="n" s="0">
        <v>10.37</v>
      </c>
      <c r="B11038" t="n" s="0">
        <f>(-5-((((-5*(-5/((-5/(((-5*(10.37--5))-(-5+((-5*10.37)*(((-5--5)+(10.37--5))+10.37))))-(-5+-5)))*-5)))/-5)--5)+(-5*(((10.37*(10.37-(-5/-5)))*(10.37-(10.37/(-5*10.37))))-(-5/-5)))))</f>
        <v>5374.824465</v>
      </c>
      <c r="C11038" t="n" s="0">
        <v>5374.824464999999</v>
      </c>
    </row>
    <row r="11039">
      <c r="A11039" t="n" s="0">
        <v>10.38</v>
      </c>
      <c r="B11039" t="n" s="0">
        <f>(-5-((((-5*(-5/((-5/(((-5*(10.38--5))-(-5+((-5*10.38)*(((-5--5)+(10.38--5))+10.38))))-(-5+-5)))*-5)))/-5)--5)+(-5*(((10.38*(10.38-(-5/-5)))*(10.38-(10.38/(-5*10.38))))-(-5/-5)))))</f>
        <v>5390.5855599999995</v>
      </c>
      <c r="C11039" t="n" s="0">
        <v>5390.585560000001</v>
      </c>
    </row>
    <row r="11040">
      <c r="A11040" t="n" s="0">
        <v>10.39</v>
      </c>
      <c r="B11040" t="n" s="0">
        <f>(-5-((((-5*(-5/((-5/(((-5*(10.39--5))-(-5+((-5*10.39)*(((-5--5)+(10.39--5))+10.39))))-(-5+-5)))*-5)))/-5)--5)+(-5*(((10.39*(10.39-(-5/-5)))*(10.39-(10.39/(-5*10.39))))-(-5/-5)))))</f>
        <v>5406.377395</v>
      </c>
      <c r="C11040" t="n" s="0">
        <v>5406.377395000001</v>
      </c>
    </row>
    <row r="11041">
      <c r="A11041" t="n" s="0">
        <v>10.4</v>
      </c>
      <c r="B11041" t="n" s="0">
        <f>(-5-((((-5*(-5/((-5/(((-5*(10.4--5))-(-5+((-5*10.4)*(((-5--5)+(10.4--5))+10.4))))-(-5+-5)))*-5)))/-5)--5)+(-5*(((10.4*(10.4-(-5/-5)))*(10.4-(10.4/(-5*10.4))))-(-5/-5)))))</f>
        <v>5422.2</v>
      </c>
      <c r="C11041" t="n" s="0">
        <v>5422.2</v>
      </c>
    </row>
    <row r="11042">
      <c r="A11042" t="n" s="0">
        <v>10.41</v>
      </c>
      <c r="B11042" t="n" s="0">
        <f>(-5-((((-5*(-5/((-5/(((-5*(10.41--5))-(-5+((-5*10.41)*(((-5--5)+(10.41--5))+10.41))))-(-5+-5)))*-5)))/-5)--5)+(-5*(((10.41*(10.41-(-5/-5)))*(10.41-(10.41/(-5*10.41))))-(-5/-5)))))</f>
        <v>5438.053405</v>
      </c>
      <c r="C11042" t="n" s="0">
        <v>5438.053404999999</v>
      </c>
    </row>
    <row r="11043">
      <c r="A11043" t="n" s="0">
        <v>10.42</v>
      </c>
      <c r="B11043" t="n" s="0">
        <f>(-5-((((-5*(-5/((-5/(((-5*(10.42--5))-(-5+((-5*10.42)*(((-5--5)+(10.42--5))+10.42))))-(-5+-5)))*-5)))/-5)--5)+(-5*(((10.42*(10.42-(-5/-5)))*(10.42-(10.42/(-5*10.42))))-(-5/-5)))))</f>
        <v>5453.93764</v>
      </c>
      <c r="C11043" t="n" s="0">
        <v>5453.93764</v>
      </c>
    </row>
    <row r="11044">
      <c r="A11044" t="n" s="0">
        <v>10.43</v>
      </c>
      <c r="B11044" t="n" s="0">
        <f>(-5-((((-5*(-5/((-5/(((-5*(10.43--5))-(-5+((-5*10.43)*(((-5--5)+(10.43--5))+10.43))))-(-5+-5)))*-5)))/-5)--5)+(-5*(((10.43*(10.43-(-5/-5)))*(10.43-(10.43/(-5*10.43))))-(-5/-5)))))</f>
        <v>5469.852735</v>
      </c>
      <c r="C11044" t="n" s="0">
        <v>5469.8527349999995</v>
      </c>
    </row>
    <row r="11045">
      <c r="A11045" t="n" s="0">
        <v>10.44</v>
      </c>
      <c r="B11045" t="n" s="0">
        <f>(-5-((((-5*(-5/((-5/(((-5*(10.44--5))-(-5+((-5*10.44)*(((-5--5)+(10.44--5))+10.44))))-(-5+-5)))*-5)))/-5)--5)+(-5*(((10.44*(10.44-(-5/-5)))*(10.44-(10.44/(-5*10.44))))-(-5/-5)))))</f>
        <v>5485.79872</v>
      </c>
      <c r="C11045" t="n" s="0">
        <v>5485.798719999999</v>
      </c>
    </row>
    <row r="11046">
      <c r="A11046" t="n" s="0">
        <v>10.45</v>
      </c>
      <c r="B11046" t="n" s="0">
        <f>(-5-((((-5*(-5/((-5/(((-5*(10.45--5))-(-5+((-5*10.45)*(((-5--5)+(10.45--5))+10.45))))-(-5+-5)))*-5)))/-5)--5)+(-5*(((10.45*(10.45-(-5/-5)))*(10.45-(10.45/(-5*10.45))))-(-5/-5)))))</f>
        <v>5501.775625</v>
      </c>
      <c r="C11046" t="n" s="0">
        <v>5501.775624999999</v>
      </c>
    </row>
    <row r="11047">
      <c r="A11047" t="n" s="0">
        <v>10.46</v>
      </c>
      <c r="B11047" t="n" s="0">
        <f>(-5-((((-5*(-5/((-5/(((-5*(10.46--5))-(-5+((-5*10.46)*(((-5--5)+(10.46--5))+10.46))))-(-5+-5)))*-5)))/-5)--5)+(-5*(((10.46*(10.46-(-5/-5)))*(10.46-(10.46/(-5*10.46))))-(-5/-5)))))</f>
        <v>5517.78348</v>
      </c>
      <c r="C11047" t="n" s="0">
        <v>5517.783480000002</v>
      </c>
    </row>
    <row r="11048">
      <c r="A11048" t="n" s="0">
        <v>10.47</v>
      </c>
      <c r="B11048" t="n" s="0">
        <f>(-5-((((-5*(-5/((-5/(((-5*(10.47--5))-(-5+((-5*10.47)*(((-5--5)+(10.47--5))+10.47))))-(-5+-5)))*-5)))/-5)--5)+(-5*(((10.47*(10.47-(-5/-5)))*(10.47-(10.47/(-5*10.47))))-(-5/-5)))))</f>
        <v>5533.822315</v>
      </c>
      <c r="C11048" t="n" s="0">
        <v>5533.822315</v>
      </c>
    </row>
    <row r="11049">
      <c r="A11049" t="n" s="0">
        <v>10.48</v>
      </c>
      <c r="B11049" t="n" s="0">
        <f>(-5-((((-5*(-5/((-5/(((-5*(10.48--5))-(-5+((-5*10.48)*(((-5--5)+(10.48--5))+10.48))))-(-5+-5)))*-5)))/-5)--5)+(-5*(((10.48*(10.48-(-5/-5)))*(10.48-(10.48/(-5*10.48))))-(-5/-5)))))</f>
        <v>5549.892159999999</v>
      </c>
      <c r="C11049" t="n" s="0">
        <v>5549.89216</v>
      </c>
    </row>
    <row r="11050">
      <c r="A11050" t="n" s="0">
        <v>10.49</v>
      </c>
      <c r="B11050" t="n" s="0">
        <f>(-5-((((-5*(-5/((-5/(((-5*(10.49--5))-(-5+((-5*10.49)*(((-5--5)+(10.49--5))+10.49))))-(-5+-5)))*-5)))/-5)--5)+(-5*(((10.49*(10.49-(-5/-5)))*(10.49-(10.49/(-5*10.49))))-(-5/-5)))))</f>
        <v>5565.993045</v>
      </c>
      <c r="C11050" t="n" s="0">
        <v>5565.993045</v>
      </c>
    </row>
    <row r="11051">
      <c r="A11051" t="n" s="0">
        <v>10.5</v>
      </c>
      <c r="B11051" t="n" s="0">
        <f>(-5-((((-5*(-5/((-5/(((-5*(10.5--5))-(-5+((-5*10.5)*(((-5--5)+(10.5--5))+10.5))))-(-5+-5)))*-5)))/-5)--5)+(-5*(((10.5*(10.5-(-5/-5)))*(10.5-(10.5/(-5*10.5))))-(-5/-5)))))</f>
        <v>5582.124999999998</v>
      </c>
      <c r="C11051" t="n" s="0">
        <v>5582.125</v>
      </c>
    </row>
    <row r="11052">
      <c r="A11052" t="n" s="0">
        <v>10.51</v>
      </c>
      <c r="B11052" t="n" s="0">
        <f>(-5-((((-5*(-5/((-5/(((-5*(10.51--5))-(-5+((-5*10.51)*(((-5--5)+(10.51--5))+10.51))))-(-5+-5)))*-5)))/-5)--5)+(-5*(((10.51*(10.51-(-5/-5)))*(10.51-(10.51/(-5*10.51))))-(-5/-5)))))</f>
        <v>5598.288054999998</v>
      </c>
      <c r="C11052" t="n" s="0">
        <v>5598.288055</v>
      </c>
    </row>
    <row r="11053">
      <c r="A11053" t="n" s="0">
        <v>10.52</v>
      </c>
      <c r="B11053" t="n" s="0">
        <f>(-5-((((-5*(-5/((-5/(((-5*(10.52--5))-(-5+((-5*10.52)*(((-5--5)+(10.52--5))+10.52))))-(-5+-5)))*-5)))/-5)--5)+(-5*(((10.52*(10.52-(-5/-5)))*(10.52-(10.52/(-5*10.52))))-(-5/-5)))))</f>
        <v>5614.48224</v>
      </c>
      <c r="C11053" t="n" s="0">
        <v>5614.482239999999</v>
      </c>
    </row>
    <row r="11054">
      <c r="A11054" t="n" s="0">
        <v>10.53</v>
      </c>
      <c r="B11054" t="n" s="0">
        <f>(-5-((((-5*(-5/((-5/(((-5*(10.53--5))-(-5+((-5*10.53)*(((-5--5)+(10.53--5))+10.53))))-(-5+-5)))*-5)))/-5)--5)+(-5*(((10.53*(10.53-(-5/-5)))*(10.53-(10.53/(-5*10.53))))-(-5/-5)))))</f>
        <v>5630.707585</v>
      </c>
      <c r="C11054" t="n" s="0">
        <v>5630.707584999998</v>
      </c>
    </row>
    <row r="11055">
      <c r="A11055" t="n" s="0">
        <v>10.54</v>
      </c>
      <c r="B11055" t="n" s="0">
        <f>(-5-((((-5*(-5/((-5/(((-5*(10.54--5))-(-5+((-5*10.54)*(((-5--5)+(10.54--5))+10.54))))-(-5+-5)))*-5)))/-5)--5)+(-5*(((10.54*(10.54-(-5/-5)))*(10.54-(10.54/(-5*10.54))))-(-5/-5)))))</f>
        <v>5646.964120000001</v>
      </c>
      <c r="C11055" t="n" s="0">
        <v>5646.964119999998</v>
      </c>
    </row>
    <row r="11056">
      <c r="A11056" t="n" s="0">
        <v>10.55</v>
      </c>
      <c r="B11056" t="n" s="0">
        <f>(-5-((((-5*(-5/((-5/(((-5*(10.55--5))-(-5+((-5*10.55)*(((-5--5)+(10.55--5))+10.55))))-(-5+-5)))*-5)))/-5)--5)+(-5*(((10.55*(10.55-(-5/-5)))*(10.55-(10.55/(-5*10.55))))-(-5/-5)))))</f>
        <v>5663.251875</v>
      </c>
      <c r="C11056" t="n" s="0">
        <v>5663.251875000002</v>
      </c>
    </row>
    <row r="11057">
      <c r="A11057" t="n" s="0">
        <v>10.56</v>
      </c>
      <c r="B11057" t="n" s="0">
        <f>(-5-((((-5*(-5/((-5/(((-5*(10.56--5))-(-5+((-5*10.56)*(((-5--5)+(10.56--5))+10.56))))-(-5+-5)))*-5)))/-5)--5)+(-5*(((10.56*(10.56-(-5/-5)))*(10.56-(10.56/(-5*10.56))))-(-5/-5)))))</f>
        <v>5679.57088</v>
      </c>
      <c r="C11057" t="n" s="0">
        <v>5679.57088</v>
      </c>
    </row>
    <row r="11058">
      <c r="A11058" t="n" s="0">
        <v>10.57</v>
      </c>
      <c r="B11058" t="n" s="0">
        <f>(-5-((((-5*(-5/((-5/(((-5*(10.57--5))-(-5+((-5*10.57)*(((-5--5)+(10.57--5))+10.57))))-(-5+-5)))*-5)))/-5)--5)+(-5*(((10.57*(10.57-(-5/-5)))*(10.57-(10.57/(-5*10.57))))-(-5/-5)))))</f>
        <v>5695.921165</v>
      </c>
      <c r="C11058" t="n" s="0">
        <v>5695.921165000001</v>
      </c>
    </row>
    <row r="11059">
      <c r="A11059" t="n" s="0">
        <v>10.58</v>
      </c>
      <c r="B11059" t="n" s="0">
        <f>(-5-((((-5*(-5/((-5/(((-5*(10.58--5))-(-5+((-5*10.58)*(((-5--5)+(10.58--5))+10.58))))-(-5+-5)))*-5)))/-5)--5)+(-5*(((10.58*(10.58-(-5/-5)))*(10.58-(10.58/(-5*10.58))))-(-5/-5)))))</f>
        <v>5712.30276</v>
      </c>
      <c r="C11059" t="n" s="0">
        <v>5712.30276</v>
      </c>
    </row>
    <row r="11060">
      <c r="A11060" t="n" s="0">
        <v>10.59</v>
      </c>
      <c r="B11060" t="n" s="0">
        <f>(-5-((((-5*(-5/((-5/(((-5*(10.59--5))-(-5+((-5*10.59)*(((-5--5)+(10.59--5))+10.59))))-(-5+-5)))*-5)))/-5)--5)+(-5*(((10.59*(10.59-(-5/-5)))*(10.59-(10.59/(-5*10.59))))-(-5/-5)))))</f>
        <v>5728.715694999998</v>
      </c>
      <c r="C11060" t="n" s="0">
        <v>5728.715695000001</v>
      </c>
    </row>
    <row r="11061">
      <c r="A11061" t="n" s="0">
        <v>10.6</v>
      </c>
      <c r="B11061" t="n" s="0">
        <f>(-5-((((-5*(-5/((-5/(((-5*(10.6--5))-(-5+((-5*10.6)*(((-5--5)+(10.6--5))+10.6))))-(-5+-5)))*-5)))/-5)--5)+(-5*(((10.6*(10.6-(-5/-5)))*(10.6-(10.6/(-5*10.6))))-(-5/-5)))))</f>
        <v>5745.16</v>
      </c>
      <c r="C11061" t="n" s="0">
        <v>5745.159999999999</v>
      </c>
    </row>
    <row r="11062">
      <c r="A11062" t="n" s="0">
        <v>10.61</v>
      </c>
      <c r="B11062" t="n" s="0">
        <f>(-5-((((-5*(-5/((-5/(((-5*(10.61--5))-(-5+((-5*10.61)*(((-5--5)+(10.61--5))+10.61))))-(-5+-5)))*-5)))/-5)--5)+(-5*(((10.61*(10.61-(-5/-5)))*(10.61-(10.61/(-5*10.61))))-(-5/-5)))))</f>
        <v>5761.635705000001</v>
      </c>
      <c r="C11062" t="n" s="0">
        <v>5761.635705</v>
      </c>
    </row>
    <row r="11063">
      <c r="A11063" t="n" s="0">
        <v>10.62</v>
      </c>
      <c r="B11063" t="n" s="0">
        <f>(-5-((((-5*(-5/((-5/(((-5*(10.62--5))-(-5+((-5*10.62)*(((-5--5)+(10.62--5))+10.62))))-(-5+-5)))*-5)))/-5)--5)+(-5*(((10.62*(10.62-(-5/-5)))*(10.62-(10.62/(-5*10.62))))-(-5/-5)))))</f>
        <v>5778.14284</v>
      </c>
      <c r="C11063" t="n" s="0">
        <v>5778.142839999999</v>
      </c>
    </row>
    <row r="11064">
      <c r="A11064" t="n" s="0">
        <v>10.63</v>
      </c>
      <c r="B11064" t="n" s="0">
        <f>(-5-((((-5*(-5/((-5/(((-5*(10.63--5))-(-5+((-5*10.63)*(((-5--5)+(10.63--5))+10.63))))-(-5+-5)))*-5)))/-5)--5)+(-5*(((10.63*(10.63-(-5/-5)))*(10.63-(10.63/(-5*10.63))))-(-5/-5)))))</f>
        <v>5794.6814349999995</v>
      </c>
      <c r="C11064" t="n" s="0">
        <v>5794.681435000002</v>
      </c>
    </row>
    <row r="11065">
      <c r="A11065" t="n" s="0">
        <v>10.64</v>
      </c>
      <c r="B11065" t="n" s="0">
        <f>(-5-((((-5*(-5/((-5/(((-5*(10.64--5))-(-5+((-5*10.64)*(((-5--5)+(10.64--5))+10.64))))-(-5+-5)))*-5)))/-5)--5)+(-5*(((10.64*(10.64-(-5/-5)))*(10.64-(10.64/(-5*10.64))))-(-5/-5)))))</f>
        <v>5811.25152</v>
      </c>
      <c r="C11065" t="n" s="0">
        <v>5811.251520000002</v>
      </c>
    </row>
    <row r="11066">
      <c r="A11066" t="n" s="0">
        <v>10.65</v>
      </c>
      <c r="B11066" t="n" s="0">
        <f>(-5-((((-5*(-5/((-5/(((-5*(10.65--5))-(-5+((-5*10.65)*(((-5--5)+(10.65--5))+10.65))))-(-5+-5)))*-5)))/-5)--5)+(-5*(((10.65*(10.65-(-5/-5)))*(10.65-(10.65/(-5*10.65))))-(-5/-5)))))</f>
        <v>5827.853125</v>
      </c>
      <c r="C11066" t="n" s="0">
        <v>5827.853125000001</v>
      </c>
    </row>
    <row r="11067">
      <c r="A11067" t="n" s="0">
        <v>10.66</v>
      </c>
      <c r="B11067" t="n" s="0">
        <f>(-5-((((-5*(-5/((-5/(((-5*(10.66--5))-(-5+((-5*10.66)*(((-5--5)+(10.66--5))+10.66))))-(-5+-5)))*-5)))/-5)--5)+(-5*(((10.66*(10.66-(-5/-5)))*(10.66-(10.66/(-5*10.66))))-(-5/-5)))))</f>
        <v>5844.486279999999</v>
      </c>
      <c r="C11067" t="n" s="0">
        <v>5844.48628</v>
      </c>
    </row>
    <row r="11068">
      <c r="A11068" t="n" s="0">
        <v>10.67</v>
      </c>
      <c r="B11068" t="n" s="0">
        <f>(-5-((((-5*(-5/((-5/(((-5*(10.67--5))-(-5+((-5*10.67)*(((-5--5)+(10.67--5))+10.67))))-(-5+-5)))*-5)))/-5)--5)+(-5*(((10.67*(10.67-(-5/-5)))*(10.67-(10.67/(-5*10.67))))-(-5/-5)))))</f>
        <v>5861.151015</v>
      </c>
      <c r="C11068" t="n" s="0">
        <v>5861.151015</v>
      </c>
    </row>
    <row r="11069">
      <c r="A11069" t="n" s="0">
        <v>10.68</v>
      </c>
      <c r="B11069" t="n" s="0">
        <f>(-5-((((-5*(-5/((-5/(((-5*(10.68--5))-(-5+((-5*10.68)*(((-5--5)+(10.68--5))+10.68))))-(-5+-5)))*-5)))/-5)--5)+(-5*(((10.68*(10.68-(-5/-5)))*(10.68-(10.68/(-5*10.68))))-(-5/-5)))))</f>
        <v>5877.84736</v>
      </c>
      <c r="C11069" t="n" s="0">
        <v>5877.847360000001</v>
      </c>
    </row>
    <row r="11070">
      <c r="A11070" t="n" s="0">
        <v>10.69</v>
      </c>
      <c r="B11070" t="n" s="0">
        <f>(-5-((((-5*(-5/((-5/(((-5*(10.69--5))-(-5+((-5*10.69)*(((-5--5)+(10.69--5))+10.69))))-(-5+-5)))*-5)))/-5)--5)+(-5*(((10.69*(10.69-(-5/-5)))*(10.69-(10.69/(-5*10.69))))-(-5/-5)))))</f>
        <v>5894.575345</v>
      </c>
      <c r="C11070" t="n" s="0">
        <v>5894.575344999999</v>
      </c>
    </row>
    <row r="11071">
      <c r="A11071" t="n" s="0">
        <v>10.7</v>
      </c>
      <c r="B11071" t="n" s="0">
        <f>(-5-((((-5*(-5/((-5/(((-5*(10.7--5))-(-5+((-5*10.7)*(((-5--5)+(10.7--5))+10.7))))-(-5+-5)))*-5)))/-5)--5)+(-5*(((10.7*(10.7-(-5/-5)))*(10.7-(10.7/(-5*10.7))))-(-5/-5)))))</f>
        <v>5911.335</v>
      </c>
      <c r="C11071" t="n" s="0">
        <v>5911.334999999999</v>
      </c>
    </row>
    <row r="11072">
      <c r="A11072" t="n" s="0">
        <v>10.71</v>
      </c>
      <c r="B11072" t="n" s="0">
        <f>(-5-((((-5*(-5/((-5/(((-5*(10.71--5))-(-5+((-5*10.71)*(((-5--5)+(10.71--5))+10.71))))-(-5+-5)))*-5)))/-5)--5)+(-5*(((10.71*(10.71-(-5/-5)))*(10.71-(10.71/(-5*10.71))))-(-5/-5)))))</f>
        <v>5928.126355</v>
      </c>
      <c r="C11072" t="n" s="0">
        <v>5928.126355000002</v>
      </c>
    </row>
    <row r="11073">
      <c r="A11073" t="n" s="0">
        <v>10.72</v>
      </c>
      <c r="B11073" t="n" s="0">
        <f>(-5-((((-5*(-5/((-5/(((-5*(10.72--5))-(-5+((-5*10.72)*(((-5--5)+(10.72--5))+10.72))))-(-5+-5)))*-5)))/-5)--5)+(-5*(((10.72*(10.72-(-5/-5)))*(10.72-(10.72/(-5*10.72))))-(-5/-5)))))</f>
        <v>5944.94944</v>
      </c>
      <c r="C11073" t="n" s="0">
        <v>5944.949440000001</v>
      </c>
    </row>
    <row r="11074">
      <c r="A11074" t="n" s="0">
        <v>10.73</v>
      </c>
      <c r="B11074" t="n" s="0">
        <f>(-5-((((-5*(-5/((-5/(((-5*(10.73--5))-(-5+((-5*10.73)*(((-5--5)+(10.73--5))+10.73))))-(-5+-5)))*-5)))/-5)--5)+(-5*(((10.73*(10.73-(-5/-5)))*(10.73-(10.73/(-5*10.73))))-(-5/-5)))))</f>
        <v>5961.804285000002</v>
      </c>
      <c r="C11074" t="n" s="0">
        <v>5961.804285</v>
      </c>
    </row>
    <row r="11075">
      <c r="A11075" t="n" s="0">
        <v>10.74</v>
      </c>
      <c r="B11075" t="n" s="0">
        <f>(-5-((((-5*(-5/((-5/(((-5*(10.74--5))-(-5+((-5*10.74)*(((-5--5)+(10.74--5))+10.74))))-(-5+-5)))*-5)))/-5)--5)+(-5*(((10.74*(10.74-(-5/-5)))*(10.74-(10.74/(-5*10.74))))-(-5/-5)))))</f>
        <v>5978.69092</v>
      </c>
      <c r="C11075" t="n" s="0">
        <v>5978.69092</v>
      </c>
    </row>
    <row r="11076">
      <c r="A11076" t="n" s="0">
        <v>10.75</v>
      </c>
      <c r="B11076" t="n" s="0">
        <f>(-5-((((-5*(-5/((-5/(((-5*(10.75--5))-(-5+((-5*10.75)*(((-5--5)+(10.75--5))+10.75))))-(-5+-5)))*-5)))/-5)--5)+(-5*(((10.75*(10.75-(-5/-5)))*(10.75-(10.75/(-5*10.75))))-(-5/-5)))))</f>
        <v>5995.609375</v>
      </c>
      <c r="C11076" t="n" s="0">
        <v>5995.609375</v>
      </c>
    </row>
    <row r="11077">
      <c r="A11077" t="n" s="0">
        <v>10.76</v>
      </c>
      <c r="B11077" t="n" s="0">
        <f>(-5-((((-5*(-5/((-5/(((-5*(10.76--5))-(-5+((-5*10.76)*(((-5--5)+(10.76--5))+10.76))))-(-5+-5)))*-5)))/-5)--5)+(-5*(((10.76*(10.76-(-5/-5)))*(10.76-(10.76/(-5*10.76))))-(-5/-5)))))</f>
        <v>6012.559679999999</v>
      </c>
      <c r="C11077" t="n" s="0">
        <v>6012.559679999999</v>
      </c>
    </row>
    <row r="11078">
      <c r="A11078" t="n" s="0">
        <v>10.77</v>
      </c>
      <c r="B11078" t="n" s="0">
        <f>(-5-((((-5*(-5/((-5/(((-5*(10.77--5))-(-5+((-5*10.77)*(((-5--5)+(10.77--5))+10.77))))-(-5+-5)))*-5)))/-5)--5)+(-5*(((10.77*(10.77-(-5/-5)))*(10.77-(10.77/(-5*10.77))))-(-5/-5)))))</f>
        <v>6029.541865</v>
      </c>
      <c r="C11078" t="n" s="0">
        <v>6029.541864999999</v>
      </c>
    </row>
    <row r="11079">
      <c r="A11079" t="n" s="0">
        <v>10.78</v>
      </c>
      <c r="B11079" t="n" s="0">
        <f>(-5-((((-5*(-5/((-5/(((-5*(10.78--5))-(-5+((-5*10.78)*(((-5--5)+(10.78--5))+10.78))))-(-5+-5)))*-5)))/-5)--5)+(-5*(((10.78*(10.78-(-5/-5)))*(10.78-(10.78/(-5*10.78))))-(-5/-5)))))</f>
        <v>6046.55596</v>
      </c>
      <c r="C11079" t="n" s="0">
        <v>6046.55596</v>
      </c>
    </row>
    <row r="11080">
      <c r="A11080" t="n" s="0">
        <v>10.79</v>
      </c>
      <c r="B11080" t="n" s="0">
        <f>(-5-((((-5*(-5/((-5/(((-5*(10.79--5))-(-5+((-5*10.79)*(((-5--5)+(10.79--5))+10.79))))-(-5+-5)))*-5)))/-5)--5)+(-5*(((10.79*(10.79-(-5/-5)))*(10.79-(10.79/(-5*10.79))))-(-5/-5)))))</f>
        <v>6063.601995</v>
      </c>
      <c r="C11080" t="n" s="0">
        <v>6063.601994999998</v>
      </c>
    </row>
    <row r="11081">
      <c r="A11081" t="n" s="0">
        <v>10.8</v>
      </c>
      <c r="B11081" t="n" s="0">
        <f>(-5-((((-5*(-5/((-5/(((-5*(10.8--5))-(-5+((-5*10.8)*(((-5--5)+(10.8--5))+10.8))))-(-5+-5)))*-5)))/-5)--5)+(-5*(((10.8*(10.8-(-5/-5)))*(10.8-(10.8/(-5*10.8))))-(-5/-5)))))</f>
        <v>6080.68</v>
      </c>
      <c r="C11081" t="n" s="0">
        <v>6080.680000000001</v>
      </c>
    </row>
    <row r="11082">
      <c r="A11082" t="n" s="0">
        <v>10.81</v>
      </c>
      <c r="B11082" t="n" s="0">
        <f>(-5-((((-5*(-5/((-5/(((-5*(10.81--5))-(-5+((-5*10.81)*(((-5--5)+(10.81--5))+10.81))))-(-5+-5)))*-5)))/-5)--5)+(-5*(((10.81*(10.81-(-5/-5)))*(10.81-(10.81/(-5*10.81))))-(-5/-5)))))</f>
        <v>6097.790005</v>
      </c>
      <c r="C11082" t="n" s="0">
        <v>6097.790005000001</v>
      </c>
    </row>
    <row r="11083">
      <c r="A11083" t="n" s="0">
        <v>10.82</v>
      </c>
      <c r="B11083" t="n" s="0">
        <f>(-5-((((-5*(-5/((-5/(((-5*(10.82--5))-(-5+((-5*10.82)*(((-5--5)+(10.82--5))+10.82))))-(-5+-5)))*-5)))/-5)--5)+(-5*(((10.82*(10.82-(-5/-5)))*(10.82-(10.82/(-5*10.82))))-(-5/-5)))))</f>
        <v>6114.93204</v>
      </c>
      <c r="C11083" t="n" s="0">
        <v>6114.932040000001</v>
      </c>
    </row>
    <row r="11084">
      <c r="A11084" t="n" s="0">
        <v>10.83</v>
      </c>
      <c r="B11084" t="n" s="0">
        <f>(-5-((((-5*(-5/((-5/(((-5*(10.83--5))-(-5+((-5*10.83)*(((-5--5)+(10.83--5))+10.83))))-(-5+-5)))*-5)))/-5)--5)+(-5*(((10.83*(10.83-(-5/-5)))*(10.83-(10.83/(-5*10.83))))-(-5/-5)))))</f>
        <v>6132.106135</v>
      </c>
      <c r="C11084" t="n" s="0">
        <v>6132.106135</v>
      </c>
    </row>
    <row r="11085">
      <c r="A11085" t="n" s="0">
        <v>10.84</v>
      </c>
      <c r="B11085" t="n" s="0">
        <f>(-5-((((-5*(-5/((-5/(((-5*(10.84--5))-(-5+((-5*10.84)*(((-5--5)+(10.84--5))+10.84))))-(-5+-5)))*-5)))/-5)--5)+(-5*(((10.84*(10.84-(-5/-5)))*(10.84-(10.84/(-5*10.84))))-(-5/-5)))))</f>
        <v>6149.31232</v>
      </c>
      <c r="C11085" t="n" s="0">
        <v>6149.312320000001</v>
      </c>
    </row>
    <row r="11086">
      <c r="A11086" t="n" s="0">
        <v>10.85</v>
      </c>
      <c r="B11086" t="n" s="0">
        <f>(-5-((((-5*(-5/((-5/(((-5*(10.85--5))-(-5+((-5*10.85)*(((-5--5)+(10.85--5))+10.85))))-(-5+-5)))*-5)))/-5)--5)+(-5*(((10.85*(10.85-(-5/-5)))*(10.85-(10.85/(-5*10.85))))-(-5/-5)))))</f>
        <v>6166.550625</v>
      </c>
      <c r="C11086" t="n" s="0">
        <v>6166.550624999999</v>
      </c>
    </row>
    <row r="11087">
      <c r="A11087" t="n" s="0">
        <v>10.86</v>
      </c>
      <c r="B11087" t="n" s="0">
        <f>(-5-((((-5*(-5/((-5/(((-5*(10.86--5))-(-5+((-5*10.86)*(((-5--5)+(10.86--5))+10.86))))-(-5+-5)))*-5)))/-5)--5)+(-5*(((10.86*(10.86-(-5/-5)))*(10.86-(10.86/(-5*10.86))))-(-5/-5)))))</f>
        <v>6183.8210800000015</v>
      </c>
      <c r="C11087" t="n" s="0">
        <v>6183.821079999998</v>
      </c>
    </row>
    <row r="11088">
      <c r="A11088" t="n" s="0">
        <v>10.87</v>
      </c>
      <c r="B11088" t="n" s="0">
        <f>(-5-((((-5*(-5/((-5/(((-5*(10.87--5))-(-5+((-5*10.87)*(((-5--5)+(10.87--5))+10.87))))-(-5+-5)))*-5)))/-5)--5)+(-5*(((10.87*(10.87-(-5/-5)))*(10.87-(10.87/(-5*10.87))))-(-5/-5)))))</f>
        <v>6201.123715000001</v>
      </c>
      <c r="C11088" t="n" s="0">
        <v>6201.123714999999</v>
      </c>
    </row>
    <row r="11089">
      <c r="A11089" t="n" s="0">
        <v>10.88</v>
      </c>
      <c r="B11089" t="n" s="0">
        <f>(-5-((((-5*(-5/((-5/(((-5*(10.88--5))-(-5+((-5*10.88)*(((-5--5)+(10.88--5))+10.88))))-(-5+-5)))*-5)))/-5)--5)+(-5*(((10.88*(10.88-(-5/-5)))*(10.88-(10.88/(-5*10.88))))-(-5/-5)))))</f>
        <v>6218.45856</v>
      </c>
      <c r="C11089" t="n" s="0">
        <v>6218.458560000001</v>
      </c>
    </row>
    <row r="11090">
      <c r="A11090" t="n" s="0">
        <v>10.89</v>
      </c>
      <c r="B11090" t="n" s="0">
        <f>(-5-((((-5*(-5/((-5/(((-5*(10.89--5))-(-5+((-5*10.89)*(((-5--5)+(10.89--5))+10.89))))-(-5+-5)))*-5)))/-5)--5)+(-5*(((10.89*(10.89-(-5/-5)))*(10.89-(10.89/(-5*10.89))))-(-5/-5)))))</f>
        <v>6235.825645</v>
      </c>
      <c r="C11090" t="n" s="0">
        <v>6235.825645000002</v>
      </c>
    </row>
    <row r="11091">
      <c r="A11091" t="n" s="0">
        <v>10.9</v>
      </c>
      <c r="B11091" t="n" s="0">
        <f>(-5-((((-5*(-5/((-5/(((-5*(10.9--5))-(-5+((-5*10.9)*(((-5--5)+(10.9--5))+10.9))))-(-5+-5)))*-5)))/-5)--5)+(-5*(((10.9*(10.9-(-5/-5)))*(10.9-(10.9/(-5*10.9))))-(-5/-5)))))</f>
        <v>6253.225</v>
      </c>
      <c r="C11091" t="n" s="0">
        <v>6253.225000000001</v>
      </c>
    </row>
    <row r="11092">
      <c r="A11092" t="n" s="0">
        <v>10.91</v>
      </c>
      <c r="B11092" t="n" s="0">
        <f>(-5-((((-5*(-5/((-5/(((-5*(10.91--5))-(-5+((-5*10.91)*(((-5--5)+(10.91--5))+10.91))))-(-5+-5)))*-5)))/-5)--5)+(-5*(((10.91*(10.91-(-5/-5)))*(10.91-(10.91/(-5*10.91))))-(-5/-5)))))</f>
        <v>6270.656654999998</v>
      </c>
      <c r="C11092" t="n" s="0">
        <v>6270.656655</v>
      </c>
    </row>
    <row r="11093">
      <c r="A11093" t="n" s="0">
        <v>10.92</v>
      </c>
      <c r="B11093" t="n" s="0">
        <f>(-5-((((-5*(-5/((-5/(((-5*(10.92--5))-(-5+((-5*10.92)*(((-5--5)+(10.92--5))+10.92))))-(-5+-5)))*-5)))/-5)--5)+(-5*(((10.92*(10.92-(-5/-5)))*(10.92-(10.92/(-5*10.92))))-(-5/-5)))))</f>
        <v>6288.120640000002</v>
      </c>
      <c r="C11093" t="n" s="0">
        <v>6288.12064</v>
      </c>
    </row>
    <row r="11094">
      <c r="A11094" t="n" s="0">
        <v>10.93</v>
      </c>
      <c r="B11094" t="n" s="0">
        <f>(-5-((((-5*(-5/((-5/(((-5*(10.93--5))-(-5+((-5*10.93)*(((-5--5)+(10.93--5))+10.93))))-(-5+-5)))*-5)))/-5)--5)+(-5*(((10.93*(10.93-(-5/-5)))*(10.93-(10.93/(-5*10.93))))-(-5/-5)))))</f>
        <v>6305.616985000002</v>
      </c>
      <c r="C11094" t="n" s="0">
        <v>6305.616985</v>
      </c>
    </row>
    <row r="11095">
      <c r="A11095" t="n" s="0">
        <v>10.94</v>
      </c>
      <c r="B11095" t="n" s="0">
        <f>(-5-((((-5*(-5/((-5/(((-5*(10.94--5))-(-5+((-5*10.94)*(((-5--5)+(10.94--5))+10.94))))-(-5+-5)))*-5)))/-5)--5)+(-5*(((10.94*(10.94-(-5/-5)))*(10.94-(10.94/(-5*10.94))))-(-5/-5)))))</f>
        <v>6323.145719999998</v>
      </c>
      <c r="C11095" t="n" s="0">
        <v>6323.1457199999995</v>
      </c>
    </row>
    <row r="11096">
      <c r="A11096" t="n" s="0">
        <v>10.95</v>
      </c>
      <c r="B11096" t="n" s="0">
        <f>(-5-((((-5*(-5/((-5/(((-5*(10.95--5))-(-5+((-5*10.95)*(((-5--5)+(10.95--5))+10.95))))-(-5+-5)))*-5)))/-5)--5)+(-5*(((10.95*(10.95-(-5/-5)))*(10.95-(10.95/(-5*10.95))))-(-5/-5)))))</f>
        <v>6340.706875</v>
      </c>
      <c r="C11096" t="n" s="0">
        <v>6340.706874999998</v>
      </c>
    </row>
    <row r="11097">
      <c r="A11097" t="n" s="0">
        <v>10.96</v>
      </c>
      <c r="B11097" t="n" s="0">
        <f>(-5-((((-5*(-5/((-5/(((-5*(10.96--5))-(-5+((-5*10.96)*(((-5--5)+(10.96--5))+10.96))))-(-5+-5)))*-5)))/-5)--5)+(-5*(((10.96*(10.96-(-5/-5)))*(10.96-(10.96/(-5*10.96))))-(-5/-5)))))</f>
        <v>6358.30048</v>
      </c>
      <c r="C11097" t="n" s="0">
        <v>6358.300480000002</v>
      </c>
    </row>
    <row r="11098">
      <c r="A11098" t="n" s="0">
        <v>10.97</v>
      </c>
      <c r="B11098" t="n" s="0">
        <f>(-5-((((-5*(-5/((-5/(((-5*(10.97--5))-(-5+((-5*10.97)*(((-5--5)+(10.97--5))+10.97))))-(-5+-5)))*-5)))/-5)--5)+(-5*(((10.97*(10.97-(-5/-5)))*(10.97-(10.97/(-5*10.97))))-(-5/-5)))))</f>
        <v>6375.926565000001</v>
      </c>
      <c r="C11098" t="n" s="0">
        <v>6375.926565</v>
      </c>
    </row>
    <row r="11099">
      <c r="A11099" t="n" s="0">
        <v>10.98</v>
      </c>
      <c r="B11099" t="n" s="0">
        <f>(-5-((((-5*(-5/((-5/(((-5*(10.98--5))-(-5+((-5*10.98)*(((-5--5)+(10.98--5))+10.98))))-(-5+-5)))*-5)))/-5)--5)+(-5*(((10.98*(10.98-(-5/-5)))*(10.98-(10.98/(-5*10.98))))-(-5/-5)))))</f>
        <v>6393.58516</v>
      </c>
      <c r="C11099" t="n" s="0">
        <v>6393.5851600000005</v>
      </c>
    </row>
    <row r="11100">
      <c r="A11100" t="n" s="0">
        <v>10.99</v>
      </c>
      <c r="B11100" t="n" s="0">
        <f>(-5-((((-5*(-5/((-5/(((-5*(10.99--5))-(-5+((-5*10.99)*(((-5--5)+(10.99--5))+10.99))))-(-5+-5)))*-5)))/-5)--5)+(-5*(((10.99*(10.99-(-5/-5)))*(10.99-(10.99/(-5*10.99))))-(-5/-5)))))</f>
        <v>6411.276295</v>
      </c>
      <c r="C11100" t="n" s="0">
        <v>6411.276295000001</v>
      </c>
    </row>
    <row r="11101">
      <c r="A11101" t="n" s="0">
        <v>11.0</v>
      </c>
      <c r="B11101" t="n" s="0">
        <f>(-5-((((-5*(-5/((-5/(((-5*(11--5))-(-5+((-5*11)*(((-5--5)+(11--5))+11))))-(-5+-5)))*-5)))/-5)--5)+(-5*(((11*(11-(-5/-5)))*(11-(11/(-5*11))))-(-5/-5)))))</f>
        <v>6429.0</v>
      </c>
      <c r="C11101" t="n" s="0">
        <v>6429.0</v>
      </c>
    </row>
    <row r="11102">
      <c r="A11102" t="n" s="0">
        <v>11.01</v>
      </c>
      <c r="B11102" t="n" s="0">
        <f>(-5-((((-5*(-5/((-5/(((-5*(11.01--5))-(-5+((-5*11.01)*(((-5--5)+(11.01--5))+11.01))))-(-5+-5)))*-5)))/-5)--5)+(-5*(((11.01*(11.01-(-5/-5)))*(11.01-(11.01/(-5*11.01))))-(-5/-5)))))</f>
        <v>6446.756305000002</v>
      </c>
      <c r="C11102" t="n" s="0">
        <v>6446.756304999999</v>
      </c>
    </row>
    <row r="11103">
      <c r="A11103" t="n" s="0">
        <v>11.02</v>
      </c>
      <c r="B11103" t="n" s="0">
        <f>(-5-((((-5*(-5/((-5/(((-5*(11.02--5))-(-5+((-5*11.02)*(((-5--5)+(11.02--5))+11.02))))-(-5+-5)))*-5)))/-5)--5)+(-5*(((11.02*(11.02-(-5/-5)))*(11.02-(11.02/(-5*11.02))))-(-5/-5)))))</f>
        <v>6464.5452399999995</v>
      </c>
      <c r="C11103" t="n" s="0">
        <v>6464.5452399999995</v>
      </c>
    </row>
    <row r="11104">
      <c r="A11104" t="n" s="0">
        <v>11.03</v>
      </c>
      <c r="B11104" t="n" s="0">
        <f>(-5-((((-5*(-5/((-5/(((-5*(11.03--5))-(-5+((-5*11.03)*(((-5--5)+(11.03--5))+11.03))))-(-5+-5)))*-5)))/-5)--5)+(-5*(((11.03*(11.03-(-5/-5)))*(11.03-(11.03/(-5*11.03))))-(-5/-5)))))</f>
        <v>6482.366835</v>
      </c>
      <c r="C11104" t="n" s="0">
        <v>6482.366834999999</v>
      </c>
    </row>
    <row r="11105">
      <c r="A11105" t="n" s="0">
        <v>11.04</v>
      </c>
      <c r="B11105" t="n" s="0">
        <f>(-5-((((-5*(-5/((-5/(((-5*(11.04--5))-(-5+((-5*11.04)*(((-5--5)+(11.04--5))+11.04))))-(-5+-5)))*-5)))/-5)--5)+(-5*(((11.04*(11.04-(-5/-5)))*(11.04-(11.04/(-5*11.04))))-(-5/-5)))))</f>
        <v>6500.22112</v>
      </c>
      <c r="C11105" t="n" s="0">
        <v>6500.221119999998</v>
      </c>
    </row>
    <row r="11106">
      <c r="A11106" t="n" s="0">
        <v>11.05</v>
      </c>
      <c r="B11106" t="n" s="0">
        <f>(-5-((((-5*(-5/((-5/(((-5*(11.05--5))-(-5+((-5*11.05)*(((-5--5)+(11.05--5))+11.05))))-(-5+-5)))*-5)))/-5)--5)+(-5*(((11.05*(11.05-(-5/-5)))*(11.05-(11.05/(-5*11.05))))-(-5/-5)))))</f>
        <v>6518.108125</v>
      </c>
      <c r="C11106" t="n" s="0">
        <v>6518.108125000002</v>
      </c>
    </row>
    <row r="11107">
      <c r="A11107" t="n" s="0">
        <v>11.06</v>
      </c>
      <c r="B11107" t="n" s="0">
        <f>(-5-((((-5*(-5/((-5/(((-5*(11.06--5))-(-5+((-5*11.06)*(((-5--5)+(11.06--5))+11.06))))-(-5+-5)))*-5)))/-5)--5)+(-5*(((11.06*(11.06-(-5/-5)))*(11.06-(11.06/(-5*11.06))))-(-5/-5)))))</f>
        <v>6536.027879999999</v>
      </c>
      <c r="C11107" t="n" s="0">
        <v>6536.027880000001</v>
      </c>
    </row>
    <row r="11108">
      <c r="A11108" t="n" s="0">
        <v>11.07</v>
      </c>
      <c r="B11108" t="n" s="0">
        <f>(-5-((((-5*(-5/((-5/(((-5*(11.07--5))-(-5+((-5*11.07)*(((-5--5)+(11.07--5))+11.07))))-(-5+-5)))*-5)))/-5)--5)+(-5*(((11.07*(11.07-(-5/-5)))*(11.07-(11.07/(-5*11.07))))-(-5/-5)))))</f>
        <v>6553.980414999997</v>
      </c>
      <c r="C11108" t="n" s="0">
        <v>6553.980415000001</v>
      </c>
    </row>
    <row r="11109">
      <c r="A11109" t="n" s="0">
        <v>11.08</v>
      </c>
      <c r="B11109" t="n" s="0">
        <f>(-5-((((-5*(-5/((-5/(((-5*(11.08--5))-(-5+((-5*11.08)*(((-5--5)+(11.08--5))+11.08))))-(-5+-5)))*-5)))/-5)--5)+(-5*(((11.08*(11.08-(-5/-5)))*(11.08-(11.08/(-5*11.08))))-(-5/-5)))))</f>
        <v>6571.965759999998</v>
      </c>
      <c r="C11109" t="n" s="0">
        <v>6571.96576</v>
      </c>
    </row>
    <row r="11110">
      <c r="A11110" t="n" s="0">
        <v>11.09</v>
      </c>
      <c r="B11110" t="n" s="0">
        <f>(-5-((((-5*(-5/((-5/(((-5*(11.09--5))-(-5+((-5*11.09)*(((-5--5)+(11.09--5))+11.09))))-(-5+-5)))*-5)))/-5)--5)+(-5*(((11.09*(11.09-(-5/-5)))*(11.09-(11.09/(-5*11.09))))-(-5/-5)))))</f>
        <v>6589.983945</v>
      </c>
      <c r="C11110" t="n" s="0">
        <v>6589.983945</v>
      </c>
    </row>
    <row r="11111">
      <c r="A11111" t="n" s="0">
        <v>11.1</v>
      </c>
      <c r="B11111" t="n" s="0">
        <f>(-5-((((-5*(-5/((-5/(((-5*(11.1--5))-(-5+((-5*11.1)*(((-5--5)+(11.1--5))+11.1))))-(-5+-5)))*-5)))/-5)--5)+(-5*(((11.1*(11.1-(-5/-5)))*(11.1-(11.1/(-5*11.1))))-(-5/-5)))))</f>
        <v>6608.034999999998</v>
      </c>
      <c r="C11111" t="n" s="0">
        <v>6608.034999999999</v>
      </c>
    </row>
    <row r="11112">
      <c r="A11112" t="n" s="0">
        <v>11.11</v>
      </c>
      <c r="B11112" t="n" s="0">
        <f>(-5-((((-5*(-5/((-5/(((-5*(11.11--5))-(-5+((-5*11.11)*(((-5--5)+(11.11--5))+11.11))))-(-5+-5)))*-5)))/-5)--5)+(-5*(((11.11*(11.11-(-5/-5)))*(11.11-(11.11/(-5*11.11))))-(-5/-5)))))</f>
        <v>6626.118955</v>
      </c>
      <c r="C11112" t="n" s="0">
        <v>6626.118954999999</v>
      </c>
    </row>
    <row r="11113">
      <c r="A11113" t="n" s="0">
        <v>11.12</v>
      </c>
      <c r="B11113" t="n" s="0">
        <f>(-5-((((-5*(-5/((-5/(((-5*(11.12--5))-(-5+((-5*11.12)*(((-5--5)+(11.12--5))+11.12))))-(-5+-5)))*-5)))/-5)--5)+(-5*(((11.12*(11.12-(-5/-5)))*(11.12-(11.12/(-5*11.12))))-(-5/-5)))))</f>
        <v>6644.23584</v>
      </c>
      <c r="C11113" t="n" s="0">
        <v>6644.2358399999985</v>
      </c>
    </row>
    <row r="11114">
      <c r="A11114" t="n" s="0">
        <v>11.13</v>
      </c>
      <c r="B11114" t="n" s="0">
        <f>(-5-((((-5*(-5/((-5/(((-5*(11.13--5))-(-5+((-5*11.13)*(((-5--5)+(11.13--5))+11.13))))-(-5+-5)))*-5)))/-5)--5)+(-5*(((11.13*(11.13-(-5/-5)))*(11.13-(11.13/(-5*11.13))))-(-5/-5)))))</f>
        <v>6662.385685</v>
      </c>
      <c r="C11114" t="n" s="0">
        <v>6662.385685000002</v>
      </c>
    </row>
    <row r="11115">
      <c r="A11115" t="n" s="0">
        <v>11.14</v>
      </c>
      <c r="B11115" t="n" s="0">
        <f>(-5-((((-5*(-5/((-5/(((-5*(11.14--5))-(-5+((-5*11.14)*(((-5--5)+(11.14--5))+11.14))))-(-5+-5)))*-5)))/-5)--5)+(-5*(((11.14*(11.14-(-5/-5)))*(11.14-(11.14/(-5*11.14))))-(-5/-5)))))</f>
        <v>6680.5685200000025</v>
      </c>
      <c r="C11115" t="n" s="0">
        <v>6680.568520000002</v>
      </c>
    </row>
    <row r="11116">
      <c r="A11116" t="n" s="0">
        <v>11.15</v>
      </c>
      <c r="B11116" t="n" s="0">
        <f>(-5-((((-5*(-5/((-5/(((-5*(11.15--5))-(-5+((-5*11.15)*(((-5--5)+(11.15--5))+11.15))))-(-5+-5)))*-5)))/-5)--5)+(-5*(((11.15*(11.15-(-5/-5)))*(11.15-(11.15/(-5*11.15))))-(-5/-5)))))</f>
        <v>6698.784375</v>
      </c>
      <c r="C11116" t="n" s="0">
        <v>6698.784375</v>
      </c>
    </row>
    <row r="11117">
      <c r="A11117" t="n" s="0">
        <v>11.16</v>
      </c>
      <c r="B11117" t="n" s="0">
        <f>(-5-((((-5*(-5/((-5/(((-5*(11.16--5))-(-5+((-5*11.16)*(((-5--5)+(11.16--5))+11.16))))-(-5+-5)))*-5)))/-5)--5)+(-5*(((11.16*(11.16-(-5/-5)))*(11.16-(11.16/(-5*11.16))))-(-5/-5)))))</f>
        <v>6717.033280000001</v>
      </c>
      <c r="C11117" t="n" s="0">
        <v>6717.033280000001</v>
      </c>
    </row>
    <row r="11118">
      <c r="A11118" t="n" s="0">
        <v>11.17</v>
      </c>
      <c r="B11118" t="n" s="0">
        <f>(-5-((((-5*(-5/((-5/(((-5*(11.17--5))-(-5+((-5*11.17)*(((-5--5)+(11.17--5))+11.17))))-(-5+-5)))*-5)))/-5)--5)+(-5*(((11.17*(11.17-(-5/-5)))*(11.17-(11.17/(-5*11.17))))-(-5/-5)))))</f>
        <v>6735.315265</v>
      </c>
      <c r="C11118" t="n" s="0">
        <v>6735.315265</v>
      </c>
    </row>
    <row r="11119">
      <c r="A11119" t="n" s="0">
        <v>11.18</v>
      </c>
      <c r="B11119" t="n" s="0">
        <f>(-5-((((-5*(-5/((-5/(((-5*(11.18--5))-(-5+((-5*11.18)*(((-5--5)+(11.18--5))+11.18))))-(-5+-5)))*-5)))/-5)--5)+(-5*(((11.18*(11.18-(-5/-5)))*(11.18-(11.18/(-5*11.18))))-(-5/-5)))))</f>
        <v>6753.630359999999</v>
      </c>
      <c r="C11119" t="n" s="0">
        <v>6753.630359999999</v>
      </c>
    </row>
    <row r="11120">
      <c r="A11120" t="n" s="0">
        <v>11.19</v>
      </c>
      <c r="B11120" t="n" s="0">
        <f>(-5-((((-5*(-5/((-5/(((-5*(11.19--5))-(-5+((-5*11.19)*(((-5--5)+(11.19--5))+11.19))))-(-5+-5)))*-5)))/-5)--5)+(-5*(((11.19*(11.19-(-5/-5)))*(11.19-(11.19/(-5*11.19))))-(-5/-5)))))</f>
        <v>6771.9785950000005</v>
      </c>
      <c r="C11120" t="n" s="0">
        <v>6771.978594999999</v>
      </c>
    </row>
    <row r="11121">
      <c r="A11121" t="n" s="0">
        <v>11.2</v>
      </c>
      <c r="B11121" t="n" s="0">
        <f>(-5-((((-5*(-5/((-5/(((-5*(11.2--5))-(-5+((-5*11.2)*(((-5--5)+(11.2--5))+11.2))))-(-5+-5)))*-5)))/-5)--5)+(-5*(((11.2*(11.2-(-5/-5)))*(11.2-(11.2/(-5*11.2))))-(-5/-5)))))</f>
        <v>6790.360000000001</v>
      </c>
      <c r="C11121" t="n" s="0">
        <v>6790.359999999999</v>
      </c>
    </row>
    <row r="11122">
      <c r="A11122" t="n" s="0">
        <v>11.21</v>
      </c>
      <c r="B11122" t="n" s="0">
        <f>(-5-((((-5*(-5/((-5/(((-5*(11.21--5))-(-5+((-5*11.21)*(((-5--5)+(11.21--5))+11.21))))-(-5+-5)))*-5)))/-5)--5)+(-5*(((11.21*(11.21-(-5/-5)))*(11.21-(11.21/(-5*11.21))))-(-5/-5)))))</f>
        <v>6808.7746050000005</v>
      </c>
      <c r="C11122" t="n" s="0">
        <v>6808.774605000001</v>
      </c>
    </row>
    <row r="11123">
      <c r="A11123" t="n" s="0">
        <v>11.22</v>
      </c>
      <c r="B11123" t="n" s="0">
        <f>(-5-((((-5*(-5/((-5/(((-5*(11.22--5))-(-5+((-5*11.22)*(((-5--5)+(11.22--5))+11.22))))-(-5+-5)))*-5)))/-5)--5)+(-5*(((11.22*(11.22-(-5/-5)))*(11.22-(11.22/(-5*11.22))))-(-5/-5)))))</f>
        <v>6827.22244</v>
      </c>
      <c r="C11123" t="n" s="0">
        <v>6827.222440000001</v>
      </c>
    </row>
    <row r="11124">
      <c r="A11124" t="n" s="0">
        <v>11.23</v>
      </c>
      <c r="B11124" t="n" s="0">
        <f>(-5-((((-5*(-5/((-5/(((-5*(11.23--5))-(-5+((-5*11.23)*(((-5--5)+(11.23--5))+11.23))))-(-5+-5)))*-5)))/-5)--5)+(-5*(((11.23*(11.23-(-5/-5)))*(11.23-(11.23/(-5*11.23))))-(-5/-5)))))</f>
        <v>6845.703535000002</v>
      </c>
      <c r="C11124" t="n" s="0">
        <v>6845.703535000001</v>
      </c>
    </row>
    <row r="11125">
      <c r="A11125" t="n" s="0">
        <v>11.24</v>
      </c>
      <c r="B11125" t="n" s="0">
        <f>(-5-((((-5*(-5/((-5/(((-5*(11.24--5))-(-5+((-5*11.24)*(((-5--5)+(11.24--5))+11.24))))-(-5+-5)))*-5)))/-5)--5)+(-5*(((11.24*(11.24-(-5/-5)))*(11.24-(11.24/(-5*11.24))))-(-5/-5)))))</f>
        <v>6864.217919999998</v>
      </c>
      <c r="C11125" t="n" s="0">
        <v>6864.217920000001</v>
      </c>
    </row>
    <row r="11126">
      <c r="A11126" t="n" s="0">
        <v>11.25</v>
      </c>
      <c r="B11126" t="n" s="0">
        <f>(-5-((((-5*(-5/((-5/(((-5*(11.25--5))-(-5+((-5*11.25)*(((-5--5)+(11.25--5))+11.25))))-(-5+-5)))*-5)))/-5)--5)+(-5*(((11.25*(11.25-(-5/-5)))*(11.25-(11.25/(-5*11.25))))-(-5/-5)))))</f>
        <v>6882.765625</v>
      </c>
      <c r="C11126" t="n" s="0">
        <v>6882.765625</v>
      </c>
    </row>
    <row r="11127">
      <c r="A11127" t="n" s="0">
        <v>11.26</v>
      </c>
      <c r="B11127" t="n" s="0">
        <f>(-5-((((-5*(-5/((-5/(((-5*(11.26--5))-(-5+((-5*11.26)*(((-5--5)+(11.26--5))+11.26))))-(-5+-5)))*-5)))/-5)--5)+(-5*(((11.26*(11.26-(-5/-5)))*(11.26-(11.26/(-5*11.26))))-(-5/-5)))))</f>
        <v>6901.346680000002</v>
      </c>
      <c r="C11127" t="n" s="0">
        <v>6901.346679999999</v>
      </c>
    </row>
    <row r="11128">
      <c r="A11128" t="n" s="0">
        <v>11.27</v>
      </c>
      <c r="B11128" t="n" s="0">
        <f>(-5-((((-5*(-5/((-5/(((-5*(11.27--5))-(-5+((-5*11.27)*(((-5--5)+(11.27--5))+11.27))))-(-5+-5)))*-5)))/-5)--5)+(-5*(((11.27*(11.27-(-5/-5)))*(11.27-(11.27/(-5*11.27))))-(-5/-5)))))</f>
        <v>6919.961115</v>
      </c>
      <c r="C11128" t="n" s="0">
        <v>6919.961114999999</v>
      </c>
    </row>
    <row r="11129">
      <c r="A11129" t="n" s="0">
        <v>11.28</v>
      </c>
      <c r="B11129" t="n" s="0">
        <f>(-5-((((-5*(-5/((-5/(((-5*(11.28--5))-(-5+((-5*11.28)*(((-5--5)+(11.28--5))+11.28))))-(-5+-5)))*-5)))/-5)--5)+(-5*(((11.28*(11.28-(-5/-5)))*(11.28-(11.28/(-5*11.28))))-(-5/-5)))))</f>
        <v>6938.6089600000005</v>
      </c>
      <c r="C11129" t="n" s="0">
        <v>6938.60896</v>
      </c>
    </row>
    <row r="11130">
      <c r="A11130" t="n" s="0">
        <v>11.29</v>
      </c>
      <c r="B11130" t="n" s="0">
        <f>(-5-((((-5*(-5/((-5/(((-5*(11.29--5))-(-5+((-5*11.29)*(((-5--5)+(11.29--5))+11.29))))-(-5+-5)))*-5)))/-5)--5)+(-5*(((11.29*(11.29-(-5/-5)))*(11.29-(11.29/(-5*11.29))))-(-5/-5)))))</f>
        <v>6957.290245</v>
      </c>
      <c r="C11130" t="n" s="0">
        <v>6957.290244999998</v>
      </c>
    </row>
    <row r="11131">
      <c r="A11131" t="n" s="0">
        <v>11.3</v>
      </c>
      <c r="B11131" t="n" s="0">
        <f>(-5-((((-5*(-5/((-5/(((-5*(11.3--5))-(-5+((-5*11.3)*(((-5--5)+(11.3--5))+11.3))))-(-5+-5)))*-5)))/-5)--5)+(-5*(((11.3*(11.3-(-5/-5)))*(11.3-(11.3/(-5*11.3))))-(-5/-5)))))</f>
        <v>6976.005</v>
      </c>
      <c r="C11131" t="n" s="0">
        <v>6976.005</v>
      </c>
    </row>
    <row r="11132">
      <c r="A11132" t="n" s="0">
        <v>11.31</v>
      </c>
      <c r="B11132" t="n" s="0">
        <f>(-5-((((-5*(-5/((-5/(((-5*(11.31--5))-(-5+((-5*11.31)*(((-5--5)+(11.31--5))+11.31))))-(-5+-5)))*-5)))/-5)--5)+(-5*(((11.31*(11.31-(-5/-5)))*(11.31-(11.31/(-5*11.31))))-(-5/-5)))))</f>
        <v>6994.753255</v>
      </c>
      <c r="C11132" t="n" s="0">
        <v>6994.7532550000005</v>
      </c>
    </row>
    <row r="11133">
      <c r="A11133" t="n" s="0">
        <v>11.32</v>
      </c>
      <c r="B11133" t="n" s="0">
        <f>(-5-((((-5*(-5/((-5/(((-5*(11.32--5))-(-5+((-5*11.32)*(((-5--5)+(11.32--5))+11.32))))-(-5+-5)))*-5)))/-5)--5)+(-5*(((11.32*(11.32-(-5/-5)))*(11.32-(11.32/(-5*11.32))))-(-5/-5)))))</f>
        <v>7013.53504</v>
      </c>
      <c r="C11133" t="n" s="0">
        <v>7013.535040000001</v>
      </c>
    </row>
    <row r="11134">
      <c r="A11134" t="n" s="0">
        <v>11.33</v>
      </c>
      <c r="B11134" t="n" s="0">
        <f>(-5-((((-5*(-5/((-5/(((-5*(11.33--5))-(-5+((-5*11.33)*(((-5--5)+(11.33--5))+11.33))))-(-5+-5)))*-5)))/-5)--5)+(-5*(((11.33*(11.33-(-5/-5)))*(11.33-(11.33/(-5*11.33))))-(-5/-5)))))</f>
        <v>7032.350385</v>
      </c>
      <c r="C11134" t="n" s="0">
        <v>7032.350385</v>
      </c>
    </row>
    <row r="11135">
      <c r="A11135" t="n" s="0">
        <v>11.34</v>
      </c>
      <c r="B11135" t="n" s="0">
        <f>(-5-((((-5*(-5/((-5/(((-5*(11.34--5))-(-5+((-5*11.34)*(((-5--5)+(11.34--5))+11.34))))-(-5+-5)))*-5)))/-5)--5)+(-5*(((11.34*(11.34-(-5/-5)))*(11.34-(11.34/(-5*11.34))))-(-5/-5)))))</f>
        <v>7051.1993200000015</v>
      </c>
      <c r="C11135" t="n" s="0">
        <v>7051.19932</v>
      </c>
    </row>
    <row r="11136">
      <c r="A11136" t="n" s="0">
        <v>11.35</v>
      </c>
      <c r="B11136" t="n" s="0">
        <f>(-5-((((-5*(-5/((-5/(((-5*(11.35--5))-(-5+((-5*11.35)*(((-5--5)+(11.35--5))+11.35))))-(-5+-5)))*-5)))/-5)--5)+(-5*(((11.35*(11.35-(-5/-5)))*(11.35-(11.35/(-5*11.35))))-(-5/-5)))))</f>
        <v>7070.081874999998</v>
      </c>
      <c r="C11136" t="n" s="0">
        <v>7070.081874999999</v>
      </c>
    </row>
    <row r="11137">
      <c r="A11137" t="n" s="0">
        <v>11.36</v>
      </c>
      <c r="B11137" t="n" s="0">
        <f>(-5-((((-5*(-5/((-5/(((-5*(11.36--5))-(-5+((-5*11.36)*(((-5--5)+(11.36--5))+11.36))))-(-5+-5)))*-5)))/-5)--5)+(-5*(((11.36*(11.36-(-5/-5)))*(11.36-(11.36/(-5*11.36))))-(-5/-5)))))</f>
        <v>7088.99808</v>
      </c>
      <c r="C11137" t="n" s="0">
        <v>7088.9980799999985</v>
      </c>
    </row>
    <row r="11138">
      <c r="A11138" t="n" s="0">
        <v>11.37</v>
      </c>
      <c r="B11138" t="n" s="0">
        <f>(-5-((((-5*(-5/((-5/(((-5*(11.37--5))-(-5+((-5*11.37)*(((-5--5)+(11.37--5))+11.37))))-(-5+-5)))*-5)))/-5)--5)+(-5*(((11.37*(11.37-(-5/-5)))*(11.37-(11.37/(-5*11.37))))-(-5/-5)))))</f>
        <v>7107.947965000002</v>
      </c>
      <c r="C11138" t="n" s="0">
        <v>7107.9479649999985</v>
      </c>
    </row>
    <row r="11139">
      <c r="A11139" t="n" s="0">
        <v>11.38</v>
      </c>
      <c r="B11139" t="n" s="0">
        <f>(-5-((((-5*(-5/((-5/(((-5*(11.38--5))-(-5+((-5*11.38)*(((-5--5)+(11.38--5))+11.38))))-(-5+-5)))*-5)))/-5)--5)+(-5*(((11.38*(11.38-(-5/-5)))*(11.38-(11.38/(-5*11.38))))-(-5/-5)))))</f>
        <v>7126.93156</v>
      </c>
      <c r="C11139" t="n" s="0">
        <v>7126.931560000002</v>
      </c>
    </row>
    <row r="11140">
      <c r="A11140" t="n" s="0">
        <v>11.39</v>
      </c>
      <c r="B11140" t="n" s="0">
        <f>(-5-((((-5*(-5/((-5/(((-5*(11.39--5))-(-5+((-5*11.39)*(((-5--5)+(11.39--5))+11.39))))-(-5+-5)))*-5)))/-5)--5)+(-5*(((11.39*(11.39-(-5/-5)))*(11.39-(11.39/(-5*11.39))))-(-5/-5)))))</f>
        <v>7145.948895000001</v>
      </c>
      <c r="C11140" t="n" s="0">
        <v>7145.948895000001</v>
      </c>
    </row>
    <row r="11141">
      <c r="A11141" t="n" s="0">
        <v>11.4</v>
      </c>
      <c r="B11141" t="n" s="0">
        <f>(-5-((((-5*(-5/((-5/(((-5*(11.4--5))-(-5+((-5*11.4)*(((-5--5)+(11.4--5))+11.4))))-(-5+-5)))*-5)))/-5)--5)+(-5*(((11.4*(11.4-(-5/-5)))*(11.4-(11.4/(-5*11.4))))-(-5/-5)))))</f>
        <v>7165.0</v>
      </c>
      <c r="C11141" t="n" s="0">
        <v>7165.0</v>
      </c>
    </row>
    <row r="11142">
      <c r="A11142" t="n" s="0">
        <v>11.41</v>
      </c>
      <c r="B11142" t="n" s="0">
        <f>(-5-((((-5*(-5/((-5/(((-5*(11.41--5))-(-5+((-5*11.41)*(((-5--5)+(11.41--5))+11.41))))-(-5+-5)))*-5)))/-5)--5)+(-5*(((11.41*(11.41-(-5/-5)))*(11.41-(11.41/(-5*11.41))))-(-5/-5)))))</f>
        <v>7184.084905</v>
      </c>
      <c r="C11142" t="n" s="0">
        <v>7184.084905000001</v>
      </c>
    </row>
    <row r="11143">
      <c r="A11143" t="n" s="0">
        <v>11.42</v>
      </c>
      <c r="B11143" t="n" s="0">
        <f>(-5-((((-5*(-5/((-5/(((-5*(11.42--5))-(-5+((-5*11.42)*(((-5--5)+(11.42--5))+11.42))))-(-5+-5)))*-5)))/-5)--5)+(-5*(((11.42*(11.42-(-5/-5)))*(11.42-(11.42/(-5*11.42))))-(-5/-5)))))</f>
        <v>7203.203640000001</v>
      </c>
      <c r="C11143" t="n" s="0">
        <v>7203.20364</v>
      </c>
    </row>
    <row r="11144">
      <c r="A11144" t="n" s="0">
        <v>11.43</v>
      </c>
      <c r="B11144" t="n" s="0">
        <f>(-5-((((-5*(-5/((-5/(((-5*(11.43--5))-(-5+((-5*11.43)*(((-5--5)+(11.43--5))+11.43))))-(-5+-5)))*-5)))/-5)--5)+(-5*(((11.43*(11.43-(-5/-5)))*(11.43-(11.43/(-5*11.43))))-(-5/-5)))))</f>
        <v>7222.356235</v>
      </c>
      <c r="C11144" t="n" s="0">
        <v>7222.356234999998</v>
      </c>
    </row>
    <row r="11145">
      <c r="A11145" t="n" s="0">
        <v>11.44</v>
      </c>
      <c r="B11145" t="n" s="0">
        <f>(-5-((((-5*(-5/((-5/(((-5*(11.44--5))-(-5+((-5*11.44)*(((-5--5)+(11.44--5))+11.44))))-(-5+-5)))*-5)))/-5)--5)+(-5*(((11.44*(11.44-(-5/-5)))*(11.44-(11.44/(-5*11.44))))-(-5/-5)))))</f>
        <v>7241.54272</v>
      </c>
      <c r="C11145" t="n" s="0">
        <v>7241.542719999999</v>
      </c>
    </row>
    <row r="11146">
      <c r="A11146" t="n" s="0">
        <v>11.45</v>
      </c>
      <c r="B11146" t="n" s="0">
        <f>(-5-((((-5*(-5/((-5/(((-5*(11.45--5))-(-5+((-5*11.45)*(((-5--5)+(11.45--5))+11.45))))-(-5+-5)))*-5)))/-5)--5)+(-5*(((11.45*(11.45-(-5/-5)))*(11.45-(11.45/(-5*11.45))))-(-5/-5)))))</f>
        <v>7260.763125</v>
      </c>
      <c r="C11146" t="n" s="0">
        <v>7260.7631249999995</v>
      </c>
    </row>
    <row r="11147">
      <c r="A11147" t="n" s="0">
        <v>11.46</v>
      </c>
      <c r="B11147" t="n" s="0">
        <f>(-5-((((-5*(-5/((-5/(((-5*(11.46--5))-(-5+((-5*11.46)*(((-5--5)+(11.46--5))+11.46))))-(-5+-5)))*-5)))/-5)--5)+(-5*(((11.46*(11.46-(-5/-5)))*(11.46-(11.46/(-5*11.46))))-(-5/-5)))))</f>
        <v>7280.017480000002</v>
      </c>
      <c r="C11147" t="n" s="0">
        <v>7280.017480000001</v>
      </c>
    </row>
    <row r="11148">
      <c r="A11148" t="n" s="0">
        <v>11.47</v>
      </c>
      <c r="B11148" t="n" s="0">
        <f>(-5-((((-5*(-5/((-5/(((-5*(11.47--5))-(-5+((-5*11.47)*(((-5--5)+(11.47--5))+11.47))))-(-5+-5)))*-5)))/-5)--5)+(-5*(((11.47*(11.47-(-5/-5)))*(11.47-(11.47/(-5*11.47))))-(-5/-5)))))</f>
        <v>7299.305815</v>
      </c>
      <c r="C11148" t="n" s="0">
        <v>7299.3058150000015</v>
      </c>
    </row>
    <row r="11149">
      <c r="A11149" t="n" s="0">
        <v>11.48</v>
      </c>
      <c r="B11149" t="n" s="0">
        <f>(-5-((((-5*(-5/((-5/(((-5*(11.48--5))-(-5+((-5*11.48)*(((-5--5)+(11.48--5))+11.48))))-(-5+-5)))*-5)))/-5)--5)+(-5*(((11.48*(11.48-(-5/-5)))*(11.48-(11.48/(-5*11.48))))-(-5/-5)))))</f>
        <v>7318.62816</v>
      </c>
      <c r="C11149" t="n" s="0">
        <v>7318.628160000001</v>
      </c>
    </row>
    <row r="11150">
      <c r="A11150" t="n" s="0">
        <v>11.49</v>
      </c>
      <c r="B11150" t="n" s="0">
        <f>(-5-((((-5*(-5/((-5/(((-5*(11.49--5))-(-5+((-5*11.49)*(((-5--5)+(11.49--5))+11.49))))-(-5+-5)))*-5)))/-5)--5)+(-5*(((11.49*(11.49-(-5/-5)))*(11.49-(11.49/(-5*11.49))))-(-5/-5)))))</f>
        <v>7337.9845449999975</v>
      </c>
      <c r="C11150" t="n" s="0">
        <v>7337.984545</v>
      </c>
    </row>
    <row r="11151">
      <c r="A11151" t="n" s="0">
        <v>11.5</v>
      </c>
      <c r="B11151" t="n" s="0">
        <f>(-5-((((-5*(-5/((-5/(((-5*(11.5--5))-(-5+((-5*11.5)*(((-5--5)+(11.5--5))+11.5))))-(-5+-5)))*-5)))/-5)--5)+(-5*(((11.5*(11.5-(-5/-5)))*(11.5-(11.5/(-5*11.5))))-(-5/-5)))))</f>
        <v>7357.374999999998</v>
      </c>
      <c r="C11151" t="n" s="0">
        <v>7357.375</v>
      </c>
    </row>
    <row r="11152">
      <c r="A11152" t="n" s="0">
        <v>11.51</v>
      </c>
      <c r="B11152" t="n" s="0">
        <f>(-5-((((-5*(-5/((-5/(((-5*(11.51--5))-(-5+((-5*11.51)*(((-5--5)+(11.51--5))+11.51))))-(-5+-5)))*-5)))/-5)--5)+(-5*(((11.51*(11.51-(-5/-5)))*(11.51-(11.51/(-5*11.51))))-(-5/-5)))))</f>
        <v>7376.7995550000005</v>
      </c>
      <c r="C11152" t="n" s="0">
        <v>7376.7995550000005</v>
      </c>
    </row>
    <row r="11153">
      <c r="A11153" t="n" s="0">
        <v>11.52</v>
      </c>
      <c r="B11153" t="n" s="0">
        <f>(-5-((((-5*(-5/((-5/(((-5*(11.52--5))-(-5+((-5*11.52)*(((-5--5)+(11.52--5))+11.52))))-(-5+-5)))*-5)))/-5)--5)+(-5*(((11.52*(11.52-(-5/-5)))*(11.52-(11.52/(-5*11.52))))-(-5/-5)))))</f>
        <v>7396.25824</v>
      </c>
      <c r="C11153" t="n" s="0">
        <v>7396.25824</v>
      </c>
    </row>
    <row r="11154">
      <c r="A11154" t="n" s="0">
        <v>11.53</v>
      </c>
      <c r="B11154" t="n" s="0">
        <f>(-5-((((-5*(-5/((-5/(((-5*(11.53--5))-(-5+((-5*11.53)*(((-5--5)+(11.53--5))+11.53))))-(-5+-5)))*-5)))/-5)--5)+(-5*(((11.53*(11.53-(-5/-5)))*(11.53-(11.53/(-5*11.53))))-(-5/-5)))))</f>
        <v>7415.751085000002</v>
      </c>
      <c r="C11154" t="n" s="0">
        <v>7415.751084999999</v>
      </c>
    </row>
    <row r="11155">
      <c r="A11155" t="n" s="0">
        <v>11.54</v>
      </c>
      <c r="B11155" t="n" s="0">
        <f>(-5-((((-5*(-5/((-5/(((-5*(11.54--5))-(-5+((-5*11.54)*(((-5--5)+(11.54--5))+11.54))))-(-5+-5)))*-5)))/-5)--5)+(-5*(((11.54*(11.54-(-5/-5)))*(11.54-(11.54/(-5*11.54))))-(-5/-5)))))</f>
        <v>7435.27812</v>
      </c>
      <c r="C11155" t="n" s="0">
        <v>7435.278119999998</v>
      </c>
    </row>
    <row r="11156">
      <c r="A11156" t="n" s="0">
        <v>11.55</v>
      </c>
      <c r="B11156" t="n" s="0">
        <f>(-5-((((-5*(-5/((-5/(((-5*(11.55--5))-(-5+((-5*11.55)*(((-5--5)+(11.55--5))+11.55))))-(-5+-5)))*-5)))/-5)--5)+(-5*(((11.55*(11.55-(-5/-5)))*(11.55-(11.55/(-5*11.55))))-(-5/-5)))))</f>
        <v>7454.8393750000005</v>
      </c>
      <c r="C11156" t="n" s="0">
        <v>7454.8393750000005</v>
      </c>
    </row>
    <row r="11157">
      <c r="A11157" t="n" s="0">
        <v>11.56</v>
      </c>
      <c r="B11157" t="n" s="0">
        <f>(-5-((((-5*(-5/((-5/(((-5*(11.56--5))-(-5+((-5*11.56)*(((-5--5)+(11.56--5))+11.56))))-(-5+-5)))*-5)))/-5)--5)+(-5*(((11.56*(11.56-(-5/-5)))*(11.56-(11.56/(-5*11.56))))-(-5/-5)))))</f>
        <v>7474.43488</v>
      </c>
      <c r="C11157" t="n" s="0">
        <v>7474.434880000001</v>
      </c>
    </row>
    <row r="11158">
      <c r="A11158" t="n" s="0">
        <v>11.57</v>
      </c>
      <c r="B11158" t="n" s="0">
        <f>(-5-((((-5*(-5/((-5/(((-5*(11.57--5))-(-5+((-5*11.57)*(((-5--5)+(11.57--5))+11.57))))-(-5+-5)))*-5)))/-5)--5)+(-5*(((11.57*(11.57-(-5/-5)))*(11.57-(11.57/(-5*11.57))))-(-5/-5)))))</f>
        <v>7494.064664999998</v>
      </c>
      <c r="C11158" t="n" s="0">
        <v>7494.064665000001</v>
      </c>
    </row>
    <row r="11159">
      <c r="A11159" t="n" s="0">
        <v>11.58</v>
      </c>
      <c r="B11159" t="n" s="0">
        <f>(-5-((((-5*(-5/((-5/(((-5*(11.58--5))-(-5+((-5*11.58)*(((-5--5)+(11.58--5))+11.58))))-(-5+-5)))*-5)))/-5)--5)+(-5*(((11.58*(11.58-(-5/-5)))*(11.58-(11.58/(-5*11.58))))-(-5/-5)))))</f>
        <v>7513.728760000001</v>
      </c>
      <c r="C11159" t="n" s="0">
        <v>7513.728760000001</v>
      </c>
    </row>
    <row r="11160">
      <c r="A11160" t="n" s="0">
        <v>11.59</v>
      </c>
      <c r="B11160" t="n" s="0">
        <f>(-5-((((-5*(-5/((-5/(((-5*(11.59--5))-(-5+((-5*11.59)*(((-5--5)+(11.59--5))+11.59))))-(-5+-5)))*-5)))/-5)--5)+(-5*(((11.59*(11.59-(-5/-5)))*(11.59-(11.59/(-5*11.59))))-(-5/-5)))))</f>
        <v>7533.427195</v>
      </c>
      <c r="C11160" t="n" s="0">
        <v>7533.427194999999</v>
      </c>
    </row>
    <row r="11161">
      <c r="A11161" t="n" s="0">
        <v>11.6</v>
      </c>
      <c r="B11161" t="n" s="0">
        <f>(-5-((((-5*(-5/((-5/(((-5*(11.6--5))-(-5+((-5*11.6)*(((-5--5)+(11.6--5))+11.6))))-(-5+-5)))*-5)))/-5)--5)+(-5*(((11.6*(11.6-(-5/-5)))*(11.6-(11.6/(-5*11.6))))-(-5/-5)))))</f>
        <v>7553.16</v>
      </c>
      <c r="C11161" t="n" s="0">
        <v>7553.16</v>
      </c>
    </row>
    <row r="11162">
      <c r="A11162" t="n" s="0">
        <v>11.61</v>
      </c>
      <c r="B11162" t="n" s="0">
        <f>(-5-((((-5*(-5/((-5/(((-5*(11.61--5))-(-5+((-5*11.61)*(((-5--5)+(11.61--5))+11.61))))-(-5+-5)))*-5)))/-5)--5)+(-5*(((11.61*(11.61-(-5/-5)))*(11.61-(11.61/(-5*11.61))))-(-5/-5)))))</f>
        <v>7572.927205</v>
      </c>
      <c r="C11162" t="n" s="0">
        <v>7572.927204999999</v>
      </c>
    </row>
    <row r="11163">
      <c r="A11163" t="n" s="0">
        <v>11.62</v>
      </c>
      <c r="B11163" t="n" s="0">
        <f>(-5-((((-5*(-5/((-5/(((-5*(11.62--5))-(-5+((-5*11.62)*(((-5--5)+(11.62--5))+11.62))))-(-5+-5)))*-5)))/-5)--5)+(-5*(((11.62*(11.62-(-5/-5)))*(11.62-(11.62/(-5*11.62))))-(-5/-5)))))</f>
        <v>7592.72884</v>
      </c>
      <c r="C11163" t="n" s="0">
        <v>7592.728839999999</v>
      </c>
    </row>
    <row r="11164">
      <c r="A11164" t="n" s="0">
        <v>11.63</v>
      </c>
      <c r="B11164" t="n" s="0">
        <f>(-5-((((-5*(-5/((-5/(((-5*(11.63--5))-(-5+((-5*11.63)*(((-5--5)+(11.63--5))+11.63))))-(-5+-5)))*-5)))/-5)--5)+(-5*(((11.63*(11.63-(-5/-5)))*(11.63-(11.63/(-5*11.63))))-(-5/-5)))))</f>
        <v>7612.564935</v>
      </c>
      <c r="C11164" t="n" s="0">
        <v>7612.564935000002</v>
      </c>
    </row>
    <row r="11165">
      <c r="A11165" t="n" s="0">
        <v>11.64</v>
      </c>
      <c r="B11165" t="n" s="0">
        <f>(-5-((((-5*(-5/((-5/(((-5*(11.64--5))-(-5+((-5*11.64)*(((-5--5)+(11.64--5))+11.64))))-(-5+-5)))*-5)))/-5)--5)+(-5*(((11.64*(11.64-(-5/-5)))*(11.64-(11.64/(-5*11.64))))-(-5/-5)))))</f>
        <v>7632.43552</v>
      </c>
      <c r="C11165" t="n" s="0">
        <v>7632.435520000002</v>
      </c>
    </row>
    <row r="11166">
      <c r="A11166" t="n" s="0">
        <v>11.65</v>
      </c>
      <c r="B11166" t="n" s="0">
        <f>(-5-((((-5*(-5/((-5/(((-5*(11.65--5))-(-5+((-5*11.65)*(((-5--5)+(11.65--5))+11.65))))-(-5+-5)))*-5)))/-5)--5)+(-5*(((11.65*(11.65-(-5/-5)))*(11.65-(11.65/(-5*11.65))))-(-5/-5)))))</f>
        <v>7652.340625</v>
      </c>
      <c r="C11166" t="n" s="0">
        <v>7652.340625000001</v>
      </c>
    </row>
    <row r="11167">
      <c r="A11167" t="n" s="0">
        <v>11.66</v>
      </c>
      <c r="B11167" t="n" s="0">
        <f>(-5-((((-5*(-5/((-5/(((-5*(11.66--5))-(-5+((-5*11.66)*(((-5--5)+(11.66--5))+11.66))))-(-5+-5)))*-5)))/-5)--5)+(-5*(((11.66*(11.66-(-5/-5)))*(11.66-(11.66/(-5*11.66))))-(-5/-5)))))</f>
        <v>7672.280280000002</v>
      </c>
      <c r="C11167" t="n" s="0">
        <v>7672.280280000001</v>
      </c>
    </row>
    <row r="11168">
      <c r="A11168" t="n" s="0">
        <v>11.67</v>
      </c>
      <c r="B11168" t="n" s="0">
        <f>(-5-((((-5*(-5/((-5/(((-5*(11.67--5))-(-5+((-5*11.67)*(((-5--5)+(11.67--5))+11.67))))-(-5+-5)))*-5)))/-5)--5)+(-5*(((11.67*(11.67-(-5/-5)))*(11.67-(11.67/(-5*11.67))))-(-5/-5)))))</f>
        <v>7692.254514999998</v>
      </c>
      <c r="C11168" t="n" s="0">
        <v>7692.254515</v>
      </c>
    </row>
    <row r="11169">
      <c r="A11169" t="n" s="0">
        <v>11.68</v>
      </c>
      <c r="B11169" t="n" s="0">
        <f>(-5-((((-5*(-5/((-5/(((-5*(11.68--5))-(-5+((-5*11.68)*(((-5--5)+(11.68--5))+11.68))))-(-5+-5)))*-5)))/-5)--5)+(-5*(((11.68*(11.68-(-5/-5)))*(11.68-(11.68/(-5*11.68))))-(-5/-5)))))</f>
        <v>7712.26336</v>
      </c>
      <c r="C11169" t="n" s="0">
        <v>7712.263359999999</v>
      </c>
    </row>
    <row r="11170">
      <c r="A11170" t="n" s="0">
        <v>11.69</v>
      </c>
      <c r="B11170" t="n" s="0">
        <f>(-5-((((-5*(-5/((-5/(((-5*(11.69--5))-(-5+((-5*11.69)*(((-5--5)+(11.69--5))+11.69))))-(-5+-5)))*-5)))/-5)--5)+(-5*(((11.69*(11.69-(-5/-5)))*(11.69-(11.69/(-5*11.69))))-(-5/-5)))))</f>
        <v>7732.306844999999</v>
      </c>
      <c r="C11170" t="n" s="0">
        <v>7732.306844999999</v>
      </c>
    </row>
    <row r="11171">
      <c r="A11171" t="n" s="0">
        <v>11.7</v>
      </c>
      <c r="B11171" t="n" s="0">
        <f>(-5-((((-5*(-5/((-5/(((-5*(11.7--5))-(-5+((-5*11.7)*(((-5--5)+(11.7--5))+11.7))))-(-5+-5)))*-5)))/-5)--5)+(-5*(((11.7*(11.7-(-5/-5)))*(11.7-(11.7/(-5*11.7))))-(-5/-5)))))</f>
        <v>7752.385</v>
      </c>
      <c r="C11171" t="n" s="0">
        <v>7752.384999999998</v>
      </c>
    </row>
    <row r="11172">
      <c r="A11172" t="n" s="0">
        <v>11.71</v>
      </c>
      <c r="B11172" t="n" s="0">
        <f>(-5-((((-5*(-5/((-5/(((-5*(11.71--5))-(-5+((-5*11.71)*(((-5--5)+(11.71--5))+11.71))))-(-5+-5)))*-5)))/-5)--5)+(-5*(((11.71*(11.71-(-5/-5)))*(11.71-(11.71/(-5*11.71))))-(-5/-5)))))</f>
        <v>7772.4978550000005</v>
      </c>
      <c r="C11172" t="n" s="0">
        <v>7772.497855000002</v>
      </c>
    </row>
    <row r="11173">
      <c r="A11173" t="n" s="0">
        <v>11.72</v>
      </c>
      <c r="B11173" t="n" s="0">
        <f>(-5-((((-5*(-5/((-5/(((-5*(11.72--5))-(-5+((-5*11.72)*(((-5--5)+(11.72--5))+11.72))))-(-5+-5)))*-5)))/-5)--5)+(-5*(((11.72*(11.72-(-5/-5)))*(11.72-(11.72/(-5*11.72))))-(-5/-5)))))</f>
        <v>7792.64544</v>
      </c>
      <c r="C11173" t="n" s="0">
        <v>7792.64544</v>
      </c>
    </row>
    <row r="11174">
      <c r="A11174" t="n" s="0">
        <v>11.73</v>
      </c>
      <c r="B11174" t="n" s="0">
        <f>(-5-((((-5*(-5/((-5/(((-5*(11.73--5))-(-5+((-5*11.73)*(((-5--5)+(11.73--5))+11.73))))-(-5+-5)))*-5)))/-5)--5)+(-5*(((11.73*(11.73-(-5/-5)))*(11.73-(11.73/(-5*11.73))))-(-5/-5)))))</f>
        <v>7812.827785</v>
      </c>
      <c r="C11174" t="n" s="0">
        <v>7812.8277849999995</v>
      </c>
    </row>
    <row r="11175">
      <c r="A11175" t="n" s="0">
        <v>11.74</v>
      </c>
      <c r="B11175" t="n" s="0">
        <f>(-5-((((-5*(-5/((-5/(((-5*(11.74--5))-(-5+((-5*11.74)*(((-5--5)+(11.74--5))+11.74))))-(-5+-5)))*-5)))/-5)--5)+(-5*(((11.74*(11.74-(-5/-5)))*(11.74-(11.74/(-5*11.74))))-(-5/-5)))))</f>
        <v>7833.04492</v>
      </c>
      <c r="C11175" t="n" s="0">
        <v>7833.044920000001</v>
      </c>
    </row>
    <row r="11176">
      <c r="A11176" t="n" s="0">
        <v>11.75</v>
      </c>
      <c r="B11176" t="n" s="0">
        <f>(-5-((((-5*(-5/((-5/(((-5*(11.75--5))-(-5+((-5*11.75)*(((-5--5)+(11.75--5))+11.75))))-(-5+-5)))*-5)))/-5)--5)+(-5*(((11.75*(11.75-(-5/-5)))*(11.75-(11.75/(-5*11.75))))-(-5/-5)))))</f>
        <v>7853.296874999998</v>
      </c>
      <c r="C11176" t="n" s="0">
        <v>7853.296875</v>
      </c>
    </row>
    <row r="11177">
      <c r="A11177" t="n" s="0">
        <v>11.76</v>
      </c>
      <c r="B11177" t="n" s="0">
        <f>(-5-((((-5*(-5/((-5/(((-5*(11.76--5))-(-5+((-5*11.76)*(((-5--5)+(11.76--5))+11.76))))-(-5+-5)))*-5)))/-5)--5)+(-5*(((11.76*(11.76-(-5/-5)))*(11.76-(11.76/(-5*11.76))))-(-5/-5)))))</f>
        <v>7873.583679999998</v>
      </c>
      <c r="C11177" t="n" s="0">
        <v>7873.58368</v>
      </c>
    </row>
    <row r="11178">
      <c r="A11178" t="n" s="0">
        <v>11.77</v>
      </c>
      <c r="B11178" t="n" s="0">
        <f>(-5-((((-5*(-5/((-5/(((-5*(11.77--5))-(-5+((-5*11.77)*(((-5--5)+(11.77--5))+11.77))))-(-5+-5)))*-5)))/-5)--5)+(-5*(((11.77*(11.77-(-5/-5)))*(11.77-(11.77/(-5*11.77))))-(-5/-5)))))</f>
        <v>7893.9053650000005</v>
      </c>
      <c r="C11178" t="n" s="0">
        <v>7893.905365</v>
      </c>
    </row>
    <row r="11179">
      <c r="A11179" t="n" s="0">
        <v>11.78</v>
      </c>
      <c r="B11179" t="n" s="0">
        <f>(-5-((((-5*(-5/((-5/(((-5*(11.78--5))-(-5+((-5*11.78)*(((-5--5)+(11.78--5))+11.78))))-(-5+-5)))*-5)))/-5)--5)+(-5*(((11.78*(11.78-(-5/-5)))*(11.78-(11.78/(-5*11.78))))-(-5/-5)))))</f>
        <v>7914.26196</v>
      </c>
      <c r="C11179" t="n" s="0">
        <v>7914.261959999999</v>
      </c>
    </row>
    <row r="11180">
      <c r="A11180" t="n" s="0">
        <v>11.79</v>
      </c>
      <c r="B11180" t="n" s="0">
        <f>(-5-((((-5*(-5/((-5/(((-5*(11.79--5))-(-5+((-5*11.79)*(((-5--5)+(11.79--5))+11.79))))-(-5+-5)))*-5)))/-5)--5)+(-5*(((11.79*(11.79-(-5/-5)))*(11.79-(11.79/(-5*11.79))))-(-5/-5)))))</f>
        <v>7934.6534950000005</v>
      </c>
      <c r="C11180" t="n" s="0">
        <v>7934.653494999998</v>
      </c>
    </row>
    <row r="11181">
      <c r="A11181" t="n" s="0">
        <v>11.8</v>
      </c>
      <c r="B11181" t="n" s="0">
        <f>(-5-((((-5*(-5/((-5/(((-5*(11.8--5))-(-5+((-5*11.8)*(((-5--5)+(11.8--5))+11.8))))-(-5+-5)))*-5)))/-5)--5)+(-5*(((11.8*(11.8-(-5/-5)))*(11.8-(11.8/(-5*11.8))))-(-5/-5)))))</f>
        <v>7955.08</v>
      </c>
      <c r="C11181" t="n" s="0">
        <v>7955.080000000002</v>
      </c>
    </row>
    <row r="11182">
      <c r="A11182" t="n" s="0">
        <v>11.81</v>
      </c>
      <c r="B11182" t="n" s="0">
        <f>(-5-((((-5*(-5/((-5/(((-5*(11.81--5))-(-5+((-5*11.81)*(((-5--5)+(11.81--5))+11.81))))-(-5+-5)))*-5)))/-5)--5)+(-5*(((11.81*(11.81-(-5/-5)))*(11.81-(11.81/(-5*11.81))))-(-5/-5)))))</f>
        <v>7975.541505</v>
      </c>
      <c r="C11182" t="n" s="0">
        <v>7975.541505000001</v>
      </c>
    </row>
    <row r="11183">
      <c r="A11183" t="n" s="0">
        <v>11.82</v>
      </c>
      <c r="B11183" t="n" s="0">
        <f>(-5-((((-5*(-5/((-5/(((-5*(11.82--5))-(-5+((-5*11.82)*(((-5--5)+(11.82--5))+11.82))))-(-5+-5)))*-5)))/-5)--5)+(-5*(((11.82*(11.82-(-5/-5)))*(11.82-(11.82/(-5*11.82))))-(-5/-5)))))</f>
        <v>7996.0380399999995</v>
      </c>
      <c r="C11183" t="n" s="0">
        <v>7996.038040000001</v>
      </c>
    </row>
    <row r="11184">
      <c r="A11184" t="n" s="0">
        <v>11.83</v>
      </c>
      <c r="B11184" t="n" s="0">
        <f>(-5-((((-5*(-5/((-5/(((-5*(11.83--5))-(-5+((-5*11.83)*(((-5--5)+(11.83--5))+11.83))))-(-5+-5)))*-5)))/-5)--5)+(-5*(((11.83*(11.83-(-5/-5)))*(11.83-(11.83/(-5*11.83))))-(-5/-5)))))</f>
        <v>8016.569635000001</v>
      </c>
      <c r="C11184" t="n" s="0">
        <v>8016.569635000001</v>
      </c>
    </row>
    <row r="11185">
      <c r="A11185" t="n" s="0">
        <v>11.84</v>
      </c>
      <c r="B11185" t="n" s="0">
        <f>(-5-((((-5*(-5/((-5/(((-5*(11.84--5))-(-5+((-5*11.84)*(((-5--5)+(11.84--5))+11.84))))-(-5+-5)))*-5)))/-5)--5)+(-5*(((11.84*(11.84-(-5/-5)))*(11.84-(11.84/(-5*11.84))))-(-5/-5)))))</f>
        <v>8037.1363200000005</v>
      </c>
      <c r="C11185" t="n" s="0">
        <v>8037.13632</v>
      </c>
    </row>
    <row r="11186">
      <c r="A11186" t="n" s="0">
        <v>11.85</v>
      </c>
      <c r="B11186" t="n" s="0">
        <f>(-5-((((-5*(-5/((-5/(((-5*(11.85--5))-(-5+((-5*11.85)*(((-5--5)+(11.85--5))+11.85))))-(-5+-5)))*-5)))/-5)--5)+(-5*(((11.85*(11.85-(-5/-5)))*(11.85-(11.85/(-5*11.85))))-(-5/-5)))))</f>
        <v>8057.738125</v>
      </c>
      <c r="C11186" t="n" s="0">
        <v>8057.738124999998</v>
      </c>
    </row>
    <row r="11187">
      <c r="A11187" t="n" s="0">
        <v>11.86</v>
      </c>
      <c r="B11187" t="n" s="0">
        <f>(-5-((((-5*(-5/((-5/(((-5*(11.86--5))-(-5+((-5*11.86)*(((-5--5)+(11.86--5))+11.86))))-(-5+-5)))*-5)))/-5)--5)+(-5*(((11.86*(11.86-(-5/-5)))*(11.86-(11.86/(-5*11.86))))-(-5/-5)))))</f>
        <v>8078.375080000001</v>
      </c>
      <c r="C11187" t="n" s="0">
        <v>8078.37508</v>
      </c>
    </row>
    <row r="11188">
      <c r="A11188" t="n" s="0">
        <v>11.87</v>
      </c>
      <c r="B11188" t="n" s="0">
        <f>(-5-((((-5*(-5/((-5/(((-5*(11.87--5))-(-5+((-5*11.87)*(((-5--5)+(11.87--5))+11.87))))-(-5+-5)))*-5)))/-5)--5)+(-5*(((11.87*(11.87-(-5/-5)))*(11.87-(11.87/(-5*11.87))))-(-5/-5)))))</f>
        <v>8099.047215</v>
      </c>
      <c r="C11188" t="n" s="0">
        <v>8099.047214999999</v>
      </c>
    </row>
    <row r="11189">
      <c r="A11189" t="n" s="0">
        <v>11.88</v>
      </c>
      <c r="B11189" t="n" s="0">
        <f>(-5-((((-5*(-5/((-5/(((-5*(11.88--5))-(-5+((-5*11.88)*(((-5--5)+(11.88--5))+11.88))))-(-5+-5)))*-5)))/-5)--5)+(-5*(((11.88*(11.88-(-5/-5)))*(11.88-(11.88/(-5*11.88))))-(-5/-5)))))</f>
        <v>8119.75456</v>
      </c>
      <c r="C11189" t="n" s="0">
        <v>8119.754560000002</v>
      </c>
    </row>
    <row r="11190">
      <c r="A11190" t="n" s="0">
        <v>11.89</v>
      </c>
      <c r="B11190" t="n" s="0">
        <f>(-5-((((-5*(-5/((-5/(((-5*(11.89--5))-(-5+((-5*11.89)*(((-5--5)+(11.89--5))+11.89))))-(-5+-5)))*-5)))/-5)--5)+(-5*(((11.89*(11.89-(-5/-5)))*(11.89-(11.89/(-5*11.89))))-(-5/-5)))))</f>
        <v>8140.497144999999</v>
      </c>
      <c r="C11190" t="n" s="0">
        <v>8140.497145000002</v>
      </c>
    </row>
    <row r="11191">
      <c r="A11191" t="n" s="0">
        <v>11.9</v>
      </c>
      <c r="B11191" t="n" s="0">
        <f>(-5-((((-5*(-5/((-5/(((-5*(11.9--5))-(-5+((-5*11.9)*(((-5--5)+(11.9--5))+11.9))))-(-5+-5)))*-5)))/-5)--5)+(-5*(((11.9*(11.9-(-5/-5)))*(11.9-(11.9/(-5*11.9))))-(-5/-5)))))</f>
        <v>8161.275</v>
      </c>
      <c r="C11191" t="n" s="0">
        <v>8161.275</v>
      </c>
    </row>
    <row r="11192">
      <c r="A11192" t="n" s="0">
        <v>11.91</v>
      </c>
      <c r="B11192" t="n" s="0">
        <f>(-5-((((-5*(-5/((-5/(((-5*(11.91--5))-(-5+((-5*11.91)*(((-5--5)+(11.91--5))+11.91))))-(-5+-5)))*-5)))/-5)--5)+(-5*(((11.91*(11.91-(-5/-5)))*(11.91-(11.91/(-5*11.91))))-(-5/-5)))))</f>
        <v>8182.0881549999995</v>
      </c>
      <c r="C11192" t="n" s="0">
        <v>8182.0881549999995</v>
      </c>
    </row>
    <row r="11193">
      <c r="A11193" t="n" s="0">
        <v>11.92</v>
      </c>
      <c r="B11193" t="n" s="0">
        <f>(-5-((((-5*(-5/((-5/(((-5*(11.92--5))-(-5+((-5*11.92)*(((-5--5)+(11.92--5))+11.92))))-(-5+-5)))*-5)))/-5)--5)+(-5*(((11.92*(11.92-(-5/-5)))*(11.92-(11.92/(-5*11.92))))-(-5/-5)))))</f>
        <v>8202.93664</v>
      </c>
      <c r="C11193" t="n" s="0">
        <v>8202.93664</v>
      </c>
    </row>
    <row r="11194">
      <c r="A11194" t="n" s="0">
        <v>11.93</v>
      </c>
      <c r="B11194" t="n" s="0">
        <f>(-5-((((-5*(-5/((-5/(((-5*(11.93--5))-(-5+((-5*11.93)*(((-5--5)+(11.93--5))+11.93))))-(-5+-5)))*-5)))/-5)--5)+(-5*(((11.93*(11.93-(-5/-5)))*(11.93-(11.93/(-5*11.93))))-(-5/-5)))))</f>
        <v>8223.820485</v>
      </c>
      <c r="C11194" t="n" s="0">
        <v>8223.820485</v>
      </c>
    </row>
    <row r="11195">
      <c r="A11195" t="n" s="0">
        <v>11.94</v>
      </c>
      <c r="B11195" t="n" s="0">
        <f>(-5-((((-5*(-5/((-5/(((-5*(11.94--5))-(-5+((-5*11.94)*(((-5--5)+(11.94--5))+11.94))))-(-5+-5)))*-5)))/-5)--5)+(-5*(((11.94*(11.94-(-5/-5)))*(11.94-(11.94/(-5*11.94))))-(-5/-5)))))</f>
        <v>8244.73972</v>
      </c>
      <c r="C11195" t="n" s="0">
        <v>8244.739719999998</v>
      </c>
    </row>
    <row r="11196">
      <c r="A11196" t="n" s="0">
        <v>11.95</v>
      </c>
      <c r="B11196" t="n" s="0">
        <f>(-5-((((-5*(-5/((-5/(((-5*(11.95--5))-(-5+((-5*11.95)*(((-5--5)+(11.95--5))+11.95))))-(-5+-5)))*-5)))/-5)--5)+(-5*(((11.95*(11.95-(-5/-5)))*(11.95-(11.95/(-5*11.95))))-(-5/-5)))))</f>
        <v>8265.694375000001</v>
      </c>
      <c r="C11196" t="n" s="0">
        <v>8265.694375</v>
      </c>
    </row>
    <row r="11197">
      <c r="A11197" t="n" s="0">
        <v>11.96</v>
      </c>
      <c r="B11197" t="n" s="0">
        <f>(-5-((((-5*(-5/((-5/(((-5*(11.96--5))-(-5+((-5*11.96)*(((-5--5)+(11.96--5))+11.96))))-(-5+-5)))*-5)))/-5)--5)+(-5*(((11.96*(11.96-(-5/-5)))*(11.96-(11.96/(-5*11.96))))-(-5/-5)))))</f>
        <v>8286.684479999998</v>
      </c>
      <c r="C11197" t="n" s="0">
        <v>8286.684480000002</v>
      </c>
    </row>
    <row r="11198">
      <c r="A11198" t="n" s="0">
        <v>11.97</v>
      </c>
      <c r="B11198" t="n" s="0">
        <f>(-5-((((-5*(-5/((-5/(((-5*(11.97--5))-(-5+((-5*11.97)*(((-5--5)+(11.97--5))+11.97))))-(-5+-5)))*-5)))/-5)--5)+(-5*(((11.97*(11.97-(-5/-5)))*(11.97-(11.97/(-5*11.97))))-(-5/-5)))))</f>
        <v>8307.710065</v>
      </c>
      <c r="C11198" t="n" s="0">
        <v>8307.710065000001</v>
      </c>
    </row>
    <row r="11199">
      <c r="A11199" t="n" s="0">
        <v>11.98</v>
      </c>
      <c r="B11199" t="n" s="0">
        <f>(-5-((((-5*(-5/((-5/(((-5*(11.98--5))-(-5+((-5*11.98)*(((-5--5)+(11.98--5))+11.98))))-(-5+-5)))*-5)))/-5)--5)+(-5*(((11.98*(11.98-(-5/-5)))*(11.98-(11.98/(-5*11.98))))-(-5/-5)))))</f>
        <v>8328.771160000002</v>
      </c>
      <c r="C11199" t="n" s="0">
        <v>8328.77116</v>
      </c>
    </row>
    <row r="11200">
      <c r="A11200" t="n" s="0">
        <v>11.99</v>
      </c>
      <c r="B11200" t="n" s="0">
        <f>(-5-((((-5*(-5/((-5/(((-5*(11.99--5))-(-5+((-5*11.99)*(((-5--5)+(11.99--5))+11.99))))-(-5+-5)))*-5)))/-5)--5)+(-5*(((11.99*(11.99-(-5/-5)))*(11.99-(11.99/(-5*11.99))))-(-5/-5)))))</f>
        <v>8349.867795</v>
      </c>
      <c r="C11200" t="n" s="0">
        <v>8349.867795</v>
      </c>
    </row>
    <row r="11201">
      <c r="A11201" t="n" s="0">
        <v>12.0</v>
      </c>
      <c r="B11201" t="n" s="0">
        <f>(-5-((((-5*(-5/((-5/(((-5*(12--5))-(-5+((-5*12)*(((-5--5)+(12--5))+12))))-(-5+-5)))*-5)))/-5)--5)+(-5*(((12*(12-(-5/-5)))*(12-(12/(-5*12))))-(-5/-5)))))</f>
        <v>8371.0</v>
      </c>
      <c r="C11201" t="n" s="0">
        <v>8371.0</v>
      </c>
    </row>
    <row r="11202">
      <c r="A11202" t="n" s="0">
        <v>12.01</v>
      </c>
      <c r="B11202" t="n" s="0">
        <f>(-5-((((-5*(-5/((-5/(((-5*(12.01--5))-(-5+((-5*12.01)*(((-5--5)+(12.01--5))+12.01))))-(-5+-5)))*-5)))/-5)--5)+(-5*(((12.01*(12.01-(-5/-5)))*(12.01-(12.01/(-5*12.01))))-(-5/-5)))))</f>
        <v>8392.167805000001</v>
      </c>
      <c r="C11202" t="n" s="0">
        <v>8392.167805</v>
      </c>
    </row>
    <row r="11203">
      <c r="A11203" t="n" s="0">
        <v>12.02</v>
      </c>
      <c r="B11203" t="n" s="0">
        <f>(-5-((((-5*(-5/((-5/(((-5*(12.02--5))-(-5+((-5*12.02)*(((-5--5)+(12.02--5))+12.02))))-(-5+-5)))*-5)))/-5)--5)+(-5*(((12.02*(12.02-(-5/-5)))*(12.02-(12.02/(-5*12.02))))-(-5/-5)))))</f>
        <v>8413.37124</v>
      </c>
      <c r="C11203" t="n" s="0">
        <v>8413.371239999999</v>
      </c>
    </row>
    <row r="11204">
      <c r="A11204" t="n" s="0">
        <v>12.03</v>
      </c>
      <c r="B11204" t="n" s="0">
        <f>(-5-((((-5*(-5/((-5/(((-5*(12.03--5))-(-5+((-5*12.03)*(((-5--5)+(12.03--5))+12.03))))-(-5+-5)))*-5)))/-5)--5)+(-5*(((12.03*(12.03-(-5/-5)))*(12.03-(12.03/(-5*12.03))))-(-5/-5)))))</f>
        <v>8434.610335</v>
      </c>
      <c r="C11204" t="n" s="0">
        <v>8434.610334999998</v>
      </c>
    </row>
    <row r="11205">
      <c r="A11205" t="n" s="0">
        <v>12.04</v>
      </c>
      <c r="B11205" t="n" s="0">
        <f>(-5-((((-5*(-5/((-5/(((-5*(12.04--5))-(-5+((-5*12.04)*(((-5--5)+(12.04--5))+12.04))))-(-5+-5)))*-5)))/-5)--5)+(-5*(((12.04*(12.04-(-5/-5)))*(12.04-(12.04/(-5*12.04))))-(-5/-5)))))</f>
        <v>8455.885119999997</v>
      </c>
      <c r="C11205" t="n" s="0">
        <v>8455.885119999999</v>
      </c>
    </row>
    <row r="11206">
      <c r="A11206" t="n" s="0">
        <v>12.05</v>
      </c>
      <c r="B11206" t="n" s="0">
        <f>(-5-((((-5*(-5/((-5/(((-5*(12.05--5))-(-5+((-5*12.05)*(((-5--5)+(12.05--5))+12.05))))-(-5+-5)))*-5)))/-5)--5)+(-5*(((12.05*(12.05-(-5/-5)))*(12.05-(12.05/(-5*12.05))))-(-5/-5)))))</f>
        <v>8477.195625</v>
      </c>
      <c r="C11206" t="n" s="0">
        <v>8477.195625</v>
      </c>
    </row>
    <row r="11207">
      <c r="A11207" t="n" s="0">
        <v>12.06</v>
      </c>
      <c r="B11207" t="n" s="0">
        <f>(-5-((((-5*(-5/((-5/(((-5*(12.06--5))-(-5+((-5*12.06)*(((-5--5)+(12.06--5))+12.06))))-(-5+-5)))*-5)))/-5)--5)+(-5*(((12.06*(12.06-(-5/-5)))*(12.06-(12.06/(-5*12.06))))-(-5/-5)))))</f>
        <v>8498.54188</v>
      </c>
      <c r="C11207" t="n" s="0">
        <v>8498.541880000002</v>
      </c>
    </row>
    <row r="11208">
      <c r="A11208" t="n" s="0">
        <v>12.07</v>
      </c>
      <c r="B11208" t="n" s="0">
        <f>(-5-((((-5*(-5/((-5/(((-5*(12.07--5))-(-5+((-5*12.07)*(((-5--5)+(12.07--5))+12.07))))-(-5+-5)))*-5)))/-5)--5)+(-5*(((12.07*(12.07-(-5/-5)))*(12.07-(12.07/(-5*12.07))))-(-5/-5)))))</f>
        <v>8519.923915000003</v>
      </c>
      <c r="C11208" t="n" s="0">
        <v>8519.923915</v>
      </c>
    </row>
    <row r="11209">
      <c r="A11209" t="n" s="0">
        <v>12.08</v>
      </c>
      <c r="B11209" t="n" s="0">
        <f>(-5-((((-5*(-5/((-5/(((-5*(12.08--5))-(-5+((-5*12.08)*(((-5--5)+(12.08--5))+12.08))))-(-5+-5)))*-5)))/-5)--5)+(-5*(((12.08*(12.08-(-5/-5)))*(12.08-(12.08/(-5*12.08))))-(-5/-5)))))</f>
        <v>8541.341760000003</v>
      </c>
      <c r="C11209" t="n" s="0">
        <v>8541.34176</v>
      </c>
    </row>
    <row r="11210">
      <c r="A11210" t="n" s="0">
        <v>12.09</v>
      </c>
      <c r="B11210" t="n" s="0">
        <f>(-5-((((-5*(-5/((-5/(((-5*(12.09--5))-(-5+((-5*12.09)*(((-5--5)+(12.09--5))+12.09))))-(-5+-5)))*-5)))/-5)--5)+(-5*(((12.09*(12.09-(-5/-5)))*(12.09-(12.09/(-5*12.09))))-(-5/-5)))))</f>
        <v>8562.795445</v>
      </c>
      <c r="C11210" t="n" s="0">
        <v>8562.795445000002</v>
      </c>
    </row>
    <row r="11211">
      <c r="A11211" t="n" s="0">
        <v>12.1</v>
      </c>
      <c r="B11211" t="n" s="0">
        <f>(-5-((((-5*(-5/((-5/(((-5*(12.1--5))-(-5+((-5*12.1)*(((-5--5)+(12.1--5))+12.1))))-(-5+-5)))*-5)))/-5)--5)+(-5*(((12.1*(12.1-(-5/-5)))*(12.1-(12.1/(-5*12.1))))-(-5/-5)))))</f>
        <v>8584.284999999998</v>
      </c>
      <c r="C11211" t="n" s="0">
        <v>8584.285</v>
      </c>
    </row>
    <row r="11212">
      <c r="A11212" t="n" s="0">
        <v>12.11</v>
      </c>
      <c r="B11212" t="n" s="0">
        <f>(-5-((((-5*(-5/((-5/(((-5*(12.11--5))-(-5+((-5*12.11)*(((-5--5)+(12.11--5))+12.11))))-(-5+-5)))*-5)))/-5)--5)+(-5*(((12.11*(12.11-(-5/-5)))*(12.11-(12.11/(-5*12.11))))-(-5/-5)))))</f>
        <v>8605.810454999999</v>
      </c>
      <c r="C11212" t="n" s="0">
        <v>8605.810454999999</v>
      </c>
    </row>
    <row r="11213">
      <c r="A11213" t="n" s="0">
        <v>12.12</v>
      </c>
      <c r="B11213" t="n" s="0">
        <f>(-5-((((-5*(-5/((-5/(((-5*(12.12--5))-(-5+((-5*12.12)*(((-5--5)+(12.12--5))+12.12))))-(-5+-5)))*-5)))/-5)--5)+(-5*(((12.12*(12.12-(-5/-5)))*(12.12-(12.12/(-5*12.12))))-(-5/-5)))))</f>
        <v>8627.37184</v>
      </c>
      <c r="C11213" t="n" s="0">
        <v>8627.371839999998</v>
      </c>
    </row>
    <row r="11214">
      <c r="A11214" t="n" s="0">
        <v>12.13</v>
      </c>
      <c r="B11214" t="n" s="0">
        <f>(-5-((((-5*(-5/((-5/(((-5*(12.13--5))-(-5+((-5*12.13)*(((-5--5)+(12.13--5))+12.13))))-(-5+-5)))*-5)))/-5)--5)+(-5*(((12.13*(12.13-(-5/-5)))*(12.13-(12.13/(-5*12.13))))-(-5/-5)))))</f>
        <v>8648.969185000002</v>
      </c>
      <c r="C11214" t="n" s="0">
        <v>8648.969185</v>
      </c>
    </row>
    <row r="11215">
      <c r="A11215" t="n" s="0">
        <v>12.14</v>
      </c>
      <c r="B11215" t="n" s="0">
        <f>(-5-((((-5*(-5/((-5/(((-5*(12.14--5))-(-5+((-5*12.14)*(((-5--5)+(12.14--5))+12.14))))-(-5+-5)))*-5)))/-5)--5)+(-5*(((12.14*(12.14-(-5/-5)))*(12.14-(12.14/(-5*12.14))))-(-5/-5)))))</f>
        <v>8670.60252</v>
      </c>
      <c r="C11215" t="n" s="0">
        <v>8670.60252</v>
      </c>
    </row>
    <row r="11216">
      <c r="A11216" t="n" s="0">
        <v>12.15</v>
      </c>
      <c r="B11216" t="n" s="0">
        <f>(-5-((((-5*(-5/((-5/(((-5*(12.15--5))-(-5+((-5*12.15)*(((-5--5)+(12.15--5))+12.15))))-(-5+-5)))*-5)))/-5)--5)+(-5*(((12.15*(12.15-(-5/-5)))*(12.15-(12.15/(-5*12.15))))-(-5/-5)))))</f>
        <v>8692.271874999999</v>
      </c>
      <c r="C11216" t="n" s="0">
        <v>8692.271875</v>
      </c>
    </row>
    <row r="11217">
      <c r="A11217" t="n" s="0">
        <v>12.16</v>
      </c>
      <c r="B11217" t="n" s="0">
        <f>(-5-((((-5*(-5/((-5/(((-5*(12.16--5))-(-5+((-5*12.16)*(((-5--5)+(12.16--5))+12.16))))-(-5+-5)))*-5)))/-5)--5)+(-5*(((12.16*(12.16-(-5/-5)))*(12.16-(12.16/(-5*12.16))))-(-5/-5)))))</f>
        <v>8713.97728</v>
      </c>
      <c r="C11217" t="n" s="0">
        <v>8713.977280000001</v>
      </c>
    </row>
    <row r="11218">
      <c r="A11218" t="n" s="0">
        <v>12.17</v>
      </c>
      <c r="B11218" t="n" s="0">
        <f>(-5-((((-5*(-5/((-5/(((-5*(12.17--5))-(-5+((-5*12.17)*(((-5--5)+(12.17--5))+12.17))))-(-5+-5)))*-5)))/-5)--5)+(-5*(((12.17*(12.17-(-5/-5)))*(12.17-(12.17/(-5*12.17))))-(-5/-5)))))</f>
        <v>8735.718765000001</v>
      </c>
      <c r="C11218" t="n" s="0">
        <v>8735.718765</v>
      </c>
    </row>
    <row r="11219">
      <c r="A11219" t="n" s="0">
        <v>12.18</v>
      </c>
      <c r="B11219" t="n" s="0">
        <f>(-5-((((-5*(-5/((-5/(((-5*(12.18--5))-(-5+((-5*12.18)*(((-5--5)+(12.18--5))+12.18))))-(-5+-5)))*-5)))/-5)--5)+(-5*(((12.18*(12.18-(-5/-5)))*(12.18-(12.18/(-5*12.18))))-(-5/-5)))))</f>
        <v>8757.496360000001</v>
      </c>
      <c r="C11219" t="n" s="0">
        <v>8757.496360000001</v>
      </c>
    </row>
    <row r="11220">
      <c r="A11220" t="n" s="0">
        <v>12.19</v>
      </c>
      <c r="B11220" t="n" s="0">
        <f>(-5-((((-5*(-5/((-5/(((-5*(12.19--5))-(-5+((-5*12.19)*(((-5--5)+(12.19--5))+12.19))))-(-5+-5)))*-5)))/-5)--5)+(-5*(((12.19*(12.19-(-5/-5)))*(12.19-(12.19/(-5*12.19))))-(-5/-5)))))</f>
        <v>8779.310094999999</v>
      </c>
      <c r="C11220" t="n" s="0">
        <v>8779.310094999999</v>
      </c>
    </row>
    <row r="11221">
      <c r="A11221" t="n" s="0">
        <v>12.2</v>
      </c>
      <c r="B11221" t="n" s="0">
        <f>(-5-((((-5*(-5/((-5/(((-5*(12.2--5))-(-5+((-5*12.2)*(((-5--5)+(12.2--5))+12.2))))-(-5+-5)))*-5)))/-5)--5)+(-5*(((12.2*(12.2-(-5/-5)))*(12.2-(12.2/(-5*12.2))))-(-5/-5)))))</f>
        <v>8801.16</v>
      </c>
      <c r="C11221" t="n" s="0">
        <v>8801.159999999998</v>
      </c>
    </row>
    <row r="11222">
      <c r="A11222" t="n" s="0">
        <v>12.21</v>
      </c>
      <c r="B11222" t="n" s="0">
        <f>(-5-((((-5*(-5/((-5/(((-5*(12.21--5))-(-5+((-5*12.21)*(((-5--5)+(12.21--5))+12.21))))-(-5+-5)))*-5)))/-5)--5)+(-5*(((12.21*(12.21-(-5/-5)))*(12.21-(12.21/(-5*12.21))))-(-5/-5)))))</f>
        <v>8823.046105000001</v>
      </c>
      <c r="C11222" t="n" s="0">
        <v>8823.046105000001</v>
      </c>
    </row>
    <row r="11223">
      <c r="A11223" t="n" s="0">
        <v>12.22</v>
      </c>
      <c r="B11223" t="n" s="0">
        <f>(-5-((((-5*(-5/((-5/(((-5*(12.22--5))-(-5+((-5*12.22)*(((-5--5)+(12.22--5))+12.22))))-(-5+-5)))*-5)))/-5)--5)+(-5*(((12.22*(12.22-(-5/-5)))*(12.22-(12.22/(-5*12.22))))-(-5/-5)))))</f>
        <v>8844.96844</v>
      </c>
      <c r="C11223" t="n" s="0">
        <v>8844.96844</v>
      </c>
    </row>
    <row r="11224">
      <c r="A11224" t="n" s="0">
        <v>12.23</v>
      </c>
      <c r="B11224" t="n" s="0">
        <f>(-5-((((-5*(-5/((-5/(((-5*(12.23--5))-(-5+((-5*12.23)*(((-5--5)+(12.23--5))+12.23))))-(-5+-5)))*-5)))/-5)--5)+(-5*(((12.23*(12.23-(-5/-5)))*(12.23-(12.23/(-5*12.23))))-(-5/-5)))))</f>
        <v>8866.927034999999</v>
      </c>
      <c r="C11224" t="n" s="0">
        <v>8866.927035</v>
      </c>
    </row>
    <row r="11225">
      <c r="A11225" t="n" s="0">
        <v>12.24</v>
      </c>
      <c r="B11225" t="n" s="0">
        <f>(-5-((((-5*(-5/((-5/(((-5*(12.24--5))-(-5+((-5*12.24)*(((-5--5)+(12.24--5))+12.24))))-(-5+-5)))*-5)))/-5)--5)+(-5*(((12.24*(12.24-(-5/-5)))*(12.24-(12.24/(-5*12.24))))-(-5/-5)))))</f>
        <v>8888.921919999999</v>
      </c>
      <c r="C11225" t="n" s="0">
        <v>8888.921919999999</v>
      </c>
    </row>
    <row r="11226">
      <c r="A11226" t="n" s="0">
        <v>12.25</v>
      </c>
      <c r="B11226" t="n" s="0">
        <f>(-5-((((-5*(-5/((-5/(((-5*(12.25--5))-(-5+((-5*12.25)*(((-5--5)+(12.25--5))+12.25))))-(-5+-5)))*-5)))/-5)--5)+(-5*(((12.25*(12.25-(-5/-5)))*(12.25-(12.25/(-5*12.25))))-(-5/-5)))))</f>
        <v>8910.953125</v>
      </c>
      <c r="C11226" t="n" s="0">
        <v>8910.953125</v>
      </c>
    </row>
    <row r="11227">
      <c r="A11227" t="n" s="0">
        <v>12.26</v>
      </c>
      <c r="B11227" t="n" s="0">
        <f>(-5-((((-5*(-5/((-5/(((-5*(12.26--5))-(-5+((-5*12.26)*(((-5--5)+(12.26--5))+12.26))))-(-5+-5)))*-5)))/-5)--5)+(-5*(((12.26*(12.26-(-5/-5)))*(12.26-(12.26/(-5*12.26))))-(-5/-5)))))</f>
        <v>8933.02068</v>
      </c>
      <c r="C11227" t="n" s="0">
        <v>8933.02068</v>
      </c>
    </row>
    <row r="11228">
      <c r="A11228" t="n" s="0">
        <v>12.27</v>
      </c>
      <c r="B11228" t="n" s="0">
        <f>(-5-((((-5*(-5/((-5/(((-5*(12.27--5))-(-5+((-5*12.27)*(((-5--5)+(12.27--5))+12.27))))-(-5+-5)))*-5)))/-5)--5)+(-5*(((12.27*(12.27-(-5/-5)))*(12.27-(12.27/(-5*12.27))))-(-5/-5)))))</f>
        <v>8955.124615</v>
      </c>
      <c r="C11228" t="n" s="0">
        <v>8955.124614999999</v>
      </c>
    </row>
    <row r="11229">
      <c r="A11229" t="n" s="0">
        <v>12.28</v>
      </c>
      <c r="B11229" t="n" s="0">
        <f>(-5-((((-5*(-5/((-5/(((-5*(12.28--5))-(-5+((-5*12.28)*(((-5--5)+(12.28--5))+12.28))))-(-5+-5)))*-5)))/-5)--5)+(-5*(((12.28*(12.28-(-5/-5)))*(12.28-(12.28/(-5*12.28))))-(-5/-5)))))</f>
        <v>8977.264960000002</v>
      </c>
      <c r="C11229" t="n" s="0">
        <v>8977.264959999999</v>
      </c>
    </row>
    <row r="11230">
      <c r="A11230" t="n" s="0">
        <v>12.29</v>
      </c>
      <c r="B11230" t="n" s="0">
        <f>(-5-((((-5*(-5/((-5/(((-5*(12.29--5))-(-5+((-5*12.29)*(((-5--5)+(12.29--5))+12.29))))-(-5+-5)))*-5)))/-5)--5)+(-5*(((12.29*(12.29-(-5/-5)))*(12.29-(12.29/(-5*12.29))))-(-5/-5)))))</f>
        <v>8999.441745</v>
      </c>
      <c r="C11230" t="n" s="0">
        <v>8999.441744999998</v>
      </c>
    </row>
    <row r="11231">
      <c r="A11231" t="n" s="0">
        <v>12.3</v>
      </c>
      <c r="B11231" t="n" s="0">
        <f>(-5-((((-5*(-5/((-5/(((-5*(12.3--5))-(-5+((-5*12.3)*(((-5--5)+(12.3--5))+12.3))))-(-5+-5)))*-5)))/-5)--5)+(-5*(((12.3*(12.3-(-5/-5)))*(12.3-(12.3/(-5*12.3))))-(-5/-5)))))</f>
        <v>9021.655</v>
      </c>
      <c r="C11231" t="n" s="0">
        <v>9021.655000000002</v>
      </c>
    </row>
    <row r="11232">
      <c r="A11232" t="n" s="0">
        <v>12.31</v>
      </c>
      <c r="B11232" t="n" s="0">
        <f>(-5-((((-5*(-5/((-5/(((-5*(12.31--5))-(-5+((-5*12.31)*(((-5--5)+(12.31--5))+12.31))))-(-5+-5)))*-5)))/-5)--5)+(-5*(((12.31*(12.31-(-5/-5)))*(12.31-(12.31/(-5*12.31))))-(-5/-5)))))</f>
        <v>9043.904755</v>
      </c>
      <c r="C11232" t="n" s="0">
        <v>9043.904755000001</v>
      </c>
    </row>
    <row r="11233">
      <c r="A11233" t="n" s="0">
        <v>12.32</v>
      </c>
      <c r="B11233" t="n" s="0">
        <f>(-5-((((-5*(-5/((-5/(((-5*(12.32--5))-(-5+((-5*12.32)*(((-5--5)+(12.32--5))+12.32))))-(-5+-5)))*-5)))/-5)--5)+(-5*(((12.32*(12.32-(-5/-5)))*(12.32-(12.32/(-5*12.32))))-(-5/-5)))))</f>
        <v>9066.191040000002</v>
      </c>
      <c r="C11233" t="n" s="0">
        <v>9066.19104</v>
      </c>
    </row>
    <row r="11234">
      <c r="A11234" t="n" s="0">
        <v>12.33</v>
      </c>
      <c r="B11234" t="n" s="0">
        <f>(-5-((((-5*(-5/((-5/(((-5*(12.33--5))-(-5+((-5*12.33)*(((-5--5)+(12.33--5))+12.33))))-(-5+-5)))*-5)))/-5)--5)+(-5*(((12.33*(12.33-(-5/-5)))*(12.33-(12.33/(-5*12.33))))-(-5/-5)))))</f>
        <v>9088.513884999998</v>
      </c>
      <c r="C11234" t="n" s="0">
        <v>9088.513885</v>
      </c>
    </row>
    <row r="11235">
      <c r="A11235" t="n" s="0">
        <v>12.34</v>
      </c>
      <c r="B11235" t="n" s="0">
        <f>(-5-((((-5*(-5/((-5/(((-5*(12.34--5))-(-5+((-5*12.34)*(((-5--5)+(12.34--5))+12.34))))-(-5+-5)))*-5)))/-5)--5)+(-5*(((12.34*(12.34-(-5/-5)))*(12.34-(12.34/(-5*12.34))))-(-5/-5)))))</f>
        <v>9110.87332</v>
      </c>
      <c r="C11235" t="n" s="0">
        <v>9110.87332</v>
      </c>
    </row>
    <row r="11236">
      <c r="A11236" t="n" s="0">
        <v>12.35</v>
      </c>
      <c r="B11236" t="n" s="0">
        <f>(-5-((((-5*(-5/((-5/(((-5*(12.35--5))-(-5+((-5*12.35)*(((-5--5)+(12.35--5))+12.35))))-(-5+-5)))*-5)))/-5)--5)+(-5*(((12.35*(12.35-(-5/-5)))*(12.35-(12.35/(-5*12.35))))-(-5/-5)))))</f>
        <v>9133.269375</v>
      </c>
      <c r="C11236" t="n" s="0">
        <v>9133.269374999998</v>
      </c>
    </row>
    <row r="11237">
      <c r="A11237" t="n" s="0">
        <v>12.36</v>
      </c>
      <c r="B11237" t="n" s="0">
        <f>(-5-((((-5*(-5/((-5/(((-5*(12.36--5))-(-5+((-5*12.36)*(((-5--5)+(12.36--5))+12.36))))-(-5+-5)))*-5)))/-5)--5)+(-5*(((12.36*(12.36-(-5/-5)))*(12.36-(12.36/(-5*12.36))))-(-5/-5)))))</f>
        <v>9155.70208</v>
      </c>
      <c r="C11237" t="n" s="0">
        <v>9155.70208</v>
      </c>
    </row>
    <row r="11238">
      <c r="A11238" t="n" s="0">
        <v>12.37</v>
      </c>
      <c r="B11238" t="n" s="0">
        <f>(-5-((((-5*(-5/((-5/(((-5*(12.37--5))-(-5+((-5*12.37)*(((-5--5)+(12.37--5))+12.37))))-(-5+-5)))*-5)))/-5)--5)+(-5*(((12.37*(12.37-(-5/-5)))*(12.37-(12.37/(-5*12.37))))-(-5/-5)))))</f>
        <v>9178.171465</v>
      </c>
      <c r="C11238" t="n" s="0">
        <v>9178.171465</v>
      </c>
    </row>
    <row r="11239">
      <c r="A11239" t="n" s="0">
        <v>12.38</v>
      </c>
      <c r="B11239" t="n" s="0">
        <f>(-5-((((-5*(-5/((-5/(((-5*(12.38--5))-(-5+((-5*12.38)*(((-5--5)+(12.38--5))+12.38))))-(-5+-5)))*-5)))/-5)--5)+(-5*(((12.38*(12.38-(-5/-5)))*(12.38-(12.38/(-5*12.38))))-(-5/-5)))))</f>
        <v>9200.67756</v>
      </c>
      <c r="C11239" t="n" s="0">
        <v>9200.677560000002</v>
      </c>
    </row>
    <row r="11240">
      <c r="A11240" t="n" s="0">
        <v>12.39</v>
      </c>
      <c r="B11240" t="n" s="0">
        <f>(-5-((((-5*(-5/((-5/(((-5*(12.39--5))-(-5+((-5*12.39)*(((-5--5)+(12.39--5))+12.39))))-(-5+-5)))*-5)))/-5)--5)+(-5*(((12.39*(12.39-(-5/-5)))*(12.39-(12.39/(-5*12.39))))-(-5/-5)))))</f>
        <v>9223.220395</v>
      </c>
      <c r="C11240" t="n" s="0">
        <v>9223.220395000002</v>
      </c>
    </row>
    <row r="11241">
      <c r="A11241" t="n" s="0">
        <v>12.4</v>
      </c>
      <c r="B11241" t="n" s="0">
        <f>(-5-((((-5*(-5/((-5/(((-5*(12.4--5))-(-5+((-5*12.4)*(((-5--5)+(12.4--5))+12.4))))-(-5+-5)))*-5)))/-5)--5)+(-5*(((12.4*(12.4-(-5/-5)))*(12.4-(12.4/(-5*12.4))))-(-5/-5)))))</f>
        <v>9245.799999999997</v>
      </c>
      <c r="C11241" t="n" s="0">
        <v>9245.800000000001</v>
      </c>
    </row>
    <row r="11242">
      <c r="A11242" t="n" s="0">
        <v>12.41</v>
      </c>
      <c r="B11242" t="n" s="0">
        <f>(-5-((((-5*(-5/((-5/(((-5*(12.41--5))-(-5+((-5*12.41)*(((-5--5)+(12.41--5))+12.41))))-(-5+-5)))*-5)))/-5)--5)+(-5*(((12.41*(12.41-(-5/-5)))*(12.41-(12.41/(-5*12.41))))-(-5/-5)))))</f>
        <v>9268.416404999998</v>
      </c>
      <c r="C11242" t="n" s="0">
        <v>9268.416405</v>
      </c>
    </row>
    <row r="11243">
      <c r="A11243" t="n" s="0">
        <v>12.42</v>
      </c>
      <c r="B11243" t="n" s="0">
        <f>(-5-((((-5*(-5/((-5/(((-5*(12.42--5))-(-5+((-5*12.42)*(((-5--5)+(12.42--5))+12.42))))-(-5+-5)))*-5)))/-5)--5)+(-5*(((12.42*(12.42-(-5/-5)))*(12.42-(12.42/(-5*12.42))))-(-5/-5)))))</f>
        <v>9291.069640000002</v>
      </c>
      <c r="C11243" t="n" s="0">
        <v>9291.06964</v>
      </c>
    </row>
    <row r="11244">
      <c r="A11244" t="n" s="0">
        <v>12.43</v>
      </c>
      <c r="B11244" t="n" s="0">
        <f>(-5-((((-5*(-5/((-5/(((-5*(12.43--5))-(-5+((-5*12.43)*(((-5--5)+(12.43--5))+12.43))))-(-5+-5)))*-5)))/-5)--5)+(-5*(((12.43*(12.43-(-5/-5)))*(12.43-(12.43/(-5*12.43))))-(-5/-5)))))</f>
        <v>9313.759735</v>
      </c>
      <c r="C11244" t="n" s="0">
        <v>9313.759735</v>
      </c>
    </row>
    <row r="11245">
      <c r="A11245" t="n" s="0">
        <v>12.44</v>
      </c>
      <c r="B11245" t="n" s="0">
        <f>(-5-((((-5*(-5/((-5/(((-5*(12.44--5))-(-5+((-5*12.44)*(((-5--5)+(12.44--5))+12.44))))-(-5+-5)))*-5)))/-5)--5)+(-5*(((12.44*(12.44-(-5/-5)))*(12.44-(12.44/(-5*12.44))))-(-5/-5)))))</f>
        <v>9336.486720000003</v>
      </c>
      <c r="C11245" t="n" s="0">
        <v>9336.486719999999</v>
      </c>
    </row>
    <row r="11246">
      <c r="A11246" t="n" s="0">
        <v>12.45</v>
      </c>
      <c r="B11246" t="n" s="0">
        <f>(-5-((((-5*(-5/((-5/(((-5*(12.45--5))-(-5+((-5*12.45)*(((-5--5)+(12.45--5))+12.45))))-(-5+-5)))*-5)))/-5)--5)+(-5*(((12.45*(12.45-(-5/-5)))*(12.45-(12.45/(-5*12.45))))-(-5/-5)))))</f>
        <v>9359.250624999999</v>
      </c>
      <c r="C11246" t="n" s="0">
        <v>9359.250625</v>
      </c>
    </row>
    <row r="11247">
      <c r="A11247" t="n" s="0">
        <v>12.46</v>
      </c>
      <c r="B11247" t="n" s="0">
        <f>(-5-((((-5*(-5/((-5/(((-5*(12.46--5))-(-5+((-5*12.46)*(((-5--5)+(12.46--5))+12.46))))-(-5+-5)))*-5)))/-5)--5)+(-5*(((12.46*(12.46-(-5/-5)))*(12.46-(12.46/(-5*12.46))))-(-5/-5)))))</f>
        <v>9382.05148</v>
      </c>
      <c r="C11247" t="n" s="0">
        <v>9382.051480000002</v>
      </c>
    </row>
    <row r="11248">
      <c r="A11248" t="n" s="0">
        <v>12.47</v>
      </c>
      <c r="B11248" t="n" s="0">
        <f>(-5-((((-5*(-5/((-5/(((-5*(12.47--5))-(-5+((-5*12.47)*(((-5--5)+(12.47--5))+12.47))))-(-5+-5)))*-5)))/-5)--5)+(-5*(((12.47*(12.47-(-5/-5)))*(12.47-(12.47/(-5*12.47))))-(-5/-5)))))</f>
        <v>9404.889314999999</v>
      </c>
      <c r="C11248" t="n" s="0">
        <v>9404.889315</v>
      </c>
    </row>
    <row r="11249">
      <c r="A11249" t="n" s="0">
        <v>12.48</v>
      </c>
      <c r="B11249" t="n" s="0">
        <f>(-5-((((-5*(-5/((-5/(((-5*(12.48--5))-(-5+((-5*12.48)*(((-5--5)+(12.48--5))+12.48))))-(-5+-5)))*-5)))/-5)--5)+(-5*(((12.48*(12.48-(-5/-5)))*(12.48-(12.48/(-5*12.48))))-(-5/-5)))))</f>
        <v>9427.764160000002</v>
      </c>
      <c r="C11249" t="n" s="0">
        <v>9427.76416</v>
      </c>
    </row>
    <row r="11250">
      <c r="A11250" t="n" s="0">
        <v>12.49</v>
      </c>
      <c r="B11250" t="n" s="0">
        <f>(-5-((((-5*(-5/((-5/(((-5*(12.49--5))-(-5+((-5*12.49)*(((-5--5)+(12.49--5))+12.49))))-(-5+-5)))*-5)))/-5)--5)+(-5*(((12.49*(12.49-(-5/-5)))*(12.49-(12.49/(-5*12.49))))-(-5/-5)))))</f>
        <v>9450.676045</v>
      </c>
      <c r="C11250" t="n" s="0">
        <v>9450.676045</v>
      </c>
    </row>
    <row r="11251">
      <c r="A11251" t="n" s="0">
        <v>12.5</v>
      </c>
      <c r="B11251" t="n" s="0">
        <f>(-5-((((-5*(-5/((-5/(((-5*(12.5--5))-(-5+((-5*12.5)*(((-5--5)+(12.5--5))+12.5))))-(-5+-5)))*-5)))/-5)--5)+(-5*(((12.5*(12.5-(-5/-5)))*(12.5-(12.5/(-5*12.5))))-(-5/-5)))))</f>
        <v>9473.624999999998</v>
      </c>
      <c r="C11251" t="n" s="0">
        <v>9473.625</v>
      </c>
    </row>
    <row r="11252">
      <c r="A11252" t="n" s="0">
        <v>12.51</v>
      </c>
      <c r="B11252" t="n" s="0">
        <f>(-5-((((-5*(-5/((-5/(((-5*(12.51--5))-(-5+((-5*12.51)*(((-5--5)+(12.51--5))+12.51))))-(-5+-5)))*-5)))/-5)--5)+(-5*(((12.51*(12.51-(-5/-5)))*(12.51-(12.51/(-5*12.51))))-(-5/-5)))))</f>
        <v>9496.611055</v>
      </c>
      <c r="C11252" t="n" s="0">
        <v>9496.611055</v>
      </c>
    </row>
    <row r="11253">
      <c r="A11253" t="n" s="0">
        <v>12.52</v>
      </c>
      <c r="B11253" t="n" s="0">
        <f>(-5-((((-5*(-5/((-5/(((-5*(12.52--5))-(-5+((-5*12.52)*(((-5--5)+(12.52--5))+12.52))))-(-5+-5)))*-5)))/-5)--5)+(-5*(((12.52*(12.52-(-5/-5)))*(12.52-(12.52/(-5*12.52))))-(-5/-5)))))</f>
        <v>9519.63424</v>
      </c>
      <c r="C11253" t="n" s="0">
        <v>9519.63424</v>
      </c>
    </row>
    <row r="11254">
      <c r="A11254" t="n" s="0">
        <v>12.53</v>
      </c>
      <c r="B11254" t="n" s="0">
        <f>(-5-((((-5*(-5/((-5/(((-5*(12.53--5))-(-5+((-5*12.53)*(((-5--5)+(12.53--5))+12.53))))-(-5+-5)))*-5)))/-5)--5)+(-5*(((12.53*(12.53-(-5/-5)))*(12.53-(12.53/(-5*12.53))))-(-5/-5)))))</f>
        <v>9542.694585000003</v>
      </c>
      <c r="C11254" t="n" s="0">
        <v>9542.694585</v>
      </c>
    </row>
    <row r="11255">
      <c r="A11255" t="n" s="0">
        <v>12.54</v>
      </c>
      <c r="B11255" t="n" s="0">
        <f>(-5-((((-5*(-5/((-5/(((-5*(12.54--5))-(-5+((-5*12.54)*(((-5--5)+(12.54--5))+12.54))))-(-5+-5)))*-5)))/-5)--5)+(-5*(((12.54*(12.54-(-5/-5)))*(12.54-(12.54/(-5*12.54))))-(-5/-5)))))</f>
        <v>9565.792120000002</v>
      </c>
      <c r="C11255" t="n" s="0">
        <v>9565.79212</v>
      </c>
    </row>
    <row r="11256">
      <c r="A11256" t="n" s="0">
        <v>12.55</v>
      </c>
      <c r="B11256" t="n" s="0">
        <f>(-5-((((-5*(-5/((-5/(((-5*(12.55--5))-(-5+((-5*12.55)*(((-5--5)+(12.55--5))+12.55))))-(-5+-5)))*-5)))/-5)--5)+(-5*(((12.55*(12.55-(-5/-5)))*(12.55-(12.55/(-5*12.55))))-(-5/-5)))))</f>
        <v>9588.926875000001</v>
      </c>
      <c r="C11256" t="n" s="0">
        <v>9588.926875000001</v>
      </c>
    </row>
    <row r="11257">
      <c r="A11257" t="n" s="0">
        <v>12.56</v>
      </c>
      <c r="B11257" t="n" s="0">
        <f>(-5-((((-5*(-5/((-5/(((-5*(12.56--5))-(-5+((-5*12.56)*(((-5--5)+(12.56--5))+12.56))))-(-5+-5)))*-5)))/-5)--5)+(-5*(((12.56*(12.56-(-5/-5)))*(12.56-(12.56/(-5*12.56))))-(-5/-5)))))</f>
        <v>9612.098880000001</v>
      </c>
      <c r="C11257" t="n" s="0">
        <v>9612.098880000001</v>
      </c>
    </row>
    <row r="11258">
      <c r="A11258" t="n" s="0">
        <v>12.57</v>
      </c>
      <c r="B11258" t="n" s="0">
        <f>(-5-((((-5*(-5/((-5/(((-5*(12.57--5))-(-5+((-5*12.57)*(((-5--5)+(12.57--5))+12.57))))-(-5+-5)))*-5)))/-5)--5)+(-5*(((12.57*(12.57-(-5/-5)))*(12.57-(12.57/(-5*12.57))))-(-5/-5)))))</f>
        <v>9635.308165</v>
      </c>
      <c r="C11258" t="n" s="0">
        <v>9635.308165</v>
      </c>
    </row>
    <row r="11259">
      <c r="A11259" t="n" s="0">
        <v>12.58</v>
      </c>
      <c r="B11259" t="n" s="0">
        <f>(-5-((((-5*(-5/((-5/(((-5*(12.58--5))-(-5+((-5*12.58)*(((-5--5)+(12.58--5))+12.58))))-(-5+-5)))*-5)))/-5)--5)+(-5*(((12.58*(12.58-(-5/-5)))*(12.58-(12.58/(-5*12.58))))-(-5/-5)))))</f>
        <v>9658.55476</v>
      </c>
      <c r="C11259" t="n" s="0">
        <v>9658.554759999999</v>
      </c>
    </row>
    <row r="11260">
      <c r="A11260" t="n" s="0">
        <v>12.59</v>
      </c>
      <c r="B11260" t="n" s="0">
        <f>(-5-((((-5*(-5/((-5/(((-5*(12.59--5))-(-5+((-5*12.59)*(((-5--5)+(12.59--5))+12.59))))-(-5+-5)))*-5)))/-5)--5)+(-5*(((12.59*(12.59-(-5/-5)))*(12.59-(12.59/(-5*12.59))))-(-5/-5)))))</f>
        <v>9681.838695000002</v>
      </c>
      <c r="C11260" t="n" s="0">
        <v>9681.838695</v>
      </c>
    </row>
    <row r="11261">
      <c r="A11261" t="n" s="0">
        <v>12.6</v>
      </c>
      <c r="B11261" t="n" s="0">
        <f>(-5-((((-5*(-5/((-5/(((-5*(12.6--5))-(-5+((-5*12.6)*(((-5--5)+(12.6--5))+12.6))))-(-5+-5)))*-5)))/-5)--5)+(-5*(((12.6*(12.6-(-5/-5)))*(12.6-(12.6/(-5*12.6))))-(-5/-5)))))</f>
        <v>9705.159999999998</v>
      </c>
      <c r="C11261" t="n" s="0">
        <v>9705.159999999998</v>
      </c>
    </row>
    <row r="11262">
      <c r="A11262" t="n" s="0">
        <v>12.61</v>
      </c>
      <c r="B11262" t="n" s="0">
        <f>(-5-((((-5*(-5/((-5/(((-5*(12.61--5))-(-5+((-5*12.61)*(((-5--5)+(12.61--5))+12.61))))-(-5+-5)))*-5)))/-5)--5)+(-5*(((12.61*(12.61-(-5/-5)))*(12.61-(12.61/(-5*12.61))))-(-5/-5)))))</f>
        <v>9728.518705000002</v>
      </c>
      <c r="C11262" t="n" s="0">
        <v>9728.518704999999</v>
      </c>
    </row>
    <row r="11263">
      <c r="A11263" t="n" s="0">
        <v>12.62</v>
      </c>
      <c r="B11263" t="n" s="0">
        <f>(-5-((((-5*(-5/((-5/(((-5*(12.62--5))-(-5+((-5*12.62)*(((-5--5)+(12.62--5))+12.62))))-(-5+-5)))*-5)))/-5)--5)+(-5*(((12.62*(12.62-(-5/-5)))*(12.62-(12.62/(-5*12.62))))-(-5/-5)))))</f>
        <v>9751.914840000001</v>
      </c>
      <c r="C11263" t="n" s="0">
        <v>9751.91484</v>
      </c>
    </row>
    <row r="11264">
      <c r="A11264" t="n" s="0">
        <v>12.63</v>
      </c>
      <c r="B11264" t="n" s="0">
        <f>(-5-((((-5*(-5/((-5/(((-5*(12.63--5))-(-5+((-5*12.63)*(((-5--5)+(12.63--5))+12.63))))-(-5+-5)))*-5)))/-5)--5)+(-5*(((12.63*(12.63-(-5/-5)))*(12.63-(12.63/(-5*12.63))))-(-5/-5)))))</f>
        <v>9775.348435</v>
      </c>
      <c r="C11264" t="n" s="0">
        <v>9775.348435000002</v>
      </c>
    </row>
    <row r="11265">
      <c r="A11265" t="n" s="0">
        <v>12.64</v>
      </c>
      <c r="B11265" t="n" s="0">
        <f>(-5-((((-5*(-5/((-5/(((-5*(12.64--5))-(-5+((-5*12.64)*(((-5--5)+(12.64--5))+12.64))))-(-5+-5)))*-5)))/-5)--5)+(-5*(((12.64*(12.64-(-5/-5)))*(12.64-(12.64/(-5*12.64))))-(-5/-5)))))</f>
        <v>9798.819520000001</v>
      </c>
      <c r="C11265" t="n" s="0">
        <v>9798.819520000003</v>
      </c>
    </row>
    <row r="11266">
      <c r="A11266" t="n" s="0">
        <v>12.65</v>
      </c>
      <c r="B11266" t="n" s="0">
        <f>(-5-((((-5*(-5/((-5/(((-5*(12.65--5))-(-5+((-5*12.65)*(((-5--5)+(12.65--5))+12.65))))-(-5+-5)))*-5)))/-5)--5)+(-5*(((12.65*(12.65-(-5/-5)))*(12.65-(12.65/(-5*12.65))))-(-5/-5)))))</f>
        <v>9822.328125</v>
      </c>
      <c r="C11266" t="n" s="0">
        <v>9822.328125000002</v>
      </c>
    </row>
    <row r="11267">
      <c r="A11267" t="n" s="0">
        <v>12.66</v>
      </c>
      <c r="B11267" t="n" s="0">
        <f>(-5-((((-5*(-5/((-5/(((-5*(12.66--5))-(-5+((-5*12.66)*(((-5--5)+(12.66--5))+12.66))))-(-5+-5)))*-5)))/-5)--5)+(-5*(((12.66*(12.66-(-5/-5)))*(12.66-(12.66/(-5*12.66))))-(-5/-5)))))</f>
        <v>9845.87428</v>
      </c>
      <c r="C11267" t="n" s="0">
        <v>9845.87428</v>
      </c>
    </row>
    <row r="11268">
      <c r="A11268" t="n" s="0">
        <v>12.67</v>
      </c>
      <c r="B11268" t="n" s="0">
        <f>(-5-((((-5*(-5/((-5/(((-5*(12.67--5))-(-5+((-5*12.67)*(((-5--5)+(12.67--5))+12.67))))-(-5+-5)))*-5)))/-5)--5)+(-5*(((12.67*(12.67-(-5/-5)))*(12.67-(12.67/(-5*12.67))))-(-5/-5)))))</f>
        <v>9869.458015000002</v>
      </c>
      <c r="C11268" t="n" s="0">
        <v>9869.458015</v>
      </c>
    </row>
    <row r="11269">
      <c r="A11269" t="n" s="0">
        <v>12.68</v>
      </c>
      <c r="B11269" t="n" s="0">
        <f>(-5-((((-5*(-5/((-5/(((-5*(12.68--5))-(-5+((-5*12.68)*(((-5--5)+(12.68--5))+12.68))))-(-5+-5)))*-5)))/-5)--5)+(-5*(((12.68*(12.68-(-5/-5)))*(12.68-(12.68/(-5*12.68))))-(-5/-5)))))</f>
        <v>9893.079359999998</v>
      </c>
      <c r="C11269" t="n" s="0">
        <v>9893.07936</v>
      </c>
    </row>
    <row r="11270">
      <c r="A11270" t="n" s="0">
        <v>12.69</v>
      </c>
      <c r="B11270" t="n" s="0">
        <f>(-5-((((-5*(-5/((-5/(((-5*(12.69--5))-(-5+((-5*12.69)*(((-5--5)+(12.69--5))+12.69))))-(-5+-5)))*-5)))/-5)--5)+(-5*(((12.69*(12.69-(-5/-5)))*(12.69-(12.69/(-5*12.69))))-(-5/-5)))))</f>
        <v>9916.738345000002</v>
      </c>
      <c r="C11270" t="n" s="0">
        <v>9916.738344999998</v>
      </c>
    </row>
    <row r="11271">
      <c r="A11271" t="n" s="0">
        <v>12.7</v>
      </c>
      <c r="B11271" t="n" s="0">
        <f>(-5-((((-5*(-5/((-5/(((-5*(12.7--5))-(-5+((-5*12.7)*(((-5--5)+(12.7--5))+12.7))))-(-5+-5)))*-5)))/-5)--5)+(-5*(((12.7*(12.7-(-5/-5)))*(12.7-(12.7/(-5*12.7))))-(-5/-5)))))</f>
        <v>9940.434999999998</v>
      </c>
      <c r="C11271" t="n" s="0">
        <v>9940.435</v>
      </c>
    </row>
    <row r="11272">
      <c r="A11272" t="n" s="0">
        <v>12.71</v>
      </c>
      <c r="B11272" t="n" s="0">
        <f>(-5-((((-5*(-5/((-5/(((-5*(12.71--5))-(-5+((-5*12.71)*(((-5--5)+(12.71--5))+12.71))))-(-5+-5)))*-5)))/-5)--5)+(-5*(((12.71*(12.71-(-5/-5)))*(12.71-(12.71/(-5*12.71))))-(-5/-5)))))</f>
        <v>9964.169355</v>
      </c>
      <c r="C11272" t="n" s="0">
        <v>9964.169355000002</v>
      </c>
    </row>
    <row r="11273">
      <c r="A11273" t="n" s="0">
        <v>12.72</v>
      </c>
      <c r="B11273" t="n" s="0">
        <f>(-5-((((-5*(-5/((-5/(((-5*(12.72--5))-(-5+((-5*12.72)*(((-5--5)+(12.72--5))+12.72))))-(-5+-5)))*-5)))/-5)--5)+(-5*(((12.72*(12.72-(-5/-5)))*(12.72-(12.72/(-5*12.72))))-(-5/-5)))))</f>
        <v>9987.941440000002</v>
      </c>
      <c r="C11273" t="n" s="0">
        <v>9987.941440000002</v>
      </c>
    </row>
    <row r="11274">
      <c r="A11274" t="n" s="0">
        <v>12.73</v>
      </c>
      <c r="B11274" t="n" s="0">
        <f>(-5-((((-5*(-5/((-5/(((-5*(12.73--5))-(-5+((-5*12.73)*(((-5--5)+(12.73--5))+12.73))))-(-5+-5)))*-5)))/-5)--5)+(-5*(((12.73*(12.73-(-5/-5)))*(12.73-(12.73/(-5*12.73))))-(-5/-5)))))</f>
        <v>10011.751285000002</v>
      </c>
      <c r="C11274" t="n" s="0">
        <v>10011.751285000002</v>
      </c>
    </row>
    <row r="11275">
      <c r="A11275" t="n" s="0">
        <v>12.74</v>
      </c>
      <c r="B11275" t="n" s="0">
        <f>(-5-((((-5*(-5/((-5/(((-5*(12.74--5))-(-5+((-5*12.74)*(((-5--5)+(12.74--5))+12.74))))-(-5+-5)))*-5)))/-5)--5)+(-5*(((12.74*(12.74-(-5/-5)))*(12.74-(12.74/(-5*12.74))))-(-5/-5)))))</f>
        <v>10035.598919999997</v>
      </c>
      <c r="C11275" t="n" s="0">
        <v>10035.598919999999</v>
      </c>
    </row>
    <row r="11276">
      <c r="A11276" t="n" s="0">
        <v>12.75</v>
      </c>
      <c r="B11276" t="n" s="0">
        <f>(-5-((((-5*(-5/((-5/(((-5*(12.75--5))-(-5+((-5*12.75)*(((-5--5)+(12.75--5))+12.75))))-(-5+-5)))*-5)))/-5)--5)+(-5*(((12.75*(12.75-(-5/-5)))*(12.75-(12.75/(-5*12.75))))-(-5/-5)))))</f>
        <v>10059.484375</v>
      </c>
      <c r="C11276" t="n" s="0">
        <v>10059.484375</v>
      </c>
    </row>
    <row r="11277">
      <c r="A11277" t="n" s="0">
        <v>12.76</v>
      </c>
      <c r="B11277" t="n" s="0">
        <f>(-5-((((-5*(-5/((-5/(((-5*(12.76--5))-(-5+((-5*12.76)*(((-5--5)+(12.76--5))+12.76))))-(-5+-5)))*-5)))/-5)--5)+(-5*(((12.76*(12.76-(-5/-5)))*(12.76-(12.76/(-5*12.76))))-(-5/-5)))))</f>
        <v>10083.407680000002</v>
      </c>
      <c r="C11277" t="n" s="0">
        <v>10083.40768</v>
      </c>
    </row>
    <row r="11278">
      <c r="A11278" t="n" s="0">
        <v>12.77</v>
      </c>
      <c r="B11278" t="n" s="0">
        <f>(-5-((((-5*(-5/((-5/(((-5*(12.77--5))-(-5+((-5*12.77)*(((-5--5)+(12.77--5))+12.77))))-(-5+-5)))*-5)))/-5)--5)+(-5*(((12.77*(12.77-(-5/-5)))*(12.77-(12.77/(-5*12.77))))-(-5/-5)))))</f>
        <v>10107.368865</v>
      </c>
      <c r="C11278" t="n" s="0">
        <v>10107.368864999999</v>
      </c>
    </row>
    <row r="11279">
      <c r="A11279" t="n" s="0">
        <v>12.78</v>
      </c>
      <c r="B11279" t="n" s="0">
        <f>(-5-((((-5*(-5/((-5/(((-5*(12.78--5))-(-5+((-5*12.78)*(((-5--5)+(12.78--5))+12.78))))-(-5+-5)))*-5)))/-5)--5)+(-5*(((12.78*(12.78-(-5/-5)))*(12.78-(12.78/(-5*12.78))))-(-5/-5)))))</f>
        <v>10131.367960000001</v>
      </c>
      <c r="C11279" t="n" s="0">
        <v>10131.367959999998</v>
      </c>
    </row>
    <row r="11280">
      <c r="A11280" t="n" s="0">
        <v>12.79</v>
      </c>
      <c r="B11280" t="n" s="0">
        <f>(-5-((((-5*(-5/((-5/(((-5*(12.79--5))-(-5+((-5*12.79)*(((-5--5)+(12.79--5))+12.79))))-(-5+-5)))*-5)))/-5)--5)+(-5*(((12.79*(12.79-(-5/-5)))*(12.79-(12.79/(-5*12.79))))-(-5/-5)))))</f>
        <v>10155.404995000003</v>
      </c>
      <c r="C11280" t="n" s="0">
        <v>10155.404994999999</v>
      </c>
    </row>
    <row r="11281">
      <c r="A11281" t="n" s="0">
        <v>12.8</v>
      </c>
      <c r="B11281" t="n" s="0">
        <f>(-5-((((-5*(-5/((-5/(((-5*(12.8--5))-(-5+((-5*12.8)*(((-5--5)+(12.8--5))+12.8))))-(-5+-5)))*-5)))/-5)--5)+(-5*(((12.8*(12.8-(-5/-5)))*(12.8-(12.8/(-5*12.8))))-(-5/-5)))))</f>
        <v>10179.48</v>
      </c>
      <c r="C11281" t="n" s="0">
        <v>10179.480000000001</v>
      </c>
    </row>
    <row r="11282">
      <c r="A11282" t="n" s="0">
        <v>12.81</v>
      </c>
      <c r="B11282" t="n" s="0">
        <f>(-5-((((-5*(-5/((-5/(((-5*(12.81--5))-(-5+((-5*12.81)*(((-5--5)+(12.81--5))+12.81))))-(-5+-5)))*-5)))/-5)--5)+(-5*(((12.81*(12.81-(-5/-5)))*(12.81-(12.81/(-5*12.81))))-(-5/-5)))))</f>
        <v>10203.593005000002</v>
      </c>
      <c r="C11282" t="n" s="0">
        <v>10203.593005</v>
      </c>
    </row>
    <row r="11283">
      <c r="A11283" t="n" s="0">
        <v>12.82</v>
      </c>
      <c r="B11283" t="n" s="0">
        <f>(-5-((((-5*(-5/((-5/(((-5*(12.82--5))-(-5+((-5*12.82)*(((-5--5)+(12.82--5))+12.82))))-(-5+-5)))*-5)))/-5)--5)+(-5*(((12.82*(12.82-(-5/-5)))*(12.82-(12.82/(-5*12.82))))-(-5/-5)))))</f>
        <v>10227.744040000001</v>
      </c>
      <c r="C11283" t="n" s="0">
        <v>10227.744040000001</v>
      </c>
    </row>
    <row r="11284">
      <c r="A11284" t="n" s="0">
        <v>12.83</v>
      </c>
      <c r="B11284" t="n" s="0">
        <f>(-5-((((-5*(-5/((-5/(((-5*(12.83--5))-(-5+((-5*12.83)*(((-5--5)+(12.83--5))+12.83))))-(-5+-5)))*-5)))/-5)--5)+(-5*(((12.83*(12.83-(-5/-5)))*(12.83-(12.83/(-5*12.83))))-(-5/-5)))))</f>
        <v>10251.933135</v>
      </c>
      <c r="C11284" t="n" s="0">
        <v>10251.933135</v>
      </c>
    </row>
    <row r="11285">
      <c r="A11285" t="n" s="0">
        <v>12.84</v>
      </c>
      <c r="B11285" t="n" s="0">
        <f>(-5-((((-5*(-5/((-5/(((-5*(12.84--5))-(-5+((-5*12.84)*(((-5--5)+(12.84--5))+12.84))))-(-5+-5)))*-5)))/-5)--5)+(-5*(((12.84*(12.84-(-5/-5)))*(12.84-(12.84/(-5*12.84))))-(-5/-5)))))</f>
        <v>10276.16032</v>
      </c>
      <c r="C11285" t="n" s="0">
        <v>10276.16032</v>
      </c>
    </row>
    <row r="11286">
      <c r="A11286" t="n" s="0">
        <v>12.85</v>
      </c>
      <c r="B11286" t="n" s="0">
        <f>(-5-((((-5*(-5/((-5/(((-5*(12.85--5))-(-5+((-5*12.85)*(((-5--5)+(12.85--5))+12.85))))-(-5+-5)))*-5)))/-5)--5)+(-5*(((12.85*(12.85-(-5/-5)))*(12.85-(12.85/(-5*12.85))))-(-5/-5)))))</f>
        <v>10300.425625</v>
      </c>
      <c r="C11286" t="n" s="0">
        <v>10300.425624999996</v>
      </c>
    </row>
    <row r="11287">
      <c r="A11287" t="n" s="0">
        <v>12.86</v>
      </c>
      <c r="B11287" t="n" s="0">
        <f>(-5-((((-5*(-5/((-5/(((-5*(12.86--5))-(-5+((-5*12.86)*(((-5--5)+(12.86--5))+12.86))))-(-5+-5)))*-5)))/-5)--5)+(-5*(((12.86*(12.86-(-5/-5)))*(12.86-(12.86/(-5*12.86))))-(-5/-5)))))</f>
        <v>10324.729080000001</v>
      </c>
      <c r="C11287" t="n" s="0">
        <v>10324.729079999997</v>
      </c>
    </row>
    <row r="11288">
      <c r="A11288" t="n" s="0">
        <v>12.87</v>
      </c>
      <c r="B11288" t="n" s="0">
        <f>(-5-((((-5*(-5/((-5/(((-5*(12.87--5))-(-5+((-5*12.87)*(((-5--5)+(12.87--5))+12.87))))-(-5+-5)))*-5)))/-5)--5)+(-5*(((12.87*(12.87-(-5/-5)))*(12.87-(12.87/(-5*12.87))))-(-5/-5)))))</f>
        <v>10349.070714999998</v>
      </c>
      <c r="C11288" t="n" s="0">
        <v>10349.070714999998</v>
      </c>
    </row>
    <row r="11289">
      <c r="A11289" t="n" s="0">
        <v>12.88</v>
      </c>
      <c r="B11289" t="n" s="0">
        <f>(-5-((((-5*(-5/((-5/(((-5*(12.88--5))-(-5+((-5*12.88)*(((-5--5)+(12.88--5))+12.88))))-(-5+-5)))*-5)))/-5)--5)+(-5*(((12.88*(12.88-(-5/-5)))*(12.88-(12.88/(-5*12.88))))-(-5/-5)))))</f>
        <v>10373.450560000001</v>
      </c>
      <c r="C11289" t="n" s="0">
        <v>10373.450560000003</v>
      </c>
    </row>
    <row r="11290">
      <c r="A11290" t="n" s="0">
        <v>12.89</v>
      </c>
      <c r="B11290" t="n" s="0">
        <f>(-5-((((-5*(-5/((-5/(((-5*(12.89--5))-(-5+((-5*12.89)*(((-5--5)+(12.89--5))+12.89))))-(-5+-5)))*-5)))/-5)--5)+(-5*(((12.89*(12.89-(-5/-5)))*(12.89-(12.89/(-5*12.89))))-(-5/-5)))))</f>
        <v>10397.868645</v>
      </c>
      <c r="C11290" t="n" s="0">
        <v>10397.868645</v>
      </c>
    </row>
    <row r="11291">
      <c r="A11291" t="n" s="0">
        <v>12.9</v>
      </c>
      <c r="B11291" t="n" s="0">
        <f>(-5-((((-5*(-5/((-5/(((-5*(12.9--5))-(-5+((-5*12.9)*(((-5--5)+(12.9--5))+12.9))))-(-5+-5)))*-5)))/-5)--5)+(-5*(((12.9*(12.9-(-5/-5)))*(12.9-(12.9/(-5*12.9))))-(-5/-5)))))</f>
        <v>10422.325</v>
      </c>
      <c r="C11291" t="n" s="0">
        <v>10422.325000000003</v>
      </c>
    </row>
    <row r="11292">
      <c r="A11292" t="n" s="0">
        <v>12.91</v>
      </c>
      <c r="B11292" t="n" s="0">
        <f>(-5-((((-5*(-5/((-5/(((-5*(12.91--5))-(-5+((-5*12.91)*(((-5--5)+(12.91--5))+12.91))))-(-5+-5)))*-5)))/-5)--5)+(-5*(((12.91*(12.91-(-5/-5)))*(12.91-(12.91/(-5*12.91))))-(-5/-5)))))</f>
        <v>10446.819655</v>
      </c>
      <c r="C11292" t="n" s="0">
        <v>10446.819655000001</v>
      </c>
    </row>
    <row r="11293">
      <c r="A11293" t="n" s="0">
        <v>12.92</v>
      </c>
      <c r="B11293" t="n" s="0">
        <f>(-5-((((-5*(-5/((-5/(((-5*(12.92--5))-(-5+((-5*12.92)*(((-5--5)+(12.92--5))+12.92))))-(-5+-5)))*-5)))/-5)--5)+(-5*(((12.92*(12.92-(-5/-5)))*(12.92-(12.92/(-5*12.92))))-(-5/-5)))))</f>
        <v>10471.352640000001</v>
      </c>
      <c r="C11293" t="n" s="0">
        <v>10471.35264</v>
      </c>
    </row>
    <row r="11294">
      <c r="A11294" t="n" s="0">
        <v>12.93</v>
      </c>
      <c r="B11294" t="n" s="0">
        <f>(-5-((((-5*(-5/((-5/(((-5*(12.93--5))-(-5+((-5*12.93)*(((-5--5)+(12.93--5))+12.93))))-(-5+-5)))*-5)))/-5)--5)+(-5*(((12.93*(12.93-(-5/-5)))*(12.93-(12.93/(-5*12.93))))-(-5/-5)))))</f>
        <v>10495.923984999998</v>
      </c>
      <c r="C11294" t="n" s="0">
        <v>10495.923985000001</v>
      </c>
    </row>
    <row r="11295">
      <c r="A11295" t="n" s="0">
        <v>12.94</v>
      </c>
      <c r="B11295" t="n" s="0">
        <f>(-5-((((-5*(-5/((-5/(((-5*(12.94--5))-(-5+((-5*12.94)*(((-5--5)+(12.94--5))+12.94))))-(-5+-5)))*-5)))/-5)--5)+(-5*(((12.94*(12.94-(-5/-5)))*(12.94-(12.94/(-5*12.94))))-(-5/-5)))))</f>
        <v>10520.533720000001</v>
      </c>
      <c r="C11295" t="n" s="0">
        <v>10520.53372</v>
      </c>
    </row>
    <row r="11296">
      <c r="A11296" t="n" s="0">
        <v>12.95</v>
      </c>
      <c r="B11296" t="n" s="0">
        <f>(-5-((((-5*(-5/((-5/(((-5*(12.95--5))-(-5+((-5*12.95)*(((-5--5)+(12.95--5))+12.95))))-(-5+-5)))*-5)))/-5)--5)+(-5*(((12.95*(12.95-(-5/-5)))*(12.95-(12.95/(-5*12.95))))-(-5/-5)))))</f>
        <v>10545.181875000002</v>
      </c>
      <c r="C11296" t="n" s="0">
        <v>10545.181874999997</v>
      </c>
    </row>
    <row r="11297">
      <c r="A11297" t="n" s="0">
        <v>12.96</v>
      </c>
      <c r="B11297" t="n" s="0">
        <f>(-5-((((-5*(-5/((-5/(((-5*(12.96--5))-(-5+((-5*12.96)*(((-5--5)+(12.96--5))+12.96))))-(-5+-5)))*-5)))/-5)--5)+(-5*(((12.96*(12.96-(-5/-5)))*(12.96-(12.96/(-5*12.96))))-(-5/-5)))))</f>
        <v>10569.868480000001</v>
      </c>
      <c r="C11297" t="n" s="0">
        <v>10569.868480000001</v>
      </c>
    </row>
    <row r="11298">
      <c r="A11298" t="n" s="0">
        <v>12.97</v>
      </c>
      <c r="B11298" t="n" s="0">
        <f>(-5-((((-5*(-5/((-5/(((-5*(12.97--5))-(-5+((-5*12.97)*(((-5--5)+(12.97--5))+12.97))))-(-5+-5)))*-5)))/-5)--5)+(-5*(((12.97*(12.97-(-5/-5)))*(12.97-(12.97/(-5*12.97))))-(-5/-5)))))</f>
        <v>10594.593565</v>
      </c>
      <c r="C11298" t="n" s="0">
        <v>10594.593565000001</v>
      </c>
    </row>
    <row r="11299">
      <c r="A11299" t="n" s="0">
        <v>12.98</v>
      </c>
      <c r="B11299" t="n" s="0">
        <f>(-5-((((-5*(-5/((-5/(((-5*(12.98--5))-(-5+((-5*12.98)*(((-5--5)+(12.98--5))+12.98))))-(-5+-5)))*-5)))/-5)--5)+(-5*(((12.98*(12.98-(-5/-5)))*(12.98-(12.98/(-5*12.98))))-(-5/-5)))))</f>
        <v>10619.357160000001</v>
      </c>
      <c r="C11299" t="n" s="0">
        <v>10619.357160000001</v>
      </c>
    </row>
    <row r="11300">
      <c r="A11300" t="n" s="0">
        <v>12.99</v>
      </c>
      <c r="B11300" t="n" s="0">
        <f>(-5-((((-5*(-5/((-5/(((-5*(12.99--5))-(-5+((-5*12.99)*(((-5--5)+(12.99--5))+12.99))))-(-5+-5)))*-5)))/-5)--5)+(-5*(((12.99*(12.99-(-5/-5)))*(12.99-(12.99/(-5*12.99))))-(-5/-5)))))</f>
        <v>10644.159295000001</v>
      </c>
      <c r="C11300" t="n" s="0">
        <v>10644.159295</v>
      </c>
    </row>
    <row r="11301">
      <c r="A11301" t="n" s="0">
        <v>13.0</v>
      </c>
      <c r="B11301" t="n" s="0">
        <f>(-5-((((-5*(-5/((-5/(((-5*(13--5))-(-5+((-5*13)*(((-5--5)+(13--5))+13))))-(-5+-5)))*-5)))/-5)--5)+(-5*(((13*(13-(-5/-5)))*(13-(13/(-5*13))))-(-5/-5)))))</f>
        <v>10668.999999999998</v>
      </c>
      <c r="C11301" t="n" s="0">
        <v>10669.0</v>
      </c>
    </row>
    <row r="11302">
      <c r="A11302" t="n" s="0">
        <v>13.01</v>
      </c>
      <c r="B11302" t="n" s="0">
        <f>(-5-((((-5*(-5/((-5/(((-5*(13.01--5))-(-5+((-5*13.01)*(((-5--5)+(13.01--5))+13.01))))-(-5+-5)))*-5)))/-5)--5)+(-5*(((13.01*(13.01-(-5/-5)))*(13.01-(13.01/(-5*13.01))))-(-5/-5)))))</f>
        <v>10693.879305</v>
      </c>
      <c r="C11302" t="n" s="0">
        <v>10693.879304999999</v>
      </c>
    </row>
    <row r="11303">
      <c r="A11303" t="n" s="0">
        <v>13.02</v>
      </c>
      <c r="B11303" t="n" s="0">
        <f>(-5-((((-5*(-5/((-5/(((-5*(13.02--5))-(-5+((-5*13.02)*(((-5--5)+(13.02--5))+13.02))))-(-5+-5)))*-5)))/-5)--5)+(-5*(((13.02*(13.02-(-5/-5)))*(13.02-(13.02/(-5*13.02))))-(-5/-5)))))</f>
        <v>10718.79724</v>
      </c>
      <c r="C11303" t="n" s="0">
        <v>10718.797239999996</v>
      </c>
    </row>
    <row r="11304">
      <c r="A11304" t="n" s="0">
        <v>13.03</v>
      </c>
      <c r="B11304" t="n" s="0">
        <f>(-5-((((-5*(-5/((-5/(((-5*(13.03--5))-(-5+((-5*13.03)*(((-5--5)+(13.03--5))+13.03))))-(-5+-5)))*-5)))/-5)--5)+(-5*(((13.03*(13.03-(-5/-5)))*(13.03-(13.03/(-5*13.03))))-(-5/-5)))))</f>
        <v>10743.753835000001</v>
      </c>
      <c r="C11304" t="n" s="0">
        <v>10743.753835</v>
      </c>
    </row>
    <row r="11305">
      <c r="A11305" t="n" s="0">
        <v>13.04</v>
      </c>
      <c r="B11305" t="n" s="0">
        <f>(-5-((((-5*(-5/((-5/(((-5*(13.04--5))-(-5+((-5*13.04)*(((-5--5)+(13.04--5))+13.04))))-(-5+-5)))*-5)))/-5)--5)+(-5*(((13.04*(13.04-(-5/-5)))*(13.04-(13.04/(-5*13.04))))-(-5/-5)))))</f>
        <v>10768.74912</v>
      </c>
      <c r="C11305" t="n" s="0">
        <v>10768.749119999999</v>
      </c>
    </row>
    <row r="11306">
      <c r="A11306" t="n" s="0">
        <v>13.05</v>
      </c>
      <c r="B11306" t="n" s="0">
        <f>(-5-((((-5*(-5/((-5/(((-5*(13.05--5))-(-5+((-5*13.05)*(((-5--5)+(13.05--5))+13.05))))-(-5+-5)))*-5)))/-5)--5)+(-5*(((13.05*(13.05-(-5/-5)))*(13.05-(13.05/(-5*13.05))))-(-5/-5)))))</f>
        <v>10793.783125</v>
      </c>
      <c r="C11306" t="n" s="0">
        <v>10793.783125000002</v>
      </c>
    </row>
    <row r="11307">
      <c r="A11307" t="n" s="0">
        <v>13.06</v>
      </c>
      <c r="B11307" t="n" s="0">
        <f>(-5-((((-5*(-5/((-5/(((-5*(13.06--5))-(-5+((-5*13.06)*(((-5--5)+(13.06--5))+13.06))))-(-5+-5)))*-5)))/-5)--5)+(-5*(((13.06*(13.06-(-5/-5)))*(13.06-(13.06/(-5*13.06))))-(-5/-5)))))</f>
        <v>10818.855880000003</v>
      </c>
      <c r="C11307" t="n" s="0">
        <v>10818.855880000001</v>
      </c>
    </row>
    <row r="11308">
      <c r="A11308" t="n" s="0">
        <v>13.07</v>
      </c>
      <c r="B11308" t="n" s="0">
        <f>(-5-((((-5*(-5/((-5/(((-5*(13.07--5))-(-5+((-5*13.07)*(((-5--5)+(13.07--5))+13.07))))-(-5+-5)))*-5)))/-5)--5)+(-5*(((13.07*(13.07-(-5/-5)))*(13.07-(13.07/(-5*13.07))))-(-5/-5)))))</f>
        <v>10843.967415</v>
      </c>
      <c r="C11308" t="n" s="0">
        <v>10843.967415</v>
      </c>
    </row>
    <row r="11309">
      <c r="A11309" t="n" s="0">
        <v>13.08</v>
      </c>
      <c r="B11309" t="n" s="0">
        <f>(-5-((((-5*(-5/((-5/(((-5*(13.08--5))-(-5+((-5*13.08)*(((-5--5)+(13.08--5))+13.08))))-(-5+-5)))*-5)))/-5)--5)+(-5*(((13.08*(13.08-(-5/-5)))*(13.08-(13.08/(-5*13.08))))-(-5/-5)))))</f>
        <v>10869.117759999997</v>
      </c>
      <c r="C11309" t="n" s="0">
        <v>10869.11776</v>
      </c>
    </row>
    <row r="11310">
      <c r="A11310" t="n" s="0">
        <v>13.09</v>
      </c>
      <c r="B11310" t="n" s="0">
        <f>(-5-((((-5*(-5/((-5/(((-5*(13.09--5))-(-5+((-5*13.09)*(((-5--5)+(13.09--5))+13.09))))-(-5+-5)))*-5)))/-5)--5)+(-5*(((13.09*(13.09-(-5/-5)))*(13.09-(13.09/(-5*13.09))))-(-5/-5)))))</f>
        <v>10894.306945</v>
      </c>
      <c r="C11310" t="n" s="0">
        <v>10894.306945</v>
      </c>
    </row>
    <row r="11311">
      <c r="A11311" t="n" s="0">
        <v>13.1</v>
      </c>
      <c r="B11311" t="n" s="0">
        <f>(-5-((((-5*(-5/((-5/(((-5*(13.1--5))-(-5+((-5*13.1)*(((-5--5)+(13.1--5))+13.1))))-(-5+-5)))*-5)))/-5)--5)+(-5*(((13.1*(13.1-(-5/-5)))*(13.1-(13.1/(-5*13.1))))-(-5/-5)))))</f>
        <v>10919.534999999998</v>
      </c>
      <c r="C11311" t="n" s="0">
        <v>10919.535</v>
      </c>
    </row>
    <row r="11312">
      <c r="A11312" t="n" s="0">
        <v>13.11</v>
      </c>
      <c r="B11312" t="n" s="0">
        <f>(-5-((((-5*(-5/((-5/(((-5*(13.11--5))-(-5+((-5*13.11)*(((-5--5)+(13.11--5))+13.11))))-(-5+-5)))*-5)))/-5)--5)+(-5*(((13.11*(13.11-(-5/-5)))*(13.11-(13.11/(-5*13.11))))-(-5/-5)))))</f>
        <v>10944.801954999999</v>
      </c>
      <c r="C11312" t="n" s="0">
        <v>10944.801955</v>
      </c>
    </row>
    <row r="11313">
      <c r="A11313" t="n" s="0">
        <v>13.12</v>
      </c>
      <c r="B11313" t="n" s="0">
        <f>(-5-((((-5*(-5/((-5/(((-5*(13.12--5))-(-5+((-5*13.12)*(((-5--5)+(13.12--5))+13.12))))-(-5+-5)))*-5)))/-5)--5)+(-5*(((13.12*(13.12-(-5/-5)))*(13.12-(13.12/(-5*13.12))))-(-5/-5)))))</f>
        <v>10970.107839999997</v>
      </c>
      <c r="C11313" t="n" s="0">
        <v>10970.107839999999</v>
      </c>
    </row>
    <row r="11314">
      <c r="A11314" t="n" s="0">
        <v>13.13</v>
      </c>
      <c r="B11314" t="n" s="0">
        <f>(-5-((((-5*(-5/((-5/(((-5*(13.13--5))-(-5+((-5*13.13)*(((-5--5)+(13.13--5))+13.13))))-(-5+-5)))*-5)))/-5)--5)+(-5*(((13.13*(13.13-(-5/-5)))*(13.13-(13.13/(-5*13.13))))-(-5/-5)))))</f>
        <v>10995.452684999998</v>
      </c>
      <c r="C11314" t="n" s="0">
        <v>10995.452685000002</v>
      </c>
    </row>
    <row r="11315">
      <c r="A11315" t="n" s="0">
        <v>13.14</v>
      </c>
      <c r="B11315" t="n" s="0">
        <f>(-5-((((-5*(-5/((-5/(((-5*(13.14--5))-(-5+((-5*13.14)*(((-5--5)+(13.14--5))+13.14))))-(-5+-5)))*-5)))/-5)--5)+(-5*(((13.14*(13.14-(-5/-5)))*(13.14-(13.14/(-5*13.14))))-(-5/-5)))))</f>
        <v>11020.836519999999</v>
      </c>
      <c r="C11315" t="n" s="0">
        <v>11020.836520000003</v>
      </c>
    </row>
    <row r="11316">
      <c r="A11316" t="n" s="0">
        <v>13.15</v>
      </c>
      <c r="B11316" t="n" s="0">
        <f>(-5-((((-5*(-5/((-5/(((-5*(13.15--5))-(-5+((-5*13.15)*(((-5--5)+(13.15--5))+13.15))))-(-5+-5)))*-5)))/-5)--5)+(-5*(((13.15*(13.15-(-5/-5)))*(13.15-(13.15/(-5*13.15))))-(-5/-5)))))</f>
        <v>11046.259375</v>
      </c>
      <c r="C11316" t="n" s="0">
        <v>11046.259375000001</v>
      </c>
    </row>
    <row r="11317">
      <c r="A11317" t="n" s="0">
        <v>13.16</v>
      </c>
      <c r="B11317" t="n" s="0">
        <f>(-5-((((-5*(-5/((-5/(((-5*(13.16--5))-(-5+((-5*13.16)*(((-5--5)+(13.16--5))+13.16))))-(-5+-5)))*-5)))/-5)--5)+(-5*(((13.16*(13.16-(-5/-5)))*(13.16-(13.16/(-5*13.16))))-(-5/-5)))))</f>
        <v>11071.721280000002</v>
      </c>
      <c r="C11317" t="n" s="0">
        <v>11071.72128</v>
      </c>
    </row>
    <row r="11318">
      <c r="A11318" t="n" s="0">
        <v>13.17</v>
      </c>
      <c r="B11318" t="n" s="0">
        <f>(-5-((((-5*(-5/((-5/(((-5*(13.17--5))-(-5+((-5*13.17)*(((-5--5)+(13.17--5))+13.17))))-(-5+-5)))*-5)))/-5)--5)+(-5*(((13.17*(13.17-(-5/-5)))*(13.17-(13.17/(-5*13.17))))-(-5/-5)))))</f>
        <v>11097.222265</v>
      </c>
      <c r="C11318" t="n" s="0">
        <v>11097.222265</v>
      </c>
    </row>
    <row r="11319">
      <c r="A11319" t="n" s="0">
        <v>13.18</v>
      </c>
      <c r="B11319" t="n" s="0">
        <f>(-5-((((-5*(-5/((-5/(((-5*(13.18--5))-(-5+((-5*13.18)*(((-5--5)+(13.18--5))+13.18))))-(-5+-5)))*-5)))/-5)--5)+(-5*(((13.18*(13.18-(-5/-5)))*(13.18-(13.18/(-5*13.18))))-(-5/-5)))))</f>
        <v>11122.76236</v>
      </c>
      <c r="C11319" t="n" s="0">
        <v>11122.762359999999</v>
      </c>
    </row>
    <row r="11320">
      <c r="A11320" t="n" s="0">
        <v>13.19</v>
      </c>
      <c r="B11320" t="n" s="0">
        <f>(-5-((((-5*(-5/((-5/(((-5*(13.19--5))-(-5+((-5*13.19)*(((-5--5)+(13.19--5))+13.19))))-(-5+-5)))*-5)))/-5)--5)+(-5*(((13.19*(13.19-(-5/-5)))*(13.19-(13.19/(-5*13.19))))-(-5/-5)))))</f>
        <v>11148.341595000002</v>
      </c>
      <c r="C11320" t="n" s="0">
        <v>11148.341594999998</v>
      </c>
    </row>
    <row r="11321">
      <c r="A11321" t="n" s="0">
        <v>13.2</v>
      </c>
      <c r="B11321" t="n" s="0">
        <f>(-5-((((-5*(-5/((-5/(((-5*(13.2--5))-(-5+((-5*13.2)*(((-5--5)+(13.2--5))+13.2))))-(-5+-5)))*-5)))/-5)--5)+(-5*(((13.2*(13.2-(-5/-5)))*(13.2-(13.2/(-5*13.2))))-(-5/-5)))))</f>
        <v>11173.960000000001</v>
      </c>
      <c r="C11321" t="n" s="0">
        <v>11173.960000000001</v>
      </c>
    </row>
    <row r="11322">
      <c r="A11322" t="n" s="0">
        <v>13.21</v>
      </c>
      <c r="B11322" t="n" s="0">
        <f>(-5-((((-5*(-5/((-5/(((-5*(13.21--5))-(-5+((-5*13.21)*(((-5--5)+(13.21--5))+13.21))))-(-5+-5)))*-5)))/-5)--5)+(-5*(((13.21*(13.21-(-5/-5)))*(13.21-(13.21/(-5*13.21))))-(-5/-5)))))</f>
        <v>11199.617604999998</v>
      </c>
      <c r="C11322" t="n" s="0">
        <v>11199.617605000001</v>
      </c>
    </row>
    <row r="11323">
      <c r="A11323" t="n" s="0">
        <v>13.22</v>
      </c>
      <c r="B11323" t="n" s="0">
        <f>(-5-((((-5*(-5/((-5/(((-5*(13.22--5))-(-5+((-5*13.22)*(((-5--5)+(13.22--5))+13.22))))-(-5+-5)))*-5)))/-5)--5)+(-5*(((13.22*(13.22-(-5/-5)))*(13.22-(13.22/(-5*13.22))))-(-5/-5)))))</f>
        <v>11225.314439999996</v>
      </c>
      <c r="C11323" t="n" s="0">
        <v>11225.314440000002</v>
      </c>
    </row>
    <row r="11324">
      <c r="A11324" t="n" s="0">
        <v>13.23</v>
      </c>
      <c r="B11324" t="n" s="0">
        <f>(-5-((((-5*(-5/((-5/(((-5*(13.23--5))-(-5+((-5*13.23)*(((-5--5)+(13.23--5))+13.23))))-(-5+-5)))*-5)))/-5)--5)+(-5*(((13.23*(13.23-(-5/-5)))*(13.23-(13.23/(-5*13.23))))-(-5/-5)))))</f>
        <v>11251.050535000002</v>
      </c>
      <c r="C11324" t="n" s="0">
        <v>11251.050535000002</v>
      </c>
    </row>
    <row r="11325">
      <c r="A11325" t="n" s="0">
        <v>13.24</v>
      </c>
      <c r="B11325" t="n" s="0">
        <f>(-5-((((-5*(-5/((-5/(((-5*(13.24--5))-(-5+((-5*13.24)*(((-5--5)+(13.24--5))+13.24))))-(-5+-5)))*-5)))/-5)--5)+(-5*(((13.24*(13.24-(-5/-5)))*(13.24-(13.24/(-5*13.24))))-(-5/-5)))))</f>
        <v>11276.825920000001</v>
      </c>
      <c r="C11325" t="n" s="0">
        <v>11276.82592</v>
      </c>
    </row>
    <row r="11326">
      <c r="A11326" t="n" s="0">
        <v>13.25</v>
      </c>
      <c r="B11326" t="n" s="0">
        <f>(-5-((((-5*(-5/((-5/(((-5*(13.25--5))-(-5+((-5*13.25)*(((-5--5)+(13.25--5))+13.25))))-(-5+-5)))*-5)))/-5)--5)+(-5*(((13.25*(13.25-(-5/-5)))*(13.25-(13.25/(-5*13.25))))-(-5/-5)))))</f>
        <v>11302.640625000002</v>
      </c>
      <c r="C11326" t="n" s="0">
        <v>11302.640625</v>
      </c>
    </row>
    <row r="11327">
      <c r="A11327" t="n" s="0">
        <v>13.26</v>
      </c>
      <c r="B11327" t="n" s="0">
        <f>(-5-((((-5*(-5/((-5/(((-5*(13.26--5))-(-5+((-5*13.26)*(((-5--5)+(13.26--5))+13.26))))-(-5+-5)))*-5)))/-5)--5)+(-5*(((13.26*(13.26-(-5/-5)))*(13.26-(13.26/(-5*13.26))))-(-5/-5)))))</f>
        <v>11328.49468</v>
      </c>
      <c r="C11327" t="n" s="0">
        <v>11328.49468</v>
      </c>
    </row>
    <row r="11328">
      <c r="A11328" t="n" s="0">
        <v>13.27</v>
      </c>
      <c r="B11328" t="n" s="0">
        <f>(-5-((((-5*(-5/((-5/(((-5*(13.27--5))-(-5+((-5*13.27)*(((-5--5)+(13.27--5))+13.27))))-(-5+-5)))*-5)))/-5)--5)+(-5*(((13.27*(13.27-(-5/-5)))*(13.27-(13.27/(-5*13.27))))-(-5/-5)))))</f>
        <v>11354.388114999998</v>
      </c>
      <c r="C11328" t="n" s="0">
        <v>11354.388115</v>
      </c>
    </row>
    <row r="11329">
      <c r="A11329" t="n" s="0">
        <v>13.28</v>
      </c>
      <c r="B11329" t="n" s="0">
        <f>(-5-((((-5*(-5/((-5/(((-5*(13.28--5))-(-5+((-5*13.28)*(((-5--5)+(13.28--5))+13.28))))-(-5+-5)))*-5)))/-5)--5)+(-5*(((13.28*(13.28-(-5/-5)))*(13.28-(13.28/(-5*13.28))))-(-5/-5)))))</f>
        <v>11380.32096</v>
      </c>
      <c r="C11329" t="n" s="0">
        <v>11380.32096</v>
      </c>
    </row>
    <row r="11330">
      <c r="A11330" t="n" s="0">
        <v>13.29</v>
      </c>
      <c r="B11330" t="n" s="0">
        <f>(-5-((((-5*(-5/((-5/(((-5*(13.29--5))-(-5+((-5*13.29)*(((-5--5)+(13.29--5))+13.29))))-(-5+-5)))*-5)))/-5)--5)+(-5*(((13.29*(13.29-(-5/-5)))*(13.29-(13.29/(-5*13.29))))-(-5/-5)))))</f>
        <v>11406.293245</v>
      </c>
      <c r="C11330" t="n" s="0">
        <v>11406.293244999997</v>
      </c>
    </row>
    <row r="11331">
      <c r="A11331" t="n" s="0">
        <v>13.3</v>
      </c>
      <c r="B11331" t="n" s="0">
        <f>(-5-((((-5*(-5/((-5/(((-5*(13.3--5))-(-5+((-5*13.3)*(((-5--5)+(13.3--5))+13.3))))-(-5+-5)))*-5)))/-5)--5)+(-5*(((13.3*(13.3-(-5/-5)))*(13.3-(13.3/(-5*13.3))))-(-5/-5)))))</f>
        <v>11432.305</v>
      </c>
      <c r="C11331" t="n" s="0">
        <v>11432.305</v>
      </c>
    </row>
    <row r="11332">
      <c r="A11332" t="n" s="0">
        <v>13.31</v>
      </c>
      <c r="B11332" t="n" s="0">
        <f>(-5-((((-5*(-5/((-5/(((-5*(13.31--5))-(-5+((-5*13.31)*(((-5--5)+(13.31--5))+13.31))))-(-5+-5)))*-5)))/-5)--5)+(-5*(((13.31*(13.31-(-5/-5)))*(13.31-(13.31/(-5*13.31))))-(-5/-5)))))</f>
        <v>11458.356255</v>
      </c>
      <c r="C11332" t="n" s="0">
        <v>11458.356255000002</v>
      </c>
    </row>
    <row r="11333">
      <c r="A11333" t="n" s="0">
        <v>13.32</v>
      </c>
      <c r="B11333" t="n" s="0">
        <f>(-5-((((-5*(-5/((-5/(((-5*(13.32--5))-(-5+((-5*13.32)*(((-5--5)+(13.32--5))+13.32))))-(-5+-5)))*-5)))/-5)--5)+(-5*(((13.32*(13.32-(-5/-5)))*(13.32-(13.32/(-5*13.32))))-(-5/-5)))))</f>
        <v>11484.44704</v>
      </c>
      <c r="C11333" t="n" s="0">
        <v>11484.44704</v>
      </c>
    </row>
    <row r="11334">
      <c r="A11334" t="n" s="0">
        <v>13.33</v>
      </c>
      <c r="B11334" t="n" s="0">
        <f>(-5-((((-5*(-5/((-5/(((-5*(13.33--5))-(-5+((-5*13.33)*(((-5--5)+(13.33--5))+13.33))))-(-5+-5)))*-5)))/-5)--5)+(-5*(((13.33*(13.33-(-5/-5)))*(13.33-(13.33/(-5*13.33))))-(-5/-5)))))</f>
        <v>11510.577384999999</v>
      </c>
      <c r="C11334" t="n" s="0">
        <v>11510.577385</v>
      </c>
    </row>
    <row r="11335">
      <c r="A11335" t="n" s="0">
        <v>13.34</v>
      </c>
      <c r="B11335" t="n" s="0">
        <f>(-5-((((-5*(-5/((-5/(((-5*(13.34--5))-(-5+((-5*13.34)*(((-5--5)+(13.34--5))+13.34))))-(-5+-5)))*-5)))/-5)--5)+(-5*(((13.34*(13.34-(-5/-5)))*(13.34-(13.34/(-5*13.34))))-(-5/-5)))))</f>
        <v>11536.747319999999</v>
      </c>
      <c r="C11335" t="n" s="0">
        <v>11536.747319999999</v>
      </c>
    </row>
    <row r="11336">
      <c r="A11336" t="n" s="0">
        <v>13.35</v>
      </c>
      <c r="B11336" t="n" s="0">
        <f>(-5-((((-5*(-5/((-5/(((-5*(13.35--5))-(-5+((-5*13.35)*(((-5--5)+(13.35--5))+13.35))))-(-5+-5)))*-5)))/-5)--5)+(-5*(((13.35*(13.35-(-5/-5)))*(13.35-(13.35/(-5*13.35))))-(-5/-5)))))</f>
        <v>11562.956875000002</v>
      </c>
      <c r="C11336" t="n" s="0">
        <v>11562.956874999998</v>
      </c>
    </row>
    <row r="11337">
      <c r="A11337" t="n" s="0">
        <v>13.36</v>
      </c>
      <c r="B11337" t="n" s="0">
        <f>(-5-((((-5*(-5/((-5/(((-5*(13.36--5))-(-5+((-5*13.36)*(((-5--5)+(13.36--5))+13.36))))-(-5+-5)))*-5)))/-5)--5)+(-5*(((13.36*(13.36-(-5/-5)))*(13.36-(13.36/(-5*13.36))))-(-5/-5)))))</f>
        <v>11589.206080000002</v>
      </c>
      <c r="C11337" t="n" s="0">
        <v>11589.206079999998</v>
      </c>
    </row>
    <row r="11338">
      <c r="A11338" t="n" s="0">
        <v>13.37</v>
      </c>
      <c r="B11338" t="n" s="0">
        <f>(-5-((((-5*(-5/((-5/(((-5*(13.37--5))-(-5+((-5*13.37)*(((-5--5)+(13.37--5))+13.37))))-(-5+-5)))*-5)))/-5)--5)+(-5*(((13.37*(13.37-(-5/-5)))*(13.37-(13.37/(-5*13.37))))-(-5/-5)))))</f>
        <v>11615.494965</v>
      </c>
      <c r="C11338" t="n" s="0">
        <v>11615.494964999998</v>
      </c>
    </row>
    <row r="11339">
      <c r="A11339" t="n" s="0">
        <v>13.38</v>
      </c>
      <c r="B11339" t="n" s="0">
        <f>(-5-((((-5*(-5/((-5/(((-5*(13.38--5))-(-5+((-5*13.38)*(((-5--5)+(13.38--5))+13.38))))-(-5+-5)))*-5)))/-5)--5)+(-5*(((13.38*(13.38-(-5/-5)))*(13.38-(13.38/(-5*13.38))))-(-5/-5)))))</f>
        <v>11641.823560000003</v>
      </c>
      <c r="C11339" t="n" s="0">
        <v>11641.823560000003</v>
      </c>
    </row>
    <row r="11340">
      <c r="A11340" t="n" s="0">
        <v>13.39</v>
      </c>
      <c r="B11340" t="n" s="0">
        <f>(-5-((((-5*(-5/((-5/(((-5*(13.39--5))-(-5+((-5*13.39)*(((-5--5)+(13.39--5))+13.39))))-(-5+-5)))*-5)))/-5)--5)+(-5*(((13.39*(13.39-(-5/-5)))*(13.39-(13.39/(-5*13.39))))-(-5/-5)))))</f>
        <v>11668.191894999998</v>
      </c>
      <c r="C11340" t="n" s="0">
        <v>11668.191895000004</v>
      </c>
    </row>
    <row r="11341">
      <c r="A11341" t="n" s="0">
        <v>13.4</v>
      </c>
      <c r="B11341" t="n" s="0">
        <f>(-5-((((-5*(-5/((-5/(((-5*(13.4--5))-(-5+((-5*13.4)*(((-5--5)+(13.4--5))+13.4))))-(-5+-5)))*-5)))/-5)--5)+(-5*(((13.4*(13.4-(-5/-5)))*(13.4-(13.4/(-5*13.4))))-(-5/-5)))))</f>
        <v>11694.599999999999</v>
      </c>
      <c r="C11341" t="n" s="0">
        <v>11694.6</v>
      </c>
    </row>
    <row r="11342">
      <c r="A11342" t="n" s="0">
        <v>13.41</v>
      </c>
      <c r="B11342" t="n" s="0">
        <f>(-5-((((-5*(-5/((-5/(((-5*(13.41--5))-(-5+((-5*13.41)*(((-5--5)+(13.41--5))+13.41))))-(-5+-5)))*-5)))/-5)--5)+(-5*(((13.41*(13.41-(-5/-5)))*(13.41-(13.41/(-5*13.41))))-(-5/-5)))))</f>
        <v>11721.047905</v>
      </c>
      <c r="C11342" t="n" s="0">
        <v>11721.047905000001</v>
      </c>
    </row>
    <row r="11343">
      <c r="A11343" t="n" s="0">
        <v>13.42</v>
      </c>
      <c r="B11343" t="n" s="0">
        <f>(-5-((((-5*(-5/((-5/(((-5*(13.42--5))-(-5+((-5*13.42)*(((-5--5)+(13.42--5))+13.42))))-(-5+-5)))*-5)))/-5)--5)+(-5*(((13.42*(13.42-(-5/-5)))*(13.42-(13.42/(-5*13.42))))-(-5/-5)))))</f>
        <v>11747.535640000004</v>
      </c>
      <c r="C11343" t="n" s="0">
        <v>11747.53564</v>
      </c>
    </row>
    <row r="11344">
      <c r="A11344" t="n" s="0">
        <v>13.43</v>
      </c>
      <c r="B11344" t="n" s="0">
        <f>(-5-((((-5*(-5/((-5/(((-5*(13.43--5))-(-5+((-5*13.43)*(((-5--5)+(13.43--5))+13.43))))-(-5+-5)))*-5)))/-5)--5)+(-5*(((13.43*(13.43-(-5/-5)))*(13.43-(13.43/(-5*13.43))))-(-5/-5)))))</f>
        <v>11774.063235000001</v>
      </c>
      <c r="C11344" t="n" s="0">
        <v>11774.063235</v>
      </c>
    </row>
    <row r="11345">
      <c r="A11345" t="n" s="0">
        <v>13.44</v>
      </c>
      <c r="B11345" t="n" s="0">
        <f>(-5-((((-5*(-5/((-5/(((-5*(13.44--5))-(-5+((-5*13.44)*(((-5--5)+(13.44--5))+13.44))))-(-5+-5)))*-5)))/-5)--5)+(-5*(((13.44*(13.44-(-5/-5)))*(13.44-(13.44/(-5*13.44))))-(-5/-5)))))</f>
        <v>11800.630720000001</v>
      </c>
      <c r="C11345" t="n" s="0">
        <v>11800.630719999997</v>
      </c>
    </row>
    <row r="11346">
      <c r="A11346" t="n" s="0">
        <v>13.45</v>
      </c>
      <c r="B11346" t="n" s="0">
        <f>(-5-((((-5*(-5/((-5/(((-5*(13.45--5))-(-5+((-5*13.45)*(((-5--5)+(13.45--5))+13.45))))-(-5+-5)))*-5)))/-5)--5)+(-5*(((13.45*(13.45-(-5/-5)))*(13.45-(13.45/(-5*13.45))))-(-5/-5)))))</f>
        <v>11827.238125</v>
      </c>
      <c r="C11346" t="n" s="0">
        <v>11827.238124999998</v>
      </c>
    </row>
    <row r="11347">
      <c r="A11347" t="n" s="0">
        <v>13.46</v>
      </c>
      <c r="B11347" t="n" s="0">
        <f>(-5-((((-5*(-5/((-5/(((-5*(13.46--5))-(-5+((-5*13.46)*(((-5--5)+(13.46--5))+13.46))))-(-5+-5)))*-5)))/-5)--5)+(-5*(((13.46*(13.46-(-5/-5)))*(13.46-(13.46/(-5*13.46))))-(-5/-5)))))</f>
        <v>11853.885479999999</v>
      </c>
      <c r="C11347" t="n" s="0">
        <v>11853.885480000003</v>
      </c>
    </row>
    <row r="11348">
      <c r="A11348" t="n" s="0">
        <v>13.47</v>
      </c>
      <c r="B11348" t="n" s="0">
        <f>(-5-((((-5*(-5/((-5/(((-5*(13.47--5))-(-5+((-5*13.47)*(((-5--5)+(13.47--5))+13.47))))-(-5+-5)))*-5)))/-5)--5)+(-5*(((13.47*(13.47-(-5/-5)))*(13.47-(13.47/(-5*13.47))))-(-5/-5)))))</f>
        <v>11880.572815</v>
      </c>
      <c r="C11348" t="n" s="0">
        <v>11880.572815000003</v>
      </c>
    </row>
    <row r="11349">
      <c r="A11349" t="n" s="0">
        <v>13.48</v>
      </c>
      <c r="B11349" t="n" s="0">
        <f>(-5-((((-5*(-5/((-5/(((-5*(13.48--5))-(-5+((-5*13.48)*(((-5--5)+(13.48--5))+13.48))))-(-5+-5)))*-5)))/-5)--5)+(-5*(((13.48*(13.48-(-5/-5)))*(13.48-(13.48/(-5*13.48))))-(-5/-5)))))</f>
        <v>11907.30016</v>
      </c>
      <c r="C11349" t="n" s="0">
        <v>11907.30016</v>
      </c>
    </row>
    <row r="11350">
      <c r="A11350" t="n" s="0">
        <v>13.49</v>
      </c>
      <c r="B11350" t="n" s="0">
        <f>(-5-((((-5*(-5/((-5/(((-5*(13.49--5))-(-5+((-5*13.49)*(((-5--5)+(13.49--5))+13.49))))-(-5+-5)))*-5)))/-5)--5)+(-5*(((13.49*(13.49-(-5/-5)))*(13.49-(13.49/(-5*13.49))))-(-5/-5)))))</f>
        <v>11934.067545</v>
      </c>
      <c r="C11350" t="n" s="0">
        <v>11934.067545</v>
      </c>
    </row>
    <row r="11351">
      <c r="A11351" t="n" s="0">
        <v>13.5</v>
      </c>
      <c r="B11351" t="n" s="0">
        <f>(-5-((((-5*(-5/((-5/(((-5*(13.5--5))-(-5+((-5*13.5)*(((-5--5)+(13.5--5))+13.5))))-(-5+-5)))*-5)))/-5)--5)+(-5*(((13.5*(13.5-(-5/-5)))*(13.5-(13.5/(-5*13.5))))-(-5/-5)))))</f>
        <v>11960.875</v>
      </c>
      <c r="C11351" t="n" s="0">
        <v>11960.875</v>
      </c>
    </row>
    <row r="11352">
      <c r="A11352" t="n" s="0">
        <v>13.51</v>
      </c>
      <c r="B11352" t="n" s="0">
        <f>(-5-((((-5*(-5/((-5/(((-5*(13.51--5))-(-5+((-5*13.51)*(((-5--5)+(13.51--5))+13.51))))-(-5+-5)))*-5)))/-5)--5)+(-5*(((13.51*(13.51-(-5/-5)))*(13.51-(13.51/(-5*13.51))))-(-5/-5)))))</f>
        <v>11987.722554999997</v>
      </c>
      <c r="C11352" t="n" s="0">
        <v>11987.722555000002</v>
      </c>
    </row>
    <row r="11353">
      <c r="A11353" t="n" s="0">
        <v>13.52</v>
      </c>
      <c r="B11353" t="n" s="0">
        <f>(-5-((((-5*(-5/((-5/(((-5*(13.52--5))-(-5+((-5*13.52)*(((-5--5)+(13.52--5))+13.52))))-(-5+-5)))*-5)))/-5)--5)+(-5*(((13.52*(13.52-(-5/-5)))*(13.52-(13.52/(-5*13.52))))-(-5/-5)))))</f>
        <v>12014.610239999998</v>
      </c>
      <c r="C11353" t="n" s="0">
        <v>12014.61024</v>
      </c>
    </row>
    <row r="11354">
      <c r="A11354" t="n" s="0">
        <v>13.53</v>
      </c>
      <c r="B11354" t="n" s="0">
        <f>(-5-((((-5*(-5/((-5/(((-5*(13.53--5))-(-5+((-5*13.53)*(((-5--5)+(13.53--5))+13.53))))-(-5+-5)))*-5)))/-5)--5)+(-5*(((13.53*(13.53-(-5/-5)))*(13.53-(13.53/(-5*13.53))))-(-5/-5)))))</f>
        <v>12041.538085</v>
      </c>
      <c r="C11354" t="n" s="0">
        <v>12041.538084999998</v>
      </c>
    </row>
    <row r="11355">
      <c r="A11355" t="n" s="0">
        <v>13.54</v>
      </c>
      <c r="B11355" t="n" s="0">
        <f>(-5-((((-5*(-5/((-5/(((-5*(13.54--5))-(-5+((-5*13.54)*(((-5--5)+(13.54--5))+13.54))))-(-5+-5)))*-5)))/-5)--5)+(-5*(((13.54*(13.54-(-5/-5)))*(13.54-(13.54/(-5*13.54))))-(-5/-5)))))</f>
        <v>12068.506120000002</v>
      </c>
      <c r="C11355" t="n" s="0">
        <v>12068.506119999996</v>
      </c>
    </row>
    <row r="11356">
      <c r="A11356" t="n" s="0">
        <v>13.55</v>
      </c>
      <c r="B11356" t="n" s="0">
        <f>(-5-((((-5*(-5/((-5/(((-5*(13.55--5))-(-5+((-5*13.55)*(((-5--5)+(13.55--5))+13.55))))-(-5+-5)))*-5)))/-5)--5)+(-5*(((13.55*(13.55-(-5/-5)))*(13.55-(13.55/(-5*13.55))))-(-5/-5)))))</f>
        <v>12095.514375000002</v>
      </c>
      <c r="C11356" t="n" s="0">
        <v>12095.514375</v>
      </c>
    </row>
    <row r="11357">
      <c r="A11357" t="n" s="0">
        <v>13.56</v>
      </c>
      <c r="B11357" t="n" s="0">
        <f>(-5-((((-5*(-5/((-5/(((-5*(13.56--5))-(-5+((-5*13.56)*(((-5--5)+(13.56--5))+13.56))))-(-5+-5)))*-5)))/-5)--5)+(-5*(((13.56*(13.56-(-5/-5)))*(13.56-(13.56/(-5*13.56))))-(-5/-5)))))</f>
        <v>12122.562879999998</v>
      </c>
      <c r="C11357" t="n" s="0">
        <v>12122.562880000003</v>
      </c>
    </row>
    <row r="11358">
      <c r="A11358" t="n" s="0">
        <v>13.57</v>
      </c>
      <c r="B11358" t="n" s="0">
        <f>(-5-((((-5*(-5/((-5/(((-5*(13.57--5))-(-5+((-5*13.57)*(((-5--5)+(13.57--5))+13.57))))-(-5+-5)))*-5)))/-5)--5)+(-5*(((13.57*(13.57-(-5/-5)))*(13.57-(13.57/(-5*13.57))))-(-5/-5)))))</f>
        <v>12149.651665000001</v>
      </c>
      <c r="C11358" t="n" s="0">
        <v>12149.651665</v>
      </c>
    </row>
    <row r="11359">
      <c r="A11359" t="n" s="0">
        <v>13.58</v>
      </c>
      <c r="B11359" t="n" s="0">
        <f>(-5-((((-5*(-5/((-5/(((-5*(13.58--5))-(-5+((-5*13.58)*(((-5--5)+(13.58--5))+13.58))))-(-5+-5)))*-5)))/-5)--5)+(-5*(((13.58*(13.58-(-5/-5)))*(13.58-(13.58/(-5*13.58))))-(-5/-5)))))</f>
        <v>12176.780760000001</v>
      </c>
      <c r="C11359" t="n" s="0">
        <v>12176.78076</v>
      </c>
    </row>
    <row r="11360">
      <c r="A11360" t="n" s="0">
        <v>13.59</v>
      </c>
      <c r="B11360" t="n" s="0">
        <f>(-5-((((-5*(-5/((-5/(((-5*(13.59--5))-(-5+((-5*13.59)*(((-5--5)+(13.59--5))+13.59))))-(-5+-5)))*-5)))/-5)--5)+(-5*(((13.59*(13.59-(-5/-5)))*(13.59-(13.59/(-5*13.59))))-(-5/-5)))))</f>
        <v>12203.950195</v>
      </c>
      <c r="C11360" t="n" s="0">
        <v>12203.950195</v>
      </c>
    </row>
    <row r="11361">
      <c r="A11361" t="n" s="0">
        <v>13.6</v>
      </c>
      <c r="B11361" t="n" s="0">
        <f>(-5-((((-5*(-5/((-5/(((-5*(13.6--5))-(-5+((-5*13.6)*(((-5--5)+(13.6--5))+13.6))))-(-5+-5)))*-5)))/-5)--5)+(-5*(((13.6*(13.6-(-5/-5)))*(13.6-(13.6/(-5*13.6))))-(-5/-5)))))</f>
        <v>12231.16</v>
      </c>
      <c r="C11361" t="n" s="0">
        <v>12231.159999999998</v>
      </c>
    </row>
    <row r="11362">
      <c r="A11362" t="n" s="0">
        <v>13.61</v>
      </c>
      <c r="B11362" t="n" s="0">
        <f>(-5-((((-5*(-5/((-5/(((-5*(13.61--5))-(-5+((-5*13.61)*(((-5--5)+(13.61--5))+13.61))))-(-5+-5)))*-5)))/-5)--5)+(-5*(((13.61*(13.61-(-5/-5)))*(13.61-(13.61/(-5*13.61))))-(-5/-5)))))</f>
        <v>12258.410205000002</v>
      </c>
      <c r="C11362" t="n" s="0">
        <v>12258.410204999998</v>
      </c>
    </row>
    <row r="11363">
      <c r="A11363" t="n" s="0">
        <v>13.62</v>
      </c>
      <c r="B11363" t="n" s="0">
        <f>(-5-((((-5*(-5/((-5/(((-5*(13.62--5))-(-5+((-5*13.62)*(((-5--5)+(13.62--5))+13.62))))-(-5+-5)))*-5)))/-5)--5)+(-5*(((13.62*(13.62-(-5/-5)))*(13.62-(13.62/(-5*13.62))))-(-5/-5)))))</f>
        <v>12285.70084</v>
      </c>
      <c r="C11363" t="n" s="0">
        <v>12285.700839999998</v>
      </c>
    </row>
    <row r="11364">
      <c r="A11364" t="n" s="0">
        <v>13.63</v>
      </c>
      <c r="B11364" t="n" s="0">
        <f>(-5-((((-5*(-5/((-5/(((-5*(13.63--5))-(-5+((-5*13.63)*(((-5--5)+(13.63--5))+13.63))))-(-5+-5)))*-5)))/-5)--5)+(-5*(((13.63*(13.63-(-5/-5)))*(13.63-(13.63/(-5*13.63))))-(-5/-5)))))</f>
        <v>12313.031934999999</v>
      </c>
      <c r="C11364" t="n" s="0">
        <v>12313.031935</v>
      </c>
    </row>
    <row r="11365">
      <c r="A11365" t="n" s="0">
        <v>13.64</v>
      </c>
      <c r="B11365" t="n" s="0">
        <f>(-5-((((-5*(-5/((-5/(((-5*(13.64--5))-(-5+((-5*13.64)*(((-5--5)+(13.64--5))+13.64))))-(-5+-5)))*-5)))/-5)--5)+(-5*(((13.64*(13.64-(-5/-5)))*(13.64-(13.64/(-5*13.64))))-(-5/-5)))))</f>
        <v>12340.40352</v>
      </c>
      <c r="C11365" t="n" s="0">
        <v>12340.403520000002</v>
      </c>
    </row>
    <row r="11366">
      <c r="A11366" t="n" s="0">
        <v>13.65</v>
      </c>
      <c r="B11366" t="n" s="0">
        <f>(-5-((((-5*(-5/((-5/(((-5*(13.65--5))-(-5+((-5*13.65)*(((-5--5)+(13.65--5))+13.65))))-(-5+-5)))*-5)))/-5)--5)+(-5*(((13.65*(13.65-(-5/-5)))*(13.65-(13.65/(-5*13.65))))-(-5/-5)))))</f>
        <v>12367.815625000003</v>
      </c>
      <c r="C11366" t="n" s="0">
        <v>12367.815625000001</v>
      </c>
    </row>
    <row r="11367">
      <c r="A11367" t="n" s="0">
        <v>13.66</v>
      </c>
      <c r="B11367" t="n" s="0">
        <f>(-5-((((-5*(-5/((-5/(((-5*(13.66--5))-(-5+((-5*13.66)*(((-5--5)+(13.66--5))+13.66))))-(-5+-5)))*-5)))/-5)--5)+(-5*(((13.66*(13.66-(-5/-5)))*(13.66-(13.66/(-5*13.66))))-(-5/-5)))))</f>
        <v>12395.26828</v>
      </c>
      <c r="C11367" t="n" s="0">
        <v>12395.26828</v>
      </c>
    </row>
    <row r="11368">
      <c r="A11368" t="n" s="0">
        <v>13.67</v>
      </c>
      <c r="B11368" t="n" s="0">
        <f>(-5-((((-5*(-5/((-5/(((-5*(13.67--5))-(-5+((-5*13.67)*(((-5--5)+(13.67--5))+13.67))))-(-5+-5)))*-5)))/-5)--5)+(-5*(((13.67*(13.67-(-5/-5)))*(13.67-(13.67/(-5*13.67))))-(-5/-5)))))</f>
        <v>12422.761515000002</v>
      </c>
      <c r="C11368" t="n" s="0">
        <v>12422.761515</v>
      </c>
    </row>
    <row r="11369">
      <c r="A11369" t="n" s="0">
        <v>13.68</v>
      </c>
      <c r="B11369" t="n" s="0">
        <f>(-5-((((-5*(-5/((-5/(((-5*(13.68--5))-(-5+((-5*13.68)*(((-5--5)+(13.68--5))+13.68))))-(-5+-5)))*-5)))/-5)--5)+(-5*(((13.68*(13.68-(-5/-5)))*(13.68-(13.68/(-5*13.68))))-(-5/-5)))))</f>
        <v>12450.295359999998</v>
      </c>
      <c r="C11369" t="n" s="0">
        <v>12450.29536</v>
      </c>
    </row>
    <row r="11370">
      <c r="A11370" t="n" s="0">
        <v>13.69</v>
      </c>
      <c r="B11370" t="n" s="0">
        <f>(-5-((((-5*(-5/((-5/(((-5*(13.69--5))-(-5+((-5*13.69)*(((-5--5)+(13.69--5))+13.69))))-(-5+-5)))*-5)))/-5)--5)+(-5*(((13.69*(13.69-(-5/-5)))*(13.69-(13.69/(-5*13.69))))-(-5/-5)))))</f>
        <v>12477.869845</v>
      </c>
      <c r="C11370" t="n" s="0">
        <v>12477.869844999997</v>
      </c>
    </row>
    <row r="11371">
      <c r="A11371" t="n" s="0">
        <v>13.7</v>
      </c>
      <c r="B11371" t="n" s="0">
        <f>(-5-((((-5*(-5/((-5/(((-5*(13.7--5))-(-5+((-5*13.7)*(((-5--5)+(13.7--5))+13.7))))-(-5+-5)))*-5)))/-5)--5)+(-5*(((13.7*(13.7-(-5/-5)))*(13.7-(13.7/(-5*13.7))))-(-5/-5)))))</f>
        <v>12505.484999999999</v>
      </c>
      <c r="C11371" t="n" s="0">
        <v>12505.484999999999</v>
      </c>
    </row>
    <row r="11372">
      <c r="A11372" t="n" s="0">
        <v>13.71</v>
      </c>
      <c r="B11372" t="n" s="0">
        <f>(-5-((((-5*(-5/((-5/(((-5*(13.71--5))-(-5+((-5*13.71)*(((-5--5)+(13.71--5))+13.71))))-(-5+-5)))*-5)))/-5)--5)+(-5*(((13.71*(13.71-(-5/-5)))*(13.71-(13.71/(-5*13.71))))-(-5/-5)))))</f>
        <v>12533.140855000001</v>
      </c>
      <c r="C11372" t="n" s="0">
        <v>12533.140855000001</v>
      </c>
    </row>
    <row r="11373">
      <c r="A11373" t="n" s="0">
        <v>13.72</v>
      </c>
      <c r="B11373" t="n" s="0">
        <f>(-5-((((-5*(-5/((-5/(((-5*(13.72--5))-(-5+((-5*13.72)*(((-5--5)+(13.72--5))+13.72))))-(-5+-5)))*-5)))/-5)--5)+(-5*(((13.72*(13.72-(-5/-5)))*(13.72-(13.72/(-5*13.72))))-(-5/-5)))))</f>
        <v>12560.83744</v>
      </c>
      <c r="C11373" t="n" s="0">
        <v>12560.837440000001</v>
      </c>
    </row>
    <row r="11374">
      <c r="A11374" t="n" s="0">
        <v>13.73</v>
      </c>
      <c r="B11374" t="n" s="0">
        <f>(-5-((((-5*(-5/((-5/(((-5*(13.73--5))-(-5+((-5*13.73)*(((-5--5)+(13.73--5))+13.73))))-(-5+-5)))*-5)))/-5)--5)+(-5*(((13.73*(13.73-(-5/-5)))*(13.73-(13.73/(-5*13.73))))-(-5/-5)))))</f>
        <v>12588.574784999999</v>
      </c>
      <c r="C11374" t="n" s="0">
        <v>12588.574785000003</v>
      </c>
    </row>
    <row r="11375">
      <c r="A11375" t="n" s="0">
        <v>13.74</v>
      </c>
      <c r="B11375" t="n" s="0">
        <f>(-5-((((-5*(-5/((-5/(((-5*(13.74--5))-(-5+((-5*13.74)*(((-5--5)+(13.74--5))+13.74))))-(-5+-5)))*-5)))/-5)--5)+(-5*(((13.74*(13.74-(-5/-5)))*(13.74-(13.74/(-5*13.74))))-(-5/-5)))))</f>
        <v>12616.352920000001</v>
      </c>
      <c r="C11375" t="n" s="0">
        <v>12616.35292</v>
      </c>
    </row>
    <row r="11376">
      <c r="A11376" t="n" s="0">
        <v>13.75</v>
      </c>
      <c r="B11376" t="n" s="0">
        <f>(-5-((((-5*(-5/((-5/(((-5*(13.75--5))-(-5+((-5*13.75)*(((-5--5)+(13.75--5))+13.75))))-(-5+-5)))*-5)))/-5)--5)+(-5*(((13.75*(13.75-(-5/-5)))*(13.75-(13.75/(-5*13.75))))-(-5/-5)))))</f>
        <v>12644.171875</v>
      </c>
      <c r="C11376" t="n" s="0">
        <v>12644.171875</v>
      </c>
    </row>
    <row r="11377">
      <c r="A11377" t="n" s="0">
        <v>13.76</v>
      </c>
      <c r="B11377" t="n" s="0">
        <f>(-5-((((-5*(-5/((-5/(((-5*(13.76--5))-(-5+((-5*13.76)*(((-5--5)+(13.76--5))+13.76))))-(-5+-5)))*-5)))/-5)--5)+(-5*(((13.76*(13.76-(-5/-5)))*(13.76-(13.76/(-5*13.76))))-(-5/-5)))))</f>
        <v>12672.03168</v>
      </c>
      <c r="C11377" t="n" s="0">
        <v>12672.03168</v>
      </c>
    </row>
    <row r="11378">
      <c r="A11378" t="n" s="0">
        <v>13.77</v>
      </c>
      <c r="B11378" t="n" s="0">
        <f>(-5-((((-5*(-5/((-5/(((-5*(13.77--5))-(-5+((-5*13.77)*(((-5--5)+(13.77--5))+13.77))))-(-5+-5)))*-5)))/-5)--5)+(-5*(((13.77*(13.77-(-5/-5)))*(13.77-(13.77/(-5*13.77))))-(-5/-5)))))</f>
        <v>12699.932365</v>
      </c>
      <c r="C11378" t="n" s="0">
        <v>12699.932364999999</v>
      </c>
    </row>
    <row r="11379">
      <c r="A11379" t="n" s="0">
        <v>13.78</v>
      </c>
      <c r="B11379" t="n" s="0">
        <f>(-5-((((-5*(-5/((-5/(((-5*(13.78--5))-(-5+((-5*13.78)*(((-5--5)+(13.78--5))+13.78))))-(-5+-5)))*-5)))/-5)--5)+(-5*(((13.78*(13.78-(-5/-5)))*(13.78-(13.78/(-5*13.78))))-(-5/-5)))))</f>
        <v>12727.87396</v>
      </c>
      <c r="C11379" t="n" s="0">
        <v>12727.873959999997</v>
      </c>
    </row>
    <row r="11380">
      <c r="A11380" t="n" s="0">
        <v>13.79</v>
      </c>
      <c r="B11380" t="n" s="0">
        <f>(-5-((((-5*(-5/((-5/(((-5*(13.79--5))-(-5+((-5*13.79)*(((-5--5)+(13.79--5))+13.79))))-(-5+-5)))*-5)))/-5)--5)+(-5*(((13.79*(13.79-(-5/-5)))*(13.79-(13.79/(-5*13.79))))-(-5/-5)))))</f>
        <v>12755.856495</v>
      </c>
      <c r="C11380" t="n" s="0">
        <v>12755.856494999998</v>
      </c>
    </row>
    <row r="11381">
      <c r="A11381" t="n" s="0">
        <v>13.8</v>
      </c>
      <c r="B11381" t="n" s="0">
        <f>(-5-((((-5*(-5/((-5/(((-5*(13.8--5))-(-5+((-5*13.8)*(((-5--5)+(13.8--5))+13.8))))-(-5+-5)))*-5)))/-5)--5)+(-5*(((13.8*(13.8-(-5/-5)))*(13.8-(13.8/(-5*13.8))))-(-5/-5)))))</f>
        <v>12783.879999999997</v>
      </c>
      <c r="C11381" t="n" s="0">
        <v>12783.880000000003</v>
      </c>
    </row>
    <row r="11382">
      <c r="A11382" t="n" s="0">
        <v>13.81</v>
      </c>
      <c r="B11382" t="n" s="0">
        <f>(-5-((((-5*(-5/((-5/(((-5*(13.81--5))-(-5+((-5*13.81)*(((-5--5)+(13.81--5))+13.81))))-(-5+-5)))*-5)))/-5)--5)+(-5*(((13.81*(13.81-(-5/-5)))*(13.81-(13.81/(-5*13.81))))-(-5/-5)))))</f>
        <v>12811.944505</v>
      </c>
      <c r="C11382" t="n" s="0">
        <v>12811.944505000001</v>
      </c>
    </row>
    <row r="11383">
      <c r="A11383" t="n" s="0">
        <v>13.82</v>
      </c>
      <c r="B11383" t="n" s="0">
        <f>(-5-((((-5*(-5/((-5/(((-5*(13.82--5))-(-5+((-5*13.82)*(((-5--5)+(13.82--5))+13.82))))-(-5+-5)))*-5)))/-5)--5)+(-5*(((13.82*(13.82-(-5/-5)))*(13.82-(13.82/(-5*13.82))))-(-5/-5)))))</f>
        <v>12840.05004</v>
      </c>
      <c r="C11383" t="n" s="0">
        <v>12840.050039999998</v>
      </c>
    </row>
    <row r="11384">
      <c r="A11384" t="n" s="0">
        <v>13.83</v>
      </c>
      <c r="B11384" t="n" s="0">
        <f>(-5-((((-5*(-5/((-5/(((-5*(13.83--5))-(-5+((-5*13.83)*(((-5--5)+(13.83--5))+13.83))))-(-5+-5)))*-5)))/-5)--5)+(-5*(((13.83*(13.83-(-5/-5)))*(13.83-(13.83/(-5*13.83))))-(-5/-5)))))</f>
        <v>12868.196635</v>
      </c>
      <c r="C11384" t="n" s="0">
        <v>12868.196635</v>
      </c>
    </row>
    <row r="11385">
      <c r="A11385" t="n" s="0">
        <v>13.84</v>
      </c>
      <c r="B11385" t="n" s="0">
        <f>(-5-((((-5*(-5/((-5/(((-5*(13.84--5))-(-5+((-5*13.84)*(((-5--5)+(13.84--5))+13.84))))-(-5+-5)))*-5)))/-5)--5)+(-5*(((13.84*(13.84-(-5/-5)))*(13.84-(13.84/(-5*13.84))))-(-5/-5)))))</f>
        <v>12896.38432</v>
      </c>
      <c r="C11385" t="n" s="0">
        <v>12896.38432</v>
      </c>
    </row>
    <row r="11386">
      <c r="A11386" t="n" s="0">
        <v>13.85</v>
      </c>
      <c r="B11386" t="n" s="0">
        <f>(-5-((((-5*(-5/((-5/(((-5*(13.85--5))-(-5+((-5*13.85)*(((-5--5)+(13.85--5))+13.85))))-(-5+-5)))*-5)))/-5)--5)+(-5*(((13.85*(13.85-(-5/-5)))*(13.85-(13.85/(-5*13.85))))-(-5/-5)))))</f>
        <v>12924.613124999998</v>
      </c>
      <c r="C11386" t="n" s="0">
        <v>12924.613124999996</v>
      </c>
    </row>
    <row r="11387">
      <c r="A11387" t="n" s="0">
        <v>13.86</v>
      </c>
      <c r="B11387" t="n" s="0">
        <f>(-5-((((-5*(-5/((-5/(((-5*(13.86--5))-(-5+((-5*13.86)*(((-5--5)+(13.86--5))+13.86))))-(-5+-5)))*-5)))/-5)--5)+(-5*(((13.86*(13.86-(-5/-5)))*(13.86-(13.86/(-5*13.86))))-(-5/-5)))))</f>
        <v>12952.88308</v>
      </c>
      <c r="C11387" t="n" s="0">
        <v>12952.88308</v>
      </c>
    </row>
    <row r="11388">
      <c r="A11388" t="n" s="0">
        <v>13.87</v>
      </c>
      <c r="B11388" t="n" s="0">
        <f>(-5-((((-5*(-5/((-5/(((-5*(13.87--5))-(-5+((-5*13.87)*(((-5--5)+(13.87--5))+13.87))))-(-5+-5)))*-5)))/-5)--5)+(-5*(((13.87*(13.87-(-5/-5)))*(13.87-(13.87/(-5*13.87))))-(-5/-5)))))</f>
        <v>12981.194215000001</v>
      </c>
      <c r="C11388" t="n" s="0">
        <v>12981.194214999998</v>
      </c>
    </row>
    <row r="11389">
      <c r="A11389" t="n" s="0">
        <v>13.88</v>
      </c>
      <c r="B11389" t="n" s="0">
        <f>(-5-((((-5*(-5/((-5/(((-5*(13.88--5))-(-5+((-5*13.88)*(((-5--5)+(13.88--5))+13.88))))-(-5+-5)))*-5)))/-5)--5)+(-5*(((13.88*(13.88-(-5/-5)))*(13.88-(13.88/(-5*13.88))))-(-5/-5)))))</f>
        <v>13009.546559999999</v>
      </c>
      <c r="C11389" t="n" s="0">
        <v>13009.54656</v>
      </c>
    </row>
    <row r="11390">
      <c r="A11390" t="n" s="0">
        <v>13.89</v>
      </c>
      <c r="B11390" t="n" s="0">
        <f>(-5-((((-5*(-5/((-5/(((-5*(13.89--5))-(-5+((-5*13.89)*(((-5--5)+(13.89--5))+13.89))))-(-5+-5)))*-5)))/-5)--5)+(-5*(((13.89*(13.89-(-5/-5)))*(13.89-(13.89/(-5*13.89))))-(-5/-5)))))</f>
        <v>13037.940145</v>
      </c>
      <c r="C11390" t="n" s="0">
        <v>13037.940145000002</v>
      </c>
    </row>
    <row r="11391">
      <c r="A11391" t="n" s="0">
        <v>13.9</v>
      </c>
      <c r="B11391" t="n" s="0">
        <f>(-5-((((-5*(-5/((-5/(((-5*(13.9--5))-(-5+((-5*13.9)*(((-5--5)+(13.9--5))+13.9))))-(-5+-5)))*-5)))/-5)--5)+(-5*(((13.9*(13.9-(-5/-5)))*(13.9-(13.9/(-5*13.9))))-(-5/-5)))))</f>
        <v>13066.375000000002</v>
      </c>
      <c r="C11391" t="n" s="0">
        <v>13066.375000000002</v>
      </c>
    </row>
    <row r="11392">
      <c r="A11392" t="n" s="0">
        <v>13.91</v>
      </c>
      <c r="B11392" t="n" s="0">
        <f>(-5-((((-5*(-5/((-5/(((-5*(13.91--5))-(-5+((-5*13.91)*(((-5--5)+(13.91--5))+13.91))))-(-5+-5)))*-5)))/-5)--5)+(-5*(((13.91*(13.91-(-5/-5)))*(13.91-(13.91/(-5*13.91))))-(-5/-5)))))</f>
        <v>13094.851155</v>
      </c>
      <c r="C11392" t="n" s="0">
        <v>13094.851155000002</v>
      </c>
    </row>
    <row r="11393">
      <c r="A11393" t="n" s="0">
        <v>13.92</v>
      </c>
      <c r="B11393" t="n" s="0">
        <f>(-5-((((-5*(-5/((-5/(((-5*(13.92--5))-(-5+((-5*13.92)*(((-5--5)+(13.92--5))+13.92))))-(-5+-5)))*-5)))/-5)--5)+(-5*(((13.92*(13.92-(-5/-5)))*(13.92-(13.92/(-5*13.92))))-(-5/-5)))))</f>
        <v>13123.368639999999</v>
      </c>
      <c r="C11393" t="n" s="0">
        <v>13123.368639999999</v>
      </c>
    </row>
    <row r="11394">
      <c r="A11394" t="n" s="0">
        <v>13.93</v>
      </c>
      <c r="B11394" t="n" s="0">
        <f>(-5-((((-5*(-5/((-5/(((-5*(13.93--5))-(-5+((-5*13.93)*(((-5--5)+(13.93--5))+13.93))))-(-5+-5)))*-5)))/-5)--5)+(-5*(((13.93*(13.93-(-5/-5)))*(13.93-(13.93/(-5*13.93))))-(-5/-5)))))</f>
        <v>13151.927485</v>
      </c>
      <c r="C11394" t="n" s="0">
        <v>13151.927485</v>
      </c>
    </row>
    <row r="11395">
      <c r="A11395" t="n" s="0">
        <v>13.94</v>
      </c>
      <c r="B11395" t="n" s="0">
        <f>(-5-((((-5*(-5/((-5/(((-5*(13.94--5))-(-5+((-5*13.94)*(((-5--5)+(13.94--5))+13.94))))-(-5+-5)))*-5)))/-5)--5)+(-5*(((13.94*(13.94-(-5/-5)))*(13.94-(13.94/(-5*13.94))))-(-5/-5)))))</f>
        <v>13180.527720000002</v>
      </c>
      <c r="C11395" t="n" s="0">
        <v>13180.527719999998</v>
      </c>
    </row>
    <row r="11396">
      <c r="A11396" t="n" s="0">
        <v>13.95</v>
      </c>
      <c r="B11396" t="n" s="0">
        <f>(-5-((((-5*(-5/((-5/(((-5*(13.95--5))-(-5+((-5*13.95)*(((-5--5)+(13.95--5))+13.95))))-(-5+-5)))*-5)))/-5)--5)+(-5*(((13.95*(13.95-(-5/-5)))*(13.95-(13.95/(-5*13.95))))-(-5/-5)))))</f>
        <v>13209.169374999998</v>
      </c>
      <c r="C11396" t="n" s="0">
        <v>13209.169374999998</v>
      </c>
    </row>
    <row r="11397">
      <c r="A11397" t="n" s="0">
        <v>13.96</v>
      </c>
      <c r="B11397" t="n" s="0">
        <f>(-5-((((-5*(-5/((-5/(((-5*(13.96--5))-(-5+((-5*13.96)*(((-5--5)+(13.96--5))+13.96))))-(-5+-5)))*-5)))/-5)--5)+(-5*(((13.96*(13.96-(-5/-5)))*(13.96-(13.96/(-5*13.96))))-(-5/-5)))))</f>
        <v>13237.852480000001</v>
      </c>
      <c r="C11397" t="n" s="0">
        <v>13237.852480000003</v>
      </c>
    </row>
    <row r="11398">
      <c r="A11398" t="n" s="0">
        <v>13.97</v>
      </c>
      <c r="B11398" t="n" s="0">
        <f>(-5-((((-5*(-5/((-5/(((-5*(13.97--5))-(-5+((-5*13.97)*(((-5--5)+(13.97--5))+13.97))))-(-5+-5)))*-5)))/-5)--5)+(-5*(((13.97*(13.97-(-5/-5)))*(13.97-(13.97/(-5*13.97))))-(-5/-5)))))</f>
        <v>13266.577065000003</v>
      </c>
      <c r="C11398" t="n" s="0">
        <v>13266.577065000003</v>
      </c>
    </row>
    <row r="11399">
      <c r="A11399" t="n" s="0">
        <v>13.98</v>
      </c>
      <c r="B11399" t="n" s="0">
        <f>(-5-((((-5*(-5/((-5/(((-5*(13.98--5))-(-5+((-5*13.98)*(((-5--5)+(13.98--5))+13.98))))-(-5+-5)))*-5)))/-5)--5)+(-5*(((13.98*(13.98-(-5/-5)))*(13.98-(13.98/(-5*13.98))))-(-5/-5)))))</f>
        <v>13295.343159999995</v>
      </c>
      <c r="C11399" t="n" s="0">
        <v>13295.34316</v>
      </c>
    </row>
    <row r="11400">
      <c r="A11400" t="n" s="0">
        <v>13.99</v>
      </c>
      <c r="B11400" t="n" s="0">
        <f>(-5-((((-5*(-5/((-5/(((-5*(13.99--5))-(-5+((-5*13.99)*(((-5--5)+(13.99--5))+13.99))))-(-5+-5)))*-5)))/-5)--5)+(-5*(((13.99*(13.99-(-5/-5)))*(13.99-(13.99/(-5*13.99))))-(-5/-5)))))</f>
        <v>13324.150794999998</v>
      </c>
      <c r="C11400" t="n" s="0">
        <v>13324.150795</v>
      </c>
    </row>
    <row r="11401">
      <c r="A11401" t="n" s="0">
        <v>14.0</v>
      </c>
      <c r="B11401" t="n" s="0">
        <f>(-5-((((-5*(-5/((-5/(((-5*(14--5))-(-5+((-5*14)*(((-5--5)+(14--5))+14))))-(-5+-5)))*-5)))/-5)--5)+(-5*(((14*(14-(-5/-5)))*(14-(14/(-5*14))))-(-5/-5)))))</f>
        <v>13352.999999999998</v>
      </c>
      <c r="C11401" t="n" s="0">
        <v>13353.0</v>
      </c>
    </row>
    <row r="11402">
      <c r="A11402" t="n" s="0">
        <v>14.01</v>
      </c>
      <c r="B11402" t="n" s="0">
        <f>(-5-((((-5*(-5/((-5/(((-5*(14.01--5))-(-5+((-5*14.01)*(((-5--5)+(14.01--5))+14.01))))-(-5+-5)))*-5)))/-5)--5)+(-5*(((14.01*(14.01-(-5/-5)))*(14.01-(14.01/(-5*14.01))))-(-5/-5)))))</f>
        <v>13381.890805000001</v>
      </c>
      <c r="C11402" t="n" s="0">
        <v>13381.890805000001</v>
      </c>
    </row>
    <row r="11403">
      <c r="A11403" t="n" s="0">
        <v>14.02</v>
      </c>
      <c r="B11403" t="n" s="0">
        <f>(-5-((((-5*(-5/((-5/(((-5*(14.02--5))-(-5+((-5*14.02)*(((-5--5)+(14.02--5))+14.02))))-(-5+-5)))*-5)))/-5)--5)+(-5*(((14.02*(14.02-(-5/-5)))*(14.02-(14.02/(-5*14.02))))-(-5/-5)))))</f>
        <v>13410.823240000002</v>
      </c>
      <c r="C11403" t="n" s="0">
        <v>13410.823239999996</v>
      </c>
    </row>
    <row r="11404">
      <c r="A11404" t="n" s="0">
        <v>14.03</v>
      </c>
      <c r="B11404" t="n" s="0">
        <f>(-5-((((-5*(-5/((-5/(((-5*(14.03--5))-(-5+((-5*14.03)*(((-5--5)+(14.03--5))+14.03))))-(-5+-5)))*-5)))/-5)--5)+(-5*(((14.03*(14.03-(-5/-5)))*(14.03-(14.03/(-5*14.03))))-(-5/-5)))))</f>
        <v>13439.797335000003</v>
      </c>
      <c r="C11404" t="n" s="0">
        <v>13439.797334999997</v>
      </c>
    </row>
    <row r="11405">
      <c r="A11405" t="n" s="0">
        <v>14.04</v>
      </c>
      <c r="B11405" t="n" s="0">
        <f>(-5-((((-5*(-5/((-5/(((-5*(14.04--5))-(-5+((-5*14.04)*(((-5--5)+(14.04--5))+14.04))))-(-5+-5)))*-5)))/-5)--5)+(-5*(((14.04*(14.04-(-5/-5)))*(14.04-(14.04/(-5*14.04))))-(-5/-5)))))</f>
        <v>13468.813120000004</v>
      </c>
      <c r="C11405" t="n" s="0">
        <v>13468.813119999997</v>
      </c>
    </row>
    <row r="11406">
      <c r="A11406" t="n" s="0">
        <v>14.05</v>
      </c>
      <c r="B11406" t="n" s="0">
        <f>(-5-((((-5*(-5/((-5/(((-5*(14.05--5))-(-5+((-5*14.05)*(((-5--5)+(14.05--5))+14.05))))-(-5+-5)))*-5)))/-5)--5)+(-5*(((14.05*(14.05-(-5/-5)))*(14.05-(14.05/(-5*14.05))))-(-5/-5)))))</f>
        <v>13497.870625000003</v>
      </c>
      <c r="C11406" t="n" s="0">
        <v>13497.870625000001</v>
      </c>
    </row>
    <row r="11407">
      <c r="A11407" t="n" s="0">
        <v>14.06</v>
      </c>
      <c r="B11407" t="n" s="0">
        <f>(-5-((((-5*(-5/((-5/(((-5*(14.06--5))-(-5+((-5*14.06)*(((-5--5)+(14.06--5))+14.06))))-(-5+-5)))*-5)))/-5)--5)+(-5*(((14.06*(14.06-(-5/-5)))*(14.06-(14.06/(-5*14.06))))-(-5/-5)))))</f>
        <v>13526.96988</v>
      </c>
      <c r="C11407" t="n" s="0">
        <v>13526.96988</v>
      </c>
    </row>
    <row r="11408">
      <c r="A11408" t="n" s="0">
        <v>14.07</v>
      </c>
      <c r="B11408" t="n" s="0">
        <f>(-5-((((-5*(-5/((-5/(((-5*(14.07--5))-(-5+((-5*14.07)*(((-5--5)+(14.07--5))+14.07))))-(-5+-5)))*-5)))/-5)--5)+(-5*(((14.07*(14.07-(-5/-5)))*(14.07-(14.07/(-5*14.07))))-(-5/-5)))))</f>
        <v>13556.110915000001</v>
      </c>
      <c r="C11408" t="n" s="0">
        <v>13556.110915</v>
      </c>
    </row>
    <row r="11409">
      <c r="A11409" t="n" s="0">
        <v>14.08</v>
      </c>
      <c r="B11409" t="n" s="0">
        <f>(-5-((((-5*(-5/((-5/(((-5*(14.08--5))-(-5+((-5*14.08)*(((-5--5)+(14.08--5))+14.08))))-(-5+-5)))*-5)))/-5)--5)+(-5*(((14.08*(14.08-(-5/-5)))*(14.08-(14.08/(-5*14.08))))-(-5/-5)))))</f>
        <v>13585.29376</v>
      </c>
      <c r="C11409" t="n" s="0">
        <v>13585.293759999999</v>
      </c>
    </row>
    <row r="11410">
      <c r="A11410" t="n" s="0">
        <v>14.09</v>
      </c>
      <c r="B11410" t="n" s="0">
        <f>(-5-((((-5*(-5/((-5/(((-5*(14.09--5))-(-5+((-5*14.09)*(((-5--5)+(14.09--5))+14.09))))-(-5+-5)))*-5)))/-5)--5)+(-5*(((14.09*(14.09-(-5/-5)))*(14.09-(14.09/(-5*14.09))))-(-5/-5)))))</f>
        <v>13614.518445</v>
      </c>
      <c r="C11410" t="n" s="0">
        <v>13614.518445000002</v>
      </c>
    </row>
    <row r="11411">
      <c r="A11411" t="n" s="0">
        <v>14.1</v>
      </c>
      <c r="B11411" t="n" s="0">
        <f>(-5-((((-5*(-5/((-5/(((-5*(14.1--5))-(-5+((-5*14.1)*(((-5--5)+(14.1--5))+14.1))))-(-5+-5)))*-5)))/-5)--5)+(-5*(((14.1*(14.1-(-5/-5)))*(14.1-(14.1/(-5*14.1))))-(-5/-5)))))</f>
        <v>13643.785</v>
      </c>
      <c r="C11411" t="n" s="0">
        <v>13643.784999999998</v>
      </c>
    </row>
    <row r="11412">
      <c r="A11412" t="n" s="0">
        <v>14.11</v>
      </c>
      <c r="B11412" t="n" s="0">
        <f>(-5-((((-5*(-5/((-5/(((-5*(14.11--5))-(-5+((-5*14.11)*(((-5--5)+(14.11--5))+14.11))))-(-5+-5)))*-5)))/-5)--5)+(-5*(((14.11*(14.11-(-5/-5)))*(14.11-(14.11/(-5*14.11))))-(-5/-5)))))</f>
        <v>13673.093455</v>
      </c>
      <c r="C11412" t="n" s="0">
        <v>13673.093454999998</v>
      </c>
    </row>
    <row r="11413">
      <c r="A11413" t="n" s="0">
        <v>14.12</v>
      </c>
      <c r="B11413" t="n" s="0">
        <f>(-5-((((-5*(-5/((-5/(((-5*(14.12--5))-(-5+((-5*14.12)*(((-5--5)+(14.12--5))+14.12))))-(-5+-5)))*-5)))/-5)--5)+(-5*(((14.12*(14.12-(-5/-5)))*(14.12-(14.12/(-5*14.12))))-(-5/-5)))))</f>
        <v>13702.44384</v>
      </c>
      <c r="C11413" t="n" s="0">
        <v>13702.44384</v>
      </c>
    </row>
    <row r="11414">
      <c r="A11414" t="n" s="0">
        <v>14.13</v>
      </c>
      <c r="B11414" t="n" s="0">
        <f>(-5-((((-5*(-5/((-5/(((-5*(14.13--5))-(-5+((-5*14.13)*(((-5--5)+(14.13--5))+14.13))))-(-5+-5)))*-5)))/-5)--5)+(-5*(((14.13*(14.13-(-5/-5)))*(14.13-(14.13/(-5*14.13))))-(-5/-5)))))</f>
        <v>13731.836184999998</v>
      </c>
      <c r="C11414" t="n" s="0">
        <v>13731.836185000002</v>
      </c>
    </row>
    <row r="11415">
      <c r="A11415" t="n" s="0">
        <v>14.14</v>
      </c>
      <c r="B11415" t="n" s="0">
        <f>(-5-((((-5*(-5/((-5/(((-5*(14.14--5))-(-5+((-5*14.14)*(((-5--5)+(14.14--5))+14.14))))-(-5+-5)))*-5)))/-5)--5)+(-5*(((14.14*(14.14-(-5/-5)))*(14.14-(14.14/(-5*14.14))))-(-5/-5)))))</f>
        <v>13761.270519999998</v>
      </c>
      <c r="C11415" t="n" s="0">
        <v>13761.270520000002</v>
      </c>
    </row>
    <row r="11416">
      <c r="A11416" t="n" s="0">
        <v>14.15</v>
      </c>
      <c r="B11416" t="n" s="0">
        <f>(-5-((((-5*(-5/((-5/(((-5*(14.15--5))-(-5+((-5*14.15)*(((-5--5)+(14.15--5))+14.15))))-(-5+-5)))*-5)))/-5)--5)+(-5*(((14.15*(14.15-(-5/-5)))*(14.15-(14.15/(-5*14.15))))-(-5/-5)))))</f>
        <v>13790.746875</v>
      </c>
      <c r="C11416" t="n" s="0">
        <v>13790.746875000003</v>
      </c>
    </row>
    <row r="11417">
      <c r="A11417" t="n" s="0">
        <v>14.16</v>
      </c>
      <c r="B11417" t="n" s="0">
        <f>(-5-((((-5*(-5/((-5/(((-5*(14.16--5))-(-5+((-5*14.16)*(((-5--5)+(14.16--5))+14.16))))-(-5+-5)))*-5)))/-5)--5)+(-5*(((14.16*(14.16-(-5/-5)))*(14.16-(14.16/(-5*14.16))))-(-5/-5)))))</f>
        <v>13820.265279999998</v>
      </c>
      <c r="C11417" t="n" s="0">
        <v>13820.26528</v>
      </c>
    </row>
    <row r="11418">
      <c r="A11418" t="n" s="0">
        <v>14.17</v>
      </c>
      <c r="B11418" t="n" s="0">
        <f>(-5-((((-5*(-5/((-5/(((-5*(14.17--5))-(-5+((-5*14.17)*(((-5--5)+(14.17--5))+14.17))))-(-5+-5)))*-5)))/-5)--5)+(-5*(((14.17*(14.17-(-5/-5)))*(14.17-(14.17/(-5*14.17))))-(-5/-5)))))</f>
        <v>13849.825765000001</v>
      </c>
      <c r="C11418" t="n" s="0">
        <v>13849.825765</v>
      </c>
    </row>
    <row r="11419">
      <c r="A11419" t="n" s="0">
        <v>14.18</v>
      </c>
      <c r="B11419" t="n" s="0">
        <f>(-5-((((-5*(-5/((-5/(((-5*(14.18--5))-(-5+((-5*14.18)*(((-5--5)+(14.18--5))+14.18))))-(-5+-5)))*-5)))/-5)--5)+(-5*(((14.18*(14.18-(-5/-5)))*(14.18-(14.18/(-5*14.18))))-(-5/-5)))))</f>
        <v>13879.42836</v>
      </c>
      <c r="C11419" t="n" s="0">
        <v>13879.42836</v>
      </c>
    </row>
    <row r="11420">
      <c r="A11420" t="n" s="0">
        <v>14.19</v>
      </c>
      <c r="B11420" t="n" s="0">
        <f>(-5-((((-5*(-5/((-5/(((-5*(14.19--5))-(-5+((-5*14.19)*(((-5--5)+(14.19--5))+14.19))))-(-5+-5)))*-5)))/-5)--5)+(-5*(((14.19*(14.19-(-5/-5)))*(14.19-(14.19/(-5*14.19))))-(-5/-5)))))</f>
        <v>13909.073095000002</v>
      </c>
      <c r="C11420" t="n" s="0">
        <v>13909.073095</v>
      </c>
    </row>
    <row r="11421">
      <c r="A11421" t="n" s="0">
        <v>14.2</v>
      </c>
      <c r="B11421" t="n" s="0">
        <f>(-5-((((-5*(-5/((-5/(((-5*(14.2--5))-(-5+((-5*14.2)*(((-5--5)+(14.2--5))+14.2))))-(-5+-5)))*-5)))/-5)--5)+(-5*(((14.2*(14.2-(-5/-5)))*(14.2-(14.2/(-5*14.2))))-(-5/-5)))))</f>
        <v>13938.76</v>
      </c>
      <c r="C11421" t="n" s="0">
        <v>13938.759999999998</v>
      </c>
    </row>
    <row r="11422">
      <c r="A11422" t="n" s="0">
        <v>14.21</v>
      </c>
      <c r="B11422" t="n" s="0">
        <f>(-5-((((-5*(-5/((-5/(((-5*(14.21--5))-(-5+((-5*14.21)*(((-5--5)+(14.21--5))+14.21))))-(-5+-5)))*-5)))/-5)--5)+(-5*(((14.21*(14.21-(-5/-5)))*(14.21-(14.21/(-5*14.21))))-(-5/-5)))))</f>
        <v>13968.489104999999</v>
      </c>
      <c r="C11422" t="n" s="0">
        <v>13968.489105</v>
      </c>
    </row>
    <row r="11423">
      <c r="A11423" t="n" s="0">
        <v>14.22</v>
      </c>
      <c r="B11423" t="n" s="0">
        <f>(-5-((((-5*(-5/((-5/(((-5*(14.22--5))-(-5+((-5*14.22)*(((-5--5)+(14.22--5))+14.22))))-(-5+-5)))*-5)))/-5)--5)+(-5*(((14.22*(14.22-(-5/-5)))*(14.22-(14.22/(-5*14.22))))-(-5/-5)))))</f>
        <v>13998.260439999998</v>
      </c>
      <c r="C11423" t="n" s="0">
        <v>13998.260440000002</v>
      </c>
    </row>
    <row r="11424">
      <c r="A11424" t="n" s="0">
        <v>14.23</v>
      </c>
      <c r="B11424" t="n" s="0">
        <f>(-5-((((-5*(-5/((-5/(((-5*(14.23--5))-(-5+((-5*14.23)*(((-5--5)+(14.23--5))+14.23))))-(-5+-5)))*-5)))/-5)--5)+(-5*(((14.23*(14.23-(-5/-5)))*(14.23-(14.23/(-5*14.23))))-(-5/-5)))))</f>
        <v>14028.074034999998</v>
      </c>
      <c r="C11424" t="n" s="0">
        <v>14028.074035000001</v>
      </c>
    </row>
    <row r="11425">
      <c r="A11425" t="n" s="0">
        <v>14.24</v>
      </c>
      <c r="B11425" t="n" s="0">
        <f>(-5-((((-5*(-5/((-5/(((-5*(14.24--5))-(-5+((-5*14.24)*(((-5--5)+(14.24--5))+14.24))))-(-5+-5)))*-5)))/-5)--5)+(-5*(((14.24*(14.24-(-5/-5)))*(14.24-(14.24/(-5*14.24))))-(-5/-5)))))</f>
        <v>14057.929920000004</v>
      </c>
      <c r="C11425" t="n" s="0">
        <v>14057.92992</v>
      </c>
    </row>
    <row r="11426">
      <c r="A11426" t="n" s="0">
        <v>14.25</v>
      </c>
      <c r="B11426" t="n" s="0">
        <f>(-5-((((-5*(-5/((-5/(((-5*(14.25--5))-(-5+((-5*14.25)*(((-5--5)+(14.25--5))+14.25))))-(-5+-5)))*-5)))/-5)--5)+(-5*(((14.25*(14.25-(-5/-5)))*(14.25-(14.25/(-5*14.25))))-(-5/-5)))))</f>
        <v>14087.828125000002</v>
      </c>
      <c r="C11426" t="n" s="0">
        <v>14087.828125</v>
      </c>
    </row>
    <row r="11427">
      <c r="A11427" t="n" s="0">
        <v>14.26</v>
      </c>
      <c r="B11427" t="n" s="0">
        <f>(-5-((((-5*(-5/((-5/(((-5*(14.26--5))-(-5+((-5*14.26)*(((-5--5)+(14.26--5))+14.26))))-(-5+-5)))*-5)))/-5)--5)+(-5*(((14.26*(14.26-(-5/-5)))*(14.26-(14.26/(-5*14.26))))-(-5/-5)))))</f>
        <v>14117.76868</v>
      </c>
      <c r="C11427" t="n" s="0">
        <v>14117.76868</v>
      </c>
    </row>
    <row r="11428">
      <c r="A11428" t="n" s="0">
        <v>14.27</v>
      </c>
      <c r="B11428" t="n" s="0">
        <f>(-5-((((-5*(-5/((-5/(((-5*(14.27--5))-(-5+((-5*14.27)*(((-5--5)+(14.27--5))+14.27))))-(-5+-5)))*-5)))/-5)--5)+(-5*(((14.27*(14.27-(-5/-5)))*(14.27-(14.27/(-5*14.27))))-(-5/-5)))))</f>
        <v>14147.751614999996</v>
      </c>
      <c r="C11428" t="n" s="0">
        <v>14147.751615</v>
      </c>
    </row>
    <row r="11429">
      <c r="A11429" t="n" s="0">
        <v>14.28</v>
      </c>
      <c r="B11429" t="n" s="0">
        <f>(-5-((((-5*(-5/((-5/(((-5*(14.28--5))-(-5+((-5*14.28)*(((-5--5)+(14.28--5))+14.28))))-(-5+-5)))*-5)))/-5)--5)+(-5*(((14.28*(14.28-(-5/-5)))*(14.28-(14.28/(-5*14.28))))-(-5/-5)))))</f>
        <v>14177.77696</v>
      </c>
      <c r="C11429" t="n" s="0">
        <v>14177.77696</v>
      </c>
    </row>
    <row r="11430">
      <c r="A11430" t="n" s="0">
        <v>14.29</v>
      </c>
      <c r="B11430" t="n" s="0">
        <f>(-5-((((-5*(-5/((-5/(((-5*(14.29--5))-(-5+((-5*14.29)*(((-5--5)+(14.29--5))+14.29))))-(-5+-5)))*-5)))/-5)--5)+(-5*(((14.29*(14.29-(-5/-5)))*(14.29-(14.29/(-5*14.29))))-(-5/-5)))))</f>
        <v>14207.844744999999</v>
      </c>
      <c r="C11430" t="n" s="0">
        <v>14207.844744999999</v>
      </c>
    </row>
    <row r="11431">
      <c r="A11431" t="n" s="0">
        <v>14.3</v>
      </c>
      <c r="B11431" t="n" s="0">
        <f>(-5-((((-5*(-5/((-5/(((-5*(14.3--5))-(-5+((-5*14.3)*(((-5--5)+(14.3--5))+14.3))))-(-5+-5)))*-5)))/-5)--5)+(-5*(((14.3*(14.3-(-5/-5)))*(14.3-(14.3/(-5*14.3))))-(-5/-5)))))</f>
        <v>14237.954999999998</v>
      </c>
      <c r="C11431" t="n" s="0">
        <v>14237.955000000002</v>
      </c>
    </row>
    <row r="11432">
      <c r="A11432" t="n" s="0">
        <v>14.31</v>
      </c>
      <c r="B11432" t="n" s="0">
        <f>(-5-((((-5*(-5/((-5/(((-5*(14.31--5))-(-5+((-5*14.31)*(((-5--5)+(14.31--5))+14.31))))-(-5+-5)))*-5)))/-5)--5)+(-5*(((14.31*(14.31-(-5/-5)))*(14.31-(14.31/(-5*14.31))))-(-5/-5)))))</f>
        <v>14268.107754999995</v>
      </c>
      <c r="C11432" t="n" s="0">
        <v>14268.107755</v>
      </c>
    </row>
    <row r="11433">
      <c r="A11433" t="n" s="0">
        <v>14.32</v>
      </c>
      <c r="B11433" t="n" s="0">
        <f>(-5-((((-5*(-5/((-5/(((-5*(14.32--5))-(-5+((-5*14.32)*(((-5--5)+(14.32--5))+14.32))))-(-5+-5)))*-5)))/-5)--5)+(-5*(((14.32*(14.32-(-5/-5)))*(14.32-(14.32/(-5*14.32))))-(-5/-5)))))</f>
        <v>14298.30304</v>
      </c>
      <c r="C11433" t="n" s="0">
        <v>14298.30304</v>
      </c>
    </row>
    <row r="11434">
      <c r="A11434" t="n" s="0">
        <v>14.33</v>
      </c>
      <c r="B11434" t="n" s="0">
        <f>(-5-((((-5*(-5/((-5/(((-5*(14.33--5))-(-5+((-5*14.33)*(((-5--5)+(14.33--5))+14.33))))-(-5+-5)))*-5)))/-5)--5)+(-5*(((14.33*(14.33-(-5/-5)))*(14.33-(14.33/(-5*14.33))))-(-5/-5)))))</f>
        <v>14328.540885</v>
      </c>
      <c r="C11434" t="n" s="0">
        <v>14328.540885</v>
      </c>
    </row>
    <row r="11435">
      <c r="A11435" t="n" s="0">
        <v>14.34</v>
      </c>
      <c r="B11435" t="n" s="0">
        <f>(-5-((((-5*(-5/((-5/(((-5*(14.34--5))-(-5+((-5*14.34)*(((-5--5)+(14.34--5))+14.34))))-(-5+-5)))*-5)))/-5)--5)+(-5*(((14.34*(14.34-(-5/-5)))*(14.34-(14.34/(-5*14.34))))-(-5/-5)))))</f>
        <v>14358.82132</v>
      </c>
      <c r="C11435" t="n" s="0">
        <v>14358.821320000001</v>
      </c>
    </row>
    <row r="11436">
      <c r="A11436" t="n" s="0">
        <v>14.35</v>
      </c>
      <c r="B11436" t="n" s="0">
        <f>(-5-((((-5*(-5/((-5/(((-5*(14.35--5))-(-5+((-5*14.35)*(((-5--5)+(14.35--5))+14.35))))-(-5+-5)))*-5)))/-5)--5)+(-5*(((14.35*(14.35-(-5/-5)))*(14.35-(14.35/(-5*14.35))))-(-5/-5)))))</f>
        <v>14389.144375000002</v>
      </c>
      <c r="C11436" t="n" s="0">
        <v>14389.144374999998</v>
      </c>
    </row>
    <row r="11437">
      <c r="A11437" t="n" s="0">
        <v>14.36</v>
      </c>
      <c r="B11437" t="n" s="0">
        <f>(-5-((((-5*(-5/((-5/(((-5*(14.36--5))-(-5+((-5*14.36)*(((-5--5)+(14.36--5))+14.36))))-(-5+-5)))*-5)))/-5)--5)+(-5*(((14.36*(14.36-(-5/-5)))*(14.36-(14.36/(-5*14.36))))-(-5/-5)))))</f>
        <v>14419.510079999995</v>
      </c>
      <c r="C11437" t="n" s="0">
        <v>14419.510079999998</v>
      </c>
    </row>
    <row r="11438">
      <c r="A11438" t="n" s="0">
        <v>14.37</v>
      </c>
      <c r="B11438" t="n" s="0">
        <f>(-5-((((-5*(-5/((-5/(((-5*(14.37--5))-(-5+((-5*14.37)*(((-5--5)+(14.37--5))+14.37))))-(-5+-5)))*-5)))/-5)--5)+(-5*(((14.37*(14.37-(-5/-5)))*(14.37-(14.37/(-5*14.37))))-(-5/-5)))))</f>
        <v>14449.918464999999</v>
      </c>
      <c r="C11438" t="n" s="0">
        <v>14449.918464999997</v>
      </c>
    </row>
    <row r="11439">
      <c r="A11439" t="n" s="0">
        <v>14.38</v>
      </c>
      <c r="B11439" t="n" s="0">
        <f>(-5-((((-5*(-5/((-5/(((-5*(14.38--5))-(-5+((-5*14.38)*(((-5--5)+(14.38--5))+14.38))))-(-5+-5)))*-5)))/-5)--5)+(-5*(((14.38*(14.38-(-5/-5)))*(14.38-(14.38/(-5*14.38))))-(-5/-5)))))</f>
        <v>14480.36956</v>
      </c>
      <c r="C11439" t="n" s="0">
        <v>14480.36956</v>
      </c>
    </row>
    <row r="11440">
      <c r="A11440" t="n" s="0">
        <v>14.39</v>
      </c>
      <c r="B11440" t="n" s="0">
        <f>(-5-((((-5*(-5/((-5/(((-5*(14.39--5))-(-5+((-5*14.39)*(((-5--5)+(14.39--5))+14.39))))-(-5+-5)))*-5)))/-5)--5)+(-5*(((14.39*(14.39-(-5/-5)))*(14.39-(14.39/(-5*14.39))))-(-5/-5)))))</f>
        <v>14510.863395000002</v>
      </c>
      <c r="C11440" t="n" s="0">
        <v>14510.863395000002</v>
      </c>
    </row>
    <row r="11441">
      <c r="A11441" t="n" s="0">
        <v>14.4</v>
      </c>
      <c r="B11441" t="n" s="0">
        <f>(-5-((((-5*(-5/((-5/(((-5*(14.4--5))-(-5+((-5*14.4)*(((-5--5)+(14.4--5))+14.4))))-(-5+-5)))*-5)))/-5)--5)+(-5*(((14.4*(14.4-(-5/-5)))*(14.4-(14.4/(-5*14.4))))-(-5/-5)))))</f>
        <v>14541.4</v>
      </c>
      <c r="C11441" t="n" s="0">
        <v>14541.400000000003</v>
      </c>
    </row>
    <row r="11442">
      <c r="A11442" t="n" s="0">
        <v>14.41</v>
      </c>
      <c r="B11442" t="n" s="0">
        <f>(-5-((((-5*(-5/((-5/(((-5*(14.41--5))-(-5+((-5*14.41)*(((-5--5)+(14.41--5))+14.41))))-(-5+-5)))*-5)))/-5)--5)+(-5*(((14.41*(14.41-(-5/-5)))*(14.41-(14.41/(-5*14.41))))-(-5/-5)))))</f>
        <v>14571.979405000002</v>
      </c>
      <c r="C11442" t="n" s="0">
        <v>14571.979404999998</v>
      </c>
    </row>
    <row r="11443">
      <c r="A11443" t="n" s="0">
        <v>14.42</v>
      </c>
      <c r="B11443" t="n" s="0">
        <f>(-5-((((-5*(-5/((-5/(((-5*(14.42--5))-(-5+((-5*14.42)*(((-5--5)+(14.42--5))+14.42))))-(-5+-5)))*-5)))/-5)--5)+(-5*(((14.42*(14.42-(-5/-5)))*(14.42-(14.42/(-5*14.42))))-(-5/-5)))))</f>
        <v>14602.601639999997</v>
      </c>
      <c r="C11443" t="n" s="0">
        <v>14602.60164</v>
      </c>
    </row>
    <row r="11444">
      <c r="A11444" t="n" s="0">
        <v>14.43</v>
      </c>
      <c r="B11444" t="n" s="0">
        <f>(-5-((((-5*(-5/((-5/(((-5*(14.43--5))-(-5+((-5*14.43)*(((-5--5)+(14.43--5))+14.43))))-(-5+-5)))*-5)))/-5)--5)+(-5*(((14.43*(14.43-(-5/-5)))*(14.43-(14.43/(-5*14.43))))-(-5/-5)))))</f>
        <v>14633.266735000003</v>
      </c>
      <c r="C11444" t="n" s="0">
        <v>14633.266735</v>
      </c>
    </row>
    <row r="11445">
      <c r="A11445" t="n" s="0">
        <v>14.44</v>
      </c>
      <c r="B11445" t="n" s="0">
        <f>(-5-((((-5*(-5/((-5/(((-5*(14.44--5))-(-5+((-5*14.44)*(((-5--5)+(14.44--5))+14.44))))-(-5+-5)))*-5)))/-5)--5)+(-5*(((14.44*(14.44-(-5/-5)))*(14.44-(14.44/(-5*14.44))))-(-5/-5)))))</f>
        <v>14663.974720000002</v>
      </c>
      <c r="C11445" t="n" s="0">
        <v>14663.974719999998</v>
      </c>
    </row>
    <row r="11446">
      <c r="A11446" t="n" s="0">
        <v>14.45</v>
      </c>
      <c r="B11446" t="n" s="0">
        <f>(-5-((((-5*(-5/((-5/(((-5*(14.45--5))-(-5+((-5*14.45)*(((-5--5)+(14.45--5))+14.45))))-(-5+-5)))*-5)))/-5)--5)+(-5*(((14.45*(14.45-(-5/-5)))*(14.45-(14.45/(-5*14.45))))-(-5/-5)))))</f>
        <v>14694.725625</v>
      </c>
      <c r="C11446" t="n" s="0">
        <v>14694.725624999997</v>
      </c>
    </row>
    <row r="11447">
      <c r="A11447" t="n" s="0">
        <v>14.46</v>
      </c>
      <c r="B11447" t="n" s="0">
        <f>(-5-((((-5*(-5/((-5/(((-5*(14.46--5))-(-5+((-5*14.46)*(((-5--5)+(14.46--5))+14.46))))-(-5+-5)))*-5)))/-5)--5)+(-5*(((14.46*(14.46-(-5/-5)))*(14.46-(14.46/(-5*14.46))))-(-5/-5)))))</f>
        <v>14725.519479999999</v>
      </c>
      <c r="C11447" t="n" s="0">
        <v>14725.51948</v>
      </c>
    </row>
    <row r="11448">
      <c r="A11448" t="n" s="0">
        <v>14.47</v>
      </c>
      <c r="B11448" t="n" s="0">
        <f>(-5-((((-5*(-5/((-5/(((-5*(14.47--5))-(-5+((-5*14.47)*(((-5--5)+(14.47--5))+14.47))))-(-5+-5)))*-5)))/-5)--5)+(-5*(((14.47*(14.47-(-5/-5)))*(14.47-(14.47/(-5*14.47))))-(-5/-5)))))</f>
        <v>14756.356314999997</v>
      </c>
      <c r="C11448" t="n" s="0">
        <v>14756.356315</v>
      </c>
    </row>
    <row r="11449">
      <c r="A11449" t="n" s="0">
        <v>14.48</v>
      </c>
      <c r="B11449" t="n" s="0">
        <f>(-5-((((-5*(-5/((-5/(((-5*(14.48--5))-(-5+((-5*14.48)*(((-5--5)+(14.48--5))+14.48))))-(-5+-5)))*-5)))/-5)--5)+(-5*(((14.48*(14.48-(-5/-5)))*(14.48-(14.48/(-5*14.48))))-(-5/-5)))))</f>
        <v>14787.236160000004</v>
      </c>
      <c r="C11449" t="n" s="0">
        <v>14787.236160000002</v>
      </c>
    </row>
    <row r="11450">
      <c r="A11450" t="n" s="0">
        <v>14.49</v>
      </c>
      <c r="B11450" t="n" s="0">
        <f>(-5-((((-5*(-5/((-5/(((-5*(14.49--5))-(-5+((-5*14.49)*(((-5--5)+(14.49--5))+14.49))))-(-5+-5)))*-5)))/-5)--5)+(-5*(((14.49*(14.49-(-5/-5)))*(14.49-(14.49/(-5*14.49))))-(-5/-5)))))</f>
        <v>14818.159044999999</v>
      </c>
      <c r="C11450" t="n" s="0">
        <v>14818.159044999999</v>
      </c>
    </row>
    <row r="11451">
      <c r="A11451" t="n" s="0">
        <v>14.5</v>
      </c>
      <c r="B11451" t="n" s="0">
        <f>(-5-((((-5*(-5/((-5/(((-5*(14.5--5))-(-5+((-5*14.5)*(((-5--5)+(14.5--5))+14.5))))-(-5+-5)))*-5)))/-5)--5)+(-5*(((14.5*(14.5-(-5/-5)))*(14.5-(14.5/(-5*14.5))))-(-5/-5)))))</f>
        <v>14849.125</v>
      </c>
      <c r="C11451" t="n" s="0">
        <v>14849.125</v>
      </c>
    </row>
    <row r="11452">
      <c r="A11452" t="n" s="0">
        <v>14.51</v>
      </c>
      <c r="B11452" t="n" s="0">
        <f>(-5-((((-5*(-5/((-5/(((-5*(14.51--5))-(-5+((-5*14.51)*(((-5--5)+(14.51--5))+14.51))))-(-5+-5)))*-5)))/-5)--5)+(-5*(((14.51*(14.51-(-5/-5)))*(14.51-(14.51/(-5*14.51))))-(-5/-5)))))</f>
        <v>14880.134054999997</v>
      </c>
      <c r="C11452" t="n" s="0">
        <v>14880.134055</v>
      </c>
    </row>
    <row r="11453">
      <c r="A11453" t="n" s="0">
        <v>14.52</v>
      </c>
      <c r="B11453" t="n" s="0">
        <f>(-5-((((-5*(-5/((-5/(((-5*(14.52--5))-(-5+((-5*14.52)*(((-5--5)+(14.52--5))+14.52))))-(-5+-5)))*-5)))/-5)--5)+(-5*(((14.52*(14.52-(-5/-5)))*(14.52-(14.52/(-5*14.52))))-(-5/-5)))))</f>
        <v>14911.18624</v>
      </c>
      <c r="C11453" t="n" s="0">
        <v>14911.186239999999</v>
      </c>
    </row>
    <row r="11454">
      <c r="A11454" t="n" s="0">
        <v>14.53</v>
      </c>
      <c r="B11454" t="n" s="0">
        <f>(-5-((((-5*(-5/((-5/(((-5*(14.53--5))-(-5+((-5*14.53)*(((-5--5)+(14.53--5))+14.53))))-(-5+-5)))*-5)))/-5)--5)+(-5*(((14.53*(14.53-(-5/-5)))*(14.53-(14.53/(-5*14.53))))-(-5/-5)))))</f>
        <v>14942.281585</v>
      </c>
      <c r="C11454" t="n" s="0">
        <v>14942.281584999999</v>
      </c>
    </row>
    <row r="11455">
      <c r="A11455" t="n" s="0">
        <v>14.54</v>
      </c>
      <c r="B11455" t="n" s="0">
        <f>(-5-((((-5*(-5/((-5/(((-5*(14.54--5))-(-5+((-5*14.54)*(((-5--5)+(14.54--5))+14.54))))-(-5+-5)))*-5)))/-5)--5)+(-5*(((14.54*(14.54-(-5/-5)))*(14.54-(14.54/(-5*14.54))))-(-5/-5)))))</f>
        <v>14973.420120000002</v>
      </c>
      <c r="C11455" t="n" s="0">
        <v>14973.420119999999</v>
      </c>
    </row>
    <row r="11456">
      <c r="A11456" t="n" s="0">
        <v>14.55</v>
      </c>
      <c r="B11456" t="n" s="0">
        <f>(-5-((((-5*(-5/((-5/(((-5*(14.55--5))-(-5+((-5*14.55)*(((-5--5)+(14.55--5))+14.55))))-(-5+-5)))*-5)))/-5)--5)+(-5*(((14.55*(14.55-(-5/-5)))*(14.55-(14.55/(-5*14.55))))-(-5/-5)))))</f>
        <v>15004.601874999998</v>
      </c>
      <c r="C11456" t="n" s="0">
        <v>15004.601875</v>
      </c>
    </row>
    <row r="11457">
      <c r="A11457" t="n" s="0">
        <v>14.56</v>
      </c>
      <c r="B11457" t="n" s="0">
        <f>(-5-((((-5*(-5/((-5/(((-5*(14.56--5))-(-5+((-5*14.56)*(((-5--5)+(14.56--5))+14.56))))-(-5+-5)))*-5)))/-5)--5)+(-5*(((14.56*(14.56-(-5/-5)))*(14.56-(14.56/(-5*14.56))))-(-5/-5)))))</f>
        <v>15035.82688</v>
      </c>
      <c r="C11457" t="n" s="0">
        <v>15035.826880000002</v>
      </c>
    </row>
    <row r="11458">
      <c r="A11458" t="n" s="0">
        <v>14.57</v>
      </c>
      <c r="B11458" t="n" s="0">
        <f>(-5-((((-5*(-5/((-5/(((-5*(14.57--5))-(-5+((-5*14.57)*(((-5--5)+(14.57--5))+14.57))))-(-5+-5)))*-5)))/-5)--5)+(-5*(((14.57*(14.57-(-5/-5)))*(14.57-(14.57/(-5*14.57))))-(-5/-5)))))</f>
        <v>15067.095165</v>
      </c>
      <c r="C11458" t="n" s="0">
        <v>15067.095165</v>
      </c>
    </row>
    <row r="11459">
      <c r="A11459" t="n" s="0">
        <v>14.58</v>
      </c>
      <c r="B11459" t="n" s="0">
        <f>(-5-((((-5*(-5/((-5/(((-5*(14.58--5))-(-5+((-5*14.58)*(((-5--5)+(14.58--5))+14.58))))-(-5+-5)))*-5)))/-5)--5)+(-5*(((14.58*(14.58-(-5/-5)))*(14.58-(14.58/(-5*14.58))))-(-5/-5)))))</f>
        <v>15098.406760000002</v>
      </c>
      <c r="C11459" t="n" s="0">
        <v>15098.406760000002</v>
      </c>
    </row>
    <row r="11460">
      <c r="A11460" t="n" s="0">
        <v>14.59</v>
      </c>
      <c r="B11460" t="n" s="0">
        <f>(-5-((((-5*(-5/((-5/(((-5*(14.59--5))-(-5+((-5*14.59)*(((-5--5)+(14.59--5))+14.59))))-(-5+-5)))*-5)))/-5)--5)+(-5*(((14.59*(14.59-(-5/-5)))*(14.59-(14.59/(-5*14.59))))-(-5/-5)))))</f>
        <v>15129.761695</v>
      </c>
      <c r="C11460" t="n" s="0">
        <v>15129.761695000001</v>
      </c>
    </row>
    <row r="11461">
      <c r="A11461" t="n" s="0">
        <v>14.6</v>
      </c>
      <c r="B11461" t="n" s="0">
        <f>(-5-((((-5*(-5/((-5/(((-5*(14.6--5))-(-5+((-5*14.6)*(((-5--5)+(14.6--5))+14.6))))-(-5+-5)))*-5)))/-5)--5)+(-5*(((14.6*(14.6-(-5/-5)))*(14.6-(14.6/(-5*14.6))))-(-5/-5)))))</f>
        <v>15161.159999999996</v>
      </c>
      <c r="C11461" t="n" s="0">
        <v>15161.16</v>
      </c>
    </row>
    <row r="11462">
      <c r="A11462" t="n" s="0">
        <v>14.61</v>
      </c>
      <c r="B11462" t="n" s="0">
        <f>(-5-((((-5*(-5/((-5/(((-5*(14.61--5))-(-5+((-5*14.61)*(((-5--5)+(14.61--5))+14.61))))-(-5+-5)))*-5)))/-5)--5)+(-5*(((14.61*(14.61-(-5/-5)))*(14.61-(14.61/(-5*14.61))))-(-5/-5)))))</f>
        <v>15192.601704999995</v>
      </c>
      <c r="C11462" t="n" s="0">
        <v>15192.601705</v>
      </c>
    </row>
    <row r="11463">
      <c r="A11463" t="n" s="0">
        <v>14.62</v>
      </c>
      <c r="B11463" t="n" s="0">
        <f>(-5-((((-5*(-5/((-5/(((-5*(14.62--5))-(-5+((-5*14.62)*(((-5--5)+(14.62--5))+14.62))))-(-5+-5)))*-5)))/-5)--5)+(-5*(((14.62*(14.62-(-5/-5)))*(14.62-(14.62/(-5*14.62))))-(-5/-5)))))</f>
        <v>15224.08684</v>
      </c>
      <c r="C11463" t="n" s="0">
        <v>15224.086839999998</v>
      </c>
    </row>
    <row r="11464">
      <c r="A11464" t="n" s="0">
        <v>14.63</v>
      </c>
      <c r="B11464" t="n" s="0">
        <f>(-5-((((-5*(-5/((-5/(((-5*(14.63--5))-(-5+((-5*14.63)*(((-5--5)+(14.63--5))+14.63))))-(-5+-5)))*-5)))/-5)--5)+(-5*(((14.63*(14.63-(-5/-5)))*(14.63-(14.63/(-5*14.63))))-(-5/-5)))))</f>
        <v>15255.615435</v>
      </c>
      <c r="C11464" t="n" s="0">
        <v>15255.615435000002</v>
      </c>
    </row>
    <row r="11465">
      <c r="A11465" t="n" s="0">
        <v>14.64</v>
      </c>
      <c r="B11465" t="n" s="0">
        <f>(-5-((((-5*(-5/((-5/(((-5*(14.64--5))-(-5+((-5*14.64)*(((-5--5)+(14.64--5))+14.64))))-(-5+-5)))*-5)))/-5)--5)+(-5*(((14.64*(14.64-(-5/-5)))*(14.64-(14.64/(-5*14.64))))-(-5/-5)))))</f>
        <v>15287.18752</v>
      </c>
      <c r="C11465" t="n" s="0">
        <v>15287.187520000001</v>
      </c>
    </row>
    <row r="11466">
      <c r="A11466" t="n" s="0">
        <v>14.65</v>
      </c>
      <c r="B11466" t="n" s="0">
        <f>(-5-((((-5*(-5/((-5/(((-5*(14.65--5))-(-5+((-5*14.65)*(((-5--5)+(14.65--5))+14.65))))-(-5+-5)))*-5)))/-5)--5)+(-5*(((14.65*(14.65-(-5/-5)))*(14.65-(14.65/(-5*14.65))))-(-5/-5)))))</f>
        <v>15318.803125</v>
      </c>
      <c r="C11466" t="n" s="0">
        <v>15318.803125</v>
      </c>
    </row>
    <row r="11467">
      <c r="A11467" t="n" s="0">
        <v>14.66</v>
      </c>
      <c r="B11467" t="n" s="0">
        <f>(-5-((((-5*(-5/((-5/(((-5*(14.66--5))-(-5+((-5*14.66)*(((-5--5)+(14.66--5))+14.66))))-(-5+-5)))*-5)))/-5)--5)+(-5*(((14.66*(14.66-(-5/-5)))*(14.66-(14.66/(-5*14.66))))-(-5/-5)))))</f>
        <v>15350.46228</v>
      </c>
      <c r="C11467" t="n" s="0">
        <v>15350.462279999998</v>
      </c>
    </row>
    <row r="11468">
      <c r="A11468" t="n" s="0">
        <v>14.67</v>
      </c>
      <c r="B11468" t="n" s="0">
        <f>(-5-((((-5*(-5/((-5/(((-5*(14.67--5))-(-5+((-5*14.67)*(((-5--5)+(14.67--5))+14.67))))-(-5+-5)))*-5)))/-5)--5)+(-5*(((14.67*(14.67-(-5/-5)))*(14.67-(14.67/(-5*14.67))))-(-5/-5)))))</f>
        <v>15382.165015000002</v>
      </c>
      <c r="C11468" t="n" s="0">
        <v>15382.165015</v>
      </c>
    </row>
    <row r="11469">
      <c r="A11469" t="n" s="0">
        <v>14.68</v>
      </c>
      <c r="B11469" t="n" s="0">
        <f>(-5-((((-5*(-5/((-5/(((-5*(14.68--5))-(-5+((-5*14.68)*(((-5--5)+(14.68--5))+14.68))))-(-5+-5)))*-5)))/-5)--5)+(-5*(((14.68*(14.68-(-5/-5)))*(14.68-(14.68/(-5*14.68))))-(-5/-5)))))</f>
        <v>15413.911360000002</v>
      </c>
      <c r="C11469" t="n" s="0">
        <v>15413.911359999998</v>
      </c>
    </row>
    <row r="11470">
      <c r="A11470" t="n" s="0">
        <v>14.69</v>
      </c>
      <c r="B11470" t="n" s="0">
        <f>(-5-((((-5*(-5/((-5/(((-5*(14.69--5))-(-5+((-5*14.69)*(((-5--5)+(14.69--5))+14.69))))-(-5+-5)))*-5)))/-5)--5)+(-5*(((14.69*(14.69-(-5/-5)))*(14.69-(14.69/(-5*14.69))))-(-5/-5)))))</f>
        <v>15445.701344999998</v>
      </c>
      <c r="C11470" t="n" s="0">
        <v>15445.701345</v>
      </c>
    </row>
    <row r="11471">
      <c r="A11471" t="n" s="0">
        <v>14.7</v>
      </c>
      <c r="B11471" t="n" s="0">
        <f>(-5-((((-5*(-5/((-5/(((-5*(14.7--5))-(-5+((-5*14.7)*(((-5--5)+(14.7--5))+14.7))))-(-5+-5)))*-5)))/-5)--5)+(-5*(((14.7*(14.7-(-5/-5)))*(14.7-(14.7/(-5*14.7))))-(-5/-5)))))</f>
        <v>15477.534999999998</v>
      </c>
      <c r="C11471" t="n" s="0">
        <v>15477.534999999998</v>
      </c>
    </row>
    <row r="11472">
      <c r="A11472" t="n" s="0">
        <v>14.71</v>
      </c>
      <c r="B11472" t="n" s="0">
        <f>(-5-((((-5*(-5/((-5/(((-5*(14.71--5))-(-5+((-5*14.71)*(((-5--5)+(14.71--5))+14.71))))-(-5+-5)))*-5)))/-5)--5)+(-5*(((14.71*(14.71-(-5/-5)))*(14.71-(14.71/(-5*14.71))))-(-5/-5)))))</f>
        <v>15509.412354999999</v>
      </c>
      <c r="C11472" t="n" s="0">
        <v>15509.412355</v>
      </c>
    </row>
    <row r="11473">
      <c r="A11473" t="n" s="0">
        <v>14.72</v>
      </c>
      <c r="B11473" t="n" s="0">
        <f>(-5-((((-5*(-5/((-5/(((-5*(14.72--5))-(-5+((-5*14.72)*(((-5--5)+(14.72--5))+14.72))))-(-5+-5)))*-5)))/-5)--5)+(-5*(((14.72*(14.72-(-5/-5)))*(14.72-(14.72/(-5*14.72))))-(-5/-5)))))</f>
        <v>15541.333440000002</v>
      </c>
      <c r="C11473" t="n" s="0">
        <v>15541.33344</v>
      </c>
    </row>
    <row r="11474">
      <c r="A11474" t="n" s="0">
        <v>14.73</v>
      </c>
      <c r="B11474" t="n" s="0">
        <f>(-5-((((-5*(-5/((-5/(((-5*(14.73--5))-(-5+((-5*14.73)*(((-5--5)+(14.73--5))+14.73))))-(-5+-5)))*-5)))/-5)--5)+(-5*(((14.73*(14.73-(-5/-5)))*(14.73-(14.73/(-5*14.73))))-(-5/-5)))))</f>
        <v>15573.298284999997</v>
      </c>
      <c r="C11474" t="n" s="0">
        <v>15573.298285000003</v>
      </c>
    </row>
    <row r="11475">
      <c r="A11475" t="n" s="0">
        <v>14.74</v>
      </c>
      <c r="B11475" t="n" s="0">
        <f>(-5-((((-5*(-5/((-5/(((-5*(14.74--5))-(-5+((-5*14.74)*(((-5--5)+(14.74--5))+14.74))))-(-5+-5)))*-5)))/-5)--5)+(-5*(((14.74*(14.74-(-5/-5)))*(14.74-(14.74/(-5*14.74))))-(-5/-5)))))</f>
        <v>15605.306919999999</v>
      </c>
      <c r="C11475" t="n" s="0">
        <v>15605.306919999999</v>
      </c>
    </row>
    <row r="11476">
      <c r="A11476" t="n" s="0">
        <v>14.75</v>
      </c>
      <c r="B11476" t="n" s="0">
        <f>(-5-((((-5*(-5/((-5/(((-5*(14.75--5))-(-5+((-5*14.75)*(((-5--5)+(14.75--5))+14.75))))-(-5+-5)))*-5)))/-5)--5)+(-5*(((14.75*(14.75-(-5/-5)))*(14.75-(14.75/(-5*14.75))))-(-5/-5)))))</f>
        <v>15637.359374999996</v>
      </c>
      <c r="C11476" t="n" s="0">
        <v>15637.359375</v>
      </c>
    </row>
    <row r="11477">
      <c r="A11477" t="n" s="0">
        <v>14.76</v>
      </c>
      <c r="B11477" t="n" s="0">
        <f>(-5-((((-5*(-5/((-5/(((-5*(14.76--5))-(-5+((-5*14.76)*(((-5--5)+(14.76--5))+14.76))))-(-5+-5)))*-5)))/-5)--5)+(-5*(((14.76*(14.76-(-5/-5)))*(14.76-(14.76/(-5*14.76))))-(-5/-5)))))</f>
        <v>15669.455679999997</v>
      </c>
      <c r="C11477" t="n" s="0">
        <v>15669.45568</v>
      </c>
    </row>
    <row r="11478">
      <c r="A11478" t="n" s="0">
        <v>14.77</v>
      </c>
      <c r="B11478" t="n" s="0">
        <f>(-5-((((-5*(-5/((-5/(((-5*(14.77--5))-(-5+((-5*14.77)*(((-5--5)+(14.77--5))+14.77))))-(-5+-5)))*-5)))/-5)--5)+(-5*(((14.77*(14.77-(-5/-5)))*(14.77-(14.77/(-5*14.77))))-(-5/-5)))))</f>
        <v>15701.595865000003</v>
      </c>
      <c r="C11478" t="n" s="0">
        <v>15701.595865</v>
      </c>
    </row>
    <row r="11479">
      <c r="A11479" t="n" s="0">
        <v>14.78</v>
      </c>
      <c r="B11479" t="n" s="0">
        <f>(-5-((((-5*(-5/((-5/(((-5*(14.78--5))-(-5+((-5*14.78)*(((-5--5)+(14.78--5))+14.78))))-(-5+-5)))*-5)))/-5)--5)+(-5*(((14.78*(14.78-(-5/-5)))*(14.78-(14.78/(-5*14.78))))-(-5/-5)))))</f>
        <v>15733.779960000002</v>
      </c>
      <c r="C11479" t="n" s="0">
        <v>15733.779959999998</v>
      </c>
    </row>
    <row r="11480">
      <c r="A11480" t="n" s="0">
        <v>14.79</v>
      </c>
      <c r="B11480" t="n" s="0">
        <f>(-5-((((-5*(-5/((-5/(((-5*(14.79--5))-(-5+((-5*14.79)*(((-5--5)+(14.79--5))+14.79))))-(-5+-5)))*-5)))/-5)--5)+(-5*(((14.79*(14.79-(-5/-5)))*(14.79-(14.79/(-5*14.79))))-(-5/-5)))))</f>
        <v>15766.007995</v>
      </c>
      <c r="C11480" t="n" s="0">
        <v>15766.007994999998</v>
      </c>
    </row>
    <row r="11481">
      <c r="A11481" t="n" s="0">
        <v>14.8</v>
      </c>
      <c r="B11481" t="n" s="0">
        <f>(-5-((((-5*(-5/((-5/(((-5*(14.8--5))-(-5+((-5*14.8)*(((-5--5)+(14.8--5))+14.8))))-(-5+-5)))*-5)))/-5)--5)+(-5*(((14.8*(14.8-(-5/-5)))*(14.8-(14.8/(-5*14.8))))-(-5/-5)))))</f>
        <v>15798.28</v>
      </c>
      <c r="C11481" t="n" s="0">
        <v>15798.280000000002</v>
      </c>
    </row>
    <row r="11482">
      <c r="A11482" t="n" s="0">
        <v>14.81</v>
      </c>
      <c r="B11482" t="n" s="0">
        <f>(-5-((((-5*(-5/((-5/(((-5*(14.81--5))-(-5+((-5*14.81)*(((-5--5)+(14.81--5))+14.81))))-(-5+-5)))*-5)))/-5)--5)+(-5*(((14.81*(14.81-(-5/-5)))*(14.81-(14.81/(-5*14.81))))-(-5/-5)))))</f>
        <v>15830.596005</v>
      </c>
      <c r="C11482" t="n" s="0">
        <v>15830.596005000001</v>
      </c>
    </row>
    <row r="11483">
      <c r="A11483" t="n" s="0">
        <v>14.82</v>
      </c>
      <c r="B11483" t="n" s="0">
        <f>(-5-((((-5*(-5/((-5/(((-5*(14.82--5))-(-5+((-5*14.82)*(((-5--5)+(14.82--5))+14.82))))-(-5+-5)))*-5)))/-5)--5)+(-5*(((14.82*(14.82-(-5/-5)))*(14.82-(14.82/(-5*14.82))))-(-5/-5)))))</f>
        <v>15862.95604</v>
      </c>
      <c r="C11483" t="n" s="0">
        <v>15862.95604</v>
      </c>
    </row>
    <row r="11484">
      <c r="A11484" t="n" s="0">
        <v>14.83</v>
      </c>
      <c r="B11484" t="n" s="0">
        <f>(-5-((((-5*(-5/((-5/(((-5*(14.83--5))-(-5+((-5*14.83)*(((-5--5)+(14.83--5))+14.83))))-(-5+-5)))*-5)))/-5)--5)+(-5*(((14.83*(14.83-(-5/-5)))*(14.83-(14.83/(-5*14.83))))-(-5/-5)))))</f>
        <v>15895.360135</v>
      </c>
      <c r="C11484" t="n" s="0">
        <v>15895.360135</v>
      </c>
    </row>
    <row r="11485">
      <c r="A11485" t="n" s="0">
        <v>14.84</v>
      </c>
      <c r="B11485" t="n" s="0">
        <f>(-5-((((-5*(-5/((-5/(((-5*(14.84--5))-(-5+((-5*14.84)*(((-5--5)+(14.84--5))+14.84))))-(-5+-5)))*-5)))/-5)--5)+(-5*(((14.84*(14.84-(-5/-5)))*(14.84-(14.84/(-5*14.84))))-(-5/-5)))))</f>
        <v>15927.80832</v>
      </c>
      <c r="C11485" t="n" s="0">
        <v>15927.80832</v>
      </c>
    </row>
    <row r="11486">
      <c r="A11486" t="n" s="0">
        <v>14.85</v>
      </c>
      <c r="B11486" t="n" s="0">
        <f>(-5-((((-5*(-5/((-5/(((-5*(14.85--5))-(-5+((-5*14.85)*(((-5--5)+(14.85--5))+14.85))))-(-5+-5)))*-5)))/-5)--5)+(-5*(((14.85*(14.85-(-5/-5)))*(14.85-(14.85/(-5*14.85))))-(-5/-5)))))</f>
        <v>15960.300625</v>
      </c>
      <c r="C11486" t="n" s="0">
        <v>15960.300624999998</v>
      </c>
    </row>
    <row r="11487">
      <c r="A11487" t="n" s="0">
        <v>14.86</v>
      </c>
      <c r="B11487" t="n" s="0">
        <f>(-5-((((-5*(-5/((-5/(((-5*(14.86--5))-(-5+((-5*14.86)*(((-5--5)+(14.86--5))+14.86))))-(-5+-5)))*-5)))/-5)--5)+(-5*(((14.86*(14.86-(-5/-5)))*(14.86-(14.86/(-5*14.86))))-(-5/-5)))))</f>
        <v>15992.837080000001</v>
      </c>
      <c r="C11487" t="n" s="0">
        <v>15992.837079999998</v>
      </c>
    </row>
    <row r="11488">
      <c r="A11488" t="n" s="0">
        <v>14.87</v>
      </c>
      <c r="B11488" t="n" s="0">
        <f>(-5-((((-5*(-5/((-5/(((-5*(14.87--5))-(-5+((-5*14.87)*(((-5--5)+(14.87--5))+14.87))))-(-5+-5)))*-5)))/-5)--5)+(-5*(((14.87*(14.87-(-5/-5)))*(14.87-(14.87/(-5*14.87))))-(-5/-5)))))</f>
        <v>16025.417715</v>
      </c>
      <c r="C11488" t="n" s="0">
        <v>16025.417714999998</v>
      </c>
    </row>
    <row r="11489">
      <c r="A11489" t="n" s="0">
        <v>14.88</v>
      </c>
      <c r="B11489" t="n" s="0">
        <f>(-5-((((-5*(-5/((-5/(((-5*(14.88--5))-(-5+((-5*14.88)*(((-5--5)+(14.88--5))+14.88))))-(-5+-5)))*-5)))/-5)--5)+(-5*(((14.88*(14.88-(-5/-5)))*(14.88-(14.88/(-5*14.88))))-(-5/-5)))))</f>
        <v>16058.04256</v>
      </c>
      <c r="C11489" t="n" s="0">
        <v>16058.042560000002</v>
      </c>
    </row>
    <row r="11490">
      <c r="A11490" t="n" s="0">
        <v>14.89</v>
      </c>
      <c r="B11490" t="n" s="0">
        <f>(-5-((((-5*(-5/((-5/(((-5*(14.89--5))-(-5+((-5*14.89)*(((-5--5)+(14.89--5))+14.89))))-(-5+-5)))*-5)))/-5)--5)+(-5*(((14.89*(14.89-(-5/-5)))*(14.89-(14.89/(-5*14.89))))-(-5/-5)))))</f>
        <v>16090.711644999998</v>
      </c>
      <c r="C11490" t="n" s="0">
        <v>16090.711645000003</v>
      </c>
    </row>
    <row r="11491">
      <c r="A11491" t="n" s="0">
        <v>14.9</v>
      </c>
      <c r="B11491" t="n" s="0">
        <f>(-5-((((-5*(-5/((-5/(((-5*(14.9--5))-(-5+((-5*14.9)*(((-5--5)+(14.9--5))+14.9))))-(-5+-5)))*-5)))/-5)--5)+(-5*(((14.9*(14.9-(-5/-5)))*(14.9-(14.9/(-5*14.9))))-(-5/-5)))))</f>
        <v>16123.425000000001</v>
      </c>
      <c r="C11491" t="n" s="0">
        <v>16123.425</v>
      </c>
    </row>
    <row r="11492">
      <c r="A11492" t="n" s="0">
        <v>14.91</v>
      </c>
      <c r="B11492" t="n" s="0">
        <f>(-5-((((-5*(-5/((-5/(((-5*(14.91--5))-(-5+((-5*14.91)*(((-5--5)+(14.91--5))+14.91))))-(-5+-5)))*-5)))/-5)--5)+(-5*(((14.91*(14.91-(-5/-5)))*(14.91-(14.91/(-5*14.91))))-(-5/-5)))))</f>
        <v>16156.182655</v>
      </c>
      <c r="C11492" t="n" s="0">
        <v>16156.182655</v>
      </c>
    </row>
    <row r="11493">
      <c r="A11493" t="n" s="0">
        <v>14.92</v>
      </c>
      <c r="B11493" t="n" s="0">
        <f>(-5-((((-5*(-5/((-5/(((-5*(14.92--5))-(-5+((-5*14.92)*(((-5--5)+(14.92--5))+14.92))))-(-5+-5)))*-5)))/-5)--5)+(-5*(((14.92*(14.92-(-5/-5)))*(14.92-(14.92/(-5*14.92))))-(-5/-5)))))</f>
        <v>16188.984639999999</v>
      </c>
      <c r="C11493" t="n" s="0">
        <v>16188.984640000002</v>
      </c>
    </row>
    <row r="11494">
      <c r="A11494" t="n" s="0">
        <v>14.93</v>
      </c>
      <c r="B11494" t="n" s="0">
        <f>(-5-((((-5*(-5/((-5/(((-5*(14.93--5))-(-5+((-5*14.93)*(((-5--5)+(14.93--5))+14.93))))-(-5+-5)))*-5)))/-5)--5)+(-5*(((14.93*(14.93-(-5/-5)))*(14.93-(14.93/(-5*14.93))))-(-5/-5)))))</f>
        <v>16221.830985</v>
      </c>
      <c r="C11494" t="n" s="0">
        <v>16221.830985</v>
      </c>
    </row>
    <row r="11495">
      <c r="A11495" t="n" s="0">
        <v>14.94</v>
      </c>
      <c r="B11495" t="n" s="0">
        <f>(-5-((((-5*(-5/((-5/(((-5*(14.94--5))-(-5+((-5*14.94)*(((-5--5)+(14.94--5))+14.94))))-(-5+-5)))*-5)))/-5)--5)+(-5*(((14.94*(14.94-(-5/-5)))*(14.94-(14.94/(-5*14.94))))-(-5/-5)))))</f>
        <v>16254.72172</v>
      </c>
      <c r="C11495" t="n" s="0">
        <v>16254.721719999996</v>
      </c>
    </row>
    <row r="11496">
      <c r="A11496" t="n" s="0">
        <v>14.95</v>
      </c>
      <c r="B11496" t="n" s="0">
        <f>(-5-((((-5*(-5/((-5/(((-5*(14.95--5))-(-5+((-5*14.95)*(((-5--5)+(14.95--5))+14.95))))-(-5+-5)))*-5)))/-5)--5)+(-5*(((14.95*(14.95-(-5/-5)))*(14.95-(14.95/(-5*14.95))))-(-5/-5)))))</f>
        <v>16287.656875000002</v>
      </c>
      <c r="C11496" t="n" s="0">
        <v>16287.656875</v>
      </c>
    </row>
    <row r="11497">
      <c r="A11497" t="n" s="0">
        <v>14.96</v>
      </c>
      <c r="B11497" t="n" s="0">
        <f>(-5-((((-5*(-5/((-5/(((-5*(14.96--5))-(-5+((-5*14.96)*(((-5--5)+(14.96--5))+14.96))))-(-5+-5)))*-5)))/-5)--5)+(-5*(((14.96*(14.96-(-5/-5)))*(14.96-(14.96/(-5*14.96))))-(-5/-5)))))</f>
        <v>16320.63648</v>
      </c>
      <c r="C11497" t="n" s="0">
        <v>16320.636480000005</v>
      </c>
    </row>
    <row r="11498">
      <c r="A11498" t="n" s="0">
        <v>14.97</v>
      </c>
      <c r="B11498" t="n" s="0">
        <f>(-5-((((-5*(-5/((-5/(((-5*(14.97--5))-(-5+((-5*14.97)*(((-5--5)+(14.97--5))+14.97))))-(-5+-5)))*-5)))/-5)--5)+(-5*(((14.97*(14.97-(-5/-5)))*(14.97-(14.97/(-5*14.97))))-(-5/-5)))))</f>
        <v>16353.660565</v>
      </c>
      <c r="C11498" t="n" s="0">
        <v>16353.660565</v>
      </c>
    </row>
    <row r="11499">
      <c r="A11499" t="n" s="0">
        <v>14.98</v>
      </c>
      <c r="B11499" t="n" s="0">
        <f>(-5-((((-5*(-5/((-5/(((-5*(14.98--5))-(-5+((-5*14.98)*(((-5--5)+(14.98--5))+14.98))))-(-5+-5)))*-5)))/-5)--5)+(-5*(((14.98*(14.98-(-5/-5)))*(14.98-(14.98/(-5*14.98))))-(-5/-5)))))</f>
        <v>16386.72916</v>
      </c>
      <c r="C11499" t="n" s="0">
        <v>16386.72916</v>
      </c>
    </row>
    <row r="11500">
      <c r="A11500" t="n" s="0">
        <v>14.99</v>
      </c>
      <c r="B11500" t="n" s="0">
        <f>(-5-((((-5*(-5/((-5/(((-5*(14.99--5))-(-5+((-5*14.99)*(((-5--5)+(14.99--5))+14.99))))-(-5+-5)))*-5)))/-5)--5)+(-5*(((14.99*(14.99-(-5/-5)))*(14.99-(14.99/(-5*14.99))))-(-5/-5)))))</f>
        <v>16419.842295</v>
      </c>
      <c r="C11500" t="n" s="0">
        <v>16419.842295000002</v>
      </c>
    </row>
    <row r="11501">
      <c r="A11501" t="n" s="0">
        <v>15.0</v>
      </c>
      <c r="B11501" t="n" s="0">
        <f>(-5-((((-5*(-5/((-5/(((-5*(15--5))-(-5+((-5*15)*(((-5--5)+(15--5))+15))))-(-5+-5)))*-5)))/-5)--5)+(-5*(((15*(15-(-5/-5)))*(15-(15/(-5*15))))-(-5/-5)))))</f>
        <v>16453.000000000004</v>
      </c>
      <c r="C11501" t="n" s="0">
        <v>16453.0</v>
      </c>
    </row>
    <row r="11502">
      <c r="A11502" t="n" s="0">
        <v>15.01</v>
      </c>
      <c r="B11502" t="n" s="0">
        <f>(-5-((((-5*(-5/((-5/(((-5*(15.01--5))-(-5+((-5*15.01)*(((-5--5)+(15.01--5))+15.01))))-(-5+-5)))*-5)))/-5)--5)+(-5*(((15.01*(15.01-(-5/-5)))*(15.01-(15.01/(-5*15.01))))-(-5/-5)))))</f>
        <v>16486.202305000003</v>
      </c>
      <c r="C11502" t="n" s="0">
        <v>16486.202305</v>
      </c>
    </row>
    <row r="11503">
      <c r="A11503" t="n" s="0">
        <v>15.02</v>
      </c>
      <c r="B11503" t="n" s="0">
        <f>(-5-((((-5*(-5/((-5/(((-5*(15.02--5))-(-5+((-5*15.02)*(((-5--5)+(15.02--5))+15.02))))-(-5+-5)))*-5)))/-5)--5)+(-5*(((15.02*(15.02-(-5/-5)))*(15.02-(15.02/(-5*15.02))))-(-5/-5)))))</f>
        <v>16519.449239999998</v>
      </c>
      <c r="C11503" t="n" s="0">
        <v>16519.44924</v>
      </c>
    </row>
    <row r="11504">
      <c r="A11504" t="n" s="0">
        <v>15.03</v>
      </c>
      <c r="B11504" t="n" s="0">
        <f>(-5-((((-5*(-5/((-5/(((-5*(15.03--5))-(-5+((-5*15.03)*(((-5--5)+(15.03--5))+15.03))))-(-5+-5)))*-5)))/-5)--5)+(-5*(((15.03*(15.03-(-5/-5)))*(15.03-(15.03/(-5*15.03))))-(-5/-5)))))</f>
        <v>16552.740835</v>
      </c>
      <c r="C11504" t="n" s="0">
        <v>16552.740834999997</v>
      </c>
    </row>
    <row r="11505">
      <c r="A11505" t="n" s="0">
        <v>15.04</v>
      </c>
      <c r="B11505" t="n" s="0">
        <f>(-5-((((-5*(-5/((-5/(((-5*(15.04--5))-(-5+((-5*15.04)*(((-5--5)+(15.04--5))+15.04))))-(-5+-5)))*-5)))/-5)--5)+(-5*(((15.04*(15.04-(-5/-5)))*(15.04-(15.04/(-5*15.04))))-(-5/-5)))))</f>
        <v>16586.077119999998</v>
      </c>
      <c r="C11505" t="n" s="0">
        <v>16586.077119999994</v>
      </c>
    </row>
    <row r="11506">
      <c r="A11506" t="n" s="0">
        <v>15.05</v>
      </c>
      <c r="B11506" t="n" s="0">
        <f>(-5-((((-5*(-5/((-5/(((-5*(15.05--5))-(-5+((-5*15.05)*(((-5--5)+(15.05--5))+15.05))))-(-5+-5)))*-5)))/-5)--5)+(-5*(((15.05*(15.05-(-5/-5)))*(15.05-(15.05/(-5*15.05))))-(-5/-5)))))</f>
        <v>16619.458125</v>
      </c>
      <c r="C11506" t="n" s="0">
        <v>16619.458125000005</v>
      </c>
    </row>
    <row r="11507">
      <c r="A11507" t="n" s="0">
        <v>15.06</v>
      </c>
      <c r="B11507" t="n" s="0">
        <f>(-5-((((-5*(-5/((-5/(((-5*(15.06--5))-(-5+((-5*15.06)*(((-5--5)+(15.06--5))+15.06))))-(-5+-5)))*-5)))/-5)--5)+(-5*(((15.06*(15.06-(-5/-5)))*(15.06-(15.06/(-5*15.06))))-(-5/-5)))))</f>
        <v>16652.883879999998</v>
      </c>
      <c r="C11507" t="n" s="0">
        <v>16652.88388</v>
      </c>
    </row>
    <row r="11508">
      <c r="A11508" t="n" s="0">
        <v>15.07</v>
      </c>
      <c r="B11508" t="n" s="0">
        <f>(-5-((((-5*(-5/((-5/(((-5*(15.07--5))-(-5+((-5*15.07)*(((-5--5)+(15.07--5))+15.07))))-(-5+-5)))*-5)))/-5)--5)+(-5*(((15.07*(15.07-(-5/-5)))*(15.07-(15.07/(-5*15.07))))-(-5/-5)))))</f>
        <v>16686.354415</v>
      </c>
      <c r="C11508" t="n" s="0">
        <v>16686.354414999998</v>
      </c>
    </row>
    <row r="11509">
      <c r="A11509" t="n" s="0">
        <v>15.08</v>
      </c>
      <c r="B11509" t="n" s="0">
        <f>(-5-((((-5*(-5/((-5/(((-5*(15.08--5))-(-5+((-5*15.08)*(((-5--5)+(15.08--5))+15.08))))-(-5+-5)))*-5)))/-5)--5)+(-5*(((15.08*(15.08-(-5/-5)))*(15.08-(15.08/(-5*15.08))))-(-5/-5)))))</f>
        <v>16719.86976</v>
      </c>
      <c r="C11509" t="n" s="0">
        <v>16719.86976</v>
      </c>
    </row>
    <row r="11510">
      <c r="A11510" t="n" s="0">
        <v>15.09</v>
      </c>
      <c r="B11510" t="n" s="0">
        <f>(-5-((((-5*(-5/((-5/(((-5*(15.09--5))-(-5+((-5*15.09)*(((-5--5)+(15.09--5))+15.09))))-(-5+-5)))*-5)))/-5)--5)+(-5*(((15.09*(15.09-(-5/-5)))*(15.09-(15.09/(-5*15.09))))-(-5/-5)))))</f>
        <v>16753.429945</v>
      </c>
      <c r="C11510" t="n" s="0">
        <v>16753.429945</v>
      </c>
    </row>
    <row r="11511">
      <c r="A11511" t="n" s="0">
        <v>15.1</v>
      </c>
      <c r="B11511" t="n" s="0">
        <f>(-5-((((-5*(-5/((-5/(((-5*(15.1--5))-(-5+((-5*15.1)*(((-5--5)+(15.1--5))+15.1))))-(-5+-5)))*-5)))/-5)--5)+(-5*(((15.1*(15.1-(-5/-5)))*(15.1-(15.1/(-5*15.1))))-(-5/-5)))))</f>
        <v>16787.034999999996</v>
      </c>
      <c r="C11511" t="n" s="0">
        <v>16787.034999999996</v>
      </c>
    </row>
    <row r="11512">
      <c r="A11512" t="n" s="0">
        <v>15.11</v>
      </c>
      <c r="B11512" t="n" s="0">
        <f>(-5-((((-5*(-5/((-5/(((-5*(15.11--5))-(-5+((-5*15.11)*(((-5--5)+(15.11--5))+15.11))))-(-5+-5)))*-5)))/-5)--5)+(-5*(((15.11*(15.11-(-5/-5)))*(15.11-(15.11/(-5*15.11))))-(-5/-5)))))</f>
        <v>16820.684955</v>
      </c>
      <c r="C11512" t="n" s="0">
        <v>16820.684955</v>
      </c>
    </row>
    <row r="11513">
      <c r="A11513" t="n" s="0">
        <v>15.12</v>
      </c>
      <c r="B11513" t="n" s="0">
        <f>(-5-((((-5*(-5/((-5/(((-5*(15.12--5))-(-5+((-5*15.12)*(((-5--5)+(15.12--5))+15.12))))-(-5+-5)))*-5)))/-5)--5)+(-5*(((15.12*(15.12-(-5/-5)))*(15.12-(15.12/(-5*15.12))))-(-5/-5)))))</f>
        <v>16854.379839999998</v>
      </c>
      <c r="C11513" t="n" s="0">
        <v>16854.379839999998</v>
      </c>
    </row>
    <row r="11514">
      <c r="A11514" t="n" s="0">
        <v>15.13</v>
      </c>
      <c r="B11514" t="n" s="0">
        <f>(-5-((((-5*(-5/((-5/(((-5*(15.13--5))-(-5+((-5*15.13)*(((-5--5)+(15.13--5))+15.13))))-(-5+-5)))*-5)))/-5)--5)+(-5*(((15.13*(15.13-(-5/-5)))*(15.13-(15.13/(-5*15.13))))-(-5/-5)))))</f>
        <v>16888.119685</v>
      </c>
      <c r="C11514" t="n" s="0">
        <v>16888.119685</v>
      </c>
    </row>
    <row r="11515">
      <c r="A11515" t="n" s="0">
        <v>15.14</v>
      </c>
      <c r="B11515" t="n" s="0">
        <f>(-5-((((-5*(-5/((-5/(((-5*(15.14--5))-(-5+((-5*15.14)*(((-5--5)+(15.14--5))+15.14))))-(-5+-5)))*-5)))/-5)--5)+(-5*(((15.14*(15.14-(-5/-5)))*(15.14-(15.14/(-5*15.14))))-(-5/-5)))))</f>
        <v>16921.90452</v>
      </c>
      <c r="C11515" t="n" s="0">
        <v>16921.90452</v>
      </c>
    </row>
    <row r="11516">
      <c r="A11516" t="n" s="0">
        <v>15.15</v>
      </c>
      <c r="B11516" t="n" s="0">
        <f>(-5-((((-5*(-5/((-5/(((-5*(15.15--5))-(-5+((-5*15.15)*(((-5--5)+(15.15--5))+15.15))))-(-5+-5)))*-5)))/-5)--5)+(-5*(((15.15*(15.15-(-5/-5)))*(15.15-(15.15/(-5*15.15))))-(-5/-5)))))</f>
        <v>16955.734375</v>
      </c>
      <c r="C11516" t="n" s="0">
        <v>16955.734375000004</v>
      </c>
    </row>
    <row r="11517">
      <c r="A11517" t="n" s="0">
        <v>15.16</v>
      </c>
      <c r="B11517" t="n" s="0">
        <f>(-5-((((-5*(-5/((-5/(((-5*(15.16--5))-(-5+((-5*15.16)*(((-5--5)+(15.16--5))+15.16))))-(-5+-5)))*-5)))/-5)--5)+(-5*(((15.16*(15.16-(-5/-5)))*(15.16-(15.16/(-5*15.16))))-(-5/-5)))))</f>
        <v>16989.60928</v>
      </c>
      <c r="C11517" t="n" s="0">
        <v>16989.60928</v>
      </c>
    </row>
    <row r="11518">
      <c r="A11518" t="n" s="0">
        <v>15.17</v>
      </c>
      <c r="B11518" t="n" s="0">
        <f>(-5-((((-5*(-5/((-5/(((-5*(15.17--5))-(-5+((-5*15.17)*(((-5--5)+(15.17--5))+15.17))))-(-5+-5)))*-5)))/-5)--5)+(-5*(((15.17*(15.17-(-5/-5)))*(15.17-(15.17/(-5*15.17))))-(-5/-5)))))</f>
        <v>17023.529265</v>
      </c>
      <c r="C11518" t="n" s="0">
        <v>17023.529265</v>
      </c>
    </row>
    <row r="11519">
      <c r="A11519" t="n" s="0">
        <v>15.18</v>
      </c>
      <c r="B11519" t="n" s="0">
        <f>(-5-((((-5*(-5/((-5/(((-5*(15.18--5))-(-5+((-5*15.18)*(((-5--5)+(15.18--5))+15.18))))-(-5+-5)))*-5)))/-5)--5)+(-5*(((15.18*(15.18-(-5/-5)))*(15.18-(15.18/(-5*15.18))))-(-5/-5)))))</f>
        <v>17057.494359999997</v>
      </c>
      <c r="C11519" t="n" s="0">
        <v>17057.49436</v>
      </c>
    </row>
    <row r="11520">
      <c r="A11520" t="n" s="0">
        <v>15.19</v>
      </c>
      <c r="B11520" t="n" s="0">
        <f>(-5-((((-5*(-5/((-5/(((-5*(15.19--5))-(-5+((-5*15.19)*(((-5--5)+(15.19--5))+15.19))))-(-5+-5)))*-5)))/-5)--5)+(-5*(((15.19*(15.19-(-5/-5)))*(15.19-(15.19/(-5*15.19))))-(-5/-5)))))</f>
        <v>17091.504595</v>
      </c>
      <c r="C11520" t="n" s="0">
        <v>17091.504595</v>
      </c>
    </row>
    <row r="11521">
      <c r="A11521" t="n" s="0">
        <v>15.2</v>
      </c>
      <c r="B11521" t="n" s="0">
        <f>(-5-((((-5*(-5/((-5/(((-5*(15.2--5))-(-5+((-5*15.2)*(((-5--5)+(15.2--5))+15.2))))-(-5+-5)))*-5)))/-5)--5)+(-5*(((15.2*(15.2-(-5/-5)))*(15.2-(15.2/(-5*15.2))))-(-5/-5)))))</f>
        <v>17125.56</v>
      </c>
      <c r="C11521" t="n" s="0">
        <v>17125.559999999994</v>
      </c>
    </row>
    <row r="11522">
      <c r="A11522" t="n" s="0">
        <v>15.21</v>
      </c>
      <c r="B11522" t="n" s="0">
        <f>(-5-((((-5*(-5/((-5/(((-5*(15.21--5))-(-5+((-5*15.21)*(((-5--5)+(15.21--5))+15.21))))-(-5+-5)))*-5)))/-5)--5)+(-5*(((15.21*(15.21-(-5/-5)))*(15.21-(15.21/(-5*15.21))))-(-5/-5)))))</f>
        <v>17159.660605</v>
      </c>
      <c r="C11522" t="n" s="0">
        <v>17159.660605000005</v>
      </c>
    </row>
    <row r="11523">
      <c r="A11523" t="n" s="0">
        <v>15.22</v>
      </c>
      <c r="B11523" t="n" s="0">
        <f>(-5-((((-5*(-5/((-5/(((-5*(15.22--5))-(-5+((-5*15.22)*(((-5--5)+(15.22--5))+15.22))))-(-5+-5)))*-5)))/-5)--5)+(-5*(((15.22*(15.22-(-5/-5)))*(15.22-(15.22/(-5*15.22))))-(-5/-5)))))</f>
        <v>17193.80644</v>
      </c>
      <c r="C11523" t="n" s="0">
        <v>17193.80644</v>
      </c>
    </row>
    <row r="11524">
      <c r="A11524" t="n" s="0">
        <v>15.23</v>
      </c>
      <c r="B11524" t="n" s="0">
        <f>(-5-((((-5*(-5/((-5/(((-5*(15.23--5))-(-5+((-5*15.23)*(((-5--5)+(15.23--5))+15.23))))-(-5+-5)))*-5)))/-5)--5)+(-5*(((15.23*(15.23-(-5/-5)))*(15.23-(15.23/(-5*15.23))))-(-5/-5)))))</f>
        <v>17227.997535</v>
      </c>
      <c r="C11524" t="n" s="0">
        <v>17227.997535</v>
      </c>
    </row>
    <row r="11525">
      <c r="A11525" t="n" s="0">
        <v>15.24</v>
      </c>
      <c r="B11525" t="n" s="0">
        <f>(-5-((((-5*(-5/((-5/(((-5*(15.24--5))-(-5+((-5*15.24)*(((-5--5)+(15.24--5))+15.24))))-(-5+-5)))*-5)))/-5)--5)+(-5*(((15.24*(15.24-(-5/-5)))*(15.24-(15.24/(-5*15.24))))-(-5/-5)))))</f>
        <v>17262.233920000002</v>
      </c>
      <c r="C11525" t="n" s="0">
        <v>17262.23392</v>
      </c>
    </row>
    <row r="11526">
      <c r="A11526" t="n" s="0">
        <v>15.25</v>
      </c>
      <c r="B11526" t="n" s="0">
        <f>(-5-((((-5*(-5/((-5/(((-5*(15.25--5))-(-5+((-5*15.25)*(((-5--5)+(15.25--5))+15.25))))-(-5+-5)))*-5)))/-5)--5)+(-5*(((15.25*(15.25-(-5/-5)))*(15.25-(15.25/(-5*15.25))))-(-5/-5)))))</f>
        <v>17296.515625000004</v>
      </c>
      <c r="C11526" t="n" s="0">
        <v>17296.515625</v>
      </c>
    </row>
    <row r="11527">
      <c r="A11527" t="n" s="0">
        <v>15.26</v>
      </c>
      <c r="B11527" t="n" s="0">
        <f>(-5-((((-5*(-5/((-5/(((-5*(15.26--5))-(-5+((-5*15.26)*(((-5--5)+(15.26--5))+15.26))))-(-5+-5)))*-5)))/-5)--5)+(-5*(((15.26*(15.26-(-5/-5)))*(15.26-(15.26/(-5*15.26))))-(-5/-5)))))</f>
        <v>17330.84268</v>
      </c>
      <c r="C11527" t="n" s="0">
        <v>17330.842679999998</v>
      </c>
    </row>
    <row r="11528">
      <c r="A11528" t="n" s="0">
        <v>15.27</v>
      </c>
      <c r="B11528" t="n" s="0">
        <f>(-5-((((-5*(-5/((-5/(((-5*(15.27--5))-(-5+((-5*15.27)*(((-5--5)+(15.27--5))+15.27))))-(-5+-5)))*-5)))/-5)--5)+(-5*(((15.27*(15.27-(-5/-5)))*(15.27-(15.27/(-5*15.27))))-(-5/-5)))))</f>
        <v>17365.215115</v>
      </c>
      <c r="C11528" t="n" s="0">
        <v>17365.215115000003</v>
      </c>
    </row>
    <row r="11529">
      <c r="A11529" t="n" s="0">
        <v>15.28</v>
      </c>
      <c r="B11529" t="n" s="0">
        <f>(-5-((((-5*(-5/((-5/(((-5*(15.28--5))-(-5+((-5*15.28)*(((-5--5)+(15.28--5))+15.28))))-(-5+-5)))*-5)))/-5)--5)+(-5*(((15.28*(15.28-(-5/-5)))*(15.28-(15.28/(-5*15.28))))-(-5/-5)))))</f>
        <v>17399.63296</v>
      </c>
      <c r="C11529" t="n" s="0">
        <v>17399.63296</v>
      </c>
    </row>
    <row r="11530">
      <c r="A11530" t="n" s="0">
        <v>15.29</v>
      </c>
      <c r="B11530" t="n" s="0">
        <f>(-5-((((-5*(-5/((-5/(((-5*(15.29--5))-(-5+((-5*15.29)*(((-5--5)+(15.29--5))+15.29))))-(-5+-5)))*-5)))/-5)--5)+(-5*(((15.29*(15.29-(-5/-5)))*(15.29-(15.29/(-5*15.29))))-(-5/-5)))))</f>
        <v>17434.096245</v>
      </c>
      <c r="C11530" t="n" s="0">
        <v>17434.096244999993</v>
      </c>
    </row>
    <row r="11531">
      <c r="A11531" t="n" s="0">
        <v>15.3</v>
      </c>
      <c r="B11531" t="n" s="0">
        <f>(-5-((((-5*(-5/((-5/(((-5*(15.3--5))-(-5+((-5*15.3)*(((-5--5)+(15.3--5))+15.3))))-(-5+-5)))*-5)))/-5)--5)+(-5*(((15.3*(15.3-(-5/-5)))*(15.3-(15.3/(-5*15.3))))-(-5/-5)))))</f>
        <v>17468.605</v>
      </c>
      <c r="C11531" t="n" s="0">
        <v>17468.605000000003</v>
      </c>
    </row>
    <row r="11532">
      <c r="A11532" t="n" s="0">
        <v>15.31</v>
      </c>
      <c r="B11532" t="n" s="0">
        <f>(-5-((((-5*(-5/((-5/(((-5*(15.31--5))-(-5+((-5*15.31)*(((-5--5)+(15.31--5))+15.31))))-(-5+-5)))*-5)))/-5)--5)+(-5*(((15.31*(15.31-(-5/-5)))*(15.31-(15.31/(-5*15.31))))-(-5/-5)))))</f>
        <v>17503.159255000002</v>
      </c>
      <c r="C11532" t="n" s="0">
        <v>17503.159255000002</v>
      </c>
    </row>
    <row r="11533">
      <c r="A11533" t="n" s="0">
        <v>15.32</v>
      </c>
      <c r="B11533" t="n" s="0">
        <f>(-5-((((-5*(-5/((-5/(((-5*(15.32--5))-(-5+((-5*15.32)*(((-5--5)+(15.32--5))+15.32))))-(-5+-5)))*-5)))/-5)--5)+(-5*(((15.32*(15.32-(-5/-5)))*(15.32-(15.32/(-5*15.32))))-(-5/-5)))))</f>
        <v>17537.75904</v>
      </c>
      <c r="C11533" t="n" s="0">
        <v>17537.75904</v>
      </c>
    </row>
    <row r="11534">
      <c r="A11534" t="n" s="0">
        <v>15.33</v>
      </c>
      <c r="B11534" t="n" s="0">
        <f>(-5-((((-5*(-5/((-5/(((-5*(15.33--5))-(-5+((-5*15.33)*(((-5--5)+(15.33--5))+15.33))))-(-5+-5)))*-5)))/-5)--5)+(-5*(((15.33*(15.33-(-5/-5)))*(15.33-(15.33/(-5*15.33))))-(-5/-5)))))</f>
        <v>17572.404385</v>
      </c>
      <c r="C11534" t="n" s="0">
        <v>17572.404384999998</v>
      </c>
    </row>
    <row r="11535">
      <c r="A11535" t="n" s="0">
        <v>15.34</v>
      </c>
      <c r="B11535" t="n" s="0">
        <f>(-5-((((-5*(-5/((-5/(((-5*(15.34--5))-(-5+((-5*15.34)*(((-5--5)+(15.34--5))+15.34))))-(-5+-5)))*-5)))/-5)--5)+(-5*(((15.34*(15.34-(-5/-5)))*(15.34-(15.34/(-5*15.34))))-(-5/-5)))))</f>
        <v>17607.09532</v>
      </c>
      <c r="C11535" t="n" s="0">
        <v>17607.09532</v>
      </c>
    </row>
    <row r="11536">
      <c r="A11536" t="n" s="0">
        <v>15.35</v>
      </c>
      <c r="B11536" t="n" s="0">
        <f>(-5-((((-5*(-5/((-5/(((-5*(15.35--5))-(-5+((-5*15.35)*(((-5--5)+(15.35--5))+15.35))))-(-5+-5)))*-5)))/-5)--5)+(-5*(((15.35*(15.35-(-5/-5)))*(15.35-(15.35/(-5*15.35))))-(-5/-5)))))</f>
        <v>17641.831874999996</v>
      </c>
      <c r="C11536" t="n" s="0">
        <v>17641.831875</v>
      </c>
    </row>
    <row r="11537">
      <c r="A11537" t="n" s="0">
        <v>15.36</v>
      </c>
      <c r="B11537" t="n" s="0">
        <f>(-5-((((-5*(-5/((-5/(((-5*(15.36--5))-(-5+((-5*15.36)*(((-5--5)+(15.36--5))+15.36))))-(-5+-5)))*-5)))/-5)--5)+(-5*(((15.36*(15.36-(-5/-5)))*(15.36-(15.36/(-5*15.36))))-(-5/-5)))))</f>
        <v>17676.614080000003</v>
      </c>
      <c r="C11537" t="n" s="0">
        <v>17676.61408</v>
      </c>
    </row>
    <row r="11538">
      <c r="A11538" t="n" s="0">
        <v>15.37</v>
      </c>
      <c r="B11538" t="n" s="0">
        <f>(-5-((((-5*(-5/((-5/(((-5*(15.37--5))-(-5+((-5*15.37)*(((-5--5)+(15.37--5))+15.37))))-(-5+-5)))*-5)))/-5)--5)+(-5*(((15.37*(15.37-(-5/-5)))*(15.37-(15.37/(-5*15.37))))-(-5/-5)))))</f>
        <v>17711.441964999998</v>
      </c>
      <c r="C11538" t="n" s="0">
        <v>17711.441964999998</v>
      </c>
    </row>
    <row r="11539">
      <c r="A11539" t="n" s="0">
        <v>15.38</v>
      </c>
      <c r="B11539" t="n" s="0">
        <f>(-5-((((-5*(-5/((-5/(((-5*(15.38--5))-(-5+((-5*15.38)*(((-5--5)+(15.38--5))+15.38))))-(-5+-5)))*-5)))/-5)--5)+(-5*(((15.38*(15.38-(-5/-5)))*(15.38-(15.38/(-5*15.38))))-(-5/-5)))))</f>
        <v>17746.315560000003</v>
      </c>
      <c r="C11539" t="n" s="0">
        <v>17746.315560000003</v>
      </c>
    </row>
    <row r="11540">
      <c r="A11540" t="n" s="0">
        <v>15.39</v>
      </c>
      <c r="B11540" t="n" s="0">
        <f>(-5-((((-5*(-5/((-5/(((-5*(15.39--5))-(-5+((-5*15.39)*(((-5--5)+(15.39--5))+15.39))))-(-5+-5)))*-5)))/-5)--5)+(-5*(((15.39*(15.39-(-5/-5)))*(15.39-(15.39/(-5*15.39))))-(-5/-5)))))</f>
        <v>17781.234894999998</v>
      </c>
      <c r="C11540" t="n" s="0">
        <v>17781.234895</v>
      </c>
    </row>
    <row r="11541">
      <c r="A11541" t="n" s="0">
        <v>15.4</v>
      </c>
      <c r="B11541" t="n" s="0">
        <f>(-5-((((-5*(-5/((-5/(((-5*(15.4--5))-(-5+((-5*15.4)*(((-5--5)+(15.4--5))+15.4))))-(-5+-5)))*-5)))/-5)--5)+(-5*(((15.4*(15.4-(-5/-5)))*(15.4-(15.4/(-5*15.4))))-(-5/-5)))))</f>
        <v>17816.199999999997</v>
      </c>
      <c r="C11541" t="n" s="0">
        <v>17816.2</v>
      </c>
    </row>
    <row r="11542">
      <c r="A11542" t="n" s="0">
        <v>15.41</v>
      </c>
      <c r="B11542" t="n" s="0">
        <f>(-5-((((-5*(-5/((-5/(((-5*(15.41--5))-(-5+((-5*15.41)*(((-5--5)+(15.41--5))+15.41))))-(-5+-5)))*-5)))/-5)--5)+(-5*(((15.41*(15.41-(-5/-5)))*(15.41-(15.41/(-5*15.41))))-(-5/-5)))))</f>
        <v>17851.210905</v>
      </c>
      <c r="C11542" t="n" s="0">
        <v>17851.210905</v>
      </c>
    </row>
    <row r="11543">
      <c r="A11543" t="n" s="0">
        <v>15.42</v>
      </c>
      <c r="B11543" t="n" s="0">
        <f>(-5-((((-5*(-5/((-5/(((-5*(15.42--5))-(-5+((-5*15.42)*(((-5--5)+(15.42--5))+15.42))))-(-5+-5)))*-5)))/-5)--5)+(-5*(((15.42*(15.42-(-5/-5)))*(15.42-(15.42/(-5*15.42))))-(-5/-5)))))</f>
        <v>17886.267640000002</v>
      </c>
      <c r="C11543" t="n" s="0">
        <v>17886.26764</v>
      </c>
    </row>
    <row r="11544">
      <c r="A11544" t="n" s="0">
        <v>15.43</v>
      </c>
      <c r="B11544" t="n" s="0">
        <f>(-5-((((-5*(-5/((-5/(((-5*(15.43--5))-(-5+((-5*15.43)*(((-5--5)+(15.43--5))+15.43))))-(-5+-5)))*-5)))/-5)--5)+(-5*(((15.43*(15.43-(-5/-5)))*(15.43-(15.43/(-5*15.43))))-(-5/-5)))))</f>
        <v>17921.370235000002</v>
      </c>
      <c r="C11544" t="n" s="0">
        <v>17921.370235</v>
      </c>
    </row>
    <row r="11545">
      <c r="A11545" t="n" s="0">
        <v>15.44</v>
      </c>
      <c r="B11545" t="n" s="0">
        <f>(-5-((((-5*(-5/((-5/(((-5*(15.44--5))-(-5+((-5*15.44)*(((-5--5)+(15.44--5))+15.44))))-(-5+-5)))*-5)))/-5)--5)+(-5*(((15.44*(15.44-(-5/-5)))*(15.44-(15.44/(-5*15.44))))-(-5/-5)))))</f>
        <v>17956.518719999996</v>
      </c>
      <c r="C11545" t="n" s="0">
        <v>17956.51872</v>
      </c>
    </row>
    <row r="11546">
      <c r="A11546" t="n" s="0">
        <v>15.45</v>
      </c>
      <c r="B11546" t="n" s="0">
        <f>(-5-((((-5*(-5/((-5/(((-5*(15.45--5))-(-5+((-5*15.45)*(((-5--5)+(15.45--5))+15.45))))-(-5+-5)))*-5)))/-5)--5)+(-5*(((15.45*(15.45-(-5/-5)))*(15.45-(15.45/(-5*15.45))))-(-5/-5)))))</f>
        <v>17991.713125000002</v>
      </c>
      <c r="C11546" t="n" s="0">
        <v>17991.713125</v>
      </c>
    </row>
    <row r="11547">
      <c r="A11547" t="n" s="0">
        <v>15.46</v>
      </c>
      <c r="B11547" t="n" s="0">
        <f>(-5-((((-5*(-5/((-5/(((-5*(15.46--5))-(-5+((-5*15.46)*(((-5--5)+(15.46--5))+15.46))))-(-5+-5)))*-5)))/-5)--5)+(-5*(((15.46*(15.46-(-5/-5)))*(15.46-(15.46/(-5*15.46))))-(-5/-5)))))</f>
        <v>18026.95348</v>
      </c>
      <c r="C11547" t="n" s="0">
        <v>18026.953480000004</v>
      </c>
    </row>
    <row r="11548">
      <c r="A11548" t="n" s="0">
        <v>15.47</v>
      </c>
      <c r="B11548" t="n" s="0">
        <f>(-5-((((-5*(-5/((-5/(((-5*(15.47--5))-(-5+((-5*15.47)*(((-5--5)+(15.47--5))+15.47))))-(-5+-5)))*-5)))/-5)--5)+(-5*(((15.47*(15.47-(-5/-5)))*(15.47-(15.47/(-5*15.47))))-(-5/-5)))))</f>
        <v>18062.239814999997</v>
      </c>
      <c r="C11548" t="n" s="0">
        <v>18062.239815</v>
      </c>
    </row>
    <row r="11549">
      <c r="A11549" t="n" s="0">
        <v>15.48</v>
      </c>
      <c r="B11549" t="n" s="0">
        <f>(-5-((((-5*(-5/((-5/(((-5*(15.48--5))-(-5+((-5*15.48)*(((-5--5)+(15.48--5))+15.48))))-(-5+-5)))*-5)))/-5)--5)+(-5*(((15.48*(15.48-(-5/-5)))*(15.48-(15.48/(-5*15.48))))-(-5/-5)))))</f>
        <v>18097.57216</v>
      </c>
      <c r="C11549" t="n" s="0">
        <v>18097.57216</v>
      </c>
    </row>
    <row r="11550">
      <c r="A11550" t="n" s="0">
        <v>15.49</v>
      </c>
      <c r="B11550" t="n" s="0">
        <f>(-5-((((-5*(-5/((-5/(((-5*(15.49--5))-(-5+((-5*15.49)*(((-5--5)+(15.49--5))+15.49))))-(-5+-5)))*-5)))/-5)--5)+(-5*(((15.49*(15.49-(-5/-5)))*(15.49-(15.49/(-5*15.49))))-(-5/-5)))))</f>
        <v>18132.950545</v>
      </c>
      <c r="C11550" t="n" s="0">
        <v>18132.950545</v>
      </c>
    </row>
    <row r="11551">
      <c r="A11551" t="n" s="0">
        <v>15.5</v>
      </c>
      <c r="B11551" t="n" s="0">
        <f>(-5-((((-5*(-5/((-5/(((-5*(15.5--5))-(-5+((-5*15.5)*(((-5--5)+(15.5--5))+15.5))))-(-5+-5)))*-5)))/-5)--5)+(-5*(((15.5*(15.5-(-5/-5)))*(15.5-(15.5/(-5*15.5))))-(-5/-5)))))</f>
        <v>18168.375</v>
      </c>
      <c r="C11551" t="n" s="0">
        <v>18168.375</v>
      </c>
    </row>
    <row r="11552">
      <c r="A11552" t="n" s="0">
        <v>15.51</v>
      </c>
      <c r="B11552" t="n" s="0">
        <f>(-5-((((-5*(-5/((-5/(((-5*(15.51--5))-(-5+((-5*15.51)*(((-5--5)+(15.51--5))+15.51))))-(-5+-5)))*-5)))/-5)--5)+(-5*(((15.51*(15.51-(-5/-5)))*(15.51-(15.51/(-5*15.51))))-(-5/-5)))))</f>
        <v>18203.845555</v>
      </c>
      <c r="C11552" t="n" s="0">
        <v>18203.845554999996</v>
      </c>
    </row>
    <row r="11553">
      <c r="A11553" t="n" s="0">
        <v>15.52</v>
      </c>
      <c r="B11553" t="n" s="0">
        <f>(-5-((((-5*(-5/((-5/(((-5*(15.52--5))-(-5+((-5*15.52)*(((-5--5)+(15.52--5))+15.52))))-(-5+-5)))*-5)))/-5)--5)+(-5*(((15.52*(15.52-(-5/-5)))*(15.52-(15.52/(-5*15.52))))-(-5/-5)))))</f>
        <v>18239.362240000002</v>
      </c>
      <c r="C11553" t="n" s="0">
        <v>18239.362240000002</v>
      </c>
    </row>
    <row r="11554">
      <c r="A11554" t="n" s="0">
        <v>15.53</v>
      </c>
      <c r="B11554" t="n" s="0">
        <f>(-5-((((-5*(-5/((-5/(((-5*(15.53--5))-(-5+((-5*15.53)*(((-5--5)+(15.53--5))+15.53))))-(-5+-5)))*-5)))/-5)--5)+(-5*(((15.53*(15.53-(-5/-5)))*(15.53-(15.53/(-5*15.53))))-(-5/-5)))))</f>
        <v>18274.925085000003</v>
      </c>
      <c r="C11554" t="n" s="0">
        <v>18274.925085</v>
      </c>
    </row>
    <row r="11555">
      <c r="A11555" t="n" s="0">
        <v>15.54</v>
      </c>
      <c r="B11555" t="n" s="0">
        <f>(-5-((((-5*(-5/((-5/(((-5*(15.54--5))-(-5+((-5*15.54)*(((-5--5)+(15.54--5))+15.54))))-(-5+-5)))*-5)))/-5)--5)+(-5*(((15.54*(15.54-(-5/-5)))*(15.54-(15.54/(-5*15.54))))-(-5/-5)))))</f>
        <v>18310.53412</v>
      </c>
      <c r="C11555" t="n" s="0">
        <v>18310.534119999997</v>
      </c>
    </row>
    <row r="11556">
      <c r="A11556" t="n" s="0">
        <v>15.55</v>
      </c>
      <c r="B11556" t="n" s="0">
        <f>(-5-((((-5*(-5/((-5/(((-5*(15.55--5))-(-5+((-5*15.55)*(((-5--5)+(15.55--5))+15.55))))-(-5+-5)))*-5)))/-5)--5)+(-5*(((15.55*(15.55-(-5/-5)))*(15.55-(15.55/(-5*15.55))))-(-5/-5)))))</f>
        <v>18346.189375</v>
      </c>
      <c r="C11556" t="n" s="0">
        <v>18346.189375000005</v>
      </c>
    </row>
    <row r="11557">
      <c r="A11557" t="n" s="0">
        <v>15.56</v>
      </c>
      <c r="B11557" t="n" s="0">
        <f>(-5-((((-5*(-5/((-5/(((-5*(15.56--5))-(-5+((-5*15.56)*(((-5--5)+(15.56--5))+15.56))))-(-5+-5)))*-5)))/-5)--5)+(-5*(((15.56*(15.56-(-5/-5)))*(15.56-(15.56/(-5*15.56))))-(-5/-5)))))</f>
        <v>18381.89088</v>
      </c>
      <c r="C11557" t="n" s="0">
        <v>18381.890880000003</v>
      </c>
    </row>
    <row r="11558">
      <c r="A11558" t="n" s="0">
        <v>15.57</v>
      </c>
      <c r="B11558" t="n" s="0">
        <f>(-5-((((-5*(-5/((-5/(((-5*(15.57--5))-(-5+((-5*15.57)*(((-5--5)+(15.57--5))+15.57))))-(-5+-5)))*-5)))/-5)--5)+(-5*(((15.57*(15.57-(-5/-5)))*(15.57-(15.57/(-5*15.57))))-(-5/-5)))))</f>
        <v>18417.638665</v>
      </c>
      <c r="C11558" t="n" s="0">
        <v>18417.638665000002</v>
      </c>
    </row>
    <row r="11559">
      <c r="A11559" t="n" s="0">
        <v>15.58</v>
      </c>
      <c r="B11559" t="n" s="0">
        <f>(-5-((((-5*(-5/((-5/(((-5*(15.58--5))-(-5+((-5*15.58)*(((-5--5)+(15.58--5))+15.58))))-(-5+-5)))*-5)))/-5)--5)+(-5*(((15.58*(15.58-(-5/-5)))*(15.58-(15.58/(-5*15.58))))-(-5/-5)))))</f>
        <v>18453.43276</v>
      </c>
      <c r="C11559" t="n" s="0">
        <v>18453.432760000003</v>
      </c>
    </row>
    <row r="11560">
      <c r="A11560" t="n" s="0">
        <v>15.59</v>
      </c>
      <c r="B11560" t="n" s="0">
        <f>(-5-((((-5*(-5/((-5/(((-5*(15.59--5))-(-5+((-5*15.59)*(((-5--5)+(15.59--5))+15.59))))-(-5+-5)))*-5)))/-5)--5)+(-5*(((15.59*(15.59-(-5/-5)))*(15.59-(15.59/(-5*15.59))))-(-5/-5)))))</f>
        <v>18489.273195</v>
      </c>
      <c r="C11560" t="n" s="0">
        <v>18489.273194999998</v>
      </c>
    </row>
    <row r="11561">
      <c r="A11561" t="n" s="0">
        <v>15.6</v>
      </c>
      <c r="B11561" t="n" s="0">
        <f>(-5-((((-5*(-5/((-5/(((-5*(15.6--5))-(-5+((-5*15.6)*(((-5--5)+(15.6--5))+15.6))))-(-5+-5)))*-5)))/-5)--5)+(-5*(((15.6*(15.6-(-5/-5)))*(15.6-(15.6/(-5*15.6))))-(-5/-5)))))</f>
        <v>18525.16</v>
      </c>
      <c r="C11561" t="n" s="0">
        <v>18525.159999999996</v>
      </c>
    </row>
    <row r="11562">
      <c r="A11562" t="n" s="0">
        <v>15.61</v>
      </c>
      <c r="B11562" t="n" s="0">
        <f>(-5-((((-5*(-5/((-5/(((-5*(15.61--5))-(-5+((-5*15.61)*(((-5--5)+(15.61--5))+15.61))))-(-5+-5)))*-5)))/-5)--5)+(-5*(((15.61*(15.61-(-5/-5)))*(15.61-(15.61/(-5*15.61))))-(-5/-5)))))</f>
        <v>18561.093204999997</v>
      </c>
      <c r="C11562" t="n" s="0">
        <v>18561.093205</v>
      </c>
    </row>
    <row r="11563">
      <c r="A11563" t="n" s="0">
        <v>15.62</v>
      </c>
      <c r="B11563" t="n" s="0">
        <f>(-5-((((-5*(-5/((-5/(((-5*(15.62--5))-(-5+((-5*15.62)*(((-5--5)+(15.62--5))+15.62))))-(-5+-5)))*-5)))/-5)--5)+(-5*(((15.62*(15.62-(-5/-5)))*(15.62-(15.62/(-5*15.62))))-(-5/-5)))))</f>
        <v>18597.072839999997</v>
      </c>
      <c r="C11563" t="n" s="0">
        <v>18597.072839999997</v>
      </c>
    </row>
    <row r="11564">
      <c r="A11564" t="n" s="0">
        <v>15.63</v>
      </c>
      <c r="B11564" t="n" s="0">
        <f>(-5-((((-5*(-5/((-5/(((-5*(15.63--5))-(-5+((-5*15.63)*(((-5--5)+(15.63--5))+15.63))))-(-5+-5)))*-5)))/-5)--5)+(-5*(((15.63*(15.63-(-5/-5)))*(15.63-(15.63/(-5*15.63))))-(-5/-5)))))</f>
        <v>18633.098934999998</v>
      </c>
      <c r="C11564" t="n" s="0">
        <v>18633.098935000005</v>
      </c>
    </row>
    <row r="11565">
      <c r="A11565" t="n" s="0">
        <v>15.64</v>
      </c>
      <c r="B11565" t="n" s="0">
        <f>(-5-((((-5*(-5/((-5/(((-5*(15.64--5))-(-5+((-5*15.64)*(((-5--5)+(15.64--5))+15.64))))-(-5+-5)))*-5)))/-5)--5)+(-5*(((15.64*(15.64-(-5/-5)))*(15.64-(15.64/(-5*15.64))))-(-5/-5)))))</f>
        <v>18669.17152</v>
      </c>
      <c r="C11565" t="n" s="0">
        <v>18669.17152</v>
      </c>
    </row>
    <row r="11566">
      <c r="A11566" t="n" s="0">
        <v>15.65</v>
      </c>
      <c r="B11566" t="n" s="0">
        <f>(-5-((((-5*(-5/((-5/(((-5*(15.65--5))-(-5+((-5*15.65)*(((-5--5)+(15.65--5))+15.65))))-(-5+-5)))*-5)))/-5)--5)+(-5*(((15.65*(15.65-(-5/-5)))*(15.65-(15.65/(-5*15.65))))-(-5/-5)))))</f>
        <v>18705.290625</v>
      </c>
      <c r="C11566" t="n" s="0">
        <v>18705.290625</v>
      </c>
    </row>
    <row r="11567">
      <c r="A11567" t="n" s="0">
        <v>15.66</v>
      </c>
      <c r="B11567" t="n" s="0">
        <f>(-5-((((-5*(-5/((-5/(((-5*(15.66--5))-(-5+((-5*15.66)*(((-5--5)+(15.66--5))+15.66))))-(-5+-5)))*-5)))/-5)--5)+(-5*(((15.66*(15.66-(-5/-5)))*(15.66-(15.66/(-5*15.66))))-(-5/-5)))))</f>
        <v>18741.456280000002</v>
      </c>
      <c r="C11567" t="n" s="0">
        <v>18741.456280000002</v>
      </c>
    </row>
    <row r="11568">
      <c r="A11568" t="n" s="0">
        <v>15.67</v>
      </c>
      <c r="B11568" t="n" s="0">
        <f>(-5-((((-5*(-5/((-5/(((-5*(15.67--5))-(-5+((-5*15.67)*(((-5--5)+(15.67--5))+15.67))))-(-5+-5)))*-5)))/-5)--5)+(-5*(((15.67*(15.67-(-5/-5)))*(15.67-(15.67/(-5*15.67))))-(-5/-5)))))</f>
        <v>18777.668515</v>
      </c>
      <c r="C11568" t="n" s="0">
        <v>18777.668514999998</v>
      </c>
    </row>
    <row r="11569">
      <c r="A11569" t="n" s="0">
        <v>15.68</v>
      </c>
      <c r="B11569" t="n" s="0">
        <f>(-5-((((-5*(-5/((-5/(((-5*(15.68--5))-(-5+((-5*15.68)*(((-5--5)+(15.68--5))+15.68))))-(-5+-5)))*-5)))/-5)--5)+(-5*(((15.68*(15.68-(-5/-5)))*(15.68-(15.68/(-5*15.68))))-(-5/-5)))))</f>
        <v>18813.92736</v>
      </c>
      <c r="C11569" t="n" s="0">
        <v>18813.927359999998</v>
      </c>
    </row>
    <row r="11570">
      <c r="A11570" t="n" s="0">
        <v>15.69</v>
      </c>
      <c r="B11570" t="n" s="0">
        <f>(-5-((((-5*(-5/((-5/(((-5*(15.69--5))-(-5+((-5*15.69)*(((-5--5)+(15.69--5))+15.69))))-(-5+-5)))*-5)))/-5)--5)+(-5*(((15.69*(15.69-(-5/-5)))*(15.69-(15.69/(-5*15.69))))-(-5/-5)))))</f>
        <v>18850.232845</v>
      </c>
      <c r="C11570" t="n" s="0">
        <v>18850.232844999995</v>
      </c>
    </row>
    <row r="11571">
      <c r="A11571" t="n" s="0">
        <v>15.7</v>
      </c>
      <c r="B11571" t="n" s="0">
        <f>(-5-((((-5*(-5/((-5/(((-5*(15.7--5))-(-5+((-5*15.7)*(((-5--5)+(15.7--5))+15.7))))-(-5+-5)))*-5)))/-5)--5)+(-5*(((15.7*(15.7-(-5/-5)))*(15.7-(15.7/(-5*15.7))))-(-5/-5)))))</f>
        <v>18886.585</v>
      </c>
      <c r="C11571" t="n" s="0">
        <v>18886.584999999995</v>
      </c>
    </row>
    <row r="11572">
      <c r="A11572" t="n" s="0">
        <v>15.71</v>
      </c>
      <c r="B11572" t="n" s="0">
        <f>(-5-((((-5*(-5/((-5/(((-5*(15.71--5))-(-5+((-5*15.71)*(((-5--5)+(15.71--5))+15.71))))-(-5+-5)))*-5)))/-5)--5)+(-5*(((15.71*(15.71-(-5/-5)))*(15.71-(15.71/(-5*15.71))))-(-5/-5)))))</f>
        <v>18922.983855</v>
      </c>
      <c r="C11572" t="n" s="0">
        <v>18922.983855000006</v>
      </c>
    </row>
    <row r="11573">
      <c r="A11573" t="n" s="0">
        <v>15.72</v>
      </c>
      <c r="B11573" t="n" s="0">
        <f>(-5-((((-5*(-5/((-5/(((-5*(15.72--5))-(-5+((-5*15.72)*(((-5--5)+(15.72--5))+15.72))))-(-5+-5)))*-5)))/-5)--5)+(-5*(((15.72*(15.72-(-5/-5)))*(15.72-(15.72/(-5*15.72))))-(-5/-5)))))</f>
        <v>18959.42944</v>
      </c>
      <c r="C11573" t="n" s="0">
        <v>18959.429440000004</v>
      </c>
    </row>
    <row r="11574">
      <c r="A11574" t="n" s="0">
        <v>15.73</v>
      </c>
      <c r="B11574" t="n" s="0">
        <f>(-5-((((-5*(-5/((-5/(((-5*(15.73--5))-(-5+((-5*15.73)*(((-5--5)+(15.73--5))+15.73))))-(-5+-5)))*-5)))/-5)--5)+(-5*(((15.73*(15.73-(-5/-5)))*(15.73-(15.73/(-5*15.73))))-(-5/-5)))))</f>
        <v>18995.921785000002</v>
      </c>
      <c r="C11574" t="n" s="0">
        <v>18995.921785000002</v>
      </c>
    </row>
    <row r="11575">
      <c r="A11575" t="n" s="0">
        <v>15.74</v>
      </c>
      <c r="B11575" t="n" s="0">
        <f>(-5-((((-5*(-5/((-5/(((-5*(15.74--5))-(-5+((-5*15.74)*(((-5--5)+(15.74--5))+15.74))))-(-5+-5)))*-5)))/-5)--5)+(-5*(((15.74*(15.74-(-5/-5)))*(15.74-(15.74/(-5*15.74))))-(-5/-5)))))</f>
        <v>19032.46092</v>
      </c>
      <c r="C11575" t="n" s="0">
        <v>19032.46092</v>
      </c>
    </row>
    <row r="11576">
      <c r="A11576" t="n" s="0">
        <v>15.75</v>
      </c>
      <c r="B11576" t="n" s="0">
        <f>(-5-((((-5*(-5/((-5/(((-5*(15.75--5))-(-5+((-5*15.75)*(((-5--5)+(15.75--5))+15.75))))-(-5+-5)))*-5)))/-5)--5)+(-5*(((15.75*(15.75-(-5/-5)))*(15.75-(15.75/(-5*15.75))))-(-5/-5)))))</f>
        <v>19069.046875</v>
      </c>
      <c r="C11576" t="n" s="0">
        <v>19069.046875</v>
      </c>
    </row>
    <row r="11577">
      <c r="A11577" t="n" s="0">
        <v>15.76</v>
      </c>
      <c r="B11577" t="n" s="0">
        <f>(-5-((((-5*(-5/((-5/(((-5*(15.76--5))-(-5+((-5*15.76)*(((-5--5)+(15.76--5))+15.76))))-(-5+-5)))*-5)))/-5)--5)+(-5*(((15.76*(15.76-(-5/-5)))*(15.76-(15.76/(-5*15.76))))-(-5/-5)))))</f>
        <v>19105.67968</v>
      </c>
      <c r="C11577" t="n" s="0">
        <v>19105.679679999997</v>
      </c>
    </row>
    <row r="11578">
      <c r="A11578" t="n" s="0">
        <v>15.77</v>
      </c>
      <c r="B11578" t="n" s="0">
        <f>(-5-((((-5*(-5/((-5/(((-5*(15.77--5))-(-5+((-5*15.77)*(((-5--5)+(15.77--5))+15.77))))-(-5+-5)))*-5)))/-5)--5)+(-5*(((15.77*(15.77-(-5/-5)))*(15.77-(15.77/(-5*15.77))))-(-5/-5)))))</f>
        <v>19142.359364999997</v>
      </c>
      <c r="C11578" t="n" s="0">
        <v>19142.359365</v>
      </c>
    </row>
    <row r="11579">
      <c r="A11579" t="n" s="0">
        <v>15.78</v>
      </c>
      <c r="B11579" t="n" s="0">
        <f>(-5-((((-5*(-5/((-5/(((-5*(15.78--5))-(-5+((-5*15.78)*(((-5--5)+(15.78--5))+15.78))))-(-5+-5)))*-5)))/-5)--5)+(-5*(((15.78*(15.78-(-5/-5)))*(15.78-(15.78/(-5*15.78))))-(-5/-5)))))</f>
        <v>19179.085960000004</v>
      </c>
      <c r="C11579" t="n" s="0">
        <v>19179.085959999997</v>
      </c>
    </row>
    <row r="11580">
      <c r="A11580" t="n" s="0">
        <v>15.79</v>
      </c>
      <c r="B11580" t="n" s="0">
        <f>(-5-((((-5*(-5/((-5/(((-5*(15.79--5))-(-5+((-5*15.79)*(((-5--5)+(15.79--5))+15.79))))-(-5+-5)))*-5)))/-5)--5)+(-5*(((15.79*(15.79-(-5/-5)))*(15.79-(15.79/(-5*15.79))))-(-5/-5)))))</f>
        <v>19215.859495</v>
      </c>
      <c r="C11580" t="n" s="0">
        <v>19215.859494999997</v>
      </c>
    </row>
    <row r="11581">
      <c r="A11581" t="n" s="0">
        <v>15.8</v>
      </c>
      <c r="B11581" t="n" s="0">
        <f>(-5-((((-5*(-5/((-5/(((-5*(15.8--5))-(-5+((-5*15.8)*(((-5--5)+(15.8--5))+15.8))))-(-5+-5)))*-5)))/-5)--5)+(-5*(((15.8*(15.8-(-5/-5)))*(15.8-(15.8/(-5*15.8))))-(-5/-5)))))</f>
        <v>19252.680000000004</v>
      </c>
      <c r="C11581" t="n" s="0">
        <v>19252.680000000004</v>
      </c>
    </row>
    <row r="11582">
      <c r="A11582" t="n" s="0">
        <v>15.81</v>
      </c>
      <c r="B11582" t="n" s="0">
        <f>(-5-((((-5*(-5/((-5/(((-5*(15.81--5))-(-5+((-5*15.81)*(((-5--5)+(15.81--5))+15.81))))-(-5+-5)))*-5)))/-5)--5)+(-5*(((15.81*(15.81-(-5/-5)))*(15.81-(15.81/(-5*15.81))))-(-5/-5)))))</f>
        <v>19289.547505</v>
      </c>
      <c r="C11582" t="n" s="0">
        <v>19289.547505000002</v>
      </c>
    </row>
    <row r="11583">
      <c r="A11583" t="n" s="0">
        <v>15.82</v>
      </c>
      <c r="B11583" t="n" s="0">
        <f>(-5-((((-5*(-5/((-5/(((-5*(15.82--5))-(-5+((-5*15.82)*(((-5--5)+(15.82--5))+15.82))))-(-5+-5)))*-5)))/-5)--5)+(-5*(((15.82*(15.82-(-5/-5)))*(15.82-(15.82/(-5*15.82))))-(-5/-5)))))</f>
        <v>19326.462040000002</v>
      </c>
      <c r="C11583" t="n" s="0">
        <v>19326.462040000002</v>
      </c>
    </row>
    <row r="11584">
      <c r="A11584" t="n" s="0">
        <v>15.83</v>
      </c>
      <c r="B11584" t="n" s="0">
        <f>(-5-((((-5*(-5/((-5/(((-5*(15.83--5))-(-5+((-5*15.83)*(((-5--5)+(15.83--5))+15.83))))-(-5+-5)))*-5)))/-5)--5)+(-5*(((15.83*(15.83-(-5/-5)))*(15.83-(15.83/(-5*15.83))))-(-5/-5)))))</f>
        <v>19363.423635</v>
      </c>
      <c r="C11584" t="n" s="0">
        <v>19363.423635</v>
      </c>
    </row>
    <row r="11585">
      <c r="A11585" t="n" s="0">
        <v>15.84</v>
      </c>
      <c r="B11585" t="n" s="0">
        <f>(-5-((((-5*(-5/((-5/(((-5*(15.84--5))-(-5+((-5*15.84)*(((-5--5)+(15.84--5))+15.84))))-(-5+-5)))*-5)))/-5)--5)+(-5*(((15.84*(15.84-(-5/-5)))*(15.84-(15.84/(-5*15.84))))-(-5/-5)))))</f>
        <v>19400.43232</v>
      </c>
      <c r="C11585" t="n" s="0">
        <v>19400.43232</v>
      </c>
    </row>
    <row r="11586">
      <c r="A11586" t="n" s="0">
        <v>15.85</v>
      </c>
      <c r="B11586" t="n" s="0">
        <f>(-5-((((-5*(-5/((-5/(((-5*(15.85--5))-(-5+((-5*15.85)*(((-5--5)+(15.85--5))+15.85))))-(-5+-5)))*-5)))/-5)--5)+(-5*(((15.85*(15.85-(-5/-5)))*(15.85-(15.85/(-5*15.85))))-(-5/-5)))))</f>
        <v>19437.488125</v>
      </c>
      <c r="C11586" t="n" s="0">
        <v>19437.488125</v>
      </c>
    </row>
    <row r="11587">
      <c r="A11587" t="n" s="0">
        <v>15.86</v>
      </c>
      <c r="B11587" t="n" s="0">
        <f>(-5-((((-5*(-5/((-5/(((-5*(15.86--5))-(-5+((-5*15.86)*(((-5--5)+(15.86--5))+15.86))))-(-5+-5)))*-5)))/-5)--5)+(-5*(((15.86*(15.86-(-5/-5)))*(15.86-(15.86/(-5*15.86))))-(-5/-5)))))</f>
        <v>19474.59108</v>
      </c>
      <c r="C11587" t="n" s="0">
        <v>19474.59108</v>
      </c>
    </row>
    <row r="11588">
      <c r="A11588" t="n" s="0">
        <v>15.87</v>
      </c>
      <c r="B11588" t="n" s="0">
        <f>(-5-((((-5*(-5/((-5/(((-5*(15.87--5))-(-5+((-5*15.87)*(((-5--5)+(15.87--5))+15.87))))-(-5+-5)))*-5)))/-5)--5)+(-5*(((15.87*(15.87-(-5/-5)))*(15.87-(15.87/(-5*15.87))))-(-5/-5)))))</f>
        <v>19511.741215000002</v>
      </c>
      <c r="C11588" t="n" s="0">
        <v>19511.741214999995</v>
      </c>
    </row>
    <row r="11589">
      <c r="A11589" t="n" s="0">
        <v>15.88</v>
      </c>
      <c r="B11589" t="n" s="0">
        <f>(-5-((((-5*(-5/((-5/(((-5*(15.88--5))-(-5+((-5*15.88)*(((-5--5)+(15.88--5))+15.88))))-(-5+-5)))*-5)))/-5)--5)+(-5*(((15.88*(15.88-(-5/-5)))*(15.88-(15.88/(-5*15.88))))-(-5/-5)))))</f>
        <v>19548.938560000002</v>
      </c>
      <c r="C11589" t="n" s="0">
        <v>19548.938560000002</v>
      </c>
    </row>
    <row r="11590">
      <c r="A11590" t="n" s="0">
        <v>15.89</v>
      </c>
      <c r="B11590" t="n" s="0">
        <f>(-5-((((-5*(-5/((-5/(((-5*(15.89--5))-(-5+((-5*15.89)*(((-5--5)+(15.89--5))+15.89))))-(-5+-5)))*-5)))/-5)--5)+(-5*(((15.89*(15.89-(-5/-5)))*(15.89-(15.89/(-5*15.89))))-(-5/-5)))))</f>
        <v>19586.183145</v>
      </c>
      <c r="C11590" t="n" s="0">
        <v>19586.183145</v>
      </c>
    </row>
    <row r="11591">
      <c r="A11591" t="n" s="0">
        <v>15.9</v>
      </c>
      <c r="B11591" t="n" s="0">
        <f>(-5-((((-5*(-5/((-5/(((-5*(15.9--5))-(-5+((-5*15.9)*(((-5--5)+(15.9--5))+15.9))))-(-5+-5)))*-5)))/-5)--5)+(-5*(((15.9*(15.9-(-5/-5)))*(15.9-(15.9/(-5*15.9))))-(-5/-5)))))</f>
        <v>19623.475000000002</v>
      </c>
      <c r="C11591" t="n" s="0">
        <v>19623.475000000002</v>
      </c>
    </row>
    <row r="11592">
      <c r="A11592" t="n" s="0">
        <v>15.91</v>
      </c>
      <c r="B11592" t="n" s="0">
        <f>(-5-((((-5*(-5/((-5/(((-5*(15.91--5))-(-5+((-5*15.91)*(((-5--5)+(15.91--5))+15.91))))-(-5+-5)))*-5)))/-5)--5)+(-5*(((15.91*(15.91-(-5/-5)))*(15.91-(15.91/(-5*15.91))))-(-5/-5)))))</f>
        <v>19660.814155</v>
      </c>
      <c r="C11592" t="n" s="0">
        <v>19660.814155</v>
      </c>
    </row>
    <row r="11593">
      <c r="A11593" t="n" s="0">
        <v>15.92</v>
      </c>
      <c r="B11593" t="n" s="0">
        <f>(-5-((((-5*(-5/((-5/(((-5*(15.92--5))-(-5+((-5*15.92)*(((-5--5)+(15.92--5))+15.92))))-(-5+-5)))*-5)))/-5)--5)+(-5*(((15.92*(15.92-(-5/-5)))*(15.92-(15.92/(-5*15.92))))-(-5/-5)))))</f>
        <v>19698.200640000003</v>
      </c>
      <c r="C11593" t="n" s="0">
        <v>19698.20064</v>
      </c>
    </row>
    <row r="11594">
      <c r="A11594" t="n" s="0">
        <v>15.93</v>
      </c>
      <c r="B11594" t="n" s="0">
        <f>(-5-((((-5*(-5/((-5/(((-5*(15.93--5))-(-5+((-5*15.93)*(((-5--5)+(15.93--5))+15.93))))-(-5+-5)))*-5)))/-5)--5)+(-5*(((15.93*(15.93-(-5/-5)))*(15.93-(15.93/(-5*15.93))))-(-5/-5)))))</f>
        <v>19735.634485</v>
      </c>
      <c r="C11594" t="n" s="0">
        <v>19735.634485</v>
      </c>
    </row>
    <row r="11595">
      <c r="A11595" t="n" s="0">
        <v>15.94</v>
      </c>
      <c r="B11595" t="n" s="0">
        <f>(-5-((((-5*(-5/((-5/(((-5*(15.94--5))-(-5+((-5*15.94)*(((-5--5)+(15.94--5))+15.94))))-(-5+-5)))*-5)))/-5)--5)+(-5*(((15.94*(15.94-(-5/-5)))*(15.94-(15.94/(-5*15.94))))-(-5/-5)))))</f>
        <v>19773.115719999998</v>
      </c>
      <c r="C11595" t="n" s="0">
        <v>19773.115719999998</v>
      </c>
    </row>
    <row r="11596">
      <c r="A11596" t="n" s="0">
        <v>15.95</v>
      </c>
      <c r="B11596" t="n" s="0">
        <f>(-5-((((-5*(-5/((-5/(((-5*(15.95--5))-(-5+((-5*15.95)*(((-5--5)+(15.95--5))+15.95))))-(-5+-5)))*-5)))/-5)--5)+(-5*(((15.95*(15.95-(-5/-5)))*(15.95-(15.95/(-5*15.95))))-(-5/-5)))))</f>
        <v>19810.644375</v>
      </c>
      <c r="C11596" t="n" s="0">
        <v>19810.644374999996</v>
      </c>
    </row>
    <row r="11597">
      <c r="A11597" t="n" s="0">
        <v>15.96</v>
      </c>
      <c r="B11597" t="n" s="0">
        <f>(-5-((((-5*(-5/((-5/(((-5*(15.96--5))-(-5+((-5*15.96)*(((-5--5)+(15.96--5))+15.96))))-(-5+-5)))*-5)))/-5)--5)+(-5*(((15.96*(15.96-(-5/-5)))*(15.96-(15.96/(-5*15.96))))-(-5/-5)))))</f>
        <v>19848.22048</v>
      </c>
      <c r="C11597" t="n" s="0">
        <v>19848.220480000004</v>
      </c>
    </row>
    <row r="11598">
      <c r="A11598" t="n" s="0">
        <v>15.97</v>
      </c>
      <c r="B11598" t="n" s="0">
        <f>(-5-((((-5*(-5/((-5/(((-5*(15.97--5))-(-5+((-5*15.97)*(((-5--5)+(15.97--5))+15.97))))-(-5+-5)))*-5)))/-5)--5)+(-5*(((15.97*(15.97-(-5/-5)))*(15.97-(15.97/(-5*15.97))))-(-5/-5)))))</f>
        <v>19885.844065</v>
      </c>
      <c r="C11598" t="n" s="0">
        <v>19885.844065</v>
      </c>
    </row>
    <row r="11599">
      <c r="A11599" t="n" s="0">
        <v>15.98</v>
      </c>
      <c r="B11599" t="n" s="0">
        <f>(-5-((((-5*(-5/((-5/(((-5*(15.98--5))-(-5+((-5*15.98)*(((-5--5)+(15.98--5))+15.98))))-(-5+-5)))*-5)))/-5)--5)+(-5*(((15.98*(15.98-(-5/-5)))*(15.98-(15.98/(-5*15.98))))-(-5/-5)))))</f>
        <v>19923.515160000003</v>
      </c>
      <c r="C11599" t="n" s="0">
        <v>19923.515160000003</v>
      </c>
    </row>
    <row r="11600">
      <c r="A11600" t="n" s="0">
        <v>15.99</v>
      </c>
      <c r="B11600" t="n" s="0">
        <f>(-5-((((-5*(-5/((-5/(((-5*(15.99--5))-(-5+((-5*15.99)*(((-5--5)+(15.99--5))+15.99))))-(-5+-5)))*-5)))/-5)--5)+(-5*(((15.99*(15.99-(-5/-5)))*(15.99-(15.99/(-5*15.99))))-(-5/-5)))))</f>
        <v>19961.233795</v>
      </c>
      <c r="C11600" t="n" s="0">
        <v>19961.233795000004</v>
      </c>
    </row>
    <row r="11601">
      <c r="A11601" t="n" s="0">
        <v>16.0</v>
      </c>
      <c r="B11601" t="n" s="0">
        <f>(-5-((((-5*(-5/((-5/(((-5*(16--5))-(-5+((-5*16)*(((-5--5)+(16--5))+16))))-(-5+-5)))*-5)))/-5)--5)+(-5*(((16*(16-(-5/-5)))*(16-(16/(-5*16))))-(-5/-5)))))</f>
        <v>19999.000000000004</v>
      </c>
      <c r="C11601" t="n" s="0">
        <v>19999.0</v>
      </c>
    </row>
    <row r="11602">
      <c r="A11602" t="n" s="0">
        <v>16.01</v>
      </c>
      <c r="B11602" t="n" s="0">
        <f>(-5-((((-5*(-5/((-5/(((-5*(16.01--5))-(-5+((-5*16.01)*(((-5--5)+(16.01--5))+16.01))))-(-5+-5)))*-5)))/-5)--5)+(-5*(((16.01*(16.01-(-5/-5)))*(16.01-(16.01/(-5*16.01))))-(-5/-5)))))</f>
        <v>20036.813804999998</v>
      </c>
      <c r="C11602" t="n" s="0">
        <v>20036.813805000005</v>
      </c>
    </row>
    <row r="11603">
      <c r="A11603" t="n" s="0">
        <v>16.02</v>
      </c>
      <c r="B11603" t="n" s="0">
        <f>(-5-((((-5*(-5/((-5/(((-5*(16.02--5))-(-5+((-5*16.02)*(((-5--5)+(16.02--5))+16.02))))-(-5+-5)))*-5)))/-5)--5)+(-5*(((16.02*(16.02-(-5/-5)))*(16.02-(16.02/(-5*16.02))))-(-5/-5)))))</f>
        <v>20074.67524</v>
      </c>
      <c r="C11603" t="n" s="0">
        <v>20074.675239999997</v>
      </c>
    </row>
    <row r="11604">
      <c r="A11604" t="n" s="0">
        <v>16.03</v>
      </c>
      <c r="B11604" t="n" s="0">
        <f>(-5-((((-5*(-5/((-5/(((-5*(16.03--5))-(-5+((-5*16.03)*(((-5--5)+(16.03--5))+16.03))))-(-5+-5)))*-5)))/-5)--5)+(-5*(((16.03*(16.03-(-5/-5)))*(16.03-(16.03/(-5*16.03))))-(-5/-5)))))</f>
        <v>20112.584335000003</v>
      </c>
      <c r="C11604" t="n" s="0">
        <v>20112.584335000007</v>
      </c>
    </row>
    <row r="11605">
      <c r="A11605" t="n" s="0">
        <v>16.04</v>
      </c>
      <c r="B11605" t="n" s="0">
        <f>(-5-((((-5*(-5/((-5/(((-5*(16.04--5))-(-5+((-5*16.04)*(((-5--5)+(16.04--5))+16.04))))-(-5+-5)))*-5)))/-5)--5)+(-5*(((16.04*(16.04-(-5/-5)))*(16.04-(16.04/(-5*16.04))))-(-5/-5)))))</f>
        <v>20150.541119999998</v>
      </c>
      <c r="C11605" t="n" s="0">
        <v>20150.541119999994</v>
      </c>
    </row>
    <row r="11606">
      <c r="A11606" t="n" s="0">
        <v>16.05</v>
      </c>
      <c r="B11606" t="n" s="0">
        <f>(-5-((((-5*(-5/((-5/(((-5*(16.05--5))-(-5+((-5*16.05)*(((-5--5)+(16.05--5))+16.05))))-(-5+-5)))*-5)))/-5)--5)+(-5*(((16.05*(16.05-(-5/-5)))*(16.05-(16.05/(-5*16.05))))-(-5/-5)))))</f>
        <v>20188.545625000002</v>
      </c>
      <c r="C11606" t="n" s="0">
        <v>20188.545625000006</v>
      </c>
    </row>
    <row r="11607">
      <c r="A11607" t="n" s="0">
        <v>16.06</v>
      </c>
      <c r="B11607" t="n" s="0">
        <f>(-5-((((-5*(-5/((-5/(((-5*(16.06--5))-(-5+((-5*16.06)*(((-5--5)+(16.06--5))+16.06))))-(-5+-5)))*-5)))/-5)--5)+(-5*(((16.06*(16.06-(-5/-5)))*(16.06-(16.06/(-5*16.06))))-(-5/-5)))))</f>
        <v>20226.59788</v>
      </c>
      <c r="C11607" t="n" s="0">
        <v>20226.597879999994</v>
      </c>
    </row>
    <row r="11608">
      <c r="A11608" t="n" s="0">
        <v>16.07</v>
      </c>
      <c r="B11608" t="n" s="0">
        <f>(-5-((((-5*(-5/((-5/(((-5*(16.07--5))-(-5+((-5*16.07)*(((-5--5)+(16.07--5))+16.07))))-(-5+-5)))*-5)))/-5)--5)+(-5*(((16.07*(16.07-(-5/-5)))*(16.07-(16.07/(-5*16.07))))-(-5/-5)))))</f>
        <v>20264.697915</v>
      </c>
      <c r="C11608" t="n" s="0">
        <v>20264.697915</v>
      </c>
    </row>
    <row r="11609">
      <c r="A11609" t="n" s="0">
        <v>16.08</v>
      </c>
      <c r="B11609" t="n" s="0">
        <f>(-5-((((-5*(-5/((-5/(((-5*(16.08--5))-(-5+((-5*16.08)*(((-5--5)+(16.08--5))+16.08))))-(-5+-5)))*-5)))/-5)--5)+(-5*(((16.08*(16.08-(-5/-5)))*(16.08-(16.08/(-5*16.08))))-(-5/-5)))))</f>
        <v>20302.84576</v>
      </c>
      <c r="C11609" t="n" s="0">
        <v>20302.845759999993</v>
      </c>
    </row>
    <row r="11610">
      <c r="A11610" t="n" s="0">
        <v>16.09</v>
      </c>
      <c r="B11610" t="n" s="0">
        <f>(-5-((((-5*(-5/((-5/(((-5*(16.09--5))-(-5+((-5*16.09)*(((-5--5)+(16.09--5))+16.09))))-(-5+-5)))*-5)))/-5)--5)+(-5*(((16.09*(16.09-(-5/-5)))*(16.09-(16.09/(-5*16.09))))-(-5/-5)))))</f>
        <v>20341.041445000003</v>
      </c>
      <c r="C11610" t="n" s="0">
        <v>20341.041445</v>
      </c>
    </row>
    <row r="11611">
      <c r="A11611" t="n" s="0">
        <v>16.1</v>
      </c>
      <c r="B11611" t="n" s="0">
        <f>(-5-((((-5*(-5/((-5/(((-5*(16.1--5))-(-5+((-5*16.1)*(((-5--5)+(16.1--5))+16.1))))-(-5+-5)))*-5)))/-5)--5)+(-5*(((16.1*(16.1-(-5/-5)))*(16.1-(16.1/(-5*16.1))))-(-5/-5)))))</f>
        <v>20379.285</v>
      </c>
      <c r="C11611" t="n" s="0">
        <v>20379.285000000007</v>
      </c>
    </row>
    <row r="11612">
      <c r="A11612" t="n" s="0">
        <v>16.11</v>
      </c>
      <c r="B11612" t="n" s="0">
        <f>(-5-((((-5*(-5/((-5/(((-5*(16.11--5))-(-5+((-5*16.11)*(((-5--5)+(16.11--5))+16.11))))-(-5+-5)))*-5)))/-5)--5)+(-5*(((16.11*(16.11-(-5/-5)))*(16.11-(16.11/(-5*16.11))))-(-5/-5)))))</f>
        <v>20417.576455</v>
      </c>
      <c r="C11612" t="n" s="0">
        <v>20417.576455</v>
      </c>
    </row>
    <row r="11613">
      <c r="A11613" t="n" s="0">
        <v>16.12</v>
      </c>
      <c r="B11613" t="n" s="0">
        <f>(-5-((((-5*(-5/((-5/(((-5*(16.12--5))-(-5+((-5*16.12)*(((-5--5)+(16.12--5))+16.12))))-(-5+-5)))*-5)))/-5)--5)+(-5*(((16.12*(16.12-(-5/-5)))*(16.12-(16.12/(-5*16.12))))-(-5/-5)))))</f>
        <v>20455.915839999998</v>
      </c>
      <c r="C11613" t="n" s="0">
        <v>20455.915840000005</v>
      </c>
    </row>
    <row r="11614">
      <c r="A11614" t="n" s="0">
        <v>16.13</v>
      </c>
      <c r="B11614" t="n" s="0">
        <f>(-5-((((-5*(-5/((-5/(((-5*(16.13--5))-(-5+((-5*16.13)*(((-5--5)+(16.13--5))+16.13))))-(-5+-5)))*-5)))/-5)--5)+(-5*(((16.13*(16.13-(-5/-5)))*(16.13-(16.13/(-5*16.13))))-(-5/-5)))))</f>
        <v>20494.303185</v>
      </c>
      <c r="C11614" t="n" s="0">
        <v>20494.303184999993</v>
      </c>
    </row>
    <row r="11615">
      <c r="A11615" t="n" s="0">
        <v>16.14</v>
      </c>
      <c r="B11615" t="n" s="0">
        <f>(-5-((((-5*(-5/((-5/(((-5*(16.14--5))-(-5+((-5*16.14)*(((-5--5)+(16.14--5))+16.14))))-(-5+-5)))*-5)))/-5)--5)+(-5*(((16.14*(16.14-(-5/-5)))*(16.14-(16.14/(-5*16.14))))-(-5/-5)))))</f>
        <v>20532.73852</v>
      </c>
      <c r="C11615" t="n" s="0">
        <v>20532.73852</v>
      </c>
    </row>
    <row r="11616">
      <c r="A11616" t="n" s="0">
        <v>16.15</v>
      </c>
      <c r="B11616" t="n" s="0">
        <f>(-5-((((-5*(-5/((-5/(((-5*(16.15--5))-(-5+((-5*16.15)*(((-5--5)+(16.15--5))+16.15))))-(-5+-5)))*-5)))/-5)--5)+(-5*(((16.15*(16.15-(-5/-5)))*(16.15-(16.15/(-5*16.15))))-(-5/-5)))))</f>
        <v>20571.221875</v>
      </c>
      <c r="C11616" t="n" s="0">
        <v>20571.221874999996</v>
      </c>
    </row>
    <row r="11617">
      <c r="A11617" t="n" s="0">
        <v>16.16</v>
      </c>
      <c r="B11617" t="n" s="0">
        <f>(-5-((((-5*(-5/((-5/(((-5*(16.16--5))-(-5+((-5*16.16)*(((-5--5)+(16.16--5))+16.16))))-(-5+-5)))*-5)))/-5)--5)+(-5*(((16.16*(16.16-(-5/-5)))*(16.16-(16.16/(-5*16.16))))-(-5/-5)))))</f>
        <v>20609.75328</v>
      </c>
      <c r="C11617" t="n" s="0">
        <v>20609.75328</v>
      </c>
    </row>
    <row r="11618">
      <c r="A11618" t="n" s="0">
        <v>16.17</v>
      </c>
      <c r="B11618" t="n" s="0">
        <f>(-5-((((-5*(-5/((-5/(((-5*(16.17--5))-(-5+((-5*16.17)*(((-5--5)+(16.17--5))+16.17))))-(-5+-5)))*-5)))/-5)--5)+(-5*(((16.17*(16.17-(-5/-5)))*(16.17-(16.17/(-5*16.17))))-(-5/-5)))))</f>
        <v>20648.332765</v>
      </c>
      <c r="C11618" t="n" s="0">
        <v>20648.332765000003</v>
      </c>
    </row>
    <row r="11619">
      <c r="A11619" t="n" s="0">
        <v>16.18</v>
      </c>
      <c r="B11619" t="n" s="0">
        <f>(-5-((((-5*(-5/((-5/(((-5*(16.18--5))-(-5+((-5*16.18)*(((-5--5)+(16.18--5))+16.18))))-(-5+-5)))*-5)))/-5)--5)+(-5*(((16.18*(16.18-(-5/-5)))*(16.18-(16.18/(-5*16.18))))-(-5/-5)))))</f>
        <v>20686.96036</v>
      </c>
      <c r="C11619" t="n" s="0">
        <v>20686.960359999997</v>
      </c>
    </row>
    <row r="11620">
      <c r="A11620" t="n" s="0">
        <v>16.19</v>
      </c>
      <c r="B11620" t="n" s="0">
        <f>(-5-((((-5*(-5/((-5/(((-5*(16.19--5))-(-5+((-5*16.19)*(((-5--5)+(16.19--5))+16.19))))-(-5+-5)))*-5)))/-5)--5)+(-5*(((16.19*(16.19-(-5/-5)))*(16.19-(16.19/(-5*16.19))))-(-5/-5)))))</f>
        <v>20725.636095</v>
      </c>
      <c r="C11620" t="n" s="0">
        <v>20725.636095000005</v>
      </c>
    </row>
    <row r="11621">
      <c r="A11621" t="n" s="0">
        <v>16.2</v>
      </c>
      <c r="B11621" t="n" s="0">
        <f>(-5-((((-5*(-5/((-5/(((-5*(16.2--5))-(-5+((-5*16.2)*(((-5--5)+(16.2--5))+16.2))))-(-5+-5)))*-5)))/-5)--5)+(-5*(((16.2*(16.2-(-5/-5)))*(16.2-(16.2/(-5*16.2))))-(-5/-5)))))</f>
        <v>20764.36</v>
      </c>
      <c r="C11621" t="n" s="0">
        <v>20764.359999999993</v>
      </c>
    </row>
    <row r="11622">
      <c r="A11622" t="n" s="0">
        <v>16.21</v>
      </c>
      <c r="B11622" t="n" s="0">
        <f>(-5-((((-5*(-5/((-5/(((-5*(16.21--5))-(-5+((-5*16.21)*(((-5--5)+(16.21--5))+16.21))))-(-5+-5)))*-5)))/-5)--5)+(-5*(((16.21*(16.21-(-5/-5)))*(16.21-(16.21/(-5*16.21))))-(-5/-5)))))</f>
        <v>20803.132105</v>
      </c>
      <c r="C11622" t="n" s="0">
        <v>20803.132105000004</v>
      </c>
    </row>
    <row r="11623">
      <c r="A11623" t="n" s="0">
        <v>16.22</v>
      </c>
      <c r="B11623" t="n" s="0">
        <f>(-5-((((-5*(-5/((-5/(((-5*(16.22--5))-(-5+((-5*16.22)*(((-5--5)+(16.22--5))+16.22))))-(-5+-5)))*-5)))/-5)--5)+(-5*(((16.22*(16.22-(-5/-5)))*(16.22-(16.22/(-5*16.22))))-(-5/-5)))))</f>
        <v>20841.952439999997</v>
      </c>
      <c r="C11623" t="n" s="0">
        <v>20841.952439999997</v>
      </c>
    </row>
    <row r="11624">
      <c r="A11624" t="n" s="0">
        <v>16.23</v>
      </c>
      <c r="B11624" t="n" s="0">
        <f>(-5-((((-5*(-5/((-5/(((-5*(16.23--5))-(-5+((-5*16.23)*(((-5--5)+(16.23--5))+16.23))))-(-5+-5)))*-5)))/-5)--5)+(-5*(((16.23*(16.23-(-5/-5)))*(16.23-(16.23/(-5*16.23))))-(-5/-5)))))</f>
        <v>20880.821035</v>
      </c>
      <c r="C11624" t="n" s="0">
        <v>20880.821035</v>
      </c>
    </row>
    <row r="11625">
      <c r="A11625" t="n" s="0">
        <v>16.24</v>
      </c>
      <c r="B11625" t="n" s="0">
        <f>(-5-((((-5*(-5/((-5/(((-5*(16.24--5))-(-5+((-5*16.24)*(((-5--5)+(16.24--5))+16.24))))-(-5+-5)))*-5)))/-5)--5)+(-5*(((16.24*(16.24-(-5/-5)))*(16.24-(16.24/(-5*16.24))))-(-5/-5)))))</f>
        <v>20919.73792</v>
      </c>
      <c r="C11625" t="n" s="0">
        <v>20919.737919999992</v>
      </c>
    </row>
    <row r="11626">
      <c r="A11626" t="n" s="0">
        <v>16.25</v>
      </c>
      <c r="B11626" t="n" s="0">
        <f>(-5-((((-5*(-5/((-5/(((-5*(16.25--5))-(-5+((-5*16.25)*(((-5--5)+(16.25--5))+16.25))))-(-5+-5)))*-5)))/-5)--5)+(-5*(((16.25*(16.25-(-5/-5)))*(16.25-(16.25/(-5*16.25))))-(-5/-5)))))</f>
        <v>20958.703125000004</v>
      </c>
      <c r="C11626" t="n" s="0">
        <v>20958.703125</v>
      </c>
    </row>
    <row r="11627">
      <c r="A11627" t="n" s="0">
        <v>16.26</v>
      </c>
      <c r="B11627" t="n" s="0">
        <f>(-5-((((-5*(-5/((-5/(((-5*(16.26--5))-(-5+((-5*16.26)*(((-5--5)+(16.26--5))+16.26))))-(-5+-5)))*-5)))/-5)--5)+(-5*(((16.26*(16.26-(-5/-5)))*(16.26-(16.26/(-5*16.26))))-(-5/-5)))))</f>
        <v>20997.71668</v>
      </c>
      <c r="C11627" t="n" s="0">
        <v>20997.71668</v>
      </c>
    </row>
    <row r="11628">
      <c r="A11628" t="n" s="0">
        <v>16.27</v>
      </c>
      <c r="B11628" t="n" s="0">
        <f>(-5-((((-5*(-5/((-5/(((-5*(16.27--5))-(-5+((-5*16.27)*(((-5--5)+(16.27--5))+16.27))))-(-5+-5)))*-5)))/-5)--5)+(-5*(((16.27*(16.27-(-5/-5)))*(16.27-(16.27/(-5*16.27))))-(-5/-5)))))</f>
        <v>21036.778615</v>
      </c>
      <c r="C11628" t="n" s="0">
        <v>21036.778614999996</v>
      </c>
    </row>
    <row r="11629">
      <c r="A11629" t="n" s="0">
        <v>16.28</v>
      </c>
      <c r="B11629" t="n" s="0">
        <f>(-5-((((-5*(-5/((-5/(((-5*(16.28--5))-(-5+((-5*16.28)*(((-5--5)+(16.28--5))+16.28))))-(-5+-5)))*-5)))/-5)--5)+(-5*(((16.28*(16.28-(-5/-5)))*(16.28-(16.28/(-5*16.28))))-(-5/-5)))))</f>
        <v>21075.88896</v>
      </c>
      <c r="C11629" t="n" s="0">
        <v>21075.888960000008</v>
      </c>
    </row>
    <row r="11630">
      <c r="A11630" t="n" s="0">
        <v>16.29</v>
      </c>
      <c r="B11630" t="n" s="0">
        <f>(-5-((((-5*(-5/((-5/(((-5*(16.29--5))-(-5+((-5*16.29)*(((-5--5)+(16.29--5))+16.29))))-(-5+-5)))*-5)))/-5)--5)+(-5*(((16.29*(16.29-(-5/-5)))*(16.29-(16.29/(-5*16.29))))-(-5/-5)))))</f>
        <v>21115.047744999996</v>
      </c>
      <c r="C11630" t="n" s="0">
        <v>21115.047744999996</v>
      </c>
    </row>
    <row r="11631">
      <c r="A11631" t="n" s="0">
        <v>16.3</v>
      </c>
      <c r="B11631" t="n" s="0">
        <f>(-5-((((-5*(-5/((-5/(((-5*(16.3--5))-(-5+((-5*16.3)*(((-5--5)+(16.3--5))+16.3))))-(-5+-5)))*-5)))/-5)--5)+(-5*(((16.3*(16.3-(-5/-5)))*(16.3-(16.3/(-5*16.3))))-(-5/-5)))))</f>
        <v>21154.255</v>
      </c>
      <c r="C11631" t="n" s="0">
        <v>21154.255</v>
      </c>
    </row>
    <row r="11632">
      <c r="A11632" t="n" s="0">
        <v>16.31</v>
      </c>
      <c r="B11632" t="n" s="0">
        <f>(-5-((((-5*(-5/((-5/(((-5*(16.31--5))-(-5+((-5*16.31)*(((-5--5)+(16.31--5))+16.31))))-(-5+-5)))*-5)))/-5)--5)+(-5*(((16.31*(16.31-(-5/-5)))*(16.31-(16.31/(-5*16.31))))-(-5/-5)))))</f>
        <v>21193.510755</v>
      </c>
      <c r="C11632" t="n" s="0">
        <v>21193.510754999992</v>
      </c>
    </row>
    <row r="11633">
      <c r="A11633" t="n" s="0">
        <v>16.32</v>
      </c>
      <c r="B11633" t="n" s="0">
        <f>(-5-((((-5*(-5/((-5/(((-5*(16.32--5))-(-5+((-5*16.32)*(((-5--5)+(16.32--5))+16.32))))-(-5+-5)))*-5)))/-5)--5)+(-5*(((16.32*(16.32-(-5/-5)))*(16.32-(16.32/(-5*16.32))))-(-5/-5)))))</f>
        <v>21232.81504</v>
      </c>
      <c r="C11633" t="n" s="0">
        <v>21232.815040000005</v>
      </c>
    </row>
    <row r="11634">
      <c r="A11634" t="n" s="0">
        <v>16.33</v>
      </c>
      <c r="B11634" t="n" s="0">
        <f>(-5-((((-5*(-5/((-5/(((-5*(16.33--5))-(-5+((-5*16.33)*(((-5--5)+(16.33--5))+16.33))))-(-5+-5)))*-5)))/-5)--5)+(-5*(((16.33*(16.33-(-5/-5)))*(16.33-(16.33/(-5*16.33))))-(-5/-5)))))</f>
        <v>21272.167885000003</v>
      </c>
      <c r="C11634" t="n" s="0">
        <v>21272.16788499999</v>
      </c>
    </row>
    <row r="11635">
      <c r="A11635" t="n" s="0">
        <v>16.34</v>
      </c>
      <c r="B11635" t="n" s="0">
        <f>(-5-((((-5*(-5/((-5/(((-5*(16.34--5))-(-5+((-5*16.34)*(((-5--5)+(16.34--5))+16.34))))-(-5+-5)))*-5)))/-5)--5)+(-5*(((16.34*(16.34-(-5/-5)))*(16.34-(16.34/(-5*16.34))))-(-5/-5)))))</f>
        <v>21311.56932</v>
      </c>
      <c r="C11635" t="n" s="0">
        <v>21311.569320000002</v>
      </c>
    </row>
    <row r="11636">
      <c r="A11636" t="n" s="0">
        <v>16.35</v>
      </c>
      <c r="B11636" t="n" s="0">
        <f>(-5-((((-5*(-5/((-5/(((-5*(16.35--5))-(-5+((-5*16.35)*(((-5--5)+(16.35--5))+16.35))))-(-5+-5)))*-5)))/-5)--5)+(-5*(((16.35*(16.35-(-5/-5)))*(16.35-(16.35/(-5*16.35))))-(-5/-5)))))</f>
        <v>21351.019375</v>
      </c>
      <c r="C11636" t="n" s="0">
        <v>21351.019375000003</v>
      </c>
    </row>
    <row r="11637">
      <c r="A11637" t="n" s="0">
        <v>16.36</v>
      </c>
      <c r="B11637" t="n" s="0">
        <f>(-5-((((-5*(-5/((-5/(((-5*(16.36--5))-(-5+((-5*16.36)*(((-5--5)+(16.36--5))+16.36))))-(-5+-5)))*-5)))/-5)--5)+(-5*(((16.36*(16.36-(-5/-5)))*(16.36-(16.36/(-5*16.36))))-(-5/-5)))))</f>
        <v>21390.518079999998</v>
      </c>
      <c r="C11637" t="n" s="0">
        <v>21390.518079999994</v>
      </c>
    </row>
    <row r="11638">
      <c r="A11638" t="n" s="0">
        <v>16.37</v>
      </c>
      <c r="B11638" t="n" s="0">
        <f>(-5-((((-5*(-5/((-5/(((-5*(16.37--5))-(-5+((-5*16.37)*(((-5--5)+(16.37--5))+16.37))))-(-5+-5)))*-5)))/-5)--5)+(-5*(((16.37*(16.37-(-5/-5)))*(16.37-(16.37/(-5*16.37))))-(-5/-5)))))</f>
        <v>21430.065465</v>
      </c>
      <c r="C11638" t="n" s="0">
        <v>21430.065465000003</v>
      </c>
    </row>
    <row r="11639">
      <c r="A11639" t="n" s="0">
        <v>16.38</v>
      </c>
      <c r="B11639" t="n" s="0">
        <f>(-5-((((-5*(-5/((-5/(((-5*(16.38--5))-(-5+((-5*16.38)*(((-5--5)+(16.38--5))+16.38))))-(-5+-5)))*-5)))/-5)--5)+(-5*(((16.38*(16.38-(-5/-5)))*(16.38-(16.38/(-5*16.38))))-(-5/-5)))))</f>
        <v>21469.661559999997</v>
      </c>
      <c r="C11639" t="n" s="0">
        <v>21469.661559999993</v>
      </c>
    </row>
    <row r="11640">
      <c r="A11640" t="n" s="0">
        <v>16.39</v>
      </c>
      <c r="B11640" t="n" s="0">
        <f>(-5-((((-5*(-5/((-5/(((-5*(16.39--5))-(-5+((-5*16.39)*(((-5--5)+(16.39--5))+16.39))))-(-5+-5)))*-5)))/-5)--5)+(-5*(((16.39*(16.39-(-5/-5)))*(16.39-(16.39/(-5*16.39))))-(-5/-5)))))</f>
        <v>21509.306395</v>
      </c>
      <c r="C11640" t="n" s="0">
        <v>21509.306395</v>
      </c>
    </row>
    <row r="11641">
      <c r="A11641" t="n" s="0">
        <v>16.4</v>
      </c>
      <c r="B11641" t="n" s="0">
        <f>(-5-((((-5*(-5/((-5/(((-5*(16.4--5))-(-5+((-5*16.4)*(((-5--5)+(16.4--5))+16.4))))-(-5+-5)))*-5)))/-5)--5)+(-5*(((16.4*(16.4-(-5/-5)))*(16.4-(16.4/(-5*16.4))))-(-5/-5)))))</f>
        <v>21549.0</v>
      </c>
      <c r="C11641" t="n" s="0">
        <v>21548.999999999996</v>
      </c>
    </row>
    <row r="11642">
      <c r="A11642" t="n" s="0">
        <v>16.41</v>
      </c>
      <c r="B11642" t="n" s="0">
        <f>(-5-((((-5*(-5/((-5/(((-5*(16.41--5))-(-5+((-5*16.41)*(((-5--5)+(16.41--5))+16.41))))-(-5+-5)))*-5)))/-5)--5)+(-5*(((16.41*(16.41-(-5/-5)))*(16.41-(16.41/(-5*16.41))))-(-5/-5)))))</f>
        <v>21588.742404999997</v>
      </c>
      <c r="C11642" t="n" s="0">
        <v>21588.742405</v>
      </c>
    </row>
    <row r="11643">
      <c r="A11643" t="n" s="0">
        <v>16.42</v>
      </c>
      <c r="B11643" t="n" s="0">
        <f>(-5-((((-5*(-5/((-5/(((-5*(16.42--5))-(-5+((-5*16.42)*(((-5--5)+(16.42--5))+16.42))))-(-5+-5)))*-5)))/-5)--5)+(-5*(((16.42*(16.42-(-5/-5)))*(16.42-(16.42/(-5*16.42))))-(-5/-5)))))</f>
        <v>21628.533639999998</v>
      </c>
      <c r="C11643" t="n" s="0">
        <v>21628.533640000005</v>
      </c>
    </row>
    <row r="11644">
      <c r="A11644" t="n" s="0">
        <v>16.43</v>
      </c>
      <c r="B11644" t="n" s="0">
        <f>(-5-((((-5*(-5/((-5/(((-5*(16.43--5))-(-5+((-5*16.43)*(((-5--5)+(16.43--5))+16.43))))-(-5+-5)))*-5)))/-5)--5)+(-5*(((16.43*(16.43-(-5/-5)))*(16.43-(16.43/(-5*16.43))))-(-5/-5)))))</f>
        <v>21668.373734999997</v>
      </c>
      <c r="C11644" t="n" s="0">
        <v>21668.373734999997</v>
      </c>
    </row>
    <row r="11645">
      <c r="A11645" t="n" s="0">
        <v>16.44</v>
      </c>
      <c r="B11645" t="n" s="0">
        <f>(-5-((((-5*(-5/((-5/(((-5*(16.44--5))-(-5+((-5*16.44)*(((-5--5)+(16.44--5))+16.44))))-(-5+-5)))*-5)))/-5)--5)+(-5*(((16.44*(16.44-(-5/-5)))*(16.44-(16.44/(-5*16.44))))-(-5/-5)))))</f>
        <v>21708.262720000002</v>
      </c>
      <c r="C11645" t="n" s="0">
        <v>21708.262720000002</v>
      </c>
    </row>
    <row r="11646">
      <c r="A11646" t="n" s="0">
        <v>16.45</v>
      </c>
      <c r="B11646" t="n" s="0">
        <f>(-5-((((-5*(-5/((-5/(((-5*(16.45--5))-(-5+((-5*16.45)*(((-5--5)+(16.45--5))+16.45))))-(-5+-5)))*-5)))/-5)--5)+(-5*(((16.45*(16.45-(-5/-5)))*(16.45-(16.45/(-5*16.45))))-(-5/-5)))))</f>
        <v>21748.200625</v>
      </c>
      <c r="C11646" t="n" s="0">
        <v>21748.200624999998</v>
      </c>
    </row>
    <row r="11647">
      <c r="A11647" t="n" s="0">
        <v>16.46</v>
      </c>
      <c r="B11647" t="n" s="0">
        <f>(-5-((((-5*(-5/((-5/(((-5*(16.46--5))-(-5+((-5*16.46)*(((-5--5)+(16.46--5))+16.46))))-(-5+-5)))*-5)))/-5)--5)+(-5*(((16.46*(16.46-(-5/-5)))*(16.46-(16.46/(-5*16.46))))-(-5/-5)))))</f>
        <v>21788.187480000004</v>
      </c>
      <c r="C11647" t="n" s="0">
        <v>21788.187480000008</v>
      </c>
    </row>
    <row r="11648">
      <c r="A11648" t="n" s="0">
        <v>16.47</v>
      </c>
      <c r="B11648" t="n" s="0">
        <f>(-5-((((-5*(-5/((-5/(((-5*(16.47--5))-(-5+((-5*16.47)*(((-5--5)+(16.47--5))+16.47))))-(-5+-5)))*-5)))/-5)--5)+(-5*(((16.47*(16.47-(-5/-5)))*(16.47-(16.47/(-5*16.47))))-(-5/-5)))))</f>
        <v>21828.223315</v>
      </c>
      <c r="C11648" t="n" s="0">
        <v>21828.223314999996</v>
      </c>
    </row>
    <row r="11649">
      <c r="A11649" t="n" s="0">
        <v>16.48</v>
      </c>
      <c r="B11649" t="n" s="0">
        <f>(-5-((((-5*(-5/((-5/(((-5*(16.48--5))-(-5+((-5*16.48)*(((-5--5)+(16.48--5))+16.48))))-(-5+-5)))*-5)))/-5)--5)+(-5*(((16.48*(16.48-(-5/-5)))*(16.48-(16.48/(-5*16.48))))-(-5/-5)))))</f>
        <v>21868.30816</v>
      </c>
      <c r="C11649" t="n" s="0">
        <v>21868.30816</v>
      </c>
    </row>
    <row r="11650">
      <c r="A11650" t="n" s="0">
        <v>16.49</v>
      </c>
      <c r="B11650" t="n" s="0">
        <f>(-5-((((-5*(-5/((-5/(((-5*(16.49--5))-(-5+((-5*16.49)*(((-5--5)+(16.49--5))+16.49))))-(-5+-5)))*-5)))/-5)--5)+(-5*(((16.49*(16.49-(-5/-5)))*(16.49-(16.49/(-5*16.49))))-(-5/-5)))))</f>
        <v>21908.442045</v>
      </c>
      <c r="C11650" t="n" s="0">
        <v>21908.442044999996</v>
      </c>
    </row>
    <row r="11651">
      <c r="A11651" t="n" s="0">
        <v>16.5</v>
      </c>
      <c r="B11651" t="n" s="0">
        <f>(-5-((((-5*(-5/((-5/(((-5*(16.5--5))-(-5+((-5*16.5)*(((-5--5)+(16.5--5))+16.5))))-(-5+-5)))*-5)))/-5)--5)+(-5*(((16.5*(16.5-(-5/-5)))*(16.5-(16.5/(-5*16.5))))-(-5/-5)))))</f>
        <v>21948.625000000004</v>
      </c>
      <c r="C11651" t="n" s="0">
        <v>21948.625</v>
      </c>
    </row>
    <row r="11652">
      <c r="A11652" t="n" s="0">
        <v>16.51</v>
      </c>
      <c r="B11652" t="n" s="0">
        <f>(-5-((((-5*(-5/((-5/(((-5*(16.51--5))-(-5+((-5*16.51)*(((-5--5)+(16.51--5))+16.51))))-(-5+-5)))*-5)))/-5)--5)+(-5*(((16.51*(16.51-(-5/-5)))*(16.51-(16.51/(-5*16.51))))-(-5/-5)))))</f>
        <v>21988.857055</v>
      </c>
      <c r="C11652" t="n" s="0">
        <v>21988.857055000008</v>
      </c>
    </row>
    <row r="11653">
      <c r="A11653" t="n" s="0">
        <v>16.52</v>
      </c>
      <c r="B11653" t="n" s="0">
        <f>(-5-((((-5*(-5/((-5/(((-5*(16.52--5))-(-5+((-5*16.52)*(((-5--5)+(16.52--5))+16.52))))-(-5+-5)))*-5)))/-5)--5)+(-5*(((16.52*(16.52-(-5/-5)))*(16.52-(16.52/(-5*16.52))))-(-5/-5)))))</f>
        <v>22029.13824</v>
      </c>
      <c r="C11653" t="n" s="0">
        <v>22029.13824</v>
      </c>
    </row>
    <row r="11654">
      <c r="A11654" t="n" s="0">
        <v>16.53</v>
      </c>
      <c r="B11654" t="n" s="0">
        <f>(-5-((((-5*(-5/((-5/(((-5*(16.53--5))-(-5+((-5*16.53)*(((-5--5)+(16.53--5))+16.53))))-(-5+-5)))*-5)))/-5)--5)+(-5*(((16.53*(16.53-(-5/-5)))*(16.53-(16.53/(-5*16.53))))-(-5/-5)))))</f>
        <v>22069.468585</v>
      </c>
      <c r="C11654" t="n" s="0">
        <v>22069.468585000006</v>
      </c>
    </row>
    <row r="11655">
      <c r="A11655" t="n" s="0">
        <v>16.54</v>
      </c>
      <c r="B11655" t="n" s="0">
        <f>(-5-((((-5*(-5/((-5/(((-5*(16.54--5))-(-5+((-5*16.54)*(((-5--5)+(16.54--5))+16.54))))-(-5+-5)))*-5)))/-5)--5)+(-5*(((16.54*(16.54-(-5/-5)))*(16.54-(16.54/(-5*16.54))))-(-5/-5)))))</f>
        <v>22109.84812</v>
      </c>
      <c r="C11655" t="n" s="0">
        <v>22109.848119999995</v>
      </c>
    </row>
    <row r="11656">
      <c r="A11656" t="n" s="0">
        <v>16.55</v>
      </c>
      <c r="B11656" t="n" s="0">
        <f>(-5-((((-5*(-5/((-5/(((-5*(16.55--5))-(-5+((-5*16.55)*(((-5--5)+(16.55--5))+16.55))))-(-5+-5)))*-5)))/-5)--5)+(-5*(((16.55*(16.55-(-5/-5)))*(16.55-(16.55/(-5*16.55))))-(-5/-5)))))</f>
        <v>22150.276875</v>
      </c>
      <c r="C11656" t="n" s="0">
        <v>22150.276875000003</v>
      </c>
    </row>
    <row r="11657">
      <c r="A11657" t="n" s="0">
        <v>16.56</v>
      </c>
      <c r="B11657" t="n" s="0">
        <f>(-5-((((-5*(-5/((-5/(((-5*(16.56--5))-(-5+((-5*16.56)*(((-5--5)+(16.56--5))+16.56))))-(-5+-5)))*-5)))/-5)--5)+(-5*(((16.56*(16.56-(-5/-5)))*(16.56-(16.56/(-5*16.56))))-(-5/-5)))))</f>
        <v>22190.75488</v>
      </c>
      <c r="C11657" t="n" s="0">
        <v>22190.754879999997</v>
      </c>
    </row>
    <row r="11658">
      <c r="A11658" t="n" s="0">
        <v>16.57</v>
      </c>
      <c r="B11658" t="n" s="0">
        <f>(-5-((((-5*(-5/((-5/(((-5*(16.57--5))-(-5+((-5*16.57)*(((-5--5)+(16.57--5))+16.57))))-(-5+-5)))*-5)))/-5)--5)+(-5*(((16.57*(16.57-(-5/-5)))*(16.57-(16.57/(-5*16.57))))-(-5/-5)))))</f>
        <v>22231.282164999997</v>
      </c>
      <c r="C11658" t="n" s="0">
        <v>22231.282165</v>
      </c>
    </row>
    <row r="11659">
      <c r="A11659" t="n" s="0">
        <v>16.58</v>
      </c>
      <c r="B11659" t="n" s="0">
        <f>(-5-((((-5*(-5/((-5/(((-5*(16.58--5))-(-5+((-5*16.58)*(((-5--5)+(16.58--5))+16.58))))-(-5+-5)))*-5)))/-5)--5)+(-5*(((16.58*(16.58-(-5/-5)))*(16.58-(16.58/(-5*16.58))))-(-5/-5)))))</f>
        <v>22271.85876</v>
      </c>
      <c r="C11659" t="n" s="0">
        <v>22271.858759999996</v>
      </c>
    </row>
    <row r="11660">
      <c r="A11660" t="n" s="0">
        <v>16.59</v>
      </c>
      <c r="B11660" t="n" s="0">
        <f>(-5-((((-5*(-5/((-5/(((-5*(16.59--5))-(-5+((-5*16.59)*(((-5--5)+(16.59--5))+16.59))))-(-5+-5)))*-5)))/-5)--5)+(-5*(((16.59*(16.59-(-5/-5)))*(16.59-(16.59/(-5*16.59))))-(-5/-5)))))</f>
        <v>22312.484695000003</v>
      </c>
      <c r="C11660" t="n" s="0">
        <v>22312.484695000003</v>
      </c>
    </row>
    <row r="11661">
      <c r="A11661" t="n" s="0">
        <v>16.6</v>
      </c>
      <c r="B11661" t="n" s="0">
        <f>(-5-((((-5*(-5/((-5/(((-5*(16.6--5))-(-5+((-5*16.6)*(((-5--5)+(16.6--5))+16.6))))-(-5+-5)))*-5)))/-5)--5)+(-5*(((16.6*(16.6-(-5/-5)))*(16.6-(16.6/(-5*16.6))))-(-5/-5)))))</f>
        <v>22353.16</v>
      </c>
      <c r="C11661" t="n" s="0">
        <v>22353.160000000007</v>
      </c>
    </row>
    <row r="11662">
      <c r="A11662" t="n" s="0">
        <v>16.61</v>
      </c>
      <c r="B11662" t="n" s="0">
        <f>(-5-((((-5*(-5/((-5/(((-5*(16.61--5))-(-5+((-5*16.61)*(((-5--5)+(16.61--5))+16.61))))-(-5+-5)))*-5)))/-5)--5)+(-5*(((16.61*(16.61-(-5/-5)))*(16.61-(16.61/(-5*16.61))))-(-5/-5)))))</f>
        <v>22393.884705</v>
      </c>
      <c r="C11662" t="n" s="0">
        <v>22393.884705</v>
      </c>
    </row>
    <row r="11663">
      <c r="A11663" t="n" s="0">
        <v>16.62</v>
      </c>
      <c r="B11663" t="n" s="0">
        <f>(-5-((((-5*(-5/((-5/(((-5*(16.62--5))-(-5+((-5*16.62)*(((-5--5)+(16.62--5))+16.62))))-(-5+-5)))*-5)))/-5)--5)+(-5*(((16.62*(16.62-(-5/-5)))*(16.62-(16.62/(-5*16.62))))-(-5/-5)))))</f>
        <v>22434.65884</v>
      </c>
      <c r="C11663" t="n" s="0">
        <v>22434.658840000004</v>
      </c>
    </row>
    <row r="11664">
      <c r="A11664" t="n" s="0">
        <v>16.63</v>
      </c>
      <c r="B11664" t="n" s="0">
        <f>(-5-((((-5*(-5/((-5/(((-5*(16.63--5))-(-5+((-5*16.63)*(((-5--5)+(16.63--5))+16.63))))-(-5+-5)))*-5)))/-5)--5)+(-5*(((16.63*(16.63-(-5/-5)))*(16.63-(16.63/(-5*16.63))))-(-5/-5)))))</f>
        <v>22475.482434999998</v>
      </c>
      <c r="C11664" t="n" s="0">
        <v>22475.482434999998</v>
      </c>
    </row>
    <row r="11665">
      <c r="A11665" t="n" s="0">
        <v>16.64</v>
      </c>
      <c r="B11665" t="n" s="0">
        <f>(-5-((((-5*(-5/((-5/(((-5*(16.64--5))-(-5+((-5*16.64)*(((-5--5)+(16.64--5))+16.64))))-(-5+-5)))*-5)))/-5)--5)+(-5*(((16.64*(16.64-(-5/-5)))*(16.64-(16.64/(-5*16.64))))-(-5/-5)))))</f>
        <v>22516.355519999997</v>
      </c>
      <c r="C11665" t="n" s="0">
        <v>22516.35552</v>
      </c>
    </row>
    <row r="11666">
      <c r="A11666" t="n" s="0">
        <v>16.65</v>
      </c>
      <c r="B11666" t="n" s="0">
        <f>(-5-((((-5*(-5/((-5/(((-5*(16.65--5))-(-5+((-5*16.65)*(((-5--5)+(16.65--5))+16.65))))-(-5+-5)))*-5)))/-5)--5)+(-5*(((16.65*(16.65-(-5/-5)))*(16.65-(16.65/(-5*16.65))))-(-5/-5)))))</f>
        <v>22557.278124999997</v>
      </c>
      <c r="C11666" t="n" s="0">
        <v>22557.278124999993</v>
      </c>
    </row>
    <row r="11667">
      <c r="A11667" t="n" s="0">
        <v>16.66</v>
      </c>
      <c r="B11667" t="n" s="0">
        <f>(-5-((((-5*(-5/((-5/(((-5*(16.66--5))-(-5+((-5*16.66)*(((-5--5)+(16.66--5))+16.66))))-(-5+-5)))*-5)))/-5)--5)+(-5*(((16.66*(16.66-(-5/-5)))*(16.66-(16.66/(-5*16.66))))-(-5/-5)))))</f>
        <v>22598.25028</v>
      </c>
      <c r="C11667" t="n" s="0">
        <v>22598.25028</v>
      </c>
    </row>
    <row r="11668">
      <c r="A11668" t="n" s="0">
        <v>16.67</v>
      </c>
      <c r="B11668" t="n" s="0">
        <f>(-5-((((-5*(-5/((-5/(((-5*(16.67--5))-(-5+((-5*16.67)*(((-5--5)+(16.67--5))+16.67))))-(-5+-5)))*-5)))/-5)--5)+(-5*(((16.67*(16.67-(-5/-5)))*(16.67-(16.67/(-5*16.67))))-(-5/-5)))))</f>
        <v>22639.272015000002</v>
      </c>
      <c r="C11668" t="n" s="0">
        <v>22639.272015000006</v>
      </c>
    </row>
    <row r="11669">
      <c r="A11669" t="n" s="0">
        <v>16.68</v>
      </c>
      <c r="B11669" t="n" s="0">
        <f>(-5-((((-5*(-5/((-5/(((-5*(16.68--5))-(-5+((-5*16.68)*(((-5--5)+(16.68--5))+16.68))))-(-5+-5)))*-5)))/-5)--5)+(-5*(((16.68*(16.68-(-5/-5)))*(16.68-(16.68/(-5*16.68))))-(-5/-5)))))</f>
        <v>22680.34336</v>
      </c>
      <c r="C11669" t="n" s="0">
        <v>22680.34336</v>
      </c>
    </row>
    <row r="11670">
      <c r="A11670" t="n" s="0">
        <v>16.69</v>
      </c>
      <c r="B11670" t="n" s="0">
        <f>(-5-((((-5*(-5/((-5/(((-5*(16.69--5))-(-5+((-5*16.69)*(((-5--5)+(16.69--5))+16.69))))-(-5+-5)))*-5)))/-5)--5)+(-5*(((16.69*(16.69-(-5/-5)))*(16.69-(16.69/(-5*16.69))))-(-5/-5)))))</f>
        <v>22721.464345</v>
      </c>
      <c r="C11670" t="n" s="0">
        <v>22721.464345000008</v>
      </c>
    </row>
    <row r="11671">
      <c r="A11671" t="n" s="0">
        <v>16.7</v>
      </c>
      <c r="B11671" t="n" s="0">
        <f>(-5-((((-5*(-5/((-5/(((-5*(16.7--5))-(-5+((-5*16.7)*(((-5--5)+(16.7--5))+16.7))))-(-5+-5)))*-5)))/-5)--5)+(-5*(((16.7*(16.7-(-5/-5)))*(16.7-(16.7/(-5*16.7))))-(-5/-5)))))</f>
        <v>22762.635000000002</v>
      </c>
      <c r="C11671" t="n" s="0">
        <v>22762.635</v>
      </c>
    </row>
    <row r="11672">
      <c r="A11672" t="n" s="0">
        <v>16.71</v>
      </c>
      <c r="B11672" t="n" s="0">
        <f>(-5-((((-5*(-5/((-5/(((-5*(16.71--5))-(-5+((-5*16.71)*(((-5--5)+(16.71--5))+16.71))))-(-5+-5)))*-5)))/-5)--5)+(-5*(((16.71*(16.71-(-5/-5)))*(16.71-(16.71/(-5*16.71))))-(-5/-5)))))</f>
        <v>22803.855355</v>
      </c>
      <c r="C11672" t="n" s="0">
        <v>22803.855355000003</v>
      </c>
    </row>
    <row r="11673">
      <c r="A11673" t="n" s="0">
        <v>16.72</v>
      </c>
      <c r="B11673" t="n" s="0">
        <f>(-5-((((-5*(-5/((-5/(((-5*(16.72--5))-(-5+((-5*16.72)*(((-5--5)+(16.72--5))+16.72))))-(-5+-5)))*-5)))/-5)--5)+(-5*(((16.72*(16.72-(-5/-5)))*(16.72-(16.72/(-5*16.72))))-(-5/-5)))))</f>
        <v>22845.125439999996</v>
      </c>
      <c r="C11673" t="n" s="0">
        <v>22845.125439999996</v>
      </c>
    </row>
    <row r="11674">
      <c r="A11674" t="n" s="0">
        <v>16.73</v>
      </c>
      <c r="B11674" t="n" s="0">
        <f>(-5-((((-5*(-5/((-5/(((-5*(16.73--5))-(-5+((-5*16.73)*(((-5--5)+(16.73--5))+16.73))))-(-5+-5)))*-5)))/-5)--5)+(-5*(((16.73*(16.73-(-5/-5)))*(16.73-(16.73/(-5*16.73))))-(-5/-5)))))</f>
        <v>22886.445284999998</v>
      </c>
      <c r="C11674" t="n" s="0">
        <v>22886.445284999998</v>
      </c>
    </row>
    <row r="11675">
      <c r="A11675" t="n" s="0">
        <v>16.74</v>
      </c>
      <c r="B11675" t="n" s="0">
        <f>(-5-((((-5*(-5/((-5/(((-5*(16.74--5))-(-5+((-5*16.74)*(((-5--5)+(16.74--5))+16.74))))-(-5+-5)))*-5)))/-5)--5)+(-5*(((16.74*(16.74-(-5/-5)))*(16.74-(16.74/(-5*16.74))))-(-5/-5)))))</f>
        <v>22927.81492</v>
      </c>
      <c r="C11675" t="n" s="0">
        <v>22927.814919999993</v>
      </c>
    </row>
    <row r="11676">
      <c r="A11676" t="n" s="0">
        <v>16.75</v>
      </c>
      <c r="B11676" t="n" s="0">
        <f>(-5-((((-5*(-5/((-5/(((-5*(16.75--5))-(-5+((-5*16.75)*(((-5--5)+(16.75--5))+16.75))))-(-5+-5)))*-5)))/-5)--5)+(-5*(((16.75*(16.75-(-5/-5)))*(16.75-(16.75/(-5*16.75))))-(-5/-5)))))</f>
        <v>22969.234374999996</v>
      </c>
      <c r="C11676" t="n" s="0">
        <v>22969.234375</v>
      </c>
    </row>
    <row r="11677">
      <c r="A11677" t="n" s="0">
        <v>16.76</v>
      </c>
      <c r="B11677" t="n" s="0">
        <f>(-5-((((-5*(-5/((-5/(((-5*(16.76--5))-(-5+((-5*16.76)*(((-5--5)+(16.76--5))+16.76))))-(-5+-5)))*-5)))/-5)--5)+(-5*(((16.76*(16.76-(-5/-5)))*(16.76-(16.76/(-5*16.76))))-(-5/-5)))))</f>
        <v>23010.70368</v>
      </c>
      <c r="C11677" t="n" s="0">
        <v>23010.703680000006</v>
      </c>
    </row>
    <row r="11678">
      <c r="A11678" t="n" s="0">
        <v>16.77</v>
      </c>
      <c r="B11678" t="n" s="0">
        <f>(-5-((((-5*(-5/((-5/(((-5*(16.77--5))-(-5+((-5*16.77)*(((-5--5)+(16.77--5))+16.77))))-(-5+-5)))*-5)))/-5)--5)+(-5*(((16.77*(16.77-(-5/-5)))*(16.77-(16.77/(-5*16.77))))-(-5/-5)))))</f>
        <v>23052.222865</v>
      </c>
      <c r="C11678" t="n" s="0">
        <v>23052.222865</v>
      </c>
    </row>
    <row r="11679">
      <c r="A11679" t="n" s="0">
        <v>16.78</v>
      </c>
      <c r="B11679" t="n" s="0">
        <f>(-5-((((-5*(-5/((-5/(((-5*(16.78--5))-(-5+((-5*16.78)*(((-5--5)+(16.78--5))+16.78))))-(-5+-5)))*-5)))/-5)--5)+(-5*(((16.78*(16.78-(-5/-5)))*(16.78-(16.78/(-5*16.78))))-(-5/-5)))))</f>
        <v>23093.79196</v>
      </c>
      <c r="C11679" t="n" s="0">
        <v>23093.791960000006</v>
      </c>
    </row>
    <row r="11680">
      <c r="A11680" t="n" s="0">
        <v>16.79</v>
      </c>
      <c r="B11680" t="n" s="0">
        <f>(-5-((((-5*(-5/((-5/(((-5*(16.79--5))-(-5+((-5*16.79)*(((-5--5)+(16.79--5))+16.79))))-(-5+-5)))*-5)))/-5)--5)+(-5*(((16.79*(16.79-(-5/-5)))*(16.79-(16.79/(-5*16.79))))-(-5/-5)))))</f>
        <v>23135.410995</v>
      </c>
      <c r="C11680" t="n" s="0">
        <v>23135.410994999995</v>
      </c>
    </row>
    <row r="11681">
      <c r="A11681" t="n" s="0">
        <v>16.8</v>
      </c>
      <c r="B11681" t="n" s="0">
        <f>(-5-((((-5*(-5/((-5/(((-5*(16.8--5))-(-5+((-5*16.8)*(((-5--5)+(16.8--5))+16.8))))-(-5+-5)))*-5)))/-5)--5)+(-5*(((16.8*(16.8-(-5/-5)))*(16.8-(16.8/(-5*16.8))))-(-5/-5)))))</f>
        <v>23177.08</v>
      </c>
      <c r="C11681" t="n" s="0">
        <v>23177.080000000005</v>
      </c>
    </row>
    <row r="11682">
      <c r="A11682" t="n" s="0">
        <v>16.81</v>
      </c>
      <c r="B11682" t="n" s="0">
        <f>(-5-((((-5*(-5/((-5/(((-5*(16.81--5))-(-5+((-5*16.81)*(((-5--5)+(16.81--5))+16.81))))-(-5+-5)))*-5)))/-5)--5)+(-5*(((16.81*(16.81-(-5/-5)))*(16.81-(16.81/(-5*16.81))))-(-5/-5)))))</f>
        <v>23218.799005</v>
      </c>
      <c r="C11682" t="n" s="0">
        <v>23218.799004999997</v>
      </c>
    </row>
    <row r="11683">
      <c r="A11683" t="n" s="0">
        <v>16.82</v>
      </c>
      <c r="B11683" t="n" s="0">
        <f>(-5-((((-5*(-5/((-5/(((-5*(16.82--5))-(-5+((-5*16.82)*(((-5--5)+(16.82--5))+16.82))))-(-5+-5)))*-5)))/-5)--5)+(-5*(((16.82*(16.82-(-5/-5)))*(16.82-(16.82/(-5*16.82))))-(-5/-5)))))</f>
        <v>23260.56804</v>
      </c>
      <c r="C11683" t="n" s="0">
        <v>23260.568040000002</v>
      </c>
    </row>
    <row r="11684">
      <c r="A11684" t="n" s="0">
        <v>16.83</v>
      </c>
      <c r="B11684" t="n" s="0">
        <f>(-5-((((-5*(-5/((-5/(((-5*(16.83--5))-(-5+((-5*16.83)*(((-5--5)+(16.83--5))+16.83))))-(-5+-5)))*-5)))/-5)--5)+(-5*(((16.83*(16.83-(-5/-5)))*(16.83-(16.83/(-5*16.83))))-(-5/-5)))))</f>
        <v>23302.387135</v>
      </c>
      <c r="C11684" t="n" s="0">
        <v>23302.387134999997</v>
      </c>
    </row>
    <row r="11685">
      <c r="A11685" t="n" s="0">
        <v>16.84</v>
      </c>
      <c r="B11685" t="n" s="0">
        <f>(-5-((((-5*(-5/((-5/(((-5*(16.84--5))-(-5+((-5*16.84)*(((-5--5)+(16.84--5))+16.84))))-(-5+-5)))*-5)))/-5)--5)+(-5*(((16.84*(16.84-(-5/-5)))*(16.84-(16.84/(-5*16.84))))-(-5/-5)))))</f>
        <v>23344.256319999997</v>
      </c>
      <c r="C11685" t="n" s="0">
        <v>23344.25632</v>
      </c>
    </row>
    <row r="11686">
      <c r="A11686" t="n" s="0">
        <v>16.85</v>
      </c>
      <c r="B11686" t="n" s="0">
        <f>(-5-((((-5*(-5/((-5/(((-5*(16.85--5))-(-5+((-5*16.85)*(((-5--5)+(16.85--5))+16.85))))-(-5+-5)))*-5)))/-5)--5)+(-5*(((16.85*(16.85-(-5/-5)))*(16.85-(16.85/(-5*16.85))))-(-5/-5)))))</f>
        <v>23386.175625000003</v>
      </c>
      <c r="C11686" t="n" s="0">
        <v>23386.175625000007</v>
      </c>
    </row>
    <row r="11687">
      <c r="A11687" t="n" s="0">
        <v>16.86</v>
      </c>
      <c r="B11687" t="n" s="0">
        <f>(-5-((((-5*(-5/((-5/(((-5*(16.86--5))-(-5+((-5*16.86)*(((-5--5)+(16.86--5))+16.86))))-(-5+-5)))*-5)))/-5)--5)+(-5*(((16.86*(16.86-(-5/-5)))*(16.86-(16.86/(-5*16.86))))-(-5/-5)))))</f>
        <v>23428.14508</v>
      </c>
      <c r="C11687" t="n" s="0">
        <v>23428.145080000002</v>
      </c>
    </row>
    <row r="11688">
      <c r="A11688" t="n" s="0">
        <v>16.87</v>
      </c>
      <c r="B11688" t="n" s="0">
        <f>(-5-((((-5*(-5/((-5/(((-5*(16.87--5))-(-5+((-5*16.87)*(((-5--5)+(16.87--5))+16.87))))-(-5+-5)))*-5)))/-5)--5)+(-5*(((16.87*(16.87-(-5/-5)))*(16.87-(16.87/(-5*16.87))))-(-5/-5)))))</f>
        <v>23470.164715</v>
      </c>
      <c r="C11688" t="n" s="0">
        <v>23470.164715000006</v>
      </c>
    </row>
    <row r="11689">
      <c r="A11689" t="n" s="0">
        <v>16.88</v>
      </c>
      <c r="B11689" t="n" s="0">
        <f>(-5-((((-5*(-5/((-5/(((-5*(16.88--5))-(-5+((-5*16.88)*(((-5--5)+(16.88--5))+16.88))))-(-5+-5)))*-5)))/-5)--5)+(-5*(((16.88*(16.88-(-5/-5)))*(16.88-(16.88/(-5*16.88))))-(-5/-5)))))</f>
        <v>23512.23456</v>
      </c>
      <c r="C11689" t="n" s="0">
        <v>23512.234559999994</v>
      </c>
    </row>
    <row r="11690">
      <c r="A11690" t="n" s="0">
        <v>16.89</v>
      </c>
      <c r="B11690" t="n" s="0">
        <f>(-5-((((-5*(-5/((-5/(((-5*(16.89--5))-(-5+((-5*16.89)*(((-5--5)+(16.89--5))+16.89))))-(-5+-5)))*-5)))/-5)--5)+(-5*(((16.89*(16.89-(-5/-5)))*(16.89-(16.89/(-5*16.89))))-(-5/-5)))))</f>
        <v>23554.354645000003</v>
      </c>
      <c r="C11690" t="n" s="0">
        <v>23554.354645</v>
      </c>
    </row>
    <row r="11691">
      <c r="A11691" t="n" s="0">
        <v>16.9</v>
      </c>
      <c r="B11691" t="n" s="0">
        <f>(-5-((((-5*(-5/((-5/(((-5*(16.9--5))-(-5+((-5*16.9)*(((-5--5)+(16.9--5))+16.9))))-(-5+-5)))*-5)))/-5)--5)+(-5*(((16.9*(16.9-(-5/-5)))*(16.9-(16.9/(-5*16.9))))-(-5/-5)))))</f>
        <v>23596.525</v>
      </c>
      <c r="C11691" t="n" s="0">
        <v>23596.52499999999</v>
      </c>
    </row>
    <row r="11692">
      <c r="A11692" t="n" s="0">
        <v>16.91</v>
      </c>
      <c r="B11692" t="n" s="0">
        <f>(-5-((((-5*(-5/((-5/(((-5*(16.91--5))-(-5+((-5*16.91)*(((-5--5)+(16.91--5))+16.91))))-(-5+-5)))*-5)))/-5)--5)+(-5*(((16.91*(16.91-(-5/-5)))*(16.91-(16.91/(-5*16.91))))-(-5/-5)))))</f>
        <v>23638.745655000002</v>
      </c>
      <c r="C11692" t="n" s="0">
        <v>23638.745655</v>
      </c>
    </row>
    <row r="11693">
      <c r="A11693" t="n" s="0">
        <v>16.92</v>
      </c>
      <c r="B11693" t="n" s="0">
        <f>(-5-((((-5*(-5/((-5/(((-5*(16.92--5))-(-5+((-5*16.92)*(((-5--5)+(16.92--5))+16.92))))-(-5+-5)))*-5)))/-5)--5)+(-5*(((16.92*(16.92-(-5/-5)))*(16.92-(16.92/(-5*16.92))))-(-5/-5)))))</f>
        <v>23681.01664</v>
      </c>
      <c r="C11693" t="n" s="0">
        <v>23681.016640000005</v>
      </c>
    </row>
    <row r="11694">
      <c r="A11694" t="n" s="0">
        <v>16.93</v>
      </c>
      <c r="B11694" t="n" s="0">
        <f>(-5-((((-5*(-5/((-5/(((-5*(16.93--5))-(-5+((-5*16.93)*(((-5--5)+(16.93--5))+16.93))))-(-5+-5)))*-5)))/-5)--5)+(-5*(((16.93*(16.93-(-5/-5)))*(16.93-(16.93/(-5*16.93))))-(-5/-5)))))</f>
        <v>23723.337985</v>
      </c>
      <c r="C11694" t="n" s="0">
        <v>23723.337985</v>
      </c>
    </row>
    <row r="11695">
      <c r="A11695" t="n" s="0">
        <v>16.94</v>
      </c>
      <c r="B11695" t="n" s="0">
        <f>(-5-((((-5*(-5/((-5/(((-5*(16.94--5))-(-5+((-5*16.94)*(((-5--5)+(16.94--5))+16.94))))-(-5+-5)))*-5)))/-5)--5)+(-5*(((16.94*(16.94-(-5/-5)))*(16.94-(16.94/(-5*16.94))))-(-5/-5)))))</f>
        <v>23765.70972</v>
      </c>
      <c r="C11695" t="n" s="0">
        <v>23765.709720000006</v>
      </c>
    </row>
    <row r="11696">
      <c r="A11696" t="n" s="0">
        <v>16.95</v>
      </c>
      <c r="B11696" t="n" s="0">
        <f>(-5-((((-5*(-5/((-5/(((-5*(16.95--5))-(-5+((-5*16.95)*(((-5--5)+(16.95--5))+16.95))))-(-5+-5)))*-5)))/-5)--5)+(-5*(((16.95*(16.95-(-5/-5)))*(16.95-(16.95/(-5*16.95))))-(-5/-5)))))</f>
        <v>23808.131875000003</v>
      </c>
      <c r="C11696" t="n" s="0">
        <v>23808.131874999995</v>
      </c>
    </row>
    <row r="11697">
      <c r="A11697" t="n" s="0">
        <v>16.96</v>
      </c>
      <c r="B11697" t="n" s="0">
        <f>(-5-((((-5*(-5/((-5/(((-5*(16.96--5))-(-5+((-5*16.96)*(((-5--5)+(16.96--5))+16.96))))-(-5+-5)))*-5)))/-5)--5)+(-5*(((16.96*(16.96-(-5/-5)))*(16.96-(16.96/(-5*16.96))))-(-5/-5)))))</f>
        <v>23850.60448</v>
      </c>
      <c r="C11697" t="n" s="0">
        <v>23850.60448</v>
      </c>
    </row>
    <row r="11698">
      <c r="A11698" t="n" s="0">
        <v>16.97</v>
      </c>
      <c r="B11698" t="n" s="0">
        <f>(-5-((((-5*(-5/((-5/(((-5*(16.97--5))-(-5+((-5*16.97)*(((-5--5)+(16.97--5))+16.97))))-(-5+-5)))*-5)))/-5)--5)+(-5*(((16.97*(16.97-(-5/-5)))*(16.97-(16.97/(-5*16.97))))-(-5/-5)))))</f>
        <v>23893.127565000003</v>
      </c>
      <c r="C11698" t="n" s="0">
        <v>23893.127564999995</v>
      </c>
    </row>
    <row r="11699">
      <c r="A11699" t="n" s="0">
        <v>16.98</v>
      </c>
      <c r="B11699" t="n" s="0">
        <f>(-5-((((-5*(-5/((-5/(((-5*(16.98--5))-(-5+((-5*16.98)*(((-5--5)+(16.98--5))+16.98))))-(-5+-5)))*-5)))/-5)--5)+(-5*(((16.98*(16.98-(-5/-5)))*(16.98-(16.98/(-5*16.98))))-(-5/-5)))))</f>
        <v>23935.70116</v>
      </c>
      <c r="C11699" t="n" s="0">
        <v>23935.70116</v>
      </c>
    </row>
    <row r="11700">
      <c r="A11700" t="n" s="0">
        <v>16.99</v>
      </c>
      <c r="B11700" t="n" s="0">
        <f>(-5-((((-5*(-5/((-5/(((-5*(16.99--5))-(-5+((-5*16.99)*(((-5--5)+(16.99--5))+16.99))))-(-5+-5)))*-5)))/-5)--5)+(-5*(((16.99*(16.99-(-5/-5)))*(16.99-(16.99/(-5*16.99))))-(-5/-5)))))</f>
        <v>23978.325295</v>
      </c>
      <c r="C11700" t="n" s="0">
        <v>23978.325295</v>
      </c>
    </row>
    <row r="11701">
      <c r="A11701" t="n" s="0">
        <v>17.0</v>
      </c>
      <c r="B11701" t="n" s="0">
        <f>(-5-((((-5*(-5/((-5/(((-5*(17--5))-(-5+((-5*17)*(((-5--5)+(17--5))+17))))-(-5+-5)))*-5)))/-5)--5)+(-5*(((17*(17-(-5/-5)))*(17-(17/(-5*17))))-(-5/-5)))))</f>
        <v>24021.0</v>
      </c>
      <c r="C11701" t="n" s="0">
        <v>24021.0</v>
      </c>
    </row>
    <row r="11702">
      <c r="A11702" t="n" s="0">
        <v>17.01</v>
      </c>
      <c r="B11702" t="n" s="0">
        <f>(-5-((((-5*(-5/((-5/(((-5*(17.01--5))-(-5+((-5*17.01)*(((-5--5)+(17.01--5))+17.01))))-(-5+-5)))*-5)))/-5)--5)+(-5*(((17.01*(17.01-(-5/-5)))*(17.01-(17.01/(-5*17.01))))-(-5/-5)))))</f>
        <v>24063.725305</v>
      </c>
      <c r="C11702" t="n" s="0">
        <v>24063.725305000007</v>
      </c>
    </row>
    <row r="11703">
      <c r="A11703" t="n" s="0">
        <v>17.02</v>
      </c>
      <c r="B11703" t="n" s="0">
        <f>(-5-((((-5*(-5/((-5/(((-5*(17.02--5))-(-5+((-5*17.02)*(((-5--5)+(17.02--5))+17.02))))-(-5+-5)))*-5)))/-5)--5)+(-5*(((17.02*(17.02-(-5/-5)))*(17.02-(17.02/(-5*17.02))))-(-5/-5)))))</f>
        <v>24106.50124</v>
      </c>
      <c r="C11703" t="n" s="0">
        <v>24106.50124</v>
      </c>
    </row>
    <row r="11704">
      <c r="A11704" t="n" s="0">
        <v>17.03</v>
      </c>
      <c r="B11704" t="n" s="0">
        <f>(-5-((((-5*(-5/((-5/(((-5*(17.03--5))-(-5+((-5*17.03)*(((-5--5)+(17.03--5))+17.03))))-(-5+-5)))*-5)))/-5)--5)+(-5*(((17.03*(17.03-(-5/-5)))*(17.03-(17.03/(-5*17.03))))-(-5/-5)))))</f>
        <v>24149.327835</v>
      </c>
      <c r="C11704" t="n" s="0">
        <v>24149.327835000007</v>
      </c>
    </row>
    <row r="11705">
      <c r="A11705" t="n" s="0">
        <v>17.04</v>
      </c>
      <c r="B11705" t="n" s="0">
        <f>(-5-((((-5*(-5/((-5/(((-5*(17.04--5))-(-5+((-5*17.04)*(((-5--5)+(17.04--5))+17.04))))-(-5+-5)))*-5)))/-5)--5)+(-5*(((17.04*(17.04-(-5/-5)))*(17.04-(17.04/(-5*17.04))))-(-5/-5)))))</f>
        <v>24192.20512</v>
      </c>
      <c r="C11705" t="n" s="0">
        <v>24192.205119999995</v>
      </c>
    </row>
    <row r="11706">
      <c r="A11706" t="n" s="0">
        <v>17.05</v>
      </c>
      <c r="B11706" t="n" s="0">
        <f>(-5-((((-5*(-5/((-5/(((-5*(17.05--5))-(-5+((-5*17.05)*(((-5--5)+(17.05--5))+17.05))))-(-5+-5)))*-5)))/-5)--5)+(-5*(((17.05*(17.05-(-5/-5)))*(17.05-(17.05/(-5*17.05))))-(-5/-5)))))</f>
        <v>24235.133125000004</v>
      </c>
      <c r="C11706" t="n" s="0">
        <v>24235.133125000004</v>
      </c>
    </row>
    <row r="11707">
      <c r="A11707" t="n" s="0">
        <v>17.06</v>
      </c>
      <c r="B11707" t="n" s="0">
        <f>(-5-((((-5*(-5/((-5/(((-5*(17.06--5))-(-5+((-5*17.06)*(((-5--5)+(17.06--5))+17.06))))-(-5+-5)))*-5)))/-5)--5)+(-5*(((17.06*(17.06-(-5/-5)))*(17.06-(17.06/(-5*17.06))))-(-5/-5)))))</f>
        <v>24278.11188</v>
      </c>
      <c r="C11707" t="n" s="0">
        <v>24278.111879999997</v>
      </c>
    </row>
    <row r="11708">
      <c r="A11708" t="n" s="0">
        <v>17.07</v>
      </c>
      <c r="B11708" t="n" s="0">
        <f>(-5-((((-5*(-5/((-5/(((-5*(17.07--5))-(-5+((-5*17.07)*(((-5--5)+(17.07--5))+17.07))))-(-5+-5)))*-5)))/-5)--5)+(-5*(((17.07*(17.07-(-5/-5)))*(17.07-(17.07/(-5*17.07))))-(-5/-5)))))</f>
        <v>24321.141415000002</v>
      </c>
      <c r="C11708" t="n" s="0">
        <v>24321.141415</v>
      </c>
    </row>
    <row r="11709">
      <c r="A11709" t="n" s="0">
        <v>17.08</v>
      </c>
      <c r="B11709" t="n" s="0">
        <f>(-5-((((-5*(-5/((-5/(((-5*(17.08--5))-(-5+((-5*17.08)*(((-5--5)+(17.08--5))+17.08))))-(-5+-5)))*-5)))/-5)--5)+(-5*(((17.08*(17.08-(-5/-5)))*(17.08-(17.08/(-5*17.08))))-(-5/-5)))))</f>
        <v>24364.22176</v>
      </c>
      <c r="C11709" t="n" s="0">
        <v>24364.221759999993</v>
      </c>
    </row>
    <row r="11710">
      <c r="A11710" t="n" s="0">
        <v>17.09</v>
      </c>
      <c r="B11710" t="n" s="0">
        <f>(-5-((((-5*(-5/((-5/(((-5*(17.09--5))-(-5+((-5*17.09)*(((-5--5)+(17.09--5))+17.09))))-(-5+-5)))*-5)))/-5)--5)+(-5*(((17.09*(17.09-(-5/-5)))*(17.09-(17.09/(-5*17.09))))-(-5/-5)))))</f>
        <v>24407.352945000002</v>
      </c>
      <c r="C11710" t="n" s="0">
        <v>24407.352945</v>
      </c>
    </row>
    <row r="11711">
      <c r="A11711" t="n" s="0">
        <v>17.1</v>
      </c>
      <c r="B11711" t="n" s="0">
        <f>(-5-((((-5*(-5/((-5/(((-5*(17.1--5))-(-5+((-5*17.1)*(((-5--5)+(17.1--5))+17.1))))-(-5+-5)))*-5)))/-5)--5)+(-5*(((17.1*(17.1-(-5/-5)))*(17.1-(17.1/(-5*17.1))))-(-5/-5)))))</f>
        <v>24450.534999999996</v>
      </c>
      <c r="C11711" t="n" s="0">
        <v>24450.535000000007</v>
      </c>
    </row>
    <row r="11712">
      <c r="A11712" t="n" s="0">
        <v>17.11</v>
      </c>
      <c r="B11712" t="n" s="0">
        <f>(-5-((((-5*(-5/((-5/(((-5*(17.11--5))-(-5+((-5*17.11)*(((-5--5)+(17.11--5))+17.11))))-(-5+-5)))*-5)))/-5)--5)+(-5*(((17.11*(17.11-(-5/-5)))*(17.11-(17.11/(-5*17.11))))-(-5/-5)))))</f>
        <v>24493.767955000003</v>
      </c>
      <c r="C11712" t="n" s="0">
        <v>24493.767955</v>
      </c>
    </row>
    <row r="11713">
      <c r="A11713" t="n" s="0">
        <v>17.12</v>
      </c>
      <c r="B11713" t="n" s="0">
        <f>(-5-((((-5*(-5/((-5/(((-5*(17.12--5))-(-5+((-5*17.12)*(((-5--5)+(17.12--5))+17.12))))-(-5+-5)))*-5)))/-5)--5)+(-5*(((17.12*(17.12-(-5/-5)))*(17.12-(17.12/(-5*17.12))))-(-5/-5)))))</f>
        <v>24537.05184</v>
      </c>
      <c r="C11713" t="n" s="0">
        <v>24537.051840000004</v>
      </c>
    </row>
    <row r="11714">
      <c r="A11714" t="n" s="0">
        <v>17.13</v>
      </c>
      <c r="B11714" t="n" s="0">
        <f>(-5-((((-5*(-5/((-5/(((-5*(17.13--5))-(-5+((-5*17.13)*(((-5--5)+(17.13--5))+17.13))))-(-5+-5)))*-5)))/-5)--5)+(-5*(((17.13*(17.13-(-5/-5)))*(17.13-(17.13/(-5*17.13))))-(-5/-5)))))</f>
        <v>24580.386685</v>
      </c>
      <c r="C11714" t="n" s="0">
        <v>24580.38668499999</v>
      </c>
    </row>
    <row r="11715">
      <c r="A11715" t="n" s="0">
        <v>17.14</v>
      </c>
      <c r="B11715" t="n" s="0">
        <f>(-5-((((-5*(-5/((-5/(((-5*(17.14--5))-(-5+((-5*17.14)*(((-5--5)+(17.14--5))+17.14))))-(-5+-5)))*-5)))/-5)--5)+(-5*(((17.14*(17.14-(-5/-5)))*(17.14-(17.14/(-5*17.14))))-(-5/-5)))))</f>
        <v>24623.772520000002</v>
      </c>
      <c r="C11715" t="n" s="0">
        <v>24623.772520000002</v>
      </c>
    </row>
    <row r="11716">
      <c r="A11716" t="n" s="0">
        <v>17.15</v>
      </c>
      <c r="B11716" t="n" s="0">
        <f>(-5-((((-5*(-5/((-5/(((-5*(17.15--5))-(-5+((-5*17.15)*(((-5--5)+(17.15--5))+17.15))))-(-5+-5)))*-5)))/-5)--5)+(-5*(((17.15*(17.15-(-5/-5)))*(17.15-(17.15/(-5*17.15))))-(-5/-5)))))</f>
        <v>24667.209375</v>
      </c>
      <c r="C11716" t="n" s="0">
        <v>24667.209374999995</v>
      </c>
    </row>
    <row r="11717">
      <c r="A11717" t="n" s="0">
        <v>17.16</v>
      </c>
      <c r="B11717" t="n" s="0">
        <f>(-5-((((-5*(-5/((-5/(((-5*(17.16--5))-(-5+((-5*17.16)*(((-5--5)+(17.16--5))+17.16))))-(-5+-5)))*-5)))/-5)--5)+(-5*(((17.16*(17.16-(-5/-5)))*(17.16-(17.16/(-5*17.16))))-(-5/-5)))))</f>
        <v>24710.697279999997</v>
      </c>
      <c r="C11717" t="n" s="0">
        <v>24710.697280000004</v>
      </c>
    </row>
    <row r="11718">
      <c r="A11718" t="n" s="0">
        <v>17.17</v>
      </c>
      <c r="B11718" t="n" s="0">
        <f>(-5-((((-5*(-5/((-5/(((-5*(17.17--5))-(-5+((-5*17.17)*(((-5--5)+(17.17--5))+17.17))))-(-5+-5)))*-5)))/-5)--5)+(-5*(((17.17*(17.17-(-5/-5)))*(17.17-(17.17/(-5*17.17))))-(-5/-5)))))</f>
        <v>24754.236264999996</v>
      </c>
      <c r="C11718" t="n" s="0">
        <v>24754.236265000007</v>
      </c>
    </row>
    <row r="11719">
      <c r="A11719" t="n" s="0">
        <v>17.18</v>
      </c>
      <c r="B11719" t="n" s="0">
        <f>(-5-((((-5*(-5/((-5/(((-5*(17.18--5))-(-5+((-5*17.18)*(((-5--5)+(17.18--5))+17.18))))-(-5+-5)))*-5)))/-5)--5)+(-5*(((17.18*(17.18-(-5/-5)))*(17.18-(17.18/(-5*17.18))))-(-5/-5)))))</f>
        <v>24797.82636</v>
      </c>
      <c r="C11719" t="n" s="0">
        <v>24797.82636</v>
      </c>
    </row>
    <row r="11720">
      <c r="A11720" t="n" s="0">
        <v>17.19</v>
      </c>
      <c r="B11720" t="n" s="0">
        <f>(-5-((((-5*(-5/((-5/(((-5*(17.19--5))-(-5+((-5*17.19)*(((-5--5)+(17.19--5))+17.19))))-(-5+-5)))*-5)))/-5)--5)+(-5*(((17.19*(17.19-(-5/-5)))*(17.19-(17.19/(-5*17.19))))-(-5/-5)))))</f>
        <v>24841.467595</v>
      </c>
      <c r="C11720" t="n" s="0">
        <v>24841.467595000006</v>
      </c>
    </row>
    <row r="11721">
      <c r="A11721" t="n" s="0">
        <v>17.2</v>
      </c>
      <c r="B11721" t="n" s="0">
        <f>(-5-((((-5*(-5/((-5/(((-5*(17.2--5))-(-5+((-5*17.2)*(((-5--5)+(17.2--5))+17.2))))-(-5+-5)))*-5)))/-5)--5)+(-5*(((17.2*(17.2-(-5/-5)))*(17.2-(17.2/(-5*17.2))))-(-5/-5)))))</f>
        <v>24885.16</v>
      </c>
      <c r="C11721" t="n" s="0">
        <v>24885.159999999996</v>
      </c>
    </row>
    <row r="11722">
      <c r="A11722" t="n" s="0">
        <v>17.21</v>
      </c>
      <c r="B11722" t="n" s="0">
        <f>(-5-((((-5*(-5/((-5/(((-5*(17.21--5))-(-5+((-5*17.21)*(((-5--5)+(17.21--5))+17.21))))-(-5+-5)))*-5)))/-5)--5)+(-5*(((17.21*(17.21-(-5/-5)))*(17.21-(17.21/(-5*17.21))))-(-5/-5)))))</f>
        <v>24928.903605</v>
      </c>
      <c r="C11722" t="n" s="0">
        <v>24928.903605000003</v>
      </c>
    </row>
    <row r="11723">
      <c r="A11723" t="n" s="0">
        <v>17.22</v>
      </c>
      <c r="B11723" t="n" s="0">
        <f>(-5-((((-5*(-5/((-5/(((-5*(17.22--5))-(-5+((-5*17.22)*(((-5--5)+(17.22--5))+17.22))))-(-5+-5)))*-5)))/-5)--5)+(-5*(((17.22*(17.22-(-5/-5)))*(17.22-(17.22/(-5*17.22))))-(-5/-5)))))</f>
        <v>24972.698440000004</v>
      </c>
      <c r="C11723" t="n" s="0">
        <v>24972.698439999996</v>
      </c>
    </row>
    <row r="11724">
      <c r="A11724" t="n" s="0">
        <v>17.23</v>
      </c>
      <c r="B11724" t="n" s="0">
        <f>(-5-((((-5*(-5/((-5/(((-5*(17.23--5))-(-5+((-5*17.23)*(((-5--5)+(17.23--5))+17.23))))-(-5+-5)))*-5)))/-5)--5)+(-5*(((17.23*(17.23-(-5/-5)))*(17.23-(17.23/(-5*17.23))))-(-5/-5)))))</f>
        <v>25016.544535</v>
      </c>
      <c r="C11724" t="n" s="0">
        <v>25016.544535</v>
      </c>
    </row>
    <row r="11725">
      <c r="A11725" t="n" s="0">
        <v>17.24</v>
      </c>
      <c r="B11725" t="n" s="0">
        <f>(-5-((((-5*(-5/((-5/(((-5*(17.24--5))-(-5+((-5*17.24)*(((-5--5)+(17.24--5))+17.24))))-(-5+-5)))*-5)))/-5)--5)+(-5*(((17.24*(17.24-(-5/-5)))*(17.24-(17.24/(-5*17.24))))-(-5/-5)))))</f>
        <v>25060.44192</v>
      </c>
      <c r="C11725" t="n" s="0">
        <v>25060.441919999997</v>
      </c>
    </row>
    <row r="11726">
      <c r="A11726" t="n" s="0">
        <v>17.25</v>
      </c>
      <c r="B11726" t="n" s="0">
        <f>(-5-((((-5*(-5/((-5/(((-5*(17.25--5))-(-5+((-5*17.25)*(((-5--5)+(17.25--5))+17.25))))-(-5+-5)))*-5)))/-5)--5)+(-5*(((17.25*(17.25-(-5/-5)))*(17.25-(17.25/(-5*17.25))))-(-5/-5)))))</f>
        <v>25104.390625000004</v>
      </c>
      <c r="C11726" t="n" s="0">
        <v>25104.390625</v>
      </c>
    </row>
    <row r="11727">
      <c r="A11727" t="n" s="0">
        <v>17.26</v>
      </c>
      <c r="B11727" t="n" s="0">
        <f>(-5-((((-5*(-5/((-5/(((-5*(17.26--5))-(-5+((-5*17.26)*(((-5--5)+(17.26--5))+17.26))))-(-5+-5)))*-5)))/-5)--5)+(-5*(((17.26*(17.26-(-5/-5)))*(17.26-(17.26/(-5*17.26))))-(-5/-5)))))</f>
        <v>25148.390679999997</v>
      </c>
      <c r="C11727" t="n" s="0">
        <v>25148.390680000008</v>
      </c>
    </row>
    <row r="11728">
      <c r="A11728" t="n" s="0">
        <v>17.27</v>
      </c>
      <c r="B11728" t="n" s="0">
        <f>(-5-((((-5*(-5/((-5/(((-5*(17.27--5))-(-5+((-5*17.27)*(((-5--5)+(17.27--5))+17.27))))-(-5+-5)))*-5)))/-5)--5)+(-5*(((17.27*(17.27-(-5/-5)))*(17.27-(17.27/(-5*17.27))))-(-5/-5)))))</f>
        <v>25192.442115</v>
      </c>
      <c r="C11728" t="n" s="0">
        <v>25192.442114999998</v>
      </c>
    </row>
    <row r="11729">
      <c r="A11729" t="n" s="0">
        <v>17.28</v>
      </c>
      <c r="B11729" t="n" s="0">
        <f>(-5-((((-5*(-5/((-5/(((-5*(17.28--5))-(-5+((-5*17.28)*(((-5--5)+(17.28--5))+17.28))))-(-5+-5)))*-5)))/-5)--5)+(-5*(((17.28*(17.28-(-5/-5)))*(17.28-(17.28/(-5*17.28))))-(-5/-5)))))</f>
        <v>25236.54496</v>
      </c>
      <c r="C11729" t="n" s="0">
        <v>25236.544960000003</v>
      </c>
    </row>
    <row r="11730">
      <c r="A11730" t="n" s="0">
        <v>17.29</v>
      </c>
      <c r="B11730" t="n" s="0">
        <f>(-5-((((-5*(-5/((-5/(((-5*(17.29--5))-(-5+((-5*17.29)*(((-5--5)+(17.29--5))+17.29))))-(-5+-5)))*-5)))/-5)--5)+(-5*(((17.29*(17.29-(-5/-5)))*(17.29-(17.29/(-5*17.29))))-(-5/-5)))))</f>
        <v>25280.699244999996</v>
      </c>
      <c r="C11730" t="n" s="0">
        <v>25280.699244999996</v>
      </c>
    </row>
    <row r="11731">
      <c r="A11731" t="n" s="0">
        <v>17.3</v>
      </c>
      <c r="B11731" t="n" s="0">
        <f>(-5-((((-5*(-5/((-5/(((-5*(17.3--5))-(-5+((-5*17.3)*(((-5--5)+(17.3--5))+17.3))))-(-5+-5)))*-5)))/-5)--5)+(-5*(((17.3*(17.3-(-5/-5)))*(17.3-(17.3/(-5*17.3))))-(-5/-5)))))</f>
        <v>25324.905</v>
      </c>
      <c r="C11731" t="n" s="0">
        <v>25324.905000000002</v>
      </c>
    </row>
    <row r="11732">
      <c r="A11732" t="n" s="0">
        <v>17.31</v>
      </c>
      <c r="B11732" t="n" s="0">
        <f>(-5-((((-5*(-5/((-5/(((-5*(17.31--5))-(-5+((-5*17.31)*(((-5--5)+(17.31--5))+17.31))))-(-5+-5)))*-5)))/-5)--5)+(-5*(((17.31*(17.31-(-5/-5)))*(17.31-(17.31/(-5*17.31))))-(-5/-5)))))</f>
        <v>25369.162255</v>
      </c>
      <c r="C11732" t="n" s="0">
        <v>25369.162254999996</v>
      </c>
    </row>
    <row r="11733">
      <c r="A11733" t="n" s="0">
        <v>17.32</v>
      </c>
      <c r="B11733" t="n" s="0">
        <f>(-5-((((-5*(-5/((-5/(((-5*(17.32--5))-(-5+((-5*17.32)*(((-5--5)+(17.32--5))+17.32))))-(-5+-5)))*-5)))/-5)--5)+(-5*(((17.32*(17.32-(-5/-5)))*(17.32-(17.32/(-5*17.32))))-(-5/-5)))))</f>
        <v>25413.47104</v>
      </c>
      <c r="C11733" t="n" s="0">
        <v>25413.471039999997</v>
      </c>
    </row>
    <row r="11734">
      <c r="A11734" t="n" s="0">
        <v>17.33</v>
      </c>
      <c r="B11734" t="n" s="0">
        <f>(-5-((((-5*(-5/((-5/(((-5*(17.33--5))-(-5+((-5*17.33)*(((-5--5)+(17.33--5))+17.33))))-(-5+-5)))*-5)))/-5)--5)+(-5*(((17.33*(17.33-(-5/-5)))*(17.33-(17.33/(-5*17.33))))-(-5/-5)))))</f>
        <v>25457.831385</v>
      </c>
      <c r="C11734" t="n" s="0">
        <v>25457.831384999994</v>
      </c>
    </row>
    <row r="11735">
      <c r="A11735" t="n" s="0">
        <v>17.34</v>
      </c>
      <c r="B11735" t="n" s="0">
        <f>(-5-((((-5*(-5/((-5/(((-5*(17.34--5))-(-5+((-5*17.34)*(((-5--5)+(17.34--5))+17.34))))-(-5+-5)))*-5)))/-5)--5)+(-5*(((17.34*(17.34-(-5/-5)))*(17.34-(17.34/(-5*17.34))))-(-5/-5)))))</f>
        <v>25502.243319999998</v>
      </c>
      <c r="C11735" t="n" s="0">
        <v>25502.243319999998</v>
      </c>
    </row>
    <row r="11736">
      <c r="A11736" t="n" s="0">
        <v>17.35</v>
      </c>
      <c r="B11736" t="n" s="0">
        <f>(-5-((((-5*(-5/((-5/(((-5*(17.35--5))-(-5+((-5*17.35)*(((-5--5)+(17.35--5))+17.35))))-(-5+-5)))*-5)))/-5)--5)+(-5*(((17.35*(17.35-(-5/-5)))*(17.35-(17.35/(-5*17.35))))-(-5/-5)))))</f>
        <v>25546.706875</v>
      </c>
      <c r="C11736" t="n" s="0">
        <v>25546.706875000007</v>
      </c>
    </row>
    <row r="11737">
      <c r="A11737" t="n" s="0">
        <v>17.36</v>
      </c>
      <c r="B11737" t="n" s="0">
        <f>(-5-((((-5*(-5/((-5/(((-5*(17.36--5))-(-5+((-5*17.36)*(((-5--5)+(17.36--5))+17.36))))-(-5+-5)))*-5)))/-5)--5)+(-5*(((17.36*(17.36-(-5/-5)))*(17.36-(17.36/(-5*17.36))))-(-5/-5)))))</f>
        <v>25591.222080000003</v>
      </c>
      <c r="C11737" t="n" s="0">
        <v>25591.222079999996</v>
      </c>
    </row>
    <row r="11738">
      <c r="A11738" t="n" s="0">
        <v>17.37</v>
      </c>
      <c r="B11738" t="n" s="0">
        <f>(-5-((((-5*(-5/((-5/(((-5*(17.37--5))-(-5+((-5*17.37)*(((-5--5)+(17.37--5))+17.37))))-(-5+-5)))*-5)))/-5)--5)+(-5*(((17.37*(17.37-(-5/-5)))*(17.37-(17.37/(-5*17.37))))-(-5/-5)))))</f>
        <v>25635.788965</v>
      </c>
      <c r="C11738" t="n" s="0">
        <v>25635.788965000007</v>
      </c>
    </row>
    <row r="11739">
      <c r="A11739" t="n" s="0">
        <v>17.38</v>
      </c>
      <c r="B11739" t="n" s="0">
        <f>(-5-((((-5*(-5/((-5/(((-5*(17.38--5))-(-5+((-5*17.38)*(((-5--5)+(17.38--5))+17.38))))-(-5+-5)))*-5)))/-5)--5)+(-5*(((17.38*(17.38-(-5/-5)))*(17.38-(17.38/(-5*17.38))))-(-5/-5)))))</f>
        <v>25680.407560000003</v>
      </c>
      <c r="C11739" t="n" s="0">
        <v>25680.407559999996</v>
      </c>
    </row>
    <row r="11740">
      <c r="A11740" t="n" s="0">
        <v>17.39</v>
      </c>
      <c r="B11740" t="n" s="0">
        <f>(-5-((((-5*(-5/((-5/(((-5*(17.39--5))-(-5+((-5*17.39)*(((-5--5)+(17.39--5))+17.39))))-(-5+-5)))*-5)))/-5)--5)+(-5*(((17.39*(17.39-(-5/-5)))*(17.39-(17.39/(-5*17.39))))-(-5/-5)))))</f>
        <v>25725.077895000002</v>
      </c>
      <c r="C11740" t="n" s="0">
        <v>25725.077895000002</v>
      </c>
    </row>
    <row r="11741">
      <c r="A11741" t="n" s="0">
        <v>17.4</v>
      </c>
      <c r="B11741" t="n" s="0">
        <f>(-5-((((-5*(-5/((-5/(((-5*(17.4--5))-(-5+((-5*17.4)*(((-5--5)+(17.4--5))+17.4))))-(-5+-5)))*-5)))/-5)--5)+(-5*(((17.4*(17.4-(-5/-5)))*(17.4-(17.4/(-5*17.4))))-(-5/-5)))))</f>
        <v>25769.8</v>
      </c>
      <c r="C11741" t="n" s="0">
        <v>25769.799999999992</v>
      </c>
    </row>
    <row r="11742">
      <c r="A11742" t="n" s="0">
        <v>17.41</v>
      </c>
      <c r="B11742" t="n" s="0">
        <f>(-5-((((-5*(-5/((-5/(((-5*(17.41--5))-(-5+((-5*17.41)*(((-5--5)+(17.41--5))+17.41))))-(-5+-5)))*-5)))/-5)--5)+(-5*(((17.41*(17.41-(-5/-5)))*(17.41-(17.41/(-5*17.41))))-(-5/-5)))))</f>
        <v>25814.573904999997</v>
      </c>
      <c r="C11742" t="n" s="0">
        <v>25814.573905</v>
      </c>
    </row>
    <row r="11743">
      <c r="A11743" t="n" s="0">
        <v>17.42</v>
      </c>
      <c r="B11743" t="n" s="0">
        <f>(-5-((((-5*(-5/((-5/(((-5*(17.42--5))-(-5+((-5*17.42)*(((-5--5)+(17.42--5))+17.42))))-(-5+-5)))*-5)))/-5)--5)+(-5*(((17.42*(17.42-(-5/-5)))*(17.42-(17.42/(-5*17.42))))-(-5/-5)))))</f>
        <v>25859.39964</v>
      </c>
      <c r="C11743" t="n" s="0">
        <v>25859.399640000003</v>
      </c>
    </row>
    <row r="11744">
      <c r="A11744" t="n" s="0">
        <v>17.43</v>
      </c>
      <c r="B11744" t="n" s="0">
        <f>(-5-((((-5*(-5/((-5/(((-5*(17.43--5))-(-5+((-5*17.43)*(((-5--5)+(17.43--5))+17.43))))-(-5+-5)))*-5)))/-5)--5)+(-5*(((17.43*(17.43-(-5/-5)))*(17.43-(17.43/(-5*17.43))))-(-5/-5)))))</f>
        <v>25904.277235</v>
      </c>
      <c r="C11744" t="n" s="0">
        <v>25904.277235</v>
      </c>
    </row>
    <row r="11745">
      <c r="A11745" t="n" s="0">
        <v>17.44</v>
      </c>
      <c r="B11745" t="n" s="0">
        <f>(-5-((((-5*(-5/((-5/(((-5*(17.44--5))-(-5+((-5*17.44)*(((-5--5)+(17.44--5))+17.44))))-(-5+-5)))*-5)))/-5)--5)+(-5*(((17.44*(17.44-(-5/-5)))*(17.44-(17.44/(-5*17.44))))-(-5/-5)))))</f>
        <v>25949.206720000002</v>
      </c>
      <c r="C11745" t="n" s="0">
        <v>25949.206720000006</v>
      </c>
    </row>
    <row r="11746">
      <c r="A11746" t="n" s="0">
        <v>17.45</v>
      </c>
      <c r="B11746" t="n" s="0">
        <f>(-5-((((-5*(-5/((-5/(((-5*(17.45--5))-(-5+((-5*17.45)*(((-5--5)+(17.45--5))+17.45))))-(-5+-5)))*-5)))/-5)--5)+(-5*(((17.45*(17.45-(-5/-5)))*(17.45-(17.45/(-5*17.45))))-(-5/-5)))))</f>
        <v>25994.188124999997</v>
      </c>
      <c r="C11746" t="n" s="0">
        <v>25994.188124999993</v>
      </c>
    </row>
    <row r="11747">
      <c r="A11747" t="n" s="0">
        <v>17.46</v>
      </c>
      <c r="B11747" t="n" s="0">
        <f>(-5-((((-5*(-5/((-5/(((-5*(17.46--5))-(-5+((-5*17.46)*(((-5--5)+(17.46--5))+17.46))))-(-5+-5)))*-5)))/-5)--5)+(-5*(((17.46*(17.46-(-5/-5)))*(17.46-(17.46/(-5*17.46))))-(-5/-5)))))</f>
        <v>26039.22148</v>
      </c>
      <c r="C11747" t="n" s="0">
        <v>26039.221480000007</v>
      </c>
    </row>
    <row r="11748">
      <c r="A11748" t="n" s="0">
        <v>17.47</v>
      </c>
      <c r="B11748" t="n" s="0">
        <f>(-5-((((-5*(-5/((-5/(((-5*(17.47--5))-(-5+((-5*17.47)*(((-5--5)+(17.47--5))+17.47))))-(-5+-5)))*-5)))/-5)--5)+(-5*(((17.47*(17.47-(-5/-5)))*(17.47-(17.47/(-5*17.47))))-(-5/-5)))))</f>
        <v>26084.306815</v>
      </c>
      <c r="C11748" t="n" s="0">
        <v>26084.306814999993</v>
      </c>
    </row>
    <row r="11749">
      <c r="A11749" t="n" s="0">
        <v>17.48</v>
      </c>
      <c r="B11749" t="n" s="0">
        <f>(-5-((((-5*(-5/((-5/(((-5*(17.48--5))-(-5+((-5*17.48)*(((-5--5)+(17.48--5))+17.48))))-(-5+-5)))*-5)))/-5)--5)+(-5*(((17.48*(17.48-(-5/-5)))*(17.48-(17.48/(-5*17.48))))-(-5/-5)))))</f>
        <v>26129.44416</v>
      </c>
      <c r="C11749" t="n" s="0">
        <v>26129.444160000003</v>
      </c>
    </row>
    <row r="11750">
      <c r="A11750" t="n" s="0">
        <v>17.49</v>
      </c>
      <c r="B11750" t="n" s="0">
        <f>(-5-((((-5*(-5/((-5/(((-5*(17.49--5))-(-5+((-5*17.49)*(((-5--5)+(17.49--5))+17.49))))-(-5+-5)))*-5)))/-5)--5)+(-5*(((17.49*(17.49-(-5/-5)))*(17.49-(17.49/(-5*17.49))))-(-5/-5)))))</f>
        <v>26174.633544999997</v>
      </c>
      <c r="C11750" t="n" s="0">
        <v>26174.633544999993</v>
      </c>
    </row>
    <row r="11751">
      <c r="A11751" t="n" s="0">
        <v>17.5</v>
      </c>
      <c r="B11751" t="n" s="0">
        <f>(-5-((((-5*(-5/((-5/(((-5*(17.5--5))-(-5+((-5*17.5)*(((-5--5)+(17.5--5))+17.5))))-(-5+-5)))*-5)))/-5)--5)+(-5*(((17.5*(17.5-(-5/-5)))*(17.5-(17.5/(-5*17.5))))-(-5/-5)))))</f>
        <v>26219.875000000004</v>
      </c>
      <c r="C11751" t="n" s="0">
        <v>26219.875</v>
      </c>
    </row>
    <row r="11752">
      <c r="A11752" t="n" s="0">
        <v>17.51</v>
      </c>
      <c r="B11752" t="n" s="0">
        <f>(-5-((((-5*(-5/((-5/(((-5*(17.51--5))-(-5+((-5*17.51)*(((-5--5)+(17.51--5))+17.51))))-(-5+-5)))*-5)))/-5)--5)+(-5*(((17.51*(17.51-(-5/-5)))*(17.51-(17.51/(-5*17.51))))-(-5/-5)))))</f>
        <v>26265.168555</v>
      </c>
      <c r="C11752" t="n" s="0">
        <v>26265.168555000007</v>
      </c>
    </row>
    <row r="11753">
      <c r="A11753" t="n" s="0">
        <v>17.52</v>
      </c>
      <c r="B11753" t="n" s="0">
        <f>(-5-((((-5*(-5/((-5/(((-5*(17.52--5))-(-5+((-5*17.52)*(((-5--5)+(17.52--5))+17.52))))-(-5+-5)))*-5)))/-5)--5)+(-5*(((17.52*(17.52-(-5/-5)))*(17.52-(17.52/(-5*17.52))))-(-5/-5)))))</f>
        <v>26310.514239999997</v>
      </c>
      <c r="C11753" t="n" s="0">
        <v>26310.51424</v>
      </c>
    </row>
    <row r="11754">
      <c r="A11754" t="n" s="0">
        <v>17.53</v>
      </c>
      <c r="B11754" t="n" s="0">
        <f>(-5-((((-5*(-5/((-5/(((-5*(17.53--5))-(-5+((-5*17.53)*(((-5--5)+(17.53--5))+17.53))))-(-5+-5)))*-5)))/-5)--5)+(-5*(((17.53*(17.53-(-5/-5)))*(17.53-(17.53/(-5*17.53))))-(-5/-5)))))</f>
        <v>26355.912085</v>
      </c>
      <c r="C11754" t="n" s="0">
        <v>26355.912085000007</v>
      </c>
    </row>
    <row r="11755">
      <c r="A11755" t="n" s="0">
        <v>17.54</v>
      </c>
      <c r="B11755" t="n" s="0">
        <f>(-5-((((-5*(-5/((-5/(((-5*(17.54--5))-(-5+((-5*17.54)*(((-5--5)+(17.54--5))+17.54))))-(-5+-5)))*-5)))/-5)--5)+(-5*(((17.54*(17.54-(-5/-5)))*(17.54-(17.54/(-5*17.54))))-(-5/-5)))))</f>
        <v>26401.362119999998</v>
      </c>
      <c r="C11755" t="n" s="0">
        <v>26401.362119999994</v>
      </c>
    </row>
    <row r="11756">
      <c r="A11756" t="n" s="0">
        <v>17.55</v>
      </c>
      <c r="B11756" t="n" s="0">
        <f>(-5-((((-5*(-5/((-5/(((-5*(17.55--5))-(-5+((-5*17.55)*(((-5--5)+(17.55--5))+17.55))))-(-5+-5)))*-5)))/-5)--5)+(-5*(((17.55*(17.55-(-5/-5)))*(17.55-(17.55/(-5*17.55))))-(-5/-5)))))</f>
        <v>26446.864374999997</v>
      </c>
      <c r="C11756" t="n" s="0">
        <v>26446.864375000005</v>
      </c>
    </row>
    <row r="11757">
      <c r="A11757" t="n" s="0">
        <v>17.56</v>
      </c>
      <c r="B11757" t="n" s="0">
        <f>(-5-((((-5*(-5/((-5/(((-5*(17.56--5))-(-5+((-5*17.56)*(((-5--5)+(17.56--5))+17.56))))-(-5+-5)))*-5)))/-5)--5)+(-5*(((17.56*(17.56-(-5/-5)))*(17.56-(17.56/(-5*17.56))))-(-5/-5)))))</f>
        <v>26492.41888</v>
      </c>
      <c r="C11757" t="n" s="0">
        <v>26492.418879999994</v>
      </c>
    </row>
    <row r="11758">
      <c r="A11758" t="n" s="0">
        <v>17.57</v>
      </c>
      <c r="B11758" t="n" s="0">
        <f>(-5-((((-5*(-5/((-5/(((-5*(17.57--5))-(-5+((-5*17.57)*(((-5--5)+(17.57--5))+17.57))))-(-5+-5)))*-5)))/-5)--5)+(-5*(((17.57*(17.57-(-5/-5)))*(17.57-(17.57/(-5*17.57))))-(-5/-5)))))</f>
        <v>26538.025664999997</v>
      </c>
      <c r="C11758" t="n" s="0">
        <v>26538.025665</v>
      </c>
    </row>
    <row r="11759">
      <c r="A11759" t="n" s="0">
        <v>17.58</v>
      </c>
      <c r="B11759" t="n" s="0">
        <f>(-5-((((-5*(-5/((-5/(((-5*(17.58--5))-(-5+((-5*17.58)*(((-5--5)+(17.58--5))+17.58))))-(-5+-5)))*-5)))/-5)--5)+(-5*(((17.58*(17.58-(-5/-5)))*(17.58-(17.58/(-5*17.58))))-(-5/-5)))))</f>
        <v>26583.68476</v>
      </c>
      <c r="C11759" t="n" s="0">
        <v>26583.684759999993</v>
      </c>
    </row>
    <row r="11760">
      <c r="A11760" t="n" s="0">
        <v>17.59</v>
      </c>
      <c r="B11760" t="n" s="0">
        <f>(-5-((((-5*(-5/((-5/(((-5*(17.59--5))-(-5+((-5*17.59)*(((-5--5)+(17.59--5))+17.59))))-(-5+-5)))*-5)))/-5)--5)+(-5*(((17.59*(17.59-(-5/-5)))*(17.59-(17.59/(-5*17.59))))-(-5/-5)))))</f>
        <v>26629.396194999998</v>
      </c>
      <c r="C11760" t="n" s="0">
        <v>26629.396194999998</v>
      </c>
    </row>
    <row r="11761">
      <c r="A11761" t="n" s="0">
        <v>17.6</v>
      </c>
      <c r="B11761" t="n" s="0">
        <f>(-5-((((-5*(-5/((-5/(((-5*(17.6--5))-(-5+((-5*17.6)*(((-5--5)+(17.6--5))+17.6))))-(-5+-5)))*-5)))/-5)--5)+(-5*(((17.6*(17.6-(-5/-5)))*(17.6-(17.6/(-5*17.6))))-(-5/-5)))))</f>
        <v>26675.16</v>
      </c>
      <c r="C11761" t="n" s="0">
        <v>26675.160000000007</v>
      </c>
    </row>
    <row r="11762">
      <c r="A11762" t="n" s="0">
        <v>17.61</v>
      </c>
      <c r="B11762" t="n" s="0">
        <f>(-5-((((-5*(-5/((-5/(((-5*(17.61--5))-(-5+((-5*17.61)*(((-5--5)+(17.61--5))+17.61))))-(-5+-5)))*-5)))/-5)--5)+(-5*(((17.61*(17.61-(-5/-5)))*(17.61-(17.61/(-5*17.61))))-(-5/-5)))))</f>
        <v>26720.976205</v>
      </c>
      <c r="C11762" t="n" s="0">
        <v>26720.976205</v>
      </c>
    </row>
    <row r="11763">
      <c r="A11763" t="n" s="0">
        <v>17.62</v>
      </c>
      <c r="B11763" t="n" s="0">
        <f>(-5-((((-5*(-5/((-5/(((-5*(17.62--5))-(-5+((-5*17.62)*(((-5--5)+(17.62--5))+17.62))))-(-5+-5)))*-5)))/-5)--5)+(-5*(((17.62*(17.62-(-5/-5)))*(17.62-(17.62/(-5*17.62))))-(-5/-5)))))</f>
        <v>26766.844839999998</v>
      </c>
      <c r="C11763" t="n" s="0">
        <v>26766.84484</v>
      </c>
    </row>
    <row r="11764">
      <c r="A11764" t="n" s="0">
        <v>17.63</v>
      </c>
      <c r="B11764" t="n" s="0">
        <f>(-5-((((-5*(-5/((-5/(((-5*(17.63--5))-(-5+((-5*17.63)*(((-5--5)+(17.63--5))+17.63))))-(-5+-5)))*-5)))/-5)--5)+(-5*(((17.63*(17.63-(-5/-5)))*(17.63-(17.63/(-5*17.63))))-(-5/-5)))))</f>
        <v>26812.765934999996</v>
      </c>
      <c r="C11764" t="n" s="0">
        <v>26812.765934999992</v>
      </c>
    </row>
    <row r="11765">
      <c r="A11765" t="n" s="0">
        <v>17.64</v>
      </c>
      <c r="B11765" t="n" s="0">
        <f>(-5-((((-5*(-5/((-5/(((-5*(17.64--5))-(-5+((-5*17.64)*(((-5--5)+(17.64--5))+17.64))))-(-5+-5)))*-5)))/-5)--5)+(-5*(((17.64*(17.64-(-5/-5)))*(17.64-(17.64/(-5*17.64))))-(-5/-5)))))</f>
        <v>26858.73952</v>
      </c>
      <c r="C11765" t="n" s="0">
        <v>26858.739520000003</v>
      </c>
    </row>
    <row r="11766">
      <c r="A11766" t="n" s="0">
        <v>17.65</v>
      </c>
      <c r="B11766" t="n" s="0">
        <f>(-5-((((-5*(-5/((-5/(((-5*(17.65--5))-(-5+((-5*17.65)*(((-5--5)+(17.65--5))+17.65))))-(-5+-5)))*-5)))/-5)--5)+(-5*(((17.65*(17.65-(-5/-5)))*(17.65-(17.65/(-5*17.65))))-(-5/-5)))))</f>
        <v>26904.765624999996</v>
      </c>
      <c r="C11766" t="n" s="0">
        <v>26904.765624999996</v>
      </c>
    </row>
    <row r="11767">
      <c r="A11767" t="n" s="0">
        <v>17.66</v>
      </c>
      <c r="B11767" t="n" s="0">
        <f>(-5-((((-5*(-5/((-5/(((-5*(17.66--5))-(-5+((-5*17.66)*(((-5--5)+(17.66--5))+17.66))))-(-5+-5)))*-5)))/-5)--5)+(-5*(((17.66*(17.66-(-5/-5)))*(17.66-(17.66/(-5*17.66))))-(-5/-5)))))</f>
        <v>26950.844279999998</v>
      </c>
      <c r="C11767" t="n" s="0">
        <v>26950.84428</v>
      </c>
    </row>
    <row r="11768">
      <c r="A11768" t="n" s="0">
        <v>17.67</v>
      </c>
      <c r="B11768" t="n" s="0">
        <f>(-5-((((-5*(-5/((-5/(((-5*(17.67--5))-(-5+((-5*17.67)*(((-5--5)+(17.67--5))+17.67))))-(-5+-5)))*-5)))/-5)--5)+(-5*(((17.67*(17.67-(-5/-5)))*(17.67-(17.67/(-5*17.67))))-(-5/-5)))))</f>
        <v>26996.975515000002</v>
      </c>
      <c r="C11768" t="n" s="0">
        <v>26996.975515000006</v>
      </c>
    </row>
    <row r="11769">
      <c r="A11769" t="n" s="0">
        <v>17.68</v>
      </c>
      <c r="B11769" t="n" s="0">
        <f>(-5-((((-5*(-5/((-5/(((-5*(17.68--5))-(-5+((-5*17.68)*(((-5--5)+(17.68--5))+17.68))))-(-5+-5)))*-5)))/-5)--5)+(-5*(((17.68*(17.68-(-5/-5)))*(17.68-(17.68/(-5*17.68))))-(-5/-5)))))</f>
        <v>27043.15936</v>
      </c>
      <c r="C11769" t="n" s="0">
        <v>27043.15936</v>
      </c>
    </row>
    <row r="11770">
      <c r="A11770" t="n" s="0">
        <v>17.69</v>
      </c>
      <c r="B11770" t="n" s="0">
        <f>(-5-((((-5*(-5/((-5/(((-5*(17.69--5))-(-5+((-5*17.69)*(((-5--5)+(17.69--5))+17.69))))-(-5+-5)))*-5)))/-5)--5)+(-5*(((17.69*(17.69-(-5/-5)))*(17.69-(17.69/(-5*17.69))))-(-5/-5)))))</f>
        <v>27089.395845</v>
      </c>
      <c r="C11770" t="n" s="0">
        <v>27089.395845000006</v>
      </c>
    </row>
    <row r="11771">
      <c r="A11771" t="n" s="0">
        <v>17.7</v>
      </c>
      <c r="B11771" t="n" s="0">
        <f>(-5-((((-5*(-5/((-5/(((-5*(17.7--5))-(-5+((-5*17.7)*(((-5--5)+(17.7--5))+17.7))))-(-5+-5)))*-5)))/-5)--5)+(-5*(((17.7*(17.7-(-5/-5)))*(17.7-(17.7/(-5*17.7))))-(-5/-5)))))</f>
        <v>27135.684999999998</v>
      </c>
      <c r="C11771" t="n" s="0">
        <v>27135.684999999998</v>
      </c>
    </row>
    <row r="11772">
      <c r="A11772" t="n" s="0">
        <v>17.71</v>
      </c>
      <c r="B11772" t="n" s="0">
        <f>(-5-((((-5*(-5/((-5/(((-5*(17.71--5))-(-5+((-5*17.71)*(((-5--5)+(17.71--5))+17.71))))-(-5+-5)))*-5)))/-5)--5)+(-5*(((17.71*(17.71-(-5/-5)))*(17.71-(17.71/(-5*17.71))))-(-5/-5)))))</f>
        <v>27182.026855000004</v>
      </c>
      <c r="C11772" t="n" s="0">
        <v>27182.026855000004</v>
      </c>
    </row>
    <row r="11773">
      <c r="A11773" t="n" s="0">
        <v>17.72</v>
      </c>
      <c r="B11773" t="n" s="0">
        <f>(-5-((((-5*(-5/((-5/(((-5*(17.72--5))-(-5+((-5*17.72)*(((-5--5)+(17.72--5))+17.72))))-(-5+-5)))*-5)))/-5)--5)+(-5*(((17.72*(17.72-(-5/-5)))*(17.72-(17.72/(-5*17.72))))-(-5/-5)))))</f>
        <v>27228.42144</v>
      </c>
      <c r="C11773" t="n" s="0">
        <v>27228.421439999995</v>
      </c>
    </row>
    <row r="11774">
      <c r="A11774" t="n" s="0">
        <v>17.73</v>
      </c>
      <c r="B11774" t="n" s="0">
        <f>(-5-((((-5*(-5/((-5/(((-5*(17.73--5))-(-5+((-5*17.73)*(((-5--5)+(17.73--5))+17.73))))-(-5+-5)))*-5)))/-5)--5)+(-5*(((17.73*(17.73-(-5/-5)))*(17.73-(17.73/(-5*17.73))))-(-5/-5)))))</f>
        <v>27274.868785000002</v>
      </c>
      <c r="C11774" t="n" s="0">
        <v>27274.868785</v>
      </c>
    </row>
    <row r="11775">
      <c r="A11775" t="n" s="0">
        <v>17.74</v>
      </c>
      <c r="B11775" t="n" s="0">
        <f>(-5-((((-5*(-5/((-5/(((-5*(17.74--5))-(-5+((-5*17.74)*(((-5--5)+(17.74--5))+17.74))))-(-5+-5)))*-5)))/-5)--5)+(-5*(((17.74*(17.74-(-5/-5)))*(17.74-(17.74/(-5*17.74))))-(-5/-5)))))</f>
        <v>27321.368919999997</v>
      </c>
      <c r="C11775" t="n" s="0">
        <v>27321.368919999994</v>
      </c>
    </row>
    <row r="11776">
      <c r="A11776" t="n" s="0">
        <v>17.75</v>
      </c>
      <c r="B11776" t="n" s="0">
        <f>(-5-((((-5*(-5/((-5/(((-5*(17.75--5))-(-5+((-5*17.75)*(((-5--5)+(17.75--5))+17.75))))-(-5+-5)))*-5)))/-5)--5)+(-5*(((17.75*(17.75-(-5/-5)))*(17.75-(17.75/(-5*17.75))))-(-5/-5)))))</f>
        <v>27367.921875</v>
      </c>
      <c r="C11776" t="n" s="0">
        <v>27367.921875</v>
      </c>
    </row>
    <row r="11777">
      <c r="A11777" t="n" s="0">
        <v>17.76</v>
      </c>
      <c r="B11777" t="n" s="0">
        <f>(-5-((((-5*(-5/((-5/(((-5*(17.76--5))-(-5+((-5*17.76)*(((-5--5)+(17.76--5))+17.76))))-(-5+-5)))*-5)))/-5)--5)+(-5*(((17.76*(17.76-(-5/-5)))*(17.76-(17.76/(-5*17.76))))-(-5/-5)))))</f>
        <v>27414.52768</v>
      </c>
      <c r="C11777" t="n" s="0">
        <v>27414.527680000003</v>
      </c>
    </row>
    <row r="11778">
      <c r="A11778" t="n" s="0">
        <v>17.77</v>
      </c>
      <c r="B11778" t="n" s="0">
        <f>(-5-((((-5*(-5/((-5/(((-5*(17.77--5))-(-5+((-5*17.77)*(((-5--5)+(17.77--5))+17.77))))-(-5+-5)))*-5)))/-5)--5)+(-5*(((17.77*(17.77-(-5/-5)))*(17.77-(17.77/(-5*17.77))))-(-5/-5)))))</f>
        <v>27461.186365</v>
      </c>
      <c r="C11778" t="n" s="0">
        <v>27461.186365</v>
      </c>
    </row>
    <row r="11779">
      <c r="A11779" t="n" s="0">
        <v>17.78</v>
      </c>
      <c r="B11779" t="n" s="0">
        <f>(-5-((((-5*(-5/((-5/(((-5*(17.78--5))-(-5+((-5*17.78)*(((-5--5)+(17.78--5))+17.78))))-(-5+-5)))*-5)))/-5)--5)+(-5*(((17.78*(17.78-(-5/-5)))*(17.78-(17.78/(-5*17.78))))-(-5/-5)))))</f>
        <v>27507.897960000002</v>
      </c>
      <c r="C11779" t="n" s="0">
        <v>27507.897960000006</v>
      </c>
    </row>
    <row r="11780">
      <c r="A11780" t="n" s="0">
        <v>17.79</v>
      </c>
      <c r="B11780" t="n" s="0">
        <f>(-5-((((-5*(-5/((-5/(((-5*(17.79--5))-(-5+((-5*17.79)*(((-5--5)+(17.79--5))+17.79))))-(-5+-5)))*-5)))/-5)--5)+(-5*(((17.79*(17.79-(-5/-5)))*(17.79-(17.79/(-5*17.79))))-(-5/-5)))))</f>
        <v>27554.662495</v>
      </c>
      <c r="C11780" t="n" s="0">
        <v>27554.662494999997</v>
      </c>
    </row>
    <row r="11781">
      <c r="A11781" t="n" s="0">
        <v>17.8</v>
      </c>
      <c r="B11781" t="n" s="0">
        <f>(-5-((((-5*(-5/((-5/(((-5*(17.8--5))-(-5+((-5*17.8)*(((-5--5)+(17.8--5))+17.8))))-(-5+-5)))*-5)))/-5)--5)+(-5*(((17.8*(17.8-(-5/-5)))*(17.8-(17.8/(-5*17.8))))-(-5/-5)))))</f>
        <v>27601.48</v>
      </c>
      <c r="C11781" t="n" s="0">
        <v>27601.480000000003</v>
      </c>
    </row>
    <row r="11782">
      <c r="A11782" t="n" s="0">
        <v>17.81</v>
      </c>
      <c r="B11782" t="n" s="0">
        <f>(-5-((((-5*(-5/((-5/(((-5*(17.81--5))-(-5+((-5*17.81)*(((-5--5)+(17.81--5))+17.81))))-(-5+-5)))*-5)))/-5)--5)+(-5*(((17.81*(17.81-(-5/-5)))*(17.81-(17.81/(-5*17.81))))-(-5/-5)))))</f>
        <v>27648.350504999995</v>
      </c>
      <c r="C11782" t="n" s="0">
        <v>27648.350505</v>
      </c>
    </row>
    <row r="11783">
      <c r="A11783" t="n" s="0">
        <v>17.82</v>
      </c>
      <c r="B11783" t="n" s="0">
        <f>(-5-((((-5*(-5/((-5/(((-5*(17.82--5))-(-5+((-5*17.82)*(((-5--5)+(17.82--5))+17.82))))-(-5+-5)))*-5)))/-5)--5)+(-5*(((17.82*(17.82-(-5/-5)))*(17.82-(17.82/(-5*17.82))))-(-5/-5)))))</f>
        <v>27695.27404</v>
      </c>
      <c r="C11783" t="n" s="0">
        <v>27695.27404</v>
      </c>
    </row>
    <row r="11784">
      <c r="A11784" t="n" s="0">
        <v>17.83</v>
      </c>
      <c r="B11784" t="n" s="0">
        <f>(-5-((((-5*(-5/((-5/(((-5*(17.83--5))-(-5+((-5*17.83)*(((-5--5)+(17.83--5))+17.83))))-(-5+-5)))*-5)))/-5)--5)+(-5*(((17.83*(17.83-(-5/-5)))*(17.83-(17.83/(-5*17.83))))-(-5/-5)))))</f>
        <v>27742.250634999997</v>
      </c>
      <c r="C11784" t="n" s="0">
        <v>27742.250634999993</v>
      </c>
    </row>
    <row r="11785">
      <c r="A11785" t="n" s="0">
        <v>17.84</v>
      </c>
      <c r="B11785" t="n" s="0">
        <f>(-5-((((-5*(-5/((-5/(((-5*(17.84--5))-(-5+((-5*17.84)*(((-5--5)+(17.84--5))+17.84))))-(-5+-5)))*-5)))/-5)--5)+(-5*(((17.84*(17.84-(-5/-5)))*(17.84-(17.84/(-5*17.84))))-(-5/-5)))))</f>
        <v>27789.28032</v>
      </c>
      <c r="C11785" t="n" s="0">
        <v>27789.28032</v>
      </c>
    </row>
    <row r="11786">
      <c r="A11786" t="n" s="0">
        <v>17.85</v>
      </c>
      <c r="B11786" t="n" s="0">
        <f>(-5-((((-5*(-5/((-5/(((-5*(17.85--5))-(-5+((-5*17.85)*(((-5--5)+(17.85--5))+17.85))))-(-5+-5)))*-5)))/-5)--5)+(-5*(((17.85*(17.85-(-5/-5)))*(17.85-(17.85/(-5*17.85))))-(-5/-5)))))</f>
        <v>27836.363125</v>
      </c>
      <c r="C11786" t="n" s="0">
        <v>27836.363125000007</v>
      </c>
    </row>
    <row r="11787">
      <c r="A11787" t="n" s="0">
        <v>17.86</v>
      </c>
      <c r="B11787" t="n" s="0">
        <f>(-5-((((-5*(-5/((-5/(((-5*(17.86--5))-(-5+((-5*17.86)*(((-5--5)+(17.86--5))+17.86))))-(-5+-5)))*-5)))/-5)--5)+(-5*(((17.86*(17.86-(-5/-5)))*(17.86-(17.86/(-5*17.86))))-(-5/-5)))))</f>
        <v>27883.49908</v>
      </c>
      <c r="C11787" t="n" s="0">
        <v>27883.499079999998</v>
      </c>
    </row>
    <row r="11788">
      <c r="A11788" t="n" s="0">
        <v>17.87</v>
      </c>
      <c r="B11788" t="n" s="0">
        <f>(-5-((((-5*(-5/((-5/(((-5*(17.87--5))-(-5+((-5*17.87)*(((-5--5)+(17.87--5))+17.87))))-(-5+-5)))*-5)))/-5)--5)+(-5*(((17.87*(17.87-(-5/-5)))*(17.87-(17.87/(-5*17.87))))-(-5/-5)))))</f>
        <v>27930.688214999995</v>
      </c>
      <c r="C11788" t="n" s="0">
        <v>27930.688215000006</v>
      </c>
    </row>
    <row r="11789">
      <c r="A11789" t="n" s="0">
        <v>17.88</v>
      </c>
      <c r="B11789" t="n" s="0">
        <f>(-5-((((-5*(-5/((-5/(((-5*(17.88--5))-(-5+((-5*17.88)*(((-5--5)+(17.88--5))+17.88))))-(-5+-5)))*-5)))/-5)--5)+(-5*(((17.88*(17.88-(-5/-5)))*(17.88-(17.88/(-5*17.88))))-(-5/-5)))))</f>
        <v>27977.93056</v>
      </c>
      <c r="C11789" t="n" s="0">
        <v>27977.930559999993</v>
      </c>
    </row>
    <row r="11790">
      <c r="A11790" t="n" s="0">
        <v>17.89</v>
      </c>
      <c r="B11790" t="n" s="0">
        <f>(-5-((((-5*(-5/((-5/(((-5*(17.89--5))-(-5+((-5*17.89)*(((-5--5)+(17.89--5))+17.89))))-(-5+-5)))*-5)))/-5)--5)+(-5*(((17.89*(17.89-(-5/-5)))*(17.89-(17.89/(-5*17.89))))-(-5/-5)))))</f>
        <v>28025.226145</v>
      </c>
      <c r="C11790" t="n" s="0">
        <v>28025.226145</v>
      </c>
    </row>
    <row r="11791">
      <c r="A11791" t="n" s="0">
        <v>17.9</v>
      </c>
      <c r="B11791" t="n" s="0">
        <f>(-5-((((-5*(-5/((-5/(((-5*(17.9--5))-(-5+((-5*17.9)*(((-5--5)+(17.9--5))+17.9))))-(-5+-5)))*-5)))/-5)--5)+(-5*(((17.9*(17.9-(-5/-5)))*(17.9-(17.9/(-5*17.9))))-(-5/-5)))))</f>
        <v>28072.574999999997</v>
      </c>
      <c r="C11791" t="n" s="0">
        <v>28072.574999999997</v>
      </c>
    </row>
    <row r="11792">
      <c r="A11792" t="n" s="0">
        <v>17.91</v>
      </c>
      <c r="B11792" t="n" s="0">
        <f>(-5-((((-5*(-5/((-5/(((-5*(17.91--5))-(-5+((-5*17.91)*(((-5--5)+(17.91--5))+17.91))))-(-5+-5)))*-5)))/-5)--5)+(-5*(((17.91*(17.91-(-5/-5)))*(17.91-(17.91/(-5*17.91))))-(-5/-5)))))</f>
        <v>28119.977155</v>
      </c>
      <c r="C11792" t="n" s="0">
        <v>28119.977155</v>
      </c>
    </row>
    <row r="11793">
      <c r="A11793" t="n" s="0">
        <v>17.92</v>
      </c>
      <c r="B11793" t="n" s="0">
        <f>(-5-((((-5*(-5/((-5/(((-5*(17.92--5))-(-5+((-5*17.92)*(((-5--5)+(17.92--5))+17.92))))-(-5+-5)))*-5)))/-5)--5)+(-5*(((17.92*(17.92-(-5/-5)))*(17.92-(17.92/(-5*17.92))))-(-5/-5)))))</f>
        <v>28167.43264</v>
      </c>
      <c r="C11793" t="n" s="0">
        <v>28167.432640000006</v>
      </c>
    </row>
    <row r="11794">
      <c r="A11794" t="n" s="0">
        <v>17.93</v>
      </c>
      <c r="B11794" t="n" s="0">
        <f>(-5-((((-5*(-5/((-5/(((-5*(17.93--5))-(-5+((-5*17.93)*(((-5--5)+(17.93--5))+17.93))))-(-5+-5)))*-5)))/-5)--5)+(-5*(((17.93*(17.93-(-5/-5)))*(17.93-(17.93/(-5*17.93))))-(-5/-5)))))</f>
        <v>28214.941485</v>
      </c>
      <c r="C11794" t="n" s="0">
        <v>28214.941485000003</v>
      </c>
    </row>
    <row r="11795">
      <c r="A11795" t="n" s="0">
        <v>17.94</v>
      </c>
      <c r="B11795" t="n" s="0">
        <f>(-5-((((-5*(-5/((-5/(((-5*(17.94--5))-(-5+((-5*17.94)*(((-5--5)+(17.94--5))+17.94))))-(-5+-5)))*-5)))/-5)--5)+(-5*(((17.94*(17.94-(-5/-5)))*(17.94-(17.94/(-5*17.94))))-(-5/-5)))))</f>
        <v>28262.503719999997</v>
      </c>
      <c r="C11795" t="n" s="0">
        <v>28262.503720000004</v>
      </c>
    </row>
    <row r="11796">
      <c r="A11796" t="n" s="0">
        <v>17.95</v>
      </c>
      <c r="B11796" t="n" s="0">
        <f>(-5-((((-5*(-5/((-5/(((-5*(17.95--5))-(-5+((-5*17.95)*(((-5--5)+(17.95--5))+17.95))))-(-5+-5)))*-5)))/-5)--5)+(-5*(((17.95*(17.95-(-5/-5)))*(17.95-(17.95/(-5*17.95))))-(-5/-5)))))</f>
        <v>28310.119375000002</v>
      </c>
      <c r="C11796" t="n" s="0">
        <v>28310.119374999995</v>
      </c>
    </row>
    <row r="11797">
      <c r="A11797" t="n" s="0">
        <v>17.96</v>
      </c>
      <c r="B11797" t="n" s="0">
        <f>(-5-((((-5*(-5/((-5/(((-5*(17.96--5))-(-5+((-5*17.96)*(((-5--5)+(17.96--5))+17.96))))-(-5+-5)))*-5)))/-5)--5)+(-5*(((17.96*(17.96-(-5/-5)))*(17.96-(17.96/(-5*17.96))))-(-5/-5)))))</f>
        <v>28357.788480000003</v>
      </c>
      <c r="C11797" t="n" s="0">
        <v>28357.788480000007</v>
      </c>
    </row>
    <row r="11798">
      <c r="A11798" t="n" s="0">
        <v>17.97</v>
      </c>
      <c r="B11798" t="n" s="0">
        <f>(-5-((((-5*(-5/((-5/(((-5*(17.97--5))-(-5+((-5*17.97)*(((-5--5)+(17.97--5))+17.97))))-(-5+-5)))*-5)))/-5)--5)+(-5*(((17.97*(17.97-(-5/-5)))*(17.97-(17.97/(-5*17.97))))-(-5/-5)))))</f>
        <v>28405.511065</v>
      </c>
      <c r="C11798" t="n" s="0">
        <v>28405.511065</v>
      </c>
    </row>
    <row r="11799">
      <c r="A11799" t="n" s="0">
        <v>17.98</v>
      </c>
      <c r="B11799" t="n" s="0">
        <f>(-5-((((-5*(-5/((-5/(((-5*(17.98--5))-(-5+((-5*17.98)*(((-5--5)+(17.98--5))+17.98))))-(-5+-5)))*-5)))/-5)--5)+(-5*(((17.98*(17.98-(-5/-5)))*(17.98-(17.98/(-5*17.98))))-(-5/-5)))))</f>
        <v>28453.28716</v>
      </c>
      <c r="C11799" t="n" s="0">
        <v>28453.287160000003</v>
      </c>
    </row>
    <row r="11800">
      <c r="A11800" t="n" s="0">
        <v>17.99</v>
      </c>
      <c r="B11800" t="n" s="0">
        <f>(-5-((((-5*(-5/((-5/(((-5*(17.99--5))-(-5+((-5*17.99)*(((-5--5)+(17.99--5))+17.99))))-(-5+-5)))*-5)))/-5)--5)+(-5*(((17.99*(17.99-(-5/-5)))*(17.99-(17.99/(-5*17.99))))-(-5/-5)))))</f>
        <v>28501.116795</v>
      </c>
      <c r="C11800" t="n" s="0">
        <v>28501.116794999994</v>
      </c>
    </row>
    <row r="11801">
      <c r="A11801" t="n" s="0">
        <v>18.0</v>
      </c>
      <c r="B11801" t="n" s="0">
        <f>(-5-((((-5*(-5/((-5/(((-5*(18--5))-(-5+((-5*18)*(((-5--5)+(18--5))+18))))-(-5+-5)))*-5)))/-5)--5)+(-5*(((18*(18-(-5/-5)))*(18-(18/(-5*18))))-(-5/-5)))))</f>
        <v>28549.0</v>
      </c>
      <c r="C11801" t="n" s="0">
        <v>28549.0</v>
      </c>
    </row>
    <row r="11802">
      <c r="A11802" t="n" s="0">
        <v>18.01</v>
      </c>
      <c r="B11802" t="n" s="0">
        <f>(-5-((((-5*(-5/((-5/(((-5*(18.01--5))-(-5+((-5*18.01)*(((-5--5)+(18.01--5))+18.01))))-(-5+-5)))*-5)))/-5)--5)+(-5*(((18.01*(18.01-(-5/-5)))*(18.01-(18.01/(-5*18.01))))-(-5/-5)))))</f>
        <v>28596.936805</v>
      </c>
      <c r="C11802" t="n" s="0">
        <v>28596.93680500001</v>
      </c>
    </row>
    <row r="11803">
      <c r="A11803" t="n" s="0">
        <v>18.02</v>
      </c>
      <c r="B11803" t="n" s="0">
        <f>(-5-((((-5*(-5/((-5/(((-5*(18.02--5))-(-5+((-5*18.02)*(((-5--5)+(18.02--5))+18.02))))-(-5+-5)))*-5)))/-5)--5)+(-5*(((18.02*(18.02-(-5/-5)))*(18.02-(18.02/(-5*18.02))))-(-5/-5)))))</f>
        <v>28644.927239999997</v>
      </c>
      <c r="C11803" t="n" s="0">
        <v>28644.927239999997</v>
      </c>
    </row>
    <row r="11804">
      <c r="A11804" t="n" s="0">
        <v>18.03</v>
      </c>
      <c r="B11804" t="n" s="0">
        <f>(-5-((((-5*(-5/((-5/(((-5*(18.03--5))-(-5+((-5*18.03)*(((-5--5)+(18.03--5))+18.03))))-(-5+-5)))*-5)))/-5)--5)+(-5*(((18.03*(18.03-(-5/-5)))*(18.03-(18.03/(-5*18.03))))-(-5/-5)))))</f>
        <v>28692.971335</v>
      </c>
      <c r="C11804" t="n" s="0">
        <v>28692.971335000002</v>
      </c>
    </row>
    <row r="11805">
      <c r="A11805" t="n" s="0">
        <v>18.04</v>
      </c>
      <c r="B11805" t="n" s="0">
        <f>(-5-((((-5*(-5/((-5/(((-5*(18.04--5))-(-5+((-5*18.04)*(((-5--5)+(18.04--5))+18.04))))-(-5+-5)))*-5)))/-5)--5)+(-5*(((18.04*(18.04-(-5/-5)))*(18.04-(18.04/(-5*18.04))))-(-5/-5)))))</f>
        <v>28741.069119999996</v>
      </c>
      <c r="C11805" t="n" s="0">
        <v>28741.069119999993</v>
      </c>
    </row>
    <row r="11806">
      <c r="A11806" t="n" s="0">
        <v>18.05</v>
      </c>
      <c r="B11806" t="n" s="0">
        <f>(-5-((((-5*(-5/((-5/(((-5*(18.05--5))-(-5+((-5*18.05)*(((-5--5)+(18.05--5))+18.05))))-(-5+-5)))*-5)))/-5)--5)+(-5*(((18.05*(18.05-(-5/-5)))*(18.05-(18.05/(-5*18.05))))-(-5/-5)))))</f>
        <v>28789.220624999998</v>
      </c>
      <c r="C11806" t="n" s="0">
        <v>28789.220625000005</v>
      </c>
    </row>
    <row r="11807">
      <c r="A11807" t="n" s="0">
        <v>18.06</v>
      </c>
      <c r="B11807" t="n" s="0">
        <f>(-5-((((-5*(-5/((-5/(((-5*(18.06--5))-(-5+((-5*18.06)*(((-5--5)+(18.06--5))+18.06))))-(-5+-5)))*-5)))/-5)--5)+(-5*(((18.06*(18.06-(-5/-5)))*(18.06-(18.06/(-5*18.06))))-(-5/-5)))))</f>
        <v>28837.425880000003</v>
      </c>
      <c r="C11807" t="n" s="0">
        <v>28837.425879999995</v>
      </c>
    </row>
    <row r="11808">
      <c r="A11808" t="n" s="0">
        <v>18.07</v>
      </c>
      <c r="B11808" t="n" s="0">
        <f>(-5-((((-5*(-5/((-5/(((-5*(18.07--5))-(-5+((-5*18.07)*(((-5--5)+(18.07--5))+18.07))))-(-5+-5)))*-5)))/-5)--5)+(-5*(((18.07*(18.07-(-5/-5)))*(18.07-(18.07/(-5*18.07))))-(-5/-5)))))</f>
        <v>28885.684914999998</v>
      </c>
      <c r="C11808" t="n" s="0">
        <v>28885.684914999998</v>
      </c>
    </row>
    <row r="11809">
      <c r="A11809" t="n" s="0">
        <v>18.08</v>
      </c>
      <c r="B11809" t="n" s="0">
        <f>(-5-((((-5*(-5/((-5/(((-5*(18.08--5))-(-5+((-5*18.08)*(((-5--5)+(18.08--5))+18.08))))-(-5+-5)))*-5)))/-5)--5)+(-5*(((18.08*(18.08-(-5/-5)))*(18.08-(18.08/(-5*18.08))))-(-5/-5)))))</f>
        <v>28933.99776</v>
      </c>
      <c r="C11809" t="n" s="0">
        <v>28933.997759999995</v>
      </c>
    </row>
    <row r="11810">
      <c r="A11810" t="n" s="0">
        <v>18.09</v>
      </c>
      <c r="B11810" t="n" s="0">
        <f>(-5-((((-5*(-5/((-5/(((-5*(18.09--5))-(-5+((-5*18.09)*(((-5--5)+(18.09--5))+18.09))))-(-5+-5)))*-5)))/-5)--5)+(-5*(((18.09*(18.09-(-5/-5)))*(18.09-(18.09/(-5*18.09))))-(-5/-5)))))</f>
        <v>28982.364445</v>
      </c>
      <c r="C11810" t="n" s="0">
        <v>28982.364444999996</v>
      </c>
    </row>
    <row r="11811">
      <c r="A11811" t="n" s="0">
        <v>18.1</v>
      </c>
      <c r="B11811" t="n" s="0">
        <f>(-5-((((-5*(-5/((-5/(((-5*(18.1--5))-(-5+((-5*18.1)*(((-5--5)+(18.1--5))+18.1))))-(-5+-5)))*-5)))/-5)--5)+(-5*(((18.1*(18.1-(-5/-5)))*(18.1-(18.1/(-5*18.1))))-(-5/-5)))))</f>
        <v>29030.785000000003</v>
      </c>
      <c r="C11811" t="n" s="0">
        <v>29030.785000000007</v>
      </c>
    </row>
    <row r="11812">
      <c r="A11812" t="n" s="0">
        <v>18.11</v>
      </c>
      <c r="B11812" t="n" s="0">
        <f>(-5-((((-5*(-5/((-5/(((-5*(18.11--5))-(-5+((-5*18.11)*(((-5--5)+(18.11--5))+18.11))))-(-5+-5)))*-5)))/-5)--5)+(-5*(((18.11*(18.11-(-5/-5)))*(18.11-(18.11/(-5*18.11))))-(-5/-5)))))</f>
        <v>29079.259455</v>
      </c>
      <c r="C11812" t="n" s="0">
        <v>29079.259455</v>
      </c>
    </row>
    <row r="11813">
      <c r="A11813" t="n" s="0">
        <v>18.12</v>
      </c>
      <c r="B11813" t="n" s="0">
        <f>(-5-((((-5*(-5/((-5/(((-5*(18.12--5))-(-5+((-5*18.12)*(((-5--5)+(18.12--5))+18.12))))-(-5+-5)))*-5)))/-5)--5)+(-5*(((18.12*(18.12-(-5/-5)))*(18.12-(18.12/(-5*18.12))))-(-5/-5)))))</f>
        <v>29127.78784</v>
      </c>
      <c r="C11813" t="n" s="0">
        <v>29127.787840000005</v>
      </c>
    </row>
    <row r="11814">
      <c r="A11814" t="n" s="0">
        <v>18.13</v>
      </c>
      <c r="B11814" t="n" s="0">
        <f>(-5-((((-5*(-5/((-5/(((-5*(18.13--5))-(-5+((-5*18.13)*(((-5--5)+(18.13--5))+18.13))))-(-5+-5)))*-5)))/-5)--5)+(-5*(((18.13*(18.13-(-5/-5)))*(18.13-(18.13/(-5*18.13))))-(-5/-5)))))</f>
        <v>29176.370185</v>
      </c>
      <c r="C11814" t="n" s="0">
        <v>29176.370184999992</v>
      </c>
    </row>
    <row r="11815">
      <c r="A11815" t="n" s="0">
        <v>18.14</v>
      </c>
      <c r="B11815" t="n" s="0">
        <f>(-5-((((-5*(-5/((-5/(((-5*(18.14--5))-(-5+((-5*18.14)*(((-5--5)+(18.14--5))+18.14))))-(-5+-5)))*-5)))/-5)--5)+(-5*(((18.14*(18.14-(-5/-5)))*(18.14-(18.14/(-5*18.14))))-(-5/-5)))))</f>
        <v>29225.00652</v>
      </c>
      <c r="C11815" t="n" s="0">
        <v>29225.00652</v>
      </c>
    </row>
    <row r="11816">
      <c r="A11816" t="n" s="0">
        <v>18.15</v>
      </c>
      <c r="B11816" t="n" s="0">
        <f>(-5-((((-5*(-5/((-5/(((-5*(18.15--5))-(-5+((-5*18.15)*(((-5--5)+(18.15--5))+18.15))))-(-5+-5)))*-5)))/-5)--5)+(-5*(((18.15*(18.15-(-5/-5)))*(18.15-(18.15/(-5*18.15))))-(-5/-5)))))</f>
        <v>29273.696875000005</v>
      </c>
      <c r="C11816" t="n" s="0">
        <v>29273.696874999994</v>
      </c>
    </row>
    <row r="11817">
      <c r="A11817" t="n" s="0">
        <v>18.16</v>
      </c>
      <c r="B11817" t="n" s="0">
        <f>(-5-((((-5*(-5/((-5/(((-5*(18.16--5))-(-5+((-5*18.16)*(((-5--5)+(18.16--5))+18.16))))-(-5+-5)))*-5)))/-5)--5)+(-5*(((18.16*(18.16-(-5/-5)))*(18.16-(18.16/(-5*18.16))))-(-5/-5)))))</f>
        <v>29322.441280000003</v>
      </c>
      <c r="C11817" t="n" s="0">
        <v>29322.441280000003</v>
      </c>
    </row>
    <row r="11818">
      <c r="A11818" t="n" s="0">
        <v>18.17</v>
      </c>
      <c r="B11818" t="n" s="0">
        <f>(-5-((((-5*(-5/((-5/(((-5*(18.17--5))-(-5+((-5*18.17)*(((-5--5)+(18.17--5))+18.17))))-(-5+-5)))*-5)))/-5)--5)+(-5*(((18.17*(18.17-(-5/-5)))*(18.17-(18.17/(-5*18.17))))-(-5/-5)))))</f>
        <v>29371.239765000002</v>
      </c>
      <c r="C11818" t="n" s="0">
        <v>29371.23976500001</v>
      </c>
    </row>
    <row r="11819">
      <c r="A11819" t="n" s="0">
        <v>18.18</v>
      </c>
      <c r="B11819" t="n" s="0">
        <f>(-5-((((-5*(-5/((-5/(((-5*(18.18--5))-(-5+((-5*18.18)*(((-5--5)+(18.18--5))+18.18))))-(-5+-5)))*-5)))/-5)--5)+(-5*(((18.18*(18.18-(-5/-5)))*(18.18-(18.18/(-5*18.18))))-(-5/-5)))))</f>
        <v>29420.09236</v>
      </c>
      <c r="C11819" t="n" s="0">
        <v>29420.092360000002</v>
      </c>
    </row>
    <row r="11820">
      <c r="A11820" t="n" s="0">
        <v>18.19</v>
      </c>
      <c r="B11820" t="n" s="0">
        <f>(-5-((((-5*(-5/((-5/(((-5*(18.19--5))-(-5+((-5*18.19)*(((-5--5)+(18.19--5))+18.19))))-(-5+-5)))*-5)))/-5)--5)+(-5*(((18.19*(18.19-(-5/-5)))*(18.19-(18.19/(-5*18.19))))-(-5/-5)))))</f>
        <v>29468.999094999996</v>
      </c>
      <c r="C11820" t="n" s="0">
        <v>29468.99909500001</v>
      </c>
    </row>
    <row r="11821">
      <c r="A11821" t="n" s="0">
        <v>18.2</v>
      </c>
      <c r="B11821" t="n" s="0">
        <f>(-5-((((-5*(-5/((-5/(((-5*(18.2--5))-(-5+((-5*18.2)*(((-5--5)+(18.2--5))+18.2))))-(-5+-5)))*-5)))/-5)--5)+(-5*(((18.2*(18.2-(-5/-5)))*(18.2-(18.2/(-5*18.2))))-(-5/-5)))))</f>
        <v>29517.96</v>
      </c>
      <c r="C11821" t="n" s="0">
        <v>29517.959999999995</v>
      </c>
    </row>
    <row r="11822">
      <c r="A11822" t="n" s="0">
        <v>18.21</v>
      </c>
      <c r="B11822" t="n" s="0">
        <f>(-5-((((-5*(-5/((-5/(((-5*(18.21--5))-(-5+((-5*18.21)*(((-5--5)+(18.21--5))+18.21))))-(-5+-5)))*-5)))/-5)--5)+(-5*(((18.21*(18.21-(-5/-5)))*(18.21-(18.21/(-5*18.21))))-(-5/-5)))))</f>
        <v>29566.975105</v>
      </c>
      <c r="C11822" t="n" s="0">
        <v>29566.975105000005</v>
      </c>
    </row>
    <row r="11823">
      <c r="A11823" t="n" s="0">
        <v>18.22</v>
      </c>
      <c r="B11823" t="n" s="0">
        <f>(-5-((((-5*(-5/((-5/(((-5*(18.22--5))-(-5+((-5*18.22)*(((-5--5)+(18.22--5))+18.22))))-(-5+-5)))*-5)))/-5)--5)+(-5*(((18.22*(18.22-(-5/-5)))*(18.22-(18.22/(-5*18.22))))-(-5/-5)))))</f>
        <v>29616.044439999998</v>
      </c>
      <c r="C11823" t="n" s="0">
        <v>29616.044439999998</v>
      </c>
    </row>
    <row r="11824">
      <c r="A11824" t="n" s="0">
        <v>18.23</v>
      </c>
      <c r="B11824" t="n" s="0">
        <f>(-5-((((-5*(-5/((-5/(((-5*(18.23--5))-(-5+((-5*18.23)*(((-5--5)+(18.23--5))+18.23))))-(-5+-5)))*-5)))/-5)--5)+(-5*(((18.23*(18.23-(-5/-5)))*(18.23-(18.23/(-5*18.23))))-(-5/-5)))))</f>
        <v>29665.168035000002</v>
      </c>
      <c r="C11824" t="n" s="0">
        <v>29665.168035000002</v>
      </c>
    </row>
    <row r="11825">
      <c r="A11825" t="n" s="0">
        <v>18.24</v>
      </c>
      <c r="B11825" t="n" s="0">
        <f>(-5-((((-5*(-5/((-5/(((-5*(18.24--5))-(-5+((-5*18.24)*(((-5--5)+(18.24--5))+18.24))))-(-5+-5)))*-5)))/-5)--5)+(-5*(((18.24*(18.24-(-5/-5)))*(18.24-(18.24/(-5*18.24))))-(-5/-5)))))</f>
        <v>29714.34592</v>
      </c>
      <c r="C11825" t="n" s="0">
        <v>29714.345919999992</v>
      </c>
    </row>
    <row r="11826">
      <c r="A11826" t="n" s="0">
        <v>18.25</v>
      </c>
      <c r="B11826" t="n" s="0">
        <f>(-5-((((-5*(-5/((-5/(((-5*(18.25--5))-(-5+((-5*18.25)*(((-5--5)+(18.25--5))+18.25))))-(-5+-5)))*-5)))/-5)--5)+(-5*(((18.25*(18.25-(-5/-5)))*(18.25-(18.25/(-5*18.25))))-(-5/-5)))))</f>
        <v>29763.578125000004</v>
      </c>
      <c r="C11826" t="n" s="0">
        <v>29763.578125</v>
      </c>
    </row>
    <row r="11827">
      <c r="A11827" t="n" s="0">
        <v>18.26</v>
      </c>
      <c r="B11827" t="n" s="0">
        <f>(-5-((((-5*(-5/((-5/(((-5*(18.26--5))-(-5+((-5*18.26)*(((-5--5)+(18.26--5))+18.26))))-(-5+-5)))*-5)))/-5)--5)+(-5*(((18.26*(18.26-(-5/-5)))*(18.26-(18.26/(-5*18.26))))-(-5/-5)))))</f>
        <v>29812.86468</v>
      </c>
      <c r="C11827" t="n" s="0">
        <v>29812.864680000006</v>
      </c>
    </row>
    <row r="11828">
      <c r="A11828" t="n" s="0">
        <v>18.27</v>
      </c>
      <c r="B11828" t="n" s="0">
        <f>(-5-((((-5*(-5/((-5/(((-5*(18.27--5))-(-5+((-5*18.27)*(((-5--5)+(18.27--5))+18.27))))-(-5+-5)))*-5)))/-5)--5)+(-5*(((18.27*(18.27-(-5/-5)))*(18.27-(18.27/(-5*18.27))))-(-5/-5)))))</f>
        <v>29862.205615000003</v>
      </c>
      <c r="C11828" t="n" s="0">
        <v>29862.205614999995</v>
      </c>
    </row>
    <row r="11829">
      <c r="A11829" t="n" s="0">
        <v>18.28</v>
      </c>
      <c r="B11829" t="n" s="0">
        <f>(-5-((((-5*(-5/((-5/(((-5*(18.28--5))-(-5+((-5*18.28)*(((-5--5)+(18.28--5))+18.28))))-(-5+-5)))*-5)))/-5)--5)+(-5*(((18.28*(18.28-(-5/-5)))*(18.28-(18.28/(-5*18.28))))-(-5/-5)))))</f>
        <v>29911.60096</v>
      </c>
      <c r="C11829" t="n" s="0">
        <v>29911.600960000007</v>
      </c>
    </row>
    <row r="11830">
      <c r="A11830" t="n" s="0">
        <v>18.29</v>
      </c>
      <c r="B11830" t="n" s="0">
        <f>(-5-((((-5*(-5/((-5/(((-5*(18.29--5))-(-5+((-5*18.29)*(((-5--5)+(18.29--5))+18.29))))-(-5+-5)))*-5)))/-5)--5)+(-5*(((18.29*(18.29-(-5/-5)))*(18.29-(18.29/(-5*18.29))))-(-5/-5)))))</f>
        <v>29961.050745</v>
      </c>
      <c r="C11830" t="n" s="0">
        <v>29961.050744999993</v>
      </c>
    </row>
    <row r="11831">
      <c r="A11831" t="n" s="0">
        <v>18.3</v>
      </c>
      <c r="B11831" t="n" s="0">
        <f>(-5-((((-5*(-5/((-5/(((-5*(18.3--5))-(-5+((-5*18.3)*(((-5--5)+(18.3--5))+18.3))))-(-5+-5)))*-5)))/-5)--5)+(-5*(((18.3*(18.3-(-5/-5)))*(18.3-(18.3/(-5*18.3))))-(-5/-5)))))</f>
        <v>30010.555000000004</v>
      </c>
      <c r="C11831" t="n" s="0">
        <v>30010.555000000008</v>
      </c>
    </row>
    <row r="11832">
      <c r="A11832" t="n" s="0">
        <v>18.31</v>
      </c>
      <c r="B11832" t="n" s="0">
        <f>(-5-((((-5*(-5/((-5/(((-5*(18.31--5))-(-5+((-5*18.31)*(((-5--5)+(18.31--5))+18.31))))-(-5+-5)))*-5)))/-5)--5)+(-5*(((18.31*(18.31-(-5/-5)))*(18.31-(18.31/(-5*18.31))))-(-5/-5)))))</f>
        <v>30060.113755000002</v>
      </c>
      <c r="C11832" t="n" s="0">
        <v>30060.113754999995</v>
      </c>
    </row>
    <row r="11833">
      <c r="A11833" t="n" s="0">
        <v>18.32</v>
      </c>
      <c r="B11833" t="n" s="0">
        <f>(-5-((((-5*(-5/((-5/(((-5*(18.32--5))-(-5+((-5*18.32)*(((-5--5)+(18.32--5))+18.32))))-(-5+-5)))*-5)))/-5)--5)+(-5*(((18.32*(18.32-(-5/-5)))*(18.32-(18.32/(-5*18.32))))-(-5/-5)))))</f>
        <v>30109.72704</v>
      </c>
      <c r="C11833" t="n" s="0">
        <v>30109.727039999998</v>
      </c>
    </row>
    <row r="11834">
      <c r="A11834" t="n" s="0">
        <v>18.33</v>
      </c>
      <c r="B11834" t="n" s="0">
        <f>(-5-((((-5*(-5/((-5/(((-5*(18.33--5))-(-5+((-5*18.33)*(((-5--5)+(18.33--5))+18.33))))-(-5+-5)))*-5)))/-5)--5)+(-5*(((18.33*(18.33-(-5/-5)))*(18.33-(18.33/(-5*18.33))))-(-5/-5)))))</f>
        <v>30159.394885</v>
      </c>
      <c r="C11834" t="n" s="0">
        <v>30159.394884999994</v>
      </c>
    </row>
    <row r="11835">
      <c r="A11835" t="n" s="0">
        <v>18.34</v>
      </c>
      <c r="B11835" t="n" s="0">
        <f>(-5-((((-5*(-5/((-5/(((-5*(18.34--5))-(-5+((-5*18.34)*(((-5--5)+(18.34--5))+18.34))))-(-5+-5)))*-5)))/-5)--5)+(-5*(((18.34*(18.34-(-5/-5)))*(18.34-(18.34/(-5*18.34))))-(-5/-5)))))</f>
        <v>30209.117319999998</v>
      </c>
      <c r="C11835" t="n" s="0">
        <v>30209.117319999998</v>
      </c>
    </row>
    <row r="11836">
      <c r="A11836" t="n" s="0">
        <v>18.35</v>
      </c>
      <c r="B11836" t="n" s="0">
        <f>(-5-((((-5*(-5/((-5/(((-5*(18.35--5))-(-5+((-5*18.35)*(((-5--5)+(18.35--5))+18.35))))-(-5+-5)))*-5)))/-5)--5)+(-5*(((18.35*(18.35-(-5/-5)))*(18.35-(18.35/(-5*18.35))))-(-5/-5)))))</f>
        <v>30258.894374999996</v>
      </c>
      <c r="C11836" t="n" s="0">
        <v>30258.894375000007</v>
      </c>
    </row>
    <row r="11837">
      <c r="A11837" t="n" s="0">
        <v>18.36</v>
      </c>
      <c r="B11837" t="n" s="0">
        <f>(-5-((((-5*(-5/((-5/(((-5*(18.36--5))-(-5+((-5*18.36)*(((-5--5)+(18.36--5))+18.36))))-(-5+-5)))*-5)))/-5)--5)+(-5*(((18.36*(18.36-(-5/-5)))*(18.36-(18.36/(-5*18.36))))-(-5/-5)))))</f>
        <v>30308.726079999997</v>
      </c>
      <c r="C11837" t="n" s="0">
        <v>30308.72608</v>
      </c>
    </row>
    <row r="11838">
      <c r="A11838" t="n" s="0">
        <v>18.37</v>
      </c>
      <c r="B11838" t="n" s="0">
        <f>(-5-((((-5*(-5/((-5/(((-5*(18.37--5))-(-5+((-5*18.37)*(((-5--5)+(18.37--5))+18.37))))-(-5+-5)))*-5)))/-5)--5)+(-5*(((18.37*(18.37-(-5/-5)))*(18.37-(18.37/(-5*18.37))))-(-5/-5)))))</f>
        <v>30358.612465</v>
      </c>
      <c r="C11838" t="n" s="0">
        <v>30358.612465000006</v>
      </c>
    </row>
    <row r="11839">
      <c r="A11839" t="n" s="0">
        <v>18.38</v>
      </c>
      <c r="B11839" t="n" s="0">
        <f>(-5-((((-5*(-5/((-5/(((-5*(18.38--5))-(-5+((-5*18.38)*(((-5--5)+(18.38--5))+18.38))))-(-5+-5)))*-5)))/-5)--5)+(-5*(((18.38*(18.38-(-5/-5)))*(18.38-(18.38/(-5*18.38))))-(-5/-5)))))</f>
        <v>30408.553560000004</v>
      </c>
      <c r="C11839" t="n" s="0">
        <v>30408.553559999997</v>
      </c>
    </row>
    <row r="11840">
      <c r="A11840" t="n" s="0">
        <v>18.39</v>
      </c>
      <c r="B11840" t="n" s="0">
        <f>(-5-((((-5*(-5/((-5/(((-5*(18.39--5))-(-5+((-5*18.39)*(((-5--5)+(18.39--5))+18.39))))-(-5+-5)))*-5)))/-5)--5)+(-5*(((18.39*(18.39-(-5/-5)))*(18.39-(18.39/(-5*18.39))))-(-5/-5)))))</f>
        <v>30458.549395000002</v>
      </c>
      <c r="C11840" t="n" s="0">
        <v>30458.549395000002</v>
      </c>
    </row>
    <row r="11841">
      <c r="A11841" t="n" s="0">
        <v>18.4</v>
      </c>
      <c r="B11841" t="n" s="0">
        <f>(-5-((((-5*(-5/((-5/(((-5*(18.4--5))-(-5+((-5*18.4)*(((-5--5)+(18.4--5))+18.4))))-(-5+-5)))*-5)))/-5)--5)+(-5*(((18.4*(18.4-(-5/-5)))*(18.4-(18.4/(-5*18.4))))-(-5/-5)))))</f>
        <v>30508.600000000002</v>
      </c>
      <c r="C11841" t="n" s="0">
        <v>30508.6</v>
      </c>
    </row>
    <row r="11842">
      <c r="A11842" t="n" s="0">
        <v>18.41</v>
      </c>
      <c r="B11842" t="n" s="0">
        <f>(-5-((((-5*(-5/((-5/(((-5*(18.41--5))-(-5+((-5*18.41)*(((-5--5)+(18.41--5))+18.41))))-(-5+-5)))*-5)))/-5)--5)+(-5*(((18.41*(18.41-(-5/-5)))*(18.41-(18.41/(-5*18.41))))-(-5/-5)))))</f>
        <v>30558.705404999997</v>
      </c>
      <c r="C11842" t="n" s="0">
        <v>30558.705405</v>
      </c>
    </row>
    <row r="11843">
      <c r="A11843" t="n" s="0">
        <v>18.42</v>
      </c>
      <c r="B11843" t="n" s="0">
        <f>(-5-((((-5*(-5/((-5/(((-5*(18.42--5))-(-5+((-5*18.42)*(((-5--5)+(18.42--5))+18.42))))-(-5+-5)))*-5)))/-5)--5)+(-5*(((18.42*(18.42-(-5/-5)))*(18.42-(18.42/(-5*18.42))))-(-5/-5)))))</f>
        <v>30608.86564</v>
      </c>
      <c r="C11843" t="n" s="0">
        <v>30608.865640000007</v>
      </c>
    </row>
    <row r="11844">
      <c r="A11844" t="n" s="0">
        <v>18.43</v>
      </c>
      <c r="B11844" t="n" s="0">
        <f>(-5-((((-5*(-5/((-5/(((-5*(18.43--5))-(-5+((-5*18.43)*(((-5--5)+(18.43--5))+18.43))))-(-5+-5)))*-5)))/-5)--5)+(-5*(((18.43*(18.43-(-5/-5)))*(18.43-(18.43/(-5*18.43))))-(-5/-5)))))</f>
        <v>30659.080735</v>
      </c>
      <c r="C11844" t="n" s="0">
        <v>30659.080734999996</v>
      </c>
    </row>
    <row r="11845">
      <c r="A11845" t="n" s="0">
        <v>18.44</v>
      </c>
      <c r="B11845" t="n" s="0">
        <f>(-5-((((-5*(-5/((-5/(((-5*(18.44--5))-(-5+((-5*18.44)*(((-5--5)+(18.44--5))+18.44))))-(-5+-5)))*-5)))/-5)--5)+(-5*(((18.44*(18.44-(-5/-5)))*(18.44-(18.44/(-5*18.44))))-(-5/-5)))))</f>
        <v>30709.350720000002</v>
      </c>
      <c r="C11845" t="n" s="0">
        <v>30709.350720000006</v>
      </c>
    </row>
    <row r="11846">
      <c r="A11846" t="n" s="0">
        <v>18.45</v>
      </c>
      <c r="B11846" t="n" s="0">
        <f>(-5-((((-5*(-5/((-5/(((-5*(18.45--5))-(-5+((-5*18.45)*(((-5--5)+(18.45--5))+18.45))))-(-5+-5)))*-5)))/-5)--5)+(-5*(((18.45*(18.45-(-5/-5)))*(18.45-(18.45/(-5*18.45))))-(-5/-5)))))</f>
        <v>30759.675625</v>
      </c>
      <c r="C11846" t="n" s="0">
        <v>30759.675624999993</v>
      </c>
    </row>
    <row r="11847">
      <c r="A11847" t="n" s="0">
        <v>18.46</v>
      </c>
      <c r="B11847" t="n" s="0">
        <f>(-5-((((-5*(-5/((-5/(((-5*(18.46--5))-(-5+((-5*18.46)*(((-5--5)+(18.46--5))+18.46))))-(-5+-5)))*-5)))/-5)--5)+(-5*(((18.46*(18.46-(-5/-5)))*(18.46-(18.46/(-5*18.46))))-(-5/-5)))))</f>
        <v>30810.05548</v>
      </c>
      <c r="C11847" t="n" s="0">
        <v>30810.055480000006</v>
      </c>
    </row>
    <row r="11848">
      <c r="A11848" t="n" s="0">
        <v>18.47</v>
      </c>
      <c r="B11848" t="n" s="0">
        <f>(-5-((((-5*(-5/((-5/(((-5*(18.47--5))-(-5+((-5*18.47)*(((-5--5)+(18.47--5))+18.47))))-(-5+-5)))*-5)))/-5)--5)+(-5*(((18.47*(18.47-(-5/-5)))*(18.47-(18.47/(-5*18.47))))-(-5/-5)))))</f>
        <v>30860.490315000003</v>
      </c>
      <c r="C11848" t="n" s="0">
        <v>30860.490314999995</v>
      </c>
    </row>
    <row r="11849">
      <c r="A11849" t="n" s="0">
        <v>18.48</v>
      </c>
      <c r="B11849" t="n" s="0">
        <f>(-5-((((-5*(-5/((-5/(((-5*(18.48--5))-(-5+((-5*18.48)*(((-5--5)+(18.48--5))+18.48))))-(-5+-5)))*-5)))/-5)--5)+(-5*(((18.48*(18.48-(-5/-5)))*(18.48-(18.48/(-5*18.48))))-(-5/-5)))))</f>
        <v>30910.98016</v>
      </c>
      <c r="C11849" t="n" s="0">
        <v>30910.980160000003</v>
      </c>
    </row>
    <row r="11850">
      <c r="A11850" t="n" s="0">
        <v>18.49</v>
      </c>
      <c r="B11850" t="n" s="0">
        <f>(-5-((((-5*(-5/((-5/(((-5*(18.49--5))-(-5+((-5*18.49)*(((-5--5)+(18.49--5))+18.49))))-(-5+-5)))*-5)))/-5)--5)+(-5*(((18.49*(18.49-(-5/-5)))*(18.49-(18.49/(-5*18.49))))-(-5/-5)))))</f>
        <v>30961.525045</v>
      </c>
      <c r="C11850" t="n" s="0">
        <v>30961.525044999995</v>
      </c>
    </row>
    <row r="11851">
      <c r="A11851" t="n" s="0">
        <v>18.5</v>
      </c>
      <c r="B11851" t="n" s="0">
        <f>(-5-((((-5*(-5/((-5/(((-5*(18.5--5))-(-5+((-5*18.5)*(((-5--5)+(18.5--5))+18.5))))-(-5+-5)))*-5)))/-5)--5)+(-5*(((18.5*(18.5-(-5/-5)))*(18.5-(18.5/(-5*18.5))))-(-5/-5)))))</f>
        <v>31012.125000000004</v>
      </c>
      <c r="C11851" t="n" s="0">
        <v>31012.125</v>
      </c>
    </row>
    <row r="11852">
      <c r="A11852" t="n" s="0">
        <v>18.51</v>
      </c>
      <c r="B11852" t="n" s="0">
        <f>(-5-((((-5*(-5/((-5/(((-5*(18.51--5))-(-5+((-5*18.51)*(((-5--5)+(18.51--5))+18.51))))-(-5+-5)))*-5)))/-5)--5)+(-5*(((18.51*(18.51-(-5/-5)))*(18.51-(18.51/(-5*18.51))))-(-5/-5)))))</f>
        <v>31062.780055</v>
      </c>
      <c r="C11852" t="n" s="0">
        <v>31062.78005500001</v>
      </c>
    </row>
    <row r="11853">
      <c r="A11853" t="n" s="0">
        <v>18.52</v>
      </c>
      <c r="B11853" t="n" s="0">
        <f>(-5-((((-5*(-5/((-5/(((-5*(18.52--5))-(-5+((-5*18.52)*(((-5--5)+(18.52--5))+18.52))))-(-5+-5)))*-5)))/-5)--5)+(-5*(((18.52*(18.52-(-5/-5)))*(18.52-(18.52/(-5*18.52))))-(-5/-5)))))</f>
        <v>31113.49024</v>
      </c>
      <c r="C11853" t="n" s="0">
        <v>31113.490239999996</v>
      </c>
    </row>
    <row r="11854">
      <c r="A11854" t="n" s="0">
        <v>18.53</v>
      </c>
      <c r="B11854" t="n" s="0">
        <f>(-5-((((-5*(-5/((-5/(((-5*(18.53--5))-(-5+((-5*18.53)*(((-5--5)+(18.53--5))+18.53))))-(-5+-5)))*-5)))/-5)--5)+(-5*(((18.53*(18.53-(-5/-5)))*(18.53-(18.53/(-5*18.53))))-(-5/-5)))))</f>
        <v>31164.255585000003</v>
      </c>
      <c r="C11854" t="n" s="0">
        <v>31164.255585000006</v>
      </c>
    </row>
    <row r="11855">
      <c r="A11855" t="n" s="0">
        <v>18.54</v>
      </c>
      <c r="B11855" t="n" s="0">
        <f>(-5-((((-5*(-5/((-5/(((-5*(18.54--5))-(-5+((-5*18.54)*(((-5--5)+(18.54--5))+18.54))))-(-5+-5)))*-5)))/-5)--5)+(-5*(((18.54*(18.54-(-5/-5)))*(18.54-(18.54/(-5*18.54))))-(-5/-5)))))</f>
        <v>31215.076119999998</v>
      </c>
      <c r="C11855" t="n" s="0">
        <v>31215.076119999994</v>
      </c>
    </row>
    <row r="11856">
      <c r="A11856" t="n" s="0">
        <v>18.55</v>
      </c>
      <c r="B11856" t="n" s="0">
        <f>(-5-((((-5*(-5/((-5/(((-5*(18.55--5))-(-5+((-5*18.55)*(((-5--5)+(18.55--5))+18.55))))-(-5+-5)))*-5)))/-5)--5)+(-5*(((18.55*(18.55-(-5/-5)))*(18.55-(18.55/(-5*18.55))))-(-5/-5)))))</f>
        <v>31265.951875000002</v>
      </c>
      <c r="C11856" t="n" s="0">
        <v>31265.951875000006</v>
      </c>
    </row>
    <row r="11857">
      <c r="A11857" t="n" s="0">
        <v>18.56</v>
      </c>
      <c r="B11857" t="n" s="0">
        <f>(-5-((((-5*(-5/((-5/(((-5*(18.56--5))-(-5+((-5*18.56)*(((-5--5)+(18.56--5))+18.56))))-(-5+-5)))*-5)))/-5)--5)+(-5*(((18.56*(18.56-(-5/-5)))*(18.56-(18.56/(-5*18.56))))-(-5/-5)))))</f>
        <v>31316.88288</v>
      </c>
      <c r="C11857" t="n" s="0">
        <v>31316.882879999994</v>
      </c>
    </row>
    <row r="11858">
      <c r="A11858" t="n" s="0">
        <v>18.57</v>
      </c>
      <c r="B11858" t="n" s="0">
        <f>(-5-((((-5*(-5/((-5/(((-5*(18.57--5))-(-5+((-5*18.57)*(((-5--5)+(18.57--5))+18.57))))-(-5+-5)))*-5)))/-5)--5)+(-5*(((18.57*(18.57-(-5/-5)))*(18.57-(18.57/(-5*18.57))))-(-5/-5)))))</f>
        <v>31367.869165000004</v>
      </c>
      <c r="C11858" t="n" s="0">
        <v>31367.869165</v>
      </c>
    </row>
    <row r="11859">
      <c r="A11859" t="n" s="0">
        <v>18.58</v>
      </c>
      <c r="B11859" t="n" s="0">
        <f>(-5-((((-5*(-5/((-5/(((-5*(18.58--5))-(-5+((-5*18.58)*(((-5--5)+(18.58--5))+18.58))))-(-5+-5)))*-5)))/-5)--5)+(-5*(((18.58*(18.58-(-5/-5)))*(18.58-(18.58/(-5*18.58))))-(-5/-5)))))</f>
        <v>31418.91076</v>
      </c>
      <c r="C11859" t="n" s="0">
        <v>31418.91075999999</v>
      </c>
    </row>
    <row r="11860">
      <c r="A11860" t="n" s="0">
        <v>18.59</v>
      </c>
      <c r="B11860" t="n" s="0">
        <f>(-5-((((-5*(-5/((-5/(((-5*(18.59--5))-(-5+((-5*18.59)*(((-5--5)+(18.59--5))+18.59))))-(-5+-5)))*-5)))/-5)--5)+(-5*(((18.59*(18.59-(-5/-5)))*(18.59-(18.59/(-5*18.59))))-(-5/-5)))))</f>
        <v>31470.007695</v>
      </c>
      <c r="C11860" t="n" s="0">
        <v>31470.007694999997</v>
      </c>
    </row>
    <row r="11861">
      <c r="A11861" t="n" s="0">
        <v>18.6</v>
      </c>
      <c r="B11861" t="n" s="0">
        <f>(-5-((((-5*(-5/((-5/(((-5*(18.6--5))-(-5+((-5*18.6)*(((-5--5)+(18.6--5))+18.6))))-(-5+-5)))*-5)))/-5)--5)+(-5*(((18.6*(18.6-(-5/-5)))*(18.6-(18.6/(-5*18.6))))-(-5/-5)))))</f>
        <v>31521.160000000003</v>
      </c>
      <c r="C11861" t="n" s="0">
        <v>31521.160000000007</v>
      </c>
    </row>
    <row r="11862">
      <c r="A11862" t="n" s="0">
        <v>18.61</v>
      </c>
      <c r="B11862" t="n" s="0">
        <f>(-5-((((-5*(-5/((-5/(((-5*(18.61--5))-(-5+((-5*18.61)*(((-5--5)+(18.61--5))+18.61))))-(-5+-5)))*-5)))/-5)--5)+(-5*(((18.61*(18.61-(-5/-5)))*(18.61-(18.61/(-5*18.61))))-(-5/-5)))))</f>
        <v>31572.367705</v>
      </c>
      <c r="C11862" t="n" s="0">
        <v>31572.367705</v>
      </c>
    </row>
    <row r="11863">
      <c r="A11863" t="n" s="0">
        <v>18.62</v>
      </c>
      <c r="B11863" t="n" s="0">
        <f>(-5-((((-5*(-5/((-5/(((-5*(18.62--5))-(-5+((-5*18.62)*(((-5--5)+(18.62--5))+18.62))))-(-5+-5)))*-5)))/-5)--5)+(-5*(((18.62*(18.62-(-5/-5)))*(18.62-(18.62/(-5*18.62))))-(-5/-5)))))</f>
        <v>31623.630839999998</v>
      </c>
      <c r="C11863" t="n" s="0">
        <v>31623.63084</v>
      </c>
    </row>
    <row r="11864">
      <c r="A11864" t="n" s="0">
        <v>18.63</v>
      </c>
      <c r="B11864" t="n" s="0">
        <f>(-5-((((-5*(-5/((-5/(((-5*(18.63--5))-(-5+((-5*18.63)*(((-5--5)+(18.63--5))+18.63))))-(-5+-5)))*-5)))/-5)--5)+(-5*(((18.63*(18.63-(-5/-5)))*(18.63-(18.63/(-5*18.63))))-(-5/-5)))))</f>
        <v>31674.949435000002</v>
      </c>
      <c r="C11864" t="n" s="0">
        <v>31674.949434999995</v>
      </c>
    </row>
    <row r="11865">
      <c r="A11865" t="n" s="0">
        <v>18.64</v>
      </c>
      <c r="B11865" t="n" s="0">
        <f>(-5-((((-5*(-5/((-5/(((-5*(18.64--5))-(-5+((-5*18.64)*(((-5--5)+(18.64--5))+18.64))))-(-5+-5)))*-5)))/-5)--5)+(-5*(((18.64*(18.64-(-5/-5)))*(18.64-(18.64/(-5*18.64))))-(-5/-5)))))</f>
        <v>31726.32352</v>
      </c>
      <c r="C11865" t="n" s="0">
        <v>31726.32352</v>
      </c>
    </row>
    <row r="11866">
      <c r="A11866" t="n" s="0">
        <v>18.65</v>
      </c>
      <c r="B11866" t="n" s="0">
        <f>(-5-((((-5*(-5/((-5/(((-5*(18.65--5))-(-5+((-5*18.65)*(((-5--5)+(18.65--5))+18.65))))-(-5+-5)))*-5)))/-5)--5)+(-5*(((18.65*(18.65-(-5/-5)))*(18.65-(18.65/(-5*18.65))))-(-5/-5)))))</f>
        <v>31777.753125</v>
      </c>
      <c r="C11866" t="n" s="0">
        <v>31777.753124999996</v>
      </c>
    </row>
    <row r="11867">
      <c r="A11867" t="n" s="0">
        <v>18.66</v>
      </c>
      <c r="B11867" t="n" s="0">
        <f>(-5-((((-5*(-5/((-5/(((-5*(18.66--5))-(-5+((-5*18.66)*(((-5--5)+(18.66--5))+18.66))))-(-5+-5)))*-5)))/-5)--5)+(-5*(((18.66*(18.66-(-5/-5)))*(18.66-(18.66/(-5*18.66))))-(-5/-5)))))</f>
        <v>31829.238279999998</v>
      </c>
      <c r="C11867" t="n" s="0">
        <v>31829.23828</v>
      </c>
    </row>
    <row r="11868">
      <c r="A11868" t="n" s="0">
        <v>18.67</v>
      </c>
      <c r="B11868" t="n" s="0">
        <f>(-5-((((-5*(-5/((-5/(((-5*(18.67--5))-(-5+((-5*18.67)*(((-5--5)+(18.67--5))+18.67))))-(-5+-5)))*-5)))/-5)--5)+(-5*(((18.67*(18.67-(-5/-5)))*(18.67-(18.67/(-5*18.67))))-(-5/-5)))))</f>
        <v>31880.779014999996</v>
      </c>
      <c r="C11868" t="n" s="0">
        <v>31880.779015000007</v>
      </c>
    </row>
    <row r="11869">
      <c r="A11869" t="n" s="0">
        <v>18.68</v>
      </c>
      <c r="B11869" t="n" s="0">
        <f>(-5-((((-5*(-5/((-5/(((-5*(18.68--5))-(-5+((-5*18.68)*(((-5--5)+(18.68--5))+18.68))))-(-5+-5)))*-5)))/-5)--5)+(-5*(((18.68*(18.68-(-5/-5)))*(18.68-(18.68/(-5*18.68))))-(-5/-5)))))</f>
        <v>31932.37536</v>
      </c>
      <c r="C11869" t="n" s="0">
        <v>31932.37536</v>
      </c>
    </row>
    <row r="11870">
      <c r="A11870" t="n" s="0">
        <v>18.69</v>
      </c>
      <c r="B11870" t="n" s="0">
        <f>(-5-((((-5*(-5/((-5/(((-5*(18.69--5))-(-5+((-5*18.69)*(((-5--5)+(18.69--5))+18.69))))-(-5+-5)))*-5)))/-5)--5)+(-5*(((18.69*(18.69-(-5/-5)))*(18.69-(18.69/(-5*18.69))))-(-5/-5)))))</f>
        <v>31984.027345000002</v>
      </c>
      <c r="C11870" t="n" s="0">
        <v>31984.02734500001</v>
      </c>
    </row>
    <row r="11871">
      <c r="A11871" t="n" s="0">
        <v>18.7</v>
      </c>
      <c r="B11871" t="n" s="0">
        <f>(-5-((((-5*(-5/((-5/(((-5*(18.7--5))-(-5+((-5*18.7)*(((-5--5)+(18.7--5))+18.7))))-(-5+-5)))*-5)))/-5)--5)+(-5*(((18.7*(18.7-(-5/-5)))*(18.7-(18.7/(-5*18.7))))-(-5/-5)))))</f>
        <v>32035.735</v>
      </c>
      <c r="C11871" t="n" s="0">
        <v>32035.734999999997</v>
      </c>
    </row>
    <row r="11872">
      <c r="A11872" t="n" s="0">
        <v>18.71</v>
      </c>
      <c r="B11872" t="n" s="0">
        <f>(-5-((((-5*(-5/((-5/(((-5*(18.71--5))-(-5+((-5*18.71)*(((-5--5)+(18.71--5))+18.71))))-(-5+-5)))*-5)))/-5)--5)+(-5*(((18.71*(18.71-(-5/-5)))*(18.71-(18.71/(-5*18.71))))-(-5/-5)))))</f>
        <v>32087.498355</v>
      </c>
      <c r="C11872" t="n" s="0">
        <v>32087.498355000007</v>
      </c>
    </row>
    <row r="11873">
      <c r="A11873" t="n" s="0">
        <v>18.72</v>
      </c>
      <c r="B11873" t="n" s="0">
        <f>(-5-((((-5*(-5/((-5/(((-5*(18.72--5))-(-5+((-5*18.72)*(((-5--5)+(18.72--5))+18.72))))-(-5+-5)))*-5)))/-5)--5)+(-5*(((18.72*(18.72-(-5/-5)))*(18.72-(18.72/(-5*18.72))))-(-5/-5)))))</f>
        <v>32139.31744</v>
      </c>
      <c r="C11873" t="n" s="0">
        <v>32139.317439999995</v>
      </c>
    </row>
    <row r="11874">
      <c r="A11874" t="n" s="0">
        <v>18.73</v>
      </c>
      <c r="B11874" t="n" s="0">
        <f>(-5-((((-5*(-5/((-5/(((-5*(18.73--5))-(-5+((-5*18.73)*(((-5--5)+(18.73--5))+18.73))))-(-5+-5)))*-5)))/-5)--5)+(-5*(((18.73*(18.73-(-5/-5)))*(18.73-(18.73/(-5*18.73))))-(-5/-5)))))</f>
        <v>32191.192285</v>
      </c>
      <c r="C11874" t="n" s="0">
        <v>32191.192285</v>
      </c>
    </row>
    <row r="11875">
      <c r="A11875" t="n" s="0">
        <v>18.74</v>
      </c>
      <c r="B11875" t="n" s="0">
        <f>(-5-((((-5*(-5/((-5/(((-5*(18.74--5))-(-5+((-5*18.74)*(((-5--5)+(18.74--5))+18.74))))-(-5+-5)))*-5)))/-5)--5)+(-5*(((18.74*(18.74-(-5/-5)))*(18.74-(18.74/(-5*18.74))))-(-5/-5)))))</f>
        <v>32243.122919999998</v>
      </c>
      <c r="C11875" t="n" s="0">
        <v>32243.122919999998</v>
      </c>
    </row>
    <row r="11876">
      <c r="A11876" t="n" s="0">
        <v>18.75</v>
      </c>
      <c r="B11876" t="n" s="0">
        <f>(-5-((((-5*(-5/((-5/(((-5*(18.75--5))-(-5+((-5*18.75)*(((-5--5)+(18.75--5))+18.75))))-(-5+-5)))*-5)))/-5)--5)+(-5*(((18.75*(18.75-(-5/-5)))*(18.75-(18.75/(-5*18.75))))-(-5/-5)))))</f>
        <v>32295.109374999996</v>
      </c>
      <c r="C11876" t="n" s="0">
        <v>32295.109375</v>
      </c>
    </row>
    <row r="11877">
      <c r="A11877" t="n" s="0">
        <v>18.76</v>
      </c>
      <c r="B11877" t="n" s="0">
        <f>(-5-((((-5*(-5/((-5/(((-5*(18.76--5))-(-5+((-5*18.76)*(((-5--5)+(18.76--5))+18.76))))-(-5+-5)))*-5)))/-5)--5)+(-5*(((18.76*(18.76-(-5/-5)))*(18.76-(18.76/(-5*18.76))))-(-5/-5)))))</f>
        <v>32347.151680000003</v>
      </c>
      <c r="C11877" t="n" s="0">
        <v>32347.151680000006</v>
      </c>
    </row>
    <row r="11878">
      <c r="A11878" t="n" s="0">
        <v>18.77</v>
      </c>
      <c r="B11878" t="n" s="0">
        <f>(-5-((((-5*(-5/((-5/(((-5*(18.77--5))-(-5+((-5*18.77)*(((-5--5)+(18.77--5))+18.77))))-(-5+-5)))*-5)))/-5)--5)+(-5*(((18.77*(18.77-(-5/-5)))*(18.77-(18.77/(-5*18.77))))-(-5/-5)))))</f>
        <v>32399.249865</v>
      </c>
      <c r="C11878" t="n" s="0">
        <v>32399.249864999994</v>
      </c>
    </row>
    <row r="11879">
      <c r="A11879" t="n" s="0">
        <v>18.78</v>
      </c>
      <c r="B11879" t="n" s="0">
        <f>(-5-((((-5*(-5/((-5/(((-5*(18.78--5))-(-5+((-5*18.78)*(((-5--5)+(18.78--5))+18.78))))-(-5+-5)))*-5)))/-5)--5)+(-5*(((18.78*(18.78-(-5/-5)))*(18.78-(18.78/(-5*18.78))))-(-5/-5)))))</f>
        <v>32451.40396</v>
      </c>
      <c r="C11879" t="n" s="0">
        <v>32451.403960000003</v>
      </c>
    </row>
    <row r="11880">
      <c r="A11880" t="n" s="0">
        <v>18.79</v>
      </c>
      <c r="B11880" t="n" s="0">
        <f>(-5-((((-5*(-5/((-5/(((-5*(18.79--5))-(-5+((-5*18.79)*(((-5--5)+(18.79--5))+18.79))))-(-5+-5)))*-5)))/-5)--5)+(-5*(((18.79*(18.79-(-5/-5)))*(18.79-(18.79/(-5*18.79))))-(-5/-5)))))</f>
        <v>32503.613995</v>
      </c>
      <c r="C11880" t="n" s="0">
        <v>32503.613994999996</v>
      </c>
    </row>
    <row r="11881">
      <c r="A11881" t="n" s="0">
        <v>18.8</v>
      </c>
      <c r="B11881" t="n" s="0">
        <f>(-5-((((-5*(-5/((-5/(((-5*(18.8--5))-(-5+((-5*18.8)*(((-5--5)+(18.8--5))+18.8))))-(-5+-5)))*-5)))/-5)--5)+(-5*(((18.8*(18.8-(-5/-5)))*(18.8-(18.8/(-5*18.8))))-(-5/-5)))))</f>
        <v>32555.88</v>
      </c>
      <c r="C11881" t="n" s="0">
        <v>32555.88</v>
      </c>
    </row>
    <row r="11882">
      <c r="A11882" t="n" s="0">
        <v>18.81</v>
      </c>
      <c r="B11882" t="n" s="0">
        <f>(-5-((((-5*(-5/((-5/(((-5*(18.81--5))-(-5+((-5*18.81)*(((-5--5)+(18.81--5))+18.81))))-(-5+-5)))*-5)))/-5)--5)+(-5*(((18.81*(18.81-(-5/-5)))*(18.81-(18.81/(-5*18.81))))-(-5/-5)))))</f>
        <v>32608.202005000003</v>
      </c>
      <c r="C11882" t="n" s="0">
        <v>32608.202004999992</v>
      </c>
    </row>
    <row r="11883">
      <c r="A11883" t="n" s="0">
        <v>18.82</v>
      </c>
      <c r="B11883" t="n" s="0">
        <f>(-5-((((-5*(-5/((-5/(((-5*(18.82--5))-(-5+((-5*18.82)*(((-5--5)+(18.82--5))+18.82))))-(-5+-5)))*-5)))/-5)--5)+(-5*(((18.82*(18.82-(-5/-5)))*(18.82-(18.82/(-5*18.82))))-(-5/-5)))))</f>
        <v>32660.580039999997</v>
      </c>
      <c r="C11883" t="n" s="0">
        <v>32660.58004</v>
      </c>
    </row>
    <row r="11884">
      <c r="A11884" t="n" s="0">
        <v>18.83</v>
      </c>
      <c r="B11884" t="n" s="0">
        <f>(-5-((((-5*(-5/((-5/(((-5*(18.83--5))-(-5+((-5*18.83)*(((-5--5)+(18.83--5))+18.83))))-(-5+-5)))*-5)))/-5)--5)+(-5*(((18.83*(18.83-(-5/-5)))*(18.83-(18.83/(-5*18.83))))-(-5/-5)))))</f>
        <v>32713.014135000005</v>
      </c>
      <c r="C11884" t="n" s="0">
        <v>32713.01413499999</v>
      </c>
    </row>
    <row r="11885">
      <c r="A11885" t="n" s="0">
        <v>18.84</v>
      </c>
      <c r="B11885" t="n" s="0">
        <f>(-5-((((-5*(-5/((-5/(((-5*(18.84--5))-(-5+((-5*18.84)*(((-5--5)+(18.84--5))+18.84))))-(-5+-5)))*-5)))/-5)--5)+(-5*(((18.84*(18.84-(-5/-5)))*(18.84-(18.84/(-5*18.84))))-(-5/-5)))))</f>
        <v>32765.50432</v>
      </c>
      <c r="C11885" t="n" s="0">
        <v>32765.50432</v>
      </c>
    </row>
    <row r="11886">
      <c r="A11886" t="n" s="0">
        <v>18.85</v>
      </c>
      <c r="B11886" t="n" s="0">
        <f>(-5-((((-5*(-5/((-5/(((-5*(18.85--5))-(-5+((-5*18.85)*(((-5--5)+(18.85--5))+18.85))))-(-5+-5)))*-5)))/-5)--5)+(-5*(((18.85*(18.85-(-5/-5)))*(18.85-(18.85/(-5*18.85))))-(-5/-5)))))</f>
        <v>32818.050625</v>
      </c>
      <c r="C11886" t="n" s="0">
        <v>32818.05062500001</v>
      </c>
    </row>
    <row r="11887">
      <c r="A11887" t="n" s="0">
        <v>18.86</v>
      </c>
      <c r="B11887" t="n" s="0">
        <f>(-5-((((-5*(-5/((-5/(((-5*(18.86--5))-(-5+((-5*18.86)*(((-5--5)+(18.86--5))+18.86))))-(-5+-5)))*-5)))/-5)--5)+(-5*(((18.86*(18.86-(-5/-5)))*(18.86-(18.86/(-5*18.86))))-(-5/-5)))))</f>
        <v>32870.65308</v>
      </c>
      <c r="C11887" t="n" s="0">
        <v>32870.65308</v>
      </c>
    </row>
    <row r="11888">
      <c r="A11888" t="n" s="0">
        <v>18.87</v>
      </c>
      <c r="B11888" t="n" s="0">
        <f>(-5-((((-5*(-5/((-5/(((-5*(18.87--5))-(-5+((-5*18.87)*(((-5--5)+(18.87--5))+18.87))))-(-5+-5)))*-5)))/-5)--5)+(-5*(((18.87*(18.87-(-5/-5)))*(18.87-(18.87/(-5*18.87))))-(-5/-5)))))</f>
        <v>32923.311715</v>
      </c>
      <c r="C11888" t="n" s="0">
        <v>32923.31171500001</v>
      </c>
    </row>
    <row r="11889">
      <c r="A11889" t="n" s="0">
        <v>18.88</v>
      </c>
      <c r="B11889" t="n" s="0">
        <f>(-5-((((-5*(-5/((-5/(((-5*(18.88--5))-(-5+((-5*18.88)*(((-5--5)+(18.88--5))+18.88))))-(-5+-5)))*-5)))/-5)--5)+(-5*(((18.88*(18.88-(-5/-5)))*(18.88-(18.88/(-5*18.88))))-(-5/-5)))))</f>
        <v>32976.02656</v>
      </c>
      <c r="C11889" t="n" s="0">
        <v>32976.02656</v>
      </c>
    </row>
    <row r="11890">
      <c r="A11890" t="n" s="0">
        <v>18.89</v>
      </c>
      <c r="B11890" t="n" s="0">
        <f>(-5-((((-5*(-5/((-5/(((-5*(18.89--5))-(-5+((-5*18.89)*(((-5--5)+(18.89--5))+18.89))))-(-5+-5)))*-5)))/-5)--5)+(-5*(((18.89*(18.89-(-5/-5)))*(18.89-(18.89/(-5*18.89))))-(-5/-5)))))</f>
        <v>33028.797645</v>
      </c>
      <c r="C11890" t="n" s="0">
        <v>33028.797645</v>
      </c>
    </row>
    <row r="11891">
      <c r="A11891" t="n" s="0">
        <v>18.9</v>
      </c>
      <c r="B11891" t="n" s="0">
        <f>(-5-((((-5*(-5/((-5/(((-5*(18.9--5))-(-5+((-5*18.9)*(((-5--5)+(18.9--5))+18.9))))-(-5+-5)))*-5)))/-5)--5)+(-5*(((18.9*(18.9-(-5/-5)))*(18.9-(18.9/(-5*18.9))))-(-5/-5)))))</f>
        <v>33081.625</v>
      </c>
      <c r="C11891" t="n" s="0">
        <v>33081.62499999999</v>
      </c>
    </row>
    <row r="11892">
      <c r="A11892" t="n" s="0">
        <v>18.91</v>
      </c>
      <c r="B11892" t="n" s="0">
        <f>(-5-((((-5*(-5/((-5/(((-5*(18.91--5))-(-5+((-5*18.91)*(((-5--5)+(18.91--5))+18.91))))-(-5+-5)))*-5)))/-5)--5)+(-5*(((18.91*(18.91-(-5/-5)))*(18.91-(18.91/(-5*18.91))))-(-5/-5)))))</f>
        <v>33134.508655000005</v>
      </c>
      <c r="C11892" t="n" s="0">
        <v>33134.508655000005</v>
      </c>
    </row>
    <row r="11893">
      <c r="A11893" t="n" s="0">
        <v>18.92</v>
      </c>
      <c r="B11893" t="n" s="0">
        <f>(-5-((((-5*(-5/((-5/(((-5*(18.92--5))-(-5+((-5*18.92)*(((-5--5)+(18.92--5))+18.92))))-(-5+-5)))*-5)))/-5)--5)+(-5*(((18.92*(18.92-(-5/-5)))*(18.92-(18.92/(-5*18.92))))-(-5/-5)))))</f>
        <v>33187.44864</v>
      </c>
      <c r="C11893" t="n" s="0">
        <v>33187.44864000001</v>
      </c>
    </row>
    <row r="11894">
      <c r="A11894" t="n" s="0">
        <v>18.93</v>
      </c>
      <c r="B11894" t="n" s="0">
        <f>(-5-((((-5*(-5/((-5/(((-5*(18.93--5))-(-5+((-5*18.93)*(((-5--5)+(18.93--5))+18.93))))-(-5+-5)))*-5)))/-5)--5)+(-5*(((18.93*(18.93-(-5/-5)))*(18.93-(18.93/(-5*18.93))))-(-5/-5)))))</f>
        <v>33240.444985</v>
      </c>
      <c r="C11894" t="n" s="0">
        <v>33240.444985</v>
      </c>
    </row>
    <row r="11895">
      <c r="A11895" t="n" s="0">
        <v>18.94</v>
      </c>
      <c r="B11895" t="n" s="0">
        <f>(-5-((((-5*(-5/((-5/(((-5*(18.94--5))-(-5+((-5*18.94)*(((-5--5)+(18.94--5))+18.94))))-(-5+-5)))*-5)))/-5)--5)+(-5*(((18.94*(18.94-(-5/-5)))*(18.94-(18.94/(-5*18.94))))-(-5/-5)))))</f>
        <v>33293.49772</v>
      </c>
      <c r="C11895" t="n" s="0">
        <v>33293.49772000001</v>
      </c>
    </row>
    <row r="11896">
      <c r="A11896" t="n" s="0">
        <v>18.95</v>
      </c>
      <c r="B11896" t="n" s="0">
        <f>(-5-((((-5*(-5/((-5/(((-5*(18.95--5))-(-5+((-5*18.95)*(((-5--5)+(18.95--5))+18.95))))-(-5+-5)))*-5)))/-5)--5)+(-5*(((18.95*(18.95-(-5/-5)))*(18.95-(18.95/(-5*18.95))))-(-5/-5)))))</f>
        <v>33346.606875</v>
      </c>
      <c r="C11896" t="n" s="0">
        <v>33346.60687499999</v>
      </c>
    </row>
    <row r="11897">
      <c r="A11897" t="n" s="0">
        <v>18.96</v>
      </c>
      <c r="B11897" t="n" s="0">
        <f>(-5-((((-5*(-5/((-5/(((-5*(18.96--5))-(-5+((-5*18.96)*(((-5--5)+(18.96--5))+18.96))))-(-5+-5)))*-5)))/-5)--5)+(-5*(((18.96*(18.96-(-5/-5)))*(18.96-(18.96/(-5*18.96))))-(-5/-5)))))</f>
        <v>33399.77248</v>
      </c>
      <c r="C11897" t="n" s="0">
        <v>33399.77248000001</v>
      </c>
    </row>
    <row r="11898">
      <c r="A11898" t="n" s="0">
        <v>18.97</v>
      </c>
      <c r="B11898" t="n" s="0">
        <f>(-5-((((-5*(-5/((-5/(((-5*(18.97--5))-(-5+((-5*18.97)*(((-5--5)+(18.97--5))+18.97))))-(-5+-5)))*-5)))/-5)--5)+(-5*(((18.97*(18.97-(-5/-5)))*(18.97-(18.97/(-5*18.97))))-(-5/-5)))))</f>
        <v>33452.994565</v>
      </c>
      <c r="C11898" t="n" s="0">
        <v>33452.99456499999</v>
      </c>
    </row>
    <row r="11899">
      <c r="A11899" t="n" s="0">
        <v>18.98</v>
      </c>
      <c r="B11899" t="n" s="0">
        <f>(-5-((((-5*(-5/((-5/(((-5*(18.98--5))-(-5+((-5*18.98)*(((-5--5)+(18.98--5))+18.98))))-(-5+-5)))*-5)))/-5)--5)+(-5*(((18.98*(18.98-(-5/-5)))*(18.98-(18.98/(-5*18.98))))-(-5/-5)))))</f>
        <v>33506.273160000004</v>
      </c>
      <c r="C11899" t="n" s="0">
        <v>33506.27316000001</v>
      </c>
    </row>
    <row r="11900">
      <c r="A11900" t="n" s="0">
        <v>18.99</v>
      </c>
      <c r="B11900" t="n" s="0">
        <f>(-5-((((-5*(-5/((-5/(((-5*(18.99--5))-(-5+((-5*18.99)*(((-5--5)+(18.99--5))+18.99))))-(-5+-5)))*-5)))/-5)--5)+(-5*(((18.99*(18.99-(-5/-5)))*(18.99-(18.99/(-5*18.99))))-(-5/-5)))))</f>
        <v>33559.608295</v>
      </c>
      <c r="C11900" t="n" s="0">
        <v>33559.60829499999</v>
      </c>
    </row>
    <row r="11901">
      <c r="A11901" t="n" s="0">
        <v>19.0</v>
      </c>
      <c r="B11901" t="n" s="0">
        <f>(-5-((((-5*(-5/((-5/(((-5*(19--5))-(-5+((-5*19)*(((-5--5)+(19--5))+19))))-(-5+-5)))*-5)))/-5)--5)+(-5*(((19*(19-(-5/-5)))*(19-(19/(-5*19))))-(-5/-5)))))</f>
        <v>33612.99999999999</v>
      </c>
      <c r="C11901" t="n" s="0">
        <v>33613.0</v>
      </c>
    </row>
    <row r="11902">
      <c r="A11902" t="n" s="0">
        <v>19.01</v>
      </c>
      <c r="B11902" t="n" s="0">
        <f>(-5-((((-5*(-5/((-5/(((-5*(19.01--5))-(-5+((-5*19.01)*(((-5--5)+(19.01--5))+19.01))))-(-5+-5)))*-5)))/-5)--5)+(-5*(((19.01*(19.01-(-5/-5)))*(19.01-(19.01/(-5*19.01))))-(-5/-5)))))</f>
        <v>33666.448305000005</v>
      </c>
      <c r="C11902" t="n" s="0">
        <v>33666.44830500001</v>
      </c>
    </row>
    <row r="11903">
      <c r="A11903" t="n" s="0">
        <v>19.02</v>
      </c>
      <c r="B11903" t="n" s="0">
        <f>(-5-((((-5*(-5/((-5/(((-5*(19.02--5))-(-5+((-5*19.02)*(((-5--5)+(19.02--5))+19.02))))-(-5+-5)))*-5)))/-5)--5)+(-5*(((19.02*(19.02-(-5/-5)))*(19.02-(19.02/(-5*19.02))))-(-5/-5)))))</f>
        <v>33719.95324</v>
      </c>
      <c r="C11903" t="n" s="0">
        <v>33719.953239999995</v>
      </c>
    </row>
    <row r="11904">
      <c r="A11904" t="n" s="0">
        <v>19.03</v>
      </c>
      <c r="B11904" t="n" s="0">
        <f>(-5-((((-5*(-5/((-5/(((-5*(19.03--5))-(-5+((-5*19.03)*(((-5--5)+(19.03--5))+19.03))))-(-5+-5)))*-5)))/-5)--5)+(-5*(((19.03*(19.03-(-5/-5)))*(19.03-(19.03/(-5*19.03))))-(-5/-5)))))</f>
        <v>33773.514835</v>
      </c>
      <c r="C11904" t="n" s="0">
        <v>33773.514835</v>
      </c>
    </row>
    <row r="11905">
      <c r="A11905" t="n" s="0">
        <v>19.04</v>
      </c>
      <c r="B11905" t="n" s="0">
        <f>(-5-((((-5*(-5/((-5/(((-5*(19.04--5))-(-5+((-5*19.04)*(((-5--5)+(19.04--5))+19.04))))-(-5+-5)))*-5)))/-5)--5)+(-5*(((19.04*(19.04-(-5/-5)))*(19.04-(19.04/(-5*19.04))))-(-5/-5)))))</f>
        <v>33827.133120000006</v>
      </c>
      <c r="C11905" t="n" s="0">
        <v>33827.13312</v>
      </c>
    </row>
    <row r="11906">
      <c r="A11906" t="n" s="0">
        <v>19.05</v>
      </c>
      <c r="B11906" t="n" s="0">
        <f>(-5-((((-5*(-5/((-5/(((-5*(19.05--5))-(-5+((-5*19.05)*(((-5--5)+(19.05--5))+19.05))))-(-5+-5)))*-5)))/-5)--5)+(-5*(((19.05*(19.05-(-5/-5)))*(19.05-(19.05/(-5*19.05))))-(-5/-5)))))</f>
        <v>33880.808124999996</v>
      </c>
      <c r="C11906" t="n" s="0">
        <v>33880.808125</v>
      </c>
    </row>
    <row r="11907">
      <c r="A11907" t="n" s="0">
        <v>19.06</v>
      </c>
      <c r="B11907" t="n" s="0">
        <f>(-5-((((-5*(-5/((-5/(((-5*(19.06--5))-(-5+((-5*19.06)*(((-5--5)+(19.06--5))+19.06))))-(-5+-5)))*-5)))/-5)--5)+(-5*(((19.06*(19.06-(-5/-5)))*(19.06-(19.06/(-5*19.06))))-(-5/-5)))))</f>
        <v>33934.539880000004</v>
      </c>
      <c r="C11907" t="n" s="0">
        <v>33934.53988</v>
      </c>
    </row>
    <row r="11908">
      <c r="A11908" t="n" s="0">
        <v>19.07</v>
      </c>
      <c r="B11908" t="n" s="0">
        <f>(-5-((((-5*(-5/((-5/(((-5*(19.07--5))-(-5+((-5*19.07)*(((-5--5)+(19.07--5))+19.07))))-(-5+-5)))*-5)))/-5)--5)+(-5*(((19.07*(19.07-(-5/-5)))*(19.07-(19.07/(-5*19.07))))-(-5/-5)))))</f>
        <v>33988.328414999996</v>
      </c>
      <c r="C11908" t="n" s="0">
        <v>33988.328415</v>
      </c>
    </row>
    <row r="11909">
      <c r="A11909" t="n" s="0">
        <v>19.08</v>
      </c>
      <c r="B11909" t="n" s="0">
        <f>(-5-((((-5*(-5/((-5/(((-5*(19.08--5))-(-5+((-5*19.08)*(((-5--5)+(19.08--5))+19.08))))-(-5+-5)))*-5)))/-5)--5)+(-5*(((19.08*(19.08-(-5/-5)))*(19.08-(19.08/(-5*19.08))))-(-5/-5)))))</f>
        <v>34042.17376</v>
      </c>
      <c r="C11909" t="n" s="0">
        <v>34042.17375999999</v>
      </c>
    </row>
    <row r="11910">
      <c r="A11910" t="n" s="0">
        <v>19.09</v>
      </c>
      <c r="B11910" t="n" s="0">
        <f>(-5-((((-5*(-5/((-5/(((-5*(19.09--5))-(-5+((-5*19.09)*(((-5--5)+(19.09--5))+19.09))))-(-5+-5)))*-5)))/-5)--5)+(-5*(((19.09*(19.09-(-5/-5)))*(19.09-(19.09/(-5*19.09))))-(-5/-5)))))</f>
        <v>34096.075945000004</v>
      </c>
      <c r="C11910" t="n" s="0">
        <v>34096.07594499999</v>
      </c>
    </row>
    <row r="11911">
      <c r="A11911" t="n" s="0">
        <v>19.1</v>
      </c>
      <c r="B11911" t="n" s="0">
        <f>(-5-((((-5*(-5/((-5/(((-5*(19.1--5))-(-5+((-5*19.1)*(((-5--5)+(19.1--5))+19.1))))-(-5+-5)))*-5)))/-5)--5)+(-5*(((19.1*(19.1-(-5/-5)))*(19.1-(19.1/(-5*19.1))))-(-5/-5)))))</f>
        <v>34150.034999999996</v>
      </c>
      <c r="C11911" t="n" s="0">
        <v>34150.03500000001</v>
      </c>
    </row>
    <row r="11912">
      <c r="A11912" t="n" s="0">
        <v>19.11</v>
      </c>
      <c r="B11912" t="n" s="0">
        <f>(-5-((((-5*(-5/((-5/(((-5*(19.11--5))-(-5+((-5*19.11)*(((-5--5)+(19.11--5))+19.11))))-(-5+-5)))*-5)))/-5)--5)+(-5*(((19.11*(19.11-(-5/-5)))*(19.11-(19.11/(-5*19.11))))-(-5/-5)))))</f>
        <v>34204.050955000006</v>
      </c>
      <c r="C11912" t="n" s="0">
        <v>34204.050955</v>
      </c>
    </row>
    <row r="11913">
      <c r="A11913" t="n" s="0">
        <v>19.12</v>
      </c>
      <c r="B11913" t="n" s="0">
        <f>(-5-((((-5*(-5/((-5/(((-5*(19.12--5))-(-5+((-5*19.12)*(((-5--5)+(19.12--5))+19.12))))-(-5+-5)))*-5)))/-5)--5)+(-5*(((19.12*(19.12-(-5/-5)))*(19.12-(19.12/(-5*19.12))))-(-5/-5)))))</f>
        <v>34258.12384</v>
      </c>
      <c r="C11913" t="n" s="0">
        <v>34258.12384</v>
      </c>
    </row>
    <row r="11914">
      <c r="A11914" t="n" s="0">
        <v>19.13</v>
      </c>
      <c r="B11914" t="n" s="0">
        <f>(-5-((((-5*(-5/((-5/(((-5*(19.13--5))-(-5+((-5*19.13)*(((-5--5)+(19.13--5))+19.13))))-(-5+-5)))*-5)))/-5)--5)+(-5*(((19.13*(19.13-(-5/-5)))*(19.13-(19.13/(-5*19.13))))-(-5/-5)))))</f>
        <v>34312.253684999996</v>
      </c>
      <c r="C11914" t="n" s="0">
        <v>34312.253684999996</v>
      </c>
    </row>
    <row r="11915">
      <c r="A11915" t="n" s="0">
        <v>19.14</v>
      </c>
      <c r="B11915" t="n" s="0">
        <f>(-5-((((-5*(-5/((-5/(((-5*(19.14--5))-(-5+((-5*19.14)*(((-5--5)+(19.14--5))+19.14))))-(-5+-5)))*-5)))/-5)--5)+(-5*(((19.14*(19.14-(-5/-5)))*(19.14-(19.14/(-5*19.14))))-(-5/-5)))))</f>
        <v>34366.44052</v>
      </c>
      <c r="C11915" t="n" s="0">
        <v>34366.440520000004</v>
      </c>
    </row>
    <row r="11916">
      <c r="A11916" t="n" s="0">
        <v>19.15</v>
      </c>
      <c r="B11916" t="n" s="0">
        <f>(-5-((((-5*(-5/((-5/(((-5*(19.15--5))-(-5+((-5*19.15)*(((-5--5)+(19.15--5))+19.15))))-(-5+-5)))*-5)))/-5)--5)+(-5*(((19.15*(19.15-(-5/-5)))*(19.15-(19.15/(-5*19.15))))-(-5/-5)))))</f>
        <v>34420.684375</v>
      </c>
      <c r="C11916" t="n" s="0">
        <v>34420.68437499999</v>
      </c>
    </row>
    <row r="11917">
      <c r="A11917" t="n" s="0">
        <v>19.16</v>
      </c>
      <c r="B11917" t="n" s="0">
        <f>(-5-((((-5*(-5/((-5/(((-5*(19.16--5))-(-5+((-5*19.16)*(((-5--5)+(19.16--5))+19.16))))-(-5+-5)))*-5)))/-5)--5)+(-5*(((19.16*(19.16-(-5/-5)))*(19.16-(19.16/(-5*19.16))))-(-5/-5)))))</f>
        <v>34474.98528000001</v>
      </c>
      <c r="C11917" t="n" s="0">
        <v>34474.98528000001</v>
      </c>
    </row>
    <row r="11918">
      <c r="A11918" t="n" s="0">
        <v>19.17</v>
      </c>
      <c r="B11918" t="n" s="0">
        <f>(-5-((((-5*(-5/((-5/(((-5*(19.17--5))-(-5+((-5*19.17)*(((-5--5)+(19.17--5))+19.17))))-(-5+-5)))*-5)))/-5)--5)+(-5*(((19.17*(19.17-(-5/-5)))*(19.17-(19.17/(-5*19.17))))-(-5/-5)))))</f>
        <v>34529.343265</v>
      </c>
      <c r="C11918" t="n" s="0">
        <v>34529.34326500001</v>
      </c>
    </row>
    <row r="11919">
      <c r="A11919" t="n" s="0">
        <v>19.18</v>
      </c>
      <c r="B11919" t="n" s="0">
        <f>(-5-((((-5*(-5/((-5/(((-5*(19.18--5))-(-5+((-5*19.18)*(((-5--5)+(19.18--5))+19.18))))-(-5+-5)))*-5)))/-5)--5)+(-5*(((19.18*(19.18-(-5/-5)))*(19.18-(19.18/(-5*19.18))))-(-5/-5)))))</f>
        <v>34583.75836</v>
      </c>
      <c r="C11919" t="n" s="0">
        <v>34583.75836</v>
      </c>
    </row>
    <row r="11920">
      <c r="A11920" t="n" s="0">
        <v>19.19</v>
      </c>
      <c r="B11920" t="n" s="0">
        <f>(-5-((((-5*(-5/((-5/(((-5*(19.19--5))-(-5+((-5*19.19)*(((-5--5)+(19.19--5))+19.19))))-(-5+-5)))*-5)))/-5)--5)+(-5*(((19.19*(19.19-(-5/-5)))*(19.19-(19.19/(-5*19.19))))-(-5/-5)))))</f>
        <v>34638.230595</v>
      </c>
      <c r="C11920" t="n" s="0">
        <v>34638.23059500001</v>
      </c>
    </row>
    <row r="11921">
      <c r="A11921" t="n" s="0">
        <v>19.2</v>
      </c>
      <c r="B11921" t="n" s="0">
        <f>(-5-((((-5*(-5/((-5/(((-5*(19.2--5))-(-5+((-5*19.2)*(((-5--5)+(19.2--5))+19.2))))-(-5+-5)))*-5)))/-5)--5)+(-5*(((19.2*(19.2-(-5/-5)))*(19.2-(19.2/(-5*19.2))))-(-5/-5)))))</f>
        <v>34692.76</v>
      </c>
      <c r="C11921" t="n" s="0">
        <v>34692.759999999995</v>
      </c>
    </row>
    <row r="11922">
      <c r="A11922" t="n" s="0">
        <v>19.21</v>
      </c>
      <c r="B11922" t="n" s="0">
        <f>(-5-((((-5*(-5/((-5/(((-5*(19.21--5))-(-5+((-5*19.21)*(((-5--5)+(19.21--5))+19.21))))-(-5+-5)))*-5)))/-5)--5)+(-5*(((19.21*(19.21-(-5/-5)))*(19.21-(19.21/(-5*19.21))))-(-5/-5)))))</f>
        <v>34747.346605</v>
      </c>
      <c r="C11922" t="n" s="0">
        <v>34747.346605000006</v>
      </c>
    </row>
    <row r="11923">
      <c r="A11923" t="n" s="0">
        <v>19.22</v>
      </c>
      <c r="B11923" t="n" s="0">
        <f>(-5-((((-5*(-5/((-5/(((-5*(19.22--5))-(-5+((-5*19.22)*(((-5--5)+(19.22--5))+19.22))))-(-5+-5)))*-5)))/-5)--5)+(-5*(((19.22*(19.22-(-5/-5)))*(19.22-(19.22/(-5*19.22))))-(-5/-5)))))</f>
        <v>34801.99044</v>
      </c>
      <c r="C11923" t="n" s="0">
        <v>34801.990439999994</v>
      </c>
    </row>
    <row r="11924">
      <c r="A11924" t="n" s="0">
        <v>19.23</v>
      </c>
      <c r="B11924" t="n" s="0">
        <f>(-5-((((-5*(-5/((-5/(((-5*(19.23--5))-(-5+((-5*19.23)*(((-5--5)+(19.23--5))+19.23))))-(-5+-5)))*-5)))/-5)--5)+(-5*(((19.23*(19.23-(-5/-5)))*(19.23-(19.23/(-5*19.23))))-(-5/-5)))))</f>
        <v>34856.691535</v>
      </c>
      <c r="C11924" t="n" s="0">
        <v>34856.691535000005</v>
      </c>
    </row>
    <row r="11925">
      <c r="A11925" t="n" s="0">
        <v>19.24</v>
      </c>
      <c r="B11925" t="n" s="0">
        <f>(-5-((((-5*(-5/((-5/(((-5*(19.24--5))-(-5+((-5*19.24)*(((-5--5)+(19.24--5))+19.24))))-(-5+-5)))*-5)))/-5)--5)+(-5*(((19.24*(19.24-(-5/-5)))*(19.24-(19.24/(-5*19.24))))-(-5/-5)))))</f>
        <v>34911.44992</v>
      </c>
      <c r="C11925" t="n" s="0">
        <v>34911.44992</v>
      </c>
    </row>
    <row r="11926">
      <c r="A11926" t="n" s="0">
        <v>19.25</v>
      </c>
      <c r="B11926" t="n" s="0">
        <f>(-5-((((-5*(-5/((-5/(((-5*(19.25--5))-(-5+((-5*19.25)*(((-5--5)+(19.25--5))+19.25))))-(-5+-5)))*-5)))/-5)--5)+(-5*(((19.25*(19.25-(-5/-5)))*(19.25-(19.25/(-5*19.25))))-(-5/-5)))))</f>
        <v>34966.265625</v>
      </c>
      <c r="C11926" t="n" s="0">
        <v>34966.265625</v>
      </c>
    </row>
    <row r="11927">
      <c r="A11927" t="n" s="0">
        <v>19.26</v>
      </c>
      <c r="B11927" t="n" s="0">
        <f>(-5-((((-5*(-5/((-5/(((-5*(19.26--5))-(-5+((-5*19.26)*(((-5--5)+(19.26--5))+19.26))))-(-5+-5)))*-5)))/-5)--5)+(-5*(((19.26*(19.26-(-5/-5)))*(19.26-(19.26/(-5*19.26))))-(-5/-5)))))</f>
        <v>35021.13868</v>
      </c>
      <c r="C11927" t="n" s="0">
        <v>35021.138680000004</v>
      </c>
    </row>
    <row r="11928">
      <c r="A11928" t="n" s="0">
        <v>19.27</v>
      </c>
      <c r="B11928" t="n" s="0">
        <f>(-5-((((-5*(-5/((-5/(((-5*(19.27--5))-(-5+((-5*19.27)*(((-5--5)+(19.27--5))+19.27))))-(-5+-5)))*-5)))/-5)--5)+(-5*(((19.27*(19.27-(-5/-5)))*(19.27-(19.27/(-5*19.27))))-(-5/-5)))))</f>
        <v>35076.069115</v>
      </c>
      <c r="C11928" t="n" s="0">
        <v>35076.06911499999</v>
      </c>
    </row>
    <row r="11929">
      <c r="A11929" t="n" s="0">
        <v>19.28</v>
      </c>
      <c r="B11929" t="n" s="0">
        <f>(-5-((((-5*(-5/((-5/(((-5*(19.28--5))-(-5+((-5*19.28)*(((-5--5)+(19.28--5))+19.28))))-(-5+-5)))*-5)))/-5)--5)+(-5*(((19.28*(19.28-(-5/-5)))*(19.28-(19.28/(-5*19.28))))-(-5/-5)))))</f>
        <v>35131.05696</v>
      </c>
      <c r="C11929" t="n" s="0">
        <v>35131.05696</v>
      </c>
    </row>
    <row r="11930">
      <c r="A11930" t="n" s="0">
        <v>19.29</v>
      </c>
      <c r="B11930" t="n" s="0">
        <f>(-5-((((-5*(-5/((-5/(((-5*(19.29--5))-(-5+((-5*19.29)*(((-5--5)+(19.29--5))+19.29))))-(-5+-5)))*-5)))/-5)--5)+(-5*(((19.29*(19.29-(-5/-5)))*(19.29-(19.29/(-5*19.29))))-(-5/-5)))))</f>
        <v>35186.102244999995</v>
      </c>
      <c r="C11930" t="n" s="0">
        <v>35186.102244999995</v>
      </c>
    </row>
    <row r="11931">
      <c r="A11931" t="n" s="0">
        <v>19.3</v>
      </c>
      <c r="B11931" t="n" s="0">
        <f>(-5-((((-5*(-5/((-5/(((-5*(19.3--5))-(-5+((-5*19.3)*(((-5--5)+(19.3--5))+19.3))))-(-5+-5)))*-5)))/-5)--5)+(-5*(((19.3*(19.3-(-5/-5)))*(19.3-(19.3/(-5*19.3))))-(-5/-5)))))</f>
        <v>35241.205</v>
      </c>
      <c r="C11931" t="n" s="0">
        <v>35241.205</v>
      </c>
    </row>
    <row r="11932">
      <c r="A11932" t="n" s="0">
        <v>19.31</v>
      </c>
      <c r="B11932" t="n" s="0">
        <f>(-5-((((-5*(-5/((-5/(((-5*(19.31--5))-(-5+((-5*19.31)*(((-5--5)+(19.31--5))+19.31))))-(-5+-5)))*-5)))/-5)--5)+(-5*(((19.31*(19.31-(-5/-5)))*(19.31-(19.31/(-5*19.31))))-(-5/-5)))))</f>
        <v>35296.365255</v>
      </c>
      <c r="C11932" t="n" s="0">
        <v>35296.36525499999</v>
      </c>
    </row>
    <row r="11933">
      <c r="A11933" t="n" s="0">
        <v>19.32</v>
      </c>
      <c r="B11933" t="n" s="0">
        <f>(-5-((((-5*(-5/((-5/(((-5*(19.32--5))-(-5+((-5*19.32)*(((-5--5)+(19.32--5))+19.32))))-(-5+-5)))*-5)))/-5)--5)+(-5*(((19.32*(19.32-(-5/-5)))*(19.32-(19.32/(-5*19.32))))-(-5/-5)))))</f>
        <v>35351.58304</v>
      </c>
      <c r="C11933" t="n" s="0">
        <v>35351.583040000005</v>
      </c>
    </row>
    <row r="11934">
      <c r="A11934" t="n" s="0">
        <v>19.33</v>
      </c>
      <c r="B11934" t="n" s="0">
        <f>(-5-((((-5*(-5/((-5/(((-5*(19.33--5))-(-5+((-5*19.33)*(((-5--5)+(19.33--5))+19.33))))-(-5+-5)))*-5)))/-5)--5)+(-5*(((19.33*(19.33-(-5/-5)))*(19.33-(19.33/(-5*19.33))))-(-5/-5)))))</f>
        <v>35406.858385</v>
      </c>
      <c r="C11934" t="n" s="0">
        <v>35406.85838499999</v>
      </c>
    </row>
    <row r="11935">
      <c r="A11935" t="n" s="0">
        <v>19.34</v>
      </c>
      <c r="B11935" t="n" s="0">
        <f>(-5-((((-5*(-5/((-5/(((-5*(19.34--5))-(-5+((-5*19.34)*(((-5--5)+(19.34--5))+19.34))))-(-5+-5)))*-5)))/-5)--5)+(-5*(((19.34*(19.34-(-5/-5)))*(19.34-(19.34/(-5*19.34))))-(-5/-5)))))</f>
        <v>35462.19132</v>
      </c>
      <c r="C11935" t="n" s="0">
        <v>35462.19132</v>
      </c>
    </row>
    <row r="11936">
      <c r="A11936" t="n" s="0">
        <v>19.35</v>
      </c>
      <c r="B11936" t="n" s="0">
        <f>(-5-((((-5*(-5/((-5/(((-5*(19.35--5))-(-5+((-5*19.35)*(((-5--5)+(19.35--5))+19.35))))-(-5+-5)))*-5)))/-5)--5)+(-5*(((19.35*(19.35-(-5/-5)))*(19.35-(19.35/(-5*19.35))))-(-5/-5)))))</f>
        <v>35517.581875</v>
      </c>
      <c r="C11936" t="n" s="0">
        <v>35517.58187500001</v>
      </c>
    </row>
    <row r="11937">
      <c r="A11937" t="n" s="0">
        <v>19.36</v>
      </c>
      <c r="B11937" t="n" s="0">
        <f>(-5-((((-5*(-5/((-5/(((-5*(19.36--5))-(-5+((-5*19.36)*(((-5--5)+(19.36--5))+19.36))))-(-5+-5)))*-5)))/-5)--5)+(-5*(((19.36*(19.36-(-5/-5)))*(19.36-(19.36/(-5*19.36))))-(-5/-5)))))</f>
        <v>35573.030080000004</v>
      </c>
      <c r="C11937" t="n" s="0">
        <v>35573.03008</v>
      </c>
    </row>
    <row r="11938">
      <c r="A11938" t="n" s="0">
        <v>19.37</v>
      </c>
      <c r="B11938" t="n" s="0">
        <f>(-5-((((-5*(-5/((-5/(((-5*(19.37--5))-(-5+((-5*19.37)*(((-5--5)+(19.37--5))+19.37))))-(-5+-5)))*-5)))/-5)--5)+(-5*(((19.37*(19.37-(-5/-5)))*(19.37-(19.37/(-5*19.37))))-(-5/-5)))))</f>
        <v>35628.535965</v>
      </c>
      <c r="C11938" t="n" s="0">
        <v>35628.53596500001</v>
      </c>
    </row>
    <row r="11939">
      <c r="A11939" t="n" s="0">
        <v>19.38</v>
      </c>
      <c r="B11939" t="n" s="0">
        <f>(-5-((((-5*(-5/((-5/(((-5*(19.38--5))-(-5+((-5*19.38)*(((-5--5)+(19.38--5))+19.38))))-(-5+-5)))*-5)))/-5)--5)+(-5*(((19.38*(19.38-(-5/-5)))*(19.38-(19.38/(-5*19.38))))-(-5/-5)))))</f>
        <v>35684.09956</v>
      </c>
      <c r="C11939" t="n" s="0">
        <v>35684.099559999995</v>
      </c>
    </row>
    <row r="11940">
      <c r="A11940" t="n" s="0">
        <v>19.39</v>
      </c>
      <c r="B11940" t="n" s="0">
        <f>(-5-((((-5*(-5/((-5/(((-5*(19.39--5))-(-5+((-5*19.39)*(((-5--5)+(19.39--5))+19.39))))-(-5+-5)))*-5)))/-5)--5)+(-5*(((19.39*(19.39-(-5/-5)))*(19.39-(19.39/(-5*19.39))))-(-5/-5)))))</f>
        <v>35739.720895000006</v>
      </c>
      <c r="C11940" t="n" s="0">
        <v>35739.720895</v>
      </c>
    </row>
    <row r="11941">
      <c r="A11941" t="n" s="0">
        <v>19.4</v>
      </c>
      <c r="B11941" t="n" s="0">
        <f>(-5-((((-5*(-5/((-5/(((-5*(19.4--5))-(-5+((-5*19.4)*(((-5--5)+(19.4--5))+19.4))))-(-5+-5)))*-5)))/-5)--5)+(-5*(((19.4*(19.4-(-5/-5)))*(19.4-(19.4/(-5*19.4))))-(-5/-5)))))</f>
        <v>35795.4</v>
      </c>
      <c r="C11941" t="n" s="0">
        <v>35795.39999999999</v>
      </c>
    </row>
    <row r="11942">
      <c r="A11942" t="n" s="0">
        <v>19.41</v>
      </c>
      <c r="B11942" t="n" s="0">
        <f>(-5-((((-5*(-5/((-5/(((-5*(19.41--5))-(-5+((-5*19.41)*(((-5--5)+(19.41--5))+19.41))))-(-5+-5)))*-5)))/-5)--5)+(-5*(((19.41*(19.41-(-5/-5)))*(19.41-(19.41/(-5*19.41))))-(-5/-5)))))</f>
        <v>35851.136905</v>
      </c>
      <c r="C11942" t="n" s="0">
        <v>35851.13690500001</v>
      </c>
    </row>
    <row r="11943">
      <c r="A11943" t="n" s="0">
        <v>19.42</v>
      </c>
      <c r="B11943" t="n" s="0">
        <f>(-5-((((-5*(-5/((-5/(((-5*(19.42--5))-(-5+((-5*19.42)*(((-5--5)+(19.42--5))+19.42))))-(-5+-5)))*-5)))/-5)--5)+(-5*(((19.42*(19.42-(-5/-5)))*(19.42-(19.42/(-5*19.42))))-(-5/-5)))))</f>
        <v>35906.93164</v>
      </c>
      <c r="C11943" t="n" s="0">
        <v>35906.93164000001</v>
      </c>
    </row>
    <row r="11944">
      <c r="A11944" t="n" s="0">
        <v>19.43</v>
      </c>
      <c r="B11944" t="n" s="0">
        <f>(-5-((((-5*(-5/((-5/(((-5*(19.43--5))-(-5+((-5*19.43)*(((-5--5)+(19.43--5))+19.43))))-(-5+-5)))*-5)))/-5)--5)+(-5*(((19.43*(19.43-(-5/-5)))*(19.43-(19.43/(-5*19.43))))-(-5/-5)))))</f>
        <v>35962.784235</v>
      </c>
      <c r="C11944" t="n" s="0">
        <v>35962.784235</v>
      </c>
    </row>
    <row r="11945">
      <c r="A11945" t="n" s="0">
        <v>19.44</v>
      </c>
      <c r="B11945" t="n" s="0">
        <f>(-5-((((-5*(-5/((-5/(((-5*(19.44--5))-(-5+((-5*19.44)*(((-5--5)+(19.44--5))+19.44))))-(-5+-5)))*-5)))/-5)--5)+(-5*(((19.44*(19.44-(-5/-5)))*(19.44-(19.44/(-5*19.44))))-(-5/-5)))))</f>
        <v>36018.69472</v>
      </c>
      <c r="C11945" t="n" s="0">
        <v>36018.69472000001</v>
      </c>
    </row>
    <row r="11946">
      <c r="A11946" t="n" s="0">
        <v>19.45</v>
      </c>
      <c r="B11946" t="n" s="0">
        <f>(-5-((((-5*(-5/((-5/(((-5*(19.45--5))-(-5+((-5*19.45)*(((-5--5)+(19.45--5))+19.45))))-(-5+-5)))*-5)))/-5)--5)+(-5*(((19.45*(19.45-(-5/-5)))*(19.45-(19.45/(-5*19.45))))-(-5/-5)))))</f>
        <v>36074.663125</v>
      </c>
      <c r="C11946" t="n" s="0">
        <v>36074.66312499999</v>
      </c>
    </row>
    <row r="11947">
      <c r="A11947" t="n" s="0">
        <v>19.46</v>
      </c>
      <c r="B11947" t="n" s="0">
        <f>(-5-((((-5*(-5/((-5/(((-5*(19.46--5))-(-5+((-5*19.46)*(((-5--5)+(19.46--5))+19.46))))-(-5+-5)))*-5)))/-5)--5)+(-5*(((19.46*(19.46-(-5/-5)))*(19.46-(19.46/(-5*19.46))))-(-5/-5)))))</f>
        <v>36130.68948</v>
      </c>
      <c r="C11947" t="n" s="0">
        <v>36130.68948000001</v>
      </c>
    </row>
    <row r="11948">
      <c r="A11948" t="n" s="0">
        <v>19.47</v>
      </c>
      <c r="B11948" t="n" s="0">
        <f>(-5-((((-5*(-5/((-5/(((-5*(19.47--5))-(-5+((-5*19.47)*(((-5--5)+(19.47--5))+19.47))))-(-5+-5)))*-5)))/-5)--5)+(-5*(((19.47*(19.47-(-5/-5)))*(19.47-(19.47/(-5*19.47))))-(-5/-5)))))</f>
        <v>36186.773815</v>
      </c>
      <c r="C11948" t="n" s="0">
        <v>36186.77381499999</v>
      </c>
    </row>
    <row r="11949">
      <c r="A11949" t="n" s="0">
        <v>19.48</v>
      </c>
      <c r="B11949" t="n" s="0">
        <f>(-5-((((-5*(-5/((-5/(((-5*(19.48--5))-(-5+((-5*19.48)*(((-5--5)+(19.48--5))+19.48))))-(-5+-5)))*-5)))/-5)--5)+(-5*(((19.48*(19.48-(-5/-5)))*(19.48-(19.48/(-5*19.48))))-(-5/-5)))))</f>
        <v>36242.91615999999</v>
      </c>
      <c r="C11949" t="n" s="0">
        <v>36242.91616000001</v>
      </c>
    </row>
    <row r="11950">
      <c r="A11950" t="n" s="0">
        <v>19.49</v>
      </c>
      <c r="B11950" t="n" s="0">
        <f>(-5-((((-5*(-5/((-5/(((-5*(19.49--5))-(-5+((-5*19.49)*(((-5--5)+(19.49--5))+19.49))))-(-5+-5)))*-5)))/-5)--5)+(-5*(((19.49*(19.49-(-5/-5)))*(19.49-(19.49/(-5*19.49))))-(-5/-5)))))</f>
        <v>36299.116545</v>
      </c>
      <c r="C11950" t="n" s="0">
        <v>36299.11654499999</v>
      </c>
    </row>
    <row r="11951">
      <c r="A11951" t="n" s="0">
        <v>19.5</v>
      </c>
      <c r="B11951" t="n" s="0">
        <f>(-5-((((-5*(-5/((-5/(((-5*(19.5--5))-(-5+((-5*19.5)*(((-5--5)+(19.5--5))+19.5))))-(-5+-5)))*-5)))/-5)--5)+(-5*(((19.5*(19.5-(-5/-5)))*(19.5-(19.5/(-5*19.5))))-(-5/-5)))))</f>
        <v>36355.375</v>
      </c>
      <c r="C11951" t="n" s="0">
        <v>36355.375</v>
      </c>
    </row>
    <row r="11952">
      <c r="A11952" t="n" s="0">
        <v>19.51</v>
      </c>
      <c r="B11952" t="n" s="0">
        <f>(-5-((((-5*(-5/((-5/(((-5*(19.51--5))-(-5+((-5*19.51)*(((-5--5)+(19.51--5))+19.51))))-(-5+-5)))*-5)))/-5)--5)+(-5*(((19.51*(19.51-(-5/-5)))*(19.51-(19.51/(-5*19.51))))-(-5/-5)))))</f>
        <v>36411.691555000005</v>
      </c>
      <c r="C11952" t="n" s="0">
        <v>36411.691555000005</v>
      </c>
    </row>
    <row r="11953">
      <c r="A11953" t="n" s="0">
        <v>19.52</v>
      </c>
      <c r="B11953" t="n" s="0">
        <f>(-5-((((-5*(-5/((-5/(((-5*(19.52--5))-(-5+((-5*19.52)*(((-5--5)+(19.52--5))+19.52))))-(-5+-5)))*-5)))/-5)--5)+(-5*(((19.52*(19.52-(-5/-5)))*(19.52-(19.52/(-5*19.52))))-(-5/-5)))))</f>
        <v>36468.06624</v>
      </c>
      <c r="C11953" t="n" s="0">
        <v>36468.06623999999</v>
      </c>
    </row>
    <row r="11954">
      <c r="A11954" t="n" s="0">
        <v>19.53</v>
      </c>
      <c r="B11954" t="n" s="0">
        <f>(-5-((((-5*(-5/((-5/(((-5*(19.53--5))-(-5+((-5*19.53)*(((-5--5)+(19.53--5))+19.53))))-(-5+-5)))*-5)))/-5)--5)+(-5*(((19.53*(19.53-(-5/-5)))*(19.53-(19.53/(-5*19.53))))-(-5/-5)))))</f>
        <v>36524.499085</v>
      </c>
      <c r="C11954" t="n" s="0">
        <v>36524.499085</v>
      </c>
    </row>
    <row r="11955">
      <c r="A11955" t="n" s="0">
        <v>19.54</v>
      </c>
      <c r="B11955" t="n" s="0">
        <f>(-5-((((-5*(-5/((-5/(((-5*(19.54--5))-(-5+((-5*19.54)*(((-5--5)+(19.54--5))+19.54))))-(-5+-5)))*-5)))/-5)--5)+(-5*(((19.54*(19.54-(-5/-5)))*(19.54-(19.54/(-5*19.54))))-(-5/-5)))))</f>
        <v>36580.990119999995</v>
      </c>
      <c r="C11955" t="n" s="0">
        <v>36580.990119999995</v>
      </c>
    </row>
    <row r="11956">
      <c r="A11956" t="n" s="0">
        <v>19.55</v>
      </c>
      <c r="B11956" t="n" s="0">
        <f>(-5-((((-5*(-5/((-5/(((-5*(19.55--5))-(-5+((-5*19.55)*(((-5--5)+(19.55--5))+19.55))))-(-5+-5)))*-5)))/-5)--5)+(-5*(((19.55*(19.55-(-5/-5)))*(19.55-(19.55/(-5*19.55))))-(-5/-5)))))</f>
        <v>36637.539375</v>
      </c>
      <c r="C11956" t="n" s="0">
        <v>36637.53937500001</v>
      </c>
    </row>
    <row r="11957">
      <c r="A11957" t="n" s="0">
        <v>19.56</v>
      </c>
      <c r="B11957" t="n" s="0">
        <f>(-5-((((-5*(-5/((-5/(((-5*(19.56--5))-(-5+((-5*19.56)*(((-5--5)+(19.56--5))+19.56))))-(-5+-5)))*-5)))/-5)--5)+(-5*(((19.56*(19.56-(-5/-5)))*(19.56-(19.56/(-5*19.56))))-(-5/-5)))))</f>
        <v>36694.14688000001</v>
      </c>
      <c r="C11957" t="n" s="0">
        <v>36694.14687999999</v>
      </c>
    </row>
    <row r="11958">
      <c r="A11958" t="n" s="0">
        <v>19.57</v>
      </c>
      <c r="B11958" t="n" s="0">
        <f>(-5-((((-5*(-5/((-5/(((-5*(19.57--5))-(-5+((-5*19.57)*(((-5--5)+(19.57--5))+19.57))))-(-5+-5)))*-5)))/-5)--5)+(-5*(((19.57*(19.57-(-5/-5)))*(19.57-(19.57/(-5*19.57))))-(-5/-5)))))</f>
        <v>36750.812665000005</v>
      </c>
      <c r="C11958" t="n" s="0">
        <v>36750.812665000005</v>
      </c>
    </row>
    <row r="11959">
      <c r="A11959" t="n" s="0">
        <v>19.58</v>
      </c>
      <c r="B11959" t="n" s="0">
        <f>(-5-((((-5*(-5/((-5/(((-5*(19.58--5))-(-5+((-5*19.58)*(((-5--5)+(19.58--5))+19.58))))-(-5+-5)))*-5)))/-5)--5)+(-5*(((19.58*(19.58-(-5/-5)))*(19.58-(19.58/(-5*19.58))))-(-5/-5)))))</f>
        <v>36807.536759999995</v>
      </c>
      <c r="C11959" t="n" s="0">
        <v>36807.53675999998</v>
      </c>
    </row>
    <row r="11960">
      <c r="A11960" t="n" s="0">
        <v>19.59</v>
      </c>
      <c r="B11960" t="n" s="0">
        <f>(-5-((((-5*(-5/((-5/(((-5*(19.59--5))-(-5+((-5*19.59)*(((-5--5)+(19.59--5))+19.59))))-(-5+-5)))*-5)))/-5)--5)+(-5*(((19.59*(19.59-(-5/-5)))*(19.59-(19.59/(-5*19.59))))-(-5/-5)))))</f>
        <v>36864.319195000004</v>
      </c>
      <c r="C11960" t="n" s="0">
        <v>36864.319195</v>
      </c>
    </row>
    <row r="11961">
      <c r="A11961" t="n" s="0">
        <v>19.6</v>
      </c>
      <c r="B11961" t="n" s="0">
        <f>(-5-((((-5*(-5/((-5/(((-5*(19.6--5))-(-5+((-5*19.6)*(((-5--5)+(19.6--5))+19.6))))-(-5+-5)))*-5)))/-5)--5)+(-5*(((19.6*(19.6-(-5/-5)))*(19.6-(19.6/(-5*19.6))))-(-5/-5)))))</f>
        <v>36921.159999999996</v>
      </c>
      <c r="C11961" t="n" s="0">
        <v>36921.16000000001</v>
      </c>
    </row>
    <row r="11962">
      <c r="A11962" t="n" s="0">
        <v>19.61</v>
      </c>
      <c r="B11962" t="n" s="0">
        <f>(-5-((((-5*(-5/((-5/(((-5*(19.61--5))-(-5+((-5*19.61)*(((-5--5)+(19.61--5))+19.61))))-(-5+-5)))*-5)))/-5)--5)+(-5*(((19.61*(19.61-(-5/-5)))*(19.61-(19.61/(-5*19.61))))-(-5/-5)))))</f>
        <v>36978.059205000005</v>
      </c>
      <c r="C11962" t="n" s="0">
        <v>36978.059205</v>
      </c>
    </row>
    <row r="11963">
      <c r="A11963" t="n" s="0">
        <v>19.62</v>
      </c>
      <c r="B11963" t="n" s="0">
        <f>(-5-((((-5*(-5/((-5/(((-5*(19.62--5))-(-5+((-5*19.62)*(((-5--5)+(19.62--5))+19.62))))-(-5+-5)))*-5)))/-5)--5)+(-5*(((19.62*(19.62-(-5/-5)))*(19.62-(19.62/(-5*19.62))))-(-5/-5)))))</f>
        <v>37035.01684</v>
      </c>
      <c r="C11963" t="n" s="0">
        <v>37035.016840000004</v>
      </c>
    </row>
    <row r="11964">
      <c r="A11964" t="n" s="0">
        <v>19.63</v>
      </c>
      <c r="B11964" t="n" s="0">
        <f>(-5-((((-5*(-5/((-5/(((-5*(19.63--5))-(-5+((-5*19.63)*(((-5--5)+(19.63--5))+19.63))))-(-5+-5)))*-5)))/-5)--5)+(-5*(((19.63*(19.63-(-5/-5)))*(19.63-(19.63/(-5*19.63))))-(-5/-5)))))</f>
        <v>37092.032935</v>
      </c>
      <c r="C11964" t="n" s="0">
        <v>37092.032934999996</v>
      </c>
    </row>
    <row r="11965">
      <c r="A11965" t="n" s="0">
        <v>19.64</v>
      </c>
      <c r="B11965" t="n" s="0">
        <f>(-5-((((-5*(-5/((-5/(((-5*(19.64--5))-(-5+((-5*19.64)*(((-5--5)+(19.64--5))+19.64))))-(-5+-5)))*-5)))/-5)--5)+(-5*(((19.64*(19.64-(-5/-5)))*(19.64-(19.64/(-5*19.64))))-(-5/-5)))))</f>
        <v>37149.107520000005</v>
      </c>
      <c r="C11965" t="n" s="0">
        <v>37149.107520000005</v>
      </c>
    </row>
    <row r="11966">
      <c r="A11966" t="n" s="0">
        <v>19.65</v>
      </c>
      <c r="B11966" t="n" s="0">
        <f>(-5-((((-5*(-5/((-5/(((-5*(19.65--5))-(-5+((-5*19.65)*(((-5--5)+(19.65--5))+19.65))))-(-5+-5)))*-5)))/-5)--5)+(-5*(((19.65*(19.65-(-5/-5)))*(19.65-(19.65/(-5*19.65))))-(-5/-5)))))</f>
        <v>37206.240625</v>
      </c>
      <c r="C11966" t="n" s="0">
        <v>37206.240624999984</v>
      </c>
    </row>
    <row r="11967">
      <c r="A11967" t="n" s="0">
        <v>19.66</v>
      </c>
      <c r="B11967" t="n" s="0">
        <f>(-5-((((-5*(-5/((-5/(((-5*(19.66--5))-(-5+((-5*19.66)*(((-5--5)+(19.66--5))+19.66))))-(-5+-5)))*-5)))/-5)--5)+(-5*(((19.66*(19.66-(-5/-5)))*(19.66-(19.66/(-5*19.66))))-(-5/-5)))))</f>
        <v>37263.43228</v>
      </c>
      <c r="C11967" t="n" s="0">
        <v>37263.43228</v>
      </c>
    </row>
    <row r="11968">
      <c r="A11968" t="n" s="0">
        <v>19.67</v>
      </c>
      <c r="B11968" t="n" s="0">
        <f>(-5-((((-5*(-5/((-5/(((-5*(19.67--5))-(-5+((-5*19.67)*(((-5--5)+(19.67--5))+19.67))))-(-5+-5)))*-5)))/-5)--5)+(-5*(((19.67*(19.67-(-5/-5)))*(19.67-(19.67/(-5*19.67))))-(-5/-5)))))</f>
        <v>37320.68251500001</v>
      </c>
      <c r="C11968" t="n" s="0">
        <v>37320.682515000015</v>
      </c>
    </row>
    <row r="11969">
      <c r="A11969" t="n" s="0">
        <v>19.68</v>
      </c>
      <c r="B11969" t="n" s="0">
        <f>(-5-((((-5*(-5/((-5/(((-5*(19.68--5))-(-5+((-5*19.68)*(((-5--5)+(19.68--5))+19.68))))-(-5+-5)))*-5)))/-5)--5)+(-5*(((19.68*(19.68-(-5/-5)))*(19.68-(19.68/(-5*19.68))))-(-5/-5)))))</f>
        <v>37377.99135999999</v>
      </c>
      <c r="C11969" t="n" s="0">
        <v>37377.99135999999</v>
      </c>
    </row>
    <row r="11970">
      <c r="A11970" t="n" s="0">
        <v>19.69</v>
      </c>
      <c r="B11970" t="n" s="0">
        <f>(-5-((((-5*(-5/((-5/(((-5*(19.69--5))-(-5+((-5*19.69)*(((-5--5)+(19.69--5))+19.69))))-(-5+-5)))*-5)))/-5)--5)+(-5*(((19.69*(19.69-(-5/-5)))*(19.69-(19.69/(-5*19.69))))-(-5/-5)))))</f>
        <v>37435.358844999995</v>
      </c>
      <c r="C11970" t="n" s="0">
        <v>37435.358845</v>
      </c>
    </row>
    <row r="11971">
      <c r="A11971" t="n" s="0">
        <v>19.7</v>
      </c>
      <c r="B11971" t="n" s="0">
        <f>(-5-((((-5*(-5/((-5/(((-5*(19.7--5))-(-5+((-5*19.7)*(((-5--5)+(19.7--5))+19.7))))-(-5+-5)))*-5)))/-5)--5)+(-5*(((19.7*(19.7-(-5/-5)))*(19.7-(19.7/(-5*19.7))))-(-5/-5)))))</f>
        <v>37492.785</v>
      </c>
      <c r="C11971" t="n" s="0">
        <v>37492.784999999996</v>
      </c>
    </row>
    <row r="11972">
      <c r="A11972" t="n" s="0">
        <v>19.71</v>
      </c>
      <c r="B11972" t="n" s="0">
        <f>(-5-((((-5*(-5/((-5/(((-5*(19.71--5))-(-5+((-5*19.71)*(((-5--5)+(19.71--5))+19.71))))-(-5+-5)))*-5)))/-5)--5)+(-5*(((19.71*(19.71-(-5/-5)))*(19.71-(19.71/(-5*19.71))))-(-5/-5)))))</f>
        <v>37550.269855</v>
      </c>
      <c r="C11972" t="n" s="0">
        <v>37550.269855</v>
      </c>
    </row>
    <row r="11973">
      <c r="A11973" t="n" s="0">
        <v>19.72</v>
      </c>
      <c r="B11973" t="n" s="0">
        <f>(-5-((((-5*(-5/((-5/(((-5*(19.72--5))-(-5+((-5*19.72)*(((-5--5)+(19.72--5))+19.72))))-(-5+-5)))*-5)))/-5)--5)+(-5*(((19.72*(19.72-(-5/-5)))*(19.72-(19.72/(-5*19.72))))-(-5/-5)))))</f>
        <v>37607.81344</v>
      </c>
      <c r="C11973" t="n" s="0">
        <v>37607.81344</v>
      </c>
    </row>
    <row r="11974">
      <c r="A11974" t="n" s="0">
        <v>19.73</v>
      </c>
      <c r="B11974" t="n" s="0">
        <f>(-5-((((-5*(-5/((-5/(((-5*(19.73--5))-(-5+((-5*19.73)*(((-5--5)+(19.73--5))+19.73))))-(-5+-5)))*-5)))/-5)--5)+(-5*(((19.73*(19.73-(-5/-5)))*(19.73-(19.73/(-5*19.73))))-(-5/-5)))))</f>
        <v>37665.415785</v>
      </c>
      <c r="C11974" t="n" s="0">
        <v>37665.415785000005</v>
      </c>
    </row>
    <row r="11975">
      <c r="A11975" t="n" s="0">
        <v>19.74</v>
      </c>
      <c r="B11975" t="n" s="0">
        <f>(-5-((((-5*(-5/((-5/(((-5*(19.74--5))-(-5+((-5*19.74)*(((-5--5)+(19.74--5))+19.74))))-(-5+-5)))*-5)))/-5)--5)+(-5*(((19.74*(19.74-(-5/-5)))*(19.74-(19.74/(-5*19.74))))-(-5/-5)))))</f>
        <v>37723.07692</v>
      </c>
      <c r="C11975" t="n" s="0">
        <v>37723.07691999999</v>
      </c>
    </row>
    <row r="11976">
      <c r="A11976" t="n" s="0">
        <v>19.75</v>
      </c>
      <c r="B11976" t="n" s="0">
        <f>(-5-((((-5*(-5/((-5/(((-5*(19.75--5))-(-5+((-5*19.75)*(((-5--5)+(19.75--5))+19.75))))-(-5+-5)))*-5)))/-5)--5)+(-5*(((19.75*(19.75-(-5/-5)))*(19.75-(19.75/(-5*19.75))))-(-5/-5)))))</f>
        <v>37780.796875</v>
      </c>
      <c r="C11976" t="n" s="0">
        <v>37780.796875</v>
      </c>
    </row>
    <row r="11977">
      <c r="A11977" t="n" s="0">
        <v>19.76</v>
      </c>
      <c r="B11977" t="n" s="0">
        <f>(-5-((((-5*(-5/((-5/(((-5*(19.76--5))-(-5+((-5*19.76)*(((-5--5)+(19.76--5))+19.76))))-(-5+-5)))*-5)))/-5)--5)+(-5*(((19.76*(19.76-(-5/-5)))*(19.76-(19.76/(-5*19.76))))-(-5/-5)))))</f>
        <v>37838.575679999994</v>
      </c>
      <c r="C11977" t="n" s="0">
        <v>37838.57568</v>
      </c>
    </row>
    <row r="11978">
      <c r="A11978" t="n" s="0">
        <v>19.77</v>
      </c>
      <c r="B11978" t="n" s="0">
        <f>(-5-((((-5*(-5/((-5/(((-5*(19.77--5))-(-5+((-5*19.77)*(((-5--5)+(19.77--5))+19.77))))-(-5+-5)))*-5)))/-5)--5)+(-5*(((19.77*(19.77-(-5/-5)))*(19.77-(19.77/(-5*19.77))))-(-5/-5)))))</f>
        <v>37896.413365</v>
      </c>
      <c r="C11978" t="n" s="0">
        <v>37896.41336499999</v>
      </c>
    </row>
    <row r="11979">
      <c r="A11979" t="n" s="0">
        <v>19.78</v>
      </c>
      <c r="B11979" t="n" s="0">
        <f>(-5-((((-5*(-5/((-5/(((-5*(19.78--5))-(-5+((-5*19.78)*(((-5--5)+(19.78--5))+19.78))))-(-5+-5)))*-5)))/-5)--5)+(-5*(((19.78*(19.78-(-5/-5)))*(19.78-(19.78/(-5*19.78))))-(-5/-5)))))</f>
        <v>37954.309960000006</v>
      </c>
      <c r="C11979" t="n" s="0">
        <v>37954.30996</v>
      </c>
    </row>
    <row r="11980">
      <c r="A11980" t="n" s="0">
        <v>19.79</v>
      </c>
      <c r="B11980" t="n" s="0">
        <f>(-5-((((-5*(-5/((-5/(((-5*(19.79--5))-(-5+((-5*19.79)*(((-5--5)+(19.79--5))+19.79))))-(-5+-5)))*-5)))/-5)--5)+(-5*(((19.79*(19.79-(-5/-5)))*(19.79-(19.79/(-5*19.79))))-(-5/-5)))))</f>
        <v>38012.265495</v>
      </c>
      <c r="C11980" t="n" s="0">
        <v>38012.26549499999</v>
      </c>
    </row>
    <row r="11981">
      <c r="A11981" t="n" s="0">
        <v>19.8</v>
      </c>
      <c r="B11981" t="n" s="0">
        <f>(-5-((((-5*(-5/((-5/(((-5*(19.8--5))-(-5+((-5*19.8)*(((-5--5)+(19.8--5))+19.8))))-(-5+-5)))*-5)))/-5)--5)+(-5*(((19.8*(19.8-(-5/-5)))*(19.8-(19.8/(-5*19.8))))-(-5/-5)))))</f>
        <v>38070.280000000006</v>
      </c>
      <c r="C11981" t="n" s="0">
        <v>38070.280000000006</v>
      </c>
    </row>
    <row r="11982">
      <c r="A11982" t="n" s="0">
        <v>19.81</v>
      </c>
      <c r="B11982" t="n" s="0">
        <f>(-5-((((-5*(-5/((-5/(((-5*(19.81--5))-(-5+((-5*19.81)*(((-5--5)+(19.81--5))+19.81))))-(-5+-5)))*-5)))/-5)--5)+(-5*(((19.81*(19.81-(-5/-5)))*(19.81-(19.81/(-5*19.81))))-(-5/-5)))))</f>
        <v>38128.35350500001</v>
      </c>
      <c r="C11982" t="n" s="0">
        <v>38128.35350499999</v>
      </c>
    </row>
    <row r="11983">
      <c r="A11983" t="n" s="0">
        <v>19.82</v>
      </c>
      <c r="B11983" t="n" s="0">
        <f>(-5-((((-5*(-5/((-5/(((-5*(19.82--5))-(-5+((-5*19.82)*(((-5--5)+(19.82--5))+19.82))))-(-5+-5)))*-5)))/-5)--5)+(-5*(((19.82*(19.82-(-5/-5)))*(19.82-(19.82/(-5*19.82))))-(-5/-5)))))</f>
        <v>38186.486039999996</v>
      </c>
      <c r="C11983" t="n" s="0">
        <v>38186.48604</v>
      </c>
    </row>
    <row r="11984">
      <c r="A11984" t="n" s="0">
        <v>19.83</v>
      </c>
      <c r="B11984" t="n" s="0">
        <f>(-5-((((-5*(-5/((-5/(((-5*(19.83--5))-(-5+((-5*19.83)*(((-5--5)+(19.83--5))+19.83))))-(-5+-5)))*-5)))/-5)--5)+(-5*(((19.83*(19.83-(-5/-5)))*(19.83-(19.83/(-5*19.83))))-(-5/-5)))))</f>
        <v>38244.677635</v>
      </c>
      <c r="C11984" t="n" s="0">
        <v>38244.67763499999</v>
      </c>
    </row>
    <row r="11985">
      <c r="A11985" t="n" s="0">
        <v>19.84</v>
      </c>
      <c r="B11985" t="n" s="0">
        <f>(-5-((((-5*(-5/((-5/(((-5*(19.84--5))-(-5+((-5*19.84)*(((-5--5)+(19.84--5))+19.84))))-(-5+-5)))*-5)))/-5)--5)+(-5*(((19.84*(19.84-(-5/-5)))*(19.84-(19.84/(-5*19.84))))-(-5/-5)))))</f>
        <v>38302.92832</v>
      </c>
      <c r="C11985" t="n" s="0">
        <v>38302.92832</v>
      </c>
    </row>
    <row r="11986">
      <c r="A11986" t="n" s="0">
        <v>19.85</v>
      </c>
      <c r="B11986" t="n" s="0">
        <f>(-5-((((-5*(-5/((-5/(((-5*(19.85--5))-(-5+((-5*19.85)*(((-5--5)+(19.85--5))+19.85))))-(-5+-5)))*-5)))/-5)--5)+(-5*(((19.85*(19.85-(-5/-5)))*(19.85-(19.85/(-5*19.85))))-(-5/-5)))))</f>
        <v>38361.23812499999</v>
      </c>
      <c r="C11986" t="n" s="0">
        <v>38361.23812500002</v>
      </c>
    </row>
    <row r="11987">
      <c r="A11987" t="n" s="0">
        <v>19.86</v>
      </c>
      <c r="B11987" t="n" s="0">
        <f>(-5-((((-5*(-5/((-5/(((-5*(19.86--5))-(-5+((-5*19.86)*(((-5--5)+(19.86--5))+19.86))))-(-5+-5)))*-5)))/-5)--5)+(-5*(((19.86*(19.86-(-5/-5)))*(19.86-(19.86/(-5*19.86))))-(-5/-5)))))</f>
        <v>38419.607079999994</v>
      </c>
      <c r="C11987" t="n" s="0">
        <v>38419.607079999994</v>
      </c>
    </row>
    <row r="11988">
      <c r="A11988" t="n" s="0">
        <v>19.87</v>
      </c>
      <c r="B11988" t="n" s="0">
        <f>(-5-((((-5*(-5/((-5/(((-5*(19.87--5))-(-5+((-5*19.87)*(((-5--5)+(19.87--5))+19.87))))-(-5+-5)))*-5)))/-5)--5)+(-5*(((19.87*(19.87-(-5/-5)))*(19.87-(19.87/(-5*19.87))))-(-5/-5)))))</f>
        <v>38478.035214999996</v>
      </c>
      <c r="C11988" t="n" s="0">
        <v>38478.035215</v>
      </c>
    </row>
    <row r="11989">
      <c r="A11989" t="n" s="0">
        <v>19.88</v>
      </c>
      <c r="B11989" t="n" s="0">
        <f>(-5-((((-5*(-5/((-5/(((-5*(19.88--5))-(-5+((-5*19.88)*(((-5--5)+(19.88--5))+19.88))))-(-5+-5)))*-5)))/-5)--5)+(-5*(((19.88*(19.88-(-5/-5)))*(19.88-(19.88/(-5*19.88))))-(-5/-5)))))</f>
        <v>38536.522560000005</v>
      </c>
      <c r="C11989" t="n" s="0">
        <v>38536.52255999999</v>
      </c>
    </row>
    <row r="11990">
      <c r="A11990" t="n" s="0">
        <v>19.89</v>
      </c>
      <c r="B11990" t="n" s="0">
        <f>(-5-((((-5*(-5/((-5/(((-5*(19.89--5))-(-5+((-5*19.89)*(((-5--5)+(19.89--5))+19.89))))-(-5+-5)))*-5)))/-5)--5)+(-5*(((19.89*(19.89-(-5/-5)))*(19.89-(19.89/(-5*19.89))))-(-5/-5)))))</f>
        <v>38595.069144999994</v>
      </c>
      <c r="C11990" t="n" s="0">
        <v>38595.06914500001</v>
      </c>
    </row>
    <row r="11991">
      <c r="A11991" t="n" s="0">
        <v>19.9</v>
      </c>
      <c r="B11991" t="n" s="0">
        <f>(-5-((((-5*(-5/((-5/(((-5*(19.9--5))-(-5+((-5*19.9)*(((-5--5)+(19.9--5))+19.9))))-(-5+-5)))*-5)))/-5)--5)+(-5*(((19.9*(19.9-(-5/-5)))*(19.9-(19.9/(-5*19.9))))-(-5/-5)))))</f>
        <v>38653.675</v>
      </c>
      <c r="C11991" t="n" s="0">
        <v>38653.674999999996</v>
      </c>
    </row>
    <row r="11992">
      <c r="A11992" t="n" s="0">
        <v>19.91</v>
      </c>
      <c r="B11992" t="n" s="0">
        <f>(-5-((((-5*(-5/((-5/(((-5*(19.91--5))-(-5+((-5*19.91)*(((-5--5)+(19.91--5))+19.91))))-(-5+-5)))*-5)))/-5)--5)+(-5*(((19.91*(19.91-(-5/-5)))*(19.91-(19.91/(-5*19.91))))-(-5/-5)))))</f>
        <v>38712.34015499999</v>
      </c>
      <c r="C11992" t="n" s="0">
        <v>38712.340155000005</v>
      </c>
    </row>
    <row r="11993">
      <c r="A11993" t="n" s="0">
        <v>19.92</v>
      </c>
      <c r="B11993" t="n" s="0">
        <f>(-5-((((-5*(-5/((-5/(((-5*(19.92--5))-(-5+((-5*19.92)*(((-5--5)+(19.92--5))+19.92))))-(-5+-5)))*-5)))/-5)--5)+(-5*(((19.92*(19.92-(-5/-5)))*(19.92-(19.92/(-5*19.92))))-(-5/-5)))))</f>
        <v>38771.064640000004</v>
      </c>
      <c r="C11993" t="n" s="0">
        <v>38771.06464000001</v>
      </c>
    </row>
    <row r="11994">
      <c r="A11994" t="n" s="0">
        <v>19.93</v>
      </c>
      <c r="B11994" t="n" s="0">
        <f>(-5-((((-5*(-5/((-5/(((-5*(19.93--5))-(-5+((-5*19.93)*(((-5--5)+(19.93--5))+19.93))))-(-5+-5)))*-5)))/-5)--5)+(-5*(((19.93*(19.93-(-5/-5)))*(19.93-(19.93/(-5*19.93))))-(-5/-5)))))</f>
        <v>38829.848485</v>
      </c>
      <c r="C11994" t="n" s="0">
        <v>38829.848484999995</v>
      </c>
    </row>
    <row r="11995">
      <c r="A11995" t="n" s="0">
        <v>19.94</v>
      </c>
      <c r="B11995" t="n" s="0">
        <f>(-5-((((-5*(-5/((-5/(((-5*(19.94--5))-(-5+((-5*19.94)*(((-5--5)+(19.94--5))+19.94))))-(-5+-5)))*-5)))/-5)--5)+(-5*(((19.94*(19.94-(-5/-5)))*(19.94-(19.94/(-5*19.94))))-(-5/-5)))))</f>
        <v>38888.69172</v>
      </c>
      <c r="C11995" t="n" s="0">
        <v>38888.69172000001</v>
      </c>
    </row>
    <row r="11996">
      <c r="A11996" t="n" s="0">
        <v>19.95</v>
      </c>
      <c r="B11996" t="n" s="0">
        <f>(-5-((((-5*(-5/((-5/(((-5*(19.95--5))-(-5+((-5*19.95)*(((-5--5)+(19.95--5))+19.95))))-(-5+-5)))*-5)))/-5)--5)+(-5*(((19.95*(19.95-(-5/-5)))*(19.95-(19.95/(-5*19.95))))-(-5/-5)))))</f>
        <v>38947.594375</v>
      </c>
      <c r="C11996" t="n" s="0">
        <v>38947.594375</v>
      </c>
    </row>
    <row r="11997">
      <c r="A11997" t="n" s="0">
        <v>19.96</v>
      </c>
      <c r="B11997" t="n" s="0">
        <f>(-5-((((-5*(-5/((-5/(((-5*(19.96--5))-(-5+((-5*19.96)*(((-5--5)+(19.96--5))+19.96))))-(-5+-5)))*-5)))/-5)--5)+(-5*(((19.96*(19.96-(-5/-5)))*(19.96-(19.96/(-5*19.96))))-(-5/-5)))))</f>
        <v>39006.55648</v>
      </c>
      <c r="C11997" t="n" s="0">
        <v>39006.55648</v>
      </c>
    </row>
    <row r="11998">
      <c r="A11998" t="n" s="0">
        <v>19.97</v>
      </c>
      <c r="B11998" t="n" s="0">
        <f>(-5-((((-5*(-5/((-5/(((-5*(19.97--5))-(-5+((-5*19.97)*(((-5--5)+(19.97--5))+19.97))))-(-5+-5)))*-5)))/-5)--5)+(-5*(((19.97*(19.97-(-5/-5)))*(19.97-(19.97/(-5*19.97))))-(-5/-5)))))</f>
        <v>39065.578064999994</v>
      </c>
      <c r="C11998" t="n" s="0">
        <v>39065.578065</v>
      </c>
    </row>
    <row r="11999">
      <c r="A11999" t="n" s="0">
        <v>19.98</v>
      </c>
      <c r="B11999" t="n" s="0">
        <f>(-5-((((-5*(-5/((-5/(((-5*(19.98--5))-(-5+((-5*19.98)*(((-5--5)+(19.98--5))+19.98))))-(-5+-5)))*-5)))/-5)--5)+(-5*(((19.98*(19.98-(-5/-5)))*(19.98-(19.98/(-5*19.98))))-(-5/-5)))))</f>
        <v>39124.659159999996</v>
      </c>
      <c r="C11999" t="n" s="0">
        <v>39124.65916</v>
      </c>
    </row>
    <row r="12000">
      <c r="A12000" t="n" s="0">
        <v>19.99</v>
      </c>
      <c r="B12000" t="n" s="0">
        <f>(-5-((((-5*(-5/((-5/(((-5*(19.99--5))-(-5+((-5*19.99)*(((-5--5)+(19.99--5))+19.99))))-(-5+-5)))*-5)))/-5)--5)+(-5*(((19.99*(19.99-(-5/-5)))*(19.99-(19.99/(-5*19.99))))-(-5/-5)))))</f>
        <v>39183.799795</v>
      </c>
      <c r="C12000" t="n" s="0">
        <v>39183.79979499999</v>
      </c>
    </row>
    <row r="12001">
      <c r="A12001" t="n" s="0">
        <v>20.0</v>
      </c>
      <c r="B12001" t="n" s="0">
        <f>(-5-((((-5*(-5/((-5/(((-5*(20--5))-(-5+((-5*20)*(((-5--5)+(20--5))+20))))-(-5+-5)))*-5)))/-5)--5)+(-5*(((20*(20-(-5/-5)))*(20-(20/(-5*20))))-(-5/-5)))))</f>
        <v>39243.0</v>
      </c>
      <c r="C12001" t="n" s="0">
        <v>39243.0</v>
      </c>
    </row>
    <row r="12002">
      <c r="A12002" t="n" s="0">
        <v>20.01</v>
      </c>
      <c r="B12002" t="n" s="0">
        <f>(-5-((((-5*(-5/((-5/(((-5*(20.01--5))-(-5+((-5*20.01)*(((-5--5)+(20.01--5))+20.01))))-(-5+-5)))*-5)))/-5)--5)+(-5*(((20.01*(20.01-(-5/-5)))*(20.01-(20.01/(-5*20.01))))-(-5/-5)))))</f>
        <v>39302.259805</v>
      </c>
      <c r="C12002" t="n" s="0">
        <v>39302.25980500001</v>
      </c>
    </row>
    <row r="12003">
      <c r="A12003" t="n" s="0">
        <v>20.02</v>
      </c>
      <c r="B12003" t="n" s="0">
        <f>(-5-((((-5*(-5/((-5/(((-5*(20.02--5))-(-5+((-5*20.02)*(((-5--5)+(20.02--5))+20.02))))-(-5+-5)))*-5)))/-5)--5)+(-5*(((20.02*(20.02-(-5/-5)))*(20.02-(20.02/(-5*20.02))))-(-5/-5)))))</f>
        <v>39361.57923999999</v>
      </c>
      <c r="C12003" t="n" s="0">
        <v>39361.57923999999</v>
      </c>
    </row>
    <row r="12004">
      <c r="A12004" t="n" s="0">
        <v>20.03</v>
      </c>
      <c r="B12004" t="n" s="0">
        <f>(-5-((((-5*(-5/((-5/(((-5*(20.03--5))-(-5+((-5*20.03)*(((-5--5)+(20.03--5))+20.03))))-(-5+-5)))*-5)))/-5)--5)+(-5*(((20.03*(20.03-(-5/-5)))*(20.03-(20.03/(-5*20.03))))-(-5/-5)))))</f>
        <v>39420.958335</v>
      </c>
      <c r="C12004" t="n" s="0">
        <v>39420.958335</v>
      </c>
    </row>
    <row r="12005">
      <c r="A12005" t="n" s="0">
        <v>20.04</v>
      </c>
      <c r="B12005" t="n" s="0">
        <f>(-5-((((-5*(-5/((-5/(((-5*(20.04--5))-(-5+((-5*20.04)*(((-5--5)+(20.04--5))+20.04))))-(-5+-5)))*-5)))/-5)--5)+(-5*(((20.04*(20.04-(-5/-5)))*(20.04-(20.04/(-5*20.04))))-(-5/-5)))))</f>
        <v>39480.39712</v>
      </c>
      <c r="C12005" t="n" s="0">
        <v>39480.39712</v>
      </c>
    </row>
    <row r="12006">
      <c r="A12006" t="n" s="0">
        <v>20.05</v>
      </c>
      <c r="B12006" t="n" s="0">
        <f>(-5-((((-5*(-5/((-5/(((-5*(20.05--5))-(-5+((-5*20.05)*(((-5--5)+(20.05--5))+20.05))))-(-5+-5)))*-5)))/-5)--5)+(-5*(((20.05*(20.05-(-5/-5)))*(20.05-(20.05/(-5*20.05))))-(-5/-5)))))</f>
        <v>39539.895625000005</v>
      </c>
      <c r="C12006" t="n" s="0">
        <v>39539.89562500001</v>
      </c>
    </row>
    <row r="12007">
      <c r="A12007" t="n" s="0">
        <v>20.06</v>
      </c>
      <c r="B12007" t="n" s="0">
        <f>(-5-((((-5*(-5/((-5/(((-5*(20.06--5))-(-5+((-5*20.06)*(((-5--5)+(20.06--5))+20.06))))-(-5+-5)))*-5)))/-5)--5)+(-5*(((20.06*(20.06-(-5/-5)))*(20.06-(20.06/(-5*20.06))))-(-5/-5)))))</f>
        <v>39599.45388</v>
      </c>
      <c r="C12007" t="n" s="0">
        <v>39599.453879999994</v>
      </c>
    </row>
    <row r="12008">
      <c r="A12008" t="n" s="0">
        <v>20.07</v>
      </c>
      <c r="B12008" t="n" s="0">
        <f>(-5-((((-5*(-5/((-5/(((-5*(20.07--5))-(-5+((-5*20.07)*(((-5--5)+(20.07--5))+20.07))))-(-5+-5)))*-5)))/-5)--5)+(-5*(((20.07*(20.07-(-5/-5)))*(20.07-(20.07/(-5*20.07))))-(-5/-5)))))</f>
        <v>39659.071915</v>
      </c>
      <c r="C12008" t="n" s="0">
        <v>39659.071915</v>
      </c>
    </row>
    <row r="12009">
      <c r="A12009" t="n" s="0">
        <v>20.08</v>
      </c>
      <c r="B12009" t="n" s="0">
        <f>(-5-((((-5*(-5/((-5/(((-5*(20.08--5))-(-5+((-5*20.08)*(((-5--5)+(20.08--5))+20.08))))-(-5+-5)))*-5)))/-5)--5)+(-5*(((20.08*(20.08-(-5/-5)))*(20.08-(20.08/(-5*20.08))))-(-5/-5)))))</f>
        <v>39718.74976</v>
      </c>
      <c r="C12009" t="n" s="0">
        <v>39718.74975999999</v>
      </c>
    </row>
    <row r="12010">
      <c r="A12010" t="n" s="0">
        <v>20.09</v>
      </c>
      <c r="B12010" t="n" s="0">
        <f>(-5-((((-5*(-5/((-5/(((-5*(20.09--5))-(-5+((-5*20.09)*(((-5--5)+(20.09--5))+20.09))))-(-5+-5)))*-5)))/-5)--5)+(-5*(((20.09*(20.09-(-5/-5)))*(20.09-(20.09/(-5*20.09))))-(-5/-5)))))</f>
        <v>39778.487445</v>
      </c>
      <c r="C12010" t="n" s="0">
        <v>39778.48744499999</v>
      </c>
    </row>
    <row r="12011">
      <c r="A12011" t="n" s="0">
        <v>20.1</v>
      </c>
      <c r="B12011" t="n" s="0">
        <f>(-5-((((-5*(-5/((-5/(((-5*(20.1--5))-(-5+((-5*20.1)*(((-5--5)+(20.1--5))+20.1))))-(-5+-5)))*-5)))/-5)--5)+(-5*(((20.1*(20.1-(-5/-5)))*(20.1-(20.1/(-5*20.1))))-(-5/-5)))))</f>
        <v>39838.284999999996</v>
      </c>
      <c r="C12011" t="n" s="0">
        <v>39838.28500000001</v>
      </c>
    </row>
    <row r="12012">
      <c r="A12012" t="n" s="0">
        <v>20.11</v>
      </c>
      <c r="B12012" t="n" s="0">
        <f>(-5-((((-5*(-5/((-5/(((-5*(20.11--5))-(-5+((-5*20.11)*(((-5--5)+(20.11--5))+20.11))))-(-5+-5)))*-5)))/-5)--5)+(-5*(((20.11*(20.11-(-5/-5)))*(20.11-(20.11/(-5*20.11))))-(-5/-5)))))</f>
        <v>39898.14245500001</v>
      </c>
      <c r="C12012" t="n" s="0">
        <v>39898.142454999994</v>
      </c>
    </row>
    <row r="12013">
      <c r="A12013" t="n" s="0">
        <v>20.12</v>
      </c>
      <c r="B12013" t="n" s="0">
        <f>(-5-((((-5*(-5/((-5/(((-5*(20.12--5))-(-5+((-5*20.12)*(((-5--5)+(20.12--5))+20.12))))-(-5+-5)))*-5)))/-5)--5)+(-5*(((20.12*(20.12-(-5/-5)))*(20.12-(20.12/(-5*20.12))))-(-5/-5)))))</f>
        <v>39958.05984</v>
      </c>
      <c r="C12013" t="n" s="0">
        <v>39958.05984000001</v>
      </c>
    </row>
    <row r="12014">
      <c r="A12014" t="n" s="0">
        <v>20.13</v>
      </c>
      <c r="B12014" t="n" s="0">
        <f>(-5-((((-5*(-5/((-5/(((-5*(20.13--5))-(-5+((-5*20.13)*(((-5--5)+(20.13--5))+20.13))))-(-5+-5)))*-5)))/-5)--5)+(-5*(((20.13*(20.13-(-5/-5)))*(20.13-(20.13/(-5*20.13))))-(-5/-5)))))</f>
        <v>40018.037185</v>
      </c>
      <c r="C12014" t="n" s="0">
        <v>40018.037184999994</v>
      </c>
    </row>
    <row r="12015">
      <c r="A12015" t="n" s="0">
        <v>20.14</v>
      </c>
      <c r="B12015" t="n" s="0">
        <f>(-5-((((-5*(-5/((-5/(((-5*(20.14--5))-(-5+((-5*20.14)*(((-5--5)+(20.14--5))+20.14))))-(-5+-5)))*-5)))/-5)--5)+(-5*(((20.14*(20.14-(-5/-5)))*(20.14-(20.14/(-5*20.14))))-(-5/-5)))))</f>
        <v>40078.07452</v>
      </c>
      <c r="C12015" t="n" s="0">
        <v>40078.07452</v>
      </c>
    </row>
    <row r="12016">
      <c r="A12016" t="n" s="0">
        <v>20.15</v>
      </c>
      <c r="B12016" t="n" s="0">
        <f>(-5-((((-5*(-5/((-5/(((-5*(20.15--5))-(-5+((-5*20.15)*(((-5--5)+(20.15--5))+20.15))))-(-5+-5)))*-5)))/-5)--5)+(-5*(((20.15*(20.15-(-5/-5)))*(20.15-(20.15/(-5*20.15))))-(-5/-5)))))</f>
        <v>40138.171875</v>
      </c>
      <c r="C12016" t="n" s="0">
        <v>40138.171874999985</v>
      </c>
    </row>
    <row r="12017">
      <c r="A12017" t="n" s="0">
        <v>20.16</v>
      </c>
      <c r="B12017" t="n" s="0">
        <f>(-5-((((-5*(-5/((-5/(((-5*(20.16--5))-(-5+((-5*20.16)*(((-5--5)+(20.16--5))+20.16))))-(-5+-5)))*-5)))/-5)--5)+(-5*(((20.16*(20.16-(-5/-5)))*(20.16-(20.16/(-5*20.16))))-(-5/-5)))))</f>
        <v>40198.329280000005</v>
      </c>
      <c r="C12017" t="n" s="0">
        <v>40198.329280000005</v>
      </c>
    </row>
    <row r="12018">
      <c r="A12018" t="n" s="0">
        <v>20.17</v>
      </c>
      <c r="B12018" t="n" s="0">
        <f>(-5-((((-5*(-5/((-5/(((-5*(20.17--5))-(-5+((-5*20.17)*(((-5--5)+(20.17--5))+20.17))))-(-5+-5)))*-5)))/-5)--5)+(-5*(((20.17*(20.17-(-5/-5)))*(20.17-(20.17/(-5*20.17))))-(-5/-5)))))</f>
        <v>40258.546765</v>
      </c>
      <c r="C12018" t="n" s="0">
        <v>40258.546765000014</v>
      </c>
    </row>
    <row r="12019">
      <c r="A12019" t="n" s="0">
        <v>20.18</v>
      </c>
      <c r="B12019" t="n" s="0">
        <f>(-5-((((-5*(-5/((-5/(((-5*(20.18--5))-(-5+((-5*20.18)*(((-5--5)+(20.18--5))+20.18))))-(-5+-5)))*-5)))/-5)--5)+(-5*(((20.18*(20.18-(-5/-5)))*(20.18-(20.18/(-5*20.18))))-(-5/-5)))))</f>
        <v>40318.824360000006</v>
      </c>
      <c r="C12019" t="n" s="0">
        <v>40318.82436</v>
      </c>
    </row>
    <row r="12020">
      <c r="A12020" t="n" s="0">
        <v>20.19</v>
      </c>
      <c r="B12020" t="n" s="0">
        <f>(-5-((((-5*(-5/((-5/(((-5*(20.19--5))-(-5+((-5*20.19)*(((-5--5)+(20.19--5))+20.19))))-(-5+-5)))*-5)))/-5)--5)+(-5*(((20.19*(20.19-(-5/-5)))*(20.19-(20.19/(-5*20.19))))-(-5/-5)))))</f>
        <v>40379.162095</v>
      </c>
      <c r="C12020" t="n" s="0">
        <v>40379.16209500001</v>
      </c>
    </row>
    <row r="12021">
      <c r="A12021" t="n" s="0">
        <v>20.2</v>
      </c>
      <c r="B12021" t="n" s="0">
        <f>(-5-((((-5*(-5/((-5/(((-5*(20.2--5))-(-5+((-5*20.2)*(((-5--5)+(20.2--5))+20.2))))-(-5+-5)))*-5)))/-5)--5)+(-5*(((20.2*(20.2-(-5/-5)))*(20.2-(20.2/(-5*20.2))))-(-5/-5)))))</f>
        <v>40439.56</v>
      </c>
      <c r="C12021" t="n" s="0">
        <v>40439.55999999999</v>
      </c>
    </row>
    <row r="12022">
      <c r="A12022" t="n" s="0">
        <v>20.21</v>
      </c>
      <c r="B12022" t="n" s="0">
        <f>(-5-((((-5*(-5/((-5/(((-5*(20.21--5))-(-5+((-5*20.21)*(((-5--5)+(20.21--5))+20.21))))-(-5+-5)))*-5)))/-5)--5)+(-5*(((20.21*(20.21-(-5/-5)))*(20.21-(20.21/(-5*20.21))))-(-5/-5)))))</f>
        <v>40500.018105</v>
      </c>
      <c r="C12022" t="n" s="0">
        <v>40500.018105</v>
      </c>
    </row>
    <row r="12023">
      <c r="A12023" t="n" s="0">
        <v>20.22</v>
      </c>
      <c r="B12023" t="n" s="0">
        <f>(-5-((((-5*(-5/((-5/(((-5*(20.22--5))-(-5+((-5*20.22)*(((-5--5)+(20.22--5))+20.22))))-(-5+-5)))*-5)))/-5)--5)+(-5*(((20.22*(20.22-(-5/-5)))*(20.22-(20.22/(-5*20.22))))-(-5/-5)))))</f>
        <v>40560.536439999996</v>
      </c>
      <c r="C12023" t="n" s="0">
        <v>40560.536439999996</v>
      </c>
    </row>
    <row r="12024">
      <c r="A12024" t="n" s="0">
        <v>20.23</v>
      </c>
      <c r="B12024" t="n" s="0">
        <f>(-5-((((-5*(-5/((-5/(((-5*(20.23--5))-(-5+((-5*20.23)*(((-5--5)+(20.23--5))+20.23))))-(-5+-5)))*-5)))/-5)--5)+(-5*(((20.23*(20.23-(-5/-5)))*(20.23-(20.23/(-5*20.23))))-(-5/-5)))))</f>
        <v>40621.115035</v>
      </c>
      <c r="C12024" t="n" s="0">
        <v>40621.115035</v>
      </c>
    </row>
    <row r="12025">
      <c r="A12025" t="n" s="0">
        <v>20.24</v>
      </c>
      <c r="B12025" t="n" s="0">
        <f>(-5-((((-5*(-5/((-5/(((-5*(20.24--5))-(-5+((-5*20.24)*(((-5--5)+(20.24--5))+20.24))))-(-5+-5)))*-5)))/-5)--5)+(-5*(((20.24*(20.24-(-5/-5)))*(20.24-(20.24/(-5*20.24))))-(-5/-5)))))</f>
        <v>40681.75392</v>
      </c>
      <c r="C12025" t="n" s="0">
        <v>40681.753919999996</v>
      </c>
    </row>
    <row r="12026">
      <c r="A12026" t="n" s="0">
        <v>20.25</v>
      </c>
      <c r="B12026" t="n" s="0">
        <f>(-5-((((-5*(-5/((-5/(((-5*(20.25--5))-(-5+((-5*20.25)*(((-5--5)+(20.25--5))+20.25))))-(-5+-5)))*-5)))/-5)--5)+(-5*(((20.25*(20.25-(-5/-5)))*(20.25-(20.25/(-5*20.25))))-(-5/-5)))))</f>
        <v>40742.453125</v>
      </c>
      <c r="C12026" t="n" s="0">
        <v>40742.453125</v>
      </c>
    </row>
    <row r="12027">
      <c r="A12027" t="n" s="0">
        <v>20.26</v>
      </c>
      <c r="B12027" t="n" s="0">
        <f>(-5-((((-5*(-5/((-5/(((-5*(20.26--5))-(-5+((-5*20.26)*(((-5--5)+(20.26--5))+20.26))))-(-5+-5)))*-5)))/-5)--5)+(-5*(((20.26*(20.26-(-5/-5)))*(20.26-(20.26/(-5*20.26))))-(-5/-5)))))</f>
        <v>40803.212680000004</v>
      </c>
      <c r="C12027" t="n" s="0">
        <v>40803.21268000001</v>
      </c>
    </row>
    <row r="12028">
      <c r="A12028" t="n" s="0">
        <v>20.27</v>
      </c>
      <c r="B12028" t="n" s="0">
        <f>(-5-((((-5*(-5/((-5/(((-5*(20.27--5))-(-5+((-5*20.27)*(((-5--5)+(20.27--5))+20.27))))-(-5+-5)))*-5)))/-5)--5)+(-5*(((20.27*(20.27-(-5/-5)))*(20.27-(20.27/(-5*20.27))))-(-5/-5)))))</f>
        <v>40864.032615</v>
      </c>
      <c r="C12028" t="n" s="0">
        <v>40864.032615000004</v>
      </c>
    </row>
    <row r="12029">
      <c r="A12029" t="n" s="0">
        <v>20.28</v>
      </c>
      <c r="B12029" t="n" s="0">
        <f>(-5-((((-5*(-5/((-5/(((-5*(20.28--5))-(-5+((-5*20.28)*(((-5--5)+(20.28--5))+20.28))))-(-5+-5)))*-5)))/-5)--5)+(-5*(((20.28*(20.28-(-5/-5)))*(20.28-(20.28/(-5*20.28))))-(-5/-5)))))</f>
        <v>40924.91296</v>
      </c>
      <c r="C12029" t="n" s="0">
        <v>40924.91296</v>
      </c>
    </row>
    <row r="12030">
      <c r="A12030" t="n" s="0">
        <v>20.29</v>
      </c>
      <c r="B12030" t="n" s="0">
        <f>(-5-((((-5*(-5/((-5/(((-5*(20.29--5))-(-5+((-5*20.29)*(((-5--5)+(20.29--5))+20.29))))-(-5+-5)))*-5)))/-5)--5)+(-5*(((20.29*(20.29-(-5/-5)))*(20.29-(20.29/(-5*20.29))))-(-5/-5)))))</f>
        <v>40985.853745</v>
      </c>
      <c r="C12030" t="n" s="0">
        <v>40985.853745</v>
      </c>
    </row>
    <row r="12031">
      <c r="A12031" t="n" s="0">
        <v>20.3</v>
      </c>
      <c r="B12031" t="n" s="0">
        <f>(-5-((((-5*(-5/((-5/(((-5*(20.3--5))-(-5+((-5*20.3)*(((-5--5)+(20.3--5))+20.3))))-(-5+-5)))*-5)))/-5)--5)+(-5*(((20.3*(20.3-(-5/-5)))*(20.3-(20.3/(-5*20.3))))-(-5/-5)))))</f>
        <v>41046.854999999996</v>
      </c>
      <c r="C12031" t="n" s="0">
        <v>41046.85500000001</v>
      </c>
    </row>
    <row r="12032">
      <c r="A12032" t="n" s="0">
        <v>20.31</v>
      </c>
      <c r="B12032" t="n" s="0">
        <f>(-5-((((-5*(-5/((-5/(((-5*(20.31--5))-(-5+((-5*20.31)*(((-5--5)+(20.31--5))+20.31))))-(-5+-5)))*-5)))/-5)--5)+(-5*(((20.31*(20.31-(-5/-5)))*(20.31-(20.31/(-5*20.31))))-(-5/-5)))))</f>
        <v>41107.916755</v>
      </c>
      <c r="C12032" t="n" s="0">
        <v>41107.91675499999</v>
      </c>
    </row>
    <row r="12033">
      <c r="A12033" t="n" s="0">
        <v>20.32</v>
      </c>
      <c r="B12033" t="n" s="0">
        <f>(-5-((((-5*(-5/((-5/(((-5*(20.32--5))-(-5+((-5*20.32)*(((-5--5)+(20.32--5))+20.32))))-(-5+-5)))*-5)))/-5)--5)+(-5*(((20.32*(20.32-(-5/-5)))*(20.32-(20.32/(-5*20.32))))-(-5/-5)))))</f>
        <v>41169.039039999996</v>
      </c>
      <c r="C12033" t="n" s="0">
        <v>41169.03904000001</v>
      </c>
    </row>
    <row r="12034">
      <c r="A12034" t="n" s="0">
        <v>20.33</v>
      </c>
      <c r="B12034" t="n" s="0">
        <f>(-5-((((-5*(-5/((-5/(((-5*(20.33--5))-(-5+((-5*20.33)*(((-5--5)+(20.33--5))+20.33))))-(-5+-5)))*-5)))/-5)--5)+(-5*(((20.33*(20.33-(-5/-5)))*(20.33-(20.33/(-5*20.33))))-(-5/-5)))))</f>
        <v>41230.221885</v>
      </c>
      <c r="C12034" t="n" s="0">
        <v>41230.22188499999</v>
      </c>
    </row>
    <row r="12035">
      <c r="A12035" t="n" s="0">
        <v>20.34</v>
      </c>
      <c r="B12035" t="n" s="0">
        <f>(-5-((((-5*(-5/((-5/(((-5*(20.34--5))-(-5+((-5*20.34)*(((-5--5)+(20.34--5))+20.34))))-(-5+-5)))*-5)))/-5)--5)+(-5*(((20.34*(20.34-(-5/-5)))*(20.34-(20.34/(-5*20.34))))-(-5/-5)))))</f>
        <v>41291.46532</v>
      </c>
      <c r="C12035" t="n" s="0">
        <v>41291.465319999996</v>
      </c>
    </row>
    <row r="12036">
      <c r="A12036" t="n" s="0">
        <v>20.35</v>
      </c>
      <c r="B12036" t="n" s="0">
        <f>(-5-((((-5*(-5/((-5/(((-5*(20.35--5))-(-5+((-5*20.35)*(((-5--5)+(20.35--5))+20.35))))-(-5+-5)))*-5)))/-5)--5)+(-5*(((20.35*(20.35-(-5/-5)))*(20.35-(20.35/(-5*20.35))))-(-5/-5)))))</f>
        <v>41352.769374999996</v>
      </c>
      <c r="C12036" t="n" s="0">
        <v>41352.76937500001</v>
      </c>
    </row>
    <row r="12037">
      <c r="A12037" t="n" s="0">
        <v>20.36</v>
      </c>
      <c r="B12037" t="n" s="0">
        <f>(-5-((((-5*(-5/((-5/(((-5*(20.36--5))-(-5+((-5*20.36)*(((-5--5)+(20.36--5))+20.36))))-(-5+-5)))*-5)))/-5)--5)+(-5*(((20.36*(20.36-(-5/-5)))*(20.36-(20.36/(-5*20.36))))-(-5/-5)))))</f>
        <v>41414.134079999996</v>
      </c>
      <c r="C12037" t="n" s="0">
        <v>41414.13407999999</v>
      </c>
    </row>
    <row r="12038">
      <c r="A12038" t="n" s="0">
        <v>20.37</v>
      </c>
      <c r="B12038" t="n" s="0">
        <f>(-5-((((-5*(-5/((-5/(((-5*(20.37--5))-(-5+((-5*20.37)*(((-5--5)+(20.37--5))+20.37))))-(-5+-5)))*-5)))/-5)--5)+(-5*(((20.37*(20.37-(-5/-5)))*(20.37-(20.37/(-5*20.37))))-(-5/-5)))))</f>
        <v>41475.559465</v>
      </c>
      <c r="C12038" t="n" s="0">
        <v>41475.55946500001</v>
      </c>
    </row>
    <row r="12039">
      <c r="A12039" t="n" s="0">
        <v>20.38</v>
      </c>
      <c r="B12039" t="n" s="0">
        <f>(-5-((((-5*(-5/((-5/(((-5*(20.38--5))-(-5+((-5*20.38)*(((-5--5)+(20.38--5))+20.38))))-(-5+-5)))*-5)))/-5)--5)+(-5*(((20.38*(20.38-(-5/-5)))*(20.38-(20.38/(-5*20.38))))-(-5/-5)))))</f>
        <v>41537.04556</v>
      </c>
      <c r="C12039" t="n" s="0">
        <v>41537.04556</v>
      </c>
    </row>
    <row r="12040">
      <c r="A12040" t="n" s="0">
        <v>20.39</v>
      </c>
      <c r="B12040" t="n" s="0">
        <f>(-5-((((-5*(-5/((-5/(((-5*(20.39--5))-(-5+((-5*20.39)*(((-5--5)+(20.39--5))+20.39))))-(-5+-5)))*-5)))/-5)--5)+(-5*(((20.39*(20.39-(-5/-5)))*(20.39-(20.39/(-5*20.39))))-(-5/-5)))))</f>
        <v>41598.592395</v>
      </c>
      <c r="C12040" t="n" s="0">
        <v>41598.59239499999</v>
      </c>
    </row>
    <row r="12041">
      <c r="A12041" t="n" s="0">
        <v>20.4</v>
      </c>
      <c r="B12041" t="n" s="0">
        <f>(-5-((((-5*(-5/((-5/(((-5*(20.4--5))-(-5+((-5*20.4)*(((-5--5)+(20.4--5))+20.4))))-(-5+-5)))*-5)))/-5)--5)+(-5*(((20.4*(20.4-(-5/-5)))*(20.4-(20.4/(-5*20.4))))-(-5/-5)))))</f>
        <v>41660.2</v>
      </c>
      <c r="C12041" t="n" s="0">
        <v>41660.19999999999</v>
      </c>
    </row>
    <row r="12042">
      <c r="A12042" t="n" s="0">
        <v>20.41</v>
      </c>
      <c r="B12042" t="n" s="0">
        <f>(-5-((((-5*(-5/((-5/(((-5*(20.41--5))-(-5+((-5*20.41)*(((-5--5)+(20.41--5))+20.41))))-(-5+-5)))*-5)))/-5)--5)+(-5*(((20.41*(20.41-(-5/-5)))*(20.41-(20.41/(-5*20.41))))-(-5/-5)))))</f>
        <v>41721.868405</v>
      </c>
      <c r="C12042" t="n" s="0">
        <v>41721.868405</v>
      </c>
    </row>
    <row r="12043">
      <c r="A12043" t="n" s="0">
        <v>20.42</v>
      </c>
      <c r="B12043" t="n" s="0">
        <f>(-5-((((-5*(-5/((-5/(((-5*(20.42--5))-(-5+((-5*20.42)*(((-5--5)+(20.42--5))+20.42))))-(-5+-5)))*-5)))/-5)--5)+(-5*(((20.42*(20.42-(-5/-5)))*(20.42-(20.42/(-5*20.42))))-(-5/-5)))))</f>
        <v>41783.59764</v>
      </c>
      <c r="C12043" t="n" s="0">
        <v>41783.597640000015</v>
      </c>
    </row>
    <row r="12044">
      <c r="A12044" t="n" s="0">
        <v>20.43</v>
      </c>
      <c r="B12044" t="n" s="0">
        <f>(-5-((((-5*(-5/((-5/(((-5*(20.43--5))-(-5+((-5*20.43)*(((-5--5)+(20.43--5))+20.43))))-(-5+-5)))*-5)))/-5)--5)+(-5*(((20.43*(20.43-(-5/-5)))*(20.43-(20.43/(-5*20.43))))-(-5/-5)))))</f>
        <v>41845.387735000004</v>
      </c>
      <c r="C12044" t="n" s="0">
        <v>41845.387735</v>
      </c>
    </row>
    <row r="12045">
      <c r="A12045" t="n" s="0">
        <v>20.44</v>
      </c>
      <c r="B12045" t="n" s="0">
        <f>(-5-((((-5*(-5/((-5/(((-5*(20.44--5))-(-5+((-5*20.44)*(((-5--5)+(20.44--5))+20.44))))-(-5+-5)))*-5)))/-5)--5)+(-5*(((20.44*(20.44-(-5/-5)))*(20.44-(20.44/(-5*20.44))))-(-5/-5)))))</f>
        <v>41907.238719999994</v>
      </c>
      <c r="C12045" t="n" s="0">
        <v>41907.23872000001</v>
      </c>
    </row>
    <row r="12046">
      <c r="A12046" t="n" s="0">
        <v>20.45</v>
      </c>
      <c r="B12046" t="n" s="0">
        <f>(-5-((((-5*(-5/((-5/(((-5*(20.45--5))-(-5+((-5*20.45)*(((-5--5)+(20.45--5))+20.45))))-(-5+-5)))*-5)))/-5)--5)+(-5*(((20.45*(20.45-(-5/-5)))*(20.45-(20.45/(-5*20.45))))-(-5/-5)))))</f>
        <v>41969.150624999995</v>
      </c>
      <c r="C12046" t="n" s="0">
        <v>41969.150624999995</v>
      </c>
    </row>
    <row r="12047">
      <c r="A12047" t="n" s="0">
        <v>20.46</v>
      </c>
      <c r="B12047" t="n" s="0">
        <f>(-5-((((-5*(-5/((-5/(((-5*(20.46--5))-(-5+((-5*20.46)*(((-5--5)+(20.46--5))+20.46))))-(-5+-5)))*-5)))/-5)--5)+(-5*(((20.46*(20.46-(-5/-5)))*(20.46-(20.46/(-5*20.46))))-(-5/-5)))))</f>
        <v>42031.12348</v>
      </c>
      <c r="C12047" t="n" s="0">
        <v>42031.12348</v>
      </c>
    </row>
    <row r="12048">
      <c r="A12048" t="n" s="0">
        <v>20.47</v>
      </c>
      <c r="B12048" t="n" s="0">
        <f>(-5-((((-5*(-5/((-5/(((-5*(20.47--5))-(-5+((-5*20.47)*(((-5--5)+(20.47--5))+20.47))))-(-5+-5)))*-5)))/-5)--5)+(-5*(((20.47*(20.47-(-5/-5)))*(20.47-(20.47/(-5*20.47))))-(-5/-5)))))</f>
        <v>42093.157315000004</v>
      </c>
      <c r="C12048" t="n" s="0">
        <v>42093.157315</v>
      </c>
    </row>
    <row r="12049">
      <c r="A12049" t="n" s="0">
        <v>20.48</v>
      </c>
      <c r="B12049" t="n" s="0">
        <f>(-5-((((-5*(-5/((-5/(((-5*(20.48--5))-(-5+((-5*20.48)*(((-5--5)+(20.48--5))+20.48))))-(-5+-5)))*-5)))/-5)--5)+(-5*(((20.48*(20.48-(-5/-5)))*(20.48-(20.48/(-5*20.48))))-(-5/-5)))))</f>
        <v>42155.252160000004</v>
      </c>
      <c r="C12049" t="n" s="0">
        <v>42155.25216000001</v>
      </c>
    </row>
    <row r="12050">
      <c r="A12050" t="n" s="0">
        <v>20.49</v>
      </c>
      <c r="B12050" t="n" s="0">
        <f>(-5-((((-5*(-5/((-5/(((-5*(20.49--5))-(-5+((-5*20.49)*(((-5--5)+(20.49--5))+20.49))))-(-5+-5)))*-5)))/-5)--5)+(-5*(((20.49*(20.49-(-5/-5)))*(20.49-(20.49/(-5*20.49))))-(-5/-5)))))</f>
        <v>42217.408045000004</v>
      </c>
      <c r="C12050" t="n" s="0">
        <v>42217.40804499999</v>
      </c>
    </row>
    <row r="12051">
      <c r="A12051" t="n" s="0">
        <v>20.5</v>
      </c>
      <c r="B12051" t="n" s="0">
        <f>(-5-((((-5*(-5/((-5/(((-5*(20.5--5))-(-5+((-5*20.5)*(((-5--5)+(20.5--5))+20.5))))-(-5+-5)))*-5)))/-5)--5)+(-5*(((20.5*(20.5-(-5/-5)))*(20.5-(20.5/(-5*20.5))))-(-5/-5)))))</f>
        <v>42279.625</v>
      </c>
      <c r="C12051" t="n" s="0">
        <v>42279.625</v>
      </c>
    </row>
    <row r="12052">
      <c r="A12052" t="n" s="0">
        <v>20.51</v>
      </c>
      <c r="B12052" t="n" s="0">
        <f>(-5-((((-5*(-5/((-5/(((-5*(20.51--5))-(-5+((-5*20.51)*(((-5--5)+(20.51--5))+20.51))))-(-5+-5)))*-5)))/-5)--5)+(-5*(((20.51*(20.51-(-5/-5)))*(20.51-(20.51/(-5*20.51))))-(-5/-5)))))</f>
        <v>42341.903054999995</v>
      </c>
      <c r="C12052" t="n" s="0">
        <v>42341.903055</v>
      </c>
    </row>
    <row r="12053">
      <c r="A12053" t="n" s="0">
        <v>20.52</v>
      </c>
      <c r="B12053" t="n" s="0">
        <f>(-5-((((-5*(-5/((-5/(((-5*(20.52--5))-(-5+((-5*20.52)*(((-5--5)+(20.52--5))+20.52))))-(-5+-5)))*-5)))/-5)--5)+(-5*(((20.52*(20.52-(-5/-5)))*(20.52-(20.52/(-5*20.52))))-(-5/-5)))))</f>
        <v>42404.24224</v>
      </c>
      <c r="C12053" t="n" s="0">
        <v>42404.24224</v>
      </c>
    </row>
    <row r="12054">
      <c r="A12054" t="n" s="0">
        <v>20.53</v>
      </c>
      <c r="B12054" t="n" s="0">
        <f>(-5-((((-5*(-5/((-5/(((-5*(20.53--5))-(-5+((-5*20.53)*(((-5--5)+(20.53--5))+20.53))))-(-5+-5)))*-5)))/-5)--5)+(-5*(((20.53*(20.53-(-5/-5)))*(20.53-(20.53/(-5*20.53))))-(-5/-5)))))</f>
        <v>42466.642585</v>
      </c>
      <c r="C12054" t="n" s="0">
        <v>42466.642585</v>
      </c>
    </row>
    <row r="12055">
      <c r="A12055" t="n" s="0">
        <v>20.54</v>
      </c>
      <c r="B12055" t="n" s="0">
        <f>(-5-((((-5*(-5/((-5/(((-5*(20.54--5))-(-5+((-5*20.54)*(((-5--5)+(20.54--5))+20.54))))-(-5+-5)))*-5)))/-5)--5)+(-5*(((20.54*(20.54-(-5/-5)))*(20.54-(20.54/(-5*20.54))))-(-5/-5)))))</f>
        <v>42529.10412</v>
      </c>
      <c r="C12055" t="n" s="0">
        <v>42529.10412</v>
      </c>
    </row>
    <row r="12056">
      <c r="A12056" t="n" s="0">
        <v>20.55</v>
      </c>
      <c r="B12056" t="n" s="0">
        <f>(-5-((((-5*(-5/((-5/(((-5*(20.55--5))-(-5+((-5*20.55)*(((-5--5)+(20.55--5))+20.55))))-(-5+-5)))*-5)))/-5)--5)+(-5*(((20.55*(20.55-(-5/-5)))*(20.55-(20.55/(-5*20.55))))-(-5/-5)))))</f>
        <v>42591.62687500001</v>
      </c>
      <c r="C12056" t="n" s="0">
        <v>42591.626875</v>
      </c>
    </row>
    <row r="12057">
      <c r="A12057" t="n" s="0">
        <v>20.56</v>
      </c>
      <c r="B12057" t="n" s="0">
        <f>(-5-((((-5*(-5/((-5/(((-5*(20.56--5))-(-5+((-5*20.56)*(((-5--5)+(20.56--5))+20.56))))-(-5+-5)))*-5)))/-5)--5)+(-5*(((20.56*(20.56-(-5/-5)))*(20.56-(20.56/(-5*20.56))))-(-5/-5)))))</f>
        <v>42654.210880000006</v>
      </c>
      <c r="C12057" t="n" s="0">
        <v>42654.21087999999</v>
      </c>
    </row>
    <row r="12058">
      <c r="A12058" t="n" s="0">
        <v>20.57</v>
      </c>
      <c r="B12058" t="n" s="0">
        <f>(-5-((((-5*(-5/((-5/(((-5*(20.57--5))-(-5+((-5*20.57)*(((-5--5)+(20.57--5))+20.57))))-(-5+-5)))*-5)))/-5)--5)+(-5*(((20.57*(20.57-(-5/-5)))*(20.57-(20.57/(-5*20.57))))-(-5/-5)))))</f>
        <v>42716.856165</v>
      </c>
      <c r="C12058" t="n" s="0">
        <v>42716.856165000005</v>
      </c>
    </row>
    <row r="12059">
      <c r="A12059" t="n" s="0">
        <v>20.58</v>
      </c>
      <c r="B12059" t="n" s="0">
        <f>(-5-((((-5*(-5/((-5/(((-5*(20.58--5))-(-5+((-5*20.58)*(((-5--5)+(20.58--5))+20.58))))-(-5+-5)))*-5)))/-5)--5)+(-5*(((20.58*(20.58-(-5/-5)))*(20.58-(20.58/(-5*20.58))))-(-5/-5)))))</f>
        <v>42779.56275999999</v>
      </c>
      <c r="C12059" t="n" s="0">
        <v>42779.562759999986</v>
      </c>
    </row>
    <row r="12060">
      <c r="A12060" t="n" s="0">
        <v>20.59</v>
      </c>
      <c r="B12060" t="n" s="0">
        <f>(-5-((((-5*(-5/((-5/(((-5*(20.59--5))-(-5+((-5*20.59)*(((-5--5)+(20.59--5))+20.59))))-(-5+-5)))*-5)))/-5)--5)+(-5*(((20.59*(20.59-(-5/-5)))*(20.59-(20.59/(-5*20.59))))-(-5/-5)))))</f>
        <v>42842.330695</v>
      </c>
      <c r="C12060" t="n" s="0">
        <v>42842.33069499999</v>
      </c>
    </row>
    <row r="12061">
      <c r="A12061" t="n" s="0">
        <v>20.6</v>
      </c>
      <c r="B12061" t="n" s="0">
        <f>(-5-((((-5*(-5/((-5/(((-5*(20.6--5))-(-5+((-5*20.6)*(((-5--5)+(20.6--5))+20.6))))-(-5+-5)))*-5)))/-5)--5)+(-5*(((20.6*(20.6-(-5/-5)))*(20.6-(20.6/(-5*20.6))))-(-5/-5)))))</f>
        <v>42905.159999999996</v>
      </c>
      <c r="C12061" t="n" s="0">
        <v>42905.16000000002</v>
      </c>
    </row>
    <row r="12062">
      <c r="A12062" t="n" s="0">
        <v>20.61</v>
      </c>
      <c r="B12062" t="n" s="0">
        <f>(-5-((((-5*(-5/((-5/(((-5*(20.61--5))-(-5+((-5*20.61)*(((-5--5)+(20.61--5))+20.61))))-(-5+-5)))*-5)))/-5)--5)+(-5*(((20.61*(20.61-(-5/-5)))*(20.61-(20.61/(-5*20.61))))-(-5/-5)))))</f>
        <v>42968.050705</v>
      </c>
      <c r="C12062" t="n" s="0">
        <v>42968.050705</v>
      </c>
    </row>
    <row r="12063">
      <c r="A12063" t="n" s="0">
        <v>20.62</v>
      </c>
      <c r="B12063" t="n" s="0">
        <f>(-5-((((-5*(-5/((-5/(((-5*(20.62--5))-(-5+((-5*20.62)*(((-5--5)+(20.62--5))+20.62))))-(-5+-5)))*-5)))/-5)--5)+(-5*(((20.62*(20.62-(-5/-5)))*(20.62-(20.62/(-5*20.62))))-(-5/-5)))))</f>
        <v>43031.002839999994</v>
      </c>
      <c r="C12063" t="n" s="0">
        <v>43031.002840000016</v>
      </c>
    </row>
    <row r="12064">
      <c r="A12064" t="n" s="0">
        <v>20.63</v>
      </c>
      <c r="B12064" t="n" s="0">
        <f>(-5-((((-5*(-5/((-5/(((-5*(20.63--5))-(-5+((-5*20.63)*(((-5--5)+(20.63--5))+20.63))))-(-5+-5)))*-5)))/-5)--5)+(-5*(((20.63*(20.63-(-5/-5)))*(20.63-(20.63/(-5*20.63))))-(-5/-5)))))</f>
        <v>43094.016435</v>
      </c>
      <c r="C12064" t="n" s="0">
        <v>43094.01643499999</v>
      </c>
    </row>
    <row r="12065">
      <c r="A12065" t="n" s="0">
        <v>20.64</v>
      </c>
      <c r="B12065" t="n" s="0">
        <f>(-5-((((-5*(-5/((-5/(((-5*(20.64--5))-(-5+((-5*20.64)*(((-5--5)+(20.64--5))+20.64))))-(-5+-5)))*-5)))/-5)--5)+(-5*(((20.64*(20.64-(-5/-5)))*(20.64-(20.64/(-5*20.64))))-(-5/-5)))))</f>
        <v>43157.09152</v>
      </c>
      <c r="C12065" t="n" s="0">
        <v>43157.09152</v>
      </c>
    </row>
    <row r="12066">
      <c r="A12066" t="n" s="0">
        <v>20.65</v>
      </c>
      <c r="B12066" t="n" s="0">
        <f>(-5-((((-5*(-5/((-5/(((-5*(20.65--5))-(-5+((-5*20.65)*(((-5--5)+(20.65--5))+20.65))))-(-5+-5)))*-5)))/-5)--5)+(-5*(((20.65*(20.65-(-5/-5)))*(20.65-(20.65/(-5*20.65))))-(-5/-5)))))</f>
        <v>43220.228125</v>
      </c>
      <c r="C12066" t="n" s="0">
        <v>43220.22812499999</v>
      </c>
    </row>
    <row r="12067">
      <c r="A12067" t="n" s="0">
        <v>20.66</v>
      </c>
      <c r="B12067" t="n" s="0">
        <f>(-5-((((-5*(-5/((-5/(((-5*(20.66--5))-(-5+((-5*20.66)*(((-5--5)+(20.66--5))+20.66))))-(-5+-5)))*-5)))/-5)--5)+(-5*(((20.66*(20.66-(-5/-5)))*(20.66-(20.66/(-5*20.66))))-(-5/-5)))))</f>
        <v>43283.42628000001</v>
      </c>
      <c r="C12067" t="n" s="0">
        <v>43283.42628000001</v>
      </c>
    </row>
    <row r="12068">
      <c r="A12068" t="n" s="0">
        <v>20.67</v>
      </c>
      <c r="B12068" t="n" s="0">
        <f>(-5-((((-5*(-5/((-5/(((-5*(20.67--5))-(-5+((-5*20.67)*(((-5--5)+(20.67--5))+20.67))))-(-5+-5)))*-5)))/-5)--5)+(-5*(((20.67*(20.67-(-5/-5)))*(20.67-(20.67/(-5*20.67))))-(-5/-5)))))</f>
        <v>43346.686015</v>
      </c>
      <c r="C12068" t="n" s="0">
        <v>43346.686015000014</v>
      </c>
    </row>
    <row r="12069">
      <c r="A12069" t="n" s="0">
        <v>20.68</v>
      </c>
      <c r="B12069" t="n" s="0">
        <f>(-5-((((-5*(-5/((-5/(((-5*(20.68--5))-(-5+((-5*20.68)*(((-5--5)+(20.68--5))+20.68))))-(-5+-5)))*-5)))/-5)--5)+(-5*(((20.68*(20.68-(-5/-5)))*(20.68-(20.68/(-5*20.68))))-(-5/-5)))))</f>
        <v>43410.00736</v>
      </c>
      <c r="C12069" t="n" s="0">
        <v>43410.007359999996</v>
      </c>
    </row>
    <row r="12070">
      <c r="A12070" t="n" s="0">
        <v>20.69</v>
      </c>
      <c r="B12070" t="n" s="0">
        <f>(-5-((((-5*(-5/((-5/(((-5*(20.69--5))-(-5+((-5*20.69)*(((-5--5)+(20.69--5))+20.69))))-(-5+-5)))*-5)))/-5)--5)+(-5*(((20.69*(20.69-(-5/-5)))*(20.69-(20.69/(-5*20.69))))-(-5/-5)))))</f>
        <v>43473.390345</v>
      </c>
      <c r="C12070" t="n" s="0">
        <v>43473.390345000014</v>
      </c>
    </row>
    <row r="12071">
      <c r="A12071" t="n" s="0">
        <v>20.7</v>
      </c>
      <c r="B12071" t="n" s="0">
        <f>(-5-((((-5*(-5/((-5/(((-5*(20.7--5))-(-5+((-5*20.7)*(((-5--5)+(20.7--5))+20.7))))-(-5+-5)))*-5)))/-5)--5)+(-5*(((20.7*(20.7-(-5/-5)))*(20.7-(20.7/(-5*20.7))))-(-5/-5)))))</f>
        <v>43536.835</v>
      </c>
      <c r="C12071" t="n" s="0">
        <v>43536.83499999999</v>
      </c>
    </row>
    <row r="12072">
      <c r="A12072" t="n" s="0">
        <v>20.71</v>
      </c>
      <c r="B12072" t="n" s="0">
        <f>(-5-((((-5*(-5/((-5/(((-5*(20.71--5))-(-5+((-5*20.71)*(((-5--5)+(20.71--5))+20.71))))-(-5+-5)))*-5)))/-5)--5)+(-5*(((20.71*(20.71-(-5/-5)))*(20.71-(20.71/(-5*20.71))))-(-5/-5)))))</f>
        <v>43600.341355000004</v>
      </c>
      <c r="C12072" t="n" s="0">
        <v>43600.341355000004</v>
      </c>
    </row>
    <row r="12073">
      <c r="A12073" t="n" s="0">
        <v>20.72</v>
      </c>
      <c r="B12073" t="n" s="0">
        <f>(-5-((((-5*(-5/((-5/(((-5*(20.72--5))-(-5+((-5*20.72)*(((-5--5)+(20.72--5))+20.72))))-(-5+-5)))*-5)))/-5)--5)+(-5*(((20.72*(20.72-(-5/-5)))*(20.72-(20.72/(-5*20.72))))-(-5/-5)))))</f>
        <v>43663.90944</v>
      </c>
      <c r="C12073" t="n" s="0">
        <v>43663.909439999996</v>
      </c>
    </row>
    <row r="12074">
      <c r="A12074" t="n" s="0">
        <v>20.73</v>
      </c>
      <c r="B12074" t="n" s="0">
        <f>(-5-((((-5*(-5/((-5/(((-5*(20.73--5))-(-5+((-5*20.73)*(((-5--5)+(20.73--5))+20.73))))-(-5+-5)))*-5)))/-5)--5)+(-5*(((20.73*(20.73-(-5/-5)))*(20.73-(20.73/(-5*20.73))))-(-5/-5)))))</f>
        <v>43727.539285000006</v>
      </c>
      <c r="C12074" t="n" s="0">
        <v>43727.539285</v>
      </c>
    </row>
    <row r="12075">
      <c r="A12075" t="n" s="0">
        <v>20.74</v>
      </c>
      <c r="B12075" t="n" s="0">
        <f>(-5-((((-5*(-5/((-5/(((-5*(20.74--5))-(-5+((-5*20.74)*(((-5--5)+(20.74--5))+20.74))))-(-5+-5)))*-5)))/-5)--5)+(-5*(((20.74*(20.74-(-5/-5)))*(20.74-(20.74/(-5*20.74))))-(-5/-5)))))</f>
        <v>43791.23092000001</v>
      </c>
      <c r="C12075" t="n" s="0">
        <v>43791.230919999995</v>
      </c>
    </row>
    <row r="12076">
      <c r="A12076" t="n" s="0">
        <v>20.75</v>
      </c>
      <c r="B12076" t="n" s="0">
        <f>(-5-((((-5*(-5/((-5/(((-5*(20.75--5))-(-5+((-5*20.75)*(((-5--5)+(20.75--5))+20.75))))-(-5+-5)))*-5)))/-5)--5)+(-5*(((20.75*(20.75-(-5/-5)))*(20.75-(20.75/(-5*20.75))))-(-5/-5)))))</f>
        <v>43854.984375</v>
      </c>
      <c r="C12076" t="n" s="0">
        <v>43854.984375</v>
      </c>
    </row>
    <row r="12077">
      <c r="A12077" t="n" s="0">
        <v>20.76</v>
      </c>
      <c r="B12077" t="n" s="0">
        <f>(-5-((((-5*(-5/((-5/(((-5*(20.76--5))-(-5+((-5*20.76)*(((-5--5)+(20.76--5))+20.76))))-(-5+-5)))*-5)))/-5)--5)+(-5*(((20.76*(20.76-(-5/-5)))*(20.76-(20.76/(-5*20.76))))-(-5/-5)))))</f>
        <v>43918.799680000004</v>
      </c>
      <c r="C12077" t="n" s="0">
        <v>43918.79968000001</v>
      </c>
    </row>
    <row r="12078">
      <c r="A12078" t="n" s="0">
        <v>20.77</v>
      </c>
      <c r="B12078" t="n" s="0">
        <f>(-5-((((-5*(-5/((-5/(((-5*(20.77--5))-(-5+((-5*20.77)*(((-5--5)+(20.77--5))+20.77))))-(-5+-5)))*-5)))/-5)--5)+(-5*(((20.77*(20.77-(-5/-5)))*(20.77-(20.77/(-5*20.77))))-(-5/-5)))))</f>
        <v>43982.67686500001</v>
      </c>
      <c r="C12078" t="n" s="0">
        <v>43982.676864999994</v>
      </c>
    </row>
    <row r="12079">
      <c r="A12079" t="n" s="0">
        <v>20.78</v>
      </c>
      <c r="B12079" t="n" s="0">
        <f>(-5-((((-5*(-5/((-5/(((-5*(20.78--5))-(-5+((-5*20.78)*(((-5--5)+(20.78--5))+20.78))))-(-5+-5)))*-5)))/-5)--5)+(-5*(((20.78*(20.78-(-5/-5)))*(20.78-(20.78/(-5*20.78))))-(-5/-5)))))</f>
        <v>44046.615959999996</v>
      </c>
      <c r="C12079" t="n" s="0">
        <v>44046.61596</v>
      </c>
    </row>
    <row r="12080">
      <c r="A12080" t="n" s="0">
        <v>20.79</v>
      </c>
      <c r="B12080" t="n" s="0">
        <f>(-5-((((-5*(-5/((-5/(((-5*(20.79--5))-(-5+((-5*20.79)*(((-5--5)+(20.79--5))+20.79))))-(-5+-5)))*-5)))/-5)--5)+(-5*(((20.79*(20.79-(-5/-5)))*(20.79-(20.79/(-5*20.79))))-(-5/-5)))))</f>
        <v>44110.616995000004</v>
      </c>
      <c r="C12080" t="n" s="0">
        <v>44110.616995</v>
      </c>
    </row>
    <row r="12081">
      <c r="A12081" t="n" s="0">
        <v>20.8</v>
      </c>
      <c r="B12081" t="n" s="0">
        <f>(-5-((((-5*(-5/((-5/(((-5*(20.8--5))-(-5+((-5*20.8)*(((-5--5)+(20.8--5))+20.8))))-(-5+-5)))*-5)))/-5)--5)+(-5*(((20.8*(20.8-(-5/-5)))*(20.8-(20.8/(-5*20.8))))-(-5/-5)))))</f>
        <v>44174.68</v>
      </c>
      <c r="C12081" t="n" s="0">
        <v>44174.68</v>
      </c>
    </row>
    <row r="12082">
      <c r="A12082" t="n" s="0">
        <v>20.81</v>
      </c>
      <c r="B12082" t="n" s="0">
        <f>(-5-((((-5*(-5/((-5/(((-5*(20.81--5))-(-5+((-5*20.81)*(((-5--5)+(20.81--5))+20.81))))-(-5+-5)))*-5)))/-5)--5)+(-5*(((20.81*(20.81-(-5/-5)))*(20.81-(20.81/(-5*20.81))))-(-5/-5)))))</f>
        <v>44238.805005</v>
      </c>
      <c r="C12082" t="n" s="0">
        <v>44238.805004999995</v>
      </c>
    </row>
    <row r="12083">
      <c r="A12083" t="n" s="0">
        <v>20.82</v>
      </c>
      <c r="B12083" t="n" s="0">
        <f>(-5-((((-5*(-5/((-5/(((-5*(20.82--5))-(-5+((-5*20.82)*(((-5--5)+(20.82--5))+20.82))))-(-5+-5)))*-5)))/-5)--5)+(-5*(((20.82*(20.82-(-5/-5)))*(20.82-(20.82/(-5*20.82))))-(-5/-5)))))</f>
        <v>44302.99204</v>
      </c>
      <c r="C12083" t="n" s="0">
        <v>44302.99204</v>
      </c>
    </row>
    <row r="12084">
      <c r="A12084" t="n" s="0">
        <v>20.83</v>
      </c>
      <c r="B12084" t="n" s="0">
        <f>(-5-((((-5*(-5/((-5/(((-5*(20.83--5))-(-5+((-5*20.83)*(((-5--5)+(20.83--5))+20.83))))-(-5+-5)))*-5)))/-5)--5)+(-5*(((20.83*(20.83-(-5/-5)))*(20.83-(20.83/(-5*20.83))))-(-5/-5)))))</f>
        <v>44367.241135000004</v>
      </c>
      <c r="C12084" t="n" s="0">
        <v>44367.24113499998</v>
      </c>
    </row>
    <row r="12085">
      <c r="A12085" t="n" s="0">
        <v>20.84</v>
      </c>
      <c r="B12085" t="n" s="0">
        <f>(-5-((((-5*(-5/((-5/(((-5*(20.84--5))-(-5+((-5*20.84)*(((-5--5)+(20.84--5))+20.84))))-(-5+-5)))*-5)))/-5)--5)+(-5*(((20.84*(20.84-(-5/-5)))*(20.84-(20.84/(-5*20.84))))-(-5/-5)))))</f>
        <v>44431.55232</v>
      </c>
      <c r="C12085" t="n" s="0">
        <v>44431.552319999995</v>
      </c>
    </row>
    <row r="12086">
      <c r="A12086" t="n" s="0">
        <v>20.85</v>
      </c>
      <c r="B12086" t="n" s="0">
        <f>(-5-((((-5*(-5/((-5/(((-5*(20.85--5))-(-5+((-5*20.85)*(((-5--5)+(20.85--5))+20.85))))-(-5+-5)))*-5)))/-5)--5)+(-5*(((20.85*(20.85-(-5/-5)))*(20.85-(20.85/(-5*20.85))))-(-5/-5)))))</f>
        <v>44495.925625</v>
      </c>
      <c r="C12086" t="n" s="0">
        <v>44495.92562500001</v>
      </c>
    </row>
    <row r="12087">
      <c r="A12087" t="n" s="0">
        <v>20.86</v>
      </c>
      <c r="B12087" t="n" s="0">
        <f>(-5-((((-5*(-5/((-5/(((-5*(20.86--5))-(-5+((-5*20.86)*(((-5--5)+(20.86--5))+20.86))))-(-5+-5)))*-5)))/-5)--5)+(-5*(((20.86*(20.86-(-5/-5)))*(20.86-(20.86/(-5*20.86))))-(-5/-5)))))</f>
        <v>44560.36108</v>
      </c>
      <c r="C12087" t="n" s="0">
        <v>44560.36108</v>
      </c>
    </row>
    <row r="12088">
      <c r="A12088" t="n" s="0">
        <v>20.87</v>
      </c>
      <c r="B12088" t="n" s="0">
        <f>(-5-((((-5*(-5/((-5/(((-5*(20.87--5))-(-5+((-5*20.87)*(((-5--5)+(20.87--5))+20.87))))-(-5+-5)))*-5)))/-5)--5)+(-5*(((20.87*(20.87-(-5/-5)))*(20.87-(20.87/(-5*20.87))))-(-5/-5)))))</f>
        <v>44624.858715</v>
      </c>
      <c r="C12088" t="n" s="0">
        <v>44624.85871500001</v>
      </c>
    </row>
    <row r="12089">
      <c r="A12089" t="n" s="0">
        <v>20.88</v>
      </c>
      <c r="B12089" t="n" s="0">
        <f>(-5-((((-5*(-5/((-5/(((-5*(20.88--5))-(-5+((-5*20.88)*(((-5--5)+(20.88--5))+20.88))))-(-5+-5)))*-5)))/-5)--5)+(-5*(((20.88*(20.88-(-5/-5)))*(20.88-(20.88/(-5*20.88))))-(-5/-5)))))</f>
        <v>44689.418560000006</v>
      </c>
      <c r="C12089" t="n" s="0">
        <v>44689.41855999999</v>
      </c>
    </row>
    <row r="12090">
      <c r="A12090" t="n" s="0">
        <v>20.89</v>
      </c>
      <c r="B12090" t="n" s="0">
        <f>(-5-((((-5*(-5/((-5/(((-5*(20.89--5))-(-5+((-5*20.89)*(((-5--5)+(20.89--5))+20.89))))-(-5+-5)))*-5)))/-5)--5)+(-5*(((20.89*(20.89-(-5/-5)))*(20.89-(20.89/(-5*20.89))))-(-5/-5)))))</f>
        <v>44754.040645</v>
      </c>
      <c r="C12090" t="n" s="0">
        <v>44754.040644999994</v>
      </c>
    </row>
    <row r="12091">
      <c r="A12091" t="n" s="0">
        <v>20.9</v>
      </c>
      <c r="B12091" t="n" s="0">
        <f>(-5-((((-5*(-5/((-5/(((-5*(20.9--5))-(-5+((-5*20.9)*(((-5--5)+(20.9--5))+20.9))))-(-5+-5)))*-5)))/-5)--5)+(-5*(((20.9*(20.9-(-5/-5)))*(20.9-(20.9/(-5*20.9))))-(-5/-5)))))</f>
        <v>44818.72499999999</v>
      </c>
      <c r="C12091" t="n" s="0">
        <v>44818.724999999984</v>
      </c>
    </row>
    <row r="12092">
      <c r="A12092" t="n" s="0">
        <v>20.91</v>
      </c>
      <c r="B12092" t="n" s="0">
        <f>(-5-((((-5*(-5/((-5/(((-5*(20.91--5))-(-5+((-5*20.91)*(((-5--5)+(20.91--5))+20.91))))-(-5+-5)))*-5)))/-5)--5)+(-5*(((20.91*(20.91-(-5/-5)))*(20.91-(20.91/(-5*20.91))))-(-5/-5)))))</f>
        <v>44883.471654999994</v>
      </c>
      <c r="C12092" t="n" s="0">
        <v>44883.47165500001</v>
      </c>
    </row>
    <row r="12093">
      <c r="A12093" t="n" s="0">
        <v>20.92</v>
      </c>
      <c r="B12093" t="n" s="0">
        <f>(-5-((((-5*(-5/((-5/(((-5*(20.92--5))-(-5+((-5*20.92)*(((-5--5)+(20.92--5))+20.92))))-(-5+-5)))*-5)))/-5)--5)+(-5*(((20.92*(20.92-(-5/-5)))*(20.92-(20.92/(-5*20.92))))-(-5/-5)))))</f>
        <v>44948.280640000004</v>
      </c>
      <c r="C12093" t="n" s="0">
        <v>44948.28064000001</v>
      </c>
    </row>
    <row r="12094">
      <c r="A12094" t="n" s="0">
        <v>20.93</v>
      </c>
      <c r="B12094" t="n" s="0">
        <f>(-5-((((-5*(-5/((-5/(((-5*(20.93--5))-(-5+((-5*20.93)*(((-5--5)+(20.93--5))+20.93))))-(-5+-5)))*-5)))/-5)--5)+(-5*(((20.93*(20.93-(-5/-5)))*(20.93-(20.93/(-5*20.93))))-(-5/-5)))))</f>
        <v>45013.151985000004</v>
      </c>
      <c r="C12094" t="n" s="0">
        <v>45013.151985</v>
      </c>
    </row>
    <row r="12095">
      <c r="A12095" t="n" s="0">
        <v>20.94</v>
      </c>
      <c r="B12095" t="n" s="0">
        <f>(-5-((((-5*(-5/((-5/(((-5*(20.94--5))-(-5+((-5*20.94)*(((-5--5)+(20.94--5))+20.94))))-(-5+-5)))*-5)))/-5)--5)+(-5*(((20.94*(20.94-(-5/-5)))*(20.94-(20.94/(-5*20.94))))-(-5/-5)))))</f>
        <v>45078.08572</v>
      </c>
      <c r="C12095" t="n" s="0">
        <v>45078.08572</v>
      </c>
    </row>
    <row r="12096">
      <c r="A12096" t="n" s="0">
        <v>20.95</v>
      </c>
      <c r="B12096" t="n" s="0">
        <f>(-5-((((-5*(-5/((-5/(((-5*(20.95--5))-(-5+((-5*20.95)*(((-5--5)+(20.95--5))+20.95))))-(-5+-5)))*-5)))/-5)--5)+(-5*(((20.95*(20.95-(-5/-5)))*(20.95-(20.95/(-5*20.95))))-(-5/-5)))))</f>
        <v>45143.081874999996</v>
      </c>
      <c r="C12096" t="n" s="0">
        <v>45143.081874999996</v>
      </c>
    </row>
    <row r="12097">
      <c r="A12097" t="n" s="0">
        <v>20.96</v>
      </c>
      <c r="B12097" t="n" s="0">
        <f>(-5-((((-5*(-5/((-5/(((-5*(20.96--5))-(-5+((-5*20.96)*(((-5--5)+(20.96--5))+20.96))))-(-5+-5)))*-5)))/-5)--5)+(-5*(((20.96*(20.96-(-5/-5)))*(20.96-(20.96/(-5*20.96))))-(-5/-5)))))</f>
        <v>45208.14048</v>
      </c>
      <c r="C12097" t="n" s="0">
        <v>45208.14048</v>
      </c>
    </row>
    <row r="12098">
      <c r="A12098" t="n" s="0">
        <v>20.97</v>
      </c>
      <c r="B12098" t="n" s="0">
        <f>(-5-((((-5*(-5/((-5/(((-5*(20.97--5))-(-5+((-5*20.97)*(((-5--5)+(20.97--5))+20.97))))-(-5+-5)))*-5)))/-5)--5)+(-5*(((20.97*(20.97-(-5/-5)))*(20.97-(20.97/(-5*20.97))))-(-5/-5)))))</f>
        <v>45273.261565</v>
      </c>
      <c r="C12098" t="n" s="0">
        <v>45273.26156499999</v>
      </c>
    </row>
    <row r="12099">
      <c r="A12099" t="n" s="0">
        <v>20.98</v>
      </c>
      <c r="B12099" t="n" s="0">
        <f>(-5-((((-5*(-5/((-5/(((-5*(20.98--5))-(-5+((-5*20.98)*(((-5--5)+(20.98--5))+20.98))))-(-5+-5)))*-5)))/-5)--5)+(-5*(((20.98*(20.98-(-5/-5)))*(20.98-(20.98/(-5*20.98))))-(-5/-5)))))</f>
        <v>45338.44516</v>
      </c>
      <c r="C12099" t="n" s="0">
        <v>45338.44516</v>
      </c>
    </row>
    <row r="12100">
      <c r="A12100" t="n" s="0">
        <v>20.99</v>
      </c>
      <c r="B12100" t="n" s="0">
        <f>(-5-((((-5*(-5/((-5/(((-5*(20.99--5))-(-5+((-5*20.99)*(((-5--5)+(20.99--5))+20.99))))-(-5+-5)))*-5)))/-5)--5)+(-5*(((20.99*(20.99-(-5/-5)))*(20.99-(20.99/(-5*20.99))))-(-5/-5)))))</f>
        <v>45403.691295000004</v>
      </c>
      <c r="C12100" t="n" s="0">
        <v>45403.69129499999</v>
      </c>
    </row>
    <row r="12101">
      <c r="A12101" t="n" s="0">
        <v>21.0</v>
      </c>
      <c r="B12101" t="n" s="0">
        <f>(-5-((((-5*(-5/((-5/(((-5*(21--5))-(-5+((-5*21)*(((-5--5)+(21--5))+21))))-(-5+-5)))*-5)))/-5)--5)+(-5*(((21*(21-(-5/-5)))*(21-(21/(-5*21))))-(-5/-5)))))</f>
        <v>45469.0</v>
      </c>
      <c r="C12101" t="n" s="0">
        <v>45469.0</v>
      </c>
    </row>
    <row r="12102">
      <c r="A12102" t="n" s="0">
        <v>21.01</v>
      </c>
      <c r="B12102" t="n" s="0">
        <f>(-5-((((-5*(-5/((-5/(((-5*(21.01--5))-(-5+((-5*21.01)*(((-5--5)+(21.01--5))+21.01))))-(-5+-5)))*-5)))/-5)--5)+(-5*(((21.01*(21.01-(-5/-5)))*(21.01-(21.01/(-5*21.01))))-(-5/-5)))))</f>
        <v>45534.37130500001</v>
      </c>
      <c r="C12102" t="n" s="0">
        <v>45534.371305000015</v>
      </c>
    </row>
    <row r="12103">
      <c r="A12103" t="n" s="0">
        <v>21.02</v>
      </c>
      <c r="B12103" t="n" s="0">
        <f>(-5-((((-5*(-5/((-5/(((-5*(21.02--5))-(-5+((-5*21.02)*(((-5--5)+(21.02--5))+21.02))))-(-5+-5)))*-5)))/-5)--5)+(-5*(((21.02*(21.02-(-5/-5)))*(21.02-(21.02/(-5*21.02))))-(-5/-5)))))</f>
        <v>45599.80524</v>
      </c>
      <c r="C12103" t="n" s="0">
        <v>45599.805239999994</v>
      </c>
    </row>
    <row r="12104">
      <c r="A12104" t="n" s="0">
        <v>21.03</v>
      </c>
      <c r="B12104" t="n" s="0">
        <f>(-5-((((-5*(-5/((-5/(((-5*(21.03--5))-(-5+((-5*21.03)*(((-5--5)+(21.03--5))+21.03))))-(-5+-5)))*-5)))/-5)--5)+(-5*(((21.03*(21.03-(-5/-5)))*(21.03-(21.03/(-5*21.03))))-(-5/-5)))))</f>
        <v>45665.301835</v>
      </c>
      <c r="C12104" t="n" s="0">
        <v>45665.301835000006</v>
      </c>
    </row>
    <row r="12105">
      <c r="A12105" t="n" s="0">
        <v>21.04</v>
      </c>
      <c r="B12105" t="n" s="0">
        <f>(-5-((((-5*(-5/((-5/(((-5*(21.04--5))-(-5+((-5*21.04)*(((-5--5)+(21.04--5))+21.04))))-(-5+-5)))*-5)))/-5)--5)+(-5*(((21.04*(21.04-(-5/-5)))*(21.04-(21.04/(-5*21.04))))-(-5/-5)))))</f>
        <v>45730.861119999994</v>
      </c>
      <c r="C12105" t="n" s="0">
        <v>45730.861119999994</v>
      </c>
    </row>
    <row r="12106">
      <c r="A12106" t="n" s="0">
        <v>21.05</v>
      </c>
      <c r="B12106" t="n" s="0">
        <f>(-5-((((-5*(-5/((-5/(((-5*(21.05--5))-(-5+((-5*21.05)*(((-5--5)+(21.05--5))+21.05))))-(-5+-5)))*-5)))/-5)--5)+(-5*(((21.05*(21.05-(-5/-5)))*(21.05-(21.05/(-5*21.05))))-(-5/-5)))))</f>
        <v>45796.483125</v>
      </c>
      <c r="C12106" t="n" s="0">
        <v>45796.483125000006</v>
      </c>
    </row>
    <row r="12107">
      <c r="A12107" t="n" s="0">
        <v>21.06</v>
      </c>
      <c r="B12107" t="n" s="0">
        <f>(-5-((((-5*(-5/((-5/(((-5*(21.06--5))-(-5+((-5*21.06)*(((-5--5)+(21.06--5))+21.06))))-(-5+-5)))*-5)))/-5)--5)+(-5*(((21.06*(21.06-(-5/-5)))*(21.06-(21.06/(-5*21.06))))-(-5/-5)))))</f>
        <v>45862.16788</v>
      </c>
      <c r="C12107" t="n" s="0">
        <v>45862.167879999986</v>
      </c>
    </row>
    <row r="12108">
      <c r="A12108" t="n" s="0">
        <v>21.07</v>
      </c>
      <c r="B12108" t="n" s="0">
        <f>(-5-((((-5*(-5/((-5/(((-5*(21.07--5))-(-5+((-5*21.07)*(((-5--5)+(21.07--5))+21.07))))-(-5+-5)))*-5)))/-5)--5)+(-5*(((21.07*(21.07-(-5/-5)))*(21.07-(21.07/(-5*21.07))))-(-5/-5)))))</f>
        <v>45927.915415</v>
      </c>
      <c r="C12108" t="n" s="0">
        <v>45927.915415</v>
      </c>
    </row>
    <row r="12109">
      <c r="A12109" t="n" s="0">
        <v>21.08</v>
      </c>
      <c r="B12109" t="n" s="0">
        <f>(-5-((((-5*(-5/((-5/(((-5*(21.08--5))-(-5+((-5*21.08)*(((-5--5)+(21.08--5))+21.08))))-(-5+-5)))*-5)))/-5)--5)+(-5*(((21.08*(21.08-(-5/-5)))*(21.08-(21.08/(-5*21.08))))-(-5/-5)))))</f>
        <v>45993.72576</v>
      </c>
      <c r="C12109" t="n" s="0">
        <v>45993.72575999999</v>
      </c>
    </row>
    <row r="12110">
      <c r="A12110" t="n" s="0">
        <v>21.09</v>
      </c>
      <c r="B12110" t="n" s="0">
        <f>(-5-((((-5*(-5/((-5/(((-5*(21.09--5))-(-5+((-5*21.09)*(((-5--5)+(21.09--5))+21.09))))-(-5+-5)))*-5)))/-5)--5)+(-5*(((21.09*(21.09-(-5/-5)))*(21.09-(21.09/(-5*21.09))))-(-5/-5)))))</f>
        <v>46059.598945000005</v>
      </c>
      <c r="C12110" t="n" s="0">
        <v>46059.59894499999</v>
      </c>
    </row>
    <row r="12111">
      <c r="A12111" t="n" s="0">
        <v>21.1</v>
      </c>
      <c r="B12111" t="n" s="0">
        <f>(-5-((((-5*(-5/((-5/(((-5*(21.1--5))-(-5+((-5*21.1)*(((-5--5)+(21.1--5))+21.1))))-(-5+-5)))*-5)))/-5)--5)+(-5*(((21.1*(21.1-(-5/-5)))*(21.1-(21.1/(-5*21.1))))-(-5/-5)))))</f>
        <v>46125.53499999999</v>
      </c>
      <c r="C12111" t="n" s="0">
        <v>46125.53500000002</v>
      </c>
    </row>
    <row r="12112">
      <c r="A12112" t="n" s="0">
        <v>21.11</v>
      </c>
      <c r="B12112" t="n" s="0">
        <f>(-5-((((-5*(-5/((-5/(((-5*(21.11--5))-(-5+((-5*21.11)*(((-5--5)+(21.11--5))+21.11))))-(-5+-5)))*-5)))/-5)--5)+(-5*(((21.11*(21.11-(-5/-5)))*(21.11-(21.11/(-5*21.11))))-(-5/-5)))))</f>
        <v>46191.533955</v>
      </c>
      <c r="C12112" t="n" s="0">
        <v>46191.533955</v>
      </c>
    </row>
    <row r="12113">
      <c r="A12113" t="n" s="0">
        <v>21.12</v>
      </c>
      <c r="B12113" t="n" s="0">
        <f>(-5-((((-5*(-5/((-5/(((-5*(21.12--5))-(-5+((-5*21.12)*(((-5--5)+(21.12--5))+21.12))))-(-5+-5)))*-5)))/-5)--5)+(-5*(((21.12*(21.12-(-5/-5)))*(21.12-(21.12/(-5*21.12))))-(-5/-5)))))</f>
        <v>46257.59584</v>
      </c>
      <c r="C12113" t="n" s="0">
        <v>46257.59584</v>
      </c>
    </row>
    <row r="12114">
      <c r="A12114" t="n" s="0">
        <v>21.13</v>
      </c>
      <c r="B12114" t="n" s="0">
        <f>(-5-((((-5*(-5/((-5/(((-5*(21.13--5))-(-5+((-5*21.13)*(((-5--5)+(21.13--5))+21.13))))-(-5+-5)))*-5)))/-5)--5)+(-5*(((21.13*(21.13-(-5/-5)))*(21.13-(21.13/(-5*21.13))))-(-5/-5)))))</f>
        <v>46323.72068499999</v>
      </c>
      <c r="C12114" t="n" s="0">
        <v>46323.72068499999</v>
      </c>
    </row>
    <row r="12115">
      <c r="A12115" t="n" s="0">
        <v>21.14</v>
      </c>
      <c r="B12115" t="n" s="0">
        <f>(-5-((((-5*(-5/((-5/(((-5*(21.14--5))-(-5+((-5*21.14)*(((-5--5)+(21.14--5))+21.14))))-(-5+-5)))*-5)))/-5)--5)+(-5*(((21.14*(21.14-(-5/-5)))*(21.14-(21.14/(-5*21.14))))-(-5/-5)))))</f>
        <v>46389.90852</v>
      </c>
      <c r="C12115" t="n" s="0">
        <v>46389.908520000005</v>
      </c>
    </row>
    <row r="12116">
      <c r="A12116" t="n" s="0">
        <v>21.15</v>
      </c>
      <c r="B12116" t="n" s="0">
        <f>(-5-((((-5*(-5/((-5/(((-5*(21.15--5))-(-5+((-5*21.15)*(((-5--5)+(21.15--5))+21.15))))-(-5+-5)))*-5)))/-5)--5)+(-5*(((21.15*(21.15-(-5/-5)))*(21.15-(21.15/(-5*21.15))))-(-5/-5)))))</f>
        <v>46456.159374999996</v>
      </c>
      <c r="C12116" t="n" s="0">
        <v>46456.159374999996</v>
      </c>
    </row>
    <row r="12117">
      <c r="A12117" t="n" s="0">
        <v>21.16</v>
      </c>
      <c r="B12117" t="n" s="0">
        <f>(-5-((((-5*(-5/((-5/(((-5*(21.16--5))-(-5+((-5*21.16)*(((-5--5)+(21.16--5))+21.16))))-(-5+-5)))*-5)))/-5)--5)+(-5*(((21.16*(21.16-(-5/-5)))*(21.16-(21.16/(-5*21.16))))-(-5/-5)))))</f>
        <v>46522.47328</v>
      </c>
      <c r="C12117" t="n" s="0">
        <v>46522.473280000006</v>
      </c>
    </row>
    <row r="12118">
      <c r="A12118" t="n" s="0">
        <v>21.17</v>
      </c>
      <c r="B12118" t="n" s="0">
        <f>(-5-((((-5*(-5/((-5/(((-5*(21.17--5))-(-5+((-5*21.17)*(((-5--5)+(21.17--5))+21.17))))-(-5+-5)))*-5)))/-5)--5)+(-5*(((21.17*(21.17-(-5/-5)))*(21.17-(21.17/(-5*21.17))))-(-5/-5)))))</f>
        <v>46588.850265</v>
      </c>
      <c r="C12118" t="n" s="0">
        <v>46588.850265000015</v>
      </c>
    </row>
    <row r="12119">
      <c r="A12119" t="n" s="0">
        <v>21.18</v>
      </c>
      <c r="B12119" t="n" s="0">
        <f>(-5-((((-5*(-5/((-5/(((-5*(21.18--5))-(-5+((-5*21.18)*(((-5--5)+(21.18--5))+21.18))))-(-5+-5)))*-5)))/-5)--5)+(-5*(((21.18*(21.18-(-5/-5)))*(21.18-(21.18/(-5*21.18))))-(-5/-5)))))</f>
        <v>46655.290360000006</v>
      </c>
      <c r="C12119" t="n" s="0">
        <v>46655.29036</v>
      </c>
    </row>
    <row r="12120">
      <c r="A12120" t="n" s="0">
        <v>21.19</v>
      </c>
      <c r="B12120" t="n" s="0">
        <f>(-5-((((-5*(-5/((-5/(((-5*(21.19--5))-(-5+((-5*21.19)*(((-5--5)+(21.19--5))+21.19))))-(-5+-5)))*-5)))/-5)--5)+(-5*(((21.19*(21.19-(-5/-5)))*(21.19-(21.19/(-5*21.19))))-(-5/-5)))))</f>
        <v>46721.793595</v>
      </c>
      <c r="C12120" t="n" s="0">
        <v>46721.793595</v>
      </c>
    </row>
    <row r="12121">
      <c r="A12121" t="n" s="0">
        <v>21.2</v>
      </c>
      <c r="B12121" t="n" s="0">
        <f>(-5-((((-5*(-5/((-5/(((-5*(21.2--5))-(-5+((-5*21.2)*(((-5--5)+(21.2--5))+21.2))))-(-5+-5)))*-5)))/-5)--5)+(-5*(((21.2*(21.2-(-5/-5)))*(21.2-(21.2/(-5*21.2))))-(-5/-5)))))</f>
        <v>46788.36000000001</v>
      </c>
      <c r="C12121" t="n" s="0">
        <v>46788.35999999999</v>
      </c>
    </row>
    <row r="12122">
      <c r="A12122" t="n" s="0">
        <v>21.21</v>
      </c>
      <c r="B12122" t="n" s="0">
        <f>(-5-((((-5*(-5/((-5/(((-5*(21.21--5))-(-5+((-5*21.21)*(((-5--5)+(21.21--5))+21.21))))-(-5+-5)))*-5)))/-5)--5)+(-5*(((21.21*(21.21-(-5/-5)))*(21.21-(21.21/(-5*21.21))))-(-5/-5)))))</f>
        <v>46854.989605</v>
      </c>
      <c r="C12122" t="n" s="0">
        <v>46854.989605</v>
      </c>
    </row>
    <row r="12123">
      <c r="A12123" t="n" s="0">
        <v>21.22</v>
      </c>
      <c r="B12123" t="n" s="0">
        <f>(-5-((((-5*(-5/((-5/(((-5*(21.22--5))-(-5+((-5*21.22)*(((-5--5)+(21.22--5))+21.22))))-(-5+-5)))*-5)))/-5)--5)+(-5*(((21.22*(21.22-(-5/-5)))*(21.22-(21.22/(-5*21.22))))-(-5/-5)))))</f>
        <v>46921.682440000004</v>
      </c>
      <c r="C12123" t="n" s="0">
        <v>46921.68244</v>
      </c>
    </row>
    <row r="12124">
      <c r="A12124" t="n" s="0">
        <v>21.23</v>
      </c>
      <c r="B12124" t="n" s="0">
        <f>(-5-((((-5*(-5/((-5/(((-5*(21.23--5))-(-5+((-5*21.23)*(((-5--5)+(21.23--5))+21.23))))-(-5+-5)))*-5)))/-5)--5)+(-5*(((21.23*(21.23-(-5/-5)))*(21.23-(21.23/(-5*21.23))))-(-5/-5)))))</f>
        <v>46988.438534999994</v>
      </c>
      <c r="C12124" t="n" s="0">
        <v>46988.43853500001</v>
      </c>
    </row>
    <row r="12125">
      <c r="A12125" t="n" s="0">
        <v>21.24</v>
      </c>
      <c r="B12125" t="n" s="0">
        <f>(-5-((((-5*(-5/((-5/(((-5*(21.24--5))-(-5+((-5*21.24)*(((-5--5)+(21.24--5))+21.24))))-(-5+-5)))*-5)))/-5)--5)+(-5*(((21.24*(21.24-(-5/-5)))*(21.24-(21.24/(-5*21.24))))-(-5/-5)))))</f>
        <v>47055.257920000004</v>
      </c>
      <c r="C12125" t="n" s="0">
        <v>47055.25792</v>
      </c>
    </row>
    <row r="12126">
      <c r="A12126" t="n" s="0">
        <v>21.25</v>
      </c>
      <c r="B12126" t="n" s="0">
        <f>(-5-((((-5*(-5/((-5/(((-5*(21.25--5))-(-5+((-5*21.25)*(((-5--5)+(21.25--5))+21.25))))-(-5+-5)))*-5)))/-5)--5)+(-5*(((21.25*(21.25-(-5/-5)))*(21.25-(21.25/(-5*21.25))))-(-5/-5)))))</f>
        <v>47122.140625</v>
      </c>
      <c r="C12126" t="n" s="0">
        <v>47122.140625</v>
      </c>
    </row>
    <row r="12127">
      <c r="A12127" t="n" s="0">
        <v>21.26</v>
      </c>
      <c r="B12127" t="n" s="0">
        <f>(-5-((((-5*(-5/((-5/(((-5*(21.26--5))-(-5+((-5*21.26)*(((-5--5)+(21.26--5))+21.26))))-(-5+-5)))*-5)))/-5)--5)+(-5*(((21.26*(21.26-(-5/-5)))*(21.26-(21.26/(-5*21.26))))-(-5/-5)))))</f>
        <v>47189.08667999999</v>
      </c>
      <c r="C12127" t="n" s="0">
        <v>47189.086680000015</v>
      </c>
    </row>
    <row r="12128">
      <c r="A12128" t="n" s="0">
        <v>21.27</v>
      </c>
      <c r="B12128" t="n" s="0">
        <f>(-5-((((-5*(-5/((-5/(((-5*(21.27--5))-(-5+((-5*21.27)*(((-5--5)+(21.27--5))+21.27))))-(-5+-5)))*-5)))/-5)--5)+(-5*(((21.27*(21.27-(-5/-5)))*(21.27-(21.27/(-5*21.27))))-(-5/-5)))))</f>
        <v>47256.09611499999</v>
      </c>
      <c r="C12128" t="n" s="0">
        <v>47256.09611499999</v>
      </c>
    </row>
    <row r="12129">
      <c r="A12129" t="n" s="0">
        <v>21.28</v>
      </c>
      <c r="B12129" t="n" s="0">
        <f>(-5-((((-5*(-5/((-5/(((-5*(21.28--5))-(-5+((-5*21.28)*(((-5--5)+(21.28--5))+21.28))))-(-5+-5)))*-5)))/-5)--5)+(-5*(((21.28*(21.28-(-5/-5)))*(21.28-(21.28/(-5*21.28))))-(-5/-5)))))</f>
        <v>47323.168959999995</v>
      </c>
      <c r="C12129" t="n" s="0">
        <v>47323.16896000001</v>
      </c>
    </row>
    <row r="12130">
      <c r="A12130" t="n" s="0">
        <v>21.29</v>
      </c>
      <c r="B12130" t="n" s="0">
        <f>(-5-((((-5*(-5/((-5/(((-5*(21.29--5))-(-5+((-5*21.29)*(((-5--5)+(21.29--5))+21.29))))-(-5+-5)))*-5)))/-5)--5)+(-5*(((21.29*(21.29-(-5/-5)))*(21.29-(21.29/(-5*21.29))))-(-5/-5)))))</f>
        <v>47390.305245</v>
      </c>
      <c r="C12130" t="n" s="0">
        <v>47390.305244999996</v>
      </c>
    </row>
    <row r="12131">
      <c r="A12131" t="n" s="0">
        <v>21.3</v>
      </c>
      <c r="B12131" t="n" s="0">
        <f>(-5-((((-5*(-5/((-5/(((-5*(21.3--5))-(-5+((-5*21.3)*(((-5--5)+(21.3--5))+21.3))))-(-5+-5)))*-5)))/-5)--5)+(-5*(((21.3*(21.3-(-5/-5)))*(21.3-(21.3/(-5*21.3))))-(-5/-5)))))</f>
        <v>47457.505</v>
      </c>
      <c r="C12131" t="n" s="0">
        <v>47457.50500000001</v>
      </c>
    </row>
    <row r="12132">
      <c r="A12132" t="n" s="0">
        <v>21.31</v>
      </c>
      <c r="B12132" t="n" s="0">
        <f>(-5-((((-5*(-5/((-5/(((-5*(21.31--5))-(-5+((-5*21.31)*(((-5--5)+(21.31--5))+21.31))))-(-5+-5)))*-5)))/-5)--5)+(-5*(((21.31*(21.31-(-5/-5)))*(21.31-(21.31/(-5*21.31))))-(-5/-5)))))</f>
        <v>47524.768254999995</v>
      </c>
      <c r="C12132" t="n" s="0">
        <v>47524.768254999995</v>
      </c>
    </row>
    <row r="12133">
      <c r="A12133" t="n" s="0">
        <v>21.32</v>
      </c>
      <c r="B12133" t="n" s="0">
        <f>(-5-((((-5*(-5/((-5/(((-5*(21.32--5))-(-5+((-5*21.32)*(((-5--5)+(21.32--5))+21.32))))-(-5+-5)))*-5)))/-5)--5)+(-5*(((21.32*(21.32-(-5/-5)))*(21.32-(21.32/(-5*21.32))))-(-5/-5)))))</f>
        <v>47592.09504</v>
      </c>
      <c r="C12133" t="n" s="0">
        <v>47592.09504000001</v>
      </c>
    </row>
    <row r="12134">
      <c r="A12134" t="n" s="0">
        <v>21.33</v>
      </c>
      <c r="B12134" t="n" s="0">
        <f>(-5-((((-5*(-5/((-5/(((-5*(21.33--5))-(-5+((-5*21.33)*(((-5--5)+(21.33--5))+21.33))))-(-5+-5)))*-5)))/-5)--5)+(-5*(((21.33*(21.33-(-5/-5)))*(21.33-(21.33/(-5*21.33))))-(-5/-5)))))</f>
        <v>47659.48538500001</v>
      </c>
      <c r="C12134" t="n" s="0">
        <v>47659.485384999985</v>
      </c>
    </row>
    <row r="12135">
      <c r="A12135" t="n" s="0">
        <v>21.34</v>
      </c>
      <c r="B12135" t="n" s="0">
        <f>(-5-((((-5*(-5/((-5/(((-5*(21.34--5))-(-5+((-5*21.34)*(((-5--5)+(21.34--5))+21.34))))-(-5+-5)))*-5)))/-5)--5)+(-5*(((21.34*(21.34-(-5/-5)))*(21.34-(21.34/(-5*21.34))))-(-5/-5)))))</f>
        <v>47726.93932</v>
      </c>
      <c r="C12135" t="n" s="0">
        <v>47726.93932</v>
      </c>
    </row>
    <row r="12136">
      <c r="A12136" t="n" s="0">
        <v>21.35</v>
      </c>
      <c r="B12136" t="n" s="0">
        <f>(-5-((((-5*(-5/((-5/(((-5*(21.35--5))-(-5+((-5*21.35)*(((-5--5)+(21.35--5))+21.35))))-(-5+-5)))*-5)))/-5)--5)+(-5*(((21.35*(21.35-(-5/-5)))*(21.35-(21.35/(-5*21.35))))-(-5/-5)))))</f>
        <v>47794.456874999996</v>
      </c>
      <c r="C12136" t="n" s="0">
        <v>47794.45687500002</v>
      </c>
    </row>
    <row r="12137">
      <c r="A12137" t="n" s="0">
        <v>21.36</v>
      </c>
      <c r="B12137" t="n" s="0">
        <f>(-5-((((-5*(-5/((-5/(((-5*(21.36--5))-(-5+((-5*21.36)*(((-5--5)+(21.36--5))+21.36))))-(-5+-5)))*-5)))/-5)--5)+(-5*(((21.36*(21.36-(-5/-5)))*(21.36-(21.36/(-5*21.36))))-(-5/-5)))))</f>
        <v>47862.03808</v>
      </c>
      <c r="C12137" t="n" s="0">
        <v>47862.038080000006</v>
      </c>
    </row>
    <row r="12138">
      <c r="A12138" t="n" s="0">
        <v>21.37</v>
      </c>
      <c r="B12138" t="n" s="0">
        <f>(-5-((((-5*(-5/((-5/(((-5*(21.37--5))-(-5+((-5*21.37)*(((-5--5)+(21.37--5))+21.37))))-(-5+-5)))*-5)))/-5)--5)+(-5*(((21.37*(21.37-(-5/-5)))*(21.37-(21.37/(-5*21.37))))-(-5/-5)))))</f>
        <v>47929.682965</v>
      </c>
      <c r="C12138" t="n" s="0">
        <v>47929.68296500001</v>
      </c>
    </row>
    <row r="12139">
      <c r="A12139" t="n" s="0">
        <v>21.38</v>
      </c>
      <c r="B12139" t="n" s="0">
        <f>(-5-((((-5*(-5/((-5/(((-5*(21.38--5))-(-5+((-5*21.38)*(((-5--5)+(21.38--5))+21.38))))-(-5+-5)))*-5)))/-5)--5)+(-5*(((21.38*(21.38-(-5/-5)))*(21.38-(21.38/(-5*21.38))))-(-5/-5)))))</f>
        <v>47997.391560000004</v>
      </c>
      <c r="C12139" t="n" s="0">
        <v>47997.39156</v>
      </c>
    </row>
    <row r="12140">
      <c r="A12140" t="n" s="0">
        <v>21.39</v>
      </c>
      <c r="B12140" t="n" s="0">
        <f>(-5-((((-5*(-5/((-5/(((-5*(21.39--5))-(-5+((-5*21.39)*(((-5--5)+(21.39--5))+21.39))))-(-5+-5)))*-5)))/-5)--5)+(-5*(((21.39*(21.39-(-5/-5)))*(21.39-(21.39/(-5*21.39))))-(-5/-5)))))</f>
        <v>48065.163895</v>
      </c>
      <c r="C12140" t="n" s="0">
        <v>48065.163895000005</v>
      </c>
    </row>
    <row r="12141">
      <c r="A12141" t="n" s="0">
        <v>21.4</v>
      </c>
      <c r="B12141" t="n" s="0">
        <f>(-5-((((-5*(-5/((-5/(((-5*(21.4--5))-(-5+((-5*21.4)*(((-5--5)+(21.4--5))+21.4))))-(-5+-5)))*-5)))/-5)--5)+(-5*(((21.4*(21.4-(-5/-5)))*(21.4-(21.4/(-5*21.4))))-(-5/-5)))))</f>
        <v>48133.0</v>
      </c>
      <c r="C12141" t="n" s="0">
        <v>48132.999999999985</v>
      </c>
    </row>
    <row r="12142">
      <c r="A12142" t="n" s="0">
        <v>21.41</v>
      </c>
      <c r="B12142" t="n" s="0">
        <f>(-5-((((-5*(-5/((-5/(((-5*(21.41--5))-(-5+((-5*21.41)*(((-5--5)+(21.41--5))+21.41))))-(-5+-5)))*-5)))/-5)--5)+(-5*(((21.41*(21.41-(-5/-5)))*(21.41-(21.41/(-5*21.41))))-(-5/-5)))))</f>
        <v>48200.899905</v>
      </c>
      <c r="C12142" t="n" s="0">
        <v>48200.899905000006</v>
      </c>
    </row>
    <row r="12143">
      <c r="A12143" t="n" s="0">
        <v>21.42</v>
      </c>
      <c r="B12143" t="n" s="0">
        <f>(-5-((((-5*(-5/((-5/(((-5*(21.42--5))-(-5+((-5*21.42)*(((-5--5)+(21.42--5))+21.42))))-(-5+-5)))*-5)))/-5)--5)+(-5*(((21.42*(21.42-(-5/-5)))*(21.42-(21.42/(-5*21.42))))-(-5/-5)))))</f>
        <v>48268.86364</v>
      </c>
      <c r="C12143" t="n" s="0">
        <v>48268.86364000002</v>
      </c>
    </row>
    <row r="12144">
      <c r="A12144" t="n" s="0">
        <v>21.43</v>
      </c>
      <c r="B12144" t="n" s="0">
        <f>(-5-((((-5*(-5/((-5/(((-5*(21.43--5))-(-5+((-5*21.43)*(((-5--5)+(21.43--5))+21.43))))-(-5+-5)))*-5)))/-5)--5)+(-5*(((21.43*(21.43-(-5/-5)))*(21.43-(21.43/(-5*21.43))))-(-5/-5)))))</f>
        <v>48336.891234999996</v>
      </c>
      <c r="C12144" t="n" s="0">
        <v>48336.891234999996</v>
      </c>
    </row>
    <row r="12145">
      <c r="A12145" t="n" s="0">
        <v>21.44</v>
      </c>
      <c r="B12145" t="n" s="0">
        <f>(-5-((((-5*(-5/((-5/(((-5*(21.44--5))-(-5+((-5*21.44)*(((-5--5)+(21.44--5))+21.44))))-(-5+-5)))*-5)))/-5)--5)+(-5*(((21.44*(21.44-(-5/-5)))*(21.44-(21.44/(-5*21.44))))-(-5/-5)))))</f>
        <v>48404.98272</v>
      </c>
      <c r="C12145" t="n" s="0">
        <v>48404.98272000001</v>
      </c>
    </row>
    <row r="12146">
      <c r="A12146" t="n" s="0">
        <v>21.45</v>
      </c>
      <c r="B12146" t="n" s="0">
        <f>(-5-((((-5*(-5/((-5/(((-5*(21.45--5))-(-5+((-5*21.45)*(((-5--5)+(21.45--5))+21.45))))-(-5+-5)))*-5)))/-5)--5)+(-5*(((21.45*(21.45-(-5/-5)))*(21.45-(21.45/(-5*21.45))))-(-5/-5)))))</f>
        <v>48473.138125</v>
      </c>
      <c r="C12146" t="n" s="0">
        <v>48473.13812499999</v>
      </c>
    </row>
    <row r="12147">
      <c r="A12147" t="n" s="0">
        <v>21.46</v>
      </c>
      <c r="B12147" t="n" s="0">
        <f>(-5-((((-5*(-5/((-5/(((-5*(21.46--5))-(-5+((-5*21.46)*(((-5--5)+(21.46--5))+21.46))))-(-5+-5)))*-5)))/-5)--5)+(-5*(((21.46*(21.46-(-5/-5)))*(21.46-(21.46/(-5*21.46))))-(-5/-5)))))</f>
        <v>48541.35748</v>
      </c>
      <c r="C12147" t="n" s="0">
        <v>48541.357480000006</v>
      </c>
    </row>
    <row r="12148">
      <c r="A12148" t="n" s="0">
        <v>21.47</v>
      </c>
      <c r="B12148" t="n" s="0">
        <f>(-5-((((-5*(-5/((-5/(((-5*(21.47--5))-(-5+((-5*21.47)*(((-5--5)+(21.47--5))+21.47))))-(-5+-5)))*-5)))/-5)--5)+(-5*(((21.47*(21.47-(-5/-5)))*(21.47-(21.47/(-5*21.47))))-(-5/-5)))))</f>
        <v>48609.640815</v>
      </c>
      <c r="C12148" t="n" s="0">
        <v>48609.640815</v>
      </c>
    </row>
    <row r="12149">
      <c r="A12149" t="n" s="0">
        <v>21.48</v>
      </c>
      <c r="B12149" t="n" s="0">
        <f>(-5-((((-5*(-5/((-5/(((-5*(21.48--5))-(-5+((-5*21.48)*(((-5--5)+(21.48--5))+21.48))))-(-5+-5)))*-5)))/-5)--5)+(-5*(((21.48*(21.48-(-5/-5)))*(21.48-(21.48/(-5*21.48))))-(-5/-5)))))</f>
        <v>48677.98816</v>
      </c>
      <c r="C12149" t="n" s="0">
        <v>48677.98816</v>
      </c>
    </row>
    <row r="12150">
      <c r="A12150" t="n" s="0">
        <v>21.49</v>
      </c>
      <c r="B12150" t="n" s="0">
        <f>(-5-((((-5*(-5/((-5/(((-5*(21.49--5))-(-5+((-5*21.49)*(((-5--5)+(21.49--5))+21.49))))-(-5+-5)))*-5)))/-5)--5)+(-5*(((21.49*(21.49-(-5/-5)))*(21.49-(21.49/(-5*21.49))))-(-5/-5)))))</f>
        <v>48746.399545</v>
      </c>
      <c r="C12150" t="n" s="0">
        <v>48746.39954499999</v>
      </c>
    </row>
    <row r="12151">
      <c r="A12151" t="n" s="0">
        <v>21.5</v>
      </c>
      <c r="B12151" t="n" s="0">
        <f>(-5-((((-5*(-5/((-5/(((-5*(21.5--5))-(-5+((-5*21.5)*(((-5--5)+(21.5--5))+21.5))))-(-5+-5)))*-5)))/-5)--5)+(-5*(((21.5*(21.5-(-5/-5)))*(21.5-(21.5/(-5*21.5))))-(-5/-5)))))</f>
        <v>48814.875</v>
      </c>
      <c r="C12151" t="n" s="0">
        <v>48814.875</v>
      </c>
    </row>
    <row r="12152">
      <c r="A12152" t="n" s="0">
        <v>21.51</v>
      </c>
      <c r="B12152" t="n" s="0">
        <f>(-5-((((-5*(-5/((-5/(((-5*(21.51--5))-(-5+((-5*21.51)*(((-5--5)+(21.51--5))+21.51))))-(-5+-5)))*-5)))/-5)--5)+(-5*(((21.51*(21.51-(-5/-5)))*(21.51-(21.51/(-5*21.51))))-(-5/-5)))))</f>
        <v>48883.414554999996</v>
      </c>
      <c r="C12152" t="n" s="0">
        <v>48883.414555</v>
      </c>
    </row>
    <row r="12153">
      <c r="A12153" t="n" s="0">
        <v>21.52</v>
      </c>
      <c r="B12153" t="n" s="0">
        <f>(-5-((((-5*(-5/((-5/(((-5*(21.52--5))-(-5+((-5*21.52)*(((-5--5)+(21.52--5))+21.52))))-(-5+-5)))*-5)))/-5)--5)+(-5*(((21.52*(21.52-(-5/-5)))*(21.52-(21.52/(-5*21.52))))-(-5/-5)))))</f>
        <v>48952.01824</v>
      </c>
      <c r="C12153" t="n" s="0">
        <v>48952.01823999999</v>
      </c>
    </row>
    <row r="12154">
      <c r="A12154" t="n" s="0">
        <v>21.53</v>
      </c>
      <c r="B12154" t="n" s="0">
        <f>(-5-((((-5*(-5/((-5/(((-5*(21.53--5))-(-5+((-5*21.53)*(((-5--5)+(21.53--5))+21.53))))-(-5+-5)))*-5)))/-5)--5)+(-5*(((21.53*(21.53-(-5/-5)))*(21.53-(21.53/(-5*21.53))))-(-5/-5)))))</f>
        <v>49020.686085</v>
      </c>
      <c r="C12154" t="n" s="0">
        <v>49020.68608500001</v>
      </c>
    </row>
    <row r="12155">
      <c r="A12155" t="n" s="0">
        <v>21.54</v>
      </c>
      <c r="B12155" t="n" s="0">
        <f>(-5-((((-5*(-5/((-5/(((-5*(21.54--5))-(-5+((-5*21.54)*(((-5--5)+(21.54--5))+21.54))))-(-5+-5)))*-5)))/-5)--5)+(-5*(((21.54*(21.54-(-5/-5)))*(21.54-(21.54/(-5*21.54))))-(-5/-5)))))</f>
        <v>49089.418119999995</v>
      </c>
      <c r="C12155" t="n" s="0">
        <v>49089.418119999995</v>
      </c>
    </row>
    <row r="12156">
      <c r="A12156" t="n" s="0">
        <v>21.55</v>
      </c>
      <c r="B12156" t="n" s="0">
        <f>(-5-((((-5*(-5/((-5/(((-5*(21.55--5))-(-5+((-5*21.55)*(((-5--5)+(21.55--5))+21.55))))-(-5+-5)))*-5)))/-5)--5)+(-5*(((21.55*(21.55-(-5/-5)))*(21.55-(21.55/(-5*21.55))))-(-5/-5)))))</f>
        <v>49158.214374999996</v>
      </c>
      <c r="C12156" t="n" s="0">
        <v>49158.21437500001</v>
      </c>
    </row>
    <row r="12157">
      <c r="A12157" t="n" s="0">
        <v>21.56</v>
      </c>
      <c r="B12157" t="n" s="0">
        <f>(-5-((((-5*(-5/((-5/(((-5*(21.56--5))-(-5+((-5*21.56)*(((-5--5)+(21.56--5))+21.56))))-(-5+-5)))*-5)))/-5)--5)+(-5*(((21.56*(21.56-(-5/-5)))*(21.56-(21.56/(-5*21.56))))-(-5/-5)))))</f>
        <v>49227.07488</v>
      </c>
      <c r="C12157" t="n" s="0">
        <v>49227.07487999999</v>
      </c>
    </row>
    <row r="12158">
      <c r="A12158" t="n" s="0">
        <v>21.57</v>
      </c>
      <c r="B12158" t="n" s="0">
        <f>(-5-((((-5*(-5/((-5/(((-5*(21.57--5))-(-5+((-5*21.57)*(((-5--5)+(21.57--5))+21.57))))-(-5+-5)))*-5)))/-5)--5)+(-5*(((21.57*(21.57-(-5/-5)))*(21.57-(21.57/(-5*21.57))))-(-5/-5)))))</f>
        <v>49295.999665</v>
      </c>
      <c r="C12158" t="n" s="0">
        <v>49295.99966500001</v>
      </c>
    </row>
    <row r="12159">
      <c r="A12159" t="n" s="0">
        <v>21.58</v>
      </c>
      <c r="B12159" t="n" s="0">
        <f>(-5-((((-5*(-5/((-5/(((-5*(21.58--5))-(-5+((-5*21.58)*(((-5--5)+(21.58--5))+21.58))))-(-5+-5)))*-5)))/-5)--5)+(-5*(((21.58*(21.58-(-5/-5)))*(21.58-(21.58/(-5*21.58))))-(-5/-5)))))</f>
        <v>49364.98876</v>
      </c>
      <c r="C12159" t="n" s="0">
        <v>49364.988759999986</v>
      </c>
    </row>
    <row r="12160">
      <c r="A12160" t="n" s="0">
        <v>21.59</v>
      </c>
      <c r="B12160" t="n" s="0">
        <f>(-5-((((-5*(-5/((-5/(((-5*(21.59--5))-(-5+((-5*21.59)*(((-5--5)+(21.59--5))+21.59))))-(-5+-5)))*-5)))/-5)--5)+(-5*(((21.59*(21.59-(-5/-5)))*(21.59-(21.59/(-5*21.59))))-(-5/-5)))))</f>
        <v>49434.042194999995</v>
      </c>
      <c r="C12160" t="n" s="0">
        <v>49434.042194999995</v>
      </c>
    </row>
    <row r="12161">
      <c r="A12161" t="n" s="0">
        <v>21.6</v>
      </c>
      <c r="B12161" t="n" s="0">
        <f>(-5-((((-5*(-5/((-5/(((-5*(21.6--5))-(-5+((-5*21.6)*(((-5--5)+(21.6--5))+21.6))))-(-5+-5)))*-5)))/-5)--5)+(-5*(((21.6*(21.6-(-5/-5)))*(21.6-(21.6/(-5*21.6))))-(-5/-5)))))</f>
        <v>49503.159999999996</v>
      </c>
      <c r="C12161" t="n" s="0">
        <v>49503.16000000001</v>
      </c>
    </row>
    <row r="12162">
      <c r="A12162" t="n" s="0">
        <v>21.61</v>
      </c>
      <c r="B12162" t="n" s="0">
        <f>(-5-((((-5*(-5/((-5/(((-5*(21.61--5))-(-5+((-5*21.61)*(((-5--5)+(21.61--5))+21.61))))-(-5+-5)))*-5)))/-5)--5)+(-5*(((21.61*(21.61-(-5/-5)))*(21.61-(21.61/(-5*21.61))))-(-5/-5)))))</f>
        <v>49572.342205</v>
      </c>
      <c r="C12162" t="n" s="0">
        <v>49572.342205</v>
      </c>
    </row>
    <row r="12163">
      <c r="A12163" t="n" s="0">
        <v>21.62</v>
      </c>
      <c r="B12163" t="n" s="0">
        <f>(-5-((((-5*(-5/((-5/(((-5*(21.62--5))-(-5+((-5*21.62)*(((-5--5)+(21.62--5))+21.62))))-(-5+-5)))*-5)))/-5)--5)+(-5*(((21.62*(21.62-(-5/-5)))*(21.62-(21.62/(-5*21.62))))-(-5/-5)))))</f>
        <v>49641.588840000004</v>
      </c>
      <c r="C12163" t="n" s="0">
        <v>49641.588840000004</v>
      </c>
    </row>
    <row r="12164">
      <c r="A12164" t="n" s="0">
        <v>21.63</v>
      </c>
      <c r="B12164" t="n" s="0">
        <f>(-5-((((-5*(-5/((-5/(((-5*(21.63--5))-(-5+((-5*21.63)*(((-5--5)+(21.63--5))+21.63))))-(-5+-5)))*-5)))/-5)--5)+(-5*(((21.63*(21.63-(-5/-5)))*(21.63-(21.63/(-5*21.63))))-(-5/-5)))))</f>
        <v>49710.899935</v>
      </c>
      <c r="C12164" t="n" s="0">
        <v>49710.899934999994</v>
      </c>
    </row>
    <row r="12165">
      <c r="A12165" t="n" s="0">
        <v>21.64</v>
      </c>
      <c r="B12165" t="n" s="0">
        <f>(-5-((((-5*(-5/((-5/(((-5*(21.64--5))-(-5+((-5*21.64)*(((-5--5)+(21.64--5))+21.64))))-(-5+-5)))*-5)))/-5)--5)+(-5*(((21.64*(21.64-(-5/-5)))*(21.64-(21.64/(-5*21.64))))-(-5/-5)))))</f>
        <v>49780.275519999996</v>
      </c>
      <c r="C12165" t="n" s="0">
        <v>49780.27552</v>
      </c>
    </row>
    <row r="12166">
      <c r="A12166" t="n" s="0">
        <v>21.65</v>
      </c>
      <c r="B12166" t="n" s="0">
        <f>(-5-((((-5*(-5/((-5/(((-5*(21.65--5))-(-5+((-5*21.65)*(((-5--5)+(21.65--5))+21.65))))-(-5+-5)))*-5)))/-5)--5)+(-5*(((21.65*(21.65-(-5/-5)))*(21.65-(21.65/(-5*21.65))))-(-5/-5)))))</f>
        <v>49849.715625</v>
      </c>
      <c r="C12166" t="n" s="0">
        <v>49849.71562499998</v>
      </c>
    </row>
    <row r="12167">
      <c r="A12167" t="n" s="0">
        <v>21.66</v>
      </c>
      <c r="B12167" t="n" s="0">
        <f>(-5-((((-5*(-5/((-5/(((-5*(21.66--5))-(-5+((-5*21.66)*(((-5--5)+(21.66--5))+21.66))))-(-5+-5)))*-5)))/-5)--5)+(-5*(((21.66*(21.66-(-5/-5)))*(21.66-(21.66/(-5*21.66))))-(-5/-5)))))</f>
        <v>49919.22028</v>
      </c>
      <c r="C12167" t="n" s="0">
        <v>49919.22028000001</v>
      </c>
    </row>
    <row r="12168">
      <c r="A12168" t="n" s="0">
        <v>21.67</v>
      </c>
      <c r="B12168" t="n" s="0">
        <f>(-5-((((-5*(-5/((-5/(((-5*(21.67--5))-(-5+((-5*21.67)*(((-5--5)+(21.67--5))+21.67))))-(-5+-5)))*-5)))/-5)--5)+(-5*(((21.67*(21.67-(-5/-5)))*(21.67-(21.67/(-5*21.67))))-(-5/-5)))))</f>
        <v>49988.789515</v>
      </c>
      <c r="C12168" t="n" s="0">
        <v>49988.78951500001</v>
      </c>
    </row>
    <row r="12169">
      <c r="A12169" t="n" s="0">
        <v>21.68</v>
      </c>
      <c r="B12169" t="n" s="0">
        <f>(-5-((((-5*(-5/((-5/(((-5*(21.68--5))-(-5+((-5*21.68)*(((-5--5)+(21.68--5))+21.68))))-(-5+-5)))*-5)))/-5)--5)+(-5*(((21.68*(21.68-(-5/-5)))*(21.68-(21.68/(-5*21.68))))-(-5/-5)))))</f>
        <v>50058.42336</v>
      </c>
      <c r="C12169" t="n" s="0">
        <v>50058.42336</v>
      </c>
    </row>
    <row r="12170">
      <c r="A12170" t="n" s="0">
        <v>21.69</v>
      </c>
      <c r="B12170" t="n" s="0">
        <f>(-5-((((-5*(-5/((-5/(((-5*(21.69--5))-(-5+((-5*21.69)*(((-5--5)+(21.69--5))+21.69))))-(-5+-5)))*-5)))/-5)--5)+(-5*(((21.69*(21.69-(-5/-5)))*(21.69-(21.69/(-5*21.69))))-(-5/-5)))))</f>
        <v>50128.121845</v>
      </c>
      <c r="C12170" t="n" s="0">
        <v>50128.12184500001</v>
      </c>
    </row>
    <row r="12171">
      <c r="A12171" t="n" s="0">
        <v>21.7</v>
      </c>
      <c r="B12171" t="n" s="0">
        <f>(-5-((((-5*(-5/((-5/(((-5*(21.7--5))-(-5+((-5*21.7)*(((-5--5)+(21.7--5))+21.7))))-(-5+-5)))*-5)))/-5)--5)+(-5*(((21.7*(21.7-(-5/-5)))*(21.7-(21.7/(-5*21.7))))-(-5/-5)))))</f>
        <v>50197.885</v>
      </c>
      <c r="C12171" t="n" s="0">
        <v>50197.88499999999</v>
      </c>
    </row>
    <row r="12172">
      <c r="A12172" t="n" s="0">
        <v>21.71</v>
      </c>
      <c r="B12172" t="n" s="0">
        <f>(-5-((((-5*(-5/((-5/(((-5*(21.71--5))-(-5+((-5*21.71)*(((-5--5)+(21.71--5))+21.71))))-(-5+-5)))*-5)))/-5)--5)+(-5*(((21.71*(21.71-(-5/-5)))*(21.71-(21.71/(-5*21.71))))-(-5/-5)))))</f>
        <v>50267.712855</v>
      </c>
      <c r="C12172" t="n" s="0">
        <v>50267.712855</v>
      </c>
    </row>
    <row r="12173">
      <c r="A12173" t="n" s="0">
        <v>21.72</v>
      </c>
      <c r="B12173" t="n" s="0">
        <f>(-5-((((-5*(-5/((-5/(((-5*(21.72--5))-(-5+((-5*21.72)*(((-5--5)+(21.72--5))+21.72))))-(-5+-5)))*-5)))/-5)--5)+(-5*(((21.72*(21.72-(-5/-5)))*(21.72-(21.72/(-5*21.72))))-(-5/-5)))))</f>
        <v>50337.60544</v>
      </c>
      <c r="C12173" t="n" s="0">
        <v>50337.60543999999</v>
      </c>
    </row>
    <row r="12174">
      <c r="A12174" t="n" s="0">
        <v>21.73</v>
      </c>
      <c r="B12174" t="n" s="0">
        <f>(-5-((((-5*(-5/((-5/(((-5*(21.73--5))-(-5+((-5*21.73)*(((-5--5)+(21.73--5))+21.73))))-(-5+-5)))*-5)))/-5)--5)+(-5*(((21.73*(21.73-(-5/-5)))*(21.73-(21.73/(-5*21.73))))-(-5/-5)))))</f>
        <v>50407.562785</v>
      </c>
      <c r="C12174" t="n" s="0">
        <v>50407.562785</v>
      </c>
    </row>
    <row r="12175">
      <c r="A12175" t="n" s="0">
        <v>21.74</v>
      </c>
      <c r="B12175" t="n" s="0">
        <f>(-5-((((-5*(-5/((-5/(((-5*(21.74--5))-(-5+((-5*21.74)*(((-5--5)+(21.74--5))+21.74))))-(-5+-5)))*-5)))/-5)--5)+(-5*(((21.74*(21.74-(-5/-5)))*(21.74-(21.74/(-5*21.74))))-(-5/-5)))))</f>
        <v>50477.58492</v>
      </c>
      <c r="C12175" t="n" s="0">
        <v>50477.584919999994</v>
      </c>
    </row>
    <row r="12176">
      <c r="A12176" t="n" s="0">
        <v>21.75</v>
      </c>
      <c r="B12176" t="n" s="0">
        <f>(-5-((((-5*(-5/((-5/(((-5*(21.75--5))-(-5+((-5*21.75)*(((-5--5)+(21.75--5))+21.75))))-(-5+-5)))*-5)))/-5)--5)+(-5*(((21.75*(21.75-(-5/-5)))*(21.75-(21.75/(-5*21.75))))-(-5/-5)))))</f>
        <v>50547.671875</v>
      </c>
      <c r="C12176" t="n" s="0">
        <v>50547.671875</v>
      </c>
    </row>
    <row r="12177">
      <c r="A12177" t="n" s="0">
        <v>21.76</v>
      </c>
      <c r="B12177" t="n" s="0">
        <f>(-5-((((-5*(-5/((-5/(((-5*(21.76--5))-(-5+((-5*21.76)*(((-5--5)+(21.76--5))+21.76))))-(-5+-5)))*-5)))/-5)--5)+(-5*(((21.76*(21.76-(-5/-5)))*(21.76-(21.76/(-5*21.76))))-(-5/-5)))))</f>
        <v>50617.82368</v>
      </c>
      <c r="C12177" t="n" s="0">
        <v>50617.82368000001</v>
      </c>
    </row>
    <row r="12178">
      <c r="A12178" t="n" s="0">
        <v>21.77</v>
      </c>
      <c r="B12178" t="n" s="0">
        <f>(-5-((((-5*(-5/((-5/(((-5*(21.77--5))-(-5+((-5*21.77)*(((-5--5)+(21.77--5))+21.77))))-(-5+-5)))*-5)))/-5)--5)+(-5*(((21.77*(21.77-(-5/-5)))*(21.77-(21.77/(-5*21.77))))-(-5/-5)))))</f>
        <v>50688.040365</v>
      </c>
      <c r="C12178" t="n" s="0">
        <v>50688.04036499999</v>
      </c>
    </row>
    <row r="12179">
      <c r="A12179" t="n" s="0">
        <v>21.78</v>
      </c>
      <c r="B12179" t="n" s="0">
        <f>(-5-((((-5*(-5/((-5/(((-5*(21.78--5))-(-5+((-5*21.78)*(((-5--5)+(21.78--5))+21.78))))-(-5+-5)))*-5)))/-5)--5)+(-5*(((21.78*(21.78-(-5/-5)))*(21.78-(21.78/(-5*21.78))))-(-5/-5)))))</f>
        <v>50758.32196</v>
      </c>
      <c r="C12179" t="n" s="0">
        <v>50758.32196000001</v>
      </c>
    </row>
    <row r="12180">
      <c r="A12180" t="n" s="0">
        <v>21.79</v>
      </c>
      <c r="B12180" t="n" s="0">
        <f>(-5-((((-5*(-5/((-5/(((-5*(21.79--5))-(-5+((-5*21.79)*(((-5--5)+(21.79--5))+21.79))))-(-5+-5)))*-5)))/-5)--5)+(-5*(((21.79*(21.79-(-5/-5)))*(21.79-(21.79/(-5*21.79))))-(-5/-5)))))</f>
        <v>50828.668495</v>
      </c>
      <c r="C12180" t="n" s="0">
        <v>50828.66849499999</v>
      </c>
    </row>
    <row r="12181">
      <c r="A12181" t="n" s="0">
        <v>21.8</v>
      </c>
      <c r="B12181" t="n" s="0">
        <f>(-5-((((-5*(-5/((-5/(((-5*(21.8--5))-(-5+((-5*21.8)*(((-5--5)+(21.8--5))+21.8))))-(-5+-5)))*-5)))/-5)--5)+(-5*(((21.8*(21.8-(-5/-5)))*(21.8-(21.8/(-5*21.8))))-(-5/-5)))))</f>
        <v>50899.08</v>
      </c>
      <c r="C12181" t="n" s="0">
        <v>50899.08000000001</v>
      </c>
    </row>
    <row r="12182">
      <c r="A12182" t="n" s="0">
        <v>21.81</v>
      </c>
      <c r="B12182" t="n" s="0">
        <f>(-5-((((-5*(-5/((-5/(((-5*(21.81--5))-(-5+((-5*21.81)*(((-5--5)+(21.81--5))+21.81))))-(-5+-5)))*-5)))/-5)--5)+(-5*(((21.81*(21.81-(-5/-5)))*(21.81-(21.81/(-5*21.81))))-(-5/-5)))))</f>
        <v>50969.556505</v>
      </c>
      <c r="C12182" t="n" s="0">
        <v>50969.55650499999</v>
      </c>
    </row>
    <row r="12183">
      <c r="A12183" t="n" s="0">
        <v>21.82</v>
      </c>
      <c r="B12183" t="n" s="0">
        <f>(-5-((((-5*(-5/((-5/(((-5*(21.82--5))-(-5+((-5*21.82)*(((-5--5)+(21.82--5))+21.82))))-(-5+-5)))*-5)))/-5)--5)+(-5*(((21.82*(21.82-(-5/-5)))*(21.82-(21.82/(-5*21.82))))-(-5/-5)))))</f>
        <v>51040.098040000004</v>
      </c>
      <c r="C12183" t="n" s="0">
        <v>51040.09804</v>
      </c>
    </row>
    <row r="12184">
      <c r="A12184" t="n" s="0">
        <v>21.83</v>
      </c>
      <c r="B12184" t="n" s="0">
        <f>(-5-((((-5*(-5/((-5/(((-5*(21.83--5))-(-5+((-5*21.83)*(((-5--5)+(21.83--5))+21.83))))-(-5+-5)))*-5)))/-5)--5)+(-5*(((21.83*(21.83-(-5/-5)))*(21.83-(21.83/(-5*21.83))))-(-5/-5)))))</f>
        <v>51110.704635</v>
      </c>
      <c r="C12184" t="n" s="0">
        <v>51110.70463499998</v>
      </c>
    </row>
    <row r="12185">
      <c r="A12185" t="n" s="0">
        <v>21.84</v>
      </c>
      <c r="B12185" t="n" s="0">
        <f>(-5-((((-5*(-5/((-5/(((-5*(21.84--5))-(-5+((-5*21.84)*(((-5--5)+(21.84--5))+21.84))))-(-5+-5)))*-5)))/-5)--5)+(-5*(((21.84*(21.84-(-5/-5)))*(21.84-(21.84/(-5*21.84))))-(-5/-5)))))</f>
        <v>51181.37632</v>
      </c>
      <c r="C12185" t="n" s="0">
        <v>51181.376319999996</v>
      </c>
    </row>
    <row r="12186">
      <c r="A12186" t="n" s="0">
        <v>21.85</v>
      </c>
      <c r="B12186" t="n" s="0">
        <f>(-5-((((-5*(-5/((-5/(((-5*(21.85--5))-(-5+((-5*21.85)*(((-5--5)+(21.85--5))+21.85))))-(-5+-5)))*-5)))/-5)--5)+(-5*(((21.85*(21.85-(-5/-5)))*(21.85-(21.85/(-5*21.85))))-(-5/-5)))))</f>
        <v>51252.113125</v>
      </c>
      <c r="C12186" t="n" s="0">
        <v>51252.11312500002</v>
      </c>
    </row>
    <row r="12187">
      <c r="A12187" t="n" s="0">
        <v>21.86</v>
      </c>
      <c r="B12187" t="n" s="0">
        <f>(-5-((((-5*(-5/((-5/(((-5*(21.86--5))-(-5+((-5*21.86)*(((-5--5)+(21.86--5))+21.86))))-(-5+-5)))*-5)))/-5)--5)+(-5*(((21.86*(21.86-(-5/-5)))*(21.86-(21.86/(-5*21.86))))-(-5/-5)))))</f>
        <v>51322.91508</v>
      </c>
      <c r="C12187" t="n" s="0">
        <v>51322.91508</v>
      </c>
    </row>
    <row r="12188">
      <c r="A12188" t="n" s="0">
        <v>21.87</v>
      </c>
      <c r="B12188" t="n" s="0">
        <f>(-5-((((-5*(-5/((-5/(((-5*(21.87--5))-(-5+((-5*21.87)*(((-5--5)+(21.87--5))+21.87))))-(-5+-5)))*-5)))/-5)--5)+(-5*(((21.87*(21.87-(-5/-5)))*(21.87-(21.87/(-5*21.87))))-(-5/-5)))))</f>
        <v>51393.782215</v>
      </c>
      <c r="C12188" t="n" s="0">
        <v>51393.782215</v>
      </c>
    </row>
    <row r="12189">
      <c r="A12189" t="n" s="0">
        <v>21.88</v>
      </c>
      <c r="B12189" t="n" s="0">
        <f>(-5-((((-5*(-5/((-5/(((-5*(21.88--5))-(-5+((-5*21.88)*(((-5--5)+(21.88--5))+21.88))))-(-5+-5)))*-5)))/-5)--5)+(-5*(((21.88*(21.88-(-5/-5)))*(21.88-(21.88/(-5*21.88))))-(-5/-5)))))</f>
        <v>51464.71456</v>
      </c>
      <c r="C12189" t="n" s="0">
        <v>51464.71455999999</v>
      </c>
    </row>
    <row r="12190">
      <c r="A12190" t="n" s="0">
        <v>21.89</v>
      </c>
      <c r="B12190" t="n" s="0">
        <f>(-5-((((-5*(-5/((-5/(((-5*(21.89--5))-(-5+((-5*21.89)*(((-5--5)+(21.89--5))+21.89))))-(-5+-5)))*-5)))/-5)--5)+(-5*(((21.89*(21.89-(-5/-5)))*(21.89-(21.89/(-5*21.89))))-(-5/-5)))))</f>
        <v>51535.712145</v>
      </c>
      <c r="C12190" t="n" s="0">
        <v>51535.712145000005</v>
      </c>
    </row>
    <row r="12191">
      <c r="A12191" t="n" s="0">
        <v>21.9</v>
      </c>
      <c r="B12191" t="n" s="0">
        <f>(-5-((((-5*(-5/((-5/(((-5*(21.9--5))-(-5+((-5*21.9)*(((-5--5)+(21.9--5))+21.9))))-(-5+-5)))*-5)))/-5)--5)+(-5*(((21.9*(21.9-(-5/-5)))*(21.9-(21.9/(-5*21.9))))-(-5/-5)))))</f>
        <v>51606.775</v>
      </c>
      <c r="C12191" t="n" s="0">
        <v>51606.77499999998</v>
      </c>
    </row>
    <row r="12192">
      <c r="A12192" t="n" s="0">
        <v>21.91</v>
      </c>
      <c r="B12192" t="n" s="0">
        <f>(-5-((((-5*(-5/((-5/(((-5*(21.91--5))-(-5+((-5*21.91)*(((-5--5)+(21.91--5))+21.91))))-(-5+-5)))*-5)))/-5)--5)+(-5*(((21.91*(21.91-(-5/-5)))*(21.91-(21.91/(-5*21.91))))-(-5/-5)))))</f>
        <v>51677.903155</v>
      </c>
      <c r="C12192" t="n" s="0">
        <v>51677.903155</v>
      </c>
    </row>
    <row r="12193">
      <c r="A12193" t="n" s="0">
        <v>21.92</v>
      </c>
      <c r="B12193" t="n" s="0">
        <f>(-5-((((-5*(-5/((-5/(((-5*(21.92--5))-(-5+((-5*21.92)*(((-5--5)+(21.92--5))+21.92))))-(-5+-5)))*-5)))/-5)--5)+(-5*(((21.92*(21.92-(-5/-5)))*(21.92-(21.92/(-5*21.92))))-(-5/-5)))))</f>
        <v>51749.09664</v>
      </c>
      <c r="C12193" t="n" s="0">
        <v>51749.09664000001</v>
      </c>
    </row>
    <row r="12194">
      <c r="A12194" t="n" s="0">
        <v>21.93</v>
      </c>
      <c r="B12194" t="n" s="0">
        <f>(-5-((((-5*(-5/((-5/(((-5*(21.93--5))-(-5+((-5*21.93)*(((-5--5)+(21.93--5))+21.93))))-(-5+-5)))*-5)))/-5)--5)+(-5*(((21.93*(21.93-(-5/-5)))*(21.93-(21.93/(-5*21.93))))-(-5/-5)))))</f>
        <v>51820.355485</v>
      </c>
      <c r="C12194" t="n" s="0">
        <v>51820.355485</v>
      </c>
    </row>
    <row r="12195">
      <c r="A12195" t="n" s="0">
        <v>21.94</v>
      </c>
      <c r="B12195" t="n" s="0">
        <f>(-5-((((-5*(-5/((-5/(((-5*(21.94--5))-(-5+((-5*21.94)*(((-5--5)+(21.94--5))+21.94))))-(-5+-5)))*-5)))/-5)--5)+(-5*(((21.94*(21.94-(-5/-5)))*(21.94-(21.94/(-5*21.94))))-(-5/-5)))))</f>
        <v>51891.67972</v>
      </c>
      <c r="C12195" t="n" s="0">
        <v>51891.67972</v>
      </c>
    </row>
    <row r="12196">
      <c r="A12196" t="n" s="0">
        <v>21.95</v>
      </c>
      <c r="B12196" t="n" s="0">
        <f>(-5-((((-5*(-5/((-5/(((-5*(21.95--5))-(-5+((-5*21.95)*(((-5--5)+(21.95--5))+21.95))))-(-5+-5)))*-5)))/-5)--5)+(-5*(((21.95*(21.95-(-5/-5)))*(21.95-(21.95/(-5*21.95))))-(-5/-5)))))</f>
        <v>51963.069375</v>
      </c>
      <c r="C12196" t="n" s="0">
        <v>51963.069374999985</v>
      </c>
    </row>
    <row r="12197">
      <c r="A12197" t="n" s="0">
        <v>21.96</v>
      </c>
      <c r="B12197" t="n" s="0">
        <f>(-5-((((-5*(-5/((-5/(((-5*(21.96--5))-(-5+((-5*21.96)*(((-5--5)+(21.96--5))+21.96))))-(-5+-5)))*-5)))/-5)--5)+(-5*(((21.96*(21.96-(-5/-5)))*(21.96-(21.96/(-5*21.96))))-(-5/-5)))))</f>
        <v>52034.52448</v>
      </c>
      <c r="C12197" t="n" s="0">
        <v>52034.52448</v>
      </c>
    </row>
    <row r="12198">
      <c r="A12198" t="n" s="0">
        <v>21.97</v>
      </c>
      <c r="B12198" t="n" s="0">
        <f>(-5-((((-5*(-5/((-5/(((-5*(21.97--5))-(-5+((-5*21.97)*(((-5--5)+(21.97--5))+21.97))))-(-5+-5)))*-5)))/-5)--5)+(-5*(((21.97*(21.97-(-5/-5)))*(21.97-(21.97/(-5*21.97))))-(-5/-5)))))</f>
        <v>52106.045065000006</v>
      </c>
      <c r="C12198" t="n" s="0">
        <v>52106.045065</v>
      </c>
    </row>
    <row r="12199">
      <c r="A12199" t="n" s="0">
        <v>21.98</v>
      </c>
      <c r="B12199" t="n" s="0">
        <f>(-5-((((-5*(-5/((-5/(((-5*(21.98--5))-(-5+((-5*21.98)*(((-5--5)+(21.98--5))+21.98))))-(-5+-5)))*-5)))/-5)--5)+(-5*(((21.98*(21.98-(-5/-5)))*(21.98-(21.98/(-5*21.98))))-(-5/-5)))))</f>
        <v>52177.63116</v>
      </c>
      <c r="C12199" t="n" s="0">
        <v>52177.631160000004</v>
      </c>
    </row>
    <row r="12200">
      <c r="A12200" t="n" s="0">
        <v>21.99</v>
      </c>
      <c r="B12200" t="n" s="0">
        <f>(-5-((((-5*(-5/((-5/(((-5*(21.99--5))-(-5+((-5*21.99)*(((-5--5)+(21.99--5))+21.99))))-(-5+-5)))*-5)))/-5)--5)+(-5*(((21.99*(21.99-(-5/-5)))*(21.99-(21.99/(-5*21.99))))-(-5/-5)))))</f>
        <v>52249.282795</v>
      </c>
      <c r="C12200" t="n" s="0">
        <v>52249.28279499999</v>
      </c>
    </row>
    <row r="12201">
      <c r="A12201" t="n" s="0">
        <v>22.0</v>
      </c>
      <c r="B12201" t="n" s="0">
        <f>(-5-((((-5*(-5/((-5/(((-5*(22--5))-(-5+((-5*22)*(((-5--5)+(22--5))+22))))-(-5+-5)))*-5)))/-5)--5)+(-5*(((22*(22-(-5/-5)))*(22-(22/(-5*22))))-(-5/-5)))))</f>
        <v>52321.0</v>
      </c>
      <c r="C12201" t="n" s="0">
        <v>52321.0</v>
      </c>
    </row>
    <row r="12202">
      <c r="A12202" t="n" s="0">
        <v>22.01</v>
      </c>
      <c r="B12202" t="n" s="0">
        <f>(-5-((((-5*(-5/((-5/(((-5*(22.01--5))-(-5+((-5*22.01)*(((-5--5)+(22.01--5))+22.01))))-(-5+-5)))*-5)))/-5)--5)+(-5*(((22.01*(22.01-(-5/-5)))*(22.01-(22.01/(-5*22.01))))-(-5/-5)))))</f>
        <v>52392.782805</v>
      </c>
      <c r="C12202" t="n" s="0">
        <v>52392.78280500001</v>
      </c>
    </row>
    <row r="12203">
      <c r="A12203" t="n" s="0">
        <v>22.02</v>
      </c>
      <c r="B12203" t="n" s="0">
        <f>(-5-((((-5*(-5/((-5/(((-5*(22.02--5))-(-5+((-5*22.02)*(((-5--5)+(22.02--5))+22.02))))-(-5+-5)))*-5)))/-5)--5)+(-5*(((22.02*(22.02-(-5/-5)))*(22.02-(22.02/(-5*22.02))))-(-5/-5)))))</f>
        <v>52464.631239999995</v>
      </c>
      <c r="C12203" t="n" s="0">
        <v>52464.63123999999</v>
      </c>
    </row>
    <row r="12204">
      <c r="A12204" t="n" s="0">
        <v>22.03</v>
      </c>
      <c r="B12204" t="n" s="0">
        <f>(-5-((((-5*(-5/((-5/(((-5*(22.03--5))-(-5+((-5*22.03)*(((-5--5)+(22.03--5))+22.03))))-(-5+-5)))*-5)))/-5)--5)+(-5*(((22.03*(22.03-(-5/-5)))*(22.03-(22.03/(-5*22.03))))-(-5/-5)))))</f>
        <v>52536.545335</v>
      </c>
      <c r="C12204" t="n" s="0">
        <v>52536.545335</v>
      </c>
    </row>
    <row r="12205">
      <c r="A12205" t="n" s="0">
        <v>22.04</v>
      </c>
      <c r="B12205" t="n" s="0">
        <f>(-5-((((-5*(-5/((-5/(((-5*(22.04--5))-(-5+((-5*22.04)*(((-5--5)+(22.04--5))+22.04))))-(-5+-5)))*-5)))/-5)--5)+(-5*(((22.04*(22.04-(-5/-5)))*(22.04-(22.04/(-5*22.04))))-(-5/-5)))))</f>
        <v>52608.52512</v>
      </c>
      <c r="C12205" t="n" s="0">
        <v>52608.52511999999</v>
      </c>
    </row>
    <row r="12206">
      <c r="A12206" t="n" s="0">
        <v>22.05</v>
      </c>
      <c r="B12206" t="n" s="0">
        <f>(-5-((((-5*(-5/((-5/(((-5*(22.05--5))-(-5+((-5*22.05)*(((-5--5)+(22.05--5))+22.05))))-(-5+-5)))*-5)))/-5)--5)+(-5*(((22.05*(22.05-(-5/-5)))*(22.05-(22.05/(-5*22.05))))-(-5/-5)))))</f>
        <v>52680.570625</v>
      </c>
      <c r="C12206" t="n" s="0">
        <v>52680.570625000015</v>
      </c>
    </row>
    <row r="12207">
      <c r="A12207" t="n" s="0">
        <v>22.06</v>
      </c>
      <c r="B12207" t="n" s="0">
        <f>(-5-((((-5*(-5/((-5/(((-5*(22.06--5))-(-5+((-5*22.06)*(((-5--5)+(22.06--5))+22.06))))-(-5+-5)))*-5)))/-5)--5)+(-5*(((22.06*(22.06-(-5/-5)))*(22.06-(22.06/(-5*22.06))))-(-5/-5)))))</f>
        <v>52752.68188</v>
      </c>
      <c r="C12207" t="n" s="0">
        <v>52752.68187999999</v>
      </c>
    </row>
    <row r="12208">
      <c r="A12208" t="n" s="0">
        <v>22.07</v>
      </c>
      <c r="B12208" t="n" s="0">
        <f>(-5-((((-5*(-5/((-5/(((-5*(22.07--5))-(-5+((-5*22.07)*(((-5--5)+(22.07--5))+22.07))))-(-5+-5)))*-5)))/-5)--5)+(-5*(((22.07*(22.07-(-5/-5)))*(22.07-(22.07/(-5*22.07))))-(-5/-5)))))</f>
        <v>52824.858915000004</v>
      </c>
      <c r="C12208" t="n" s="0">
        <v>52824.858915</v>
      </c>
    </row>
    <row r="12209">
      <c r="A12209" t="n" s="0">
        <v>22.08</v>
      </c>
      <c r="B12209" t="n" s="0">
        <f>(-5-((((-5*(-5/((-5/(((-5*(22.08--5))-(-5+((-5*22.08)*(((-5--5)+(22.08--5))+22.08))))-(-5+-5)))*-5)))/-5)--5)+(-5*(((22.08*(22.08-(-5/-5)))*(22.08-(22.08/(-5*22.08))))-(-5/-5)))))</f>
        <v>52897.10176</v>
      </c>
      <c r="C12209" t="n" s="0">
        <v>52897.10175999999</v>
      </c>
    </row>
    <row r="12210">
      <c r="A12210" t="n" s="0">
        <v>22.09</v>
      </c>
      <c r="B12210" t="n" s="0">
        <f>(-5-((((-5*(-5/((-5/(((-5*(22.09--5))-(-5+((-5*22.09)*(((-5--5)+(22.09--5))+22.09))))-(-5+-5)))*-5)))/-5)--5)+(-5*(((22.09*(22.09-(-5/-5)))*(22.09-(22.09/(-5*22.09))))-(-5/-5)))))</f>
        <v>52969.410444999994</v>
      </c>
      <c r="C12210" t="n" s="0">
        <v>52969.410445</v>
      </c>
    </row>
    <row r="12211">
      <c r="A12211" t="n" s="0">
        <v>22.1</v>
      </c>
      <c r="B12211" t="n" s="0">
        <f>(-5-((((-5*(-5/((-5/(((-5*(22.1--5))-(-5+((-5*22.1)*(((-5--5)+(22.1--5))+22.1))))-(-5+-5)))*-5)))/-5)--5)+(-5*(((22.1*(22.1-(-5/-5)))*(22.1-(22.1/(-5*22.1))))-(-5/-5)))))</f>
        <v>53041.785</v>
      </c>
      <c r="C12211" t="n" s="0">
        <v>53041.78500000002</v>
      </c>
    </row>
    <row r="12212">
      <c r="A12212" t="n" s="0">
        <v>22.11</v>
      </c>
      <c r="B12212" t="n" s="0">
        <f>(-5-((((-5*(-5/((-5/(((-5*(22.11--5))-(-5+((-5*22.11)*(((-5--5)+(22.11--5))+22.11))))-(-5+-5)))*-5)))/-5)--5)+(-5*(((22.11*(22.11-(-5/-5)))*(22.11-(22.11/(-5*22.11))))-(-5/-5)))))</f>
        <v>53114.225455</v>
      </c>
      <c r="C12212" t="n" s="0">
        <v>53114.225455</v>
      </c>
    </row>
    <row r="12213">
      <c r="A12213" t="n" s="0">
        <v>22.12</v>
      </c>
      <c r="B12213" t="n" s="0">
        <f>(-5-((((-5*(-5/((-5/(((-5*(22.12--5))-(-5+((-5*22.12)*(((-5--5)+(22.12--5))+22.12))))-(-5+-5)))*-5)))/-5)--5)+(-5*(((22.12*(22.12-(-5/-5)))*(22.12-(22.12/(-5*22.12))))-(-5/-5)))))</f>
        <v>53186.73184</v>
      </c>
      <c r="C12213" t="n" s="0">
        <v>53186.73184000001</v>
      </c>
    </row>
    <row r="12214">
      <c r="A12214" t="n" s="0">
        <v>22.13</v>
      </c>
      <c r="B12214" t="n" s="0">
        <f>(-5-((((-5*(-5/((-5/(((-5*(22.13--5))-(-5+((-5*22.13)*(((-5--5)+(22.13--5))+22.13))))-(-5+-5)))*-5)))/-5)--5)+(-5*(((22.13*(22.13-(-5/-5)))*(22.13-(22.13/(-5*22.13))))-(-5/-5)))))</f>
        <v>53259.30418499999</v>
      </c>
      <c r="C12214" t="n" s="0">
        <v>53259.30418499999</v>
      </c>
    </row>
    <row r="12215">
      <c r="A12215" t="n" s="0">
        <v>22.14</v>
      </c>
      <c r="B12215" t="n" s="0">
        <f>(-5-((((-5*(-5/((-5/(((-5*(22.14--5))-(-5+((-5*22.14)*(((-5--5)+(22.14--5))+22.14))))-(-5+-5)))*-5)))/-5)--5)+(-5*(((22.14*(22.14-(-5/-5)))*(22.14-(22.14/(-5*22.14))))-(-5/-5)))))</f>
        <v>53331.94252</v>
      </c>
      <c r="C12215" t="n" s="0">
        <v>53331.942520000004</v>
      </c>
    </row>
    <row r="12216">
      <c r="A12216" t="n" s="0">
        <v>22.15</v>
      </c>
      <c r="B12216" t="n" s="0">
        <f>(-5-((((-5*(-5/((-5/(((-5*(22.15--5))-(-5+((-5*22.15)*(((-5--5)+(22.15--5))+22.15))))-(-5+-5)))*-5)))/-5)--5)+(-5*(((22.15*(22.15-(-5/-5)))*(22.15-(22.15/(-5*22.15))))-(-5/-5)))))</f>
        <v>53404.646875</v>
      </c>
      <c r="C12216" t="n" s="0">
        <v>53404.646874999984</v>
      </c>
    </row>
    <row r="12217">
      <c r="A12217" t="n" s="0">
        <v>22.16</v>
      </c>
      <c r="B12217" t="n" s="0">
        <f>(-5-((((-5*(-5/((-5/(((-5*(22.16--5))-(-5+((-5*22.16)*(((-5--5)+(22.16--5))+22.16))))-(-5+-5)))*-5)))/-5)--5)+(-5*(((22.16*(22.16-(-5/-5)))*(22.16-(22.16/(-5*22.16))))-(-5/-5)))))</f>
        <v>53477.41728</v>
      </c>
      <c r="C12217" t="n" s="0">
        <v>53477.41728</v>
      </c>
    </row>
    <row r="12218">
      <c r="A12218" t="n" s="0">
        <v>22.17</v>
      </c>
      <c r="B12218" t="n" s="0">
        <f>(-5-((((-5*(-5/((-5/(((-5*(22.17--5))-(-5+((-5*22.17)*(((-5--5)+(22.17--5))+22.17))))-(-5+-5)))*-5)))/-5)--5)+(-5*(((22.17*(22.17-(-5/-5)))*(22.17-(22.17/(-5*22.17))))-(-5/-5)))))</f>
        <v>53550.253765</v>
      </c>
      <c r="C12218" t="n" s="0">
        <v>53550.253765000016</v>
      </c>
    </row>
    <row r="12219">
      <c r="A12219" t="n" s="0">
        <v>22.18</v>
      </c>
      <c r="B12219" t="n" s="0">
        <f>(-5-((((-5*(-5/((-5/(((-5*(22.18--5))-(-5+((-5*22.18)*(((-5--5)+(22.18--5))+22.18))))-(-5+-5)))*-5)))/-5)--5)+(-5*(((22.18*(22.18-(-5/-5)))*(22.18-(22.18/(-5*22.18))))-(-5/-5)))))</f>
        <v>53623.15636</v>
      </c>
      <c r="C12219" t="n" s="0">
        <v>53623.15636</v>
      </c>
    </row>
    <row r="12220">
      <c r="A12220" t="n" s="0">
        <v>22.19</v>
      </c>
      <c r="B12220" t="n" s="0">
        <f>(-5-((((-5*(-5/((-5/(((-5*(22.19--5))-(-5+((-5*22.19)*(((-5--5)+(22.19--5))+22.19))))-(-5+-5)))*-5)))/-5)--5)+(-5*(((22.19*(22.19-(-5/-5)))*(22.19-(22.19/(-5*22.19))))-(-5/-5)))))</f>
        <v>53696.125094999996</v>
      </c>
      <c r="C12220" t="n" s="0">
        <v>53696.125095</v>
      </c>
    </row>
    <row r="12221">
      <c r="A12221" t="n" s="0">
        <v>22.2</v>
      </c>
      <c r="B12221" t="n" s="0">
        <f>(-5-((((-5*(-5/((-5/(((-5*(22.2--5))-(-5+((-5*22.2)*(((-5--5)+(22.2--5))+22.2))))-(-5+-5)))*-5)))/-5)--5)+(-5*(((22.2*(22.2-(-5/-5)))*(22.2-(22.2/(-5*22.2))))-(-5/-5)))))</f>
        <v>53769.16</v>
      </c>
      <c r="C12221" t="n" s="0">
        <v>53769.15999999999</v>
      </c>
    </row>
    <row r="12222">
      <c r="A12222" t="n" s="0">
        <v>22.21</v>
      </c>
      <c r="B12222" t="n" s="0">
        <f>(-5-((((-5*(-5/((-5/(((-5*(22.21--5))-(-5+((-5*22.21)*(((-5--5)+(22.21--5))+22.21))))-(-5+-5)))*-5)))/-5)--5)+(-5*(((22.21*(22.21-(-5/-5)))*(22.21-(22.21/(-5*22.21))))-(-5/-5)))))</f>
        <v>53842.261105</v>
      </c>
      <c r="C12222" t="n" s="0">
        <v>53842.261105</v>
      </c>
    </row>
    <row r="12223">
      <c r="A12223" t="n" s="0">
        <v>22.22</v>
      </c>
      <c r="B12223" t="n" s="0">
        <f>(-5-((((-5*(-5/((-5/(((-5*(22.22--5))-(-5+((-5*22.22)*(((-5--5)+(22.22--5))+22.22))))-(-5+-5)))*-5)))/-5)--5)+(-5*(((22.22*(22.22-(-5/-5)))*(22.22-(22.22/(-5*22.22))))-(-5/-5)))))</f>
        <v>53915.428439999996</v>
      </c>
      <c r="C12223" t="n" s="0">
        <v>53915.428439999996</v>
      </c>
    </row>
    <row r="12224">
      <c r="A12224" t="n" s="0">
        <v>22.23</v>
      </c>
      <c r="B12224" t="n" s="0">
        <f>(-5-((((-5*(-5/((-5/(((-5*(22.23--5))-(-5+((-5*22.23)*(((-5--5)+(22.23--5))+22.23))))-(-5+-5)))*-5)))/-5)--5)+(-5*(((22.23*(22.23-(-5/-5)))*(22.23-(22.23/(-5*22.23))))-(-5/-5)))))</f>
        <v>53988.662035</v>
      </c>
      <c r="C12224" t="n" s="0">
        <v>53988.662035</v>
      </c>
    </row>
    <row r="12225">
      <c r="A12225" t="n" s="0">
        <v>22.24</v>
      </c>
      <c r="B12225" t="n" s="0">
        <f>(-5-((((-5*(-5/((-5/(((-5*(22.24--5))-(-5+((-5*22.24)*(((-5--5)+(22.24--5))+22.24))))-(-5+-5)))*-5)))/-5)--5)+(-5*(((22.24*(22.24-(-5/-5)))*(22.24-(22.24/(-5*22.24))))-(-5/-5)))))</f>
        <v>54061.96192</v>
      </c>
      <c r="C12225" t="n" s="0">
        <v>54061.96191999999</v>
      </c>
    </row>
    <row r="12226">
      <c r="A12226" t="n" s="0">
        <v>22.25</v>
      </c>
      <c r="B12226" t="n" s="0">
        <f>(-5-((((-5*(-5/((-5/(((-5*(22.25--5))-(-5+((-5*22.25)*(((-5--5)+(22.25--5))+22.25))))-(-5+-5)))*-5)))/-5)--5)+(-5*(((22.25*(22.25-(-5/-5)))*(22.25-(22.25/(-5*22.25))))-(-5/-5)))))</f>
        <v>54135.328125</v>
      </c>
      <c r="C12226" t="n" s="0">
        <v>54135.328125</v>
      </c>
    </row>
    <row r="12227">
      <c r="A12227" t="n" s="0">
        <v>22.26</v>
      </c>
      <c r="B12227" t="n" s="0">
        <f>(-5-((((-5*(-5/((-5/(((-5*(22.26--5))-(-5+((-5*22.26)*(((-5--5)+(22.26--5))+22.26))))-(-5+-5)))*-5)))/-5)--5)+(-5*(((22.26*(22.26-(-5/-5)))*(22.26-(22.26/(-5*22.26))))-(-5/-5)))))</f>
        <v>54208.76068</v>
      </c>
      <c r="C12227" t="n" s="0">
        <v>54208.760680000014</v>
      </c>
    </row>
    <row r="12228">
      <c r="A12228" t="n" s="0">
        <v>22.27</v>
      </c>
      <c r="B12228" t="n" s="0">
        <f>(-5-((((-5*(-5/((-5/(((-5*(22.27--5))-(-5+((-5*22.27)*(((-5--5)+(22.27--5))+22.27))))-(-5+-5)))*-5)))/-5)--5)+(-5*(((22.27*(22.27-(-5/-5)))*(22.27-(22.27/(-5*22.27))))-(-5/-5)))))</f>
        <v>54282.259615</v>
      </c>
      <c r="C12228" t="n" s="0">
        <v>54282.259614999995</v>
      </c>
    </row>
    <row r="12229">
      <c r="A12229" t="n" s="0">
        <v>22.28</v>
      </c>
      <c r="B12229" t="n" s="0">
        <f>(-5-((((-5*(-5/((-5/(((-5*(22.28--5))-(-5+((-5*22.28)*(((-5--5)+(22.28--5))+22.28))))-(-5+-5)))*-5)))/-5)--5)+(-5*(((22.28*(22.28-(-5/-5)))*(22.28-(22.28/(-5*22.28))))-(-5/-5)))))</f>
        <v>54355.82496</v>
      </c>
      <c r="C12229" t="n" s="0">
        <v>54355.82496000001</v>
      </c>
    </row>
    <row r="12230">
      <c r="A12230" t="n" s="0">
        <v>22.29</v>
      </c>
      <c r="B12230" t="n" s="0">
        <f>(-5-((((-5*(-5/((-5/(((-5*(22.29--5))-(-5+((-5*22.29)*(((-5--5)+(22.29--5))+22.29))))-(-5+-5)))*-5)))/-5)--5)+(-5*(((22.29*(22.29-(-5/-5)))*(22.29-(22.29/(-5*22.29))))-(-5/-5)))))</f>
        <v>54429.456745</v>
      </c>
      <c r="C12230" t="n" s="0">
        <v>54429.456745</v>
      </c>
    </row>
    <row r="12231">
      <c r="A12231" t="n" s="0">
        <v>22.3</v>
      </c>
      <c r="B12231" t="n" s="0">
        <f>(-5-((((-5*(-5/((-5/(((-5*(22.3--5))-(-5+((-5*22.3)*(((-5--5)+(22.3--5))+22.3))))-(-5+-5)))*-5)))/-5)--5)+(-5*(((22.3*(22.3-(-5/-5)))*(22.3-(22.3/(-5*22.3))))-(-5/-5)))))</f>
        <v>54503.155</v>
      </c>
      <c r="C12231" t="n" s="0">
        <v>54503.155000000006</v>
      </c>
    </row>
    <row r="12232">
      <c r="A12232" t="n" s="0">
        <v>22.31</v>
      </c>
      <c r="B12232" t="n" s="0">
        <f>(-5-((((-5*(-5/((-5/(((-5*(22.31--5))-(-5+((-5*22.31)*(((-5--5)+(22.31--5))+22.31))))-(-5+-5)))*-5)))/-5)--5)+(-5*(((22.31*(22.31-(-5/-5)))*(22.31-(22.31/(-5*22.31))))-(-5/-5)))))</f>
        <v>54576.919755</v>
      </c>
      <c r="C12232" t="n" s="0">
        <v>54576.919754999995</v>
      </c>
    </row>
    <row r="12233">
      <c r="A12233" t="n" s="0">
        <v>22.32</v>
      </c>
      <c r="B12233" t="n" s="0">
        <f>(-5-((((-5*(-5/((-5/(((-5*(22.32--5))-(-5+((-5*22.32)*(((-5--5)+(22.32--5))+22.32))))-(-5+-5)))*-5)))/-5)--5)+(-5*(((22.32*(22.32-(-5/-5)))*(22.32-(22.32/(-5*22.32))))-(-5/-5)))))</f>
        <v>54650.75104</v>
      </c>
      <c r="C12233" t="n" s="0">
        <v>54650.75104</v>
      </c>
    </row>
    <row r="12234">
      <c r="A12234" t="n" s="0">
        <v>22.33</v>
      </c>
      <c r="B12234" t="n" s="0">
        <f>(-5-((((-5*(-5/((-5/(((-5*(22.33--5))-(-5+((-5*22.33)*(((-5--5)+(22.33--5))+22.33))))-(-5+-5)))*-5)))/-5)--5)+(-5*(((22.33*(22.33-(-5/-5)))*(22.33-(22.33/(-5*22.33))))-(-5/-5)))))</f>
        <v>54724.648885</v>
      </c>
      <c r="C12234" t="n" s="0">
        <v>54724.64888499999</v>
      </c>
    </row>
    <row r="12235">
      <c r="A12235" t="n" s="0">
        <v>22.34</v>
      </c>
      <c r="B12235" t="n" s="0">
        <f>(-5-((((-5*(-5/((-5/(((-5*(22.34--5))-(-5+((-5*22.34)*(((-5--5)+(22.34--5))+22.34))))-(-5+-5)))*-5)))/-5)--5)+(-5*(((22.34*(22.34-(-5/-5)))*(22.34-(22.34/(-5*22.34))))-(-5/-5)))))</f>
        <v>54798.613320000004</v>
      </c>
      <c r="C12235" t="n" s="0">
        <v>54798.61332</v>
      </c>
    </row>
    <row r="12236">
      <c r="A12236" t="n" s="0">
        <v>22.35</v>
      </c>
      <c r="B12236" t="n" s="0">
        <f>(-5-((((-5*(-5/((-5/(((-5*(22.35--5))-(-5+((-5*22.35)*(((-5--5)+(22.35--5))+22.35))))-(-5+-5)))*-5)))/-5)--5)+(-5*(((22.35*(22.35-(-5/-5)))*(22.35-(22.35/(-5*22.35))))-(-5/-5)))))</f>
        <v>54872.644374999996</v>
      </c>
      <c r="C12236" t="n" s="0">
        <v>54872.64437500002</v>
      </c>
    </row>
    <row r="12237">
      <c r="A12237" t="n" s="0">
        <v>22.36</v>
      </c>
      <c r="B12237" t="n" s="0">
        <f>(-5-((((-5*(-5/((-5/(((-5*(22.36--5))-(-5+((-5*22.36)*(((-5--5)+(22.36--5))+22.36))))-(-5+-5)))*-5)))/-5)--5)+(-5*(((22.36*(22.36-(-5/-5)))*(22.36-(22.36/(-5*22.36))))-(-5/-5)))))</f>
        <v>54946.74208</v>
      </c>
      <c r="C12237" t="n" s="0">
        <v>54946.742079999996</v>
      </c>
    </row>
    <row r="12238">
      <c r="A12238" t="n" s="0">
        <v>22.37</v>
      </c>
      <c r="B12238" t="n" s="0">
        <f>(-5-((((-5*(-5/((-5/(((-5*(22.37--5))-(-5+((-5*22.37)*(((-5--5)+(22.37--5))+22.37))))-(-5+-5)))*-5)))/-5)--5)+(-5*(((22.37*(22.37-(-5/-5)))*(22.37-(22.37/(-5*22.37))))-(-5/-5)))))</f>
        <v>55020.90646499999</v>
      </c>
      <c r="C12238" t="n" s="0">
        <v>55020.906465</v>
      </c>
    </row>
    <row r="12239">
      <c r="A12239" t="n" s="0">
        <v>22.38</v>
      </c>
      <c r="B12239" t="n" s="0">
        <f>(-5-((((-5*(-5/((-5/(((-5*(22.38--5))-(-5+((-5*22.38)*(((-5--5)+(22.38--5))+22.38))))-(-5+-5)))*-5)))/-5)--5)+(-5*(((22.38*(22.38-(-5/-5)))*(22.38-(22.38/(-5*22.38))))-(-5/-5)))))</f>
        <v>55095.13756</v>
      </c>
      <c r="C12239" t="n" s="0">
        <v>55095.137559999996</v>
      </c>
    </row>
    <row r="12240">
      <c r="A12240" t="n" s="0">
        <v>22.39</v>
      </c>
      <c r="B12240" t="n" s="0">
        <f>(-5-((((-5*(-5/((-5/(((-5*(22.39--5))-(-5+((-5*22.39)*(((-5--5)+(22.39--5))+22.39))))-(-5+-5)))*-5)))/-5)--5)+(-5*(((22.39*(22.39-(-5/-5)))*(22.39-(22.39/(-5*22.39))))-(-5/-5)))))</f>
        <v>55169.435395</v>
      </c>
      <c r="C12240" t="n" s="0">
        <v>55169.435395</v>
      </c>
    </row>
    <row r="12241">
      <c r="A12241" t="n" s="0">
        <v>22.4</v>
      </c>
      <c r="B12241" t="n" s="0">
        <f>(-5-((((-5*(-5/((-5/(((-5*(22.4--5))-(-5+((-5*22.4)*(((-5--5)+(22.4--5))+22.4))))-(-5+-5)))*-5)))/-5)--5)+(-5*(((22.4*(22.4-(-5/-5)))*(22.4-(22.4/(-5*22.4))))-(-5/-5)))))</f>
        <v>55243.8</v>
      </c>
      <c r="C12241" t="n" s="0">
        <v>55243.79999999999</v>
      </c>
    </row>
    <row r="12242">
      <c r="A12242" t="n" s="0">
        <v>22.41</v>
      </c>
      <c r="B12242" t="n" s="0">
        <f>(-5-((((-5*(-5/((-5/(((-5*(22.41--5))-(-5+((-5*22.41)*(((-5--5)+(22.41--5))+22.41))))-(-5+-5)))*-5)))/-5)--5)+(-5*(((22.41*(22.41-(-5/-5)))*(22.41-(22.41/(-5*22.41))))-(-5/-5)))))</f>
        <v>55318.231405</v>
      </c>
      <c r="C12242" t="n" s="0">
        <v>55318.231405000006</v>
      </c>
    </row>
    <row r="12243">
      <c r="A12243" t="n" s="0">
        <v>22.42</v>
      </c>
      <c r="B12243" t="n" s="0">
        <f>(-5-((((-5*(-5/((-5/(((-5*(22.42--5))-(-5+((-5*22.42)*(((-5--5)+(22.42--5))+22.42))))-(-5+-5)))*-5)))/-5)--5)+(-5*(((22.42*(22.42-(-5/-5)))*(22.42-(22.42/(-5*22.42))))-(-5/-5)))))</f>
        <v>55392.72964</v>
      </c>
      <c r="C12243" t="n" s="0">
        <v>55392.72964000001</v>
      </c>
    </row>
    <row r="12244">
      <c r="A12244" t="n" s="0">
        <v>22.43</v>
      </c>
      <c r="B12244" t="n" s="0">
        <f>(-5-((((-5*(-5/((-5/(((-5*(22.43--5))-(-5+((-5*22.43)*(((-5--5)+(22.43--5))+22.43))))-(-5+-5)))*-5)))/-5)--5)+(-5*(((22.43*(22.43-(-5/-5)))*(22.43-(22.43/(-5*22.43))))-(-5/-5)))))</f>
        <v>55467.294734999996</v>
      </c>
      <c r="C12244" t="n" s="0">
        <v>55467.294735</v>
      </c>
    </row>
    <row r="12245">
      <c r="A12245" t="n" s="0">
        <v>22.44</v>
      </c>
      <c r="B12245" t="n" s="0">
        <f>(-5-((((-5*(-5/((-5/(((-5*(22.44--5))-(-5+((-5*22.44)*(((-5--5)+(22.44--5))+22.44))))-(-5+-5)))*-5)))/-5)--5)+(-5*(((22.44*(22.44-(-5/-5)))*(22.44-(22.44/(-5*22.44))))-(-5/-5)))))</f>
        <v>55541.92672</v>
      </c>
      <c r="C12245" t="n" s="0">
        <v>55541.92672000001</v>
      </c>
    </row>
    <row r="12246">
      <c r="A12246" t="n" s="0">
        <v>22.45</v>
      </c>
      <c r="B12246" t="n" s="0">
        <f>(-5-((((-5*(-5/((-5/(((-5*(22.45--5))-(-5+((-5*22.45)*(((-5--5)+(22.45--5))+22.45))))-(-5+-5)))*-5)))/-5)--5)+(-5*(((22.45*(22.45-(-5/-5)))*(22.45-(22.45/(-5*22.45))))-(-5/-5)))))</f>
        <v>55616.625625</v>
      </c>
      <c r="C12246" t="n" s="0">
        <v>55616.62562499999</v>
      </c>
    </row>
    <row r="12247">
      <c r="A12247" t="n" s="0">
        <v>22.46</v>
      </c>
      <c r="B12247" t="n" s="0">
        <f>(-5-((((-5*(-5/((-5/(((-5*(22.46--5))-(-5+((-5*22.46)*(((-5--5)+(22.46--5))+22.46))))-(-5+-5)))*-5)))/-5)--5)+(-5*(((22.46*(22.46-(-5/-5)))*(22.46-(22.46/(-5*22.46))))-(-5/-5)))))</f>
        <v>55691.39148</v>
      </c>
      <c r="C12247" t="n" s="0">
        <v>55691.391480000006</v>
      </c>
    </row>
    <row r="12248">
      <c r="A12248" t="n" s="0">
        <v>22.47</v>
      </c>
      <c r="B12248" t="n" s="0">
        <f>(-5-((((-5*(-5/((-5/(((-5*(22.47--5))-(-5+((-5*22.47)*(((-5--5)+(22.47--5))+22.47))))-(-5+-5)))*-5)))/-5)--5)+(-5*(((22.47*(22.47-(-5/-5)))*(22.47-(22.47/(-5*22.47))))-(-5/-5)))))</f>
        <v>55766.224315</v>
      </c>
      <c r="C12248" t="n" s="0">
        <v>55766.224315</v>
      </c>
    </row>
    <row r="12249">
      <c r="A12249" t="n" s="0">
        <v>22.48</v>
      </c>
      <c r="B12249" t="n" s="0">
        <f>(-5-((((-5*(-5/((-5/(((-5*(22.48--5))-(-5+((-5*22.48)*(((-5--5)+(22.48--5))+22.48))))-(-5+-5)))*-5)))/-5)--5)+(-5*(((22.48*(22.48-(-5/-5)))*(22.48-(22.48/(-5*22.48))))-(-5/-5)))))</f>
        <v>55841.12416</v>
      </c>
      <c r="C12249" t="n" s="0">
        <v>55841.12416000001</v>
      </c>
    </row>
    <row r="12250">
      <c r="A12250" t="n" s="0">
        <v>22.49</v>
      </c>
      <c r="B12250" t="n" s="0">
        <f>(-5-((((-5*(-5/((-5/(((-5*(22.49--5))-(-5+((-5*22.49)*(((-5--5)+(22.49--5))+22.49))))-(-5+-5)))*-5)))/-5)--5)+(-5*(((22.49*(22.49-(-5/-5)))*(22.49-(22.49/(-5*22.49))))-(-5/-5)))))</f>
        <v>55916.091045</v>
      </c>
      <c r="C12250" t="n" s="0">
        <v>55916.091044999994</v>
      </c>
    </row>
    <row r="12251">
      <c r="A12251" t="n" s="0">
        <v>22.5</v>
      </c>
      <c r="B12251" t="n" s="0">
        <f>(-5-((((-5*(-5/((-5/(((-5*(22.5--5))-(-5+((-5*22.5)*(((-5--5)+(22.5--5))+22.5))))-(-5+-5)))*-5)))/-5)--5)+(-5*(((22.5*(22.5-(-5/-5)))*(22.5-(22.5/(-5*22.5))))-(-5/-5)))))</f>
        <v>55991.125</v>
      </c>
      <c r="C12251" t="n" s="0">
        <v>55991.125</v>
      </c>
    </row>
    <row r="12252">
      <c r="A12252" t="n" s="0">
        <v>22.51</v>
      </c>
      <c r="B12252" t="n" s="0">
        <f>(-5-((((-5*(-5/((-5/(((-5*(22.51--5))-(-5+((-5*22.51)*(((-5--5)+(22.51--5))+22.51))))-(-5+-5)))*-5)))/-5)--5)+(-5*(((22.51*(22.51-(-5/-5)))*(22.51-(22.51/(-5*22.51))))-(-5/-5)))))</f>
        <v>56066.226055</v>
      </c>
      <c r="C12252" t="n" s="0">
        <v>56066.22605500001</v>
      </c>
    </row>
    <row r="12253">
      <c r="A12253" t="n" s="0">
        <v>22.52</v>
      </c>
      <c r="B12253" t="n" s="0">
        <f>(-5-((((-5*(-5/((-5/(((-5*(22.52--5))-(-5+((-5*22.52)*(((-5--5)+(22.52--5))+22.52))))-(-5+-5)))*-5)))/-5)--5)+(-5*(((22.52*(22.52-(-5/-5)))*(22.52-(22.52/(-5*22.52))))-(-5/-5)))))</f>
        <v>56141.39424</v>
      </c>
      <c r="C12253" t="n" s="0">
        <v>56141.394239999994</v>
      </c>
    </row>
    <row r="12254">
      <c r="A12254" t="n" s="0">
        <v>22.53</v>
      </c>
      <c r="B12254" t="n" s="0">
        <f>(-5-((((-5*(-5/((-5/(((-5*(22.53--5))-(-5+((-5*22.53)*(((-5--5)+(22.53--5))+22.53))))-(-5+-5)))*-5)))/-5)--5)+(-5*(((22.53*(22.53-(-5/-5)))*(22.53-(22.53/(-5*22.53))))-(-5/-5)))))</f>
        <v>56216.629584999995</v>
      </c>
      <c r="C12254" t="n" s="0">
        <v>56216.62958500001</v>
      </c>
    </row>
    <row r="12255">
      <c r="A12255" t="n" s="0">
        <v>22.54</v>
      </c>
      <c r="B12255" t="n" s="0">
        <f>(-5-((((-5*(-5/((-5/(((-5*(22.54--5))-(-5+((-5*22.54)*(((-5--5)+(22.54--5))+22.54))))-(-5+-5)))*-5)))/-5)--5)+(-5*(((22.54*(22.54-(-5/-5)))*(22.54-(22.54/(-5*22.54))))-(-5/-5)))))</f>
        <v>56291.93212</v>
      </c>
      <c r="C12255" t="n" s="0">
        <v>56291.93212</v>
      </c>
    </row>
    <row r="12256">
      <c r="A12256" t="n" s="0">
        <v>22.55</v>
      </c>
      <c r="B12256" t="n" s="0">
        <f>(-5-((((-5*(-5/((-5/(((-5*(22.55--5))-(-5+((-5*22.55)*(((-5--5)+(22.55--5))+22.55))))-(-5+-5)))*-5)))/-5)--5)+(-5*(((22.55*(22.55-(-5/-5)))*(22.55-(22.55/(-5*22.55))))-(-5/-5)))))</f>
        <v>56367.301875000005</v>
      </c>
      <c r="C12256" t="n" s="0">
        <v>56367.30187500001</v>
      </c>
    </row>
    <row r="12257">
      <c r="A12257" t="n" s="0">
        <v>22.56</v>
      </c>
      <c r="B12257" t="n" s="0">
        <f>(-5-((((-5*(-5/((-5/(((-5*(22.56--5))-(-5+((-5*22.56)*(((-5--5)+(22.56--5))+22.56))))-(-5+-5)))*-5)))/-5)--5)+(-5*(((22.56*(22.56-(-5/-5)))*(22.56-(22.56/(-5*22.56))))-(-5/-5)))))</f>
        <v>56442.73888</v>
      </c>
      <c r="C12257" t="n" s="0">
        <v>56442.73888</v>
      </c>
    </row>
    <row r="12258">
      <c r="A12258" t="n" s="0">
        <v>22.57</v>
      </c>
      <c r="B12258" t="n" s="0">
        <f>(-5-((((-5*(-5/((-5/(((-5*(22.57--5))-(-5+((-5*22.57)*(((-5--5)+(22.57--5))+22.57))))-(-5+-5)))*-5)))/-5)--5)+(-5*(((22.57*(22.57-(-5/-5)))*(22.57-(22.57/(-5*22.57))))-(-5/-5)))))</f>
        <v>56518.243165</v>
      </c>
      <c r="C12258" t="n" s="0">
        <v>56518.243165</v>
      </c>
    </row>
    <row r="12259">
      <c r="A12259" t="n" s="0">
        <v>22.58</v>
      </c>
      <c r="B12259" t="n" s="0">
        <f>(-5-((((-5*(-5/((-5/(((-5*(22.58--5))-(-5+((-5*22.58)*(((-5--5)+(22.58--5))+22.58))))-(-5+-5)))*-5)))/-5)--5)+(-5*(((22.58*(22.58-(-5/-5)))*(22.58-(22.58/(-5*22.58))))-(-5/-5)))))</f>
        <v>56593.81476</v>
      </c>
      <c r="C12259" t="n" s="0">
        <v>56593.81475999999</v>
      </c>
    </row>
    <row r="12260">
      <c r="A12260" t="n" s="0">
        <v>22.59</v>
      </c>
      <c r="B12260" t="n" s="0">
        <f>(-5-((((-5*(-5/((-5/(((-5*(22.59--5))-(-5+((-5*22.59)*(((-5--5)+(22.59--5))+22.59))))-(-5+-5)))*-5)))/-5)--5)+(-5*(((22.59*(22.59-(-5/-5)))*(22.59-(22.59/(-5*22.59))))-(-5/-5)))))</f>
        <v>56669.453695</v>
      </c>
      <c r="C12260" t="n" s="0">
        <v>56669.453695</v>
      </c>
    </row>
    <row r="12261">
      <c r="A12261" t="n" s="0">
        <v>22.6</v>
      </c>
      <c r="B12261" t="n" s="0">
        <f>(-5-((((-5*(-5/((-5/(((-5*(22.6--5))-(-5+((-5*22.6)*(((-5--5)+(22.6--5))+22.6))))-(-5+-5)))*-5)))/-5)--5)+(-5*(((22.6*(22.6-(-5/-5)))*(22.6-(22.6/(-5*22.6))))-(-5/-5)))))</f>
        <v>56745.159999999996</v>
      </c>
      <c r="C12261" t="n" s="0">
        <v>56745.16000000001</v>
      </c>
    </row>
    <row r="12262">
      <c r="A12262" t="n" s="0">
        <v>22.61</v>
      </c>
      <c r="B12262" t="n" s="0">
        <f>(-5-((((-5*(-5/((-5/(((-5*(22.61--5))-(-5+((-5*22.61)*(((-5--5)+(22.61--5))+22.61))))-(-5+-5)))*-5)))/-5)--5)+(-5*(((22.61*(22.61-(-5/-5)))*(22.61-(22.61/(-5*22.61))))-(-5/-5)))))</f>
        <v>56820.933705</v>
      </c>
      <c r="C12262" t="n" s="0">
        <v>56820.933704999996</v>
      </c>
    </row>
    <row r="12263">
      <c r="A12263" t="n" s="0">
        <v>22.62</v>
      </c>
      <c r="B12263" t="n" s="0">
        <f>(-5-((((-5*(-5/((-5/(((-5*(22.62--5))-(-5+((-5*22.62)*(((-5--5)+(22.62--5))+22.62))))-(-5+-5)))*-5)))/-5)--5)+(-5*(((22.62*(22.62-(-5/-5)))*(22.62-(22.62/(-5*22.62))))-(-5/-5)))))</f>
        <v>56896.77484</v>
      </c>
      <c r="C12263" t="n" s="0">
        <v>56896.77484</v>
      </c>
    </row>
    <row r="12264">
      <c r="A12264" t="n" s="0">
        <v>22.63</v>
      </c>
      <c r="B12264" t="n" s="0">
        <f>(-5-((((-5*(-5/((-5/(((-5*(22.63--5))-(-5+((-5*22.63)*(((-5--5)+(22.63--5))+22.63))))-(-5+-5)))*-5)))/-5)--5)+(-5*(((22.63*(22.63-(-5/-5)))*(22.63-(22.63/(-5*22.63))))-(-5/-5)))))</f>
        <v>56972.683435</v>
      </c>
      <c r="C12264" t="n" s="0">
        <v>56972.68343499999</v>
      </c>
    </row>
    <row r="12265">
      <c r="A12265" t="n" s="0">
        <v>22.64</v>
      </c>
      <c r="B12265" t="n" s="0">
        <f>(-5-((((-5*(-5/((-5/(((-5*(22.64--5))-(-5+((-5*22.64)*(((-5--5)+(22.64--5))+22.64))))-(-5+-5)))*-5)))/-5)--5)+(-5*(((22.64*(22.64-(-5/-5)))*(22.64-(22.64/(-5*22.64))))-(-5/-5)))))</f>
        <v>57048.65952</v>
      </c>
      <c r="C12265" t="n" s="0">
        <v>57048.65952000001</v>
      </c>
    </row>
    <row r="12266">
      <c r="A12266" t="n" s="0">
        <v>22.65</v>
      </c>
      <c r="B12266" t="n" s="0">
        <f>(-5-((((-5*(-5/((-5/(((-5*(22.65--5))-(-5+((-5*22.65)*(((-5--5)+(22.65--5))+22.65))))-(-5+-5)))*-5)))/-5)--5)+(-5*(((22.65*(22.65-(-5/-5)))*(22.65-(22.65/(-5*22.65))))-(-5/-5)))))</f>
        <v>57124.703125</v>
      </c>
      <c r="C12266" t="n" s="0">
        <v>57124.703124999985</v>
      </c>
    </row>
    <row r="12267">
      <c r="A12267" t="n" s="0">
        <v>22.66</v>
      </c>
      <c r="B12267" t="n" s="0">
        <f>(-5-((((-5*(-5/((-5/(((-5*(22.66--5))-(-5+((-5*22.66)*(((-5--5)+(22.66--5))+22.66))))-(-5+-5)))*-5)))/-5)--5)+(-5*(((22.66*(22.66-(-5/-5)))*(22.66-(22.66/(-5*22.66))))-(-5/-5)))))</f>
        <v>57200.814280000006</v>
      </c>
      <c r="C12267" t="n" s="0">
        <v>57200.81428</v>
      </c>
    </row>
    <row r="12268">
      <c r="A12268" t="n" s="0">
        <v>22.67</v>
      </c>
      <c r="B12268" t="n" s="0">
        <f>(-5-((((-5*(-5/((-5/(((-5*(22.67--5))-(-5+((-5*22.67)*(((-5--5)+(22.67--5))+22.67))))-(-5+-5)))*-5)))/-5)--5)+(-5*(((22.67*(22.67-(-5/-5)))*(22.67-(22.67/(-5*22.67))))-(-5/-5)))))</f>
        <v>57276.993015</v>
      </c>
      <c r="C12268" t="n" s="0">
        <v>57276.993015000015</v>
      </c>
    </row>
    <row r="12269">
      <c r="A12269" t="n" s="0">
        <v>22.68</v>
      </c>
      <c r="B12269" t="n" s="0">
        <f>(-5-((((-5*(-5/((-5/(((-5*(22.68--5))-(-5+((-5*22.68)*(((-5--5)+(22.68--5))+22.68))))-(-5+-5)))*-5)))/-5)--5)+(-5*(((22.68*(22.68-(-5/-5)))*(22.68-(22.68/(-5*22.68))))-(-5/-5)))))</f>
        <v>57353.23936</v>
      </c>
      <c r="C12269" t="n" s="0">
        <v>57353.23936</v>
      </c>
    </row>
    <row r="12270">
      <c r="A12270" t="n" s="0">
        <v>22.69</v>
      </c>
      <c r="B12270" t="n" s="0">
        <f>(-5-((((-5*(-5/((-5/(((-5*(22.69--5))-(-5+((-5*22.69)*(((-5--5)+(22.69--5))+22.69))))-(-5+-5)))*-5)))/-5)--5)+(-5*(((22.69*(22.69-(-5/-5)))*(22.69-(22.69/(-5*22.69))))-(-5/-5)))))</f>
        <v>57429.553345</v>
      </c>
      <c r="C12270" t="n" s="0">
        <v>57429.55334500001</v>
      </c>
    </row>
    <row r="12271">
      <c r="A12271" t="n" s="0">
        <v>22.7</v>
      </c>
      <c r="B12271" t="n" s="0">
        <f>(-5-((((-5*(-5/((-5/(((-5*(22.7--5))-(-5+((-5*22.7)*(((-5--5)+(22.7--5))+22.7))))-(-5+-5)))*-5)))/-5)--5)+(-5*(((22.7*(22.7-(-5/-5)))*(22.7-(22.7/(-5*22.7))))-(-5/-5)))))</f>
        <v>57505.935</v>
      </c>
      <c r="C12271" t="n" s="0">
        <v>57505.93499999999</v>
      </c>
    </row>
    <row r="12272">
      <c r="A12272" t="n" s="0">
        <v>22.71</v>
      </c>
      <c r="B12272" t="n" s="0">
        <f>(-5-((((-5*(-5/((-5/(((-5*(22.71--5))-(-5+((-5*22.71)*(((-5--5)+(22.71--5))+22.71))))-(-5+-5)))*-5)))/-5)--5)+(-5*(((22.71*(22.71-(-5/-5)))*(22.71-(22.71/(-5*22.71))))-(-5/-5)))))</f>
        <v>57582.384355</v>
      </c>
      <c r="C12272" t="n" s="0">
        <v>57582.384355</v>
      </c>
    </row>
    <row r="12273">
      <c r="A12273" t="n" s="0">
        <v>22.72</v>
      </c>
      <c r="B12273" t="n" s="0">
        <f>(-5-((((-5*(-5/((-5/(((-5*(22.72--5))-(-5+((-5*22.72)*(((-5--5)+(22.72--5))+22.72))))-(-5+-5)))*-5)))/-5)--5)+(-5*(((22.72*(22.72-(-5/-5)))*(22.72-(22.72/(-5*22.72))))-(-5/-5)))))</f>
        <v>57658.90144</v>
      </c>
      <c r="C12273" t="n" s="0">
        <v>57658.90143999999</v>
      </c>
    </row>
    <row r="12274">
      <c r="A12274" t="n" s="0">
        <v>22.73</v>
      </c>
      <c r="B12274" t="n" s="0">
        <f>(-5-((((-5*(-5/((-5/(((-5*(22.73--5))-(-5+((-5*22.73)*(((-5--5)+(22.73--5))+22.73))))-(-5+-5)))*-5)))/-5)--5)+(-5*(((22.73*(22.73-(-5/-5)))*(22.73-(22.73/(-5*22.73))))-(-5/-5)))))</f>
        <v>57735.486285</v>
      </c>
      <c r="C12274" t="n" s="0">
        <v>57735.486285000006</v>
      </c>
    </row>
    <row r="12275">
      <c r="A12275" t="n" s="0">
        <v>22.74</v>
      </c>
      <c r="B12275" t="n" s="0">
        <f>(-5-((((-5*(-5/((-5/(((-5*(22.74--5))-(-5+((-5*22.74)*(((-5--5)+(22.74--5))+22.74))))-(-5+-5)))*-5)))/-5)--5)+(-5*(((22.74*(22.74-(-5/-5)))*(22.74-(22.74/(-5*22.74))))-(-5/-5)))))</f>
        <v>57812.13892</v>
      </c>
      <c r="C12275" t="n" s="0">
        <v>57812.13891999999</v>
      </c>
    </row>
    <row r="12276">
      <c r="A12276" t="n" s="0">
        <v>22.75</v>
      </c>
      <c r="B12276" t="n" s="0">
        <f>(-5-((((-5*(-5/((-5/(((-5*(22.75--5))-(-5+((-5*22.75)*(((-5--5)+(22.75--5))+22.75))))-(-5+-5)))*-5)))/-5)--5)+(-5*(((22.75*(22.75-(-5/-5)))*(22.75-(22.75/(-5*22.75))))-(-5/-5)))))</f>
        <v>57888.859375</v>
      </c>
      <c r="C12276" t="n" s="0">
        <v>57888.859375</v>
      </c>
    </row>
    <row r="12277">
      <c r="A12277" t="n" s="0">
        <v>22.76</v>
      </c>
      <c r="B12277" t="n" s="0">
        <f>(-5-((((-5*(-5/((-5/(((-5*(22.76--5))-(-5+((-5*22.76)*(((-5--5)+(22.76--5))+22.76))))-(-5+-5)))*-5)))/-5)--5)+(-5*(((22.76*(22.76-(-5/-5)))*(22.76-(22.76/(-5*22.76))))-(-5/-5)))))</f>
        <v>57965.64768</v>
      </c>
      <c r="C12277" t="n" s="0">
        <v>57965.64768000001</v>
      </c>
    </row>
    <row r="12278">
      <c r="A12278" t="n" s="0">
        <v>22.77</v>
      </c>
      <c r="B12278" t="n" s="0">
        <f>(-5-((((-5*(-5/((-5/(((-5*(22.77--5))-(-5+((-5*22.77)*(((-5--5)+(22.77--5))+22.77))))-(-5+-5)))*-5)))/-5)--5)+(-5*(((22.77*(22.77-(-5/-5)))*(22.77-(22.77/(-5*22.77))))-(-5/-5)))))</f>
        <v>58042.503865000006</v>
      </c>
      <c r="C12278" t="n" s="0">
        <v>58042.50386499999</v>
      </c>
    </row>
    <row r="12279">
      <c r="A12279" t="n" s="0">
        <v>22.78</v>
      </c>
      <c r="B12279" t="n" s="0">
        <f>(-5-((((-5*(-5/((-5/(((-5*(22.78--5))-(-5+((-5*22.78)*(((-5--5)+(22.78--5))+22.78))))-(-5+-5)))*-5)))/-5)--5)+(-5*(((22.78*(22.78-(-5/-5)))*(22.78-(22.78/(-5*22.78))))-(-5/-5)))))</f>
        <v>58119.42795999999</v>
      </c>
      <c r="C12279" t="n" s="0">
        <v>58119.42796000001</v>
      </c>
    </row>
    <row r="12280">
      <c r="A12280" t="n" s="0">
        <v>22.79</v>
      </c>
      <c r="B12280" t="n" s="0">
        <f>(-5-((((-5*(-5/((-5/(((-5*(22.79--5))-(-5+((-5*22.79)*(((-5--5)+(22.79--5))+22.79))))-(-5+-5)))*-5)))/-5)--5)+(-5*(((22.79*(22.79-(-5/-5)))*(22.79-(22.79/(-5*22.79))))-(-5/-5)))))</f>
        <v>58196.419995000004</v>
      </c>
      <c r="C12280" t="n" s="0">
        <v>58196.419995</v>
      </c>
    </row>
    <row r="12281">
      <c r="A12281" t="n" s="0">
        <v>22.8</v>
      </c>
      <c r="B12281" t="n" s="0">
        <f>(-5-((((-5*(-5/((-5/(((-5*(22.8--5))-(-5+((-5*22.8)*(((-5--5)+(22.8--5))+22.8))))-(-5+-5)))*-5)))/-5)--5)+(-5*(((22.8*(22.8-(-5/-5)))*(22.8-(22.8/(-5*22.8))))-(-5/-5)))))</f>
        <v>58273.479999999996</v>
      </c>
      <c r="C12281" t="n" s="0">
        <v>58273.48</v>
      </c>
    </row>
    <row r="12282">
      <c r="A12282" t="n" s="0">
        <v>22.81</v>
      </c>
      <c r="B12282" t="n" s="0">
        <f>(-5-((((-5*(-5/((-5/(((-5*(22.81--5))-(-5+((-5*22.81)*(((-5--5)+(22.81--5))+22.81))))-(-5+-5)))*-5)))/-5)--5)+(-5*(((22.81*(22.81-(-5/-5)))*(22.81-(22.81/(-5*22.81))))-(-5/-5)))))</f>
        <v>58350.608004999995</v>
      </c>
      <c r="C12282" t="n" s="0">
        <v>58350.60800499999</v>
      </c>
    </row>
    <row r="12283">
      <c r="A12283" t="n" s="0">
        <v>22.82</v>
      </c>
      <c r="B12283" t="n" s="0">
        <f>(-5-((((-5*(-5/((-5/(((-5*(22.82--5))-(-5+((-5*22.82)*(((-5--5)+(22.82--5))+22.82))))-(-5+-5)))*-5)))/-5)--5)+(-5*(((22.82*(22.82-(-5/-5)))*(22.82-(22.82/(-5*22.82))))-(-5/-5)))))</f>
        <v>58427.80404</v>
      </c>
      <c r="C12283" t="n" s="0">
        <v>58427.80404</v>
      </c>
    </row>
    <row r="12284">
      <c r="A12284" t="n" s="0">
        <v>22.83</v>
      </c>
      <c r="B12284" t="n" s="0">
        <f>(-5-((((-5*(-5/((-5/(((-5*(22.83--5))-(-5+((-5*22.83)*(((-5--5)+(22.83--5))+22.83))))-(-5+-5)))*-5)))/-5)--5)+(-5*(((22.83*(22.83-(-5/-5)))*(22.83-(22.83/(-5*22.83))))-(-5/-5)))))</f>
        <v>58505.068135</v>
      </c>
      <c r="C12284" t="n" s="0">
        <v>58505.06813499998</v>
      </c>
    </row>
    <row r="12285">
      <c r="A12285" t="n" s="0">
        <v>22.84</v>
      </c>
      <c r="B12285" t="n" s="0">
        <f>(-5-((((-5*(-5/((-5/(((-5*(22.84--5))-(-5+((-5*22.84)*(((-5--5)+(22.84--5))+22.84))))-(-5+-5)))*-5)))/-5)--5)+(-5*(((22.84*(22.84-(-5/-5)))*(22.84-(22.84/(-5*22.84))))-(-5/-5)))))</f>
        <v>58582.40032</v>
      </c>
      <c r="C12285" t="n" s="0">
        <v>58582.40031999999</v>
      </c>
    </row>
    <row r="12286">
      <c r="A12286" t="n" s="0">
        <v>22.85</v>
      </c>
      <c r="B12286" t="n" s="0">
        <f>(-5-((((-5*(-5/((-5/(((-5*(22.85--5))-(-5+((-5*22.85)*(((-5--5)+(22.85--5))+22.85))))-(-5+-5)))*-5)))/-5)--5)+(-5*(((22.85*(22.85-(-5/-5)))*(22.85-(22.85/(-5*22.85))))-(-5/-5)))))</f>
        <v>58659.800624999996</v>
      </c>
      <c r="C12286" t="n" s="0">
        <v>58659.80062500001</v>
      </c>
    </row>
    <row r="12287">
      <c r="A12287" t="n" s="0">
        <v>22.86</v>
      </c>
      <c r="B12287" t="n" s="0">
        <f>(-5-((((-5*(-5/((-5/(((-5*(22.86--5))-(-5+((-5*22.86)*(((-5--5)+(22.86--5))+22.86))))-(-5+-5)))*-5)))/-5)--5)+(-5*(((22.86*(22.86-(-5/-5)))*(22.86-(22.86/(-5*22.86))))-(-5/-5)))))</f>
        <v>58737.26908</v>
      </c>
      <c r="C12287" t="n" s="0">
        <v>58737.26907999999</v>
      </c>
    </row>
    <row r="12288">
      <c r="A12288" t="n" s="0">
        <v>22.87</v>
      </c>
      <c r="B12288" t="n" s="0">
        <f>(-5-((((-5*(-5/((-5/(((-5*(22.87--5))-(-5+((-5*22.87)*(((-5--5)+(22.87--5))+22.87))))-(-5+-5)))*-5)))/-5)--5)+(-5*(((22.87*(22.87-(-5/-5)))*(22.87-(22.87/(-5*22.87))))-(-5/-5)))))</f>
        <v>58814.805715</v>
      </c>
      <c r="C12288" t="n" s="0">
        <v>58814.80571500001</v>
      </c>
    </row>
    <row r="12289">
      <c r="A12289" t="n" s="0">
        <v>22.88</v>
      </c>
      <c r="B12289" t="n" s="0">
        <f>(-5-((((-5*(-5/((-5/(((-5*(22.88--5))-(-5+((-5*22.88)*(((-5--5)+(22.88--5))+22.88))))-(-5+-5)))*-5)))/-5)--5)+(-5*(((22.88*(22.88-(-5/-5)))*(22.88-(22.88/(-5*22.88))))-(-5/-5)))))</f>
        <v>58892.410560000004</v>
      </c>
      <c r="C12289" t="n" s="0">
        <v>58892.41055999999</v>
      </c>
    </row>
    <row r="12290">
      <c r="A12290" t="n" s="0">
        <v>22.89</v>
      </c>
      <c r="B12290" t="n" s="0">
        <f>(-5-((((-5*(-5/((-5/(((-5*(22.89--5))-(-5+((-5*22.89)*(((-5--5)+(22.89--5))+22.89))))-(-5+-5)))*-5)))/-5)--5)+(-5*(((22.89*(22.89-(-5/-5)))*(22.89-(22.89/(-5*22.89))))-(-5/-5)))))</f>
        <v>58970.083645</v>
      </c>
      <c r="C12290" t="n" s="0">
        <v>58970.083645000006</v>
      </c>
    </row>
    <row r="12291">
      <c r="A12291" t="n" s="0">
        <v>22.9</v>
      </c>
      <c r="B12291" t="n" s="0">
        <f>(-5-((((-5*(-5/((-5/(((-5*(22.9--5))-(-5+((-5*22.9)*(((-5--5)+(22.9--5))+22.9))))-(-5+-5)))*-5)))/-5)--5)+(-5*(((22.9*(22.9-(-5/-5)))*(22.9-(22.9/(-5*22.9))))-(-5/-5)))))</f>
        <v>59047.825</v>
      </c>
      <c r="C12291" t="n" s="0">
        <v>59047.82499999999</v>
      </c>
    </row>
    <row r="12292">
      <c r="A12292" t="n" s="0">
        <v>22.91</v>
      </c>
      <c r="B12292" t="n" s="0">
        <f>(-5-((((-5*(-5/((-5/(((-5*(22.91--5))-(-5+((-5*22.91)*(((-5--5)+(22.91--5))+22.91))))-(-5+-5)))*-5)))/-5)--5)+(-5*(((22.91*(22.91-(-5/-5)))*(22.91-(22.91/(-5*22.91))))-(-5/-5)))))</f>
        <v>59125.634655</v>
      </c>
      <c r="C12292" t="n" s="0">
        <v>59125.63465500001</v>
      </c>
    </row>
    <row r="12293">
      <c r="A12293" t="n" s="0">
        <v>22.92</v>
      </c>
      <c r="B12293" t="n" s="0">
        <f>(-5-((((-5*(-5/((-5/(((-5*(22.92--5))-(-5+((-5*22.92)*(((-5--5)+(22.92--5))+22.92))))-(-5+-5)))*-5)))/-5)--5)+(-5*(((22.92*(22.92-(-5/-5)))*(22.92-(22.92/(-5*22.92))))-(-5/-5)))))</f>
        <v>59203.51263999999</v>
      </c>
      <c r="C12293" t="n" s="0">
        <v>59203.51264000001</v>
      </c>
    </row>
    <row r="12294">
      <c r="A12294" t="n" s="0">
        <v>22.93</v>
      </c>
      <c r="B12294" t="n" s="0">
        <f>(-5-((((-5*(-5/((-5/(((-5*(22.93--5))-(-5+((-5*22.93)*(((-5--5)+(22.93--5))+22.93))))-(-5+-5)))*-5)))/-5)--5)+(-5*(((22.93*(22.93-(-5/-5)))*(22.93-(22.93/(-5*22.93))))-(-5/-5)))))</f>
        <v>59281.458985</v>
      </c>
      <c r="C12294" t="n" s="0">
        <v>59281.458985</v>
      </c>
    </row>
    <row r="12295">
      <c r="A12295" t="n" s="0">
        <v>22.94</v>
      </c>
      <c r="B12295" t="n" s="0">
        <f>(-5-((((-5*(-5/((-5/(((-5*(22.94--5))-(-5+((-5*22.94)*(((-5--5)+(22.94--5))+22.94))))-(-5+-5)))*-5)))/-5)--5)+(-5*(((22.94*(22.94-(-5/-5)))*(22.94-(22.94/(-5*22.94))))-(-5/-5)))))</f>
        <v>59359.473719999995</v>
      </c>
      <c r="C12295" t="n" s="0">
        <v>59359.47372000001</v>
      </c>
    </row>
    <row r="12296">
      <c r="A12296" t="n" s="0">
        <v>22.95</v>
      </c>
      <c r="B12296" t="n" s="0">
        <f>(-5-((((-5*(-5/((-5/(((-5*(22.95--5))-(-5+((-5*22.95)*(((-5--5)+(22.95--5))+22.95))))-(-5+-5)))*-5)))/-5)--5)+(-5*(((22.95*(22.95-(-5/-5)))*(22.95-(22.95/(-5*22.95))))-(-5/-5)))))</f>
        <v>59437.556875</v>
      </c>
      <c r="C12296" t="n" s="0">
        <v>59437.556875</v>
      </c>
    </row>
    <row r="12297">
      <c r="A12297" t="n" s="0">
        <v>22.96</v>
      </c>
      <c r="B12297" t="n" s="0">
        <f>(-5-((((-5*(-5/((-5/(((-5*(22.96--5))-(-5+((-5*22.96)*(((-5--5)+(22.96--5))+22.96))))-(-5+-5)))*-5)))/-5)--5)+(-5*(((22.96*(22.96-(-5/-5)))*(22.96-(22.96/(-5*22.96))))-(-5/-5)))))</f>
        <v>59515.70848</v>
      </c>
      <c r="C12297" t="n" s="0">
        <v>59515.70848000001</v>
      </c>
    </row>
    <row r="12298">
      <c r="A12298" t="n" s="0">
        <v>22.97</v>
      </c>
      <c r="B12298" t="n" s="0">
        <f>(-5-((((-5*(-5/((-5/(((-5*(22.97--5))-(-5+((-5*22.97)*(((-5--5)+(22.97--5))+22.97))))-(-5+-5)))*-5)))/-5)--5)+(-5*(((22.97*(22.97-(-5/-5)))*(22.97-(22.97/(-5*22.97))))-(-5/-5)))))</f>
        <v>59593.928565</v>
      </c>
      <c r="C12298" t="n" s="0">
        <v>59593.928564999995</v>
      </c>
    </row>
    <row r="12299">
      <c r="A12299" t="n" s="0">
        <v>22.98</v>
      </c>
      <c r="B12299" t="n" s="0">
        <f>(-5-((((-5*(-5/((-5/(((-5*(22.98--5))-(-5+((-5*22.98)*(((-5--5)+(22.98--5))+22.98))))-(-5+-5)))*-5)))/-5)--5)+(-5*(((22.98*(22.98-(-5/-5)))*(22.98-(22.98/(-5*22.98))))-(-5/-5)))))</f>
        <v>59672.21716</v>
      </c>
      <c r="C12299" t="n" s="0">
        <v>59672.21716000001</v>
      </c>
    </row>
    <row r="12300">
      <c r="A12300" t="n" s="0">
        <v>22.99</v>
      </c>
      <c r="B12300" t="n" s="0">
        <f>(-5-((((-5*(-5/((-5/(((-5*(22.99--5))-(-5+((-5*22.99)*(((-5--5)+(22.99--5))+22.99))))-(-5+-5)))*-5)))/-5)--5)+(-5*(((22.99*(22.99-(-5/-5)))*(22.99-(22.99/(-5*22.99))))-(-5/-5)))))</f>
        <v>59750.574295000006</v>
      </c>
      <c r="C12300" t="n" s="0">
        <v>59750.57429499999</v>
      </c>
    </row>
    <row r="12301">
      <c r="A12301" t="n" s="0">
        <v>23.0</v>
      </c>
      <c r="B12301" t="n" s="0">
        <f>(-5-((((-5*(-5/((-5/(((-5*(23--5))-(-5+((-5*23)*(((-5--5)+(23--5))+23))))-(-5+-5)))*-5)))/-5)--5)+(-5*(((23*(23-(-5/-5)))*(23-(23/(-5*23))))-(-5/-5)))))</f>
        <v>59829.0</v>
      </c>
      <c r="C12301" t="n" s="0">
        <v>59829.0</v>
      </c>
    </row>
    <row r="12302">
      <c r="A12302" t="n" s="0">
        <v>23.01</v>
      </c>
      <c r="B12302" t="n" s="0">
        <f>(-5-((((-5*(-5/((-5/(((-5*(23.01--5))-(-5+((-5*23.01)*(((-5--5)+(23.01--5))+23.01))))-(-5+-5)))*-5)))/-5)--5)+(-5*(((23.01*(23.01-(-5/-5)))*(23.01-(23.01/(-5*23.01))))-(-5/-5)))))</f>
        <v>59907.494305</v>
      </c>
      <c r="C12302" t="n" s="0">
        <v>59907.494305000015</v>
      </c>
    </row>
    <row r="12303">
      <c r="A12303" t="n" s="0">
        <v>23.02</v>
      </c>
      <c r="B12303" t="n" s="0">
        <f>(-5-((((-5*(-5/((-5/(((-5*(23.02--5))-(-5+((-5*23.02)*(((-5--5)+(23.02--5))+23.02))))-(-5+-5)))*-5)))/-5)--5)+(-5*(((23.02*(23.02-(-5/-5)))*(23.02-(23.02/(-5*23.02))))-(-5/-5)))))</f>
        <v>59986.05724</v>
      </c>
      <c r="C12303" t="n" s="0">
        <v>59986.05724</v>
      </c>
    </row>
    <row r="12304">
      <c r="A12304" t="n" s="0">
        <v>23.03</v>
      </c>
      <c r="B12304" t="n" s="0">
        <f>(-5-((((-5*(-5/((-5/(((-5*(23.03--5))-(-5+((-5*23.03)*(((-5--5)+(23.03--5))+23.03))))-(-5+-5)))*-5)))/-5)--5)+(-5*(((23.03*(23.03-(-5/-5)))*(23.03-(23.03/(-5*23.03))))-(-5/-5)))))</f>
        <v>60064.688835</v>
      </c>
      <c r="C12304" t="n" s="0">
        <v>60064.688835</v>
      </c>
    </row>
    <row r="12305">
      <c r="A12305" t="n" s="0">
        <v>23.04</v>
      </c>
      <c r="B12305" t="n" s="0">
        <f>(-5-((((-5*(-5/((-5/(((-5*(23.04--5))-(-5+((-5*23.04)*(((-5--5)+(23.04--5))+23.04))))-(-5+-5)))*-5)))/-5)--5)+(-5*(((23.04*(23.04-(-5/-5)))*(23.04-(23.04/(-5*23.04))))-(-5/-5)))))</f>
        <v>60143.38912</v>
      </c>
      <c r="C12305" t="n" s="0">
        <v>60143.38912</v>
      </c>
    </row>
    <row r="12306">
      <c r="A12306" t="n" s="0">
        <v>23.05</v>
      </c>
      <c r="B12306" t="n" s="0">
        <f>(-5-((((-5*(-5/((-5/(((-5*(23.05--5))-(-5+((-5*23.05)*(((-5--5)+(23.05--5))+23.05))))-(-5+-5)))*-5)))/-5)--5)+(-5*(((23.05*(23.05-(-5/-5)))*(23.05-(23.05/(-5*23.05))))-(-5/-5)))))</f>
        <v>60222.158125</v>
      </c>
      <c r="C12306" t="n" s="0">
        <v>60222.158125</v>
      </c>
    </row>
    <row r="12307">
      <c r="A12307" t="n" s="0">
        <v>23.06</v>
      </c>
      <c r="B12307" t="n" s="0">
        <f>(-5-((((-5*(-5/((-5/(((-5*(23.06--5))-(-5+((-5*23.06)*(((-5--5)+(23.06--5))+23.06))))-(-5+-5)))*-5)))/-5)--5)+(-5*(((23.06*(23.06-(-5/-5)))*(23.06-(23.06/(-5*23.06))))-(-5/-5)))))</f>
        <v>60300.99588</v>
      </c>
      <c r="C12307" t="n" s="0">
        <v>60300.995879999995</v>
      </c>
    </row>
    <row r="12308">
      <c r="A12308" t="n" s="0">
        <v>23.07</v>
      </c>
      <c r="B12308" t="n" s="0">
        <f>(-5-((((-5*(-5/((-5/(((-5*(23.07--5))-(-5+((-5*23.07)*(((-5--5)+(23.07--5))+23.07))))-(-5+-5)))*-5)))/-5)--5)+(-5*(((23.07*(23.07-(-5/-5)))*(23.07-(23.07/(-5*23.07))))-(-5/-5)))))</f>
        <v>60379.902415000004</v>
      </c>
      <c r="C12308" t="n" s="0">
        <v>60379.902415</v>
      </c>
    </row>
    <row r="12309">
      <c r="A12309" t="n" s="0">
        <v>23.08</v>
      </c>
      <c r="B12309" t="n" s="0">
        <f>(-5-((((-5*(-5/((-5/(((-5*(23.08--5))-(-5+((-5*23.08)*(((-5--5)+(23.08--5))+23.08))))-(-5+-5)))*-5)))/-5)--5)+(-5*(((23.08*(23.08-(-5/-5)))*(23.08-(23.08/(-5*23.08))))-(-5/-5)))))</f>
        <v>60458.877759999996</v>
      </c>
      <c r="C12309" t="n" s="0">
        <v>60458.87775999999</v>
      </c>
    </row>
    <row r="12310">
      <c r="A12310" t="n" s="0">
        <v>23.09</v>
      </c>
      <c r="B12310" t="n" s="0">
        <f>(-5-((((-5*(-5/((-5/(((-5*(23.09--5))-(-5+((-5*23.09)*(((-5--5)+(23.09--5))+23.09))))-(-5+-5)))*-5)))/-5)--5)+(-5*(((23.09*(23.09-(-5/-5)))*(23.09-(23.09/(-5*23.09))))-(-5/-5)))))</f>
        <v>60537.921944999995</v>
      </c>
      <c r="C12310" t="n" s="0">
        <v>60537.921944999995</v>
      </c>
    </row>
    <row r="12311">
      <c r="A12311" t="n" s="0">
        <v>23.1</v>
      </c>
      <c r="B12311" t="n" s="0">
        <f>(-5-((((-5*(-5/((-5/(((-5*(23.1--5))-(-5+((-5*23.1)*(((-5--5)+(23.1--5))+23.1))))-(-5+-5)))*-5)))/-5)--5)+(-5*(((23.1*(23.1-(-5/-5)))*(23.1-(23.1/(-5*23.1))))-(-5/-5)))))</f>
        <v>60617.035</v>
      </c>
      <c r="C12311" t="n" s="0">
        <v>60617.03500000001</v>
      </c>
    </row>
    <row r="12312">
      <c r="A12312" t="n" s="0">
        <v>23.11</v>
      </c>
      <c r="B12312" t="n" s="0">
        <f>(-5-((((-5*(-5/((-5/(((-5*(23.11--5))-(-5+((-5*23.11)*(((-5--5)+(23.11--5))+23.11))))-(-5+-5)))*-5)))/-5)--5)+(-5*(((23.11*(23.11-(-5/-5)))*(23.11-(23.11/(-5*23.11))))-(-5/-5)))))</f>
        <v>60696.216954999996</v>
      </c>
      <c r="C12312" t="n" s="0">
        <v>60696.216954999996</v>
      </c>
    </row>
    <row r="12313">
      <c r="A12313" t="n" s="0">
        <v>23.12</v>
      </c>
      <c r="B12313" t="n" s="0">
        <f>(-5-((((-5*(-5/((-5/(((-5*(23.12--5))-(-5+((-5*23.12)*(((-5--5)+(23.12--5))+23.12))))-(-5+-5)))*-5)))/-5)--5)+(-5*(((23.12*(23.12-(-5/-5)))*(23.12-(23.12/(-5*23.12))))-(-5/-5)))))</f>
        <v>60775.46784</v>
      </c>
      <c r="C12313" t="n" s="0">
        <v>60775.467840000005</v>
      </c>
    </row>
    <row r="12314">
      <c r="A12314" t="n" s="0">
        <v>23.13</v>
      </c>
      <c r="B12314" t="n" s="0">
        <f>(-5-((((-5*(-5/((-5/(((-5*(23.13--5))-(-5+((-5*23.13)*(((-5--5)+(23.13--5))+23.13))))-(-5+-5)))*-5)))/-5)--5)+(-5*(((23.13*(23.13-(-5/-5)))*(23.13-(23.13/(-5*23.13))))-(-5/-5)))))</f>
        <v>60854.787685</v>
      </c>
      <c r="C12314" t="n" s="0">
        <v>60854.78768499999</v>
      </c>
    </row>
    <row r="12315">
      <c r="A12315" t="n" s="0">
        <v>23.14</v>
      </c>
      <c r="B12315" t="n" s="0">
        <f>(-5-((((-5*(-5/((-5/(((-5*(23.14--5))-(-5+((-5*23.14)*(((-5--5)+(23.14--5))+23.14))))-(-5+-5)))*-5)))/-5)--5)+(-5*(((23.14*(23.14-(-5/-5)))*(23.14-(23.14/(-5*23.14))))-(-5/-5)))))</f>
        <v>60934.17652</v>
      </c>
      <c r="C12315" t="n" s="0">
        <v>60934.17652000001</v>
      </c>
    </row>
    <row r="12316">
      <c r="A12316" t="n" s="0">
        <v>23.15</v>
      </c>
      <c r="B12316" t="n" s="0">
        <f>(-5-((((-5*(-5/((-5/(((-5*(23.15--5))-(-5+((-5*23.15)*(((-5--5)+(23.15--5))+23.15))))-(-5+-5)))*-5)))/-5)--5)+(-5*(((23.15*(23.15-(-5/-5)))*(23.15-(23.15/(-5*23.15))))-(-5/-5)))))</f>
        <v>61013.634375</v>
      </c>
      <c r="C12316" t="n" s="0">
        <v>61013.63437499998</v>
      </c>
    </row>
    <row r="12317">
      <c r="A12317" t="n" s="0">
        <v>23.16</v>
      </c>
      <c r="B12317" t="n" s="0">
        <f>(-5-((((-5*(-5/((-5/(((-5*(23.16--5))-(-5+((-5*23.16)*(((-5--5)+(23.16--5))+23.16))))-(-5+-5)))*-5)))/-5)--5)+(-5*(((23.16*(23.16-(-5/-5)))*(23.16-(23.16/(-5*23.16))))-(-5/-5)))))</f>
        <v>61093.16128</v>
      </c>
      <c r="C12317" t="n" s="0">
        <v>61093.16128000001</v>
      </c>
    </row>
    <row r="12318">
      <c r="A12318" t="n" s="0">
        <v>23.17</v>
      </c>
      <c r="B12318" t="n" s="0">
        <f>(-5-((((-5*(-5/((-5/(((-5*(23.17--5))-(-5+((-5*23.17)*(((-5--5)+(23.17--5))+23.17))))-(-5+-5)))*-5)))/-5)--5)+(-5*(((23.17*(23.17-(-5/-5)))*(23.17-(23.17/(-5*23.17))))-(-5/-5)))))</f>
        <v>61172.757265</v>
      </c>
      <c r="C12318" t="n" s="0">
        <v>61172.757265000015</v>
      </c>
    </row>
    <row r="12319">
      <c r="A12319" t="n" s="0">
        <v>23.18</v>
      </c>
      <c r="B12319" t="n" s="0">
        <f>(-5-((((-5*(-5/((-5/(((-5*(23.18--5))-(-5+((-5*23.18)*(((-5--5)+(23.18--5))+23.18))))-(-5+-5)))*-5)))/-5)--5)+(-5*(((23.18*(23.18-(-5/-5)))*(23.18-(23.18/(-5*23.18))))-(-5/-5)))))</f>
        <v>61252.42236</v>
      </c>
      <c r="C12319" t="n" s="0">
        <v>61252.42236</v>
      </c>
    </row>
    <row r="12320">
      <c r="A12320" t="n" s="0">
        <v>23.19</v>
      </c>
      <c r="B12320" t="n" s="0">
        <f>(-5-((((-5*(-5/((-5/(((-5*(23.19--5))-(-5+((-5*23.19)*(((-5--5)+(23.19--5))+23.19))))-(-5+-5)))*-5)))/-5)--5)+(-5*(((23.19*(23.19-(-5/-5)))*(23.19-(23.19/(-5*23.19))))-(-5/-5)))))</f>
        <v>61332.156595</v>
      </c>
      <c r="C12320" t="n" s="0">
        <v>61332.156595000015</v>
      </c>
    </row>
    <row r="12321">
      <c r="A12321" t="n" s="0">
        <v>23.2</v>
      </c>
      <c r="B12321" t="n" s="0">
        <f>(-5-((((-5*(-5/((-5/(((-5*(23.2--5))-(-5+((-5*23.2)*(((-5--5)+(23.2--5))+23.2))))-(-5+-5)))*-5)))/-5)--5)+(-5*(((23.2*(23.2-(-5/-5)))*(23.2-(23.2/(-5*23.2))))-(-5/-5)))))</f>
        <v>61411.96</v>
      </c>
      <c r="C12321" t="n" s="0">
        <v>61411.95999999999</v>
      </c>
    </row>
    <row r="12322">
      <c r="A12322" t="n" s="0">
        <v>23.21</v>
      </c>
      <c r="B12322" t="n" s="0">
        <f>(-5-((((-5*(-5/((-5/(((-5*(23.21--5))-(-5+((-5*23.21)*(((-5--5)+(23.21--5))+23.21))))-(-5+-5)))*-5)))/-5)--5)+(-5*(((23.21*(23.21-(-5/-5)))*(23.21-(23.21/(-5*23.21))))-(-5/-5)))))</f>
        <v>61491.832605</v>
      </c>
      <c r="C12322" t="n" s="0">
        <v>61491.83260500001</v>
      </c>
    </row>
    <row r="12323">
      <c r="A12323" t="n" s="0">
        <v>23.22</v>
      </c>
      <c r="B12323" t="n" s="0">
        <f>(-5-((((-5*(-5/((-5/(((-5*(23.22--5))-(-5+((-5*23.22)*(((-5--5)+(23.22--5))+23.22))))-(-5+-5)))*-5)))/-5)--5)+(-5*(((23.22*(23.22-(-5/-5)))*(23.22-(23.22/(-5*23.22))))-(-5/-5)))))</f>
        <v>61571.77444</v>
      </c>
      <c r="C12323" t="n" s="0">
        <v>61571.77444</v>
      </c>
    </row>
    <row r="12324">
      <c r="A12324" t="n" s="0">
        <v>23.23</v>
      </c>
      <c r="B12324" t="n" s="0">
        <f>(-5-((((-5*(-5/((-5/(((-5*(23.23--5))-(-5+((-5*23.23)*(((-5--5)+(23.23--5))+23.23))))-(-5+-5)))*-5)))/-5)--5)+(-5*(((23.23*(23.23-(-5/-5)))*(23.23-(23.23/(-5*23.23))))-(-5/-5)))))</f>
        <v>61651.785535</v>
      </c>
      <c r="C12324" t="n" s="0">
        <v>61651.785535</v>
      </c>
    </row>
    <row r="12325">
      <c r="A12325" t="n" s="0">
        <v>23.24</v>
      </c>
      <c r="B12325" t="n" s="0">
        <f>(-5-((((-5*(-5/((-5/(((-5*(23.24--5))-(-5+((-5*23.24)*(((-5--5)+(23.24--5))+23.24))))-(-5+-5)))*-5)))/-5)--5)+(-5*(((23.24*(23.24-(-5/-5)))*(23.24-(23.24/(-5*23.24))))-(-5/-5)))))</f>
        <v>61731.865920000004</v>
      </c>
      <c r="C12325" t="n" s="0">
        <v>61731.86591999999</v>
      </c>
    </row>
    <row r="12326">
      <c r="A12326" t="n" s="0">
        <v>23.25</v>
      </c>
      <c r="B12326" t="n" s="0">
        <f>(-5-((((-5*(-5/((-5/(((-5*(23.25--5))-(-5+((-5*23.25)*(((-5--5)+(23.25--5))+23.25))))-(-5+-5)))*-5)))/-5)--5)+(-5*(((23.25*(23.25-(-5/-5)))*(23.25-(23.25/(-5*23.25))))-(-5/-5)))))</f>
        <v>61812.015625</v>
      </c>
      <c r="C12326" t="n" s="0">
        <v>61812.015625</v>
      </c>
    </row>
    <row r="12327">
      <c r="A12327" t="n" s="0">
        <v>23.26</v>
      </c>
      <c r="B12327" t="n" s="0">
        <f>(-5-((((-5*(-5/((-5/(((-5*(23.26--5))-(-5+((-5*23.26)*(((-5--5)+(23.26--5))+23.26))))-(-5+-5)))*-5)))/-5)--5)+(-5*(((23.26*(23.26-(-5/-5)))*(23.26-(23.26/(-5*23.26))))-(-5/-5)))))</f>
        <v>61892.23468</v>
      </c>
      <c r="C12327" t="n" s="0">
        <v>61892.23468000001</v>
      </c>
    </row>
    <row r="12328">
      <c r="A12328" t="n" s="0">
        <v>23.27</v>
      </c>
      <c r="B12328" t="n" s="0">
        <f>(-5-((((-5*(-5/((-5/(((-5*(23.27--5))-(-5+((-5*23.27)*(((-5--5)+(23.27--5))+23.27))))-(-5+-5)))*-5)))/-5)--5)+(-5*(((23.27*(23.27-(-5/-5)))*(23.27-(23.27/(-5*23.27))))-(-5/-5)))))</f>
        <v>61972.523114999996</v>
      </c>
      <c r="C12328" t="n" s="0">
        <v>61972.523114999996</v>
      </c>
    </row>
    <row r="12329">
      <c r="A12329" t="n" s="0">
        <v>23.28</v>
      </c>
      <c r="B12329" t="n" s="0">
        <f>(-5-((((-5*(-5/((-5/(((-5*(23.28--5))-(-5+((-5*23.28)*(((-5--5)+(23.28--5))+23.28))))-(-5+-5)))*-5)))/-5)--5)+(-5*(((23.28*(23.28-(-5/-5)))*(23.28-(23.28/(-5*23.28))))-(-5/-5)))))</f>
        <v>62052.88096</v>
      </c>
      <c r="C12329" t="n" s="0">
        <v>62052.88096000001</v>
      </c>
    </row>
    <row r="12330">
      <c r="A12330" t="n" s="0">
        <v>23.29</v>
      </c>
      <c r="B12330" t="n" s="0">
        <f>(-5-((((-5*(-5/((-5/(((-5*(23.29--5))-(-5+((-5*23.29)*(((-5--5)+(23.29--5))+23.29))))-(-5+-5)))*-5)))/-5)--5)+(-5*(((23.29*(23.29-(-5/-5)))*(23.29-(23.29/(-5*23.29))))-(-5/-5)))))</f>
        <v>62133.308245</v>
      </c>
      <c r="C12330" t="n" s="0">
        <v>62133.30824499999</v>
      </c>
    </row>
    <row r="12331">
      <c r="A12331" t="n" s="0">
        <v>23.3</v>
      </c>
      <c r="B12331" t="n" s="0">
        <f>(-5-((((-5*(-5/((-5/(((-5*(23.3--5))-(-5+((-5*23.3)*(((-5--5)+(23.3--5))+23.3))))-(-5+-5)))*-5)))/-5)--5)+(-5*(((23.3*(23.3-(-5/-5)))*(23.3-(23.3/(-5*23.3))))-(-5/-5)))))</f>
        <v>62213.805</v>
      </c>
      <c r="C12331" t="n" s="0">
        <v>62213.80500000001</v>
      </c>
    </row>
    <row r="12332">
      <c r="A12332" t="n" s="0">
        <v>23.31</v>
      </c>
      <c r="B12332" t="n" s="0">
        <f>(-5-((((-5*(-5/((-5/(((-5*(23.31--5))-(-5+((-5*23.31)*(((-5--5)+(23.31--5))+23.31))))-(-5+-5)))*-5)))/-5)--5)+(-5*(((23.31*(23.31-(-5/-5)))*(23.31-(23.31/(-5*23.31))))-(-5/-5)))))</f>
        <v>62294.371255</v>
      </c>
      <c r="C12332" t="n" s="0">
        <v>62294.37125499999</v>
      </c>
    </row>
    <row r="12333">
      <c r="A12333" t="n" s="0">
        <v>23.32</v>
      </c>
      <c r="B12333" t="n" s="0">
        <f>(-5-((((-5*(-5/((-5/(((-5*(23.32--5))-(-5+((-5*23.32)*(((-5--5)+(23.32--5))+23.32))))-(-5+-5)))*-5)))/-5)--5)+(-5*(((23.32*(23.32-(-5/-5)))*(23.32-(23.32/(-5*23.32))))-(-5/-5)))))</f>
        <v>62375.007040000004</v>
      </c>
      <c r="C12333" t="n" s="0">
        <v>62375.007040000004</v>
      </c>
    </row>
    <row r="12334">
      <c r="A12334" t="n" s="0">
        <v>23.33</v>
      </c>
      <c r="B12334" t="n" s="0">
        <f>(-5-((((-5*(-5/((-5/(((-5*(23.33--5))-(-5+((-5*23.33)*(((-5--5)+(23.33--5))+23.33))))-(-5+-5)))*-5)))/-5)--5)+(-5*(((23.33*(23.33-(-5/-5)))*(23.33-(23.33/(-5*23.33))))-(-5/-5)))))</f>
        <v>62455.712385</v>
      </c>
      <c r="C12334" t="n" s="0">
        <v>62455.712384999984</v>
      </c>
    </row>
    <row r="12335">
      <c r="A12335" t="n" s="0">
        <v>23.34</v>
      </c>
      <c r="B12335" t="n" s="0">
        <f>(-5-((((-5*(-5/((-5/(((-5*(23.34--5))-(-5+((-5*23.34)*(((-5--5)+(23.34--5))+23.34))))-(-5+-5)))*-5)))/-5)--5)+(-5*(((23.34*(23.34-(-5/-5)))*(23.34-(23.34/(-5*23.34))))-(-5/-5)))))</f>
        <v>62536.48732</v>
      </c>
      <c r="C12335" t="n" s="0">
        <v>62536.48731999999</v>
      </c>
    </row>
    <row r="12336">
      <c r="A12336" t="n" s="0">
        <v>23.35</v>
      </c>
      <c r="B12336" t="n" s="0">
        <f>(-5-((((-5*(-5/((-5/(((-5*(23.35--5))-(-5+((-5*23.35)*(((-5--5)+(23.35--5))+23.35))))-(-5+-5)))*-5)))/-5)--5)+(-5*(((23.35*(23.35-(-5/-5)))*(23.35-(23.35/(-5*23.35))))-(-5/-5)))))</f>
        <v>62617.331875</v>
      </c>
      <c r="C12336" t="n" s="0">
        <v>62617.33187500002</v>
      </c>
    </row>
    <row r="12337">
      <c r="A12337" t="n" s="0">
        <v>23.36</v>
      </c>
      <c r="B12337" t="n" s="0">
        <f>(-5-((((-5*(-5/((-5/(((-5*(23.36--5))-(-5+((-5*23.36)*(((-5--5)+(23.36--5))+23.36))))-(-5+-5)))*-5)))/-5)--5)+(-5*(((23.36*(23.36-(-5/-5)))*(23.36-(23.36/(-5*23.36))))-(-5/-5)))))</f>
        <v>62698.24608</v>
      </c>
      <c r="C12337" t="n" s="0">
        <v>62698.24607999999</v>
      </c>
    </row>
    <row r="12338">
      <c r="A12338" t="n" s="0">
        <v>23.37</v>
      </c>
      <c r="B12338" t="n" s="0">
        <f>(-5-((((-5*(-5/((-5/(((-5*(23.37--5))-(-5+((-5*23.37)*(((-5--5)+(23.37--5))+23.37))))-(-5+-5)))*-5)))/-5)--5)+(-5*(((23.37*(23.37-(-5/-5)))*(23.37-(23.37/(-5*23.37))))-(-5/-5)))))</f>
        <v>62779.229965</v>
      </c>
      <c r="C12338" t="n" s="0">
        <v>62779.229965000006</v>
      </c>
    </row>
    <row r="12339">
      <c r="A12339" t="n" s="0">
        <v>23.38</v>
      </c>
      <c r="B12339" t="n" s="0">
        <f>(-5-((((-5*(-5/((-5/(((-5*(23.38--5))-(-5+((-5*23.38)*(((-5--5)+(23.38--5))+23.38))))-(-5+-5)))*-5)))/-5)--5)+(-5*(((23.38*(23.38-(-5/-5)))*(23.38-(23.38/(-5*23.38))))-(-5/-5)))))</f>
        <v>62860.283559999996</v>
      </c>
      <c r="C12339" t="n" s="0">
        <v>62860.283559999996</v>
      </c>
    </row>
    <row r="12340">
      <c r="A12340" t="n" s="0">
        <v>23.39</v>
      </c>
      <c r="B12340" t="n" s="0">
        <f>(-5-((((-5*(-5/((-5/(((-5*(23.39--5))-(-5+((-5*23.39)*(((-5--5)+(23.39--5))+23.39))))-(-5+-5)))*-5)))/-5)--5)+(-5*(((23.39*(23.39-(-5/-5)))*(23.39-(23.39/(-5*23.39))))-(-5/-5)))))</f>
        <v>62941.406895</v>
      </c>
      <c r="C12340" t="n" s="0">
        <v>62941.40689500001</v>
      </c>
    </row>
    <row r="12341">
      <c r="A12341" t="n" s="0">
        <v>23.4</v>
      </c>
      <c r="B12341" t="n" s="0">
        <f>(-5-((((-5*(-5/((-5/(((-5*(23.4--5))-(-5+((-5*23.4)*(((-5--5)+(23.4--5))+23.4))))-(-5+-5)))*-5)))/-5)--5)+(-5*(((23.4*(23.4-(-5/-5)))*(23.4-(23.4/(-5*23.4))))-(-5/-5)))))</f>
        <v>63022.6</v>
      </c>
      <c r="C12341" t="n" s="0">
        <v>63022.59999999998</v>
      </c>
    </row>
    <row r="12342">
      <c r="A12342" t="n" s="0">
        <v>23.41</v>
      </c>
      <c r="B12342" t="n" s="0">
        <f>(-5-((((-5*(-5/((-5/(((-5*(23.41--5))-(-5+((-5*23.41)*(((-5--5)+(23.41--5))+23.41))))-(-5+-5)))*-5)))/-5)--5)+(-5*(((23.41*(23.41-(-5/-5)))*(23.41-(23.41/(-5*23.41))))-(-5/-5)))))</f>
        <v>63103.862905</v>
      </c>
      <c r="C12342" t="n" s="0">
        <v>63103.86290500001</v>
      </c>
    </row>
    <row r="12343">
      <c r="A12343" t="n" s="0">
        <v>23.42</v>
      </c>
      <c r="B12343" t="n" s="0">
        <f>(-5-((((-5*(-5/((-5/(((-5*(23.42--5))-(-5+((-5*23.42)*(((-5--5)+(23.42--5))+23.42))))-(-5+-5)))*-5)))/-5)--5)+(-5*(((23.42*(23.42-(-5/-5)))*(23.42-(23.42/(-5*23.42))))-(-5/-5)))))</f>
        <v>63185.19564</v>
      </c>
      <c r="C12343" t="n" s="0">
        <v>63185.19564000002</v>
      </c>
    </row>
    <row r="12344">
      <c r="A12344" t="n" s="0">
        <v>23.43</v>
      </c>
      <c r="B12344" t="n" s="0">
        <f>(-5-((((-5*(-5/((-5/(((-5*(23.43--5))-(-5+((-5*23.43)*(((-5--5)+(23.43--5))+23.43))))-(-5+-5)))*-5)))/-5)--5)+(-5*(((23.43*(23.43-(-5/-5)))*(23.43-(23.43/(-5*23.43))))-(-5/-5)))))</f>
        <v>63266.598235</v>
      </c>
      <c r="C12344" t="n" s="0">
        <v>63266.598235</v>
      </c>
    </row>
    <row r="12345">
      <c r="A12345" t="n" s="0">
        <v>23.44</v>
      </c>
      <c r="B12345" t="n" s="0">
        <f>(-5-((((-5*(-5/((-5/(((-5*(23.44--5))-(-5+((-5*23.44)*(((-5--5)+(23.44--5))+23.44))))-(-5+-5)))*-5)))/-5)--5)+(-5*(((23.44*(23.44-(-5/-5)))*(23.44-(23.44/(-5*23.44))))-(-5/-5)))))</f>
        <v>63348.07072</v>
      </c>
      <c r="C12345" t="n" s="0">
        <v>63348.07072</v>
      </c>
    </row>
    <row r="12346">
      <c r="A12346" t="n" s="0">
        <v>23.45</v>
      </c>
      <c r="B12346" t="n" s="0">
        <f>(-5-((((-5*(-5/((-5/(((-5*(23.45--5))-(-5+((-5*23.45)*(((-5--5)+(23.45--5))+23.45))))-(-5+-5)))*-5)))/-5)--5)+(-5*(((23.45*(23.45-(-5/-5)))*(23.45-(23.45/(-5*23.45))))-(-5/-5)))))</f>
        <v>63429.613125</v>
      </c>
      <c r="C12346" t="n" s="0">
        <v>63429.61312499999</v>
      </c>
    </row>
    <row r="12347">
      <c r="A12347" t="n" s="0">
        <v>23.46</v>
      </c>
      <c r="B12347" t="n" s="0">
        <f>(-5-((((-5*(-5/((-5/(((-5*(23.46--5))-(-5+((-5*23.46)*(((-5--5)+(23.46--5))+23.46))))-(-5+-5)))*-5)))/-5)--5)+(-5*(((23.46*(23.46-(-5/-5)))*(23.46-(23.46/(-5*23.46))))-(-5/-5)))))</f>
        <v>63511.22548</v>
      </c>
      <c r="C12347" t="n" s="0">
        <v>63511.22548</v>
      </c>
    </row>
    <row r="12348">
      <c r="A12348" t="n" s="0">
        <v>23.47</v>
      </c>
      <c r="B12348" t="n" s="0">
        <f>(-5-((((-5*(-5/((-5/(((-5*(23.47--5))-(-5+((-5*23.47)*(((-5--5)+(23.47--5))+23.47))))-(-5+-5)))*-5)))/-5)--5)+(-5*(((23.47*(23.47-(-5/-5)))*(23.47-(23.47/(-5*23.47))))-(-5/-5)))))</f>
        <v>63592.907815000006</v>
      </c>
      <c r="C12348" t="n" s="0">
        <v>63592.907815</v>
      </c>
    </row>
    <row r="12349">
      <c r="A12349" t="n" s="0">
        <v>23.48</v>
      </c>
      <c r="B12349" t="n" s="0">
        <f>(-5-((((-5*(-5/((-5/(((-5*(23.48--5))-(-5+((-5*23.48)*(((-5--5)+(23.48--5))+23.48))))-(-5+-5)))*-5)))/-5)--5)+(-5*(((23.48*(23.48-(-5/-5)))*(23.48-(23.48/(-5*23.48))))-(-5/-5)))))</f>
        <v>63674.66016</v>
      </c>
      <c r="C12349" t="n" s="0">
        <v>63674.660160000014</v>
      </c>
    </row>
    <row r="12350">
      <c r="A12350" t="n" s="0">
        <v>23.49</v>
      </c>
      <c r="B12350" t="n" s="0">
        <f>(-5-((((-5*(-5/((-5/(((-5*(23.49--5))-(-5+((-5*23.49)*(((-5--5)+(23.49--5))+23.49))))-(-5+-5)))*-5)))/-5)--5)+(-5*(((23.49*(23.49-(-5/-5)))*(23.49-(23.49/(-5*23.49))))-(-5/-5)))))</f>
        <v>63756.482545</v>
      </c>
      <c r="C12350" t="n" s="0">
        <v>63756.482544999984</v>
      </c>
    </row>
    <row r="12351">
      <c r="A12351" t="n" s="0">
        <v>23.5</v>
      </c>
      <c r="B12351" t="n" s="0">
        <f>(-5-((((-5*(-5/((-5/(((-5*(23.5--5))-(-5+((-5*23.5)*(((-5--5)+(23.5--5))+23.5))))-(-5+-5)))*-5)))/-5)--5)+(-5*(((23.5*(23.5-(-5/-5)))*(23.5-(23.5/(-5*23.5))))-(-5/-5)))))</f>
        <v>63838.375</v>
      </c>
      <c r="C12351" t="n" s="0">
        <v>63838.375</v>
      </c>
    </row>
    <row r="12352">
      <c r="A12352" t="n" s="0">
        <v>23.51</v>
      </c>
      <c r="B12352" t="n" s="0">
        <f>(-5-((((-5*(-5/((-5/(((-5*(23.51--5))-(-5+((-5*23.51)*(((-5--5)+(23.51--5))+23.51))))-(-5+-5)))*-5)))/-5)--5)+(-5*(((23.51*(23.51-(-5/-5)))*(23.51-(23.51/(-5*23.51))))-(-5/-5)))))</f>
        <v>63920.337555</v>
      </c>
      <c r="C12352" t="n" s="0">
        <v>63920.33755500002</v>
      </c>
    </row>
    <row r="12353">
      <c r="A12353" t="n" s="0">
        <v>23.52</v>
      </c>
      <c r="B12353" t="n" s="0">
        <f>(-5-((((-5*(-5/((-5/(((-5*(23.52--5))-(-5+((-5*23.52)*(((-5--5)+(23.52--5))+23.52))))-(-5+-5)))*-5)))/-5)--5)+(-5*(((23.52*(23.52-(-5/-5)))*(23.52-(23.52/(-5*23.52))))-(-5/-5)))))</f>
        <v>64002.370240000004</v>
      </c>
      <c r="C12353" t="n" s="0">
        <v>64002.37024</v>
      </c>
    </row>
    <row r="12354">
      <c r="A12354" t="n" s="0">
        <v>23.53</v>
      </c>
      <c r="B12354" t="n" s="0">
        <f>(-5-((((-5*(-5/((-5/(((-5*(23.53--5))-(-5+((-5*23.53)*(((-5--5)+(23.53--5))+23.53))))-(-5+-5)))*-5)))/-5)--5)+(-5*(((23.53*(23.53-(-5/-5)))*(23.53-(23.53/(-5*23.53))))-(-5/-5)))))</f>
        <v>64084.473085</v>
      </c>
      <c r="C12354" t="n" s="0">
        <v>64084.47308500001</v>
      </c>
    </row>
    <row r="12355">
      <c r="A12355" t="n" s="0">
        <v>23.54</v>
      </c>
      <c r="B12355" t="n" s="0">
        <f>(-5-((((-5*(-5/((-5/(((-5*(23.54--5))-(-5+((-5*23.54)*(((-5--5)+(23.54--5))+23.54))))-(-5+-5)))*-5)))/-5)--5)+(-5*(((23.54*(23.54-(-5/-5)))*(23.54-(23.54/(-5*23.54))))-(-5/-5)))))</f>
        <v>64166.64612</v>
      </c>
      <c r="C12355" t="n" s="0">
        <v>64166.64612</v>
      </c>
    </row>
    <row r="12356">
      <c r="A12356" t="n" s="0">
        <v>23.55</v>
      </c>
      <c r="B12356" t="n" s="0">
        <f>(-5-((((-5*(-5/((-5/(((-5*(23.55--5))-(-5+((-5*23.55)*(((-5--5)+(23.55--5))+23.55))))-(-5+-5)))*-5)))/-5)--5)+(-5*(((23.55*(23.55-(-5/-5)))*(23.55-(23.55/(-5*23.55))))-(-5/-5)))))</f>
        <v>64248.889375</v>
      </c>
      <c r="C12356" t="n" s="0">
        <v>64248.889375000006</v>
      </c>
    </row>
    <row r="12357">
      <c r="A12357" t="n" s="0">
        <v>23.56</v>
      </c>
      <c r="B12357" t="n" s="0">
        <f>(-5-((((-5*(-5/((-5/(((-5*(23.56--5))-(-5+((-5*23.56)*(((-5--5)+(23.56--5))+23.56))))-(-5+-5)))*-5)))/-5)--5)+(-5*(((23.56*(23.56-(-5/-5)))*(23.56-(23.56/(-5*23.56))))-(-5/-5)))))</f>
        <v>64331.20288</v>
      </c>
      <c r="C12357" t="n" s="0">
        <v>64331.20287999999</v>
      </c>
    </row>
    <row r="12358">
      <c r="A12358" t="n" s="0">
        <v>23.57</v>
      </c>
      <c r="B12358" t="n" s="0">
        <f>(-5-((((-5*(-5/((-5/(((-5*(23.57--5))-(-5+((-5*23.57)*(((-5--5)+(23.57--5))+23.57))))-(-5+-5)))*-5)))/-5)--5)+(-5*(((23.57*(23.57-(-5/-5)))*(23.57-(23.57/(-5*23.57))))-(-5/-5)))))</f>
        <v>64413.586665</v>
      </c>
      <c r="C12358" t="n" s="0">
        <v>64413.586665</v>
      </c>
    </row>
    <row r="12359">
      <c r="A12359" t="n" s="0">
        <v>23.58</v>
      </c>
      <c r="B12359" t="n" s="0">
        <f>(-5-((((-5*(-5/((-5/(((-5*(23.58--5))-(-5+((-5*23.58)*(((-5--5)+(23.58--5))+23.58))))-(-5+-5)))*-5)))/-5)--5)+(-5*(((23.58*(23.58-(-5/-5)))*(23.58-(23.58/(-5*23.58))))-(-5/-5)))))</f>
        <v>64496.04076</v>
      </c>
      <c r="C12359" t="n" s="0">
        <v>64496.04075999998</v>
      </c>
    </row>
    <row r="12360">
      <c r="A12360" t="n" s="0">
        <v>23.59</v>
      </c>
      <c r="B12360" t="n" s="0">
        <f>(-5-((((-5*(-5/((-5/(((-5*(23.59--5))-(-5+((-5*23.59)*(((-5--5)+(23.59--5))+23.59))))-(-5+-5)))*-5)))/-5)--5)+(-5*(((23.59*(23.59-(-5/-5)))*(23.59-(23.59/(-5*23.59))))-(-5/-5)))))</f>
        <v>64578.565194999996</v>
      </c>
      <c r="C12360" t="n" s="0">
        <v>64578.565195</v>
      </c>
    </row>
    <row r="12361">
      <c r="A12361" t="n" s="0">
        <v>23.6</v>
      </c>
      <c r="B12361" t="n" s="0">
        <f>(-5-((((-5*(-5/((-5/(((-5*(23.6--5))-(-5+((-5*23.6)*(((-5--5)+(23.6--5))+23.6))))-(-5+-5)))*-5)))/-5)--5)+(-5*(((23.6*(23.6-(-5/-5)))*(23.6-(23.6/(-5*23.6))))-(-5/-5)))))</f>
        <v>64661.159999999996</v>
      </c>
      <c r="C12361" t="n" s="0">
        <v>64661.16000000002</v>
      </c>
    </row>
    <row r="12362">
      <c r="A12362" t="n" s="0">
        <v>23.61</v>
      </c>
      <c r="B12362" t="n" s="0">
        <f>(-5-((((-5*(-5/((-5/(((-5*(23.61--5))-(-5+((-5*23.61)*(((-5--5)+(23.61--5))+23.61))))-(-5+-5)))*-5)))/-5)--5)+(-5*(((23.61*(23.61-(-5/-5)))*(23.61-(23.61/(-5*23.61))))-(-5/-5)))))</f>
        <v>64743.825205</v>
      </c>
      <c r="C12362" t="n" s="0">
        <v>64743.825205</v>
      </c>
    </row>
    <row r="12363">
      <c r="A12363" t="n" s="0">
        <v>23.62</v>
      </c>
      <c r="B12363" t="n" s="0">
        <f>(-5-((((-5*(-5/((-5/(((-5*(23.62--5))-(-5+((-5*23.62)*(((-5--5)+(23.62--5))+23.62))))-(-5+-5)))*-5)))/-5)--5)+(-5*(((23.62*(23.62-(-5/-5)))*(23.62-(23.62/(-5*23.62))))-(-5/-5)))))</f>
        <v>64826.560840000006</v>
      </c>
      <c r="C12363" t="n" s="0">
        <v>64826.560840000006</v>
      </c>
    </row>
    <row r="12364">
      <c r="A12364" t="n" s="0">
        <v>23.63</v>
      </c>
      <c r="B12364" t="n" s="0">
        <f>(-5-((((-5*(-5/((-5/(((-5*(23.63--5))-(-5+((-5*23.63)*(((-5--5)+(23.63--5))+23.63))))-(-5+-5)))*-5)))/-5)--5)+(-5*(((23.63*(23.63-(-5/-5)))*(23.63-(23.63/(-5*23.63))))-(-5/-5)))))</f>
        <v>64909.366935000005</v>
      </c>
      <c r="C12364" t="n" s="0">
        <v>64909.36693499999</v>
      </c>
    </row>
    <row r="12365">
      <c r="A12365" t="n" s="0">
        <v>23.64</v>
      </c>
      <c r="B12365" t="n" s="0">
        <f>(-5-((((-5*(-5/((-5/(((-5*(23.64--5))-(-5+((-5*23.64)*(((-5--5)+(23.64--5))+23.64))))-(-5+-5)))*-5)))/-5)--5)+(-5*(((23.64*(23.64-(-5/-5)))*(23.64-(23.64/(-5*23.64))))-(-5/-5)))))</f>
        <v>64992.24352</v>
      </c>
      <c r="C12365" t="n" s="0">
        <v>64992.24352</v>
      </c>
    </row>
    <row r="12366">
      <c r="A12366" t="n" s="0">
        <v>23.65</v>
      </c>
      <c r="B12366" t="n" s="0">
        <f>(-5-((((-5*(-5/((-5/(((-5*(23.65--5))-(-5+((-5*23.65)*(((-5--5)+(23.65--5))+23.65))))-(-5+-5)))*-5)))/-5)--5)+(-5*(((23.65*(23.65-(-5/-5)))*(23.65-(23.65/(-5*23.65))))-(-5/-5)))))</f>
        <v>65075.190625</v>
      </c>
      <c r="C12366" t="n" s="0">
        <v>65075.190624999996</v>
      </c>
    </row>
    <row r="12367">
      <c r="A12367" t="n" s="0">
        <v>23.66</v>
      </c>
      <c r="B12367" t="n" s="0">
        <f>(-5-((((-5*(-5/((-5/(((-5*(23.66--5))-(-5+((-5*23.66)*(((-5--5)+(23.66--5))+23.66))))-(-5+-5)))*-5)))/-5)--5)+(-5*(((23.66*(23.66-(-5/-5)))*(23.66-(23.66/(-5*23.66))))-(-5/-5)))))</f>
        <v>65158.20828</v>
      </c>
      <c r="C12367" t="n" s="0">
        <v>65158.208280000006</v>
      </c>
    </row>
    <row r="12368">
      <c r="A12368" t="n" s="0">
        <v>23.67</v>
      </c>
      <c r="B12368" t="n" s="0">
        <f>(-5-((((-5*(-5/((-5/(((-5*(23.67--5))-(-5+((-5*23.67)*(((-5--5)+(23.67--5))+23.67))))-(-5+-5)))*-5)))/-5)--5)+(-5*(((23.67*(23.67-(-5/-5)))*(23.67-(23.67/(-5*23.67))))-(-5/-5)))))</f>
        <v>65241.296515</v>
      </c>
      <c r="C12368" t="n" s="0">
        <v>65241.296515000024</v>
      </c>
    </row>
    <row r="12369">
      <c r="A12369" t="n" s="0">
        <v>23.68</v>
      </c>
      <c r="B12369" t="n" s="0">
        <f>(-5-((((-5*(-5/((-5/(((-5*(23.68--5))-(-5+((-5*23.68)*(((-5--5)+(23.68--5))+23.68))))-(-5+-5)))*-5)))/-5)--5)+(-5*(((23.68*(23.68-(-5/-5)))*(23.68-(23.68/(-5*23.68))))-(-5/-5)))))</f>
        <v>65324.45536</v>
      </c>
      <c r="C12369" t="n" s="0">
        <v>65324.45535999999</v>
      </c>
    </row>
    <row r="12370">
      <c r="A12370" t="n" s="0">
        <v>23.69</v>
      </c>
      <c r="B12370" t="n" s="0">
        <f>(-5-((((-5*(-5/((-5/(((-5*(23.69--5))-(-5+((-5*23.69)*(((-5--5)+(23.69--5))+23.69))))-(-5+-5)))*-5)))/-5)--5)+(-5*(((23.69*(23.69-(-5/-5)))*(23.69-(23.69/(-5*23.69))))-(-5/-5)))))</f>
        <v>65407.684844999996</v>
      </c>
      <c r="C12370" t="n" s="0">
        <v>65407.68484500001</v>
      </c>
    </row>
    <row r="12371">
      <c r="A12371" t="n" s="0">
        <v>23.7</v>
      </c>
      <c r="B12371" t="n" s="0">
        <f>(-5-((((-5*(-5/((-5/(((-5*(23.7--5))-(-5+((-5*23.7)*(((-5--5)+(23.7--5))+23.7))))-(-5+-5)))*-5)))/-5)--5)+(-5*(((23.7*(23.7-(-5/-5)))*(23.7-(23.7/(-5*23.7))))-(-5/-5)))))</f>
        <v>65490.985</v>
      </c>
      <c r="C12371" t="n" s="0">
        <v>65490.984999999986</v>
      </c>
    </row>
    <row r="12372">
      <c r="A12372" t="n" s="0">
        <v>23.71</v>
      </c>
      <c r="B12372" t="n" s="0">
        <f>(-5-((((-5*(-5/((-5/(((-5*(23.71--5))-(-5+((-5*23.71)*(((-5--5)+(23.71--5))+23.71))))-(-5+-5)))*-5)))/-5)--5)+(-5*(((23.71*(23.71-(-5/-5)))*(23.71-(23.71/(-5*23.71))))-(-5/-5)))))</f>
        <v>65574.355855</v>
      </c>
      <c r="C12372" t="n" s="0">
        <v>65574.35585500002</v>
      </c>
    </row>
    <row r="12373">
      <c r="A12373" t="n" s="0">
        <v>23.72</v>
      </c>
      <c r="B12373" t="n" s="0">
        <f>(-5-((((-5*(-5/((-5/(((-5*(23.72--5))-(-5+((-5*23.72)*(((-5--5)+(23.72--5))+23.72))))-(-5+-5)))*-5)))/-5)--5)+(-5*(((23.72*(23.72-(-5/-5)))*(23.72-(23.72/(-5*23.72))))-(-5/-5)))))</f>
        <v>65657.79744</v>
      </c>
      <c r="C12373" t="n" s="0">
        <v>65657.79744</v>
      </c>
    </row>
    <row r="12374">
      <c r="A12374" t="n" s="0">
        <v>23.73</v>
      </c>
      <c r="B12374" t="n" s="0">
        <f>(-5-((((-5*(-5/((-5/(((-5*(23.73--5))-(-5+((-5*23.73)*(((-5--5)+(23.73--5))+23.73))))-(-5+-5)))*-5)))/-5)--5)+(-5*(((23.73*(23.73-(-5/-5)))*(23.73-(23.73/(-5*23.73))))-(-5/-5)))))</f>
        <v>65741.309785</v>
      </c>
      <c r="C12374" t="n" s="0">
        <v>65741.309785</v>
      </c>
    </row>
    <row r="12375">
      <c r="A12375" t="n" s="0">
        <v>23.74</v>
      </c>
      <c r="B12375" t="n" s="0">
        <f>(-5-((((-5*(-5/((-5/(((-5*(23.74--5))-(-5+((-5*23.74)*(((-5--5)+(23.74--5))+23.74))))-(-5+-5)))*-5)))/-5)--5)+(-5*(((23.74*(23.74-(-5/-5)))*(23.74-(23.74/(-5*23.74))))-(-5/-5)))))</f>
        <v>65824.89292</v>
      </c>
      <c r="C12375" t="n" s="0">
        <v>65824.89292</v>
      </c>
    </row>
    <row r="12376">
      <c r="A12376" t="n" s="0">
        <v>23.75</v>
      </c>
      <c r="B12376" t="n" s="0">
        <f>(-5-((((-5*(-5/((-5/(((-5*(23.75--5))-(-5+((-5*23.75)*(((-5--5)+(23.75--5))+23.75))))-(-5+-5)))*-5)))/-5)--5)+(-5*(((23.75*(23.75-(-5/-5)))*(23.75-(23.75/(-5*23.75))))-(-5/-5)))))</f>
        <v>65908.546875</v>
      </c>
      <c r="C12376" t="n" s="0">
        <v>65908.546875</v>
      </c>
    </row>
    <row r="12377">
      <c r="A12377" t="n" s="0">
        <v>23.76</v>
      </c>
      <c r="B12377" t="n" s="0">
        <f>(-5-((((-5*(-5/((-5/(((-5*(23.76--5))-(-5+((-5*23.76)*(((-5--5)+(23.76--5))+23.76))))-(-5+-5)))*-5)))/-5)--5)+(-5*(((23.76*(23.76-(-5/-5)))*(23.76-(23.76/(-5*23.76))))-(-5/-5)))))</f>
        <v>65992.27167999999</v>
      </c>
      <c r="C12377" t="n" s="0">
        <v>65992.27168</v>
      </c>
    </row>
    <row r="12378">
      <c r="A12378" t="n" s="0">
        <v>23.77</v>
      </c>
      <c r="B12378" t="n" s="0">
        <f>(-5-((((-5*(-5/((-5/(((-5*(23.77--5))-(-5+((-5*23.77)*(((-5--5)+(23.77--5))+23.77))))-(-5+-5)))*-5)))/-5)--5)+(-5*(((23.77*(23.77-(-5/-5)))*(23.77-(23.77/(-5*23.77))))-(-5/-5)))))</f>
        <v>66076.067365</v>
      </c>
      <c r="C12378" t="n" s="0">
        <v>66076.067365</v>
      </c>
    </row>
    <row r="12379">
      <c r="A12379" t="n" s="0">
        <v>23.78</v>
      </c>
      <c r="B12379" t="n" s="0">
        <f>(-5-((((-5*(-5/((-5/(((-5*(23.78--5))-(-5+((-5*23.78)*(((-5--5)+(23.78--5))+23.78))))-(-5+-5)))*-5)))/-5)--5)+(-5*(((23.78*(23.78-(-5/-5)))*(23.78-(23.78/(-5*23.78))))-(-5/-5)))))</f>
        <v>66159.93396000001</v>
      </c>
      <c r="C12379" t="n" s="0">
        <v>66159.93396000001</v>
      </c>
    </row>
    <row r="12380">
      <c r="A12380" t="n" s="0">
        <v>23.79</v>
      </c>
      <c r="B12380" t="n" s="0">
        <f>(-5-((((-5*(-5/((-5/(((-5*(23.79--5))-(-5+((-5*23.79)*(((-5--5)+(23.79--5))+23.79))))-(-5+-5)))*-5)))/-5)--5)+(-5*(((23.79*(23.79-(-5/-5)))*(23.79-(23.79/(-5*23.79))))-(-5/-5)))))</f>
        <v>66243.871495</v>
      </c>
      <c r="C12380" t="n" s="0">
        <v>66243.871495</v>
      </c>
    </row>
    <row r="12381">
      <c r="A12381" t="n" s="0">
        <v>23.8</v>
      </c>
      <c r="B12381" t="n" s="0">
        <f>(-5-((((-5*(-5/((-5/(((-5*(23.8--5))-(-5+((-5*23.8)*(((-5--5)+(23.8--5))+23.8))))-(-5+-5)))*-5)))/-5)--5)+(-5*(((23.8*(23.8-(-5/-5)))*(23.8-(23.8/(-5*23.8))))-(-5/-5)))))</f>
        <v>66327.88</v>
      </c>
      <c r="C12381" t="n" s="0">
        <v>66327.87999999999</v>
      </c>
    </row>
    <row r="12382">
      <c r="A12382" t="n" s="0">
        <v>23.81</v>
      </c>
      <c r="B12382" t="n" s="0">
        <f>(-5-((((-5*(-5/((-5/(((-5*(23.81--5))-(-5+((-5*23.81)*(((-5--5)+(23.81--5))+23.81))))-(-5+-5)))*-5)))/-5)--5)+(-5*(((23.81*(23.81-(-5/-5)))*(23.81-(23.81/(-5*23.81))))-(-5/-5)))))</f>
        <v>66411.95950499999</v>
      </c>
      <c r="C12382" t="n" s="0">
        <v>66411.95950499998</v>
      </c>
    </row>
    <row r="12383">
      <c r="A12383" t="n" s="0">
        <v>23.82</v>
      </c>
      <c r="B12383" t="n" s="0">
        <f>(-5-((((-5*(-5/((-5/(((-5*(23.82--5))-(-5+((-5*23.82)*(((-5--5)+(23.82--5))+23.82))))-(-5+-5)))*-5)))/-5)--5)+(-5*(((23.82*(23.82-(-5/-5)))*(23.82-(23.82/(-5*23.82))))-(-5/-5)))))</f>
        <v>66496.11004</v>
      </c>
      <c r="C12383" t="n" s="0">
        <v>66496.11004000001</v>
      </c>
    </row>
    <row r="12384">
      <c r="A12384" t="n" s="0">
        <v>23.83</v>
      </c>
      <c r="B12384" t="n" s="0">
        <f>(-5-((((-5*(-5/((-5/(((-5*(23.83--5))-(-5+((-5*23.83)*(((-5--5)+(23.83--5))+23.83))))-(-5+-5)))*-5)))/-5)--5)+(-5*(((23.83*(23.83-(-5/-5)))*(23.83-(23.83/(-5*23.83))))-(-5/-5)))))</f>
        <v>66580.331635</v>
      </c>
      <c r="C12384" t="n" s="0">
        <v>66580.331635</v>
      </c>
    </row>
    <row r="12385">
      <c r="A12385" t="n" s="0">
        <v>23.84</v>
      </c>
      <c r="B12385" t="n" s="0">
        <f>(-5-((((-5*(-5/((-5/(((-5*(23.84--5))-(-5+((-5*23.84)*(((-5--5)+(23.84--5))+23.84))))-(-5+-5)))*-5)))/-5)--5)+(-5*(((23.84*(23.84-(-5/-5)))*(23.84-(23.84/(-5*23.84))))-(-5/-5)))))</f>
        <v>66664.62432</v>
      </c>
      <c r="C12385" t="n" s="0">
        <v>66664.62432</v>
      </c>
    </row>
    <row r="12386">
      <c r="A12386" t="n" s="0">
        <v>23.85</v>
      </c>
      <c r="B12386" t="n" s="0">
        <f>(-5-((((-5*(-5/((-5/(((-5*(23.85--5))-(-5+((-5*23.85)*(((-5--5)+(23.85--5))+23.85))))-(-5+-5)))*-5)))/-5)--5)+(-5*(((23.85*(23.85-(-5/-5)))*(23.85-(23.85/(-5*23.85))))-(-5/-5)))))</f>
        <v>66748.988125</v>
      </c>
      <c r="C12386" t="n" s="0">
        <v>66748.988125</v>
      </c>
    </row>
    <row r="12387">
      <c r="A12387" t="n" s="0">
        <v>23.86</v>
      </c>
      <c r="B12387" t="n" s="0">
        <f>(-5-((((-5*(-5/((-5/(((-5*(23.86--5))-(-5+((-5*23.86)*(((-5--5)+(23.86--5))+23.86))))-(-5+-5)))*-5)))/-5)--5)+(-5*(((23.86*(23.86-(-5/-5)))*(23.86-(23.86/(-5*23.86))))-(-5/-5)))))</f>
        <v>66833.42308</v>
      </c>
      <c r="C12387" t="n" s="0">
        <v>66833.42308</v>
      </c>
    </row>
    <row r="12388">
      <c r="A12388" t="n" s="0">
        <v>23.87</v>
      </c>
      <c r="B12388" t="n" s="0">
        <f>(-5-((((-5*(-5/((-5/(((-5*(23.87--5))-(-5+((-5*23.87)*(((-5--5)+(23.87--5))+23.87))))-(-5+-5)))*-5)))/-5)--5)+(-5*(((23.87*(23.87-(-5/-5)))*(23.87-(23.87/(-5*23.87))))-(-5/-5)))))</f>
        <v>66917.92921500001</v>
      </c>
      <c r="C12388" t="n" s="0">
        <v>66917.92921500001</v>
      </c>
    </row>
    <row r="12389">
      <c r="A12389" t="n" s="0">
        <v>23.88</v>
      </c>
      <c r="B12389" t="n" s="0">
        <f>(-5-((((-5*(-5/((-5/(((-5*(23.88--5))-(-5+((-5*23.88)*(((-5--5)+(23.88--5))+23.88))))-(-5+-5)))*-5)))/-5)--5)+(-5*(((23.88*(23.88-(-5/-5)))*(23.88-(23.88/(-5*23.88))))-(-5/-5)))))</f>
        <v>67002.50656</v>
      </c>
      <c r="C12389" t="n" s="0">
        <v>67002.50656</v>
      </c>
    </row>
    <row r="12390">
      <c r="A12390" t="n" s="0">
        <v>23.89</v>
      </c>
      <c r="B12390" t="n" s="0">
        <f>(-5-((((-5*(-5/((-5/(((-5*(23.89--5))-(-5+((-5*23.89)*(((-5--5)+(23.89--5))+23.89))))-(-5+-5)))*-5)))/-5)--5)+(-5*(((23.89*(23.89-(-5/-5)))*(23.89-(23.89/(-5*23.89))))-(-5/-5)))))</f>
        <v>67087.155145</v>
      </c>
      <c r="C12390" t="n" s="0">
        <v>67087.155145</v>
      </c>
    </row>
    <row r="12391">
      <c r="A12391" t="n" s="0">
        <v>23.9</v>
      </c>
      <c r="B12391" t="n" s="0">
        <f>(-5-((((-5*(-5/((-5/(((-5*(23.9--5))-(-5+((-5*23.9)*(((-5--5)+(23.9--5))+23.9))))-(-5+-5)))*-5)))/-5)--5)+(-5*(((23.9*(23.9-(-5/-5)))*(23.9-(23.9/(-5*23.9))))-(-5/-5)))))</f>
        <v>67171.875</v>
      </c>
      <c r="C12391" t="n" s="0">
        <v>67171.87499999999</v>
      </c>
    </row>
    <row r="12392">
      <c r="A12392" t="n" s="0">
        <v>23.91</v>
      </c>
      <c r="B12392" t="n" s="0">
        <f>(-5-((((-5*(-5/((-5/(((-5*(23.91--5))-(-5+((-5*23.91)*(((-5--5)+(23.91--5))+23.91))))-(-5+-5)))*-5)))/-5)--5)+(-5*(((23.91*(23.91-(-5/-5)))*(23.91-(23.91/(-5*23.91))))-(-5/-5)))))</f>
        <v>67256.666155</v>
      </c>
      <c r="C12392" t="n" s="0">
        <v>67256.666155</v>
      </c>
    </row>
    <row r="12393">
      <c r="A12393" t="n" s="0">
        <v>23.92</v>
      </c>
      <c r="B12393" t="n" s="0">
        <f>(-5-((((-5*(-5/((-5/(((-5*(23.92--5))-(-5+((-5*23.92)*(((-5--5)+(23.92--5))+23.92))))-(-5+-5)))*-5)))/-5)--5)+(-5*(((23.92*(23.92-(-5/-5)))*(23.92-(23.92/(-5*23.92))))-(-5/-5)))))</f>
        <v>67341.52863999999</v>
      </c>
      <c r="C12393" t="n" s="0">
        <v>67341.52864</v>
      </c>
    </row>
    <row r="12394">
      <c r="A12394" t="n" s="0">
        <v>23.93</v>
      </c>
      <c r="B12394" t="n" s="0">
        <f>(-5-((((-5*(-5/((-5/(((-5*(23.93--5))-(-5+((-5*23.93)*(((-5--5)+(23.93--5))+23.93))))-(-5+-5)))*-5)))/-5)--5)+(-5*(((23.93*(23.93-(-5/-5)))*(23.93-(23.93/(-5*23.93))))-(-5/-5)))))</f>
        <v>67426.462485</v>
      </c>
      <c r="C12394" t="n" s="0">
        <v>67426.462485</v>
      </c>
    </row>
    <row r="12395">
      <c r="A12395" t="n" s="0">
        <v>23.94</v>
      </c>
      <c r="B12395" t="n" s="0">
        <f>(-5-((((-5*(-5/((-5/(((-5*(23.94--5))-(-5+((-5*23.94)*(((-5--5)+(23.94--5))+23.94))))-(-5+-5)))*-5)))/-5)--5)+(-5*(((23.94*(23.94-(-5/-5)))*(23.94-(23.94/(-5*23.94))))-(-5/-5)))))</f>
        <v>67511.46771999999</v>
      </c>
      <c r="C12395" t="n" s="0">
        <v>67511.46772000002</v>
      </c>
    </row>
    <row r="12396">
      <c r="A12396" t="n" s="0">
        <v>23.95</v>
      </c>
      <c r="B12396" t="n" s="0">
        <f>(-5-((((-5*(-5/((-5/(((-5*(23.95--5))-(-5+((-5*23.95)*(((-5--5)+(23.95--5))+23.95))))-(-5+-5)))*-5)))/-5)--5)+(-5*(((23.95*(23.95-(-5/-5)))*(23.95-(23.95/(-5*23.95))))-(-5/-5)))))</f>
        <v>67596.544375</v>
      </c>
      <c r="C12396" t="n" s="0">
        <v>67596.544375</v>
      </c>
    </row>
    <row r="12397">
      <c r="A12397" t="n" s="0">
        <v>23.96</v>
      </c>
      <c r="B12397" t="n" s="0">
        <f>(-5-((((-5*(-5/((-5/(((-5*(23.96--5))-(-5+((-5*23.96)*(((-5--5)+(23.96--5))+23.96))))-(-5+-5)))*-5)))/-5)--5)+(-5*(((23.96*(23.96-(-5/-5)))*(23.96-(23.96/(-5*23.96))))-(-5/-5)))))</f>
        <v>67681.69248000001</v>
      </c>
      <c r="C12397" t="n" s="0">
        <v>67681.69248000001</v>
      </c>
    </row>
    <row r="12398">
      <c r="A12398" t="n" s="0">
        <v>23.97</v>
      </c>
      <c r="B12398" t="n" s="0">
        <f>(-5-((((-5*(-5/((-5/(((-5*(23.97--5))-(-5+((-5*23.97)*(((-5--5)+(23.97--5))+23.97))))-(-5+-5)))*-5)))/-5)--5)+(-5*(((23.97*(23.97-(-5/-5)))*(23.97-(23.97/(-5*23.97))))-(-5/-5)))))</f>
        <v>67766.912065</v>
      </c>
      <c r="C12398" t="n" s="0">
        <v>67766.912065</v>
      </c>
    </row>
    <row r="12399">
      <c r="A12399" t="n" s="0">
        <v>23.98</v>
      </c>
      <c r="B12399" t="n" s="0">
        <f>(-5-((((-5*(-5/((-5/(((-5*(23.98--5))-(-5+((-5*23.98)*(((-5--5)+(23.98--5))+23.98))))-(-5+-5)))*-5)))/-5)--5)+(-5*(((23.98*(23.98-(-5/-5)))*(23.98-(23.98/(-5*23.98))))-(-5/-5)))))</f>
        <v>67852.20315999999</v>
      </c>
      <c r="C12399" t="n" s="0">
        <v>67852.20316000002</v>
      </c>
    </row>
    <row r="12400">
      <c r="A12400" t="n" s="0">
        <v>23.99</v>
      </c>
      <c r="B12400" t="n" s="0">
        <f>(-5-((((-5*(-5/((-5/(((-5*(23.99--5))-(-5+((-5*23.99)*(((-5--5)+(23.99--5))+23.99))))-(-5+-5)))*-5)))/-5)--5)+(-5*(((23.99*(23.99-(-5/-5)))*(23.99-(23.99/(-5*23.99))))-(-5/-5)))))</f>
        <v>67937.56579499999</v>
      </c>
      <c r="C12400" t="n" s="0">
        <v>67937.56579499999</v>
      </c>
    </row>
    <row r="12401">
      <c r="A12401" t="n" s="0">
        <v>24.0</v>
      </c>
      <c r="B12401" t="n" s="0">
        <f>(-5-((((-5*(-5/((-5/(((-5*(24--5))-(-5+((-5*24)*(((-5--5)+(24--5))+24))))-(-5+-5)))*-5)))/-5)--5)+(-5*(((24*(24-(-5/-5)))*(24-(24/(-5*24))))-(-5/-5)))))</f>
        <v>68023.0</v>
      </c>
      <c r="C12401" t="n" s="0">
        <v>68023.0</v>
      </c>
    </row>
    <row r="12402">
      <c r="A12402" t="n" s="0">
        <v>24.01</v>
      </c>
      <c r="B12402" t="n" s="0">
        <f>(-5-((((-5*(-5/((-5/(((-5*(24.01--5))-(-5+((-5*24.01)*(((-5--5)+(24.01--5))+24.01))))-(-5+-5)))*-5)))/-5)--5)+(-5*(((24.01*(24.01-(-5/-5)))*(24.01-(24.01/(-5*24.01))))-(-5/-5)))))</f>
        <v>68108.505805</v>
      </c>
      <c r="C12402" t="n" s="0">
        <v>68108.50580500001</v>
      </c>
    </row>
    <row r="12403">
      <c r="A12403" t="n" s="0">
        <v>24.02</v>
      </c>
      <c r="B12403" t="n" s="0">
        <f>(-5-((((-5*(-5/((-5/(((-5*(24.02--5))-(-5+((-5*24.02)*(((-5--5)+(24.02--5))+24.02))))-(-5+-5)))*-5)))/-5)--5)+(-5*(((24.02*(24.02-(-5/-5)))*(24.02-(24.02/(-5*24.02))))-(-5/-5)))))</f>
        <v>68194.08323999999</v>
      </c>
      <c r="C12403" t="n" s="0">
        <v>68194.08323999998</v>
      </c>
    </row>
    <row r="12404">
      <c r="A12404" t="n" s="0">
        <v>24.03</v>
      </c>
      <c r="B12404" t="n" s="0">
        <f>(-5-((((-5*(-5/((-5/(((-5*(24.03--5))-(-5+((-5*24.03)*(((-5--5)+(24.03--5))+24.03))))-(-5+-5)))*-5)))/-5)--5)+(-5*(((24.03*(24.03-(-5/-5)))*(24.03-(24.03/(-5*24.03))))-(-5/-5)))))</f>
        <v>68279.732335</v>
      </c>
      <c r="C12404" t="n" s="0">
        <v>68279.73233500001</v>
      </c>
    </row>
    <row r="12405">
      <c r="A12405" t="n" s="0">
        <v>24.04</v>
      </c>
      <c r="B12405" t="n" s="0">
        <f>(-5-((((-5*(-5/((-5/(((-5*(24.04--5))-(-5+((-5*24.04)*(((-5--5)+(24.04--5))+24.04))))-(-5+-5)))*-5)))/-5)--5)+(-5*(((24.04*(24.04-(-5/-5)))*(24.04-(24.04/(-5*24.04))))-(-5/-5)))))</f>
        <v>68365.45312</v>
      </c>
      <c r="C12405" t="n" s="0">
        <v>68365.45311999999</v>
      </c>
    </row>
    <row r="12406">
      <c r="A12406" t="n" s="0">
        <v>24.05</v>
      </c>
      <c r="B12406" t="n" s="0">
        <f>(-5-((((-5*(-5/((-5/(((-5*(24.05--5))-(-5+((-5*24.05)*(((-5--5)+(24.05--5))+24.05))))-(-5+-5)))*-5)))/-5)--5)+(-5*(((24.05*(24.05-(-5/-5)))*(24.05-(24.05/(-5*24.05))))-(-5/-5)))))</f>
        <v>68451.24562500001</v>
      </c>
      <c r="C12406" t="n" s="0">
        <v>68451.24562500001</v>
      </c>
    </row>
    <row r="12407">
      <c r="A12407" t="n" s="0">
        <v>24.06</v>
      </c>
      <c r="B12407" t="n" s="0">
        <f>(-5-((((-5*(-5/((-5/(((-5*(24.06--5))-(-5+((-5*24.06)*(((-5--5)+(24.06--5))+24.06))))-(-5+-5)))*-5)))/-5)--5)+(-5*(((24.06*(24.06-(-5/-5)))*(24.06-(24.06/(-5*24.06))))-(-5/-5)))))</f>
        <v>68537.10988</v>
      </c>
      <c r="C12407" t="n" s="0">
        <v>68537.10987999997</v>
      </c>
    </row>
    <row r="12408">
      <c r="A12408" t="n" s="0">
        <v>24.07</v>
      </c>
      <c r="B12408" t="n" s="0">
        <f>(-5-((((-5*(-5/((-5/(((-5*(24.07--5))-(-5+((-5*24.07)*(((-5--5)+(24.07--5))+24.07))))-(-5+-5)))*-5)))/-5)--5)+(-5*(((24.07*(24.07-(-5/-5)))*(24.07-(24.07/(-5*24.07))))-(-5/-5)))))</f>
        <v>68623.045915</v>
      </c>
      <c r="C12408" t="n" s="0">
        <v>68623.04591500001</v>
      </c>
    </row>
    <row r="12409">
      <c r="A12409" t="n" s="0">
        <v>24.08</v>
      </c>
      <c r="B12409" t="n" s="0">
        <f>(-5-((((-5*(-5/((-5/(((-5*(24.08--5))-(-5+((-5*24.08)*(((-5--5)+(24.08--5))+24.08))))-(-5+-5)))*-5)))/-5)--5)+(-5*(((24.08*(24.08-(-5/-5)))*(24.08-(24.08/(-5*24.08))))-(-5/-5)))))</f>
        <v>68709.05376</v>
      </c>
      <c r="C12409" t="n" s="0">
        <v>68709.05375999998</v>
      </c>
    </row>
    <row r="12410">
      <c r="A12410" t="n" s="0">
        <v>24.09</v>
      </c>
      <c r="B12410" t="n" s="0">
        <f>(-5-((((-5*(-5/((-5/(((-5*(24.09--5))-(-5+((-5*24.09)*(((-5--5)+(24.09--5))+24.09))))-(-5+-5)))*-5)))/-5)--5)+(-5*(((24.09*(24.09-(-5/-5)))*(24.09-(24.09/(-5*24.09))))-(-5/-5)))))</f>
        <v>68795.133445</v>
      </c>
      <c r="C12410" t="n" s="0">
        <v>68795.133445</v>
      </c>
    </row>
    <row r="12411">
      <c r="A12411" t="n" s="0">
        <v>24.1</v>
      </c>
      <c r="B12411" t="n" s="0">
        <f>(-5-((((-5*(-5/((-5/(((-5*(24.1--5))-(-5+((-5*24.1)*(((-5--5)+(24.1--5))+24.1))))-(-5+-5)))*-5)))/-5)--5)+(-5*(((24.1*(24.1-(-5/-5)))*(24.1-(24.1/(-5*24.1))))-(-5/-5)))))</f>
        <v>68881.285</v>
      </c>
      <c r="C12411" t="n" s="0">
        <v>68881.28500000002</v>
      </c>
    </row>
    <row r="12412">
      <c r="A12412" t="n" s="0">
        <v>24.11</v>
      </c>
      <c r="B12412" t="n" s="0">
        <f>(-5-((((-5*(-5/((-5/(((-5*(24.11--5))-(-5+((-5*24.11)*(((-5--5)+(24.11--5))+24.11))))-(-5+-5)))*-5)))/-5)--5)+(-5*(((24.11*(24.11-(-5/-5)))*(24.11-(24.11/(-5*24.11))))-(-5/-5)))))</f>
        <v>68967.508455</v>
      </c>
      <c r="C12412" t="n" s="0">
        <v>68967.508455</v>
      </c>
    </row>
    <row r="12413">
      <c r="A12413" t="n" s="0">
        <v>24.12</v>
      </c>
      <c r="B12413" t="n" s="0">
        <f>(-5-((((-5*(-5/((-5/(((-5*(24.12--5))-(-5+((-5*24.12)*(((-5--5)+(24.12--5))+24.12))))-(-5+-5)))*-5)))/-5)--5)+(-5*(((24.12*(24.12-(-5/-5)))*(24.12-(24.12/(-5*24.12))))-(-5/-5)))))</f>
        <v>69053.80384</v>
      </c>
      <c r="C12413" t="n" s="0">
        <v>69053.80384000001</v>
      </c>
    </row>
    <row r="12414">
      <c r="A12414" t="n" s="0">
        <v>24.13</v>
      </c>
      <c r="B12414" t="n" s="0">
        <f>(-5-((((-5*(-5/((-5/(((-5*(24.13--5))-(-5+((-5*24.13)*(((-5--5)+(24.13--5))+24.13))))-(-5+-5)))*-5)))/-5)--5)+(-5*(((24.13*(24.13-(-5/-5)))*(24.13-(24.13/(-5*24.13))))-(-5/-5)))))</f>
        <v>69140.171185</v>
      </c>
      <c r="C12414" t="n" s="0">
        <v>69140.17118499998</v>
      </c>
    </row>
    <row r="12415">
      <c r="A12415" t="n" s="0">
        <v>24.14</v>
      </c>
      <c r="B12415" t="n" s="0">
        <f>(-5-((((-5*(-5/((-5/(((-5*(24.14--5))-(-5+((-5*24.14)*(((-5--5)+(24.14--5))+24.14))))-(-5+-5)))*-5)))/-5)--5)+(-5*(((24.14*(24.14-(-5/-5)))*(24.14-(24.14/(-5*24.14))))-(-5/-5)))))</f>
        <v>69226.61052</v>
      </c>
      <c r="C12415" t="n" s="0">
        <v>69226.61052</v>
      </c>
    </row>
    <row r="12416">
      <c r="A12416" t="n" s="0">
        <v>24.15</v>
      </c>
      <c r="B12416" t="n" s="0">
        <f>(-5-((((-5*(-5/((-5/(((-5*(24.15--5))-(-5+((-5*24.15)*(((-5--5)+(24.15--5))+24.15))))-(-5+-5)))*-5)))/-5)--5)+(-5*(((24.15*(24.15-(-5/-5)))*(24.15-(24.15/(-5*24.15))))-(-5/-5)))))</f>
        <v>69313.121875</v>
      </c>
      <c r="C12416" t="n" s="0">
        <v>69313.12187499998</v>
      </c>
    </row>
    <row r="12417">
      <c r="A12417" t="n" s="0">
        <v>24.16</v>
      </c>
      <c r="B12417" t="n" s="0">
        <f>(-5-((((-5*(-5/((-5/(((-5*(24.16--5))-(-5+((-5*24.16)*(((-5--5)+(24.16--5))+24.16))))-(-5+-5)))*-5)))/-5)--5)+(-5*(((24.16*(24.16-(-5/-5)))*(24.16-(24.16/(-5*24.16))))-(-5/-5)))))</f>
        <v>69399.70528</v>
      </c>
      <c r="C12417" t="n" s="0">
        <v>69399.70528</v>
      </c>
    </row>
    <row r="12418">
      <c r="A12418" t="n" s="0">
        <v>24.17</v>
      </c>
      <c r="B12418" t="n" s="0">
        <f>(-5-((((-5*(-5/((-5/(((-5*(24.17--5))-(-5+((-5*24.17)*(((-5--5)+(24.17--5))+24.17))))-(-5+-5)))*-5)))/-5)--5)+(-5*(((24.17*(24.17-(-5/-5)))*(24.17-(24.17/(-5*24.17))))-(-5/-5)))))</f>
        <v>69486.36076499999</v>
      </c>
      <c r="C12418" t="n" s="0">
        <v>69486.360765</v>
      </c>
    </row>
    <row r="12419">
      <c r="A12419" t="n" s="0">
        <v>24.18</v>
      </c>
      <c r="B12419" t="n" s="0">
        <f>(-5-((((-5*(-5/((-5/(((-5*(24.18--5))-(-5+((-5*24.18)*(((-5--5)+(24.18--5))+24.18))))-(-5+-5)))*-5)))/-5)--5)+(-5*(((24.18*(24.18-(-5/-5)))*(24.18-(24.18/(-5*24.18))))-(-5/-5)))))</f>
        <v>69573.08836</v>
      </c>
      <c r="C12419" t="n" s="0">
        <v>69573.08836</v>
      </c>
    </row>
    <row r="12420">
      <c r="A12420" t="n" s="0">
        <v>24.19</v>
      </c>
      <c r="B12420" t="n" s="0">
        <f>(-5-((((-5*(-5/((-5/(((-5*(24.19--5))-(-5+((-5*24.19)*(((-5--5)+(24.19--5))+24.19))))-(-5+-5)))*-5)))/-5)--5)+(-5*(((24.19*(24.19-(-5/-5)))*(24.19-(24.19/(-5*24.19))))-(-5/-5)))))</f>
        <v>69659.888095</v>
      </c>
      <c r="C12420" t="n" s="0">
        <v>69659.88809500002</v>
      </c>
    </row>
    <row r="12421">
      <c r="A12421" t="n" s="0">
        <v>24.2</v>
      </c>
      <c r="B12421" t="n" s="0">
        <f>(-5-((((-5*(-5/((-5/(((-5*(24.2--5))-(-5+((-5*24.2)*(((-5--5)+(24.2--5))+24.2))))-(-5+-5)))*-5)))/-5)--5)+(-5*(((24.2*(24.2-(-5/-5)))*(24.2-(24.2/(-5*24.2))))-(-5/-5)))))</f>
        <v>69746.76</v>
      </c>
      <c r="C12421" t="n" s="0">
        <v>69746.76000000001</v>
      </c>
    </row>
    <row r="12422">
      <c r="A12422" t="n" s="0">
        <v>24.21</v>
      </c>
      <c r="B12422" t="n" s="0">
        <f>(-5-((((-5*(-5/((-5/(((-5*(24.21--5))-(-5+((-5*24.21)*(((-5--5)+(24.21--5))+24.21))))-(-5+-5)))*-5)))/-5)--5)+(-5*(((24.21*(24.21-(-5/-5)))*(24.21-(24.21/(-5*24.21))))-(-5/-5)))))</f>
        <v>69833.704105</v>
      </c>
      <c r="C12422" t="n" s="0">
        <v>69833.70410500001</v>
      </c>
    </row>
    <row r="12423">
      <c r="A12423" t="n" s="0">
        <v>24.22</v>
      </c>
      <c r="B12423" t="n" s="0">
        <f>(-5-((((-5*(-5/((-5/(((-5*(24.22--5))-(-5+((-5*24.22)*(((-5--5)+(24.22--5))+24.22))))-(-5+-5)))*-5)))/-5)--5)+(-5*(((24.22*(24.22-(-5/-5)))*(24.22-(24.22/(-5*24.22))))-(-5/-5)))))</f>
        <v>69920.72044</v>
      </c>
      <c r="C12423" t="n" s="0">
        <v>69920.72044</v>
      </c>
    </row>
    <row r="12424">
      <c r="A12424" t="n" s="0">
        <v>24.23</v>
      </c>
      <c r="B12424" t="n" s="0">
        <f>(-5-((((-5*(-5/((-5/(((-5*(24.23--5))-(-5+((-5*24.23)*(((-5--5)+(24.23--5))+24.23))))-(-5+-5)))*-5)))/-5)--5)+(-5*(((24.23*(24.23-(-5/-5)))*(24.23-(24.23/(-5*24.23))))-(-5/-5)))))</f>
        <v>70007.809035</v>
      </c>
      <c r="C12424" t="n" s="0">
        <v>70007.809035</v>
      </c>
    </row>
    <row r="12425">
      <c r="A12425" t="n" s="0">
        <v>24.24</v>
      </c>
      <c r="B12425" t="n" s="0">
        <f>(-5-((((-5*(-5/((-5/(((-5*(24.24--5))-(-5+((-5*24.24)*(((-5--5)+(24.24--5))+24.24))))-(-5+-5)))*-5)))/-5)--5)+(-5*(((24.24*(24.24-(-5/-5)))*(24.24-(24.24/(-5*24.24))))-(-5/-5)))))</f>
        <v>70094.96992</v>
      </c>
      <c r="C12425" t="n" s="0">
        <v>70094.96991999999</v>
      </c>
    </row>
    <row r="12426">
      <c r="A12426" t="n" s="0">
        <v>24.25</v>
      </c>
      <c r="B12426" t="n" s="0">
        <f>(-5-((((-5*(-5/((-5/(((-5*(24.25--5))-(-5+((-5*24.25)*(((-5--5)+(24.25--5))+24.25))))-(-5+-5)))*-5)))/-5)--5)+(-5*(((24.25*(24.25-(-5/-5)))*(24.25-(24.25/(-5*24.25))))-(-5/-5)))))</f>
        <v>70182.203125</v>
      </c>
      <c r="C12426" t="n" s="0">
        <v>70182.203125</v>
      </c>
    </row>
    <row r="12427">
      <c r="A12427" t="n" s="0">
        <v>24.26</v>
      </c>
      <c r="B12427" t="n" s="0">
        <f>(-5-((((-5*(-5/((-5/(((-5*(24.26--5))-(-5+((-5*24.26)*(((-5--5)+(24.26--5))+24.26))))-(-5+-5)))*-5)))/-5)--5)+(-5*(((24.26*(24.26-(-5/-5)))*(24.26-(24.26/(-5*24.26))))-(-5/-5)))))</f>
        <v>70269.50868</v>
      </c>
      <c r="C12427" t="n" s="0">
        <v>70269.50868000001</v>
      </c>
    </row>
    <row r="12428">
      <c r="A12428" t="n" s="0">
        <v>24.27</v>
      </c>
      <c r="B12428" t="n" s="0">
        <f>(-5-((((-5*(-5/((-5/(((-5*(24.27--5))-(-5+((-5*24.27)*(((-5--5)+(24.27--5))+24.27))))-(-5+-5)))*-5)))/-5)--5)+(-5*(((24.27*(24.27-(-5/-5)))*(24.27-(24.27/(-5*24.27))))-(-5/-5)))))</f>
        <v>70356.886615</v>
      </c>
      <c r="C12428" t="n" s="0">
        <v>70356.886615</v>
      </c>
    </row>
    <row r="12429">
      <c r="A12429" t="n" s="0">
        <v>24.28</v>
      </c>
      <c r="B12429" t="n" s="0">
        <f>(-5-((((-5*(-5/((-5/(((-5*(24.28--5))-(-5+((-5*24.28)*(((-5--5)+(24.28--5))+24.28))))-(-5+-5)))*-5)))/-5)--5)+(-5*(((24.28*(24.28-(-5/-5)))*(24.28-(24.28/(-5*24.28))))-(-5/-5)))))</f>
        <v>70444.33696</v>
      </c>
      <c r="C12429" t="n" s="0">
        <v>70444.33696</v>
      </c>
    </row>
    <row r="12430">
      <c r="A12430" t="n" s="0">
        <v>24.29</v>
      </c>
      <c r="B12430" t="n" s="0">
        <f>(-5-((((-5*(-5/((-5/(((-5*(24.29--5))-(-5+((-5*24.29)*(((-5--5)+(24.29--5))+24.29))))-(-5+-5)))*-5)))/-5)--5)+(-5*(((24.29*(24.29-(-5/-5)))*(24.29-(24.29/(-5*24.29))))-(-5/-5)))))</f>
        <v>70531.859745</v>
      </c>
      <c r="C12430" t="n" s="0">
        <v>70531.859745</v>
      </c>
    </row>
    <row r="12431">
      <c r="A12431" t="n" s="0">
        <v>24.3</v>
      </c>
      <c r="B12431" t="n" s="0">
        <f>(-5-((((-5*(-5/((-5/(((-5*(24.3--5))-(-5+((-5*24.3)*(((-5--5)+(24.3--5))+24.3))))-(-5+-5)))*-5)))/-5)--5)+(-5*(((24.3*(24.3-(-5/-5)))*(24.3-(24.3/(-5*24.3))))-(-5/-5)))))</f>
        <v>70619.45499999999</v>
      </c>
      <c r="C12431" t="n" s="0">
        <v>70619.455</v>
      </c>
    </row>
    <row r="12432">
      <c r="A12432" t="n" s="0">
        <v>24.31</v>
      </c>
      <c r="B12432" t="n" s="0">
        <f>(-5-((((-5*(-5/((-5/(((-5*(24.31--5))-(-5+((-5*24.31)*(((-5--5)+(24.31--5))+24.31))))-(-5+-5)))*-5)))/-5)--5)+(-5*(((24.31*(24.31-(-5/-5)))*(24.31-(24.31/(-5*24.31))))-(-5/-5)))))</f>
        <v>70707.122755</v>
      </c>
      <c r="C12432" t="n" s="0">
        <v>70707.12275499999</v>
      </c>
    </row>
    <row r="12433">
      <c r="A12433" t="n" s="0">
        <v>24.32</v>
      </c>
      <c r="B12433" t="n" s="0">
        <f>(-5-((((-5*(-5/((-5/(((-5*(24.32--5))-(-5+((-5*24.32)*(((-5--5)+(24.32--5))+24.32))))-(-5+-5)))*-5)))/-5)--5)+(-5*(((24.32*(24.32-(-5/-5)))*(24.32-(24.32/(-5*24.32))))-(-5/-5)))))</f>
        <v>70794.86304000001</v>
      </c>
      <c r="C12433" t="n" s="0">
        <v>70794.86304000003</v>
      </c>
    </row>
    <row r="12434">
      <c r="A12434" t="n" s="0">
        <v>24.33</v>
      </c>
      <c r="B12434" t="n" s="0">
        <f>(-5-((((-5*(-5/((-5/(((-5*(24.33--5))-(-5+((-5*24.33)*(((-5--5)+(24.33--5))+24.33))))-(-5+-5)))*-5)))/-5)--5)+(-5*(((24.33*(24.33-(-5/-5)))*(24.33-(24.33/(-5*24.33))))-(-5/-5)))))</f>
        <v>70882.675885</v>
      </c>
      <c r="C12434" t="n" s="0">
        <v>70882.67588499999</v>
      </c>
    </row>
    <row r="12435">
      <c r="A12435" t="n" s="0">
        <v>24.34</v>
      </c>
      <c r="B12435" t="n" s="0">
        <f>(-5-((((-5*(-5/((-5/(((-5*(24.34--5))-(-5+((-5*24.34)*(((-5--5)+(24.34--5))+24.34))))-(-5+-5)))*-5)))/-5)--5)+(-5*(((24.34*(24.34-(-5/-5)))*(24.34-(24.34/(-5*24.34))))-(-5/-5)))))</f>
        <v>70970.56132</v>
      </c>
      <c r="C12435" t="n" s="0">
        <v>70970.56132000001</v>
      </c>
    </row>
    <row r="12436">
      <c r="A12436" t="n" s="0">
        <v>24.35</v>
      </c>
      <c r="B12436" t="n" s="0">
        <f>(-5-((((-5*(-5/((-5/(((-5*(24.35--5))-(-5+((-5*24.35)*(((-5--5)+(24.35--5))+24.35))))-(-5+-5)))*-5)))/-5)--5)+(-5*(((24.35*(24.35-(-5/-5)))*(24.35-(24.35/(-5*24.35))))-(-5/-5)))))</f>
        <v>71058.51937499999</v>
      </c>
      <c r="C12436" t="n" s="0">
        <v>71058.51937500002</v>
      </c>
    </row>
    <row r="12437">
      <c r="A12437" t="n" s="0">
        <v>24.36</v>
      </c>
      <c r="B12437" t="n" s="0">
        <f>(-5-((((-5*(-5/((-5/(((-5*(24.36--5))-(-5+((-5*24.36)*(((-5--5)+(24.36--5))+24.36))))-(-5+-5)))*-5)))/-5)--5)+(-5*(((24.36*(24.36-(-5/-5)))*(24.36-(24.36/(-5*24.36))))-(-5/-5)))))</f>
        <v>71146.55008</v>
      </c>
      <c r="C12437" t="n" s="0">
        <v>71146.55008</v>
      </c>
    </row>
    <row r="12438">
      <c r="A12438" t="n" s="0">
        <v>24.37</v>
      </c>
      <c r="B12438" t="n" s="0">
        <f>(-5-((((-5*(-5/((-5/(((-5*(24.37--5))-(-5+((-5*24.37)*(((-5--5)+(24.37--5))+24.37))))-(-5+-5)))*-5)))/-5)--5)+(-5*(((24.37*(24.37-(-5/-5)))*(24.37-(24.37/(-5*24.37))))-(-5/-5)))))</f>
        <v>71234.653465</v>
      </c>
      <c r="C12438" t="n" s="0">
        <v>71234.65346500001</v>
      </c>
    </row>
    <row r="12439">
      <c r="A12439" t="n" s="0">
        <v>24.38</v>
      </c>
      <c r="B12439" t="n" s="0">
        <f>(-5-((((-5*(-5/((-5/(((-5*(24.38--5))-(-5+((-5*24.38)*(((-5--5)+(24.38--5))+24.38))))-(-5+-5)))*-5)))/-5)--5)+(-5*(((24.38*(24.38-(-5/-5)))*(24.38-(24.38/(-5*24.38))))-(-5/-5)))))</f>
        <v>71322.82956</v>
      </c>
      <c r="C12439" t="n" s="0">
        <v>71322.82955999998</v>
      </c>
    </row>
    <row r="12440">
      <c r="A12440" t="n" s="0">
        <v>24.39</v>
      </c>
      <c r="B12440" t="n" s="0">
        <f>(-5-((((-5*(-5/((-5/(((-5*(24.39--5))-(-5+((-5*24.39)*(((-5--5)+(24.39--5))+24.39))))-(-5+-5)))*-5)))/-5)--5)+(-5*(((24.39*(24.39-(-5/-5)))*(24.39-(24.39/(-5*24.39))))-(-5/-5)))))</f>
        <v>71411.078395</v>
      </c>
      <c r="C12440" t="n" s="0">
        <v>71411.078395</v>
      </c>
    </row>
    <row r="12441">
      <c r="A12441" t="n" s="0">
        <v>24.4</v>
      </c>
      <c r="B12441" t="n" s="0">
        <f>(-5-((((-5*(-5/((-5/(((-5*(24.4--5))-(-5+((-5*24.4)*(((-5--5)+(24.4--5))+24.4))))-(-5+-5)))*-5)))/-5)--5)+(-5*(((24.4*(24.4-(-5/-5)))*(24.4-(24.4/(-5*24.4))))-(-5/-5)))))</f>
        <v>71499.40000000001</v>
      </c>
      <c r="C12441" t="n" s="0">
        <v>71499.39999999998</v>
      </c>
    </row>
    <row r="12442">
      <c r="A12442" t="n" s="0">
        <v>24.41</v>
      </c>
      <c r="B12442" t="n" s="0">
        <f>(-5-((((-5*(-5/((-5/(((-5*(24.41--5))-(-5+((-5*24.41)*(((-5--5)+(24.41--5))+24.41))))-(-5+-5)))*-5)))/-5)--5)+(-5*(((24.41*(24.41-(-5/-5)))*(24.41-(24.41/(-5*24.41))))-(-5/-5)))))</f>
        <v>71587.79440500001</v>
      </c>
      <c r="C12442" t="n" s="0">
        <v>71587.794405</v>
      </c>
    </row>
    <row r="12443">
      <c r="A12443" t="n" s="0">
        <v>24.42</v>
      </c>
      <c r="B12443" t="n" s="0">
        <f>(-5-((((-5*(-5/((-5/(((-5*(24.42--5))-(-5+((-5*24.42)*(((-5--5)+(24.42--5))+24.42))))-(-5+-5)))*-5)))/-5)--5)+(-5*(((24.42*(24.42-(-5/-5)))*(24.42-(24.42/(-5*24.42))))-(-5/-5)))))</f>
        <v>71676.26164</v>
      </c>
      <c r="C12443" t="n" s="0">
        <v>71676.26164000001</v>
      </c>
    </row>
    <row r="12444">
      <c r="A12444" t="n" s="0">
        <v>24.43</v>
      </c>
      <c r="B12444" t="n" s="0">
        <f>(-5-((((-5*(-5/((-5/(((-5*(24.43--5))-(-5+((-5*24.43)*(((-5--5)+(24.43--5))+24.43))))-(-5+-5)))*-5)))/-5)--5)+(-5*(((24.43*(24.43-(-5/-5)))*(24.43-(24.43/(-5*24.43))))-(-5/-5)))))</f>
        <v>71764.801735</v>
      </c>
      <c r="C12444" t="n" s="0">
        <v>71764.80173499999</v>
      </c>
    </row>
    <row r="12445">
      <c r="A12445" t="n" s="0">
        <v>24.44</v>
      </c>
      <c r="B12445" t="n" s="0">
        <f>(-5-((((-5*(-5/((-5/(((-5*(24.44--5))-(-5+((-5*24.44)*(((-5--5)+(24.44--5))+24.44))))-(-5+-5)))*-5)))/-5)--5)+(-5*(((24.44*(24.44-(-5/-5)))*(24.44-(24.44/(-5*24.44))))-(-5/-5)))))</f>
        <v>71853.41472</v>
      </c>
      <c r="C12445" t="n" s="0">
        <v>71853.41472000002</v>
      </c>
    </row>
    <row r="12446">
      <c r="A12446" t="n" s="0">
        <v>24.45</v>
      </c>
      <c r="B12446" t="n" s="0">
        <f>(-5-((((-5*(-5/((-5/(((-5*(24.45--5))-(-5+((-5*24.45)*(((-5--5)+(24.45--5))+24.45))))-(-5+-5)))*-5)))/-5)--5)+(-5*(((24.45*(24.45-(-5/-5)))*(24.45-(24.45/(-5*24.45))))-(-5/-5)))))</f>
        <v>71942.10062499999</v>
      </c>
      <c r="C12446" t="n" s="0">
        <v>71942.100625</v>
      </c>
    </row>
    <row r="12447">
      <c r="A12447" t="n" s="0">
        <v>24.46</v>
      </c>
      <c r="B12447" t="n" s="0">
        <f>(-5-((((-5*(-5/((-5/(((-5*(24.46--5))-(-5+((-5*24.46)*(((-5--5)+(24.46--5))+24.46))))-(-5+-5)))*-5)))/-5)--5)+(-5*(((24.46*(24.46-(-5/-5)))*(24.46-(24.46/(-5*24.46))))-(-5/-5)))))</f>
        <v>72030.85948</v>
      </c>
      <c r="C12447" t="n" s="0">
        <v>72030.85948000001</v>
      </c>
    </row>
    <row r="12448">
      <c r="A12448" t="n" s="0">
        <v>24.47</v>
      </c>
      <c r="B12448" t="n" s="0">
        <f>(-5-((((-5*(-5/((-5/(((-5*(24.47--5))-(-5+((-5*24.47)*(((-5--5)+(24.47--5))+24.47))))-(-5+-5)))*-5)))/-5)--5)+(-5*(((24.47*(24.47-(-5/-5)))*(24.47-(24.47/(-5*24.47))))-(-5/-5)))))</f>
        <v>72119.691315</v>
      </c>
      <c r="C12448" t="n" s="0">
        <v>72119.691315</v>
      </c>
    </row>
    <row r="12449">
      <c r="A12449" t="n" s="0">
        <v>24.48</v>
      </c>
      <c r="B12449" t="n" s="0">
        <f>(-5-((((-5*(-5/((-5/(((-5*(24.48--5))-(-5+((-5*24.48)*(((-5--5)+(24.48--5))+24.48))))-(-5+-5)))*-5)))/-5)--5)+(-5*(((24.48*(24.48-(-5/-5)))*(24.48-(24.48/(-5*24.48))))-(-5/-5)))))</f>
        <v>72208.59616</v>
      </c>
      <c r="C12449" t="n" s="0">
        <v>72208.59616</v>
      </c>
    </row>
    <row r="12450">
      <c r="A12450" t="n" s="0">
        <v>24.49</v>
      </c>
      <c r="B12450" t="n" s="0">
        <f>(-5-((((-5*(-5/((-5/(((-5*(24.49--5))-(-5+((-5*24.49)*(((-5--5)+(24.49--5))+24.49))))-(-5+-5)))*-5)))/-5)--5)+(-5*(((24.49*(24.49-(-5/-5)))*(24.49-(24.49/(-5*24.49))))-(-5/-5)))))</f>
        <v>72297.574045</v>
      </c>
      <c r="C12450" t="n" s="0">
        <v>72297.57404499999</v>
      </c>
    </row>
    <row r="12451">
      <c r="A12451" t="n" s="0">
        <v>24.5</v>
      </c>
      <c r="B12451" t="n" s="0">
        <f>(-5-((((-5*(-5/((-5/(((-5*(24.5--5))-(-5+((-5*24.5)*(((-5--5)+(24.5--5))+24.5))))-(-5+-5)))*-5)))/-5)--5)+(-5*(((24.5*(24.5-(-5/-5)))*(24.5-(24.5/(-5*24.5))))-(-5/-5)))))</f>
        <v>72386.625</v>
      </c>
      <c r="C12451" t="n" s="0">
        <v>72386.625</v>
      </c>
    </row>
    <row r="12452">
      <c r="A12452" t="n" s="0">
        <v>24.51</v>
      </c>
      <c r="B12452" t="n" s="0">
        <f>(-5-((((-5*(-5/((-5/(((-5*(24.51--5))-(-5+((-5*24.51)*(((-5--5)+(24.51--5))+24.51))))-(-5+-5)))*-5)))/-5)--5)+(-5*(((24.51*(24.51-(-5/-5)))*(24.51-(24.51/(-5*24.51))))-(-5/-5)))))</f>
        <v>72475.749055</v>
      </c>
      <c r="C12452" t="n" s="0">
        <v>72475.74905500001</v>
      </c>
    </row>
    <row r="12453">
      <c r="A12453" t="n" s="0">
        <v>24.52</v>
      </c>
      <c r="B12453" t="n" s="0">
        <f>(-5-((((-5*(-5/((-5/(((-5*(24.52--5))-(-5+((-5*24.52)*(((-5--5)+(24.52--5))+24.52))))-(-5+-5)))*-5)))/-5)--5)+(-5*(((24.52*(24.52-(-5/-5)))*(24.52-(24.52/(-5*24.52))))-(-5/-5)))))</f>
        <v>72564.94624</v>
      </c>
      <c r="C12453" t="n" s="0">
        <v>72564.94623999999</v>
      </c>
    </row>
    <row r="12454">
      <c r="A12454" t="n" s="0">
        <v>24.53</v>
      </c>
      <c r="B12454" t="n" s="0">
        <f>(-5-((((-5*(-5/((-5/(((-5*(24.53--5))-(-5+((-5*24.53)*(((-5--5)+(24.53--5))+24.53))))-(-5+-5)))*-5)))/-5)--5)+(-5*(((24.53*(24.53-(-5/-5)))*(24.53-(24.53/(-5*24.53))))-(-5/-5)))))</f>
        <v>72654.216585</v>
      </c>
      <c r="C12454" t="n" s="0">
        <v>72654.216585</v>
      </c>
    </row>
    <row r="12455">
      <c r="A12455" t="n" s="0">
        <v>24.54</v>
      </c>
      <c r="B12455" t="n" s="0">
        <f>(-5-((((-5*(-5/((-5/(((-5*(24.54--5))-(-5+((-5*24.54)*(((-5--5)+(24.54--5))+24.54))))-(-5+-5)))*-5)))/-5)--5)+(-5*(((24.54*(24.54-(-5/-5)))*(24.54-(24.54/(-5*24.54))))-(-5/-5)))))</f>
        <v>72743.56012</v>
      </c>
      <c r="C12455" t="n" s="0">
        <v>72743.56011999998</v>
      </c>
    </row>
    <row r="12456">
      <c r="A12456" t="n" s="0">
        <v>24.55</v>
      </c>
      <c r="B12456" t="n" s="0">
        <f>(-5-((((-5*(-5/((-5/(((-5*(24.55--5))-(-5+((-5*24.55)*(((-5--5)+(24.55--5))+24.55))))-(-5+-5)))*-5)))/-5)--5)+(-5*(((24.55*(24.55-(-5/-5)))*(24.55-(24.55/(-5*24.55))))-(-5/-5)))))</f>
        <v>72832.976875</v>
      </c>
      <c r="C12456" t="n" s="0">
        <v>72832.976875</v>
      </c>
    </row>
    <row r="12457">
      <c r="A12457" t="n" s="0">
        <v>24.56</v>
      </c>
      <c r="B12457" t="n" s="0">
        <f>(-5-((((-5*(-5/((-5/(((-5*(24.56--5))-(-5+((-5*24.56)*(((-5--5)+(24.56--5))+24.56))))-(-5+-5)))*-5)))/-5)--5)+(-5*(((24.56*(24.56-(-5/-5)))*(24.56-(24.56/(-5*24.56))))-(-5/-5)))))</f>
        <v>72922.46688</v>
      </c>
      <c r="C12457" t="n" s="0">
        <v>72922.46687999998</v>
      </c>
    </row>
    <row r="12458">
      <c r="A12458" t="n" s="0">
        <v>24.57</v>
      </c>
      <c r="B12458" t="n" s="0">
        <f>(-5-((((-5*(-5/((-5/(((-5*(24.57--5))-(-5+((-5*24.57)*(((-5--5)+(24.57--5))+24.57))))-(-5+-5)))*-5)))/-5)--5)+(-5*(((24.57*(24.57-(-5/-5)))*(24.57-(24.57/(-5*24.57))))-(-5/-5)))))</f>
        <v>73012.030165</v>
      </c>
      <c r="C12458" t="n" s="0">
        <v>73012.030165</v>
      </c>
    </row>
    <row r="12459">
      <c r="A12459" t="n" s="0">
        <v>24.58</v>
      </c>
      <c r="B12459" t="n" s="0">
        <f>(-5-((((-5*(-5/((-5/(((-5*(24.58--5))-(-5+((-5*24.58)*(((-5--5)+(24.58--5))+24.58))))-(-5+-5)))*-5)))/-5)--5)+(-5*(((24.58*(24.58-(-5/-5)))*(24.58-(24.58/(-5*24.58))))-(-5/-5)))))</f>
        <v>73101.66676000001</v>
      </c>
      <c r="C12459" t="n" s="0">
        <v>73101.66676</v>
      </c>
    </row>
    <row r="12460">
      <c r="A12460" t="n" s="0">
        <v>24.59</v>
      </c>
      <c r="B12460" t="n" s="0">
        <f>(-5-((((-5*(-5/((-5/(((-5*(24.59--5))-(-5+((-5*24.59)*(((-5--5)+(24.59--5))+24.59))))-(-5+-5)))*-5)))/-5)--5)+(-5*(((24.59*(24.59-(-5/-5)))*(24.59-(24.59/(-5*24.59))))-(-5/-5)))))</f>
        <v>73191.376695</v>
      </c>
      <c r="C12460" t="n" s="0">
        <v>73191.376695</v>
      </c>
    </row>
    <row r="12461">
      <c r="A12461" t="n" s="0">
        <v>24.6</v>
      </c>
      <c r="B12461" t="n" s="0">
        <f>(-5-((((-5*(-5/((-5/(((-5*(24.6--5))-(-5+((-5*24.6)*(((-5--5)+(24.6--5))+24.6))))-(-5+-5)))*-5)))/-5)--5)+(-5*(((24.6*(24.6-(-5/-5)))*(24.6-(24.6/(-5*24.6))))-(-5/-5)))))</f>
        <v>73281.16</v>
      </c>
      <c r="C12461" t="n" s="0">
        <v>73281.16000000002</v>
      </c>
    </row>
    <row r="12462">
      <c r="A12462" t="n" s="0">
        <v>24.61</v>
      </c>
      <c r="B12462" t="n" s="0">
        <f>(-5-((((-5*(-5/((-5/(((-5*(24.61--5))-(-5+((-5*24.61)*(((-5--5)+(24.61--5))+24.61))))-(-5+-5)))*-5)))/-5)--5)+(-5*(((24.61*(24.61-(-5/-5)))*(24.61-(24.61/(-5*24.61))))-(-5/-5)))))</f>
        <v>73371.016705</v>
      </c>
      <c r="C12462" t="n" s="0">
        <v>73371.016705</v>
      </c>
    </row>
    <row r="12463">
      <c r="A12463" t="n" s="0">
        <v>24.62</v>
      </c>
      <c r="B12463" t="n" s="0">
        <f>(-5-((((-5*(-5/((-5/(((-5*(24.62--5))-(-5+((-5*24.62)*(((-5--5)+(24.62--5))+24.62))))-(-5+-5)))*-5)))/-5)--5)+(-5*(((24.62*(24.62-(-5/-5)))*(24.62-(24.62/(-5*24.62))))-(-5/-5)))))</f>
        <v>73460.94684</v>
      </c>
      <c r="C12463" t="n" s="0">
        <v>73460.94684000002</v>
      </c>
    </row>
    <row r="12464">
      <c r="A12464" t="n" s="0">
        <v>24.63</v>
      </c>
      <c r="B12464" t="n" s="0">
        <f>(-5-((((-5*(-5/((-5/(((-5*(24.63--5))-(-5+((-5*24.63)*(((-5--5)+(24.63--5))+24.63))))-(-5+-5)))*-5)))/-5)--5)+(-5*(((24.63*(24.63-(-5/-5)))*(24.63-(24.63/(-5*24.63))))-(-5/-5)))))</f>
        <v>73550.950435</v>
      </c>
      <c r="C12464" t="n" s="0">
        <v>73550.95043499999</v>
      </c>
    </row>
    <row r="12465">
      <c r="A12465" t="n" s="0">
        <v>24.64</v>
      </c>
      <c r="B12465" t="n" s="0">
        <f>(-5-((((-5*(-5/((-5/(((-5*(24.64--5))-(-5+((-5*24.64)*(((-5--5)+(24.64--5))+24.64))))-(-5+-5)))*-5)))/-5)--5)+(-5*(((24.64*(24.64-(-5/-5)))*(24.64-(24.64/(-5*24.64))))-(-5/-5)))))</f>
        <v>73641.02752</v>
      </c>
      <c r="C12465" t="n" s="0">
        <v>73641.02752</v>
      </c>
    </row>
    <row r="12466">
      <c r="A12466" t="n" s="0">
        <v>24.65</v>
      </c>
      <c r="B12466" t="n" s="0">
        <f>(-5-((((-5*(-5/((-5/(((-5*(24.65--5))-(-5+((-5*24.65)*(((-5--5)+(24.65--5))+24.65))))-(-5+-5)))*-5)))/-5)--5)+(-5*(((24.65*(24.65-(-5/-5)))*(24.65-(24.65/(-5*24.65))))-(-5/-5)))))</f>
        <v>73731.178125</v>
      </c>
      <c r="C12466" t="n" s="0">
        <v>73731.17812499999</v>
      </c>
    </row>
    <row r="12467">
      <c r="A12467" t="n" s="0">
        <v>24.66</v>
      </c>
      <c r="B12467" t="n" s="0">
        <f>(-5-((((-5*(-5/((-5/(((-5*(24.66--5))-(-5+((-5*24.66)*(((-5--5)+(24.66--5))+24.66))))-(-5+-5)))*-5)))/-5)--5)+(-5*(((24.66*(24.66-(-5/-5)))*(24.66-(24.66/(-5*24.66))))-(-5/-5)))))</f>
        <v>73821.40228</v>
      </c>
      <c r="C12467" t="n" s="0">
        <v>73821.40228000001</v>
      </c>
    </row>
    <row r="12468">
      <c r="A12468" t="n" s="0">
        <v>24.67</v>
      </c>
      <c r="B12468" t="n" s="0">
        <f>(-5-((((-5*(-5/((-5/(((-5*(24.67--5))-(-5+((-5*24.67)*(((-5--5)+(24.67--5))+24.67))))-(-5+-5)))*-5)))/-5)--5)+(-5*(((24.67*(24.67-(-5/-5)))*(24.67-(24.67/(-5*24.67))))-(-5/-5)))))</f>
        <v>73911.70001500001</v>
      </c>
      <c r="C12468" t="n" s="0">
        <v>73911.70001500001</v>
      </c>
    </row>
    <row r="12469">
      <c r="A12469" t="n" s="0">
        <v>24.68</v>
      </c>
      <c r="B12469" t="n" s="0">
        <f>(-5-((((-5*(-5/((-5/(((-5*(24.68--5))-(-5+((-5*24.68)*(((-5--5)+(24.68--5))+24.68))))-(-5+-5)))*-5)))/-5)--5)+(-5*(((24.68*(24.68-(-5/-5)))*(24.68-(24.68/(-5*24.68))))-(-5/-5)))))</f>
        <v>74002.07135999999</v>
      </c>
      <c r="C12469" t="n" s="0">
        <v>74002.07135999999</v>
      </c>
    </row>
    <row r="12470">
      <c r="A12470" t="n" s="0">
        <v>24.69</v>
      </c>
      <c r="B12470" t="n" s="0">
        <f>(-5-((((-5*(-5/((-5/(((-5*(24.69--5))-(-5+((-5*24.69)*(((-5--5)+(24.69--5))+24.69))))-(-5+-5)))*-5)))/-5)--5)+(-5*(((24.69*(24.69-(-5/-5)))*(24.69-(24.69/(-5*24.69))))-(-5/-5)))))</f>
        <v>74092.516345</v>
      </c>
      <c r="C12470" t="n" s="0">
        <v>74092.51634500003</v>
      </c>
    </row>
    <row r="12471">
      <c r="A12471" t="n" s="0">
        <v>24.7</v>
      </c>
      <c r="B12471" t="n" s="0">
        <f>(-5-((((-5*(-5/((-5/(((-5*(24.7--5))-(-5+((-5*24.7)*(((-5--5)+(24.7--5))+24.7))))-(-5+-5)))*-5)))/-5)--5)+(-5*(((24.7*(24.7-(-5/-5)))*(24.7-(24.7/(-5*24.7))))-(-5/-5)))))</f>
        <v>74183.03499999999</v>
      </c>
      <c r="C12471" t="n" s="0">
        <v>74183.035</v>
      </c>
    </row>
    <row r="12472">
      <c r="A12472" t="n" s="0">
        <v>24.71</v>
      </c>
      <c r="B12472" t="n" s="0">
        <f>(-5-((((-5*(-5/((-5/(((-5*(24.71--5))-(-5+((-5*24.71)*(((-5--5)+(24.71--5))+24.71))))-(-5+-5)))*-5)))/-5)--5)+(-5*(((24.71*(24.71-(-5/-5)))*(24.71-(24.71/(-5*24.71))))-(-5/-5)))))</f>
        <v>74273.62735499999</v>
      </c>
      <c r="C12472" t="n" s="0">
        <v>74273.62735500002</v>
      </c>
    </row>
    <row r="12473">
      <c r="A12473" t="n" s="0">
        <v>24.72</v>
      </c>
      <c r="B12473" t="n" s="0">
        <f>(-5-((((-5*(-5/((-5/(((-5*(24.72--5))-(-5+((-5*24.72)*(((-5--5)+(24.72--5))+24.72))))-(-5+-5)))*-5)))/-5)--5)+(-5*(((24.72*(24.72-(-5/-5)))*(24.72-(24.72/(-5*24.72))))-(-5/-5)))))</f>
        <v>74364.29344000001</v>
      </c>
      <c r="C12473" t="n" s="0">
        <v>74364.29344</v>
      </c>
    </row>
    <row r="12474">
      <c r="A12474" t="n" s="0">
        <v>24.73</v>
      </c>
      <c r="B12474" t="n" s="0">
        <f>(-5-((((-5*(-5/((-5/(((-5*(24.73--5))-(-5+((-5*24.73)*(((-5--5)+(24.73--5))+24.73))))-(-5+-5)))*-5)))/-5)--5)+(-5*(((24.73*(24.73-(-5/-5)))*(24.73-(24.73/(-5*24.73))))-(-5/-5)))))</f>
        <v>74455.033285</v>
      </c>
      <c r="C12474" t="n" s="0">
        <v>74455.03328500001</v>
      </c>
    </row>
    <row r="12475">
      <c r="A12475" t="n" s="0">
        <v>24.74</v>
      </c>
      <c r="B12475" t="n" s="0">
        <f>(-5-((((-5*(-5/((-5/(((-5*(24.74--5))-(-5+((-5*24.74)*(((-5--5)+(24.74--5))+24.74))))-(-5+-5)))*-5)))/-5)--5)+(-5*(((24.74*(24.74-(-5/-5)))*(24.74-(24.74/(-5*24.74))))-(-5/-5)))))</f>
        <v>74545.84692</v>
      </c>
      <c r="C12475" t="n" s="0">
        <v>74545.84691999998</v>
      </c>
    </row>
    <row r="12476">
      <c r="A12476" t="n" s="0">
        <v>24.75</v>
      </c>
      <c r="B12476" t="n" s="0">
        <f>(-5-((((-5*(-5/((-5/(((-5*(24.75--5))-(-5+((-5*24.75)*(((-5--5)+(24.75--5))+24.75))))-(-5+-5)))*-5)))/-5)--5)+(-5*(((24.75*(24.75-(-5/-5)))*(24.75-(24.75/(-5*24.75))))-(-5/-5)))))</f>
        <v>74636.734375</v>
      </c>
      <c r="C12476" t="n" s="0">
        <v>74636.734375</v>
      </c>
    </row>
    <row r="12477">
      <c r="A12477" t="n" s="0">
        <v>24.76</v>
      </c>
      <c r="B12477" t="n" s="0">
        <f>(-5-((((-5*(-5/((-5/(((-5*(24.76--5))-(-5+((-5*24.76)*(((-5--5)+(24.76--5))+24.76))))-(-5+-5)))*-5)))/-5)--5)+(-5*(((24.76*(24.76-(-5/-5)))*(24.76-(24.76/(-5*24.76))))-(-5/-5)))))</f>
        <v>74727.69567999999</v>
      </c>
      <c r="C12477" t="n" s="0">
        <v>74727.69568000002</v>
      </c>
    </row>
    <row r="12478">
      <c r="A12478" t="n" s="0">
        <v>24.77</v>
      </c>
      <c r="B12478" t="n" s="0">
        <f>(-5-((((-5*(-5/((-5/(((-5*(24.77--5))-(-5+((-5*24.77)*(((-5--5)+(24.77--5))+24.77))))-(-5+-5)))*-5)))/-5)--5)+(-5*(((24.77*(24.77-(-5/-5)))*(24.77-(24.77/(-5*24.77))))-(-5/-5)))))</f>
        <v>74818.730865</v>
      </c>
      <c r="C12478" t="n" s="0">
        <v>74818.73086499999</v>
      </c>
    </row>
    <row r="12479">
      <c r="A12479" t="n" s="0">
        <v>24.78</v>
      </c>
      <c r="B12479" t="n" s="0">
        <f>(-5-((((-5*(-5/((-5/(((-5*(24.78--5))-(-5+((-5*24.78)*(((-5--5)+(24.78--5))+24.78))))-(-5+-5)))*-5)))/-5)--5)+(-5*(((24.78*(24.78-(-5/-5)))*(24.78-(24.78/(-5*24.78))))-(-5/-5)))))</f>
        <v>74909.83996</v>
      </c>
      <c r="C12479" t="n" s="0">
        <v>74909.83996000001</v>
      </c>
    </row>
    <row r="12480">
      <c r="A12480" t="n" s="0">
        <v>24.79</v>
      </c>
      <c r="B12480" t="n" s="0">
        <f>(-5-((((-5*(-5/((-5/(((-5*(24.79--5))-(-5+((-5*24.79)*(((-5--5)+(24.79--5))+24.79))))-(-5+-5)))*-5)))/-5)--5)+(-5*(((24.79*(24.79-(-5/-5)))*(24.79-(24.79/(-5*24.79))))-(-5/-5)))))</f>
        <v>75001.022995</v>
      </c>
      <c r="C12480" t="n" s="0">
        <v>75001.02299499999</v>
      </c>
    </row>
    <row r="12481">
      <c r="A12481" t="n" s="0">
        <v>24.8</v>
      </c>
      <c r="B12481" t="n" s="0">
        <f>(-5-((((-5*(-5/((-5/(((-5*(24.8--5))-(-5+((-5*24.8)*(((-5--5)+(24.8--5))+24.8))))-(-5+-5)))*-5)))/-5)--5)+(-5*(((24.8*(24.8-(-5/-5)))*(24.8-(24.8/(-5*24.8))))-(-5/-5)))))</f>
        <v>75092.28</v>
      </c>
      <c r="C12481" t="n" s="0">
        <v>75092.28</v>
      </c>
    </row>
    <row r="12482">
      <c r="A12482" t="n" s="0">
        <v>24.81</v>
      </c>
      <c r="B12482" t="n" s="0">
        <f>(-5-((((-5*(-5/((-5/(((-5*(24.81--5))-(-5+((-5*24.81)*(((-5--5)+(24.81--5))+24.81))))-(-5+-5)))*-5)))/-5)--5)+(-5*(((24.81*(24.81-(-5/-5)))*(24.81-(24.81/(-5*24.81))))-(-5/-5)))))</f>
        <v>75183.611005</v>
      </c>
      <c r="C12482" t="n" s="0">
        <v>75183.61100499998</v>
      </c>
    </row>
    <row r="12483">
      <c r="A12483" t="n" s="0">
        <v>24.82</v>
      </c>
      <c r="B12483" t="n" s="0">
        <f>(-5-((((-5*(-5/((-5/(((-5*(24.82--5))-(-5+((-5*24.82)*(((-5--5)+(24.82--5))+24.82))))-(-5+-5)))*-5)))/-5)--5)+(-5*(((24.82*(24.82-(-5/-5)))*(24.82-(24.82/(-5*24.82))))-(-5/-5)))))</f>
        <v>75275.01604</v>
      </c>
      <c r="C12483" t="n" s="0">
        <v>75275.01604</v>
      </c>
    </row>
    <row r="12484">
      <c r="A12484" t="n" s="0">
        <v>24.83</v>
      </c>
      <c r="B12484" t="n" s="0">
        <f>(-5-((((-5*(-5/((-5/(((-5*(24.83--5))-(-5+((-5*24.83)*(((-5--5)+(24.83--5))+24.83))))-(-5+-5)))*-5)))/-5)--5)+(-5*(((24.83*(24.83-(-5/-5)))*(24.83-(24.83/(-5*24.83))))-(-5/-5)))))</f>
        <v>75366.495135</v>
      </c>
      <c r="C12484" t="n" s="0">
        <v>75366.49513499999</v>
      </c>
    </row>
    <row r="12485">
      <c r="A12485" t="n" s="0">
        <v>24.84</v>
      </c>
      <c r="B12485" t="n" s="0">
        <f>(-5-((((-5*(-5/((-5/(((-5*(24.84--5))-(-5+((-5*24.84)*(((-5--5)+(24.84--5))+24.84))))-(-5+-5)))*-5)))/-5)--5)+(-5*(((24.84*(24.84-(-5/-5)))*(24.84-(24.84/(-5*24.84))))-(-5/-5)))))</f>
        <v>75458.04832</v>
      </c>
      <c r="C12485" t="n" s="0">
        <v>75458.04832</v>
      </c>
    </row>
    <row r="12486">
      <c r="A12486" t="n" s="0">
        <v>24.85</v>
      </c>
      <c r="B12486" t="n" s="0">
        <f>(-5-((((-5*(-5/((-5/(((-5*(24.85--5))-(-5+((-5*24.85)*(((-5--5)+(24.85--5))+24.85))))-(-5+-5)))*-5)))/-5)--5)+(-5*(((24.85*(24.85-(-5/-5)))*(24.85-(24.85/(-5*24.85))))-(-5/-5)))))</f>
        <v>75549.675625</v>
      </c>
      <c r="C12486" t="n" s="0">
        <v>75549.67562500002</v>
      </c>
    </row>
    <row r="12487">
      <c r="A12487" t="n" s="0">
        <v>24.86</v>
      </c>
      <c r="B12487" t="n" s="0">
        <f>(-5-((((-5*(-5/((-5/(((-5*(24.86--5))-(-5+((-5*24.86)*(((-5--5)+(24.86--5))+24.86))))-(-5+-5)))*-5)))/-5)--5)+(-5*(((24.86*(24.86-(-5/-5)))*(24.86-(24.86/(-5*24.86))))-(-5/-5)))))</f>
        <v>75641.37708</v>
      </c>
      <c r="C12487" t="n" s="0">
        <v>75641.37707999999</v>
      </c>
    </row>
    <row r="12488">
      <c r="A12488" t="n" s="0">
        <v>24.87</v>
      </c>
      <c r="B12488" t="n" s="0">
        <f>(-5-((((-5*(-5/((-5/(((-5*(24.87--5))-(-5+((-5*24.87)*(((-5--5)+(24.87--5))+24.87))))-(-5+-5)))*-5)))/-5)--5)+(-5*(((24.87*(24.87-(-5/-5)))*(24.87-(24.87/(-5*24.87))))-(-5/-5)))))</f>
        <v>75733.152715</v>
      </c>
      <c r="C12488" t="n" s="0">
        <v>75733.152715</v>
      </c>
    </row>
    <row r="12489">
      <c r="A12489" t="n" s="0">
        <v>24.88</v>
      </c>
      <c r="B12489" t="n" s="0">
        <f>(-5-((((-5*(-5/((-5/(((-5*(24.88--5))-(-5+((-5*24.88)*(((-5--5)+(24.88--5))+24.88))))-(-5+-5)))*-5)))/-5)--5)+(-5*(((24.88*(24.88-(-5/-5)))*(24.88-(24.88/(-5*24.88))))-(-5/-5)))))</f>
        <v>75825.00256000001</v>
      </c>
      <c r="C12489" t="n" s="0">
        <v>75825.00256</v>
      </c>
    </row>
    <row r="12490">
      <c r="A12490" t="n" s="0">
        <v>24.89</v>
      </c>
      <c r="B12490" t="n" s="0">
        <f>(-5-((((-5*(-5/((-5/(((-5*(24.89--5))-(-5+((-5*24.89)*(((-5--5)+(24.89--5))+24.89))))-(-5+-5)))*-5)))/-5)--5)+(-5*(((24.89*(24.89-(-5/-5)))*(24.89-(24.89/(-5*24.89))))-(-5/-5)))))</f>
        <v>75916.926645</v>
      </c>
      <c r="C12490" t="n" s="0">
        <v>75916.926645</v>
      </c>
    </row>
    <row r="12491">
      <c r="A12491" t="n" s="0">
        <v>24.9</v>
      </c>
      <c r="B12491" t="n" s="0">
        <f>(-5-((((-5*(-5/((-5/(((-5*(24.9--5))-(-5+((-5*24.9)*(((-5--5)+(24.9--5))+24.9))))-(-5+-5)))*-5)))/-5)--5)+(-5*(((24.9*(24.9-(-5/-5)))*(24.9-(24.9/(-5*24.9))))-(-5/-5)))))</f>
        <v>76008.92499999999</v>
      </c>
      <c r="C12491" t="n" s="0">
        <v>76008.92499999999</v>
      </c>
    </row>
    <row r="12492">
      <c r="A12492" t="n" s="0">
        <v>24.91</v>
      </c>
      <c r="B12492" t="n" s="0">
        <f>(-5-((((-5*(-5/((-5/(((-5*(24.91--5))-(-5+((-5*24.91)*(((-5--5)+(24.91--5))+24.91))))-(-5+-5)))*-5)))/-5)--5)+(-5*(((24.91*(24.91-(-5/-5)))*(24.91-(24.91/(-5*24.91))))-(-5/-5)))))</f>
        <v>76100.997655</v>
      </c>
      <c r="C12492" t="n" s="0">
        <v>76100.997655</v>
      </c>
    </row>
    <row r="12493">
      <c r="A12493" t="n" s="0">
        <v>24.92</v>
      </c>
      <c r="B12493" t="n" s="0">
        <f>(-5-((((-5*(-5/((-5/(((-5*(24.92--5))-(-5+((-5*24.92)*(((-5--5)+(24.92--5))+24.92))))-(-5+-5)))*-5)))/-5)--5)+(-5*(((24.92*(24.92-(-5/-5)))*(24.92-(24.92/(-5*24.92))))-(-5/-5)))))</f>
        <v>76193.14464</v>
      </c>
      <c r="C12493" t="n" s="0">
        <v>76193.14464000001</v>
      </c>
    </row>
    <row r="12494">
      <c r="A12494" t="n" s="0">
        <v>24.93</v>
      </c>
      <c r="B12494" t="n" s="0">
        <f>(-5-((((-5*(-5/((-5/(((-5*(24.93--5))-(-5+((-5*24.93)*(((-5--5)+(24.93--5))+24.93))))-(-5+-5)))*-5)))/-5)--5)+(-5*(((24.93*(24.93-(-5/-5)))*(24.93-(24.93/(-5*24.93))))-(-5/-5)))))</f>
        <v>76285.365985</v>
      </c>
      <c r="C12494" t="n" s="0">
        <v>76285.36598499998</v>
      </c>
    </row>
    <row r="12495">
      <c r="A12495" t="n" s="0">
        <v>24.94</v>
      </c>
      <c r="B12495" t="n" s="0">
        <f>(-5-((((-5*(-5/((-5/(((-5*(24.94--5))-(-5+((-5*24.94)*(((-5--5)+(24.94--5))+24.94))))-(-5+-5)))*-5)))/-5)--5)+(-5*(((24.94*(24.94-(-5/-5)))*(24.94-(24.94/(-5*24.94))))-(-5/-5)))))</f>
        <v>76377.66172</v>
      </c>
      <c r="C12495" t="n" s="0">
        <v>76377.66172</v>
      </c>
    </row>
    <row r="12496">
      <c r="A12496" t="n" s="0">
        <v>24.95</v>
      </c>
      <c r="B12496" t="n" s="0">
        <f>(-5-((((-5*(-5/((-5/(((-5*(24.95--5))-(-5+((-5*24.95)*(((-5--5)+(24.95--5))+24.95))))-(-5+-5)))*-5)))/-5)--5)+(-5*(((24.95*(24.95-(-5/-5)))*(24.95-(24.95/(-5*24.95))))-(-5/-5)))))</f>
        <v>76470.03187499999</v>
      </c>
      <c r="C12496" t="n" s="0">
        <v>76470.031875</v>
      </c>
    </row>
    <row r="12497">
      <c r="A12497" t="n" s="0">
        <v>24.96</v>
      </c>
      <c r="B12497" t="n" s="0">
        <f>(-5-((((-5*(-5/((-5/(((-5*(24.96--5))-(-5+((-5*24.96)*(((-5--5)+(24.96--5))+24.96))))-(-5+-5)))*-5)))/-5)--5)+(-5*(((24.96*(24.96-(-5/-5)))*(24.96-(24.96/(-5*24.96))))-(-5/-5)))))</f>
        <v>76562.47648</v>
      </c>
      <c r="C12497" t="n" s="0">
        <v>76562.47648</v>
      </c>
    </row>
    <row r="12498">
      <c r="A12498" t="n" s="0">
        <v>24.97</v>
      </c>
      <c r="B12498" t="n" s="0">
        <f>(-5-((((-5*(-5/((-5/(((-5*(24.97--5))-(-5+((-5*24.97)*(((-5--5)+(24.97--5))+24.97))))-(-5+-5)))*-5)))/-5)--5)+(-5*(((24.97*(24.97-(-5/-5)))*(24.97-(24.97/(-5*24.97))))-(-5/-5)))))</f>
        <v>76654.995565</v>
      </c>
      <c r="C12498" t="n" s="0">
        <v>76654.99556499999</v>
      </c>
    </row>
    <row r="12499">
      <c r="A12499" t="n" s="0">
        <v>24.98</v>
      </c>
      <c r="B12499" t="n" s="0">
        <f>(-5-((((-5*(-5/((-5/(((-5*(24.98--5))-(-5+((-5*24.98)*(((-5--5)+(24.98--5))+24.98))))-(-5+-5)))*-5)))/-5)--5)+(-5*(((24.98*(24.98-(-5/-5)))*(24.98-(24.98/(-5*24.98))))-(-5/-5)))))</f>
        <v>76747.58916</v>
      </c>
      <c r="C12499" t="n" s="0">
        <v>76747.58916000002</v>
      </c>
    </row>
    <row r="12500">
      <c r="A12500" t="n" s="0">
        <v>24.99</v>
      </c>
      <c r="B12500" t="n" s="0">
        <f>(-5-((((-5*(-5/((-5/(((-5*(24.99--5))-(-5+((-5*24.99)*(((-5--5)+(24.99--5))+24.99))))-(-5+-5)))*-5)))/-5)--5)+(-5*(((24.99*(24.99-(-5/-5)))*(24.99-(24.99/(-5*24.99))))-(-5/-5)))))</f>
        <v>76840.257295</v>
      </c>
      <c r="C12500" t="n" s="0">
        <v>76840.25729499999</v>
      </c>
    </row>
    <row r="12501">
      <c r="A12501" t="n" s="0">
        <v>25.0</v>
      </c>
      <c r="B12501" t="n" s="0">
        <f>(-5-((((-5*(-5/((-5/(((-5*(25--5))-(-5+((-5*25)*(((-5--5)+(25--5))+25))))-(-5+-5)))*-5)))/-5)--5)+(-5*(((25*(25-(-5/-5)))*(25-(25/(-5*25))))-(-5/-5)))))</f>
        <v>76933.0</v>
      </c>
      <c r="C12501" t="n" s="0">
        <v>76933.0</v>
      </c>
    </row>
    <row r="12502">
      <c r="A12502" t="n" s="0">
        <v>25.01</v>
      </c>
      <c r="B12502" t="n" s="0">
        <f>(-5-((((-5*(-5/((-5/(((-5*(25.01--5))-(-5+((-5*25.01)*(((-5--5)+(25.01--5))+25.01))))-(-5+-5)))*-5)))/-5)--5)+(-5*(((25.01*(25.01-(-5/-5)))*(25.01-(25.01/(-5*25.01))))-(-5/-5)))))</f>
        <v>77025.817305</v>
      </c>
      <c r="C12502" t="n" s="0">
        <v>77025.81730500002</v>
      </c>
    </row>
    <row r="12503">
      <c r="A12503" t="n" s="0">
        <v>25.02</v>
      </c>
      <c r="B12503" t="n" s="0">
        <f>(-5-((((-5*(-5/((-5/(((-5*(25.02--5))-(-5+((-5*25.02)*(((-5--5)+(25.02--5))+25.02))))-(-5+-5)))*-5)))/-5)--5)+(-5*(((25.02*(25.02-(-5/-5)))*(25.02-(25.02/(-5*25.02))))-(-5/-5)))))</f>
        <v>77118.70924</v>
      </c>
      <c r="C12503" t="n" s="0">
        <v>77118.70924</v>
      </c>
    </row>
    <row r="12504">
      <c r="A12504" t="n" s="0">
        <v>25.03</v>
      </c>
      <c r="B12504" t="n" s="0">
        <f>(-5-((((-5*(-5/((-5/(((-5*(25.03--5))-(-5+((-5*25.03)*(((-5--5)+(25.03--5))+25.03))))-(-5+-5)))*-5)))/-5)--5)+(-5*(((25.03*(25.03-(-5/-5)))*(25.03-(25.03/(-5*25.03))))-(-5/-5)))))</f>
        <v>77211.67583499999</v>
      </c>
      <c r="C12504" t="n" s="0">
        <v>77211.67583500002</v>
      </c>
    </row>
    <row r="12505">
      <c r="A12505" t="n" s="0">
        <v>25.04</v>
      </c>
      <c r="B12505" t="n" s="0">
        <f>(-5-((((-5*(-5/((-5/(((-5*(25.04--5))-(-5+((-5*25.04)*(((-5--5)+(25.04--5))+25.04))))-(-5+-5)))*-5)))/-5)--5)+(-5*(((25.04*(25.04-(-5/-5)))*(25.04-(25.04/(-5*25.04))))-(-5/-5)))))</f>
        <v>77304.71712</v>
      </c>
      <c r="C12505" t="n" s="0">
        <v>77304.71711999999</v>
      </c>
    </row>
    <row r="12506">
      <c r="A12506" t="n" s="0">
        <v>25.05</v>
      </c>
      <c r="B12506" t="n" s="0">
        <f>(-5-((((-5*(-5/((-5/(((-5*(25.05--5))-(-5+((-5*25.05)*(((-5--5)+(25.05--5))+25.05))))-(-5+-5)))*-5)))/-5)--5)+(-5*(((25.05*(25.05-(-5/-5)))*(25.05-(25.05/(-5*25.05))))-(-5/-5)))))</f>
        <v>77397.833125</v>
      </c>
      <c r="C12506" t="n" s="0">
        <v>77397.83312499999</v>
      </c>
    </row>
    <row r="12507">
      <c r="A12507" t="n" s="0">
        <v>25.06</v>
      </c>
      <c r="B12507" t="n" s="0">
        <f>(-5-((((-5*(-5/((-5/(((-5*(25.06--5))-(-5+((-5*25.06)*(((-5--5)+(25.06--5))+25.06))))-(-5+-5)))*-5)))/-5)--5)+(-5*(((25.06*(25.06-(-5/-5)))*(25.06-(25.06/(-5*25.06))))-(-5/-5)))))</f>
        <v>77491.02388</v>
      </c>
      <c r="C12507" t="n" s="0">
        <v>77491.02388</v>
      </c>
    </row>
    <row r="12508">
      <c r="A12508" t="n" s="0">
        <v>25.07</v>
      </c>
      <c r="B12508" t="n" s="0">
        <f>(-5-((((-5*(-5/((-5/(((-5*(25.07--5))-(-5+((-5*25.07)*(((-5--5)+(25.07--5))+25.07))))-(-5+-5)))*-5)))/-5)--5)+(-5*(((25.07*(25.07-(-5/-5)))*(25.07-(25.07/(-5*25.07))))-(-5/-5)))))</f>
        <v>77584.28941499999</v>
      </c>
      <c r="C12508" t="n" s="0">
        <v>77584.289415</v>
      </c>
    </row>
    <row r="12509">
      <c r="A12509" t="n" s="0">
        <v>25.08</v>
      </c>
      <c r="B12509" t="n" s="0">
        <f>(-5-((((-5*(-5/((-5/(((-5*(25.08--5))-(-5+((-5*25.08)*(((-5--5)+(25.08--5))+25.08))))-(-5+-5)))*-5)))/-5)--5)+(-5*(((25.08*(25.08-(-5/-5)))*(25.08-(25.08/(-5*25.08))))-(-5/-5)))))</f>
        <v>77677.62976000001</v>
      </c>
      <c r="C12509" t="n" s="0">
        <v>77677.62976</v>
      </c>
    </row>
    <row r="12510">
      <c r="A12510" t="n" s="0">
        <v>25.09</v>
      </c>
      <c r="B12510" t="n" s="0">
        <f>(-5-((((-5*(-5/((-5/(((-5*(25.09--5))-(-5+((-5*25.09)*(((-5--5)+(25.09--5))+25.09))))-(-5+-5)))*-5)))/-5)--5)+(-5*(((25.09*(25.09-(-5/-5)))*(25.09-(25.09/(-5*25.09))))-(-5/-5)))))</f>
        <v>77771.044945</v>
      </c>
      <c r="C12510" t="n" s="0">
        <v>77771.044945</v>
      </c>
    </row>
    <row r="12511">
      <c r="A12511" t="n" s="0">
        <v>25.1</v>
      </c>
      <c r="B12511" t="n" s="0">
        <f>(-5-((((-5*(-5/((-5/(((-5*(25.1--5))-(-5+((-5*25.1)*(((-5--5)+(25.1--5))+25.1))))-(-5+-5)))*-5)))/-5)--5)+(-5*(((25.1*(25.1-(-5/-5)))*(25.1-(25.1/(-5*25.1))))-(-5/-5)))))</f>
        <v>77864.535</v>
      </c>
      <c r="C12511" t="n" s="0">
        <v>77864.535</v>
      </c>
    </row>
    <row r="12512">
      <c r="A12512" t="n" s="0">
        <v>25.11</v>
      </c>
      <c r="B12512" t="n" s="0">
        <f>(-5-((((-5*(-5/((-5/(((-5*(25.11--5))-(-5+((-5*25.11)*(((-5--5)+(25.11--5))+25.11))))-(-5+-5)))*-5)))/-5)--5)+(-5*(((25.11*(25.11-(-5/-5)))*(25.11-(25.11/(-5*25.11))))-(-5/-5)))))</f>
        <v>77958.099955</v>
      </c>
      <c r="C12512" t="n" s="0">
        <v>77958.099955</v>
      </c>
    </row>
    <row r="12513">
      <c r="A12513" t="n" s="0">
        <v>25.12</v>
      </c>
      <c r="B12513" t="n" s="0">
        <f>(-5-((((-5*(-5/((-5/(((-5*(25.12--5))-(-5+((-5*25.12)*(((-5--5)+(25.12--5))+25.12))))-(-5+-5)))*-5)))/-5)--5)+(-5*(((25.12*(25.12-(-5/-5)))*(25.12-(25.12/(-5*25.12))))-(-5/-5)))))</f>
        <v>78051.73984</v>
      </c>
      <c r="C12513" t="n" s="0">
        <v>78051.73984000001</v>
      </c>
    </row>
    <row r="12514">
      <c r="A12514" t="n" s="0">
        <v>25.13</v>
      </c>
      <c r="B12514" t="n" s="0">
        <f>(-5-((((-5*(-5/((-5/(((-5*(25.13--5))-(-5+((-5*25.13)*(((-5--5)+(25.13--5))+25.13))))-(-5+-5)))*-5)))/-5)--5)+(-5*(((25.13*(25.13-(-5/-5)))*(25.13-(25.13/(-5*25.13))))-(-5/-5)))))</f>
        <v>78145.45468499999</v>
      </c>
      <c r="C12514" t="n" s="0">
        <v>78145.45468499999</v>
      </c>
    </row>
    <row r="12515">
      <c r="A12515" t="n" s="0">
        <v>25.14</v>
      </c>
      <c r="B12515" t="n" s="0">
        <f>(-5-((((-5*(-5/((-5/(((-5*(25.14--5))-(-5+((-5*25.14)*(((-5--5)+(25.14--5))+25.14))))-(-5+-5)))*-5)))/-5)--5)+(-5*(((25.14*(25.14-(-5/-5)))*(25.14-(25.14/(-5*25.14))))-(-5/-5)))))</f>
        <v>78239.24452</v>
      </c>
      <c r="C12515" t="n" s="0">
        <v>78239.24452000001</v>
      </c>
    </row>
    <row r="12516">
      <c r="A12516" t="n" s="0">
        <v>25.15</v>
      </c>
      <c r="B12516" t="n" s="0">
        <f>(-5-((((-5*(-5/((-5/(((-5*(25.15--5))-(-5+((-5*25.15)*(((-5--5)+(25.15--5))+25.15))))-(-5+-5)))*-5)))/-5)--5)+(-5*(((25.15*(25.15-(-5/-5)))*(25.15-(25.15/(-5*25.15))))-(-5/-5)))))</f>
        <v>78333.109375</v>
      </c>
      <c r="C12516" t="n" s="0">
        <v>78333.10937499999</v>
      </c>
    </row>
    <row r="12517">
      <c r="A12517" t="n" s="0">
        <v>25.16</v>
      </c>
      <c r="B12517" t="n" s="0">
        <f>(-5-((((-5*(-5/((-5/(((-5*(25.16--5))-(-5+((-5*25.16)*(((-5--5)+(25.16--5))+25.16))))-(-5+-5)))*-5)))/-5)--5)+(-5*(((25.16*(25.16-(-5/-5)))*(25.16-(25.16/(-5*25.16))))-(-5/-5)))))</f>
        <v>78427.04928</v>
      </c>
      <c r="C12517" t="n" s="0">
        <v>78427.04927999999</v>
      </c>
    </row>
    <row r="12518">
      <c r="A12518" t="n" s="0">
        <v>25.17</v>
      </c>
      <c r="B12518" t="n" s="0">
        <f>(-5-((((-5*(-5/((-5/(((-5*(25.17--5))-(-5+((-5*25.17)*(((-5--5)+(25.17--5))+25.17))))-(-5+-5)))*-5)))/-5)--5)+(-5*(((25.17*(25.17-(-5/-5)))*(25.17-(25.17/(-5*25.17))))-(-5/-5)))))</f>
        <v>78521.06426500001</v>
      </c>
      <c r="C12518" t="n" s="0">
        <v>78521.06426500002</v>
      </c>
    </row>
    <row r="12519">
      <c r="A12519" t="n" s="0">
        <v>25.18</v>
      </c>
      <c r="B12519" t="n" s="0">
        <f>(-5-((((-5*(-5/((-5/(((-5*(25.18--5))-(-5+((-5*25.18)*(((-5--5)+(25.18--5))+25.18))))-(-5+-5)))*-5)))/-5)--5)+(-5*(((25.18*(25.18-(-5/-5)))*(25.18-(25.18/(-5*25.18))))-(-5/-5)))))</f>
        <v>78615.15436</v>
      </c>
      <c r="C12519" t="n" s="0">
        <v>78615.15436</v>
      </c>
    </row>
    <row r="12520">
      <c r="A12520" t="n" s="0">
        <v>25.19</v>
      </c>
      <c r="B12520" t="n" s="0">
        <f>(-5-((((-5*(-5/((-5/(((-5*(25.19--5))-(-5+((-5*25.19)*(((-5--5)+(25.19--5))+25.19))))-(-5+-5)))*-5)))/-5)--5)+(-5*(((25.19*(25.19-(-5/-5)))*(25.19-(25.19/(-5*25.19))))-(-5/-5)))))</f>
        <v>78709.31959500001</v>
      </c>
      <c r="C12520" t="n" s="0">
        <v>78709.31959500002</v>
      </c>
    </row>
    <row r="12521">
      <c r="A12521" t="n" s="0">
        <v>25.2</v>
      </c>
      <c r="B12521" t="n" s="0">
        <f>(-5-((((-5*(-5/((-5/(((-5*(25.2--5))-(-5+((-5*25.2)*(((-5--5)+(25.2--5))+25.2))))-(-5+-5)))*-5)))/-5)--5)+(-5*(((25.2*(25.2-(-5/-5)))*(25.2-(25.2/(-5*25.2))))-(-5/-5)))))</f>
        <v>78803.56</v>
      </c>
      <c r="C12521" t="n" s="0">
        <v>78803.56</v>
      </c>
    </row>
    <row r="12522">
      <c r="A12522" t="n" s="0">
        <v>25.21</v>
      </c>
      <c r="B12522" t="n" s="0">
        <f>(-5-((((-5*(-5/((-5/(((-5*(25.21--5))-(-5+((-5*25.21)*(((-5--5)+(25.21--5))+25.21))))-(-5+-5)))*-5)))/-5)--5)+(-5*(((25.21*(25.21-(-5/-5)))*(25.21-(25.21/(-5*25.21))))-(-5/-5)))))</f>
        <v>78897.875605</v>
      </c>
      <c r="C12522" t="n" s="0">
        <v>78897.87560500001</v>
      </c>
    </row>
    <row r="12523">
      <c r="A12523" t="n" s="0">
        <v>25.22</v>
      </c>
      <c r="B12523" t="n" s="0">
        <f>(-5-((((-5*(-5/((-5/(((-5*(25.22--5))-(-5+((-5*25.22)*(((-5--5)+(25.22--5))+25.22))))-(-5+-5)))*-5)))/-5)--5)+(-5*(((25.22*(25.22-(-5/-5)))*(25.22-(25.22/(-5*25.22))))-(-5/-5)))))</f>
        <v>78992.26644</v>
      </c>
      <c r="C12523" t="n" s="0">
        <v>78992.26643999999</v>
      </c>
    </row>
    <row r="12524">
      <c r="A12524" t="n" s="0">
        <v>25.23</v>
      </c>
      <c r="B12524" t="n" s="0">
        <f>(-5-((((-5*(-5/((-5/(((-5*(25.23--5))-(-5+((-5*25.23)*(((-5--5)+(25.23--5))+25.23))))-(-5+-5)))*-5)))/-5)--5)+(-5*(((25.23*(25.23-(-5/-5)))*(25.23-(25.23/(-5*25.23))))-(-5/-5)))))</f>
        <v>79086.732535</v>
      </c>
      <c r="C12524" t="n" s="0">
        <v>79086.732535</v>
      </c>
    </row>
    <row r="12525">
      <c r="A12525" t="n" s="0">
        <v>25.24</v>
      </c>
      <c r="B12525" t="n" s="0">
        <f>(-5-((((-5*(-5/((-5/(((-5*(25.24--5))-(-5+((-5*25.24)*(((-5--5)+(25.24--5))+25.24))))-(-5+-5)))*-5)))/-5)--5)+(-5*(((25.24*(25.24-(-5/-5)))*(25.24-(25.24/(-5*25.24))))-(-5/-5)))))</f>
        <v>79181.27392</v>
      </c>
      <c r="C12525" t="n" s="0">
        <v>79181.27391999999</v>
      </c>
    </row>
    <row r="12526">
      <c r="A12526" t="n" s="0">
        <v>25.25</v>
      </c>
      <c r="B12526" t="n" s="0">
        <f>(-5-((((-5*(-5/((-5/(((-5*(25.25--5))-(-5+((-5*25.25)*(((-5--5)+(25.25--5))+25.25))))-(-5+-5)))*-5)))/-5)--5)+(-5*(((25.25*(25.25-(-5/-5)))*(25.25-(25.25/(-5*25.25))))-(-5/-5)))))</f>
        <v>79275.890625</v>
      </c>
      <c r="C12526" t="n" s="0">
        <v>79275.890625</v>
      </c>
    </row>
    <row r="12527">
      <c r="A12527" t="n" s="0">
        <v>25.26</v>
      </c>
      <c r="B12527" t="n" s="0">
        <f>(-5-((((-5*(-5/((-5/(((-5*(25.26--5))-(-5+((-5*25.26)*(((-5--5)+(25.26--5))+25.26))))-(-5+-5)))*-5)))/-5)--5)+(-5*(((25.26*(25.26-(-5/-5)))*(25.26-(25.26/(-5*25.26))))-(-5/-5)))))</f>
        <v>79370.58267999999</v>
      </c>
      <c r="C12527" t="n" s="0">
        <v>79370.58268</v>
      </c>
    </row>
    <row r="12528">
      <c r="A12528" t="n" s="0">
        <v>25.27</v>
      </c>
      <c r="B12528" t="n" s="0">
        <f>(-5-((((-5*(-5/((-5/(((-5*(25.27--5))-(-5+((-5*25.27)*(((-5--5)+(25.27--5))+25.27))))-(-5+-5)))*-5)))/-5)--5)+(-5*(((25.27*(25.27-(-5/-5)))*(25.27-(25.27/(-5*25.27))))-(-5/-5)))))</f>
        <v>79465.350115</v>
      </c>
      <c r="C12528" t="n" s="0">
        <v>79465.350115</v>
      </c>
    </row>
    <row r="12529">
      <c r="A12529" t="n" s="0">
        <v>25.28</v>
      </c>
      <c r="B12529" t="n" s="0">
        <f>(-5-((((-5*(-5/((-5/(((-5*(25.28--5))-(-5+((-5*25.28)*(((-5--5)+(25.28--5))+25.28))))-(-5+-5)))*-5)))/-5)--5)+(-5*(((25.28*(25.28-(-5/-5)))*(25.28-(25.28/(-5*25.28))))-(-5/-5)))))</f>
        <v>79560.19296</v>
      </c>
      <c r="C12529" t="n" s="0">
        <v>79560.19296000001</v>
      </c>
    </row>
    <row r="12530">
      <c r="A12530" t="n" s="0">
        <v>25.29</v>
      </c>
      <c r="B12530" t="n" s="0">
        <f>(-5-((((-5*(-5/((-5/(((-5*(25.29--5))-(-5+((-5*25.29)*(((-5--5)+(25.29--5))+25.29))))-(-5+-5)))*-5)))/-5)--5)+(-5*(((25.29*(25.29-(-5/-5)))*(25.29-(25.29/(-5*25.29))))-(-5/-5)))))</f>
        <v>79655.11124500001</v>
      </c>
      <c r="C12530" t="n" s="0">
        <v>79655.111245</v>
      </c>
    </row>
    <row r="12531">
      <c r="A12531" t="n" s="0">
        <v>25.3</v>
      </c>
      <c r="B12531" t="n" s="0">
        <f>(-5-((((-5*(-5/((-5/(((-5*(25.3--5))-(-5+((-5*25.3)*(((-5--5)+(25.3--5))+25.3))))-(-5+-5)))*-5)))/-5)--5)+(-5*(((25.3*(25.3-(-5/-5)))*(25.3-(25.3/(-5*25.3))))-(-5/-5)))))</f>
        <v>79750.10500000001</v>
      </c>
      <c r="C12531" t="n" s="0">
        <v>79750.10500000001</v>
      </c>
    </row>
    <row r="12532">
      <c r="A12532" t="n" s="0">
        <v>25.31</v>
      </c>
      <c r="B12532" t="n" s="0">
        <f>(-5-((((-5*(-5/((-5/(((-5*(25.31--5))-(-5+((-5*25.31)*(((-5--5)+(25.31--5))+25.31))))-(-5+-5)))*-5)))/-5)--5)+(-5*(((25.31*(25.31-(-5/-5)))*(25.31-(25.31/(-5*25.31))))-(-5/-5)))))</f>
        <v>79845.17425499999</v>
      </c>
      <c r="C12532" t="n" s="0">
        <v>79845.17425499998</v>
      </c>
    </row>
    <row r="12533">
      <c r="A12533" t="n" s="0">
        <v>25.32</v>
      </c>
      <c r="B12533" t="n" s="0">
        <f>(-5-((((-5*(-5/((-5/(((-5*(25.32--5))-(-5+((-5*25.32)*(((-5--5)+(25.32--5))+25.32))))-(-5+-5)))*-5)))/-5)--5)+(-5*(((25.32*(25.32-(-5/-5)))*(25.32-(25.32/(-5*25.32))))-(-5/-5)))))</f>
        <v>79940.31904</v>
      </c>
      <c r="C12533" t="n" s="0">
        <v>79940.31904</v>
      </c>
    </row>
    <row r="12534">
      <c r="A12534" t="n" s="0">
        <v>25.33</v>
      </c>
      <c r="B12534" t="n" s="0">
        <f>(-5-((((-5*(-5/((-5/(((-5*(25.33--5))-(-5+((-5*25.33)*(((-5--5)+(25.33--5))+25.33))))-(-5+-5)))*-5)))/-5)--5)+(-5*(((25.33*(25.33-(-5/-5)))*(25.33-(25.33/(-5*25.33))))-(-5/-5)))))</f>
        <v>80035.53938500001</v>
      </c>
      <c r="C12534" t="n" s="0">
        <v>80035.53938499998</v>
      </c>
    </row>
    <row r="12535">
      <c r="A12535" t="n" s="0">
        <v>25.34</v>
      </c>
      <c r="B12535" t="n" s="0">
        <f>(-5-((((-5*(-5/((-5/(((-5*(25.34--5))-(-5+((-5*25.34)*(((-5--5)+(25.34--5))+25.34))))-(-5+-5)))*-5)))/-5)--5)+(-5*(((25.34*(25.34-(-5/-5)))*(25.34-(25.34/(-5*25.34))))-(-5/-5)))))</f>
        <v>80130.83532</v>
      </c>
      <c r="C12535" t="n" s="0">
        <v>80130.83532000001</v>
      </c>
    </row>
    <row r="12536">
      <c r="A12536" t="n" s="0">
        <v>25.35</v>
      </c>
      <c r="B12536" t="n" s="0">
        <f>(-5-((((-5*(-5/((-5/(((-5*(25.35--5))-(-5+((-5*25.35)*(((-5--5)+(25.35--5))+25.35))))-(-5+-5)))*-5)))/-5)--5)+(-5*(((25.35*(25.35-(-5/-5)))*(25.35-(25.35/(-5*25.35))))-(-5/-5)))))</f>
        <v>80226.206875</v>
      </c>
      <c r="C12536" t="n" s="0">
        <v>80226.20687500002</v>
      </c>
    </row>
    <row r="12537">
      <c r="A12537" t="n" s="0">
        <v>25.36</v>
      </c>
      <c r="B12537" t="n" s="0">
        <f>(-5-((((-5*(-5/((-5/(((-5*(25.36--5))-(-5+((-5*25.36)*(((-5--5)+(25.36--5))+25.36))))-(-5+-5)))*-5)))/-5)--5)+(-5*(((25.36*(25.36-(-5/-5)))*(25.36-(25.36/(-5*25.36))))-(-5/-5)))))</f>
        <v>80321.65408000001</v>
      </c>
      <c r="C12537" t="n" s="0">
        <v>80321.65408</v>
      </c>
    </row>
    <row r="12538">
      <c r="A12538" t="n" s="0">
        <v>25.37</v>
      </c>
      <c r="B12538" t="n" s="0">
        <f>(-5-((((-5*(-5/((-5/(((-5*(25.37--5))-(-5+((-5*25.37)*(((-5--5)+(25.37--5))+25.37))))-(-5+-5)))*-5)))/-5)--5)+(-5*(((25.37*(25.37-(-5/-5)))*(25.37-(25.37/(-5*25.37))))-(-5/-5)))))</f>
        <v>80417.176965</v>
      </c>
      <c r="C12538" t="n" s="0">
        <v>80417.17696500002</v>
      </c>
    </row>
    <row r="12539">
      <c r="A12539" t="n" s="0">
        <v>25.38</v>
      </c>
      <c r="B12539" t="n" s="0">
        <f>(-5-((((-5*(-5/((-5/(((-5*(25.38--5))-(-5+((-5*25.38)*(((-5--5)+(25.38--5))+25.38))))-(-5+-5)))*-5)))/-5)--5)+(-5*(((25.38*(25.38-(-5/-5)))*(25.38-(25.38/(-5*25.38))))-(-5/-5)))))</f>
        <v>80512.77556</v>
      </c>
      <c r="C12539" t="n" s="0">
        <v>80512.77556</v>
      </c>
    </row>
    <row r="12540">
      <c r="A12540" t="n" s="0">
        <v>25.39</v>
      </c>
      <c r="B12540" t="n" s="0">
        <f>(-5-((((-5*(-5/((-5/(((-5*(25.39--5))-(-5+((-5*25.39)*(((-5--5)+(25.39--5))+25.39))))-(-5+-5)))*-5)))/-5)--5)+(-5*(((25.39*(25.39-(-5/-5)))*(25.39-(25.39/(-5*25.39))))-(-5/-5)))))</f>
        <v>80608.449895</v>
      </c>
      <c r="C12540" t="n" s="0">
        <v>80608.449895</v>
      </c>
    </row>
    <row r="12541">
      <c r="A12541" t="n" s="0">
        <v>25.4</v>
      </c>
      <c r="B12541" t="n" s="0">
        <f>(-5-((((-5*(-5/((-5/(((-5*(25.4--5))-(-5+((-5*25.4)*(((-5--5)+(25.4--5))+25.4))))-(-5+-5)))*-5)))/-5)--5)+(-5*(((25.4*(25.4-(-5/-5)))*(25.4-(25.4/(-5*25.4))))-(-5/-5)))))</f>
        <v>80704.2</v>
      </c>
      <c r="C12541" t="n" s="0">
        <v>80704.19999999998</v>
      </c>
    </row>
    <row r="12542">
      <c r="A12542" t="n" s="0">
        <v>25.41</v>
      </c>
      <c r="B12542" t="n" s="0">
        <f>(-5-((((-5*(-5/((-5/(((-5*(25.41--5))-(-5+((-5*25.41)*(((-5--5)+(25.41--5))+25.41))))-(-5+-5)))*-5)))/-5)--5)+(-5*(((25.41*(25.41-(-5/-5)))*(25.41-(25.41/(-5*25.41))))-(-5/-5)))))</f>
        <v>80800.025905</v>
      </c>
      <c r="C12542" t="n" s="0">
        <v>80800.02590499999</v>
      </c>
    </row>
    <row r="12543">
      <c r="A12543" t="n" s="0">
        <v>25.42</v>
      </c>
      <c r="B12543" t="n" s="0">
        <f>(-5-((((-5*(-5/((-5/(((-5*(25.42--5))-(-5+((-5*25.42)*(((-5--5)+(25.42--5))+25.42))))-(-5+-5)))*-5)))/-5)--5)+(-5*(((25.42*(25.42-(-5/-5)))*(25.42-(25.42/(-5*25.42))))-(-5/-5)))))</f>
        <v>80895.92764</v>
      </c>
      <c r="C12543" t="n" s="0">
        <v>80895.92764000002</v>
      </c>
    </row>
    <row r="12544">
      <c r="A12544" t="n" s="0">
        <v>25.43</v>
      </c>
      <c r="B12544" t="n" s="0">
        <f>(-5-((((-5*(-5/((-5/(((-5*(25.43--5))-(-5+((-5*25.43)*(((-5--5)+(25.43--5))+25.43))))-(-5+-5)))*-5)))/-5)--5)+(-5*(((25.43*(25.43-(-5/-5)))*(25.43-(25.43/(-5*25.43))))-(-5/-5)))))</f>
        <v>80991.905235</v>
      </c>
      <c r="C12544" t="n" s="0">
        <v>80991.90523499998</v>
      </c>
    </row>
    <row r="12545">
      <c r="A12545" t="n" s="0">
        <v>25.44</v>
      </c>
      <c r="B12545" t="n" s="0">
        <f>(-5-((((-5*(-5/((-5/(((-5*(25.44--5))-(-5+((-5*25.44)*(((-5--5)+(25.44--5))+25.44))))-(-5+-5)))*-5)))/-5)--5)+(-5*(((25.44*(25.44-(-5/-5)))*(25.44-(25.44/(-5*25.44))))-(-5/-5)))))</f>
        <v>81087.95872000001</v>
      </c>
      <c r="C12545" t="n" s="0">
        <v>81087.95872000002</v>
      </c>
    </row>
    <row r="12546">
      <c r="A12546" t="n" s="0">
        <v>25.45</v>
      </c>
      <c r="B12546" t="n" s="0">
        <f>(-5-((((-5*(-5/((-5/(((-5*(25.45--5))-(-5+((-5*25.45)*(((-5--5)+(25.45--5))+25.45))))-(-5+-5)))*-5)))/-5)--5)+(-5*(((25.45*(25.45-(-5/-5)))*(25.45-(25.45/(-5*25.45))))-(-5/-5)))))</f>
        <v>81184.088125</v>
      </c>
      <c r="C12546" t="n" s="0">
        <v>81184.08812500001</v>
      </c>
    </row>
    <row r="12547">
      <c r="A12547" t="n" s="0">
        <v>25.46</v>
      </c>
      <c r="B12547" t="n" s="0">
        <f>(-5-((((-5*(-5/((-5/(((-5*(25.46--5))-(-5+((-5*25.46)*(((-5--5)+(25.46--5))+25.46))))-(-5+-5)))*-5)))/-5)--5)+(-5*(((25.46*(25.46-(-5/-5)))*(25.46-(25.46/(-5*25.46))))-(-5/-5)))))</f>
        <v>81280.29348000001</v>
      </c>
      <c r="C12547" t="n" s="0">
        <v>81280.29348000001</v>
      </c>
    </row>
    <row r="12548">
      <c r="A12548" t="n" s="0">
        <v>25.47</v>
      </c>
      <c r="B12548" t="n" s="0">
        <f>(-5-((((-5*(-5/((-5/(((-5*(25.47--5))-(-5+((-5*25.47)*(((-5--5)+(25.47--5))+25.47))))-(-5+-5)))*-5)))/-5)--5)+(-5*(((25.47*(25.47-(-5/-5)))*(25.47-(25.47/(-5*25.47))))-(-5/-5)))))</f>
        <v>81376.574815</v>
      </c>
      <c r="C12548" t="n" s="0">
        <v>81376.574815</v>
      </c>
    </row>
    <row r="12549">
      <c r="A12549" t="n" s="0">
        <v>25.48</v>
      </c>
      <c r="B12549" t="n" s="0">
        <f>(-5-((((-5*(-5/((-5/(((-5*(25.48--5))-(-5+((-5*25.48)*(((-5--5)+(25.48--5))+25.48))))-(-5+-5)))*-5)))/-5)--5)+(-5*(((25.48*(25.48-(-5/-5)))*(25.48-(25.48/(-5*25.48))))-(-5/-5)))))</f>
        <v>81472.93216</v>
      </c>
      <c r="C12549" t="n" s="0">
        <v>81472.93216</v>
      </c>
    </row>
    <row r="12550">
      <c r="A12550" t="n" s="0">
        <v>25.49</v>
      </c>
      <c r="B12550" t="n" s="0">
        <f>(-5-((((-5*(-5/((-5/(((-5*(25.49--5))-(-5+((-5*25.49)*(((-5--5)+(25.49--5))+25.49))))-(-5+-5)))*-5)))/-5)--5)+(-5*(((25.49*(25.49-(-5/-5)))*(25.49-(25.49/(-5*25.49))))-(-5/-5)))))</f>
        <v>81569.365545</v>
      </c>
      <c r="C12550" t="n" s="0">
        <v>81569.36554499998</v>
      </c>
    </row>
    <row r="12551">
      <c r="A12551" t="n" s="0">
        <v>25.5</v>
      </c>
      <c r="B12551" t="n" s="0">
        <f>(-5-((((-5*(-5/((-5/(((-5*(25.5--5))-(-5+((-5*25.5)*(((-5--5)+(25.5--5))+25.5))))-(-5+-5)))*-5)))/-5)--5)+(-5*(((25.5*(25.5-(-5/-5)))*(25.5-(25.5/(-5*25.5))))-(-5/-5)))))</f>
        <v>81665.875</v>
      </c>
      <c r="C12551" t="n" s="0">
        <v>81665.875</v>
      </c>
    </row>
    <row r="12552">
      <c r="A12552" t="n" s="0">
        <v>25.51</v>
      </c>
      <c r="B12552" t="n" s="0">
        <f>(-5-((((-5*(-5/((-5/(((-5*(25.51--5))-(-5+((-5*25.51)*(((-5--5)+(25.51--5))+25.51))))-(-5+-5)))*-5)))/-5)--5)+(-5*(((25.51*(25.51-(-5/-5)))*(25.51-(25.51/(-5*25.51))))-(-5/-5)))))</f>
        <v>81762.460555</v>
      </c>
      <c r="C12552" t="n" s="0">
        <v>81762.46055500001</v>
      </c>
    </row>
    <row r="12553">
      <c r="A12553" t="n" s="0">
        <v>25.52</v>
      </c>
      <c r="B12553" t="n" s="0">
        <f>(-5-((((-5*(-5/((-5/(((-5*(25.52--5))-(-5+((-5*25.52)*(((-5--5)+(25.52--5))+25.52))))-(-5+-5)))*-5)))/-5)--5)+(-5*(((25.52*(25.52-(-5/-5)))*(25.52-(25.52/(-5*25.52))))-(-5/-5)))))</f>
        <v>81859.12224</v>
      </c>
      <c r="C12553" t="n" s="0">
        <v>81859.12224</v>
      </c>
    </row>
    <row r="12554">
      <c r="A12554" t="n" s="0">
        <v>25.53</v>
      </c>
      <c r="B12554" t="n" s="0">
        <f>(-5-((((-5*(-5/((-5/(((-5*(25.53--5))-(-5+((-5*25.53)*(((-5--5)+(25.53--5))+25.53))))-(-5+-5)))*-5)))/-5)--5)+(-5*(((25.53*(25.53-(-5/-5)))*(25.53-(25.53/(-5*25.53))))-(-5/-5)))))</f>
        <v>81955.86008500001</v>
      </c>
      <c r="C12554" t="n" s="0">
        <v>81955.86008500001</v>
      </c>
    </row>
    <row r="12555">
      <c r="A12555" t="n" s="0">
        <v>25.54</v>
      </c>
      <c r="B12555" t="n" s="0">
        <f>(-5-((((-5*(-5/((-5/(((-5*(25.54--5))-(-5+((-5*25.54)*(((-5--5)+(25.54--5))+25.54))))-(-5+-5)))*-5)))/-5)--5)+(-5*(((25.54*(25.54-(-5/-5)))*(25.54-(25.54/(-5*25.54))))-(-5/-5)))))</f>
        <v>82052.67412</v>
      </c>
      <c r="C12555" t="n" s="0">
        <v>82052.67412</v>
      </c>
    </row>
    <row r="12556">
      <c r="A12556" t="n" s="0">
        <v>25.55</v>
      </c>
      <c r="B12556" t="n" s="0">
        <f>(-5-((((-5*(-5/((-5/(((-5*(25.55--5))-(-5+((-5*25.55)*(((-5--5)+(25.55--5))+25.55))))-(-5+-5)))*-5)))/-5)--5)+(-5*(((25.55*(25.55-(-5/-5)))*(25.55-(25.55/(-5*25.55))))-(-5/-5)))))</f>
        <v>82149.56437499999</v>
      </c>
      <c r="C12556" t="n" s="0">
        <v>82149.564375</v>
      </c>
    </row>
    <row r="12557">
      <c r="A12557" t="n" s="0">
        <v>25.56</v>
      </c>
      <c r="B12557" t="n" s="0">
        <f>(-5-((((-5*(-5/((-5/(((-5*(25.56--5))-(-5+((-5*25.56)*(((-5--5)+(25.56--5))+25.56))))-(-5+-5)))*-5)))/-5)--5)+(-5*(((25.56*(25.56-(-5/-5)))*(25.56-(25.56/(-5*25.56))))-(-5/-5)))))</f>
        <v>82246.53087999999</v>
      </c>
      <c r="C12557" t="n" s="0">
        <v>82246.53087999998</v>
      </c>
    </row>
    <row r="12558">
      <c r="A12558" t="n" s="0">
        <v>25.57</v>
      </c>
      <c r="B12558" t="n" s="0">
        <f>(-5-((((-5*(-5/((-5/(((-5*(25.57--5))-(-5+((-5*25.57)*(((-5--5)+(25.57--5))+25.57))))-(-5+-5)))*-5)))/-5)--5)+(-5*(((25.57*(25.57-(-5/-5)))*(25.57-(25.57/(-5*25.57))))-(-5/-5)))))</f>
        <v>82343.573665</v>
      </c>
      <c r="C12558" t="n" s="0">
        <v>82343.57366500002</v>
      </c>
    </row>
    <row r="12559">
      <c r="A12559" t="n" s="0">
        <v>25.58</v>
      </c>
      <c r="B12559" t="n" s="0">
        <f>(-5-((((-5*(-5/((-5/(((-5*(25.58--5))-(-5+((-5*25.58)*(((-5--5)+(25.58--5))+25.58))))-(-5+-5)))*-5)))/-5)--5)+(-5*(((25.58*(25.58-(-5/-5)))*(25.58-(25.58/(-5*25.58))))-(-5/-5)))))</f>
        <v>82440.69276</v>
      </c>
      <c r="C12559" t="n" s="0">
        <v>82440.69275999999</v>
      </c>
    </row>
    <row r="12560">
      <c r="A12560" t="n" s="0">
        <v>25.59</v>
      </c>
      <c r="B12560" t="n" s="0">
        <f>(-5-((((-5*(-5/((-5/(((-5*(25.59--5))-(-5+((-5*25.59)*(((-5--5)+(25.59--5))+25.59))))-(-5+-5)))*-5)))/-5)--5)+(-5*(((25.59*(25.59-(-5/-5)))*(25.59-(25.59/(-5*25.59))))-(-5/-5)))))</f>
        <v>82537.888195</v>
      </c>
      <c r="C12560" t="n" s="0">
        <v>82537.888195</v>
      </c>
    </row>
    <row r="12561">
      <c r="A12561" t="n" s="0">
        <v>25.6</v>
      </c>
      <c r="B12561" t="n" s="0">
        <f>(-5-((((-5*(-5/((-5/(((-5*(25.6--5))-(-5+((-5*25.6)*(((-5--5)+(25.6--5))+25.6))))-(-5+-5)))*-5)))/-5)--5)+(-5*(((25.6*(25.6-(-5/-5)))*(25.6-(25.6/(-5*25.6))))-(-5/-5)))))</f>
        <v>82635.15999999999</v>
      </c>
      <c r="C12561" t="n" s="0">
        <v>82635.16000000002</v>
      </c>
    </row>
    <row r="12562">
      <c r="A12562" t="n" s="0">
        <v>25.61</v>
      </c>
      <c r="B12562" t="n" s="0">
        <f>(-5-((((-5*(-5/((-5/(((-5*(25.61--5))-(-5+((-5*25.61)*(((-5--5)+(25.61--5))+25.61))))-(-5+-5)))*-5)))/-5)--5)+(-5*(((25.61*(25.61-(-5/-5)))*(25.61-(25.61/(-5*25.61))))-(-5/-5)))))</f>
        <v>82732.508205</v>
      </c>
      <c r="C12562" t="n" s="0">
        <v>82732.50820499999</v>
      </c>
    </row>
    <row r="12563">
      <c r="A12563" t="n" s="0">
        <v>25.62</v>
      </c>
      <c r="B12563" t="n" s="0">
        <f>(-5-((((-5*(-5/((-5/(((-5*(25.62--5))-(-5+((-5*25.62)*(((-5--5)+(25.62--5))+25.62))))-(-5+-5)))*-5)))/-5)--5)+(-5*(((25.62*(25.62-(-5/-5)))*(25.62-(25.62/(-5*25.62))))-(-5/-5)))))</f>
        <v>82829.93284</v>
      </c>
      <c r="C12563" t="n" s="0">
        <v>82829.93284</v>
      </c>
    </row>
    <row r="12564">
      <c r="A12564" t="n" s="0">
        <v>25.63</v>
      </c>
      <c r="B12564" t="n" s="0">
        <f>(-5-((((-5*(-5/((-5/(((-5*(25.63--5))-(-5+((-5*25.63)*(((-5--5)+(25.63--5))+25.63))))-(-5+-5)))*-5)))/-5)--5)+(-5*(((25.63*(25.63-(-5/-5)))*(25.63-(25.63/(-5*25.63))))-(-5/-5)))))</f>
        <v>82927.43393500001</v>
      </c>
      <c r="C12564" t="n" s="0">
        <v>82927.433935</v>
      </c>
    </row>
    <row r="12565">
      <c r="A12565" t="n" s="0">
        <v>25.64</v>
      </c>
      <c r="B12565" t="n" s="0">
        <f>(-5-((((-5*(-5/((-5/(((-5*(25.64--5))-(-5+((-5*25.64)*(((-5--5)+(25.64--5))+25.64))))-(-5+-5)))*-5)))/-5)--5)+(-5*(((25.64*(25.64-(-5/-5)))*(25.64-(25.64/(-5*25.64))))-(-5/-5)))))</f>
        <v>83025.01152</v>
      </c>
      <c r="C12565" t="n" s="0">
        <v>83025.01152000001</v>
      </c>
    </row>
    <row r="12566">
      <c r="A12566" t="n" s="0">
        <v>25.65</v>
      </c>
      <c r="B12566" t="n" s="0">
        <f>(-5-((((-5*(-5/((-5/(((-5*(25.65--5))-(-5+((-5*25.65)*(((-5--5)+(25.65--5))+25.65))))-(-5+-5)))*-5)))/-5)--5)+(-5*(((25.65*(25.65-(-5/-5)))*(25.65-(25.65/(-5*25.65))))-(-5/-5)))))</f>
        <v>83122.66562500001</v>
      </c>
      <c r="C12566" t="n" s="0">
        <v>83122.66562499998</v>
      </c>
    </row>
    <row r="12567">
      <c r="A12567" t="n" s="0">
        <v>25.66</v>
      </c>
      <c r="B12567" t="n" s="0">
        <f>(-5-((((-5*(-5/((-5/(((-5*(25.66--5))-(-5+((-5*25.66)*(((-5--5)+(25.66--5))+25.66))))-(-5+-5)))*-5)))/-5)--5)+(-5*(((25.66*(25.66-(-5/-5)))*(25.66-(25.66/(-5*25.66))))-(-5/-5)))))</f>
        <v>83220.39627999999</v>
      </c>
      <c r="C12567" t="n" s="0">
        <v>83220.39628</v>
      </c>
    </row>
    <row r="12568">
      <c r="A12568" t="n" s="0">
        <v>25.67</v>
      </c>
      <c r="B12568" t="n" s="0">
        <f>(-5-((((-5*(-5/((-5/(((-5*(25.67--5))-(-5+((-5*25.67)*(((-5--5)+(25.67--5))+25.67))))-(-5+-5)))*-5)))/-5)--5)+(-5*(((25.67*(25.67-(-5/-5)))*(25.67-(25.67/(-5*25.67))))-(-5/-5)))))</f>
        <v>83318.203515</v>
      </c>
      <c r="C12568" t="n" s="0">
        <v>83318.203515</v>
      </c>
    </row>
    <row r="12569">
      <c r="A12569" t="n" s="0">
        <v>25.68</v>
      </c>
      <c r="B12569" t="n" s="0">
        <f>(-5-((((-5*(-5/((-5/(((-5*(25.68--5))-(-5+((-5*25.68)*(((-5--5)+(25.68--5))+25.68))))-(-5+-5)))*-5)))/-5)--5)+(-5*(((25.68*(25.68-(-5/-5)))*(25.68-(25.68/(-5*25.68))))-(-5/-5)))))</f>
        <v>83416.08735999999</v>
      </c>
      <c r="C12569" t="n" s="0">
        <v>83416.08736</v>
      </c>
    </row>
    <row r="12570">
      <c r="A12570" t="n" s="0">
        <v>25.69</v>
      </c>
      <c r="B12570" t="n" s="0">
        <f>(-5-((((-5*(-5/((-5/(((-5*(25.69--5))-(-5+((-5*25.69)*(((-5--5)+(25.69--5))+25.69))))-(-5+-5)))*-5)))/-5)--5)+(-5*(((25.69*(25.69-(-5/-5)))*(25.69-(25.69/(-5*25.69))))-(-5/-5)))))</f>
        <v>83514.047845</v>
      </c>
      <c r="C12570" t="n" s="0">
        <v>83514.04784500002</v>
      </c>
    </row>
    <row r="12571">
      <c r="A12571" t="n" s="0">
        <v>25.7</v>
      </c>
      <c r="B12571" t="n" s="0">
        <f>(-5-((((-5*(-5/((-5/(((-5*(25.7--5))-(-5+((-5*25.7)*(((-5--5)+(25.7--5))+25.7))))-(-5+-5)))*-5)))/-5)--5)+(-5*(((25.7*(25.7-(-5/-5)))*(25.7-(25.7/(-5*25.7))))-(-5/-5)))))</f>
        <v>83612.08499999999</v>
      </c>
      <c r="C12571" t="n" s="0">
        <v>83612.08499999999</v>
      </c>
    </row>
    <row r="12572">
      <c r="A12572" t="n" s="0">
        <v>25.71</v>
      </c>
      <c r="B12572" t="n" s="0">
        <f>(-5-((((-5*(-5/((-5/(((-5*(25.71--5))-(-5+((-5*25.71)*(((-5--5)+(25.71--5))+25.71))))-(-5+-5)))*-5)))/-5)--5)+(-5*(((25.71*(25.71-(-5/-5)))*(25.71-(25.71/(-5*25.71))))-(-5/-5)))))</f>
        <v>83710.198855</v>
      </c>
      <c r="C12572" t="n" s="0">
        <v>83710.19885500001</v>
      </c>
    </row>
    <row r="12573">
      <c r="A12573" t="n" s="0">
        <v>25.72</v>
      </c>
      <c r="B12573" t="n" s="0">
        <f>(-5-((((-5*(-5/((-5/(((-5*(25.72--5))-(-5+((-5*25.72)*(((-5--5)+(25.72--5))+25.72))))-(-5+-5)))*-5)))/-5)--5)+(-5*(((25.72*(25.72-(-5/-5)))*(25.72-(25.72/(-5*25.72))))-(-5/-5)))))</f>
        <v>83808.38944000001</v>
      </c>
      <c r="C12573" t="n" s="0">
        <v>83808.38943999998</v>
      </c>
    </row>
    <row r="12574">
      <c r="A12574" t="n" s="0">
        <v>25.73</v>
      </c>
      <c r="B12574" t="n" s="0">
        <f>(-5-((((-5*(-5/((-5/(((-5*(25.73--5))-(-5+((-5*25.73)*(((-5--5)+(25.73--5))+25.73))))-(-5+-5)))*-5)))/-5)--5)+(-5*(((25.73*(25.73-(-5/-5)))*(25.73-(25.73/(-5*25.73))))-(-5/-5)))))</f>
        <v>83906.656785</v>
      </c>
      <c r="C12574" t="n" s="0">
        <v>83906.65678500001</v>
      </c>
    </row>
    <row r="12575">
      <c r="A12575" t="n" s="0">
        <v>25.74</v>
      </c>
      <c r="B12575" t="n" s="0">
        <f>(-5-((((-5*(-5/((-5/(((-5*(25.74--5))-(-5+((-5*25.74)*(((-5--5)+(25.74--5))+25.74))))-(-5+-5)))*-5)))/-5)--5)+(-5*(((25.74*(25.74-(-5/-5)))*(25.74-(25.74/(-5*25.74))))-(-5/-5)))))</f>
        <v>84005.00092</v>
      </c>
      <c r="C12575" t="n" s="0">
        <v>84005.00091999999</v>
      </c>
    </row>
    <row r="12576">
      <c r="A12576" t="n" s="0">
        <v>25.75</v>
      </c>
      <c r="B12576" t="n" s="0">
        <f>(-5-((((-5*(-5/((-5/(((-5*(25.75--5))-(-5+((-5*25.75)*(((-5--5)+(25.75--5))+25.75))))-(-5+-5)))*-5)))/-5)--5)+(-5*(((25.75*(25.75-(-5/-5)))*(25.75-(25.75/(-5*25.75))))-(-5/-5)))))</f>
        <v>84103.421875</v>
      </c>
      <c r="C12576" t="n" s="0">
        <v>84103.421875</v>
      </c>
    </row>
    <row r="12577">
      <c r="A12577" t="n" s="0">
        <v>25.76</v>
      </c>
      <c r="B12577" t="n" s="0">
        <f>(-5-((((-5*(-5/((-5/(((-5*(25.76--5))-(-5+((-5*25.76)*(((-5--5)+(25.76--5))+25.76))))-(-5+-5)))*-5)))/-5)--5)+(-5*(((25.76*(25.76-(-5/-5)))*(25.76-(25.76/(-5*25.76))))-(-5/-5)))))</f>
        <v>84201.91968</v>
      </c>
      <c r="C12577" t="n" s="0">
        <v>84201.91968000004</v>
      </c>
    </row>
    <row r="12578">
      <c r="A12578" t="n" s="0">
        <v>25.77</v>
      </c>
      <c r="B12578" t="n" s="0">
        <f>(-5-((((-5*(-5/((-5/(((-5*(25.77--5))-(-5+((-5*25.77)*(((-5--5)+(25.77--5))+25.77))))-(-5+-5)))*-5)))/-5)--5)+(-5*(((25.77*(25.77-(-5/-5)))*(25.77-(25.77/(-5*25.77))))-(-5/-5)))))</f>
        <v>84300.49436499999</v>
      </c>
      <c r="C12578" t="n" s="0">
        <v>84300.49436499999</v>
      </c>
    </row>
    <row r="12579">
      <c r="A12579" t="n" s="0">
        <v>25.78</v>
      </c>
      <c r="B12579" t="n" s="0">
        <f>(-5-((((-5*(-5/((-5/(((-5*(25.78--5))-(-5+((-5*25.78)*(((-5--5)+(25.78--5))+25.78))))-(-5+-5)))*-5)))/-5)--5)+(-5*(((25.78*(25.78-(-5/-5)))*(25.78-(25.78/(-5*25.78))))-(-5/-5)))))</f>
        <v>84399.14596000001</v>
      </c>
      <c r="C12579" t="n" s="0">
        <v>84399.14596000001</v>
      </c>
    </row>
    <row r="12580">
      <c r="A12580" t="n" s="0">
        <v>25.79</v>
      </c>
      <c r="B12580" t="n" s="0">
        <f>(-5-((((-5*(-5/((-5/(((-5*(25.79--5))-(-5+((-5*25.79)*(((-5--5)+(25.79--5))+25.79))))-(-5+-5)))*-5)))/-5)--5)+(-5*(((25.79*(25.79-(-5/-5)))*(25.79-(25.79/(-5*25.79))))-(-5/-5)))))</f>
        <v>84497.87449500001</v>
      </c>
      <c r="C12580" t="n" s="0">
        <v>84497.874495</v>
      </c>
    </row>
    <row r="12581">
      <c r="A12581" t="n" s="0">
        <v>25.8</v>
      </c>
      <c r="B12581" t="n" s="0">
        <f>(-5-((((-5*(-5/((-5/(((-5*(25.8--5))-(-5+((-5*25.8)*(((-5--5)+(25.8--5))+25.8))))-(-5+-5)))*-5)))/-5)--5)+(-5*(((25.8*(25.8-(-5/-5)))*(25.8-(25.8/(-5*25.8))))-(-5/-5)))))</f>
        <v>84596.68</v>
      </c>
      <c r="C12581" t="n" s="0">
        <v>84596.68000000001</v>
      </c>
    </row>
    <row r="12582">
      <c r="A12582" t="n" s="0">
        <v>25.81</v>
      </c>
      <c r="B12582" t="n" s="0">
        <f>(-5-((((-5*(-5/((-5/(((-5*(25.81--5))-(-5+((-5*25.81)*(((-5--5)+(25.81--5))+25.81))))-(-5+-5)))*-5)))/-5)--5)+(-5*(((25.81*(25.81-(-5/-5)))*(25.81-(25.81/(-5*25.81))))-(-5/-5)))))</f>
        <v>84695.56250500001</v>
      </c>
      <c r="C12582" t="n" s="0">
        <v>84695.56250499997</v>
      </c>
    </row>
    <row r="12583">
      <c r="A12583" t="n" s="0">
        <v>25.82</v>
      </c>
      <c r="B12583" t="n" s="0">
        <f>(-5-((((-5*(-5/((-5/(((-5*(25.82--5))-(-5+((-5*25.82)*(((-5--5)+(25.82--5))+25.82))))-(-5+-5)))*-5)))/-5)--5)+(-5*(((25.82*(25.82-(-5/-5)))*(25.82-(25.82/(-5*25.82))))-(-5/-5)))))</f>
        <v>84794.52204000001</v>
      </c>
      <c r="C12583" t="n" s="0">
        <v>84794.52204000001</v>
      </c>
    </row>
    <row r="12584">
      <c r="A12584" t="n" s="0">
        <v>25.83</v>
      </c>
      <c r="B12584" t="n" s="0">
        <f>(-5-((((-5*(-5/((-5/(((-5*(25.83--5))-(-5+((-5*25.83)*(((-5--5)+(25.83--5))+25.83))))-(-5+-5)))*-5)))/-5)--5)+(-5*(((25.83*(25.83-(-5/-5)))*(25.83-(25.83/(-5*25.83))))-(-5/-5)))))</f>
        <v>84893.558635</v>
      </c>
      <c r="C12584" t="n" s="0">
        <v>84893.558635</v>
      </c>
    </row>
    <row r="12585">
      <c r="A12585" t="n" s="0">
        <v>25.84</v>
      </c>
      <c r="B12585" t="n" s="0">
        <f>(-5-((((-5*(-5/((-5/(((-5*(25.84--5))-(-5+((-5*25.84)*(((-5--5)+(25.84--5))+25.84))))-(-5+-5)))*-5)))/-5)--5)+(-5*(((25.84*(25.84-(-5/-5)))*(25.84-(25.84/(-5*25.84))))-(-5/-5)))))</f>
        <v>84992.67232</v>
      </c>
      <c r="C12585" t="n" s="0">
        <v>84992.67232</v>
      </c>
    </row>
    <row r="12586">
      <c r="A12586" t="n" s="0">
        <v>25.85</v>
      </c>
      <c r="B12586" t="n" s="0">
        <f>(-5-((((-5*(-5/((-5/(((-5*(25.85--5))-(-5+((-5*25.85)*(((-5--5)+(25.85--5))+25.85))))-(-5+-5)))*-5)))/-5)--5)+(-5*(((25.85*(25.85-(-5/-5)))*(25.85-(25.85/(-5*25.85))))-(-5/-5)))))</f>
        <v>85091.863125</v>
      </c>
      <c r="C12586" t="n" s="0">
        <v>85091.86312500002</v>
      </c>
    </row>
    <row r="12587">
      <c r="A12587" t="n" s="0">
        <v>25.86</v>
      </c>
      <c r="B12587" t="n" s="0">
        <f>(-5-((((-5*(-5/((-5/(((-5*(25.86--5))-(-5+((-5*25.86)*(((-5--5)+(25.86--5))+25.86))))-(-5+-5)))*-5)))/-5)--5)+(-5*(((25.86*(25.86-(-5/-5)))*(25.86-(25.86/(-5*25.86))))-(-5/-5)))))</f>
        <v>85191.13108</v>
      </c>
      <c r="C12587" t="n" s="0">
        <v>85191.13108</v>
      </c>
    </row>
    <row r="12588">
      <c r="A12588" t="n" s="0">
        <v>25.87</v>
      </c>
      <c r="B12588" t="n" s="0">
        <f>(-5-((((-5*(-5/((-5/(((-5*(25.87--5))-(-5+((-5*25.87)*(((-5--5)+(25.87--5))+25.87))))-(-5+-5)))*-5)))/-5)--5)+(-5*(((25.87*(25.87-(-5/-5)))*(25.87-(25.87/(-5*25.87))))-(-5/-5)))))</f>
        <v>85290.476215</v>
      </c>
      <c r="C12588" t="n" s="0">
        <v>85290.476215</v>
      </c>
    </row>
    <row r="12589">
      <c r="A12589" t="n" s="0">
        <v>25.88</v>
      </c>
      <c r="B12589" t="n" s="0">
        <f>(-5-((((-5*(-5/((-5/(((-5*(25.88--5))-(-5+((-5*25.88)*(((-5--5)+(25.88--5))+25.88))))-(-5+-5)))*-5)))/-5)--5)+(-5*(((25.88*(25.88-(-5/-5)))*(25.88-(25.88/(-5*25.88))))-(-5/-5)))))</f>
        <v>85389.89855999999</v>
      </c>
      <c r="C12589" t="n" s="0">
        <v>85389.89855999999</v>
      </c>
    </row>
    <row r="12590">
      <c r="A12590" t="n" s="0">
        <v>25.89</v>
      </c>
      <c r="B12590" t="n" s="0">
        <f>(-5-((((-5*(-5/((-5/(((-5*(25.89--5))-(-5+((-5*25.89)*(((-5--5)+(25.89--5))+25.89))))-(-5+-5)))*-5)))/-5)--5)+(-5*(((25.89*(25.89-(-5/-5)))*(25.89-(25.89/(-5*25.89))))-(-5/-5)))))</f>
        <v>85489.398145</v>
      </c>
      <c r="C12590" t="n" s="0">
        <v>85489.398145</v>
      </c>
    </row>
    <row r="12591">
      <c r="A12591" t="n" s="0">
        <v>25.9</v>
      </c>
      <c r="B12591" t="n" s="0">
        <f>(-5-((((-5*(-5/((-5/(((-5*(25.9--5))-(-5+((-5*25.9)*(((-5--5)+(25.9--5))+25.9))))-(-5+-5)))*-5)))/-5)--5)+(-5*(((25.9*(25.9-(-5/-5)))*(25.9-(25.9/(-5*25.9))))-(-5/-5)))))</f>
        <v>85588.975</v>
      </c>
      <c r="C12591" t="n" s="0">
        <v>85588.97499999998</v>
      </c>
    </row>
    <row r="12592">
      <c r="A12592" t="n" s="0">
        <v>25.91</v>
      </c>
      <c r="B12592" t="n" s="0">
        <f>(-5-((((-5*(-5/((-5/(((-5*(25.91--5))-(-5+((-5*25.91)*(((-5--5)+(25.91--5))+25.91))))-(-5+-5)))*-5)))/-5)--5)+(-5*(((25.91*(25.91-(-5/-5)))*(25.91-(25.91/(-5*25.91))))-(-5/-5)))))</f>
        <v>85688.629155</v>
      </c>
      <c r="C12592" t="n" s="0">
        <v>85688.62915499999</v>
      </c>
    </row>
    <row r="12593">
      <c r="A12593" t="n" s="0">
        <v>25.92</v>
      </c>
      <c r="B12593" t="n" s="0">
        <f>(-5-((((-5*(-5/((-5/(((-5*(25.92--5))-(-5+((-5*25.92)*(((-5--5)+(25.92--5))+25.92))))-(-5+-5)))*-5)))/-5)--5)+(-5*(((25.92*(25.92-(-5/-5)))*(25.92-(25.92/(-5*25.92))))-(-5/-5)))))</f>
        <v>85788.36064</v>
      </c>
      <c r="C12593" t="n" s="0">
        <v>85788.36064</v>
      </c>
    </row>
    <row r="12594">
      <c r="A12594" t="n" s="0">
        <v>25.93</v>
      </c>
      <c r="B12594" t="n" s="0">
        <f>(-5-((((-5*(-5/((-5/(((-5*(25.93--5))-(-5+((-5*25.93)*(((-5--5)+(25.93--5))+25.93))))-(-5+-5)))*-5)))/-5)--5)+(-5*(((25.93*(25.93-(-5/-5)))*(25.93-(25.93/(-5*25.93))))-(-5/-5)))))</f>
        <v>85888.169485</v>
      </c>
      <c r="C12594" t="n" s="0">
        <v>85888.169485</v>
      </c>
    </row>
    <row r="12595">
      <c r="A12595" t="n" s="0">
        <v>25.94</v>
      </c>
      <c r="B12595" t="n" s="0">
        <f>(-5-((((-5*(-5/((-5/(((-5*(25.94--5))-(-5+((-5*25.94)*(((-5--5)+(25.94--5))+25.94))))-(-5+-5)))*-5)))/-5)--5)+(-5*(((25.94*(25.94-(-5/-5)))*(25.94-(25.94/(-5*25.94))))-(-5/-5)))))</f>
        <v>85988.05572</v>
      </c>
      <c r="C12595" t="n" s="0">
        <v>85988.05572000002</v>
      </c>
    </row>
    <row r="12596">
      <c r="A12596" t="n" s="0">
        <v>25.95</v>
      </c>
      <c r="B12596" t="n" s="0">
        <f>(-5-((((-5*(-5/((-5/(((-5*(25.95--5))-(-5+((-5*25.95)*(((-5--5)+(25.95--5))+25.95))))-(-5+-5)))*-5)))/-5)--5)+(-5*(((25.95*(25.95-(-5/-5)))*(25.95-(25.95/(-5*25.95))))-(-5/-5)))))</f>
        <v>86088.01937499999</v>
      </c>
      <c r="C12596" t="n" s="0">
        <v>86088.019375</v>
      </c>
    </row>
    <row r="12597">
      <c r="A12597" t="n" s="0">
        <v>25.96</v>
      </c>
      <c r="B12597" t="n" s="0">
        <f>(-5-((((-5*(-5/((-5/(((-5*(25.96--5))-(-5+((-5*25.96)*(((-5--5)+(25.96--5))+25.96))))-(-5+-5)))*-5)))/-5)--5)+(-5*(((25.96*(25.96-(-5/-5)))*(25.96-(25.96/(-5*25.96))))-(-5/-5)))))</f>
        <v>86188.06048</v>
      </c>
      <c r="C12597" t="n" s="0">
        <v>86188.06048000001</v>
      </c>
    </row>
    <row r="12598">
      <c r="A12598" t="n" s="0">
        <v>25.97</v>
      </c>
      <c r="B12598" t="n" s="0">
        <f>(-5-((((-5*(-5/((-5/(((-5*(25.97--5))-(-5+((-5*25.97)*(((-5--5)+(25.97--5))+25.97))))-(-5+-5)))*-5)))/-5)--5)+(-5*(((25.97*(25.97-(-5/-5)))*(25.97-(25.97/(-5*25.97))))-(-5/-5)))))</f>
        <v>86288.17906499999</v>
      </c>
      <c r="C12598" t="n" s="0">
        <v>86288.17906499997</v>
      </c>
    </row>
    <row r="12599">
      <c r="A12599" t="n" s="0">
        <v>25.98</v>
      </c>
      <c r="B12599" t="n" s="0">
        <f>(-5-((((-5*(-5/((-5/(((-5*(25.98--5))-(-5+((-5*25.98)*(((-5--5)+(25.98--5))+25.98))))-(-5+-5)))*-5)))/-5)--5)+(-5*(((25.98*(25.98-(-5/-5)))*(25.98-(25.98/(-5*25.98))))-(-5/-5)))))</f>
        <v>86388.37516000001</v>
      </c>
      <c r="C12599" t="n" s="0">
        <v>86388.37516</v>
      </c>
    </row>
    <row r="12600">
      <c r="A12600" t="n" s="0">
        <v>25.99</v>
      </c>
      <c r="B12600" t="n" s="0">
        <f>(-5-((((-5*(-5/((-5/(((-5*(25.99--5))-(-5+((-5*25.99)*(((-5--5)+(25.99--5))+25.99))))-(-5+-5)))*-5)))/-5)--5)+(-5*(((25.99*(25.99-(-5/-5)))*(25.99-(25.99/(-5*25.99))))-(-5/-5)))))</f>
        <v>86488.64879499999</v>
      </c>
      <c r="C12600" t="n" s="0">
        <v>86488.64879499999</v>
      </c>
    </row>
    <row r="12601">
      <c r="A12601" t="n" s="0">
        <v>26.0</v>
      </c>
      <c r="B12601" t="n" s="0">
        <f>(-5-((((-5*(-5/((-5/(((-5*(26--5))-(-5+((-5*26)*(((-5--5)+(26--5))+26))))-(-5+-5)))*-5)))/-5)--5)+(-5*(((26*(26-(-5/-5)))*(26-(26/(-5*26))))-(-5/-5)))))</f>
        <v>86589.0</v>
      </c>
      <c r="C12601" t="n" s="0">
        <v>86589.0</v>
      </c>
    </row>
    <row r="12602">
      <c r="A12602" t="n" s="0">
        <v>26.01</v>
      </c>
      <c r="B12602" t="n" s="0">
        <f>(-5-((((-5*(-5/((-5/(((-5*(26.01--5))-(-5+((-5*26.01)*(((-5--5)+(26.01--5))+26.01))))-(-5+-5)))*-5)))/-5)--5)+(-5*(((26.01*(26.01-(-5/-5)))*(26.01-(26.01/(-5*26.01))))-(-5/-5)))))</f>
        <v>86689.428805</v>
      </c>
      <c r="C12602" t="n" s="0">
        <v>86689.428805</v>
      </c>
    </row>
    <row r="12603">
      <c r="A12603" t="n" s="0">
        <v>26.02</v>
      </c>
      <c r="B12603" t="n" s="0">
        <f>(-5-((((-5*(-5/((-5/(((-5*(26.02--5))-(-5+((-5*26.02)*(((-5--5)+(26.02--5))+26.02))))-(-5+-5)))*-5)))/-5)--5)+(-5*(((26.02*(26.02-(-5/-5)))*(26.02-(26.02/(-5*26.02))))-(-5/-5)))))</f>
        <v>86789.93523999999</v>
      </c>
      <c r="C12603" t="n" s="0">
        <v>86789.93523999999</v>
      </c>
    </row>
    <row r="12604">
      <c r="A12604" t="n" s="0">
        <v>26.03</v>
      </c>
      <c r="B12604" t="n" s="0">
        <f>(-5-((((-5*(-5/((-5/(((-5*(26.03--5))-(-5+((-5*26.03)*(((-5--5)+(26.03--5))+26.03))))-(-5+-5)))*-5)))/-5)--5)+(-5*(((26.03*(26.03-(-5/-5)))*(26.03-(26.03/(-5*26.03))))-(-5/-5)))))</f>
        <v>86890.519335</v>
      </c>
      <c r="C12604" t="n" s="0">
        <v>86890.51933500002</v>
      </c>
    </row>
    <row r="12605">
      <c r="A12605" t="n" s="0">
        <v>26.04</v>
      </c>
      <c r="B12605" t="n" s="0">
        <f>(-5-((((-5*(-5/((-5/(((-5*(26.04--5))-(-5+((-5*26.04)*(((-5--5)+(26.04--5))+26.04))))-(-5+-5)))*-5)))/-5)--5)+(-5*(((26.04*(26.04-(-5/-5)))*(26.04-(26.04/(-5*26.04))))-(-5/-5)))))</f>
        <v>86991.18112</v>
      </c>
      <c r="C12605" t="n" s="0">
        <v>86991.18111999998</v>
      </c>
    </row>
    <row r="12606">
      <c r="A12606" t="n" s="0">
        <v>26.05</v>
      </c>
      <c r="B12606" t="n" s="0">
        <f>(-5-((((-5*(-5/((-5/(((-5*(26.05--5))-(-5+((-5*26.05)*(((-5--5)+(26.05--5))+26.05))))-(-5+-5)))*-5)))/-5)--5)+(-5*(((26.05*(26.05-(-5/-5)))*(26.05-(26.05/(-5*26.05))))-(-5/-5)))))</f>
        <v>87091.920625</v>
      </c>
      <c r="C12606" t="n" s="0">
        <v>87091.92062499998</v>
      </c>
    </row>
    <row r="12607">
      <c r="A12607" t="n" s="0">
        <v>26.06</v>
      </c>
      <c r="B12607" t="n" s="0">
        <f>(-5-((((-5*(-5/((-5/(((-5*(26.06--5))-(-5+((-5*26.06)*(((-5--5)+(26.06--5))+26.06))))-(-5+-5)))*-5)))/-5)--5)+(-5*(((26.06*(26.06-(-5/-5)))*(26.06-(26.06/(-5*26.06))))-(-5/-5)))))</f>
        <v>87192.73788</v>
      </c>
      <c r="C12607" t="n" s="0">
        <v>87192.73787999999</v>
      </c>
    </row>
    <row r="12608">
      <c r="A12608" t="n" s="0">
        <v>26.07</v>
      </c>
      <c r="B12608" t="n" s="0">
        <f>(-5-((((-5*(-5/((-5/(((-5*(26.07--5))-(-5+((-5*26.07)*(((-5--5)+(26.07--5))+26.07))))-(-5+-5)))*-5)))/-5)--5)+(-5*(((26.07*(26.07-(-5/-5)))*(26.07-(26.07/(-5*26.07))))-(-5/-5)))))</f>
        <v>87293.632915</v>
      </c>
      <c r="C12608" t="n" s="0">
        <v>87293.63291500001</v>
      </c>
    </row>
    <row r="12609">
      <c r="A12609" t="n" s="0">
        <v>26.08</v>
      </c>
      <c r="B12609" t="n" s="0">
        <f>(-5-((((-5*(-5/((-5/(((-5*(26.08--5))-(-5+((-5*26.08)*(((-5--5)+(26.08--5))+26.08))))-(-5+-5)))*-5)))/-5)--5)+(-5*(((26.08*(26.08-(-5/-5)))*(26.08-(26.08/(-5*26.08))))-(-5/-5)))))</f>
        <v>87394.60575999999</v>
      </c>
      <c r="C12609" t="n" s="0">
        <v>87394.60575999998</v>
      </c>
    </row>
    <row r="12610">
      <c r="A12610" t="n" s="0">
        <v>26.09</v>
      </c>
      <c r="B12610" t="n" s="0">
        <f>(-5-((((-5*(-5/((-5/(((-5*(26.09--5))-(-5+((-5*26.09)*(((-5--5)+(26.09--5))+26.09))))-(-5+-5)))*-5)))/-5)--5)+(-5*(((26.09*(26.09-(-5/-5)))*(26.09-(26.09/(-5*26.09))))-(-5/-5)))))</f>
        <v>87495.656445</v>
      </c>
      <c r="C12610" t="n" s="0">
        <v>87495.656445</v>
      </c>
    </row>
    <row r="12611">
      <c r="A12611" t="n" s="0">
        <v>26.1</v>
      </c>
      <c r="B12611" t="n" s="0">
        <f>(-5-((((-5*(-5/((-5/(((-5*(26.1--5))-(-5+((-5*26.1)*(((-5--5)+(26.1--5))+26.1))))-(-5+-5)))*-5)))/-5)--5)+(-5*(((26.1*(26.1-(-5/-5)))*(26.1-(26.1/(-5*26.1))))-(-5/-5)))))</f>
        <v>87596.785</v>
      </c>
      <c r="C12611" t="n" s="0">
        <v>87596.78500000002</v>
      </c>
    </row>
    <row r="12612">
      <c r="A12612" t="n" s="0">
        <v>26.11</v>
      </c>
      <c r="B12612" t="n" s="0">
        <f>(-5-((((-5*(-5/((-5/(((-5*(26.11--5))-(-5+((-5*26.11)*(((-5--5)+(26.11--5))+26.11))))-(-5+-5)))*-5)))/-5)--5)+(-5*(((26.11*(26.11-(-5/-5)))*(26.11-(26.11/(-5*26.11))))-(-5/-5)))))</f>
        <v>87697.99145500001</v>
      </c>
      <c r="C12612" t="n" s="0">
        <v>87697.991455</v>
      </c>
    </row>
    <row r="12613">
      <c r="A12613" t="n" s="0">
        <v>26.12</v>
      </c>
      <c r="B12613" t="n" s="0">
        <f>(-5-((((-5*(-5/((-5/(((-5*(26.12--5))-(-5+((-5*26.12)*(((-5--5)+(26.12--5))+26.12))))-(-5+-5)))*-5)))/-5)--5)+(-5*(((26.12*(26.12-(-5/-5)))*(26.12-(26.12/(-5*26.12))))-(-5/-5)))))</f>
        <v>87799.27584</v>
      </c>
      <c r="C12613" t="n" s="0">
        <v>87799.27584000002</v>
      </c>
    </row>
    <row r="12614">
      <c r="A12614" t="n" s="0">
        <v>26.13</v>
      </c>
      <c r="B12614" t="n" s="0">
        <f>(-5-((((-5*(-5/((-5/(((-5*(26.13--5))-(-5+((-5*26.13)*(((-5--5)+(26.13--5))+26.13))))-(-5+-5)))*-5)))/-5)--5)+(-5*(((26.13*(26.13-(-5/-5)))*(26.13-(26.13/(-5*26.13))))-(-5/-5)))))</f>
        <v>87900.638185</v>
      </c>
      <c r="C12614" t="n" s="0">
        <v>87900.638185</v>
      </c>
    </row>
    <row r="12615">
      <c r="A12615" t="n" s="0">
        <v>26.14</v>
      </c>
      <c r="B12615" t="n" s="0">
        <f>(-5-((((-5*(-5/((-5/(((-5*(26.14--5))-(-5+((-5*26.14)*(((-5--5)+(26.14--5))+26.14))))-(-5+-5)))*-5)))/-5)--5)+(-5*(((26.14*(26.14-(-5/-5)))*(26.14-(26.14/(-5*26.14))))-(-5/-5)))))</f>
        <v>88002.07852</v>
      </c>
      <c r="C12615" t="n" s="0">
        <v>88002.07852</v>
      </c>
    </row>
    <row r="12616">
      <c r="A12616" t="n" s="0">
        <v>26.15</v>
      </c>
      <c r="B12616" t="n" s="0">
        <f>(-5-((((-5*(-5/((-5/(((-5*(26.15--5))-(-5+((-5*26.15)*(((-5--5)+(26.15--5))+26.15))))-(-5+-5)))*-5)))/-5)--5)+(-5*(((26.15*(26.15-(-5/-5)))*(26.15-(26.15/(-5*26.15))))-(-5/-5)))))</f>
        <v>88103.59687499999</v>
      </c>
      <c r="C12616" t="n" s="0">
        <v>88103.59687499999</v>
      </c>
    </row>
    <row r="12617">
      <c r="A12617" t="n" s="0">
        <v>26.16</v>
      </c>
      <c r="B12617" t="n" s="0">
        <f>(-5-((((-5*(-5/((-5/(((-5*(26.16--5))-(-5+((-5*26.16)*(((-5--5)+(26.16--5))+26.16))))-(-5+-5)))*-5)))/-5)--5)+(-5*(((26.16*(26.16-(-5/-5)))*(26.16-(26.16/(-5*26.16))))-(-5/-5)))))</f>
        <v>88205.19328</v>
      </c>
      <c r="C12617" t="n" s="0">
        <v>88205.19327999999</v>
      </c>
    </row>
    <row r="12618">
      <c r="A12618" t="n" s="0">
        <v>26.17</v>
      </c>
      <c r="B12618" t="n" s="0">
        <f>(-5-((((-5*(-5/((-5/(((-5*(26.17--5))-(-5+((-5*26.17)*(((-5--5)+(26.17--5))+26.17))))-(-5+-5)))*-5)))/-5)--5)+(-5*(((26.17*(26.17-(-5/-5)))*(26.17-(26.17/(-5*26.17))))-(-5/-5)))))</f>
        <v>88306.867765</v>
      </c>
      <c r="C12618" t="n" s="0">
        <v>88306.867765</v>
      </c>
    </row>
    <row r="12619">
      <c r="A12619" t="n" s="0">
        <v>26.18</v>
      </c>
      <c r="B12619" t="n" s="0">
        <f>(-5-((((-5*(-5/((-5/(((-5*(26.18--5))-(-5+((-5*26.18)*(((-5--5)+(26.18--5))+26.18))))-(-5+-5)))*-5)))/-5)--5)+(-5*(((26.18*(26.18-(-5/-5)))*(26.18-(26.18/(-5*26.18))))-(-5/-5)))))</f>
        <v>88408.62036</v>
      </c>
      <c r="C12619" t="n" s="0">
        <v>88408.62036</v>
      </c>
    </row>
    <row r="12620">
      <c r="A12620" t="n" s="0">
        <v>26.19</v>
      </c>
      <c r="B12620" t="n" s="0">
        <f>(-5-((((-5*(-5/((-5/(((-5*(26.19--5))-(-5+((-5*26.19)*(((-5--5)+(26.19--5))+26.19))))-(-5+-5)))*-5)))/-5)--5)+(-5*(((26.19*(26.19-(-5/-5)))*(26.19-(26.19/(-5*26.19))))-(-5/-5)))))</f>
        <v>88510.451095</v>
      </c>
      <c r="C12620" t="n" s="0">
        <v>88510.45109500001</v>
      </c>
    </row>
    <row r="12621">
      <c r="A12621" t="n" s="0">
        <v>26.2</v>
      </c>
      <c r="B12621" t="n" s="0">
        <f>(-5-((((-5*(-5/((-5/(((-5*(26.2--5))-(-5+((-5*26.2)*(((-5--5)+(26.2--5))+26.2))))-(-5+-5)))*-5)))/-5)--5)+(-5*(((26.2*(26.2-(-5/-5)))*(26.2-(26.2/(-5*26.2))))-(-5/-5)))))</f>
        <v>88612.35999999999</v>
      </c>
      <c r="C12621" t="n" s="0">
        <v>88612.36</v>
      </c>
    </row>
    <row r="12622">
      <c r="A12622" t="n" s="0">
        <v>26.21</v>
      </c>
      <c r="B12622" t="n" s="0">
        <f>(-5-((((-5*(-5/((-5/(((-5*(26.21--5))-(-5+((-5*26.21)*(((-5--5)+(26.21--5))+26.21))))-(-5+-5)))*-5)))/-5)--5)+(-5*(((26.21*(26.21-(-5/-5)))*(26.21-(26.21/(-5*26.21))))-(-5/-5)))))</f>
        <v>88714.34710500001</v>
      </c>
      <c r="C12622" t="n" s="0">
        <v>88714.34710500001</v>
      </c>
    </row>
    <row r="12623">
      <c r="A12623" t="n" s="0">
        <v>26.22</v>
      </c>
      <c r="B12623" t="n" s="0">
        <f>(-5-((((-5*(-5/((-5/(((-5*(26.22--5))-(-5+((-5*26.22)*(((-5--5)+(26.22--5))+26.22))))-(-5+-5)))*-5)))/-5)--5)+(-5*(((26.22*(26.22-(-5/-5)))*(26.22-(26.22/(-5*26.22))))-(-5/-5)))))</f>
        <v>88816.41244</v>
      </c>
      <c r="C12623" t="n" s="0">
        <v>88816.41244</v>
      </c>
    </row>
    <row r="12624">
      <c r="A12624" t="n" s="0">
        <v>26.23</v>
      </c>
      <c r="B12624" t="n" s="0">
        <f>(-5-((((-5*(-5/((-5/(((-5*(26.23--5))-(-5+((-5*26.23)*(((-5--5)+(26.23--5))+26.23))))-(-5+-5)))*-5)))/-5)--5)+(-5*(((26.23*(26.23-(-5/-5)))*(26.23-(26.23/(-5*26.23))))-(-5/-5)))))</f>
        <v>88918.556035</v>
      </c>
      <c r="C12624" t="n" s="0">
        <v>88918.55603500002</v>
      </c>
    </row>
    <row r="12625">
      <c r="A12625" t="n" s="0">
        <v>26.24</v>
      </c>
      <c r="B12625" t="n" s="0">
        <f>(-5-((((-5*(-5/((-5/(((-5*(26.24--5))-(-5+((-5*26.24)*(((-5--5)+(26.24--5))+26.24))))-(-5+-5)))*-5)))/-5)--5)+(-5*(((26.24*(26.24-(-5/-5)))*(26.24-(26.24/(-5*26.24))))-(-5/-5)))))</f>
        <v>89020.77792</v>
      </c>
      <c r="C12625" t="n" s="0">
        <v>89020.77791999998</v>
      </c>
    </row>
    <row r="12626">
      <c r="A12626" t="n" s="0">
        <v>26.25</v>
      </c>
      <c r="B12626" t="n" s="0">
        <f>(-5-((((-5*(-5/((-5/(((-5*(26.25--5))-(-5+((-5*26.25)*(((-5--5)+(26.25--5))+26.25))))-(-5+-5)))*-5)))/-5)--5)+(-5*(((26.25*(26.25-(-5/-5)))*(26.25-(26.25/(-5*26.25))))-(-5/-5)))))</f>
        <v>89123.078125</v>
      </c>
      <c r="C12626" t="n" s="0">
        <v>89123.078125</v>
      </c>
    </row>
    <row r="12627">
      <c r="A12627" t="n" s="0">
        <v>26.26</v>
      </c>
      <c r="B12627" t="n" s="0">
        <f>(-5-((((-5*(-5/((-5/(((-5*(26.26--5))-(-5+((-5*26.26)*(((-5--5)+(26.26--5))+26.26))))-(-5+-5)))*-5)))/-5)--5)+(-5*(((26.26*(26.26-(-5/-5)))*(26.26-(26.26/(-5*26.26))))-(-5/-5)))))</f>
        <v>89225.45668</v>
      </c>
      <c r="C12627" t="n" s="0">
        <v>89225.45668000002</v>
      </c>
    </row>
    <row r="12628">
      <c r="A12628" t="n" s="0">
        <v>26.27</v>
      </c>
      <c r="B12628" t="n" s="0">
        <f>(-5-((((-5*(-5/((-5/(((-5*(26.27--5))-(-5+((-5*26.27)*(((-5--5)+(26.27--5))+26.27))))-(-5+-5)))*-5)))/-5)--5)+(-5*(((26.27*(26.27-(-5/-5)))*(26.27-(26.27/(-5*26.27))))-(-5/-5)))))</f>
        <v>89327.913615</v>
      </c>
      <c r="C12628" t="n" s="0">
        <v>89327.913615</v>
      </c>
    </row>
    <row r="12629">
      <c r="A12629" t="n" s="0">
        <v>26.28</v>
      </c>
      <c r="B12629" t="n" s="0">
        <f>(-5-((((-5*(-5/((-5/(((-5*(26.28--5))-(-5+((-5*26.28)*(((-5--5)+(26.28--5))+26.28))))-(-5+-5)))*-5)))/-5)--5)+(-5*(((26.28*(26.28-(-5/-5)))*(26.28-(26.28/(-5*26.28))))-(-5/-5)))))</f>
        <v>89430.44896000001</v>
      </c>
      <c r="C12629" t="n" s="0">
        <v>89430.44896000001</v>
      </c>
    </row>
    <row r="12630">
      <c r="A12630" t="n" s="0">
        <v>26.29</v>
      </c>
      <c r="B12630" t="n" s="0">
        <f>(-5-((((-5*(-5/((-5/(((-5*(26.29--5))-(-5+((-5*26.29)*(((-5--5)+(26.29--5))+26.29))))-(-5+-5)))*-5)))/-5)--5)+(-5*(((26.29*(26.29-(-5/-5)))*(26.29-(26.29/(-5*26.29))))-(-5/-5)))))</f>
        <v>89533.062745</v>
      </c>
      <c r="C12630" t="n" s="0">
        <v>89533.06274499999</v>
      </c>
    </row>
    <row r="12631">
      <c r="A12631" t="n" s="0">
        <v>26.3</v>
      </c>
      <c r="B12631" t="n" s="0">
        <f>(-5-((((-5*(-5/((-5/(((-5*(26.3--5))-(-5+((-5*26.3)*(((-5--5)+(26.3--5))+26.3))))-(-5+-5)))*-5)))/-5)--5)+(-5*(((26.3*(26.3-(-5/-5)))*(26.3-(26.3/(-5*26.3))))-(-5/-5)))))</f>
        <v>89635.755</v>
      </c>
      <c r="C12631" t="n" s="0">
        <v>89635.75499999999</v>
      </c>
    </row>
    <row r="12632">
      <c r="A12632" t="n" s="0">
        <v>26.31</v>
      </c>
      <c r="B12632" t="n" s="0">
        <f>(-5-((((-5*(-5/((-5/(((-5*(26.31--5))-(-5+((-5*26.31)*(((-5--5)+(26.31--5))+26.31))))-(-5+-5)))*-5)))/-5)--5)+(-5*(((26.31*(26.31-(-5/-5)))*(26.31-(26.31/(-5*26.31))))-(-5/-5)))))</f>
        <v>89738.525755</v>
      </c>
      <c r="C12632" t="n" s="0">
        <v>89738.525755</v>
      </c>
    </row>
    <row r="12633">
      <c r="A12633" t="n" s="0">
        <v>26.32</v>
      </c>
      <c r="B12633" t="n" s="0">
        <f>(-5-((((-5*(-5/((-5/(((-5*(26.32--5))-(-5+((-5*26.32)*(((-5--5)+(26.32--5))+26.32))))-(-5+-5)))*-5)))/-5)--5)+(-5*(((26.32*(26.32-(-5/-5)))*(26.32-(26.32/(-5*26.32))))-(-5/-5)))))</f>
        <v>89841.37504</v>
      </c>
      <c r="C12633" t="n" s="0">
        <v>89841.37504</v>
      </c>
    </row>
    <row r="12634">
      <c r="A12634" t="n" s="0">
        <v>26.33</v>
      </c>
      <c r="B12634" t="n" s="0">
        <f>(-5-((((-5*(-5/((-5/(((-5*(26.33--5))-(-5+((-5*26.33)*(((-5--5)+(26.33--5))+26.33))))-(-5+-5)))*-5)))/-5)--5)+(-5*(((26.33*(26.33-(-5/-5)))*(26.33-(26.33/(-5*26.33))))-(-5/-5)))))</f>
        <v>89944.302885</v>
      </c>
      <c r="C12634" t="n" s="0">
        <v>89944.30288499998</v>
      </c>
    </row>
    <row r="12635">
      <c r="A12635" t="n" s="0">
        <v>26.34</v>
      </c>
      <c r="B12635" t="n" s="0">
        <f>(-5-((((-5*(-5/((-5/(((-5*(26.34--5))-(-5+((-5*26.34)*(((-5--5)+(26.34--5))+26.34))))-(-5+-5)))*-5)))/-5)--5)+(-5*(((26.34*(26.34-(-5/-5)))*(26.34-(26.34/(-5*26.34))))-(-5/-5)))))</f>
        <v>90047.30932</v>
      </c>
      <c r="C12635" t="n" s="0">
        <v>90047.30932000001</v>
      </c>
    </row>
    <row r="12636">
      <c r="A12636" t="n" s="0">
        <v>26.35</v>
      </c>
      <c r="B12636" t="n" s="0">
        <f>(-5-((((-5*(-5/((-5/(((-5*(26.35--5))-(-5+((-5*26.35)*(((-5--5)+(26.35--5))+26.35))))-(-5+-5)))*-5)))/-5)--5)+(-5*(((26.35*(26.35-(-5/-5)))*(26.35-(26.35/(-5*26.35))))-(-5/-5)))))</f>
        <v>90150.394375</v>
      </c>
      <c r="C12636" t="n" s="0">
        <v>90150.394375</v>
      </c>
    </row>
    <row r="12637">
      <c r="A12637" t="n" s="0">
        <v>26.36</v>
      </c>
      <c r="B12637" t="n" s="0">
        <f>(-5-((((-5*(-5/((-5/(((-5*(26.36--5))-(-5+((-5*26.36)*(((-5--5)+(26.36--5))+26.36))))-(-5+-5)))*-5)))/-5)--5)+(-5*(((26.36*(26.36-(-5/-5)))*(26.36-(26.36/(-5*26.36))))-(-5/-5)))))</f>
        <v>90253.55808</v>
      </c>
      <c r="C12637" t="n" s="0">
        <v>90253.55807999999</v>
      </c>
    </row>
    <row r="12638">
      <c r="A12638" t="n" s="0">
        <v>26.37</v>
      </c>
      <c r="B12638" t="n" s="0">
        <f>(-5-((((-5*(-5/((-5/(((-5*(26.37--5))-(-5+((-5*26.37)*(((-5--5)+(26.37--5))+26.37))))-(-5+-5)))*-5)))/-5)--5)+(-5*(((26.37*(26.37-(-5/-5)))*(26.37-(26.37/(-5*26.37))))-(-5/-5)))))</f>
        <v>90356.80046500001</v>
      </c>
      <c r="C12638" t="n" s="0">
        <v>90356.800465</v>
      </c>
    </row>
    <row r="12639">
      <c r="A12639" t="n" s="0">
        <v>26.38</v>
      </c>
      <c r="B12639" t="n" s="0">
        <f>(-5-((((-5*(-5/((-5/(((-5*(26.38--5))-(-5+((-5*26.38)*(((-5--5)+(26.38--5))+26.38))))-(-5+-5)))*-5)))/-5)--5)+(-5*(((26.38*(26.38-(-5/-5)))*(26.38-(26.38/(-5*26.38))))-(-5/-5)))))</f>
        <v>90460.12156</v>
      </c>
      <c r="C12639" t="n" s="0">
        <v>90460.12155999999</v>
      </c>
    </row>
    <row r="12640">
      <c r="A12640" t="n" s="0">
        <v>26.39</v>
      </c>
      <c r="B12640" t="n" s="0">
        <f>(-5-((((-5*(-5/((-5/(((-5*(26.39--5))-(-5+((-5*26.39)*(((-5--5)+(26.39--5))+26.39))))-(-5+-5)))*-5)))/-5)--5)+(-5*(((26.39*(26.39-(-5/-5)))*(26.39-(26.39/(-5*26.39))))-(-5/-5)))))</f>
        <v>90563.52139499999</v>
      </c>
      <c r="C12640" t="n" s="0">
        <v>90563.521395</v>
      </c>
    </row>
    <row r="12641">
      <c r="A12641" t="n" s="0">
        <v>26.4</v>
      </c>
      <c r="B12641" t="n" s="0">
        <f>(-5-((((-5*(-5/((-5/(((-5*(26.4--5))-(-5+((-5*26.4)*(((-5--5)+(26.4--5))+26.4))))-(-5+-5)))*-5)))/-5)--5)+(-5*(((26.4*(26.4-(-5/-5)))*(26.4-(26.4/(-5*26.4))))-(-5/-5)))))</f>
        <v>90667.0</v>
      </c>
      <c r="C12641" t="n" s="0">
        <v>90667.0</v>
      </c>
    </row>
    <row r="12642">
      <c r="A12642" t="n" s="0">
        <v>26.41</v>
      </c>
      <c r="B12642" t="n" s="0">
        <f>(-5-((((-5*(-5/((-5/(((-5*(26.41--5))-(-5+((-5*26.41)*(((-5--5)+(26.41--5))+26.41))))-(-5+-5)))*-5)))/-5)--5)+(-5*(((26.41*(26.41-(-5/-5)))*(26.41-(26.41/(-5*26.41))))-(-5/-5)))))</f>
        <v>90770.557405</v>
      </c>
      <c r="C12642" t="n" s="0">
        <v>90770.55740499999</v>
      </c>
    </row>
    <row r="12643">
      <c r="A12643" t="n" s="0">
        <v>26.42</v>
      </c>
      <c r="B12643" t="n" s="0">
        <f>(-5-((((-5*(-5/((-5/(((-5*(26.42--5))-(-5+((-5*26.42)*(((-5--5)+(26.42--5))+26.42))))-(-5+-5)))*-5)))/-5)--5)+(-5*(((26.42*(26.42-(-5/-5)))*(26.42-(26.42/(-5*26.42))))-(-5/-5)))))</f>
        <v>90874.19364</v>
      </c>
      <c r="C12643" t="n" s="0">
        <v>90874.19364000001</v>
      </c>
    </row>
    <row r="12644">
      <c r="A12644" t="n" s="0">
        <v>26.43</v>
      </c>
      <c r="B12644" t="n" s="0">
        <f>(-5-((((-5*(-5/((-5/(((-5*(26.43--5))-(-5+((-5*26.43)*(((-5--5)+(26.43--5))+26.43))))-(-5+-5)))*-5)))/-5)--5)+(-5*(((26.43*(26.43-(-5/-5)))*(26.43-(26.43/(-5*26.43))))-(-5/-5)))))</f>
        <v>90977.908735</v>
      </c>
      <c r="C12644" t="n" s="0">
        <v>90977.90873499999</v>
      </c>
    </row>
    <row r="12645">
      <c r="A12645" t="n" s="0">
        <v>26.44</v>
      </c>
      <c r="B12645" t="n" s="0">
        <f>(-5-((((-5*(-5/((-5/(((-5*(26.44--5))-(-5+((-5*26.44)*(((-5--5)+(26.44--5))+26.44))))-(-5+-5)))*-5)))/-5)--5)+(-5*(((26.44*(26.44-(-5/-5)))*(26.44-(26.44/(-5*26.44))))-(-5/-5)))))</f>
        <v>91081.70272</v>
      </c>
      <c r="C12645" t="n" s="0">
        <v>91081.70272000002</v>
      </c>
    </row>
    <row r="12646">
      <c r="A12646" t="n" s="0">
        <v>26.45</v>
      </c>
      <c r="B12646" t="n" s="0">
        <f>(-5-((((-5*(-5/((-5/(((-5*(26.45--5))-(-5+((-5*26.45)*(((-5--5)+(26.45--5))+26.45))))-(-5+-5)))*-5)))/-5)--5)+(-5*(((26.45*(26.45-(-5/-5)))*(26.45-(26.45/(-5*26.45))))-(-5/-5)))))</f>
        <v>91185.575625</v>
      </c>
      <c r="C12646" t="n" s="0">
        <v>91185.575625</v>
      </c>
    </row>
    <row r="12647">
      <c r="A12647" t="n" s="0">
        <v>26.46</v>
      </c>
      <c r="B12647" t="n" s="0">
        <f>(-5-((((-5*(-5/((-5/(((-5*(26.46--5))-(-5+((-5*26.46)*(((-5--5)+(26.46--5))+26.46))))-(-5+-5)))*-5)))/-5)--5)+(-5*(((26.46*(26.46-(-5/-5)))*(26.46-(26.46/(-5*26.46))))-(-5/-5)))))</f>
        <v>91289.52748</v>
      </c>
      <c r="C12647" t="n" s="0">
        <v>91289.52748000002</v>
      </c>
    </row>
    <row r="12648">
      <c r="A12648" t="n" s="0">
        <v>26.47</v>
      </c>
      <c r="B12648" t="n" s="0">
        <f>(-5-((((-5*(-5/((-5/(((-5*(26.47--5))-(-5+((-5*26.47)*(((-5--5)+(26.47--5))+26.47))))-(-5+-5)))*-5)))/-5)--5)+(-5*(((26.47*(26.47-(-5/-5)))*(26.47-(26.47/(-5*26.47))))-(-5/-5)))))</f>
        <v>91393.558315</v>
      </c>
      <c r="C12648" t="n" s="0">
        <v>91393.558315</v>
      </c>
    </row>
    <row r="12649">
      <c r="A12649" t="n" s="0">
        <v>26.48</v>
      </c>
      <c r="B12649" t="n" s="0">
        <f>(-5-((((-5*(-5/((-5/(((-5*(26.48--5))-(-5+((-5*26.48)*(((-5--5)+(26.48--5))+26.48))))-(-5+-5)))*-5)))/-5)--5)+(-5*(((26.48*(26.48-(-5/-5)))*(26.48-(26.48/(-5*26.48))))-(-5/-5)))))</f>
        <v>91497.66816</v>
      </c>
      <c r="C12649" t="n" s="0">
        <v>91497.66816</v>
      </c>
    </row>
    <row r="12650">
      <c r="A12650" t="n" s="0">
        <v>26.49</v>
      </c>
      <c r="B12650" t="n" s="0">
        <f>(-5-((((-5*(-5/((-5/(((-5*(26.49--5))-(-5+((-5*26.49)*(((-5--5)+(26.49--5))+26.49))))-(-5+-5)))*-5)))/-5)--5)+(-5*(((26.49*(26.49-(-5/-5)))*(26.49-(26.49/(-5*26.49))))-(-5/-5)))))</f>
        <v>91601.857045</v>
      </c>
      <c r="C12650" t="n" s="0">
        <v>91601.857045</v>
      </c>
    </row>
    <row r="12651">
      <c r="A12651" t="n" s="0">
        <v>26.5</v>
      </c>
      <c r="B12651" t="n" s="0">
        <f>(-5-((((-5*(-5/((-5/(((-5*(26.5--5))-(-5+((-5*26.5)*(((-5--5)+(26.5--5))+26.5))))-(-5+-5)))*-5)))/-5)--5)+(-5*(((26.5*(26.5-(-5/-5)))*(26.5-(26.5/(-5*26.5))))-(-5/-5)))))</f>
        <v>91706.125</v>
      </c>
      <c r="C12651" t="n" s="0">
        <v>91706.125</v>
      </c>
    </row>
    <row r="12652">
      <c r="A12652" t="n" s="0">
        <v>26.51</v>
      </c>
      <c r="B12652" t="n" s="0">
        <f>(-5-((((-5*(-5/((-5/(((-5*(26.51--5))-(-5+((-5*26.51)*(((-5--5)+(26.51--5))+26.51))))-(-5+-5)))*-5)))/-5)--5)+(-5*(((26.51*(26.51-(-5/-5)))*(26.51-(26.51/(-5*26.51))))-(-5/-5)))))</f>
        <v>91810.472055</v>
      </c>
      <c r="C12652" t="n" s="0">
        <v>91810.47205500002</v>
      </c>
    </row>
    <row r="12653">
      <c r="A12653" t="n" s="0">
        <v>26.52</v>
      </c>
      <c r="B12653" t="n" s="0">
        <f>(-5-((((-5*(-5/((-5/(((-5*(26.52--5))-(-5+((-5*26.52)*(((-5--5)+(26.52--5))+26.52))))-(-5+-5)))*-5)))/-5)--5)+(-5*(((26.52*(26.52-(-5/-5)))*(26.52-(26.52/(-5*26.52))))-(-5/-5)))))</f>
        <v>91914.89824000001</v>
      </c>
      <c r="C12653" t="n" s="0">
        <v>91914.89823999998</v>
      </c>
    </row>
    <row r="12654">
      <c r="A12654" t="n" s="0">
        <v>26.53</v>
      </c>
      <c r="B12654" t="n" s="0">
        <f>(-5-((((-5*(-5/((-5/(((-5*(26.53--5))-(-5+((-5*26.53)*(((-5--5)+(26.53--5))+26.53))))-(-5+-5)))*-5)))/-5)--5)+(-5*(((26.53*(26.53-(-5/-5)))*(26.53-(26.53/(-5*26.53))))-(-5/-5)))))</f>
        <v>92019.40358500001</v>
      </c>
      <c r="C12654" t="n" s="0">
        <v>92019.40358500001</v>
      </c>
    </row>
    <row r="12655">
      <c r="A12655" t="n" s="0">
        <v>26.54</v>
      </c>
      <c r="B12655" t="n" s="0">
        <f>(-5-((((-5*(-5/((-5/(((-5*(26.54--5))-(-5+((-5*26.54)*(((-5--5)+(26.54--5))+26.54))))-(-5+-5)))*-5)))/-5)--5)+(-5*(((26.54*(26.54-(-5/-5)))*(26.54-(26.54/(-5*26.54))))-(-5/-5)))))</f>
        <v>92123.98812</v>
      </c>
      <c r="C12655" t="n" s="0">
        <v>92123.98812</v>
      </c>
    </row>
    <row r="12656">
      <c r="A12656" t="n" s="0">
        <v>26.55</v>
      </c>
      <c r="B12656" t="n" s="0">
        <f>(-5-((((-5*(-5/((-5/(((-5*(26.55--5))-(-5+((-5*26.55)*(((-5--5)+(26.55--5))+26.55))))-(-5+-5)))*-5)))/-5)--5)+(-5*(((26.55*(26.55-(-5/-5)))*(26.55-(26.55/(-5*26.55))))-(-5/-5)))))</f>
        <v>92228.65187500001</v>
      </c>
      <c r="C12656" t="n" s="0">
        <v>92228.65187500001</v>
      </c>
    </row>
    <row r="12657">
      <c r="A12657" t="n" s="0">
        <v>26.56</v>
      </c>
      <c r="B12657" t="n" s="0">
        <f>(-5-((((-5*(-5/((-5/(((-5*(26.56--5))-(-5+((-5*26.56)*(((-5--5)+(26.56--5))+26.56))))-(-5+-5)))*-5)))/-5)--5)+(-5*(((26.56*(26.56-(-5/-5)))*(26.56-(26.56/(-5*26.56))))-(-5/-5)))))</f>
        <v>92333.39487999999</v>
      </c>
      <c r="C12657" t="n" s="0">
        <v>92333.39487999999</v>
      </c>
    </row>
    <row r="12658">
      <c r="A12658" t="n" s="0">
        <v>26.57</v>
      </c>
      <c r="B12658" t="n" s="0">
        <f>(-5-((((-5*(-5/((-5/(((-5*(26.57--5))-(-5+((-5*26.57)*(((-5--5)+(26.57--5))+26.57))))-(-5+-5)))*-5)))/-5)--5)+(-5*(((26.57*(26.57-(-5/-5)))*(26.57-(26.57/(-5*26.57))))-(-5/-5)))))</f>
        <v>92438.217165</v>
      </c>
      <c r="C12658" t="n" s="0">
        <v>92438.21716500001</v>
      </c>
    </row>
    <row r="12659">
      <c r="A12659" t="n" s="0">
        <v>26.58</v>
      </c>
      <c r="B12659" t="n" s="0">
        <f>(-5-((((-5*(-5/((-5/(((-5*(26.58--5))-(-5+((-5*26.58)*(((-5--5)+(26.58--5))+26.58))))-(-5+-5)))*-5)))/-5)--5)+(-5*(((26.58*(26.58-(-5/-5)))*(26.58-(26.58/(-5*26.58))))-(-5/-5)))))</f>
        <v>92543.11876</v>
      </c>
      <c r="C12659" t="n" s="0">
        <v>92543.11875999998</v>
      </c>
    </row>
    <row r="12660">
      <c r="A12660" t="n" s="0">
        <v>26.59</v>
      </c>
      <c r="B12660" t="n" s="0">
        <f>(-5-((((-5*(-5/((-5/(((-5*(26.59--5))-(-5+((-5*26.59)*(((-5--5)+(26.59--5))+26.59))))-(-5+-5)))*-5)))/-5)--5)+(-5*(((26.59*(26.59-(-5/-5)))*(26.59-(26.59/(-5*26.59))))-(-5/-5)))))</f>
        <v>92648.09969500001</v>
      </c>
      <c r="C12660" t="n" s="0">
        <v>92648.099695</v>
      </c>
    </row>
    <row r="12661">
      <c r="A12661" t="n" s="0">
        <v>26.6</v>
      </c>
      <c r="B12661" t="n" s="0">
        <f>(-5-((((-5*(-5/((-5/(((-5*(26.6--5))-(-5+((-5*26.6)*(((-5--5)+(26.6--5))+26.6))))-(-5+-5)))*-5)))/-5)--5)+(-5*(((26.6*(26.6-(-5/-5)))*(26.6-(26.6/(-5*26.6))))-(-5/-5)))))</f>
        <v>92753.16</v>
      </c>
      <c r="C12661" t="n" s="0">
        <v>92753.16000000002</v>
      </c>
    </row>
    <row r="12662">
      <c r="A12662" t="n" s="0">
        <v>26.61</v>
      </c>
      <c r="B12662" t="n" s="0">
        <f>(-5-((((-5*(-5/((-5/(((-5*(26.61--5))-(-5+((-5*26.61)*(((-5--5)+(26.61--5))+26.61))))-(-5+-5)))*-5)))/-5)--5)+(-5*(((26.61*(26.61-(-5/-5)))*(26.61-(26.61/(-5*26.61))))-(-5/-5)))))</f>
        <v>92858.29970500001</v>
      </c>
      <c r="C12662" t="n" s="0">
        <v>92858.299705</v>
      </c>
    </row>
    <row r="12663">
      <c r="A12663" t="n" s="0">
        <v>26.62</v>
      </c>
      <c r="B12663" t="n" s="0">
        <f>(-5-((((-5*(-5/((-5/(((-5*(26.62--5))-(-5+((-5*26.62)*(((-5--5)+(26.62--5))+26.62))))-(-5+-5)))*-5)))/-5)--5)+(-5*(((26.62*(26.62-(-5/-5)))*(26.62-(26.62/(-5*26.62))))-(-5/-5)))))</f>
        <v>92963.51884</v>
      </c>
      <c r="C12663" t="n" s="0">
        <v>92963.51884000002</v>
      </c>
    </row>
    <row r="12664">
      <c r="A12664" t="n" s="0">
        <v>26.63</v>
      </c>
      <c r="B12664" t="n" s="0">
        <f>(-5-((((-5*(-5/((-5/(((-5*(26.63--5))-(-5+((-5*26.63)*(((-5--5)+(26.63--5))+26.63))))-(-5+-5)))*-5)))/-5)--5)+(-5*(((26.63*(26.63-(-5/-5)))*(26.63-(26.63/(-5*26.63))))-(-5/-5)))))</f>
        <v>93068.81743499999</v>
      </c>
      <c r="C12664" t="n" s="0">
        <v>93068.81743499999</v>
      </c>
    </row>
    <row r="12665">
      <c r="A12665" t="n" s="0">
        <v>26.64</v>
      </c>
      <c r="B12665" t="n" s="0">
        <f>(-5-((((-5*(-5/((-5/(((-5*(26.64--5))-(-5+((-5*26.64)*(((-5--5)+(26.64--5))+26.64))))-(-5+-5)))*-5)))/-5)--5)+(-5*(((26.64*(26.64-(-5/-5)))*(26.64-(26.64/(-5*26.64))))-(-5/-5)))))</f>
        <v>93174.19552</v>
      </c>
      <c r="C12665" t="n" s="0">
        <v>93174.19552000001</v>
      </c>
    </row>
    <row r="12666">
      <c r="A12666" t="n" s="0">
        <v>26.65</v>
      </c>
      <c r="B12666" t="n" s="0">
        <f>(-5-((((-5*(-5/((-5/(((-5*(26.65--5))-(-5+((-5*26.65)*(((-5--5)+(26.65--5))+26.65))))-(-5+-5)))*-5)))/-5)--5)+(-5*(((26.65*(26.65-(-5/-5)))*(26.65-(26.65/(-5*26.65))))-(-5/-5)))))</f>
        <v>93279.653125</v>
      </c>
      <c r="C12666" t="n" s="0">
        <v>93279.65312499997</v>
      </c>
    </row>
    <row r="12667">
      <c r="A12667" t="n" s="0">
        <v>26.66</v>
      </c>
      <c r="B12667" t="n" s="0">
        <f>(-5-((((-5*(-5/((-5/(((-5*(26.66--5))-(-5+((-5*26.66)*(((-5--5)+(26.66--5))+26.66))))-(-5+-5)))*-5)))/-5)--5)+(-5*(((26.66*(26.66-(-5/-5)))*(26.66-(26.66/(-5*26.66))))-(-5/-5)))))</f>
        <v>93385.19028</v>
      </c>
      <c r="C12667" t="n" s="0">
        <v>93385.19028000001</v>
      </c>
    </row>
    <row r="12668">
      <c r="A12668" t="n" s="0">
        <v>26.67</v>
      </c>
      <c r="B12668" t="n" s="0">
        <f>(-5-((((-5*(-5/((-5/(((-5*(26.67--5))-(-5+((-5*26.67)*(((-5--5)+(26.67--5))+26.67))))-(-5+-5)))*-5)))/-5)--5)+(-5*(((26.67*(26.67-(-5/-5)))*(26.67-(26.67/(-5*26.67))))-(-5/-5)))))</f>
        <v>93490.80701500001</v>
      </c>
      <c r="C12668" t="n" s="0">
        <v>93490.80701500001</v>
      </c>
    </row>
    <row r="12669">
      <c r="A12669" t="n" s="0">
        <v>26.68</v>
      </c>
      <c r="B12669" t="n" s="0">
        <f>(-5-((((-5*(-5/((-5/(((-5*(26.68--5))-(-5+((-5*26.68)*(((-5--5)+(26.68--5))+26.68))))-(-5+-5)))*-5)))/-5)--5)+(-5*(((26.68*(26.68-(-5/-5)))*(26.68-(26.68/(-5*26.68))))-(-5/-5)))))</f>
        <v>93596.50336</v>
      </c>
      <c r="C12669" t="n" s="0">
        <v>93596.50335999999</v>
      </c>
    </row>
    <row r="12670">
      <c r="A12670" t="n" s="0">
        <v>26.69</v>
      </c>
      <c r="B12670" t="n" s="0">
        <f>(-5-((((-5*(-5/((-5/(((-5*(26.69--5))-(-5+((-5*26.69)*(((-5--5)+(26.69--5))+26.69))))-(-5+-5)))*-5)))/-5)--5)+(-5*(((26.69*(26.69-(-5/-5)))*(26.69-(26.69/(-5*26.69))))-(-5/-5)))))</f>
        <v>93702.279345</v>
      </c>
      <c r="C12670" t="n" s="0">
        <v>93702.27934500003</v>
      </c>
    </row>
    <row r="12671">
      <c r="A12671" t="n" s="0">
        <v>26.7</v>
      </c>
      <c r="B12671" t="n" s="0">
        <f>(-5-((((-5*(-5/((-5/(((-5*(26.7--5))-(-5+((-5*26.7)*(((-5--5)+(26.7--5))+26.7))))-(-5+-5)))*-5)))/-5)--5)+(-5*(((26.7*(26.7-(-5/-5)))*(26.7-(26.7/(-5*26.7))))-(-5/-5)))))</f>
        <v>93808.135</v>
      </c>
      <c r="C12671" t="n" s="0">
        <v>93808.135</v>
      </c>
    </row>
    <row r="12672">
      <c r="A12672" t="n" s="0">
        <v>26.71</v>
      </c>
      <c r="B12672" t="n" s="0">
        <f>(-5-((((-5*(-5/((-5/(((-5*(26.71--5))-(-5+((-5*26.71)*(((-5--5)+(26.71--5))+26.71))))-(-5+-5)))*-5)))/-5)--5)+(-5*(((26.71*(26.71-(-5/-5)))*(26.71-(26.71/(-5*26.71))))-(-5/-5)))))</f>
        <v>93914.070355</v>
      </c>
      <c r="C12672" t="n" s="0">
        <v>93914.07035500002</v>
      </c>
    </row>
    <row r="12673">
      <c r="A12673" t="n" s="0">
        <v>26.72</v>
      </c>
      <c r="B12673" t="n" s="0">
        <f>(-5-((((-5*(-5/((-5/(((-5*(26.72--5))-(-5+((-5*26.72)*(((-5--5)+(26.72--5))+26.72))))-(-5+-5)))*-5)))/-5)--5)+(-5*(((26.72*(26.72-(-5/-5)))*(26.72-(26.72/(-5*26.72))))-(-5/-5)))))</f>
        <v>94020.08544</v>
      </c>
      <c r="C12673" t="n" s="0">
        <v>94020.08543999998</v>
      </c>
    </row>
    <row r="12674">
      <c r="A12674" t="n" s="0">
        <v>26.73</v>
      </c>
      <c r="B12674" t="n" s="0">
        <f>(-5-((((-5*(-5/((-5/(((-5*(26.73--5))-(-5+((-5*26.73)*(((-5--5)+(26.73--5))+26.73))))-(-5+-5)))*-5)))/-5)--5)+(-5*(((26.73*(26.73-(-5/-5)))*(26.73-(26.73/(-5*26.73))))-(-5/-5)))))</f>
        <v>94126.180285</v>
      </c>
      <c r="C12674" t="n" s="0">
        <v>94126.18028500001</v>
      </c>
    </row>
    <row r="12675">
      <c r="A12675" t="n" s="0">
        <v>26.74</v>
      </c>
      <c r="B12675" t="n" s="0">
        <f>(-5-((((-5*(-5/((-5/(((-5*(26.74--5))-(-5+((-5*26.74)*(((-5--5)+(26.74--5))+26.74))))-(-5+-5)))*-5)))/-5)--5)+(-5*(((26.74*(26.74-(-5/-5)))*(26.74-(26.74/(-5*26.74))))-(-5/-5)))))</f>
        <v>94232.35492</v>
      </c>
      <c r="C12675" t="n" s="0">
        <v>94232.35491999998</v>
      </c>
    </row>
    <row r="12676">
      <c r="A12676" t="n" s="0">
        <v>26.75</v>
      </c>
      <c r="B12676" t="n" s="0">
        <f>(-5-((((-5*(-5/((-5/(((-5*(26.75--5))-(-5+((-5*26.75)*(((-5--5)+(26.75--5))+26.75))))-(-5+-5)))*-5)))/-5)--5)+(-5*(((26.75*(26.75-(-5/-5)))*(26.75-(26.75/(-5*26.75))))-(-5/-5)))))</f>
        <v>94338.609375</v>
      </c>
      <c r="C12676" t="n" s="0">
        <v>94338.609375</v>
      </c>
    </row>
    <row r="12677">
      <c r="A12677" t="n" s="0">
        <v>26.76</v>
      </c>
      <c r="B12677" t="n" s="0">
        <f>(-5-((((-5*(-5/((-5/(((-5*(26.76--5))-(-5+((-5*26.76)*(((-5--5)+(26.76--5))+26.76))))-(-5+-5)))*-5)))/-5)--5)+(-5*(((26.76*(26.76-(-5/-5)))*(26.76-(26.76/(-5*26.76))))-(-5/-5)))))</f>
        <v>94444.94368</v>
      </c>
      <c r="C12677" t="n" s="0">
        <v>94444.94368000003</v>
      </c>
    </row>
    <row r="12678">
      <c r="A12678" t="n" s="0">
        <v>26.77</v>
      </c>
      <c r="B12678" t="n" s="0">
        <f>(-5-((((-5*(-5/((-5/(((-5*(26.77--5))-(-5+((-5*26.77)*(((-5--5)+(26.77--5))+26.77))))-(-5+-5)))*-5)))/-5)--5)+(-5*(((26.77*(26.77-(-5/-5)))*(26.77-(26.77/(-5*26.77))))-(-5/-5)))))</f>
        <v>94551.357865</v>
      </c>
      <c r="C12678" t="n" s="0">
        <v>94551.357865</v>
      </c>
    </row>
    <row r="12679">
      <c r="A12679" t="n" s="0">
        <v>26.78</v>
      </c>
      <c r="B12679" t="n" s="0">
        <f>(-5-((((-5*(-5/((-5/(((-5*(26.78--5))-(-5+((-5*26.78)*(((-5--5)+(26.78--5))+26.78))))-(-5+-5)))*-5)))/-5)--5)+(-5*(((26.78*(26.78-(-5/-5)))*(26.78-(26.78/(-5*26.78))))-(-5/-5)))))</f>
        <v>94657.85196</v>
      </c>
      <c r="C12679" t="n" s="0">
        <v>94657.85196000001</v>
      </c>
    </row>
    <row r="12680">
      <c r="A12680" t="n" s="0">
        <v>26.79</v>
      </c>
      <c r="B12680" t="n" s="0">
        <f>(-5-((((-5*(-5/((-5/(((-5*(26.79--5))-(-5+((-5*26.79)*(((-5--5)+(26.79--5))+26.79))))-(-5+-5)))*-5)))/-5)--5)+(-5*(((26.79*(26.79-(-5/-5)))*(26.79-(26.79/(-5*26.79))))-(-5/-5)))))</f>
        <v>94764.425995</v>
      </c>
      <c r="C12680" t="n" s="0">
        <v>94764.42599499998</v>
      </c>
    </row>
    <row r="12681">
      <c r="A12681" t="n" s="0">
        <v>26.8</v>
      </c>
      <c r="B12681" t="n" s="0">
        <f>(-5-((((-5*(-5/((-5/(((-5*(26.8--5))-(-5+((-5*26.8)*(((-5--5)+(26.8--5))+26.8))))-(-5+-5)))*-5)))/-5)--5)+(-5*(((26.8*(26.8-(-5/-5)))*(26.8-(26.8/(-5*26.8))))-(-5/-5)))))</f>
        <v>94871.07999999999</v>
      </c>
      <c r="C12681" t="n" s="0">
        <v>94871.08</v>
      </c>
    </row>
    <row r="12682">
      <c r="A12682" t="n" s="0">
        <v>26.81</v>
      </c>
      <c r="B12682" t="n" s="0">
        <f>(-5-((((-5*(-5/((-5/(((-5*(26.81--5))-(-5+((-5*26.81)*(((-5--5)+(26.81--5))+26.81))))-(-5+-5)))*-5)))/-5)--5)+(-5*(((26.81*(26.81-(-5/-5)))*(26.81-(26.81/(-5*26.81))))-(-5/-5)))))</f>
        <v>94977.814005</v>
      </c>
      <c r="C12682" t="n" s="0">
        <v>94977.81400499996</v>
      </c>
    </row>
    <row r="12683">
      <c r="A12683" t="n" s="0">
        <v>26.82</v>
      </c>
      <c r="B12683" t="n" s="0">
        <f>(-5-((((-5*(-5/((-5/(((-5*(26.82--5))-(-5+((-5*26.82)*(((-5--5)+(26.82--5))+26.82))))-(-5+-5)))*-5)))/-5)--5)+(-5*(((26.82*(26.82-(-5/-5)))*(26.82-(26.82/(-5*26.82))))-(-5/-5)))))</f>
        <v>95084.62804000001</v>
      </c>
      <c r="C12683" t="n" s="0">
        <v>95084.62804000001</v>
      </c>
    </row>
    <row r="12684">
      <c r="A12684" t="n" s="0">
        <v>26.83</v>
      </c>
      <c r="B12684" t="n" s="0">
        <f>(-5-((((-5*(-5/((-5/(((-5*(26.83--5))-(-5+((-5*26.83)*(((-5--5)+(26.83--5))+26.83))))-(-5+-5)))*-5)))/-5)--5)+(-5*(((26.83*(26.83-(-5/-5)))*(26.83-(26.83/(-5*26.83))))-(-5/-5)))))</f>
        <v>95191.522135</v>
      </c>
      <c r="C12684" t="n" s="0">
        <v>95191.52213499999</v>
      </c>
    </row>
    <row r="12685">
      <c r="A12685" t="n" s="0">
        <v>26.84</v>
      </c>
      <c r="B12685" t="n" s="0">
        <f>(-5-((((-5*(-5/((-5/(((-5*(26.84--5))-(-5+((-5*26.84)*(((-5--5)+(26.84--5))+26.84))))-(-5+-5)))*-5)))/-5)--5)+(-5*(((26.84*(26.84-(-5/-5)))*(26.84-(26.84/(-5*26.84))))-(-5/-5)))))</f>
        <v>95298.49632</v>
      </c>
      <c r="C12685" t="n" s="0">
        <v>95298.49632</v>
      </c>
    </row>
    <row r="12686">
      <c r="A12686" t="n" s="0">
        <v>26.85</v>
      </c>
      <c r="B12686" t="n" s="0">
        <f>(-5-((((-5*(-5/((-5/(((-5*(26.85--5))-(-5+((-5*26.85)*(((-5--5)+(26.85--5))+26.85))))-(-5+-5)))*-5)))/-5)--5)+(-5*(((26.85*(26.85-(-5/-5)))*(26.85-(26.85/(-5*26.85))))-(-5/-5)))))</f>
        <v>95405.55062499999</v>
      </c>
      <c r="C12686" t="n" s="0">
        <v>95405.55062500002</v>
      </c>
    </row>
    <row r="12687">
      <c r="A12687" t="n" s="0">
        <v>26.86</v>
      </c>
      <c r="B12687" t="n" s="0">
        <f>(-5-((((-5*(-5/((-5/(((-5*(26.86--5))-(-5+((-5*26.86)*(((-5--5)+(26.86--5))+26.86))))-(-5+-5)))*-5)))/-5)--5)+(-5*(((26.86*(26.86-(-5/-5)))*(26.86-(26.86/(-5*26.86))))-(-5/-5)))))</f>
        <v>95512.68508000001</v>
      </c>
      <c r="C12687" t="n" s="0">
        <v>95512.68507999998</v>
      </c>
    </row>
    <row r="12688">
      <c r="A12688" t="n" s="0">
        <v>26.87</v>
      </c>
      <c r="B12688" t="n" s="0">
        <f>(-5-((((-5*(-5/((-5/(((-5*(26.87--5))-(-5+((-5*26.87)*(((-5--5)+(26.87--5))+26.87))))-(-5+-5)))*-5)))/-5)--5)+(-5*(((26.87*(26.87-(-5/-5)))*(26.87-(26.87/(-5*26.87))))-(-5/-5)))))</f>
        <v>95619.899715</v>
      </c>
      <c r="C12688" t="n" s="0">
        <v>95619.89971500002</v>
      </c>
    </row>
    <row r="12689">
      <c r="A12689" t="n" s="0">
        <v>26.88</v>
      </c>
      <c r="B12689" t="n" s="0">
        <f>(-5-((((-5*(-5/((-5/(((-5*(26.88--5))-(-5+((-5*26.88)*(((-5--5)+(26.88--5))+26.88))))-(-5+-5)))*-5)))/-5)--5)+(-5*(((26.88*(26.88-(-5/-5)))*(26.88-(26.88/(-5*26.88))))-(-5/-5)))))</f>
        <v>95727.19456</v>
      </c>
      <c r="C12689" t="n" s="0">
        <v>95727.19455999999</v>
      </c>
    </row>
    <row r="12690">
      <c r="A12690" t="n" s="0">
        <v>26.89</v>
      </c>
      <c r="B12690" t="n" s="0">
        <f>(-5-((((-5*(-5/((-5/(((-5*(26.89--5))-(-5+((-5*26.89)*(((-5--5)+(26.89--5))+26.89))))-(-5+-5)))*-5)))/-5)--5)+(-5*(((26.89*(26.89-(-5/-5)))*(26.89-(26.89/(-5*26.89))))-(-5/-5)))))</f>
        <v>95834.569645</v>
      </c>
      <c r="C12690" t="n" s="0">
        <v>95834.56964500001</v>
      </c>
    </row>
    <row r="12691">
      <c r="A12691" t="n" s="0">
        <v>26.9</v>
      </c>
      <c r="B12691" t="n" s="0">
        <f>(-5-((((-5*(-5/((-5/(((-5*(26.9--5))-(-5+((-5*26.9)*(((-5--5)+(26.9--5))+26.9))))-(-5+-5)))*-5)))/-5)--5)+(-5*(((26.9*(26.9-(-5/-5)))*(26.9-(26.9/(-5*26.9))))-(-5/-5)))))</f>
        <v>95942.02500000001</v>
      </c>
      <c r="C12691" t="n" s="0">
        <v>95942.02499999998</v>
      </c>
    </row>
    <row r="12692">
      <c r="A12692" t="n" s="0">
        <v>26.91</v>
      </c>
      <c r="B12692" t="n" s="0">
        <f>(-5-((((-5*(-5/((-5/(((-5*(26.91--5))-(-5+((-5*26.91)*(((-5--5)+(26.91--5))+26.91))))-(-5+-5)))*-5)))/-5)--5)+(-5*(((26.91*(26.91-(-5/-5)))*(26.91-(26.91/(-5*26.91))))-(-5/-5)))))</f>
        <v>96049.560655</v>
      </c>
      <c r="C12692" t="n" s="0">
        <v>96049.560655</v>
      </c>
    </row>
    <row r="12693">
      <c r="A12693" t="n" s="0">
        <v>26.92</v>
      </c>
      <c r="B12693" t="n" s="0">
        <f>(-5-((((-5*(-5/((-5/(((-5*(26.92--5))-(-5+((-5*26.92)*(((-5--5)+(26.92--5))+26.92))))-(-5+-5)))*-5)))/-5)--5)+(-5*(((26.92*(26.92-(-5/-5)))*(26.92-(26.92/(-5*26.92))))-(-5/-5)))))</f>
        <v>96157.17664</v>
      </c>
      <c r="C12693" t="n" s="0">
        <v>96157.17664000002</v>
      </c>
    </row>
    <row r="12694">
      <c r="A12694" t="n" s="0">
        <v>26.93</v>
      </c>
      <c r="B12694" t="n" s="0">
        <f>(-5-((((-5*(-5/((-5/(((-5*(26.93--5))-(-5+((-5*26.93)*(((-5--5)+(26.93--5))+26.93))))-(-5+-5)))*-5)))/-5)--5)+(-5*(((26.93*(26.93-(-5/-5)))*(26.93-(26.93/(-5*26.93))))-(-5/-5)))))</f>
        <v>96264.87298500001</v>
      </c>
      <c r="C12694" t="n" s="0">
        <v>96264.872985</v>
      </c>
    </row>
    <row r="12695">
      <c r="A12695" t="n" s="0">
        <v>26.94</v>
      </c>
      <c r="B12695" t="n" s="0">
        <f>(-5-((((-5*(-5/((-5/(((-5*(26.94--5))-(-5+((-5*26.94)*(((-5--5)+(26.94--5))+26.94))))-(-5+-5)))*-5)))/-5)--5)+(-5*(((26.94*(26.94-(-5/-5)))*(26.94-(26.94/(-5*26.94))))-(-5/-5)))))</f>
        <v>96372.64972</v>
      </c>
      <c r="C12695" t="n" s="0">
        <v>96372.64972000003</v>
      </c>
    </row>
    <row r="12696">
      <c r="A12696" t="n" s="0">
        <v>26.95</v>
      </c>
      <c r="B12696" t="n" s="0">
        <f>(-5-((((-5*(-5/((-5/(((-5*(26.95--5))-(-5+((-5*26.95)*(((-5--5)+(26.95--5))+26.95))))-(-5+-5)))*-5)))/-5)--5)+(-5*(((26.95*(26.95-(-5/-5)))*(26.95-(26.95/(-5*26.95))))-(-5/-5)))))</f>
        <v>96480.50687499999</v>
      </c>
      <c r="C12696" t="n" s="0">
        <v>96480.506875</v>
      </c>
    </row>
    <row r="12697">
      <c r="A12697" t="n" s="0">
        <v>26.96</v>
      </c>
      <c r="B12697" t="n" s="0">
        <f>(-5-((((-5*(-5/((-5/(((-5*(26.96--5))-(-5+((-5*26.96)*(((-5--5)+(26.96--5))+26.96))))-(-5+-5)))*-5)))/-5)--5)+(-5*(((26.96*(26.96-(-5/-5)))*(26.96-(26.96/(-5*26.96))))-(-5/-5)))))</f>
        <v>96588.44447999999</v>
      </c>
      <c r="C12697" t="n" s="0">
        <v>96588.44448</v>
      </c>
    </row>
    <row r="12698">
      <c r="A12698" t="n" s="0">
        <v>26.97</v>
      </c>
      <c r="B12698" t="n" s="0">
        <f>(-5-((((-5*(-5/((-5/(((-5*(26.97--5))-(-5+((-5*26.97)*(((-5--5)+(26.97--5))+26.97))))-(-5+-5)))*-5)))/-5)--5)+(-5*(((26.97*(26.97-(-5/-5)))*(26.97-(26.97/(-5*26.97))))-(-5/-5)))))</f>
        <v>96696.462565</v>
      </c>
      <c r="C12698" t="n" s="0">
        <v>96696.462565</v>
      </c>
    </row>
    <row r="12699">
      <c r="A12699" t="n" s="0">
        <v>26.98</v>
      </c>
      <c r="B12699" t="n" s="0">
        <f>(-5-((((-5*(-5/((-5/(((-5*(26.98--5))-(-5+((-5*26.98)*(((-5--5)+(26.98--5))+26.98))))-(-5+-5)))*-5)))/-5)--5)+(-5*(((26.98*(26.98-(-5/-5)))*(26.98-(26.98/(-5*26.98))))-(-5/-5)))))</f>
        <v>96804.56116</v>
      </c>
      <c r="C12699" t="n" s="0">
        <v>96804.56116</v>
      </c>
    </row>
    <row r="12700">
      <c r="A12700" t="n" s="0">
        <v>26.99</v>
      </c>
      <c r="B12700" t="n" s="0">
        <f>(-5-((((-5*(-5/((-5/(((-5*(26.99--5))-(-5+((-5*26.99)*(((-5--5)+(26.99--5))+26.99))))-(-5+-5)))*-5)))/-5)--5)+(-5*(((26.99*(26.99-(-5/-5)))*(26.99-(26.99/(-5*26.99))))-(-5/-5)))))</f>
        <v>96912.740295</v>
      </c>
      <c r="C12700" t="n" s="0">
        <v>96912.740295</v>
      </c>
    </row>
    <row r="12701">
      <c r="A12701" t="n" s="0">
        <v>27.0</v>
      </c>
      <c r="B12701" t="n" s="0">
        <f>(-5-((((-5*(-5/((-5/(((-5*(27--5))-(-5+((-5*27)*(((-5--5)+(27--5))+27))))-(-5+-5)))*-5)))/-5)--5)+(-5*(((27*(27-(-5/-5)))*(27-(27/(-5*27))))-(-5/-5)))))</f>
        <v>97021.0</v>
      </c>
      <c r="C12701" t="n" s="0">
        <v>97021.0</v>
      </c>
    </row>
    <row r="12702">
      <c r="A12702" t="n" s="0">
        <v>27.01</v>
      </c>
      <c r="B12702" t="n" s="0">
        <f>(-5-((((-5*(-5/((-5/(((-5*(27.01--5))-(-5+((-5*27.01)*(((-5--5)+(27.01--5))+27.01))))-(-5+-5)))*-5)))/-5)--5)+(-5*(((27.01*(27.01-(-5/-5)))*(27.01-(27.01/(-5*27.01))))-(-5/-5)))))</f>
        <v>97129.340305</v>
      </c>
      <c r="C12702" t="n" s="0">
        <v>97129.34030500002</v>
      </c>
    </row>
    <row r="12703">
      <c r="A12703" t="n" s="0">
        <v>27.02</v>
      </c>
      <c r="B12703" t="n" s="0">
        <f>(-5-((((-5*(-5/((-5/(((-5*(27.02--5))-(-5+((-5*27.02)*(((-5--5)+(27.02--5))+27.02))))-(-5+-5)))*-5)))/-5)--5)+(-5*(((27.02*(27.02-(-5/-5)))*(27.02-(27.02/(-5*27.02))))-(-5/-5)))))</f>
        <v>97237.76123999999</v>
      </c>
      <c r="C12703" t="n" s="0">
        <v>97237.76124</v>
      </c>
    </row>
    <row r="12704">
      <c r="A12704" t="n" s="0">
        <v>27.03</v>
      </c>
      <c r="B12704" t="n" s="0">
        <f>(-5-((((-5*(-5/((-5/(((-5*(27.03--5))-(-5+((-5*27.03)*(((-5--5)+(27.03--5))+27.03))))-(-5+-5)))*-5)))/-5)--5)+(-5*(((27.03*(27.03-(-5/-5)))*(27.03-(27.03/(-5*27.03))))-(-5/-5)))))</f>
        <v>97346.262835</v>
      </c>
      <c r="C12704" t="n" s="0">
        <v>97346.262835</v>
      </c>
    </row>
    <row r="12705">
      <c r="A12705" t="n" s="0">
        <v>27.04</v>
      </c>
      <c r="B12705" t="n" s="0">
        <f>(-5-((((-5*(-5/((-5/(((-5*(27.04--5))-(-5+((-5*27.04)*(((-5--5)+(27.04--5))+27.04))))-(-5+-5)))*-5)))/-5)--5)+(-5*(((27.04*(27.04-(-5/-5)))*(27.04-(27.04/(-5*27.04))))-(-5/-5)))))</f>
        <v>97454.84512</v>
      </c>
      <c r="C12705" t="n" s="0">
        <v>97454.84512</v>
      </c>
    </row>
    <row r="12706">
      <c r="A12706" t="n" s="0">
        <v>27.05</v>
      </c>
      <c r="B12706" t="n" s="0">
        <f>(-5-((((-5*(-5/((-5/(((-5*(27.05--5))-(-5+((-5*27.05)*(((-5--5)+(27.05--5))+27.05))))-(-5+-5)))*-5)))/-5)--5)+(-5*(((27.05*(27.05-(-5/-5)))*(27.05-(27.05/(-5*27.05))))-(-5/-5)))))</f>
        <v>97563.508125</v>
      </c>
      <c r="C12706" t="n" s="0">
        <v>97563.508125</v>
      </c>
    </row>
    <row r="12707">
      <c r="A12707" t="n" s="0">
        <v>27.06</v>
      </c>
      <c r="B12707" t="n" s="0">
        <f>(-5-((((-5*(-5/((-5/(((-5*(27.06--5))-(-5+((-5*27.06)*(((-5--5)+(27.06--5))+27.06))))-(-5+-5)))*-5)))/-5)--5)+(-5*(((27.06*(27.06-(-5/-5)))*(27.06-(27.06/(-5*27.06))))-(-5/-5)))))</f>
        <v>97672.25188</v>
      </c>
      <c r="C12707" t="n" s="0">
        <v>97672.25187999998</v>
      </c>
    </row>
    <row r="12708">
      <c r="A12708" t="n" s="0">
        <v>27.07</v>
      </c>
      <c r="B12708" t="n" s="0">
        <f>(-5-((((-5*(-5/((-5/(((-5*(27.07--5))-(-5+((-5*27.07)*(((-5--5)+(27.07--5))+27.07))))-(-5+-5)))*-5)))/-5)--5)+(-5*(((27.07*(27.07-(-5/-5)))*(27.07-(27.07/(-5*27.07))))-(-5/-5)))))</f>
        <v>97781.076415</v>
      </c>
      <c r="C12708" t="n" s="0">
        <v>97781.076415</v>
      </c>
    </row>
    <row r="12709">
      <c r="A12709" t="n" s="0">
        <v>27.08</v>
      </c>
      <c r="B12709" t="n" s="0">
        <f>(-5-((((-5*(-5/((-5/(((-5*(27.08--5))-(-5+((-5*27.08)*(((-5--5)+(27.08--5))+27.08))))-(-5+-5)))*-5)))/-5)--5)+(-5*(((27.08*(27.08-(-5/-5)))*(27.08-(27.08/(-5*27.08))))-(-5/-5)))))</f>
        <v>97889.98176000001</v>
      </c>
      <c r="C12709" t="n" s="0">
        <v>97889.98175999998</v>
      </c>
    </row>
    <row r="12710">
      <c r="A12710" t="n" s="0">
        <v>27.09</v>
      </c>
      <c r="B12710" t="n" s="0">
        <f>(-5-((((-5*(-5/((-5/(((-5*(27.09--5))-(-5+((-5*27.09)*(((-5--5)+(27.09--5))+27.09))))-(-5+-5)))*-5)))/-5)--5)+(-5*(((27.09*(27.09-(-5/-5)))*(27.09-(27.09/(-5*27.09))))-(-5/-5)))))</f>
        <v>97998.967945</v>
      </c>
      <c r="C12710" t="n" s="0">
        <v>97998.96794500001</v>
      </c>
    </row>
    <row r="12711">
      <c r="A12711" t="n" s="0">
        <v>27.1</v>
      </c>
      <c r="B12711" t="n" s="0">
        <f>(-5-((((-5*(-5/((-5/(((-5*(27.1--5))-(-5+((-5*27.1)*(((-5--5)+(27.1--5))+27.1))))-(-5+-5)))*-5)))/-5)--5)+(-5*(((27.1*(27.1-(-5/-5)))*(27.1-(27.1/(-5*27.1))))-(-5/-5)))))</f>
        <v>98108.035</v>
      </c>
      <c r="C12711" t="n" s="0">
        <v>98108.035</v>
      </c>
    </row>
    <row r="12712">
      <c r="A12712" t="n" s="0">
        <v>27.11</v>
      </c>
      <c r="B12712" t="n" s="0">
        <f>(-5-((((-5*(-5/((-5/(((-5*(27.11--5))-(-5+((-5*27.11)*(((-5--5)+(27.11--5))+27.11))))-(-5+-5)))*-5)))/-5)--5)+(-5*(((27.11*(27.11-(-5/-5)))*(27.11-(27.11/(-5*27.11))))-(-5/-5)))))</f>
        <v>98217.18295500001</v>
      </c>
      <c r="C12712" t="n" s="0">
        <v>98217.182955</v>
      </c>
    </row>
    <row r="12713">
      <c r="A12713" t="n" s="0">
        <v>27.12</v>
      </c>
      <c r="B12713" t="n" s="0">
        <f>(-5-((((-5*(-5/((-5/(((-5*(27.12--5))-(-5+((-5*27.12)*(((-5--5)+(27.12--5))+27.12))))-(-5+-5)))*-5)))/-5)--5)+(-5*(((27.12*(27.12-(-5/-5)))*(27.12-(27.12/(-5*27.12))))-(-5/-5)))))</f>
        <v>98326.41184</v>
      </c>
      <c r="C12713" t="n" s="0">
        <v>98326.41184000002</v>
      </c>
    </row>
    <row r="12714">
      <c r="A12714" t="n" s="0">
        <v>27.13</v>
      </c>
      <c r="B12714" t="n" s="0">
        <f>(-5-((((-5*(-5/((-5/(((-5*(27.13--5))-(-5+((-5*27.13)*(((-5--5)+(27.13--5))+27.13))))-(-5+-5)))*-5)))/-5)--5)+(-5*(((27.13*(27.13-(-5/-5)))*(27.13-(27.13/(-5*27.13))))-(-5/-5)))))</f>
        <v>98435.721685</v>
      </c>
      <c r="C12714" t="n" s="0">
        <v>98435.72168499998</v>
      </c>
    </row>
    <row r="12715">
      <c r="A12715" t="n" s="0">
        <v>27.14</v>
      </c>
      <c r="B12715" t="n" s="0">
        <f>(-5-((((-5*(-5/((-5/(((-5*(27.14--5))-(-5+((-5*27.14)*(((-5--5)+(27.14--5))+27.14))))-(-5+-5)))*-5)))/-5)--5)+(-5*(((27.14*(27.14-(-5/-5)))*(27.14-(27.14/(-5*27.14))))-(-5/-5)))))</f>
        <v>98545.11252000001</v>
      </c>
      <c r="C12715" t="n" s="0">
        <v>98545.11252000001</v>
      </c>
    </row>
    <row r="12716">
      <c r="A12716" t="n" s="0">
        <v>27.15</v>
      </c>
      <c r="B12716" t="n" s="0">
        <f>(-5-((((-5*(-5/((-5/(((-5*(27.15--5))-(-5+((-5*27.15)*(((-5--5)+(27.15--5))+27.15))))-(-5+-5)))*-5)))/-5)--5)+(-5*(((27.15*(27.15-(-5/-5)))*(27.15-(27.15/(-5*27.15))))-(-5/-5)))))</f>
        <v>98654.584375</v>
      </c>
      <c r="C12716" t="n" s="0">
        <v>98654.58437499999</v>
      </c>
    </row>
    <row r="12717">
      <c r="A12717" t="n" s="0">
        <v>27.16</v>
      </c>
      <c r="B12717" t="n" s="0">
        <f>(-5-((((-5*(-5/((-5/(((-5*(27.16--5))-(-5+((-5*27.16)*(((-5--5)+(27.16--5))+27.16))))-(-5+-5)))*-5)))/-5)--5)+(-5*(((27.16*(27.16-(-5/-5)))*(27.16-(27.16/(-5*27.16))))-(-5/-5)))))</f>
        <v>98764.13728</v>
      </c>
      <c r="C12717" t="n" s="0">
        <v>98764.13728</v>
      </c>
    </row>
    <row r="12718">
      <c r="A12718" t="n" s="0">
        <v>27.17</v>
      </c>
      <c r="B12718" t="n" s="0">
        <f>(-5-((((-5*(-5/((-5/(((-5*(27.17--5))-(-5+((-5*27.17)*(((-5--5)+(27.17--5))+27.17))))-(-5+-5)))*-5)))/-5)--5)+(-5*(((27.17*(27.17-(-5/-5)))*(27.17-(27.17/(-5*27.17))))-(-5/-5)))))</f>
        <v>98873.771265</v>
      </c>
      <c r="C12718" t="n" s="0">
        <v>98873.77126500002</v>
      </c>
    </row>
    <row r="12719">
      <c r="A12719" t="n" s="0">
        <v>27.18</v>
      </c>
      <c r="B12719" t="n" s="0">
        <f>(-5-((((-5*(-5/((-5/(((-5*(27.18--5))-(-5+((-5*27.18)*(((-5--5)+(27.18--5))+27.18))))-(-5+-5)))*-5)))/-5)--5)+(-5*(((27.18*(27.18-(-5/-5)))*(27.18-(27.18/(-5*27.18))))-(-5/-5)))))</f>
        <v>98983.48636</v>
      </c>
      <c r="C12719" t="n" s="0">
        <v>98983.48636</v>
      </c>
    </row>
    <row r="12720">
      <c r="A12720" t="n" s="0">
        <v>27.19</v>
      </c>
      <c r="B12720" t="n" s="0">
        <f>(-5-((((-5*(-5/((-5/(((-5*(27.19--5))-(-5+((-5*27.19)*(((-5--5)+(27.19--5))+27.19))))-(-5+-5)))*-5)))/-5)--5)+(-5*(((27.19*(27.19-(-5/-5)))*(27.19-(27.19/(-5*27.19))))-(-5/-5)))))</f>
        <v>99093.282595</v>
      </c>
      <c r="C12720" t="n" s="0">
        <v>99093.28259500003</v>
      </c>
    </row>
    <row r="12721">
      <c r="A12721" t="n" s="0">
        <v>27.2</v>
      </c>
      <c r="B12721" t="n" s="0">
        <f>(-5-((((-5*(-5/((-5/(((-5*(27.2--5))-(-5+((-5*27.2)*(((-5--5)+(27.2--5))+27.2))))-(-5+-5)))*-5)))/-5)--5)+(-5*(((27.2*(27.2-(-5/-5)))*(27.2-(27.2/(-5*27.2))))-(-5/-5)))))</f>
        <v>99203.15999999999</v>
      </c>
      <c r="C12721" t="n" s="0">
        <v>99203.16</v>
      </c>
    </row>
    <row r="12722">
      <c r="A12722" t="n" s="0">
        <v>27.21</v>
      </c>
      <c r="B12722" t="n" s="0">
        <f>(-5-((((-5*(-5/((-5/(((-5*(27.21--5))-(-5+((-5*27.21)*(((-5--5)+(27.21--5))+27.21))))-(-5+-5)))*-5)))/-5)--5)+(-5*(((27.21*(27.21-(-5/-5)))*(27.21-(27.21/(-5*27.21))))-(-5/-5)))))</f>
        <v>99313.118605</v>
      </c>
      <c r="C12722" t="n" s="0">
        <v>99313.11860500001</v>
      </c>
    </row>
    <row r="12723">
      <c r="A12723" t="n" s="0">
        <v>27.22</v>
      </c>
      <c r="B12723" t="n" s="0">
        <f>(-5-((((-5*(-5/((-5/(((-5*(27.22--5))-(-5+((-5*27.22)*(((-5--5)+(27.22--5))+27.22))))-(-5+-5)))*-5)))/-5)--5)+(-5*(((27.22*(27.22-(-5/-5)))*(27.22-(27.22/(-5*27.22))))-(-5/-5)))))</f>
        <v>99423.15844</v>
      </c>
      <c r="C12723" t="n" s="0">
        <v>99423.15844</v>
      </c>
    </row>
    <row r="12724">
      <c r="A12724" t="n" s="0">
        <v>27.23</v>
      </c>
      <c r="B12724" t="n" s="0">
        <f>(-5-((((-5*(-5/((-5/(((-5*(27.23--5))-(-5+((-5*27.23)*(((-5--5)+(27.23--5))+27.23))))-(-5+-5)))*-5)))/-5)--5)+(-5*(((27.23*(27.23-(-5/-5)))*(27.23-(27.23/(-5*27.23))))-(-5/-5)))))</f>
        <v>99533.279535</v>
      </c>
      <c r="C12724" t="n" s="0">
        <v>99533.27953500001</v>
      </c>
    </row>
    <row r="12725">
      <c r="A12725" t="n" s="0">
        <v>27.24</v>
      </c>
      <c r="B12725" t="n" s="0">
        <f>(-5-((((-5*(-5/((-5/(((-5*(27.24--5))-(-5+((-5*27.24)*(((-5--5)+(27.24--5))+27.24))))-(-5+-5)))*-5)))/-5)--5)+(-5*(((27.24*(27.24-(-5/-5)))*(27.24-(27.24/(-5*27.24))))-(-5/-5)))))</f>
        <v>99643.48192</v>
      </c>
      <c r="C12725" t="n" s="0">
        <v>99643.48191999998</v>
      </c>
    </row>
    <row r="12726">
      <c r="A12726" t="n" s="0">
        <v>27.25</v>
      </c>
      <c r="B12726" t="n" s="0">
        <f>(-5-((((-5*(-5/((-5/(((-5*(27.25--5))-(-5+((-5*27.25)*(((-5--5)+(27.25--5))+27.25))))-(-5+-5)))*-5)))/-5)--5)+(-5*(((27.25*(27.25-(-5/-5)))*(27.25-(27.25/(-5*27.25))))-(-5/-5)))))</f>
        <v>99753.765625</v>
      </c>
      <c r="C12726" t="n" s="0">
        <v>99753.765625</v>
      </c>
    </row>
    <row r="12727">
      <c r="A12727" t="n" s="0">
        <v>27.26</v>
      </c>
      <c r="B12727" t="n" s="0">
        <f>(-5-((((-5*(-5/((-5/(((-5*(27.26--5))-(-5+((-5*27.26)*(((-5--5)+(27.26--5))+27.26))))-(-5+-5)))*-5)))/-5)--5)+(-5*(((27.26*(27.26-(-5/-5)))*(27.26-(27.26/(-5*27.26))))-(-5/-5)))))</f>
        <v>99864.13068</v>
      </c>
      <c r="C12727" t="n" s="0">
        <v>99864.13068</v>
      </c>
    </row>
    <row r="12728">
      <c r="A12728" t="n" s="0">
        <v>27.27</v>
      </c>
      <c r="B12728" t="n" s="0">
        <f>(-5-((((-5*(-5/((-5/(((-5*(27.27--5))-(-5+((-5*27.27)*(((-5--5)+(27.27--5))+27.27))))-(-5+-5)))*-5)))/-5)--5)+(-5*(((27.27*(27.27-(-5/-5)))*(27.27-(27.27/(-5*27.27))))-(-5/-5)))))</f>
        <v>99974.57711500001</v>
      </c>
      <c r="C12728" t="n" s="0">
        <v>99974.577115</v>
      </c>
    </row>
    <row r="12729">
      <c r="A12729" t="n" s="0">
        <v>27.28</v>
      </c>
      <c r="B12729" t="n" s="0">
        <f>(-5-((((-5*(-5/((-5/(((-5*(27.28--5))-(-5+((-5*27.28)*(((-5--5)+(27.28--5))+27.28))))-(-5+-5)))*-5)))/-5)--5)+(-5*(((27.28*(27.28-(-5/-5)))*(27.28-(27.28/(-5*27.28))))-(-5/-5)))))</f>
        <v>100085.10496</v>
      </c>
      <c r="C12729" t="n" s="0">
        <v>100085.10496000001</v>
      </c>
    </row>
    <row r="12730">
      <c r="A12730" t="n" s="0">
        <v>27.29</v>
      </c>
      <c r="B12730" t="n" s="0">
        <f>(-5-((((-5*(-5/((-5/(((-5*(27.29--5))-(-5+((-5*27.29)*(((-5--5)+(27.29--5))+27.29))))-(-5+-5)))*-5)))/-5)--5)+(-5*(((27.29*(27.29-(-5/-5)))*(27.29-(27.29/(-5*27.29))))-(-5/-5)))))</f>
        <v>100195.714245</v>
      </c>
      <c r="C12730" t="n" s="0">
        <v>100195.71424499997</v>
      </c>
    </row>
    <row r="12731">
      <c r="A12731" t="n" s="0">
        <v>27.3</v>
      </c>
      <c r="B12731" t="n" s="0">
        <f>(-5-((((-5*(-5/((-5/(((-5*(27.3--5))-(-5+((-5*27.3)*(((-5--5)+(27.3--5))+27.3))))-(-5+-5)))*-5)))/-5)--5)+(-5*(((27.3*(27.3-(-5/-5)))*(27.3-(27.3/(-5*27.3))))-(-5/-5)))))</f>
        <v>100306.405</v>
      </c>
      <c r="C12731" t="n" s="0">
        <v>100306.405</v>
      </c>
    </row>
    <row r="12732">
      <c r="A12732" t="n" s="0">
        <v>27.31</v>
      </c>
      <c r="B12732" t="n" s="0">
        <f>(-5-((((-5*(-5/((-5/(((-5*(27.31--5))-(-5+((-5*27.31)*(((-5--5)+(27.31--5))+27.31))))-(-5+-5)))*-5)))/-5)--5)+(-5*(((27.31*(27.31-(-5/-5)))*(27.31-(27.31/(-5*27.31))))-(-5/-5)))))</f>
        <v>100417.177255</v>
      </c>
      <c r="C12732" t="n" s="0">
        <v>100417.17725499997</v>
      </c>
    </row>
    <row r="12733">
      <c r="A12733" t="n" s="0">
        <v>27.32</v>
      </c>
      <c r="B12733" t="n" s="0">
        <f>(-5-((((-5*(-5/((-5/(((-5*(27.32--5))-(-5+((-5*27.32)*(((-5--5)+(27.32--5))+27.32))))-(-5+-5)))*-5)))/-5)--5)+(-5*(((27.32*(27.32-(-5/-5)))*(27.32-(27.32/(-5*27.32))))-(-5/-5)))))</f>
        <v>100528.03104</v>
      </c>
      <c r="C12733" t="n" s="0">
        <v>100528.03104</v>
      </c>
    </row>
    <row r="12734">
      <c r="A12734" t="n" s="0">
        <v>27.33</v>
      </c>
      <c r="B12734" t="n" s="0">
        <f>(-5-((((-5*(-5/((-5/(((-5*(27.33--5))-(-5+((-5*27.33)*(((-5--5)+(27.33--5))+27.33))))-(-5+-5)))*-5)))/-5)--5)+(-5*(((27.33*(27.33-(-5/-5)))*(27.33-(27.33/(-5*27.33))))-(-5/-5)))))</f>
        <v>100638.966385</v>
      </c>
      <c r="C12734" t="n" s="0">
        <v>100638.96638499998</v>
      </c>
    </row>
    <row r="12735">
      <c r="A12735" t="n" s="0">
        <v>27.34</v>
      </c>
      <c r="B12735" t="n" s="0">
        <f>(-5-((((-5*(-5/((-5/(((-5*(27.34--5))-(-5+((-5*27.34)*(((-5--5)+(27.34--5))+27.34))))-(-5+-5)))*-5)))/-5)--5)+(-5*(((27.34*(27.34-(-5/-5)))*(27.34-(27.34/(-5*27.34))))-(-5/-5)))))</f>
        <v>100749.98332</v>
      </c>
      <c r="C12735" t="n" s="0">
        <v>100749.98332000001</v>
      </c>
    </row>
    <row r="12736">
      <c r="A12736" t="n" s="0">
        <v>27.35</v>
      </c>
      <c r="B12736" t="n" s="0">
        <f>(-5-((((-5*(-5/((-5/(((-5*(27.35--5))-(-5+((-5*27.35)*(((-5--5)+(27.35--5))+27.35))))-(-5+-5)))*-5)))/-5)--5)+(-5*(((27.35*(27.35-(-5/-5)))*(27.35-(27.35/(-5*27.35))))-(-5/-5)))))</f>
        <v>100861.081875</v>
      </c>
      <c r="C12736" t="n" s="0">
        <v>100861.08187500003</v>
      </c>
    </row>
    <row r="12737">
      <c r="A12737" t="n" s="0">
        <v>27.36</v>
      </c>
      <c r="B12737" t="n" s="0">
        <f>(-5-((((-5*(-5/((-5/(((-5*(27.36--5))-(-5+((-5*27.36)*(((-5--5)+(27.36--5))+27.36))))-(-5+-5)))*-5)))/-5)--5)+(-5*(((27.36*(27.36-(-5/-5)))*(27.36-(27.36/(-5*27.36))))-(-5/-5)))))</f>
        <v>100972.26207999999</v>
      </c>
      <c r="C12737" t="n" s="0">
        <v>100972.26207999999</v>
      </c>
    </row>
    <row r="12738">
      <c r="A12738" t="n" s="0">
        <v>27.37</v>
      </c>
      <c r="B12738" t="n" s="0">
        <f>(-5-((((-5*(-5/((-5/(((-5*(27.37--5))-(-5+((-5*27.37)*(((-5--5)+(27.37--5))+27.37))))-(-5+-5)))*-5)))/-5)--5)+(-5*(((27.37*(27.37-(-5/-5)))*(27.37-(27.37/(-5*27.37))))-(-5/-5)))))</f>
        <v>101083.523965</v>
      </c>
      <c r="C12738" t="n" s="0">
        <v>101083.52396500001</v>
      </c>
    </row>
    <row r="12739">
      <c r="A12739" t="n" s="0">
        <v>27.38</v>
      </c>
      <c r="B12739" t="n" s="0">
        <f>(-5-((((-5*(-5/((-5/(((-5*(27.38--5))-(-5+((-5*27.38)*(((-5--5)+(27.38--5))+27.38))))-(-5+-5)))*-5)))/-5)--5)+(-5*(((27.38*(27.38-(-5/-5)))*(27.38-(27.38/(-5*27.38))))-(-5/-5)))))</f>
        <v>101194.86756000001</v>
      </c>
      <c r="C12739" t="n" s="0">
        <v>101194.86755999998</v>
      </c>
    </row>
    <row r="12740">
      <c r="A12740" t="n" s="0">
        <v>27.39</v>
      </c>
      <c r="B12740" t="n" s="0">
        <f>(-5-((((-5*(-5/((-5/(((-5*(27.39--5))-(-5+((-5*27.39)*(((-5--5)+(27.39--5))+27.39))))-(-5+-5)))*-5)))/-5)--5)+(-5*(((27.39*(27.39-(-5/-5)))*(27.39-(27.39/(-5*27.39))))-(-5/-5)))))</f>
        <v>101306.292895</v>
      </c>
      <c r="C12740" t="n" s="0">
        <v>101306.292895</v>
      </c>
    </row>
    <row r="12741">
      <c r="A12741" t="n" s="0">
        <v>27.4</v>
      </c>
      <c r="B12741" t="n" s="0">
        <f>(-5-((((-5*(-5/((-5/(((-5*(27.4--5))-(-5+((-5*27.4)*(((-5--5)+(27.4--5))+27.4))))-(-5+-5)))*-5)))/-5)--5)+(-5*(((27.4*(27.4-(-5/-5)))*(27.4-(27.4/(-5*27.4))))-(-5/-5)))))</f>
        <v>101417.79999999999</v>
      </c>
      <c r="C12741" t="n" s="0">
        <v>101417.79999999997</v>
      </c>
    </row>
    <row r="12742">
      <c r="A12742" t="n" s="0">
        <v>27.41</v>
      </c>
      <c r="B12742" t="n" s="0">
        <f>(-5-((((-5*(-5/((-5/(((-5*(27.41--5))-(-5+((-5*27.41)*(((-5--5)+(27.41--5))+27.41))))-(-5+-5)))*-5)))/-5)--5)+(-5*(((27.41*(27.41-(-5/-5)))*(27.41-(27.41/(-5*27.41))))-(-5/-5)))))</f>
        <v>101529.388905</v>
      </c>
      <c r="C12742" t="n" s="0">
        <v>101529.38890499999</v>
      </c>
    </row>
    <row r="12743">
      <c r="A12743" t="n" s="0">
        <v>27.42</v>
      </c>
      <c r="B12743" t="n" s="0">
        <f>(-5-((((-5*(-5/((-5/(((-5*(27.42--5))-(-5+((-5*27.42)*(((-5--5)+(27.42--5))+27.42))))-(-5+-5)))*-5)))/-5)--5)+(-5*(((27.42*(27.42-(-5/-5)))*(27.42-(27.42/(-5*27.42))))-(-5/-5)))))</f>
        <v>101641.05964</v>
      </c>
      <c r="C12743" t="n" s="0">
        <v>101641.05964000002</v>
      </c>
    </row>
    <row r="12744">
      <c r="A12744" t="n" s="0">
        <v>27.43</v>
      </c>
      <c r="B12744" t="n" s="0">
        <f>(-5-((((-5*(-5/((-5/(((-5*(27.43--5))-(-5+((-5*27.43)*(((-5--5)+(27.43--5))+27.43))))-(-5+-5)))*-5)))/-5)--5)+(-5*(((27.43*(27.43-(-5/-5)))*(27.43-(27.43/(-5*27.43))))-(-5/-5)))))</f>
        <v>101752.812235</v>
      </c>
      <c r="C12744" t="n" s="0">
        <v>101752.81223499999</v>
      </c>
    </row>
    <row r="12745">
      <c r="A12745" t="n" s="0">
        <v>27.44</v>
      </c>
      <c r="B12745" t="n" s="0">
        <f>(-5-((((-5*(-5/((-5/(((-5*(27.44--5))-(-5+((-5*27.44)*(((-5--5)+(27.44--5))+27.44))))-(-5+-5)))*-5)))/-5)--5)+(-5*(((27.44*(27.44-(-5/-5)))*(27.44-(27.44/(-5*27.44))))-(-5/-5)))))</f>
        <v>101864.64671999999</v>
      </c>
      <c r="C12745" t="n" s="0">
        <v>101864.64672000002</v>
      </c>
    </row>
    <row r="12746">
      <c r="A12746" t="n" s="0">
        <v>27.45</v>
      </c>
      <c r="B12746" t="n" s="0">
        <f>(-5-((((-5*(-5/((-5/(((-5*(27.45--5))-(-5+((-5*27.45)*(((-5--5)+(27.45--5))+27.45))))-(-5+-5)))*-5)))/-5)--5)+(-5*(((27.45*(27.45-(-5/-5)))*(27.45-(27.45/(-5*27.45))))-(-5/-5)))))</f>
        <v>101976.56312499999</v>
      </c>
      <c r="C12746" t="n" s="0">
        <v>101976.56312499999</v>
      </c>
    </row>
    <row r="12747">
      <c r="A12747" t="n" s="0">
        <v>27.46</v>
      </c>
      <c r="B12747" t="n" s="0">
        <f>(-5-((((-5*(-5/((-5/(((-5*(27.46--5))-(-5+((-5*27.46)*(((-5--5)+(27.46--5))+27.46))))-(-5+-5)))*-5)))/-5)--5)+(-5*(((27.46*(27.46-(-5/-5)))*(27.46-(27.46/(-5*27.46))))-(-5/-5)))))</f>
        <v>102088.56147999999</v>
      </c>
      <c r="C12747" t="n" s="0">
        <v>102088.56148000002</v>
      </c>
    </row>
    <row r="12748">
      <c r="A12748" t="n" s="0">
        <v>27.47</v>
      </c>
      <c r="B12748" t="n" s="0">
        <f>(-5-((((-5*(-5/((-5/(((-5*(27.47--5))-(-5+((-5*27.47)*(((-5--5)+(27.47--5))+27.47))))-(-5+-5)))*-5)))/-5)--5)+(-5*(((27.47*(27.47-(-5/-5)))*(27.47-(27.47/(-5*27.47))))-(-5/-5)))))</f>
        <v>102200.641815</v>
      </c>
      <c r="C12748" t="n" s="0">
        <v>102200.641815</v>
      </c>
    </row>
    <row r="12749">
      <c r="A12749" t="n" s="0">
        <v>27.48</v>
      </c>
      <c r="B12749" t="n" s="0">
        <f>(-5-((((-5*(-5/((-5/(((-5*(27.48--5))-(-5+((-5*27.48)*(((-5--5)+(27.48--5))+27.48))))-(-5+-5)))*-5)))/-5)--5)+(-5*(((27.48*(27.48-(-5/-5)))*(27.48-(27.48/(-5*27.48))))-(-5/-5)))))</f>
        <v>102312.80416</v>
      </c>
      <c r="C12749" t="n" s="0">
        <v>102312.80416</v>
      </c>
    </row>
    <row r="12750">
      <c r="A12750" t="n" s="0">
        <v>27.49</v>
      </c>
      <c r="B12750" t="n" s="0">
        <f>(-5-((((-5*(-5/((-5/(((-5*(27.49--5))-(-5+((-5*27.49)*(((-5--5)+(27.49--5))+27.49))))-(-5+-5)))*-5)))/-5)--5)+(-5*(((27.49*(27.49-(-5/-5)))*(27.49-(27.49/(-5*27.49))))-(-5/-5)))))</f>
        <v>102425.048545</v>
      </c>
      <c r="C12750" t="n" s="0">
        <v>102425.04854499997</v>
      </c>
    </row>
    <row r="12751">
      <c r="A12751" t="n" s="0">
        <v>27.5</v>
      </c>
      <c r="B12751" t="n" s="0">
        <f>(-5-((((-5*(-5/((-5/(((-5*(27.5--5))-(-5+((-5*27.5)*(((-5--5)+(27.5--5))+27.5))))-(-5+-5)))*-5)))/-5)--5)+(-5*(((27.5*(27.5-(-5/-5)))*(27.5-(27.5/(-5*27.5))))-(-5/-5)))))</f>
        <v>102537.375</v>
      </c>
      <c r="C12751" t="n" s="0">
        <v>102537.375</v>
      </c>
    </row>
    <row r="12752">
      <c r="A12752" t="n" s="0">
        <v>27.51</v>
      </c>
      <c r="B12752" t="n" s="0">
        <f>(-5-((((-5*(-5/((-5/(((-5*(27.51--5))-(-5+((-5*27.51)*(((-5--5)+(27.51--5))+27.51))))-(-5+-5)))*-5)))/-5)--5)+(-5*(((27.51*(27.51-(-5/-5)))*(27.51-(27.51/(-5*27.51))))-(-5/-5)))))</f>
        <v>102649.78355499999</v>
      </c>
      <c r="C12752" t="n" s="0">
        <v>102649.78355500002</v>
      </c>
    </row>
    <row r="12753">
      <c r="A12753" t="n" s="0">
        <v>27.52</v>
      </c>
      <c r="B12753" t="n" s="0">
        <f>(-5-((((-5*(-5/((-5/(((-5*(27.52--5))-(-5+((-5*27.52)*(((-5--5)+(27.52--5))+27.52))))-(-5+-5)))*-5)))/-5)--5)+(-5*(((27.52*(27.52-(-5/-5)))*(27.52-(27.52/(-5*27.52))))-(-5/-5)))))</f>
        <v>102762.27424</v>
      </c>
      <c r="C12753" t="n" s="0">
        <v>102762.27423999998</v>
      </c>
    </row>
    <row r="12754">
      <c r="A12754" t="n" s="0">
        <v>27.53</v>
      </c>
      <c r="B12754" t="n" s="0">
        <f>(-5-((((-5*(-5/((-5/(((-5*(27.53--5))-(-5+((-5*27.53)*(((-5--5)+(27.53--5))+27.53))))-(-5+-5)))*-5)))/-5)--5)+(-5*(((27.53*(27.53-(-5/-5)))*(27.53-(27.53/(-5*27.53))))-(-5/-5)))))</f>
        <v>102874.847085</v>
      </c>
      <c r="C12754" t="n" s="0">
        <v>102874.84708500002</v>
      </c>
    </row>
    <row r="12755">
      <c r="A12755" t="n" s="0">
        <v>27.54</v>
      </c>
      <c r="B12755" t="n" s="0">
        <f>(-5-((((-5*(-5/((-5/(((-5*(27.54--5))-(-5+((-5*27.54)*(((-5--5)+(27.54--5))+27.54))))-(-5+-5)))*-5)))/-5)--5)+(-5*(((27.54*(27.54-(-5/-5)))*(27.54-(27.54/(-5*27.54))))-(-5/-5)))))</f>
        <v>102987.50212</v>
      </c>
      <c r="C12755" t="n" s="0">
        <v>102987.50211999999</v>
      </c>
    </row>
    <row r="12756">
      <c r="A12756" t="n" s="0">
        <v>27.55</v>
      </c>
      <c r="B12756" t="n" s="0">
        <f>(-5-((((-5*(-5/((-5/(((-5*(27.55--5))-(-5+((-5*27.55)*(((-5--5)+(27.55--5))+27.55))))-(-5+-5)))*-5)))/-5)--5)+(-5*(((27.55*(27.55-(-5/-5)))*(27.55-(27.55/(-5*27.55))))-(-5/-5)))))</f>
        <v>103100.239375</v>
      </c>
      <c r="C12756" t="n" s="0">
        <v>103100.239375</v>
      </c>
    </row>
    <row r="12757">
      <c r="A12757" t="n" s="0">
        <v>27.56</v>
      </c>
      <c r="B12757" t="n" s="0">
        <f>(-5-((((-5*(-5/((-5/(((-5*(27.56--5))-(-5+((-5*27.56)*(((-5--5)+(27.56--5))+27.56))))-(-5+-5)))*-5)))/-5)--5)+(-5*(((27.56*(27.56-(-5/-5)))*(27.56-(27.56/(-5*27.56))))-(-5/-5)))))</f>
        <v>103213.05888</v>
      </c>
      <c r="C12757" t="n" s="0">
        <v>103213.05887999997</v>
      </c>
    </row>
    <row r="12758">
      <c r="A12758" t="n" s="0">
        <v>27.57</v>
      </c>
      <c r="B12758" t="n" s="0">
        <f>(-5-((((-5*(-5/((-5/(((-5*(27.57--5))-(-5+((-5*27.57)*(((-5--5)+(27.57--5))+27.57))))-(-5+-5)))*-5)))/-5)--5)+(-5*(((27.57*(27.57-(-5/-5)))*(27.57-(27.57/(-5*27.57))))-(-5/-5)))))</f>
        <v>103325.96066499999</v>
      </c>
      <c r="C12758" t="n" s="0">
        <v>103325.960665</v>
      </c>
    </row>
    <row r="12759">
      <c r="A12759" t="n" s="0">
        <v>27.58</v>
      </c>
      <c r="B12759" t="n" s="0">
        <f>(-5-((((-5*(-5/((-5/(((-5*(27.58--5))-(-5+((-5*27.58)*(((-5--5)+(27.58--5))+27.58))))-(-5+-5)))*-5)))/-5)--5)+(-5*(((27.58*(27.58-(-5/-5)))*(27.58-(27.58/(-5*27.58))))-(-5/-5)))))</f>
        <v>103438.94476000001</v>
      </c>
      <c r="C12759" t="n" s="0">
        <v>103438.94475999998</v>
      </c>
    </row>
    <row r="12760">
      <c r="A12760" t="n" s="0">
        <v>27.59</v>
      </c>
      <c r="B12760" t="n" s="0">
        <f>(-5-((((-5*(-5/((-5/(((-5*(27.59--5))-(-5+((-5*27.59)*(((-5--5)+(27.59--5))+27.59))))-(-5+-5)))*-5)))/-5)--5)+(-5*(((27.59*(27.59-(-5/-5)))*(27.59-(27.59/(-5*27.59))))-(-5/-5)))))</f>
        <v>103552.011195</v>
      </c>
      <c r="C12760" t="n" s="0">
        <v>103552.01119499998</v>
      </c>
    </row>
    <row r="12761">
      <c r="A12761" t="n" s="0">
        <v>27.6</v>
      </c>
      <c r="B12761" t="n" s="0">
        <f>(-5-((((-5*(-5/((-5/(((-5*(27.6--5))-(-5+((-5*27.6)*(((-5--5)+(27.6--5))+27.6))))-(-5+-5)))*-5)))/-5)--5)+(-5*(((27.6*(27.6-(-5/-5)))*(27.6-(27.6/(-5*27.6))))-(-5/-5)))))</f>
        <v>103665.16</v>
      </c>
      <c r="C12761" t="n" s="0">
        <v>103665.16000000002</v>
      </c>
    </row>
    <row r="12762">
      <c r="A12762" t="n" s="0">
        <v>27.61</v>
      </c>
      <c r="B12762" t="n" s="0">
        <f>(-5-((((-5*(-5/((-5/(((-5*(27.61--5))-(-5+((-5*27.61)*(((-5--5)+(27.61--5))+27.61))))-(-5+-5)))*-5)))/-5)--5)+(-5*(((27.61*(27.61-(-5/-5)))*(27.61-(27.61/(-5*27.61))))-(-5/-5)))))</f>
        <v>103778.39120499999</v>
      </c>
      <c r="C12762" t="n" s="0">
        <v>103778.39120499999</v>
      </c>
    </row>
    <row r="12763">
      <c r="A12763" t="n" s="0">
        <v>27.62</v>
      </c>
      <c r="B12763" t="n" s="0">
        <f>(-5-((((-5*(-5/((-5/(((-5*(27.62--5))-(-5+((-5*27.62)*(((-5--5)+(27.62--5))+27.62))))-(-5+-5)))*-5)))/-5)--5)+(-5*(((27.62*(27.62-(-5/-5)))*(27.62-(27.62/(-5*27.62))))-(-5/-5)))))</f>
        <v>103891.70483999999</v>
      </c>
      <c r="C12763" t="n" s="0">
        <v>103891.70484</v>
      </c>
    </row>
    <row r="12764">
      <c r="A12764" t="n" s="0">
        <v>27.63</v>
      </c>
      <c r="B12764" t="n" s="0">
        <f>(-5-((((-5*(-5/((-5/(((-5*(27.63--5))-(-5+((-5*27.63)*(((-5--5)+(27.63--5))+27.63))))-(-5+-5)))*-5)))/-5)--5)+(-5*(((27.63*(27.63-(-5/-5)))*(27.63-(27.63/(-5*27.63))))-(-5/-5)))))</f>
        <v>104005.100935</v>
      </c>
      <c r="C12764" t="n" s="0">
        <v>104005.10093500001</v>
      </c>
    </row>
    <row r="12765">
      <c r="A12765" t="n" s="0">
        <v>27.64</v>
      </c>
      <c r="B12765" t="n" s="0">
        <f>(-5-((((-5*(-5/((-5/(((-5*(27.64--5))-(-5+((-5*27.64)*(((-5--5)+(27.64--5))+27.64))))-(-5+-5)))*-5)))/-5)--5)+(-5*(((27.64*(27.64-(-5/-5)))*(27.64-(27.64/(-5*27.64))))-(-5/-5)))))</f>
        <v>104118.57952</v>
      </c>
      <c r="C12765" t="n" s="0">
        <v>104118.57952</v>
      </c>
    </row>
    <row r="12766">
      <c r="A12766" t="n" s="0">
        <v>27.65</v>
      </c>
      <c r="B12766" t="n" s="0">
        <f>(-5-((((-5*(-5/((-5/(((-5*(27.65--5))-(-5+((-5*27.65)*(((-5--5)+(27.65--5))+27.65))))-(-5+-5)))*-5)))/-5)--5)+(-5*(((27.65*(27.65-(-5/-5)))*(27.65-(27.65/(-5*27.65))))-(-5/-5)))))</f>
        <v>104232.140625</v>
      </c>
      <c r="C12766" t="n" s="0">
        <v>104232.14062499999</v>
      </c>
    </row>
    <row r="12767">
      <c r="A12767" t="n" s="0">
        <v>27.66</v>
      </c>
      <c r="B12767" t="n" s="0">
        <f>(-5-((((-5*(-5/((-5/(((-5*(27.66--5))-(-5+((-5*27.66)*(((-5--5)+(27.66--5))+27.66))))-(-5+-5)))*-5)))/-5)--5)+(-5*(((27.66*(27.66-(-5/-5)))*(27.66-(27.66/(-5*27.66))))-(-5/-5)))))</f>
        <v>104345.78428</v>
      </c>
      <c r="C12767" t="n" s="0">
        <v>104345.78428</v>
      </c>
    </row>
    <row r="12768">
      <c r="A12768" t="n" s="0">
        <v>27.67</v>
      </c>
      <c r="B12768" t="n" s="0">
        <f>(-5-((((-5*(-5/((-5/(((-5*(27.67--5))-(-5+((-5*27.67)*(((-5--5)+(27.67--5))+27.67))))-(-5+-5)))*-5)))/-5)--5)+(-5*(((27.67*(27.67-(-5/-5)))*(27.67-(27.67/(-5*27.67))))-(-5/-5)))))</f>
        <v>104459.510515</v>
      </c>
      <c r="C12768" t="n" s="0">
        <v>104459.510515</v>
      </c>
    </row>
    <row r="12769">
      <c r="A12769" t="n" s="0">
        <v>27.68</v>
      </c>
      <c r="B12769" t="n" s="0">
        <f>(-5-((((-5*(-5/((-5/(((-5*(27.68--5))-(-5+((-5*27.68)*(((-5--5)+(27.68--5))+27.68))))-(-5+-5)))*-5)))/-5)--5)+(-5*(((27.68*(27.68-(-5/-5)))*(27.68-(27.68/(-5*27.68))))-(-5/-5)))))</f>
        <v>104573.31936</v>
      </c>
      <c r="C12769" t="n" s="0">
        <v>104573.31936</v>
      </c>
    </row>
    <row r="12770">
      <c r="A12770" t="n" s="0">
        <v>27.69</v>
      </c>
      <c r="B12770" t="n" s="0">
        <f>(-5-((((-5*(-5/((-5/(((-5*(27.69--5))-(-5+((-5*27.69)*(((-5--5)+(27.69--5))+27.69))))-(-5+-5)))*-5)))/-5)--5)+(-5*(((27.69*(27.69-(-5/-5)))*(27.69-(27.69/(-5*27.69))))-(-5/-5)))))</f>
        <v>104687.210845</v>
      </c>
      <c r="C12770" t="n" s="0">
        <v>104687.21084500002</v>
      </c>
    </row>
    <row r="12771">
      <c r="A12771" t="n" s="0">
        <v>27.7</v>
      </c>
      <c r="B12771" t="n" s="0">
        <f>(-5-((((-5*(-5/((-5/(((-5*(27.7--5))-(-5+((-5*27.7)*(((-5--5)+(27.7--5))+27.7))))-(-5+-5)))*-5)))/-5)--5)+(-5*(((27.7*(27.7-(-5/-5)))*(27.7-(27.7/(-5*27.7))))-(-5/-5)))))</f>
        <v>104801.185</v>
      </c>
      <c r="C12771" t="n" s="0">
        <v>104801.18499999998</v>
      </c>
    </row>
    <row r="12772">
      <c r="A12772" t="n" s="0">
        <v>27.71</v>
      </c>
      <c r="B12772" t="n" s="0">
        <f>(-5-((((-5*(-5/((-5/(((-5*(27.71--5))-(-5+((-5*27.71)*(((-5--5)+(27.71--5))+27.71))))-(-5+-5)))*-5)))/-5)--5)+(-5*(((27.71*(27.71-(-5/-5)))*(27.71-(27.71/(-5*27.71))))-(-5/-5)))))</f>
        <v>104915.241855</v>
      </c>
      <c r="C12772" t="n" s="0">
        <v>104915.24185500001</v>
      </c>
    </row>
    <row r="12773">
      <c r="A12773" t="n" s="0">
        <v>27.72</v>
      </c>
      <c r="B12773" t="n" s="0">
        <f>(-5-((((-5*(-5/((-5/(((-5*(27.72--5))-(-5+((-5*27.72)*(((-5--5)+(27.72--5))+27.72))))-(-5+-5)))*-5)))/-5)--5)+(-5*(((27.72*(27.72-(-5/-5)))*(27.72-(27.72/(-5*27.72))))-(-5/-5)))))</f>
        <v>105029.38144</v>
      </c>
      <c r="C12773" t="n" s="0">
        <v>105029.38144</v>
      </c>
    </row>
    <row r="12774">
      <c r="A12774" t="n" s="0">
        <v>27.73</v>
      </c>
      <c r="B12774" t="n" s="0">
        <f>(-5-((((-5*(-5/((-5/(((-5*(27.73--5))-(-5+((-5*27.73)*(((-5--5)+(27.73--5))+27.73))))-(-5+-5)))*-5)))/-5)--5)+(-5*(((27.73*(27.73-(-5/-5)))*(27.73-(27.73/(-5*27.73))))-(-5/-5)))))</f>
        <v>105143.603785</v>
      </c>
      <c r="C12774" t="n" s="0">
        <v>105143.603785</v>
      </c>
    </row>
    <row r="12775">
      <c r="A12775" t="n" s="0">
        <v>27.74</v>
      </c>
      <c r="B12775" t="n" s="0">
        <f>(-5-((((-5*(-5/((-5/(((-5*(27.74--5))-(-5+((-5*27.74)*(((-5--5)+(27.74--5))+27.74))))-(-5+-5)))*-5)))/-5)--5)+(-5*(((27.74*(27.74-(-5/-5)))*(27.74-(27.74/(-5*27.74))))-(-5/-5)))))</f>
        <v>105257.90892</v>
      </c>
      <c r="C12775" t="n" s="0">
        <v>105257.90891999999</v>
      </c>
    </row>
    <row r="12776">
      <c r="A12776" t="n" s="0">
        <v>27.75</v>
      </c>
      <c r="B12776" t="n" s="0">
        <f>(-5-((((-5*(-5/((-5/(((-5*(27.75--5))-(-5+((-5*27.75)*(((-5--5)+(27.75--5))+27.75))))-(-5+-5)))*-5)))/-5)--5)+(-5*(((27.75*(27.75-(-5/-5)))*(27.75-(27.75/(-5*27.75))))-(-5/-5)))))</f>
        <v>105372.296875</v>
      </c>
      <c r="C12776" t="n" s="0">
        <v>105372.296875</v>
      </c>
    </row>
    <row r="12777">
      <c r="A12777" t="n" s="0">
        <v>27.76</v>
      </c>
      <c r="B12777" t="n" s="0">
        <f>(-5-((((-5*(-5/((-5/(((-5*(27.76--5))-(-5+((-5*27.76)*(((-5--5)+(27.76--5))+27.76))))-(-5+-5)))*-5)))/-5)--5)+(-5*(((27.76*(27.76-(-5/-5)))*(27.76-(27.76/(-5*27.76))))-(-5/-5)))))</f>
        <v>105486.76768</v>
      </c>
      <c r="C12777" t="n" s="0">
        <v>105486.76768000002</v>
      </c>
    </row>
    <row r="12778">
      <c r="A12778" t="n" s="0">
        <v>27.77</v>
      </c>
      <c r="B12778" t="n" s="0">
        <f>(-5-((((-5*(-5/((-5/(((-5*(27.77--5))-(-5+((-5*27.77)*(((-5--5)+(27.77--5))+27.77))))-(-5+-5)))*-5)))/-5)--5)+(-5*(((27.77*(27.77-(-5/-5)))*(27.77-(27.77/(-5*27.77))))-(-5/-5)))))</f>
        <v>105601.321365</v>
      </c>
      <c r="C12778" t="n" s="0">
        <v>105601.321365</v>
      </c>
    </row>
    <row r="12779">
      <c r="A12779" t="n" s="0">
        <v>27.78</v>
      </c>
      <c r="B12779" t="n" s="0">
        <f>(-5-((((-5*(-5/((-5/(((-5*(27.78--5))-(-5+((-5*27.78)*(((-5--5)+(27.78--5))+27.78))))-(-5+-5)))*-5)))/-5)--5)+(-5*(((27.78*(27.78-(-5/-5)))*(27.78-(27.78/(-5*27.78))))-(-5/-5)))))</f>
        <v>105715.95796</v>
      </c>
      <c r="C12779" t="n" s="0">
        <v>105715.95796000001</v>
      </c>
    </row>
    <row r="12780">
      <c r="A12780" t="n" s="0">
        <v>27.79</v>
      </c>
      <c r="B12780" t="n" s="0">
        <f>(-5-((((-5*(-5/((-5/(((-5*(27.79--5))-(-5+((-5*27.79)*(((-5--5)+(27.79--5))+27.79))))-(-5+-5)))*-5)))/-5)--5)+(-5*(((27.79*(27.79-(-5/-5)))*(27.79-(27.79/(-5*27.79))))-(-5/-5)))))</f>
        <v>105830.677495</v>
      </c>
      <c r="C12780" t="n" s="0">
        <v>105830.677495</v>
      </c>
    </row>
    <row r="12781">
      <c r="A12781" t="n" s="0">
        <v>27.8</v>
      </c>
      <c r="B12781" t="n" s="0">
        <f>(-5-((((-5*(-5/((-5/(((-5*(27.8--5))-(-5+((-5*27.8)*(((-5--5)+(27.8--5))+27.8))))-(-5+-5)))*-5)))/-5)--5)+(-5*(((27.8*(27.8-(-5/-5)))*(27.8-(27.8/(-5*27.8))))-(-5/-5)))))</f>
        <v>105945.48000000001</v>
      </c>
      <c r="C12781" t="n" s="0">
        <v>105945.48000000001</v>
      </c>
    </row>
    <row r="12782">
      <c r="A12782" t="n" s="0">
        <v>27.81</v>
      </c>
      <c r="B12782" t="n" s="0">
        <f>(-5-((((-5*(-5/((-5/(((-5*(27.81--5))-(-5+((-5*27.81)*(((-5--5)+(27.81--5))+27.81))))-(-5+-5)))*-5)))/-5)--5)+(-5*(((27.81*(27.81-(-5/-5)))*(27.81-(27.81/(-5*27.81))))-(-5/-5)))))</f>
        <v>106060.365505</v>
      </c>
      <c r="C12782" t="n" s="0">
        <v>106060.365505</v>
      </c>
    </row>
    <row r="12783">
      <c r="A12783" t="n" s="0">
        <v>27.82</v>
      </c>
      <c r="B12783" t="n" s="0">
        <f>(-5-((((-5*(-5/((-5/(((-5*(27.82--5))-(-5+((-5*27.82)*(((-5--5)+(27.82--5))+27.82))))-(-5+-5)))*-5)))/-5)--5)+(-5*(((27.82*(27.82-(-5/-5)))*(27.82-(27.82/(-5*27.82))))-(-5/-5)))))</f>
        <v>106175.33404</v>
      </c>
      <c r="C12783" t="n" s="0">
        <v>106175.33404000002</v>
      </c>
    </row>
    <row r="12784">
      <c r="A12784" t="n" s="0">
        <v>27.83</v>
      </c>
      <c r="B12784" t="n" s="0">
        <f>(-5-((((-5*(-5/((-5/(((-5*(27.83--5))-(-5+((-5*27.83)*(((-5--5)+(27.83--5))+27.83))))-(-5+-5)))*-5)))/-5)--5)+(-5*(((27.83*(27.83-(-5/-5)))*(27.83-(27.83/(-5*27.83))))-(-5/-5)))))</f>
        <v>106290.385635</v>
      </c>
      <c r="C12784" t="n" s="0">
        <v>106290.38563499997</v>
      </c>
    </row>
    <row r="12785">
      <c r="A12785" t="n" s="0">
        <v>27.84</v>
      </c>
      <c r="B12785" t="n" s="0">
        <f>(-5-((((-5*(-5/((-5/(((-5*(27.84--5))-(-5+((-5*27.84)*(((-5--5)+(27.84--5))+27.84))))-(-5+-5)))*-5)))/-5)--5)+(-5*(((27.84*(27.84-(-5/-5)))*(27.84-(27.84/(-5*27.84))))-(-5/-5)))))</f>
        <v>106405.52032000001</v>
      </c>
      <c r="C12785" t="n" s="0">
        <v>106405.52032</v>
      </c>
    </row>
    <row r="12786">
      <c r="A12786" t="n" s="0">
        <v>27.85</v>
      </c>
      <c r="B12786" t="n" s="0">
        <f>(-5-((((-5*(-5/((-5/(((-5*(27.85--5))-(-5+((-5*27.85)*(((-5--5)+(27.85--5))+27.85))))-(-5+-5)))*-5)))/-5)--5)+(-5*(((27.85*(27.85-(-5/-5)))*(27.85-(27.85/(-5*27.85))))-(-5/-5)))))</f>
        <v>106520.738125</v>
      </c>
      <c r="C12786" t="n" s="0">
        <v>106520.73812500002</v>
      </c>
    </row>
    <row r="12787">
      <c r="A12787" t="n" s="0">
        <v>27.86</v>
      </c>
      <c r="B12787" t="n" s="0">
        <f>(-5-((((-5*(-5/((-5/(((-5*(27.86--5))-(-5+((-5*27.86)*(((-5--5)+(27.86--5))+27.86))))-(-5+-5)))*-5)))/-5)--5)+(-5*(((27.86*(27.86-(-5/-5)))*(27.86-(27.86/(-5*27.86))))-(-5/-5)))))</f>
        <v>106636.03907999999</v>
      </c>
      <c r="C12787" t="n" s="0">
        <v>106636.03907999999</v>
      </c>
    </row>
    <row r="12788">
      <c r="A12788" t="n" s="0">
        <v>27.87</v>
      </c>
      <c r="B12788" t="n" s="0">
        <f>(-5-((((-5*(-5/((-5/(((-5*(27.87--5))-(-5+((-5*27.87)*(((-5--5)+(27.87--5))+27.87))))-(-5+-5)))*-5)))/-5)--5)+(-5*(((27.87*(27.87-(-5/-5)))*(27.87-(27.87/(-5*27.87))))-(-5/-5)))))</f>
        <v>106751.423215</v>
      </c>
      <c r="C12788" t="n" s="0">
        <v>106751.423215</v>
      </c>
    </row>
    <row r="12789">
      <c r="A12789" t="n" s="0">
        <v>27.88</v>
      </c>
      <c r="B12789" t="n" s="0">
        <f>(-5-((((-5*(-5/((-5/(((-5*(27.88--5))-(-5+((-5*27.88)*(((-5--5)+(27.88--5))+27.88))))-(-5+-5)))*-5)))/-5)--5)+(-5*(((27.88*(27.88-(-5/-5)))*(27.88-(27.88/(-5*27.88))))-(-5/-5)))))</f>
        <v>106866.89056</v>
      </c>
      <c r="C12789" t="n" s="0">
        <v>106866.89055999999</v>
      </c>
    </row>
    <row r="12790">
      <c r="A12790" t="n" s="0">
        <v>27.89</v>
      </c>
      <c r="B12790" t="n" s="0">
        <f>(-5-((((-5*(-5/((-5/(((-5*(27.89--5))-(-5+((-5*27.89)*(((-5--5)+(27.89--5))+27.89))))-(-5+-5)))*-5)))/-5)--5)+(-5*(((27.89*(27.89-(-5/-5)))*(27.89-(27.89/(-5*27.89))))-(-5/-5)))))</f>
        <v>106982.441145</v>
      </c>
      <c r="C12790" t="n" s="0">
        <v>106982.441145</v>
      </c>
    </row>
    <row r="12791">
      <c r="A12791" t="n" s="0">
        <v>27.9</v>
      </c>
      <c r="B12791" t="n" s="0">
        <f>(-5-((((-5*(-5/((-5/(((-5*(27.9--5))-(-5+((-5*27.9)*(((-5--5)+(27.9--5))+27.9))))-(-5+-5)))*-5)))/-5)--5)+(-5*(((27.9*(27.9-(-5/-5)))*(27.9-(27.9/(-5*27.9))))-(-5/-5)))))</f>
        <v>107098.075</v>
      </c>
      <c r="C12791" t="n" s="0">
        <v>107098.07499999997</v>
      </c>
    </row>
    <row r="12792">
      <c r="A12792" t="n" s="0">
        <v>27.91</v>
      </c>
      <c r="B12792" t="n" s="0">
        <f>(-5-((((-5*(-5/((-5/(((-5*(27.91--5))-(-5+((-5*27.91)*(((-5--5)+(27.91--5))+27.91))))-(-5+-5)))*-5)))/-5)--5)+(-5*(((27.91*(27.91-(-5/-5)))*(27.91-(27.91/(-5*27.91))))-(-5/-5)))))</f>
        <v>107213.792155</v>
      </c>
      <c r="C12792" t="n" s="0">
        <v>107213.792155</v>
      </c>
    </row>
    <row r="12793">
      <c r="A12793" t="n" s="0">
        <v>27.92</v>
      </c>
      <c r="B12793" t="n" s="0">
        <f>(-5-((((-5*(-5/((-5/(((-5*(27.92--5))-(-5+((-5*27.92)*(((-5--5)+(27.92--5))+27.92))))-(-5+-5)))*-5)))/-5)--5)+(-5*(((27.92*(27.92-(-5/-5)))*(27.92-(27.92/(-5*27.92))))-(-5/-5)))))</f>
        <v>107329.59264</v>
      </c>
      <c r="C12793" t="n" s="0">
        <v>107329.59264000002</v>
      </c>
    </row>
    <row r="12794">
      <c r="A12794" t="n" s="0">
        <v>27.93</v>
      </c>
      <c r="B12794" t="n" s="0">
        <f>(-5-((((-5*(-5/((-5/(((-5*(27.93--5))-(-5+((-5*27.93)*(((-5--5)+(27.93--5))+27.93))))-(-5+-5)))*-5)))/-5)--5)+(-5*(((27.93*(27.93-(-5/-5)))*(27.93-(27.93/(-5*27.93))))-(-5/-5)))))</f>
        <v>107445.476485</v>
      </c>
      <c r="C12794" t="n" s="0">
        <v>107445.47648499999</v>
      </c>
    </row>
    <row r="12795">
      <c r="A12795" t="n" s="0">
        <v>27.94</v>
      </c>
      <c r="B12795" t="n" s="0">
        <f>(-5-((((-5*(-5/((-5/(((-5*(27.94--5))-(-5+((-5*27.94)*(((-5--5)+(27.94--5))+27.94))))-(-5+-5)))*-5)))/-5)--5)+(-5*(((27.94*(27.94-(-5/-5)))*(27.94-(27.94/(-5*27.94))))-(-5/-5)))))</f>
        <v>107561.44372</v>
      </c>
      <c r="C12795" t="n" s="0">
        <v>107561.44372000002</v>
      </c>
    </row>
    <row r="12796">
      <c r="A12796" t="n" s="0">
        <v>27.95</v>
      </c>
      <c r="B12796" t="n" s="0">
        <f>(-5-((((-5*(-5/((-5/(((-5*(27.95--5))-(-5+((-5*27.95)*(((-5--5)+(27.95--5))+27.95))))-(-5+-5)))*-5)))/-5)--5)+(-5*(((27.95*(27.95-(-5/-5)))*(27.95-(27.95/(-5*27.95))))-(-5/-5)))))</f>
        <v>107677.494375</v>
      </c>
      <c r="C12796" t="n" s="0">
        <v>107677.494375</v>
      </c>
    </row>
    <row r="12797">
      <c r="A12797" t="n" s="0">
        <v>27.96</v>
      </c>
      <c r="B12797" t="n" s="0">
        <f>(-5-((((-5*(-5/((-5/(((-5*(27.96--5))-(-5+((-5*27.96)*(((-5--5)+(27.96--5))+27.96))))-(-5+-5)))*-5)))/-5)--5)+(-5*(((27.96*(27.96-(-5/-5)))*(27.96-(27.96/(-5*27.96))))-(-5/-5)))))</f>
        <v>107793.62848000001</v>
      </c>
      <c r="C12797" t="n" s="0">
        <v>107793.62848000001</v>
      </c>
    </row>
    <row r="12798">
      <c r="A12798" t="n" s="0">
        <v>27.97</v>
      </c>
      <c r="B12798" t="n" s="0">
        <f>(-5-((((-5*(-5/((-5/(((-5*(27.97--5))-(-5+((-5*27.97)*(((-5--5)+(27.97--5))+27.97))))-(-5+-5)))*-5)))/-5)--5)+(-5*(((27.97*(27.97-(-5/-5)))*(27.97-(27.97/(-5*27.97))))-(-5/-5)))))</f>
        <v>107909.846065</v>
      </c>
      <c r="C12798" t="n" s="0">
        <v>107909.84606499999</v>
      </c>
    </row>
    <row r="12799">
      <c r="A12799" t="n" s="0">
        <v>27.98</v>
      </c>
      <c r="B12799" t="n" s="0">
        <f>(-5-((((-5*(-5/((-5/(((-5*(27.98--5))-(-5+((-5*27.98)*(((-5--5)+(27.98--5))+27.98))))-(-5+-5)))*-5)))/-5)--5)+(-5*(((27.98*(27.98-(-5/-5)))*(27.98-(27.98/(-5*27.98))))-(-5/-5)))))</f>
        <v>108026.14716000001</v>
      </c>
      <c r="C12799" t="n" s="0">
        <v>108026.14716000001</v>
      </c>
    </row>
    <row r="12800">
      <c r="A12800" t="n" s="0">
        <v>27.99</v>
      </c>
      <c r="B12800" t="n" s="0">
        <f>(-5-((((-5*(-5/((-5/(((-5*(27.99--5))-(-5+((-5*27.99)*(((-5--5)+(27.99--5))+27.99))))-(-5+-5)))*-5)))/-5)--5)+(-5*(((27.99*(27.99-(-5/-5)))*(27.99-(27.99/(-5*27.99))))-(-5/-5)))))</f>
        <v>108142.531795</v>
      </c>
      <c r="C12800" t="n" s="0">
        <v>108142.53179499999</v>
      </c>
    </row>
    <row r="12801">
      <c r="A12801" t="n" s="0">
        <v>28.0</v>
      </c>
      <c r="B12801" t="n" s="0">
        <f>(-5-((((-5*(-5/((-5/(((-5*(28--5))-(-5+((-5*28)*(((-5--5)+(28--5))+28))))-(-5+-5)))*-5)))/-5)--5)+(-5*(((28*(28-(-5/-5)))*(28-(28/(-5*28))))-(-5/-5)))))</f>
        <v>108259.0</v>
      </c>
      <c r="C12801" t="n" s="0">
        <v>108259.0</v>
      </c>
    </row>
    <row r="12802">
      <c r="A12802" t="n" s="0">
        <v>28.01</v>
      </c>
      <c r="B12802" t="n" s="0">
        <f>(-5-((((-5*(-5/((-5/(((-5*(28.01--5))-(-5+((-5*28.01)*(((-5--5)+(28.01--5))+28.01))))-(-5+-5)))*-5)))/-5)--5)+(-5*(((28.01*(28.01-(-5/-5)))*(28.01-(28.01/(-5*28.01))))-(-5/-5)))))</f>
        <v>108375.551805</v>
      </c>
      <c r="C12802" t="n" s="0">
        <v>108375.55180500001</v>
      </c>
    </row>
    <row r="12803">
      <c r="A12803" t="n" s="0">
        <v>28.02</v>
      </c>
      <c r="B12803" t="n" s="0">
        <f>(-5-((((-5*(-5/((-5/(((-5*(28.02--5))-(-5+((-5*28.02)*(((-5--5)+(28.02--5))+28.02))))-(-5+-5)))*-5)))/-5)--5)+(-5*(((28.02*(28.02-(-5/-5)))*(28.02-(28.02/(-5*28.02))))-(-5/-5)))))</f>
        <v>108492.18724</v>
      </c>
      <c r="C12803" t="n" s="0">
        <v>108492.18724</v>
      </c>
    </row>
    <row r="12804">
      <c r="A12804" t="n" s="0">
        <v>28.03</v>
      </c>
      <c r="B12804" t="n" s="0">
        <f>(-5-((((-5*(-5/((-5/(((-5*(28.03--5))-(-5+((-5*28.03)*(((-5--5)+(28.03--5))+28.03))))-(-5+-5)))*-5)))/-5)--5)+(-5*(((28.03*(28.03-(-5/-5)))*(28.03-(28.03/(-5*28.03))))-(-5/-5)))))</f>
        <v>108608.90633499999</v>
      </c>
      <c r="C12804" t="n" s="0">
        <v>108608.90633500002</v>
      </c>
    </row>
    <row r="12805">
      <c r="A12805" t="n" s="0">
        <v>28.04</v>
      </c>
      <c r="B12805" t="n" s="0">
        <f>(-5-((((-5*(-5/((-5/(((-5*(28.04--5))-(-5+((-5*28.04)*(((-5--5)+(28.04--5))+28.04))))-(-5+-5)))*-5)))/-5)--5)+(-5*(((28.04*(28.04-(-5/-5)))*(28.04-(28.04/(-5*28.04))))-(-5/-5)))))</f>
        <v>108725.70912</v>
      </c>
      <c r="C12805" t="n" s="0">
        <v>108725.70911999997</v>
      </c>
    </row>
    <row r="12806">
      <c r="A12806" t="n" s="0">
        <v>28.05</v>
      </c>
      <c r="B12806" t="n" s="0">
        <f>(-5-((((-5*(-5/((-5/(((-5*(28.05--5))-(-5+((-5*28.05)*(((-5--5)+(28.05--5))+28.05))))-(-5+-5)))*-5)))/-5)--5)+(-5*(((28.05*(28.05-(-5/-5)))*(28.05-(28.05/(-5*28.05))))-(-5/-5)))))</f>
        <v>108842.59562499999</v>
      </c>
      <c r="C12806" t="n" s="0">
        <v>108842.595625</v>
      </c>
    </row>
    <row r="12807">
      <c r="A12807" t="n" s="0">
        <v>28.06</v>
      </c>
      <c r="B12807" t="n" s="0">
        <f>(-5-((((-5*(-5/((-5/(((-5*(28.06--5))-(-5+((-5*28.06)*(((-5--5)+(28.06--5))+28.06))))-(-5+-5)))*-5)))/-5)--5)+(-5*(((28.06*(28.06-(-5/-5)))*(28.06-(28.06/(-5*28.06))))-(-5/-5)))))</f>
        <v>108959.56588</v>
      </c>
      <c r="C12807" t="n" s="0">
        <v>108959.56587999998</v>
      </c>
    </row>
    <row r="12808">
      <c r="A12808" t="n" s="0">
        <v>28.07</v>
      </c>
      <c r="B12808" t="n" s="0">
        <f>(-5-((((-5*(-5/((-5/(((-5*(28.07--5))-(-5+((-5*28.07)*(((-5--5)+(28.07--5))+28.07))))-(-5+-5)))*-5)))/-5)--5)+(-5*(((28.07*(28.07-(-5/-5)))*(28.07-(28.07/(-5*28.07))))-(-5/-5)))))</f>
        <v>109076.61991499999</v>
      </c>
      <c r="C12808" t="n" s="0">
        <v>109076.61991500002</v>
      </c>
    </row>
    <row r="12809">
      <c r="A12809" t="n" s="0">
        <v>28.08</v>
      </c>
      <c r="B12809" t="n" s="0">
        <f>(-5-((((-5*(-5/((-5/(((-5*(28.08--5))-(-5+((-5*28.08)*(((-5--5)+(28.08--5))+28.08))))-(-5+-5)))*-5)))/-5)--5)+(-5*(((28.08*(28.08-(-5/-5)))*(28.08-(28.08/(-5*28.08))))-(-5/-5)))))</f>
        <v>109193.75776</v>
      </c>
      <c r="C12809" t="n" s="0">
        <v>109193.75775999998</v>
      </c>
    </row>
    <row r="12810">
      <c r="A12810" t="n" s="0">
        <v>28.09</v>
      </c>
      <c r="B12810" t="n" s="0">
        <f>(-5-((((-5*(-5/((-5/(((-5*(28.09--5))-(-5+((-5*28.09)*(((-5--5)+(28.09--5))+28.09))))-(-5+-5)))*-5)))/-5)--5)+(-5*(((28.09*(28.09-(-5/-5)))*(28.09-(28.09/(-5*28.09))))-(-5/-5)))))</f>
        <v>109310.979445</v>
      </c>
      <c r="C12810" t="n" s="0">
        <v>109310.979445</v>
      </c>
    </row>
    <row r="12811">
      <c r="A12811" t="n" s="0">
        <v>28.1</v>
      </c>
      <c r="B12811" t="n" s="0">
        <f>(-5-((((-5*(-5/((-5/(((-5*(28.1--5))-(-5+((-5*28.1)*(((-5--5)+(28.1--5))+28.1))))-(-5+-5)))*-5)))/-5)--5)+(-5*(((28.1*(28.1-(-5/-5)))*(28.1-(28.1/(-5*28.1))))-(-5/-5)))))</f>
        <v>109428.28499999999</v>
      </c>
      <c r="C12811" t="n" s="0">
        <v>109428.28500000002</v>
      </c>
    </row>
    <row r="12812">
      <c r="A12812" t="n" s="0">
        <v>28.11</v>
      </c>
      <c r="B12812" t="n" s="0">
        <f>(-5-((((-5*(-5/((-5/(((-5*(28.11--5))-(-5+((-5*28.11)*(((-5--5)+(28.11--5))+28.11))))-(-5+-5)))*-5)))/-5)--5)+(-5*(((28.11*(28.11-(-5/-5)))*(28.11-(28.11/(-5*28.11))))-(-5/-5)))))</f>
        <v>109545.674455</v>
      </c>
      <c r="C12812" t="n" s="0">
        <v>109545.67445499999</v>
      </c>
    </row>
    <row r="12813">
      <c r="A12813" t="n" s="0">
        <v>28.12</v>
      </c>
      <c r="B12813" t="n" s="0">
        <f>(-5-((((-5*(-5/((-5/(((-5*(28.12--5))-(-5+((-5*28.12)*(((-5--5)+(28.12--5))+28.12))))-(-5+-5)))*-5)))/-5)--5)+(-5*(((28.12*(28.12-(-5/-5)))*(28.12-(28.12/(-5*28.12))))-(-5/-5)))))</f>
        <v>109663.14784</v>
      </c>
      <c r="C12813" t="n" s="0">
        <v>109663.14784</v>
      </c>
    </row>
    <row r="12814">
      <c r="A12814" t="n" s="0">
        <v>28.13</v>
      </c>
      <c r="B12814" t="n" s="0">
        <f>(-5-((((-5*(-5/((-5/(((-5*(28.13--5))-(-5+((-5*28.13)*(((-5--5)+(28.13--5))+28.13))))-(-5+-5)))*-5)))/-5)--5)+(-5*(((28.13*(28.13-(-5/-5)))*(28.13-(28.13/(-5*28.13))))-(-5/-5)))))</f>
        <v>109780.70518500001</v>
      </c>
      <c r="C12814" t="n" s="0">
        <v>109780.70518499998</v>
      </c>
    </row>
    <row r="12815">
      <c r="A12815" t="n" s="0">
        <v>28.14</v>
      </c>
      <c r="B12815" t="n" s="0">
        <f>(-5-((((-5*(-5/((-5/(((-5*(28.14--5))-(-5+((-5*28.14)*(((-5--5)+(28.14--5))+28.14))))-(-5+-5)))*-5)))/-5)--5)+(-5*(((28.14*(28.14-(-5/-5)))*(28.14-(28.14/(-5*28.14))))-(-5/-5)))))</f>
        <v>109898.34652</v>
      </c>
      <c r="C12815" t="n" s="0">
        <v>109898.34651999999</v>
      </c>
    </row>
    <row r="12816">
      <c r="A12816" t="n" s="0">
        <v>28.15</v>
      </c>
      <c r="B12816" t="n" s="0">
        <f>(-5-((((-5*(-5/((-5/(((-5*(28.15--5))-(-5+((-5*28.15)*(((-5--5)+(28.15--5))+28.15))))-(-5+-5)))*-5)))/-5)--5)+(-5*(((28.15*(28.15-(-5/-5)))*(28.15-(28.15/(-5*28.15))))-(-5/-5)))))</f>
        <v>110016.07187500001</v>
      </c>
      <c r="C12816" t="n" s="0">
        <v>110016.07187499998</v>
      </c>
    </row>
    <row r="12817">
      <c r="A12817" t="n" s="0">
        <v>28.16</v>
      </c>
      <c r="B12817" t="n" s="0">
        <f>(-5-((((-5*(-5/((-5/(((-5*(28.16--5))-(-5+((-5*28.16)*(((-5--5)+(28.16--5))+28.16))))-(-5+-5)))*-5)))/-5)--5)+(-5*(((28.16*(28.16-(-5/-5)))*(28.16-(28.16/(-5*28.16))))-(-5/-5)))))</f>
        <v>110133.88128</v>
      </c>
      <c r="C12817" t="n" s="0">
        <v>110133.88127999999</v>
      </c>
    </row>
    <row r="12818">
      <c r="A12818" t="n" s="0">
        <v>28.17</v>
      </c>
      <c r="B12818" t="n" s="0">
        <f>(-5-((((-5*(-5/((-5/(((-5*(28.17--5))-(-5+((-5*28.17)*(((-5--5)+(28.17--5))+28.17))))-(-5+-5)))*-5)))/-5)--5)+(-5*(((28.17*(28.17-(-5/-5)))*(28.17-(28.17/(-5*28.17))))-(-5/-5)))))</f>
        <v>110251.774765</v>
      </c>
      <c r="C12818" t="n" s="0">
        <v>110251.77476500001</v>
      </c>
    </row>
    <row r="12819">
      <c r="A12819" t="n" s="0">
        <v>28.18</v>
      </c>
      <c r="B12819" t="n" s="0">
        <f>(-5-((((-5*(-5/((-5/(((-5*(28.18--5))-(-5+((-5*28.18)*(((-5--5)+(28.18--5))+28.18))))-(-5+-5)))*-5)))/-5)--5)+(-5*(((28.18*(28.18-(-5/-5)))*(28.18-(28.18/(-5*28.18))))-(-5/-5)))))</f>
        <v>110369.75236</v>
      </c>
      <c r="C12819" t="n" s="0">
        <v>110369.75236</v>
      </c>
    </row>
    <row r="12820">
      <c r="A12820" t="n" s="0">
        <v>28.19</v>
      </c>
      <c r="B12820" t="n" s="0">
        <f>(-5-((((-5*(-5/((-5/(((-5*(28.19--5))-(-5+((-5*28.19)*(((-5--5)+(28.19--5))+28.19))))-(-5+-5)))*-5)))/-5)--5)+(-5*(((28.19*(28.19-(-5/-5)))*(28.19-(28.19/(-5*28.19))))-(-5/-5)))))</f>
        <v>110487.81409500001</v>
      </c>
      <c r="C12820" t="n" s="0">
        <v>110487.81409500002</v>
      </c>
    </row>
    <row r="12821">
      <c r="A12821" t="n" s="0">
        <v>28.2</v>
      </c>
      <c r="B12821" t="n" s="0">
        <f>(-5-((((-5*(-5/((-5/(((-5*(28.2--5))-(-5+((-5*28.2)*(((-5--5)+(28.2--5))+28.2))))-(-5+-5)))*-5)))/-5)--5)+(-5*(((28.2*(28.2-(-5/-5)))*(28.2-(28.2/(-5*28.2))))-(-5/-5)))))</f>
        <v>110605.95999999999</v>
      </c>
      <c r="C12821" t="n" s="0">
        <v>110605.96</v>
      </c>
    </row>
    <row r="12822">
      <c r="A12822" t="n" s="0">
        <v>28.21</v>
      </c>
      <c r="B12822" t="n" s="0">
        <f>(-5-((((-5*(-5/((-5/(((-5*(28.21--5))-(-5+((-5*28.21)*(((-5--5)+(28.21--5))+28.21))))-(-5+-5)))*-5)))/-5)--5)+(-5*(((28.21*(28.21-(-5/-5)))*(28.21-(28.21/(-5*28.21))))-(-5/-5)))))</f>
        <v>110724.190105</v>
      </c>
      <c r="C12822" t="n" s="0">
        <v>110724.19010500002</v>
      </c>
    </row>
    <row r="12823">
      <c r="A12823" t="n" s="0">
        <v>28.22</v>
      </c>
      <c r="B12823" t="n" s="0">
        <f>(-5-((((-5*(-5/((-5/(((-5*(28.22--5))-(-5+((-5*28.22)*(((-5--5)+(28.22--5))+28.22))))-(-5+-5)))*-5)))/-5)--5)+(-5*(((28.22*(28.22-(-5/-5)))*(28.22-(28.22/(-5*28.22))))-(-5/-5)))))</f>
        <v>110842.50444</v>
      </c>
      <c r="C12823" t="n" s="0">
        <v>110842.50443999999</v>
      </c>
    </row>
    <row r="12824">
      <c r="A12824" t="n" s="0">
        <v>28.23</v>
      </c>
      <c r="B12824" t="n" s="0">
        <f>(-5-((((-5*(-5/((-5/(((-5*(28.23--5))-(-5+((-5*28.23)*(((-5--5)+(28.23--5))+28.23))))-(-5+-5)))*-5)))/-5)--5)+(-5*(((28.23*(28.23-(-5/-5)))*(28.23-(28.23/(-5*28.23))))-(-5/-5)))))</f>
        <v>110960.903035</v>
      </c>
      <c r="C12824" t="n" s="0">
        <v>110960.90303500001</v>
      </c>
    </row>
    <row r="12825">
      <c r="A12825" t="n" s="0">
        <v>28.24</v>
      </c>
      <c r="B12825" t="n" s="0">
        <f>(-5-((((-5*(-5/((-5/(((-5*(28.24--5))-(-5+((-5*28.24)*(((-5--5)+(28.24--5))+28.24))))-(-5+-5)))*-5)))/-5)--5)+(-5*(((28.24*(28.24-(-5/-5)))*(28.24-(28.24/(-5*28.24))))-(-5/-5)))))</f>
        <v>111079.38592</v>
      </c>
      <c r="C12825" t="n" s="0">
        <v>111079.38591999999</v>
      </c>
    </row>
    <row r="12826">
      <c r="A12826" t="n" s="0">
        <v>28.25</v>
      </c>
      <c r="B12826" t="n" s="0">
        <f>(-5-((((-5*(-5/((-5/(((-5*(28.25--5))-(-5+((-5*28.25)*(((-5--5)+(28.25--5))+28.25))))-(-5+-5)))*-5)))/-5)--5)+(-5*(((28.25*(28.25-(-5/-5)))*(28.25-(28.25/(-5*28.25))))-(-5/-5)))))</f>
        <v>111197.953125</v>
      </c>
      <c r="C12826" t="n" s="0">
        <v>111197.953125</v>
      </c>
    </row>
    <row r="12827">
      <c r="A12827" t="n" s="0">
        <v>28.26</v>
      </c>
      <c r="B12827" t="n" s="0">
        <f>(-5-((((-5*(-5/((-5/(((-5*(28.26--5))-(-5+((-5*28.26)*(((-5--5)+(28.26--5))+28.26))))-(-5+-5)))*-5)))/-5)--5)+(-5*(((28.26*(28.26-(-5/-5)))*(28.26-(28.26/(-5*28.26))))-(-5/-5)))))</f>
        <v>111316.60467999999</v>
      </c>
      <c r="C12827" t="n" s="0">
        <v>111316.60468000002</v>
      </c>
    </row>
    <row r="12828">
      <c r="A12828" t="n" s="0">
        <v>28.27</v>
      </c>
      <c r="B12828" t="n" s="0">
        <f>(-5-((((-5*(-5/((-5/(((-5*(28.27--5))-(-5+((-5*28.27)*(((-5--5)+(28.27--5))+28.27))))-(-5+-5)))*-5)))/-5)--5)+(-5*(((28.27*(28.27-(-5/-5)))*(28.27-(28.27/(-5*28.27))))-(-5/-5)))))</f>
        <v>111435.34061500001</v>
      </c>
      <c r="C12828" t="n" s="0">
        <v>111435.34061499998</v>
      </c>
    </row>
    <row r="12829">
      <c r="A12829" t="n" s="0">
        <v>28.28</v>
      </c>
      <c r="B12829" t="n" s="0">
        <f>(-5-((((-5*(-5/((-5/(((-5*(28.28--5))-(-5+((-5*28.28)*(((-5--5)+(28.28--5))+28.28))))-(-5+-5)))*-5)))/-5)--5)+(-5*(((28.28*(28.28-(-5/-5)))*(28.28-(28.28/(-5*28.28))))-(-5/-5)))))</f>
        <v>111554.16096</v>
      </c>
      <c r="C12829" t="n" s="0">
        <v>111554.16096000001</v>
      </c>
    </row>
    <row r="12830">
      <c r="A12830" t="n" s="0">
        <v>28.29</v>
      </c>
      <c r="B12830" t="n" s="0">
        <f>(-5-((((-5*(-5/((-5/(((-5*(28.29--5))-(-5+((-5*28.29)*(((-5--5)+(28.29--5))+28.29))))-(-5+-5)))*-5)))/-5)--5)+(-5*(((28.29*(28.29-(-5/-5)))*(28.29-(28.29/(-5*28.29))))-(-5/-5)))))</f>
        <v>111673.065745</v>
      </c>
      <c r="C12830" t="n" s="0">
        <v>111673.065745</v>
      </c>
    </row>
    <row r="12831">
      <c r="A12831" t="n" s="0">
        <v>28.3</v>
      </c>
      <c r="B12831" t="n" s="0">
        <f>(-5-((((-5*(-5/((-5/(((-5*(28.3--5))-(-5+((-5*28.3)*(((-5--5)+(28.3--5))+28.3))))-(-5+-5)))*-5)))/-5)--5)+(-5*(((28.3*(28.3-(-5/-5)))*(28.3-(28.3/(-5*28.3))))-(-5/-5)))))</f>
        <v>111792.055</v>
      </c>
      <c r="C12831" t="n" s="0">
        <v>111792.05500000001</v>
      </c>
    </row>
    <row r="12832">
      <c r="A12832" t="n" s="0">
        <v>28.31</v>
      </c>
      <c r="B12832" t="n" s="0">
        <f>(-5-((((-5*(-5/((-5/(((-5*(28.31--5))-(-5+((-5*28.31)*(((-5--5)+(28.31--5))+28.31))))-(-5+-5)))*-5)))/-5)--5)+(-5*(((28.31*(28.31-(-5/-5)))*(28.31-(28.31/(-5*28.31))))-(-5/-5)))))</f>
        <v>111911.128755</v>
      </c>
      <c r="C12832" t="n" s="0">
        <v>111911.12875499997</v>
      </c>
    </row>
    <row r="12833">
      <c r="A12833" t="n" s="0">
        <v>28.32</v>
      </c>
      <c r="B12833" t="n" s="0">
        <f>(-5-((((-5*(-5/((-5/(((-5*(28.32--5))-(-5+((-5*28.32)*(((-5--5)+(28.32--5))+28.32))))-(-5+-5)))*-5)))/-5)--5)+(-5*(((28.32*(28.32-(-5/-5)))*(28.32-(28.32/(-5*28.32))))-(-5/-5)))))</f>
        <v>112030.28704</v>
      </c>
      <c r="C12833" t="n" s="0">
        <v>112030.28704000001</v>
      </c>
    </row>
    <row r="12834">
      <c r="A12834" t="n" s="0">
        <v>28.33</v>
      </c>
      <c r="B12834" t="n" s="0">
        <f>(-5-((((-5*(-5/((-5/(((-5*(28.33--5))-(-5+((-5*28.33)*(((-5--5)+(28.33--5))+28.33))))-(-5+-5)))*-5)))/-5)--5)+(-5*(((28.33*(28.33-(-5/-5)))*(28.33-(28.33/(-5*28.33))))-(-5/-5)))))</f>
        <v>112149.529885</v>
      </c>
      <c r="C12834" t="n" s="0">
        <v>112149.52988499998</v>
      </c>
    </row>
    <row r="12835">
      <c r="A12835" t="n" s="0">
        <v>28.34</v>
      </c>
      <c r="B12835" t="n" s="0">
        <f>(-5-((((-5*(-5/((-5/(((-5*(28.34--5))-(-5+((-5*28.34)*(((-5--5)+(28.34--5))+28.34))))-(-5+-5)))*-5)))/-5)--5)+(-5*(((28.34*(28.34-(-5/-5)))*(28.34-(28.34/(-5*28.34))))-(-5/-5)))))</f>
        <v>112268.85732</v>
      </c>
      <c r="C12835" t="n" s="0">
        <v>112268.85732</v>
      </c>
    </row>
    <row r="12836">
      <c r="A12836" t="n" s="0">
        <v>28.35</v>
      </c>
      <c r="B12836" t="n" s="0">
        <f>(-5-((((-5*(-5/((-5/(((-5*(28.35--5))-(-5+((-5*28.35)*(((-5--5)+(28.35--5))+28.35))))-(-5+-5)))*-5)))/-5)--5)+(-5*(((28.35*(28.35-(-5/-5)))*(28.35-(28.35/(-5*28.35))))-(-5/-5)))))</f>
        <v>112388.269375</v>
      </c>
      <c r="C12836" t="n" s="0">
        <v>112388.26937500002</v>
      </c>
    </row>
    <row r="12837">
      <c r="A12837" t="n" s="0">
        <v>28.36</v>
      </c>
      <c r="B12837" t="n" s="0">
        <f>(-5-((((-5*(-5/((-5/(((-5*(28.36--5))-(-5+((-5*28.36)*(((-5--5)+(28.36--5))+28.36))))-(-5+-5)))*-5)))/-5)--5)+(-5*(((28.36*(28.36-(-5/-5)))*(28.36-(28.36/(-5*28.36))))-(-5/-5)))))</f>
        <v>112507.76608</v>
      </c>
      <c r="C12837" t="n" s="0">
        <v>112507.76608</v>
      </c>
    </row>
    <row r="12838">
      <c r="A12838" t="n" s="0">
        <v>28.37</v>
      </c>
      <c r="B12838" t="n" s="0">
        <f>(-5-((((-5*(-5/((-5/(((-5*(28.37--5))-(-5+((-5*28.37)*(((-5--5)+(28.37--5))+28.37))))-(-5+-5)))*-5)))/-5)--5)+(-5*(((28.37*(28.37-(-5/-5)))*(28.37-(28.37/(-5*28.37))))-(-5/-5)))))</f>
        <v>112627.347465</v>
      </c>
      <c r="C12838" t="n" s="0">
        <v>112627.34746500001</v>
      </c>
    </row>
    <row r="12839">
      <c r="A12839" t="n" s="0">
        <v>28.38</v>
      </c>
      <c r="B12839" t="n" s="0">
        <f>(-5-((((-5*(-5/((-5/(((-5*(28.38--5))-(-5+((-5*28.38)*(((-5--5)+(28.38--5))+28.38))))-(-5+-5)))*-5)))/-5)--5)+(-5*(((28.38*(28.38-(-5/-5)))*(28.38-(28.38/(-5*28.38))))-(-5/-5)))))</f>
        <v>112747.01355999999</v>
      </c>
      <c r="C12839" t="n" s="0">
        <v>112747.01355999999</v>
      </c>
    </row>
    <row r="12840">
      <c r="A12840" t="n" s="0">
        <v>28.39</v>
      </c>
      <c r="B12840" t="n" s="0">
        <f>(-5-((((-5*(-5/((-5/(((-5*(28.39--5))-(-5+((-5*28.39)*(((-5--5)+(28.39--5))+28.39))))-(-5+-5)))*-5)))/-5)--5)+(-5*(((28.39*(28.39-(-5/-5)))*(28.39-(28.39/(-5*28.39))))-(-5/-5)))))</f>
        <v>112866.764395</v>
      </c>
      <c r="C12840" t="n" s="0">
        <v>112866.76439499999</v>
      </c>
    </row>
    <row r="12841">
      <c r="A12841" t="n" s="0">
        <v>28.4</v>
      </c>
      <c r="B12841" t="n" s="0">
        <f>(-5-((((-5*(-5/((-5/(((-5*(28.4--5))-(-5+((-5*28.4)*(((-5--5)+(28.4--5))+28.4))))-(-5+-5)))*-5)))/-5)--5)+(-5*(((28.4*(28.4-(-5/-5)))*(28.4-(28.4/(-5*28.4))))-(-5/-5)))))</f>
        <v>112986.6</v>
      </c>
      <c r="C12841" t="n" s="0">
        <v>112986.59999999999</v>
      </c>
    </row>
    <row r="12842">
      <c r="A12842" t="n" s="0">
        <v>28.41</v>
      </c>
      <c r="B12842" t="n" s="0">
        <f>(-5-((((-5*(-5/((-5/(((-5*(28.41--5))-(-5+((-5*28.41)*(((-5--5)+(28.41--5))+28.41))))-(-5+-5)))*-5)))/-5)--5)+(-5*(((28.41*(28.41-(-5/-5)))*(28.41-(28.41/(-5*28.41))))-(-5/-5)))))</f>
        <v>113106.520405</v>
      </c>
      <c r="C12842" t="n" s="0">
        <v>113106.520405</v>
      </c>
    </row>
    <row r="12843">
      <c r="A12843" t="n" s="0">
        <v>28.42</v>
      </c>
      <c r="B12843" t="n" s="0">
        <f>(-5-((((-5*(-5/((-5/(((-5*(28.42--5))-(-5+((-5*28.42)*(((-5--5)+(28.42--5))+28.42))))-(-5+-5)))*-5)))/-5)--5)+(-5*(((28.42*(28.42-(-5/-5)))*(28.42-(28.42/(-5*28.42))))-(-5/-5)))))</f>
        <v>113226.52563999999</v>
      </c>
      <c r="C12843" t="n" s="0">
        <v>113226.52564</v>
      </c>
    </row>
    <row r="12844">
      <c r="A12844" t="n" s="0">
        <v>28.43</v>
      </c>
      <c r="B12844" t="n" s="0">
        <f>(-5-((((-5*(-5/((-5/(((-5*(28.43--5))-(-5+((-5*28.43)*(((-5--5)+(28.43--5))+28.43))))-(-5+-5)))*-5)))/-5)--5)+(-5*(((28.43*(28.43-(-5/-5)))*(28.43-(28.43/(-5*28.43))))-(-5/-5)))))</f>
        <v>113346.615735</v>
      </c>
      <c r="C12844" t="n" s="0">
        <v>113346.61573499997</v>
      </c>
    </row>
    <row r="12845">
      <c r="A12845" t="n" s="0">
        <v>28.44</v>
      </c>
      <c r="B12845" t="n" s="0">
        <f>(-5-((((-5*(-5/((-5/(((-5*(28.44--5))-(-5+((-5*28.44)*(((-5--5)+(28.44--5))+28.44))))-(-5+-5)))*-5)))/-5)--5)+(-5*(((28.44*(28.44-(-5/-5)))*(28.44-(28.44/(-5*28.44))))-(-5/-5)))))</f>
        <v>113466.79072</v>
      </c>
      <c r="C12845" t="n" s="0">
        <v>113466.79072000003</v>
      </c>
    </row>
    <row r="12846">
      <c r="A12846" t="n" s="0">
        <v>28.45</v>
      </c>
      <c r="B12846" t="n" s="0">
        <f>(-5-((((-5*(-5/((-5/(((-5*(28.45--5))-(-5+((-5*28.45)*(((-5--5)+(28.45--5))+28.45))))-(-5+-5)))*-5)))/-5)--5)+(-5*(((28.45*(28.45-(-5/-5)))*(28.45-(28.45/(-5*28.45))))-(-5/-5)))))</f>
        <v>113587.05062499999</v>
      </c>
      <c r="C12846" t="n" s="0">
        <v>113587.050625</v>
      </c>
    </row>
    <row r="12847">
      <c r="A12847" t="n" s="0">
        <v>28.46</v>
      </c>
      <c r="B12847" t="n" s="0">
        <f>(-5-((((-5*(-5/((-5/(((-5*(28.46--5))-(-5+((-5*28.46)*(((-5--5)+(28.46--5))+28.46))))-(-5+-5)))*-5)))/-5)--5)+(-5*(((28.46*(28.46-(-5/-5)))*(28.46-(28.46/(-5*28.46))))-(-5/-5)))))</f>
        <v>113707.39548</v>
      </c>
      <c r="C12847" t="n" s="0">
        <v>113707.39548000002</v>
      </c>
    </row>
    <row r="12848">
      <c r="A12848" t="n" s="0">
        <v>28.47</v>
      </c>
      <c r="B12848" t="n" s="0">
        <f>(-5-((((-5*(-5/((-5/(((-5*(28.47--5))-(-5+((-5*28.47)*(((-5--5)+(28.47--5))+28.47))))-(-5+-5)))*-5)))/-5)--5)+(-5*(((28.47*(28.47-(-5/-5)))*(28.47-(28.47/(-5*28.47))))-(-5/-5)))))</f>
        <v>113827.82531500001</v>
      </c>
      <c r="C12848" t="n" s="0">
        <v>113827.82531499998</v>
      </c>
    </row>
    <row r="12849">
      <c r="A12849" t="n" s="0">
        <v>28.48</v>
      </c>
      <c r="B12849" t="n" s="0">
        <f>(-5-((((-5*(-5/((-5/(((-5*(28.48--5))-(-5+((-5*28.48)*(((-5--5)+(28.48--5))+28.48))))-(-5+-5)))*-5)))/-5)--5)+(-5*(((28.48*(28.48-(-5/-5)))*(28.48-(28.48/(-5*28.48))))-(-5/-5)))))</f>
        <v>113948.34015999999</v>
      </c>
      <c r="C12849" t="n" s="0">
        <v>113948.34016000002</v>
      </c>
    </row>
    <row r="12850">
      <c r="A12850" t="n" s="0">
        <v>28.49</v>
      </c>
      <c r="B12850" t="n" s="0">
        <f>(-5-((((-5*(-5/((-5/(((-5*(28.49--5))-(-5+((-5*28.49)*(((-5--5)+(28.49--5))+28.49))))-(-5+-5)))*-5)))/-5)--5)+(-5*(((28.49*(28.49-(-5/-5)))*(28.49-(28.49/(-5*28.49))))-(-5/-5)))))</f>
        <v>114068.940045</v>
      </c>
      <c r="C12850" t="n" s="0">
        <v>114068.94004499998</v>
      </c>
    </row>
    <row r="12851">
      <c r="A12851" t="n" s="0">
        <v>28.5</v>
      </c>
      <c r="B12851" t="n" s="0">
        <f>(-5-((((-5*(-5/((-5/(((-5*(28.5--5))-(-5+((-5*28.5)*(((-5--5)+(28.5--5))+28.5))))-(-5+-5)))*-5)))/-5)--5)+(-5*(((28.5*(28.5-(-5/-5)))*(28.5-(28.5/(-5*28.5))))-(-5/-5)))))</f>
        <v>114189.625</v>
      </c>
      <c r="C12851" t="n" s="0">
        <v>114189.625</v>
      </c>
    </row>
    <row r="12852">
      <c r="A12852" t="n" s="0">
        <v>28.51</v>
      </c>
      <c r="B12852" t="n" s="0">
        <f>(-5-((((-5*(-5/((-5/(((-5*(28.51--5))-(-5+((-5*28.51)*(((-5--5)+(28.51--5))+28.51))))-(-5+-5)))*-5)))/-5)--5)+(-5*(((28.51*(28.51-(-5/-5)))*(28.51-(28.51/(-5*28.51))))-(-5/-5)))))</f>
        <v>114310.395055</v>
      </c>
      <c r="C12852" t="n" s="0">
        <v>114310.39505500002</v>
      </c>
    </row>
    <row r="12853">
      <c r="A12853" t="n" s="0">
        <v>28.52</v>
      </c>
      <c r="B12853" t="n" s="0">
        <f>(-5-((((-5*(-5/((-5/(((-5*(28.52--5))-(-5+((-5*28.52)*(((-5--5)+(28.52--5))+28.52))))-(-5+-5)))*-5)))/-5)--5)+(-5*(((28.52*(28.52-(-5/-5)))*(28.52-(28.52/(-5*28.52))))-(-5/-5)))))</f>
        <v>114431.25024</v>
      </c>
      <c r="C12853" t="n" s="0">
        <v>114431.25024</v>
      </c>
    </row>
    <row r="12854">
      <c r="A12854" t="n" s="0">
        <v>28.53</v>
      </c>
      <c r="B12854" t="n" s="0">
        <f>(-5-((((-5*(-5/((-5/(((-5*(28.53--5))-(-5+((-5*28.53)*(((-5--5)+(28.53--5))+28.53))))-(-5+-5)))*-5)))/-5)--5)+(-5*(((28.53*(28.53-(-5/-5)))*(28.53-(28.53/(-5*28.53))))-(-5/-5)))))</f>
        <v>114552.190585</v>
      </c>
      <c r="C12854" t="n" s="0">
        <v>114552.190585</v>
      </c>
    </row>
    <row r="12855">
      <c r="A12855" t="n" s="0">
        <v>28.54</v>
      </c>
      <c r="B12855" t="n" s="0">
        <f>(-5-((((-5*(-5/((-5/(((-5*(28.54--5))-(-5+((-5*28.54)*(((-5--5)+(28.54--5))+28.54))))-(-5+-5)))*-5)))/-5)--5)+(-5*(((28.54*(28.54-(-5/-5)))*(28.54-(28.54/(-5*28.54))))-(-5/-5)))))</f>
        <v>114673.21612</v>
      </c>
      <c r="C12855" t="n" s="0">
        <v>114673.21611999998</v>
      </c>
    </row>
    <row r="12856">
      <c r="A12856" t="n" s="0">
        <v>28.55</v>
      </c>
      <c r="B12856" t="n" s="0">
        <f>(-5-((((-5*(-5/((-5/(((-5*(28.55--5))-(-5+((-5*28.55)*(((-5--5)+(28.55--5))+28.55))))-(-5+-5)))*-5)))/-5)--5)+(-5*(((28.55*(28.55-(-5/-5)))*(28.55-(28.55/(-5*28.55))))-(-5/-5)))))</f>
        <v>114794.326875</v>
      </c>
      <c r="C12856" t="n" s="0">
        <v>114794.32687500001</v>
      </c>
    </row>
    <row r="12857">
      <c r="A12857" t="n" s="0">
        <v>28.56</v>
      </c>
      <c r="B12857" t="n" s="0">
        <f>(-5-((((-5*(-5/((-5/(((-5*(28.56--5))-(-5+((-5*28.56)*(((-5--5)+(28.56--5))+28.56))))-(-5+-5)))*-5)))/-5)--5)+(-5*(((28.56*(28.56-(-5/-5)))*(28.56-(28.56/(-5*28.56))))-(-5/-5)))))</f>
        <v>114915.52287999999</v>
      </c>
      <c r="C12857" t="n" s="0">
        <v>114915.52287999997</v>
      </c>
    </row>
    <row r="12858">
      <c r="A12858" t="n" s="0">
        <v>28.57</v>
      </c>
      <c r="B12858" t="n" s="0">
        <f>(-5-((((-5*(-5/((-5/(((-5*(28.57--5))-(-5+((-5*28.57)*(((-5--5)+(28.57--5))+28.57))))-(-5+-5)))*-5)))/-5)--5)+(-5*(((28.57*(28.57-(-5/-5)))*(28.57-(28.57/(-5*28.57))))-(-5/-5)))))</f>
        <v>115036.804165</v>
      </c>
      <c r="C12858" t="n" s="0">
        <v>115036.80416500001</v>
      </c>
    </row>
    <row r="12859">
      <c r="A12859" t="n" s="0">
        <v>28.58</v>
      </c>
      <c r="B12859" t="n" s="0">
        <f>(-5-((((-5*(-5/((-5/(((-5*(28.58--5))-(-5+((-5*28.58)*(((-5--5)+(28.58--5))+28.58))))-(-5+-5)))*-5)))/-5)--5)+(-5*(((28.58*(28.58-(-5/-5)))*(28.58-(28.58/(-5*28.58))))-(-5/-5)))))</f>
        <v>115158.17076</v>
      </c>
      <c r="C12859" t="n" s="0">
        <v>115158.17075999998</v>
      </c>
    </row>
    <row r="12860">
      <c r="A12860" t="n" s="0">
        <v>28.59</v>
      </c>
      <c r="B12860" t="n" s="0">
        <f>(-5-((((-5*(-5/((-5/(((-5*(28.59--5))-(-5+((-5*28.59)*(((-5--5)+(28.59--5))+28.59))))-(-5+-5)))*-5)))/-5)--5)+(-5*(((28.59*(28.59-(-5/-5)))*(28.59-(28.59/(-5*28.59))))-(-5/-5)))))</f>
        <v>115279.622695</v>
      </c>
      <c r="C12860" t="n" s="0">
        <v>115279.622695</v>
      </c>
    </row>
    <row r="12861">
      <c r="A12861" t="n" s="0">
        <v>28.6</v>
      </c>
      <c r="B12861" t="n" s="0">
        <f>(-5-((((-5*(-5/((-5/(((-5*(28.6--5))-(-5+((-5*28.6)*(((-5--5)+(28.6--5))+28.6))))-(-5+-5)))*-5)))/-5)--5)+(-5*(((28.6*(28.6-(-5/-5)))*(28.6-(28.6/(-5*28.6))))-(-5/-5)))))</f>
        <v>115401.16</v>
      </c>
      <c r="C12861" t="n" s="0">
        <v>115401.16000000002</v>
      </c>
    </row>
    <row r="12862">
      <c r="A12862" t="n" s="0">
        <v>28.61</v>
      </c>
      <c r="B12862" t="n" s="0">
        <f>(-5-((((-5*(-5/((-5/(((-5*(28.61--5))-(-5+((-5*28.61)*(((-5--5)+(28.61--5))+28.61))))-(-5+-5)))*-5)))/-5)--5)+(-5*(((28.61*(28.61-(-5/-5)))*(28.61-(28.61/(-5*28.61))))-(-5/-5)))))</f>
        <v>115522.78270499999</v>
      </c>
      <c r="C12862" t="n" s="0">
        <v>115522.782705</v>
      </c>
    </row>
    <row r="12863">
      <c r="A12863" t="n" s="0">
        <v>28.62</v>
      </c>
      <c r="B12863" t="n" s="0">
        <f>(-5-((((-5*(-5/((-5/(((-5*(28.62--5))-(-5+((-5*28.62)*(((-5--5)+(28.62--5))+28.62))))-(-5+-5)))*-5)))/-5)--5)+(-5*(((28.62*(28.62-(-5/-5)))*(28.62-(28.62/(-5*28.62))))-(-5/-5)))))</f>
        <v>115644.49084</v>
      </c>
      <c r="C12863" t="n" s="0">
        <v>115644.49084000001</v>
      </c>
    </row>
    <row r="12864">
      <c r="A12864" t="n" s="0">
        <v>28.63</v>
      </c>
      <c r="B12864" t="n" s="0">
        <f>(-5-((((-5*(-5/((-5/(((-5*(28.63--5))-(-5+((-5*28.63)*(((-5--5)+(28.63--5))+28.63))))-(-5+-5)))*-5)))/-5)--5)+(-5*(((28.63*(28.63-(-5/-5)))*(28.63-(28.63/(-5*28.63))))-(-5/-5)))))</f>
        <v>115766.284435</v>
      </c>
      <c r="C12864" t="n" s="0">
        <v>115766.284435</v>
      </c>
    </row>
    <row r="12865">
      <c r="A12865" t="n" s="0">
        <v>28.64</v>
      </c>
      <c r="B12865" t="n" s="0">
        <f>(-5-((((-5*(-5/((-5/(((-5*(28.64--5))-(-5+((-5*28.64)*(((-5--5)+(28.64--5))+28.64))))-(-5+-5)))*-5)))/-5)--5)+(-5*(((28.64*(28.64-(-5/-5)))*(28.64-(28.64/(-5*28.64))))-(-5/-5)))))</f>
        <v>115888.16352</v>
      </c>
      <c r="C12865" t="n" s="0">
        <v>115888.16352</v>
      </c>
    </row>
    <row r="12866">
      <c r="A12866" t="n" s="0">
        <v>28.65</v>
      </c>
      <c r="B12866" t="n" s="0">
        <f>(-5-((((-5*(-5/((-5/(((-5*(28.65--5))-(-5+((-5*28.65)*(((-5--5)+(28.65--5))+28.65))))-(-5+-5)))*-5)))/-5)--5)+(-5*(((28.65*(28.65-(-5/-5)))*(28.65-(28.65/(-5*28.65))))-(-5/-5)))))</f>
        <v>116010.12812499999</v>
      </c>
      <c r="C12866" t="n" s="0">
        <v>116010.12812499997</v>
      </c>
    </row>
    <row r="12867">
      <c r="A12867" t="n" s="0">
        <v>28.66</v>
      </c>
      <c r="B12867" t="n" s="0">
        <f>(-5-((((-5*(-5/((-5/(((-5*(28.66--5))-(-5+((-5*28.66)*(((-5--5)+(28.66--5))+28.66))))-(-5+-5)))*-5)))/-5)--5)+(-5*(((28.66*(28.66-(-5/-5)))*(28.66-(28.66/(-5*28.66))))-(-5/-5)))))</f>
        <v>116132.17828000001</v>
      </c>
      <c r="C12867" t="n" s="0">
        <v>116132.17828</v>
      </c>
    </row>
    <row r="12868">
      <c r="A12868" t="n" s="0">
        <v>28.67</v>
      </c>
      <c r="B12868" t="n" s="0">
        <f>(-5-((((-5*(-5/((-5/(((-5*(28.67--5))-(-5+((-5*28.67)*(((-5--5)+(28.67--5))+28.67))))-(-5+-5)))*-5)))/-5)--5)+(-5*(((28.67*(28.67-(-5/-5)))*(28.67-(28.67/(-5*28.67))))-(-5/-5)))))</f>
        <v>116254.31401500001</v>
      </c>
      <c r="C12868" t="n" s="0">
        <v>116254.31401500001</v>
      </c>
    </row>
    <row r="12869">
      <c r="A12869" t="n" s="0">
        <v>28.68</v>
      </c>
      <c r="B12869" t="n" s="0">
        <f>(-5-((((-5*(-5/((-5/(((-5*(28.68--5))-(-5+((-5*28.68)*(((-5--5)+(28.68--5))+28.68))))-(-5+-5)))*-5)))/-5)--5)+(-5*(((28.68*(28.68-(-5/-5)))*(28.68-(28.68/(-5*28.68))))-(-5/-5)))))</f>
        <v>116376.53536</v>
      </c>
      <c r="C12869" t="n" s="0">
        <v>116376.53536</v>
      </c>
    </row>
    <row r="12870">
      <c r="A12870" t="n" s="0">
        <v>28.69</v>
      </c>
      <c r="B12870" t="n" s="0">
        <f>(-5-((((-5*(-5/((-5/(((-5*(28.69--5))-(-5+((-5*28.69)*(((-5--5)+(28.69--5))+28.69))))-(-5+-5)))*-5)))/-5)--5)+(-5*(((28.69*(28.69-(-5/-5)))*(28.69-(28.69/(-5*28.69))))-(-5/-5)))))</f>
        <v>116498.842345</v>
      </c>
      <c r="C12870" t="n" s="0">
        <v>116498.84234500003</v>
      </c>
    </row>
    <row r="12871">
      <c r="A12871" t="n" s="0">
        <v>28.7</v>
      </c>
      <c r="B12871" t="n" s="0">
        <f>(-5-((((-5*(-5/((-5/(((-5*(28.7--5))-(-5+((-5*28.7)*(((-5--5)+(28.7--5))+28.7))))-(-5+-5)))*-5)))/-5)--5)+(-5*(((28.7*(28.7-(-5/-5)))*(28.7-(28.7/(-5*28.7))))-(-5/-5)))))</f>
        <v>116621.23499999999</v>
      </c>
      <c r="C12871" t="n" s="0">
        <v>116621.23499999999</v>
      </c>
    </row>
    <row r="12872">
      <c r="A12872" t="n" s="0">
        <v>28.71</v>
      </c>
      <c r="B12872" t="n" s="0">
        <f>(-5-((((-5*(-5/((-5/(((-5*(28.71--5))-(-5+((-5*28.71)*(((-5--5)+(28.71--5))+28.71))))-(-5+-5)))*-5)))/-5)--5)+(-5*(((28.71*(28.71-(-5/-5)))*(28.71-(28.71/(-5*28.71))))-(-5/-5)))))</f>
        <v>116743.713355</v>
      </c>
      <c r="C12872" t="n" s="0">
        <v>116743.71335500001</v>
      </c>
    </row>
    <row r="12873">
      <c r="A12873" t="n" s="0">
        <v>28.72</v>
      </c>
      <c r="B12873" t="n" s="0">
        <f>(-5-((((-5*(-5/((-5/(((-5*(28.72--5))-(-5+((-5*28.72)*(((-5--5)+(28.72--5))+28.72))))-(-5+-5)))*-5)))/-5)--5)+(-5*(((28.72*(28.72-(-5/-5)))*(28.72-(28.72/(-5*28.72))))-(-5/-5)))))</f>
        <v>116866.27744</v>
      </c>
      <c r="C12873" t="n" s="0">
        <v>116866.27743999999</v>
      </c>
    </row>
    <row r="12874">
      <c r="A12874" t="n" s="0">
        <v>28.73</v>
      </c>
      <c r="B12874" t="n" s="0">
        <f>(-5-((((-5*(-5/((-5/(((-5*(28.73--5))-(-5+((-5*28.73)*(((-5--5)+(28.73--5))+28.73))))-(-5+-5)))*-5)))/-5)--5)+(-5*(((28.73*(28.73-(-5/-5)))*(28.73-(28.73/(-5*28.73))))-(-5/-5)))))</f>
        <v>116988.927285</v>
      </c>
      <c r="C12874" t="n" s="0">
        <v>116988.92728500001</v>
      </c>
    </row>
    <row r="12875">
      <c r="A12875" t="n" s="0">
        <v>28.74</v>
      </c>
      <c r="B12875" t="n" s="0">
        <f>(-5-((((-5*(-5/((-5/(((-5*(28.74--5))-(-5+((-5*28.74)*(((-5--5)+(28.74--5))+28.74))))-(-5+-5)))*-5)))/-5)--5)+(-5*(((28.74*(28.74-(-5/-5)))*(28.74-(28.74/(-5*28.74))))-(-5/-5)))))</f>
        <v>117111.66292</v>
      </c>
      <c r="C12875" t="n" s="0">
        <v>117111.66291999997</v>
      </c>
    </row>
    <row r="12876">
      <c r="A12876" t="n" s="0">
        <v>28.75</v>
      </c>
      <c r="B12876" t="n" s="0">
        <f>(-5-((((-5*(-5/((-5/(((-5*(28.75--5))-(-5+((-5*28.75)*(((-5--5)+(28.75--5))+28.75))))-(-5+-5)))*-5)))/-5)--5)+(-5*(((28.75*(28.75-(-5/-5)))*(28.75-(28.75/(-5*28.75))))-(-5/-5)))))</f>
        <v>117234.484375</v>
      </c>
      <c r="C12876" t="n" s="0">
        <v>117234.484375</v>
      </c>
    </row>
    <row r="12877">
      <c r="A12877" t="n" s="0">
        <v>28.76</v>
      </c>
      <c r="B12877" t="n" s="0">
        <f>(-5-((((-5*(-5/((-5/(((-5*(28.76--5))-(-5+((-5*28.76)*(((-5--5)+(28.76--5))+28.76))))-(-5+-5)))*-5)))/-5)--5)+(-5*(((28.76*(28.76-(-5/-5)))*(28.76-(28.76/(-5*28.76))))-(-5/-5)))))</f>
        <v>117357.39168</v>
      </c>
      <c r="C12877" t="n" s="0">
        <v>117357.39168</v>
      </c>
    </row>
    <row r="12878">
      <c r="A12878" t="n" s="0">
        <v>28.77</v>
      </c>
      <c r="B12878" t="n" s="0">
        <f>(-5-((((-5*(-5/((-5/(((-5*(28.77--5))-(-5+((-5*28.77)*(((-5--5)+(28.77--5))+28.77))))-(-5+-5)))*-5)))/-5)--5)+(-5*(((28.77*(28.77-(-5/-5)))*(28.77-(28.77/(-5*28.77))))-(-5/-5)))))</f>
        <v>117480.384865</v>
      </c>
      <c r="C12878" t="n" s="0">
        <v>117480.384865</v>
      </c>
    </row>
    <row r="12879">
      <c r="A12879" t="n" s="0">
        <v>28.78</v>
      </c>
      <c r="B12879" t="n" s="0">
        <f>(-5-((((-5*(-5/((-5/(((-5*(28.78--5))-(-5+((-5*28.78)*(((-5--5)+(28.78--5))+28.78))))-(-5+-5)))*-5)))/-5)--5)+(-5*(((28.78*(28.78-(-5/-5)))*(28.78-(28.78/(-5*28.78))))-(-5/-5)))))</f>
        <v>117603.46396000001</v>
      </c>
      <c r="C12879" t="n" s="0">
        <v>117603.46396000002</v>
      </c>
    </row>
    <row r="12880">
      <c r="A12880" t="n" s="0">
        <v>28.79</v>
      </c>
      <c r="B12880" t="n" s="0">
        <f>(-5-((((-5*(-5/((-5/(((-5*(28.79--5))-(-5+((-5*28.79)*(((-5--5)+(28.79--5))+28.79))))-(-5+-5)))*-5)))/-5)--5)+(-5*(((28.79*(28.79-(-5/-5)))*(28.79-(28.79/(-5*28.79))))-(-5/-5)))))</f>
        <v>117726.628995</v>
      </c>
      <c r="C12880" t="n" s="0">
        <v>117726.62899499999</v>
      </c>
    </row>
    <row r="12881">
      <c r="A12881" t="n" s="0">
        <v>28.8</v>
      </c>
      <c r="B12881" t="n" s="0">
        <f>(-5-((((-5*(-5/((-5/(((-5*(28.8--5))-(-5+((-5*28.8)*(((-5--5)+(28.8--5))+28.8))))-(-5+-5)))*-5)))/-5)--5)+(-5*(((28.8*(28.8-(-5/-5)))*(28.8-(28.8/(-5*28.8))))-(-5/-5)))))</f>
        <v>117849.88</v>
      </c>
      <c r="C12881" t="n" s="0">
        <v>117849.88</v>
      </c>
    </row>
    <row r="12882">
      <c r="A12882" t="n" s="0">
        <v>28.81</v>
      </c>
      <c r="B12882" t="n" s="0">
        <f>(-5-((((-5*(-5/((-5/(((-5*(28.81--5))-(-5+((-5*28.81)*(((-5--5)+(28.81--5))+28.81))))-(-5+-5)))*-5)))/-5)--5)+(-5*(((28.81*(28.81-(-5/-5)))*(28.81-(28.81/(-5*28.81))))-(-5/-5)))))</f>
        <v>117973.21700500001</v>
      </c>
      <c r="C12882" t="n" s="0">
        <v>117973.21700499997</v>
      </c>
    </row>
    <row r="12883">
      <c r="A12883" t="n" s="0">
        <v>28.82</v>
      </c>
      <c r="B12883" t="n" s="0">
        <f>(-5-((((-5*(-5/((-5/(((-5*(28.82--5))-(-5+((-5*28.82)*(((-5--5)+(28.82--5))+28.82))))-(-5+-5)))*-5)))/-5)--5)+(-5*(((28.82*(28.82-(-5/-5)))*(28.82-(28.82/(-5*28.82))))-(-5/-5)))))</f>
        <v>118096.64004</v>
      </c>
      <c r="C12883" t="n" s="0">
        <v>118096.64004</v>
      </c>
    </row>
    <row r="12884">
      <c r="A12884" t="n" s="0">
        <v>28.83</v>
      </c>
      <c r="B12884" t="n" s="0">
        <f>(-5-((((-5*(-5/((-5/(((-5*(28.83--5))-(-5+((-5*28.83)*(((-5--5)+(28.83--5))+28.83))))-(-5+-5)))*-5)))/-5)--5)+(-5*(((28.83*(28.83-(-5/-5)))*(28.83-(28.83/(-5*28.83))))-(-5/-5)))))</f>
        <v>118220.149135</v>
      </c>
      <c r="C12884" t="n" s="0">
        <v>118220.14913499999</v>
      </c>
    </row>
    <row r="12885">
      <c r="A12885" t="n" s="0">
        <v>28.84</v>
      </c>
      <c r="B12885" t="n" s="0">
        <f>(-5-((((-5*(-5/((-5/(((-5*(28.84--5))-(-5+((-5*28.84)*(((-5--5)+(28.84--5))+28.84))))-(-5+-5)))*-5)))/-5)--5)+(-5*(((28.84*(28.84-(-5/-5)))*(28.84-(28.84/(-5*28.84))))-(-5/-5)))))</f>
        <v>118343.74432</v>
      </c>
      <c r="C12885" t="n" s="0">
        <v>118343.74432</v>
      </c>
    </row>
    <row r="12886">
      <c r="A12886" t="n" s="0">
        <v>28.85</v>
      </c>
      <c r="B12886" t="n" s="0">
        <f>(-5-((((-5*(-5/((-5/(((-5*(28.85--5))-(-5+((-5*28.85)*(((-5--5)+(28.85--5))+28.85))))-(-5+-5)))*-5)))/-5)--5)+(-5*(((28.85*(28.85-(-5/-5)))*(28.85-(28.85/(-5*28.85))))-(-5/-5)))))</f>
        <v>118467.425625</v>
      </c>
      <c r="C12886" t="n" s="0">
        <v>118467.42562500002</v>
      </c>
    </row>
    <row r="12887">
      <c r="A12887" t="n" s="0">
        <v>28.86</v>
      </c>
      <c r="B12887" t="n" s="0">
        <f>(-5-((((-5*(-5/((-5/(((-5*(28.86--5))-(-5+((-5*28.86)*(((-5--5)+(28.86--5))+28.86))))-(-5+-5)))*-5)))/-5)--5)+(-5*(((28.86*(28.86-(-5/-5)))*(28.86-(28.86/(-5*28.86))))-(-5/-5)))))</f>
        <v>118591.19308</v>
      </c>
      <c r="C12887" t="n" s="0">
        <v>118591.19308</v>
      </c>
    </row>
    <row r="12888">
      <c r="A12888" t="n" s="0">
        <v>28.87</v>
      </c>
      <c r="B12888" t="n" s="0">
        <f>(-5-((((-5*(-5/((-5/(((-5*(28.87--5))-(-5+((-5*28.87)*(((-5--5)+(28.87--5))+28.87))))-(-5+-5)))*-5)))/-5)--5)+(-5*(((28.87*(28.87-(-5/-5)))*(28.87-(28.87/(-5*28.87))))-(-5/-5)))))</f>
        <v>118715.046715</v>
      </c>
      <c r="C12888" t="n" s="0">
        <v>118715.046715</v>
      </c>
    </row>
    <row r="12889">
      <c r="A12889" t="n" s="0">
        <v>28.88</v>
      </c>
      <c r="B12889" t="n" s="0">
        <f>(-5-((((-5*(-5/((-5/(((-5*(28.88--5))-(-5+((-5*28.88)*(((-5--5)+(28.88--5))+28.88))))-(-5+-5)))*-5)))/-5)--5)+(-5*(((28.88*(28.88-(-5/-5)))*(28.88-(28.88/(-5*28.88))))-(-5/-5)))))</f>
        <v>118838.98656</v>
      </c>
      <c r="C12889" t="n" s="0">
        <v>118838.98655999999</v>
      </c>
    </row>
    <row r="12890">
      <c r="A12890" t="n" s="0">
        <v>28.89</v>
      </c>
      <c r="B12890" t="n" s="0">
        <f>(-5-((((-5*(-5/((-5/(((-5*(28.89--5))-(-5+((-5*28.89)*(((-5--5)+(28.89--5))+28.89))))-(-5+-5)))*-5)))/-5)--5)+(-5*(((28.89*(28.89-(-5/-5)))*(28.89-(28.89/(-5*28.89))))-(-5/-5)))))</f>
        <v>118963.01264500001</v>
      </c>
      <c r="C12890" t="n" s="0">
        <v>118963.012645</v>
      </c>
    </row>
    <row r="12891">
      <c r="A12891" t="n" s="0">
        <v>28.9</v>
      </c>
      <c r="B12891" t="n" s="0">
        <f>(-5-((((-5*(-5/((-5/(((-5*(28.9--5))-(-5+((-5*28.9)*(((-5--5)+(28.9--5))+28.9))))-(-5+-5)))*-5)))/-5)--5)+(-5*(((28.9*(28.9-(-5/-5)))*(28.9-(28.9/(-5*28.9))))-(-5/-5)))))</f>
        <v>119087.125</v>
      </c>
      <c r="C12891" t="n" s="0">
        <v>119087.12499999997</v>
      </c>
    </row>
    <row r="12892">
      <c r="A12892" t="n" s="0">
        <v>28.91</v>
      </c>
      <c r="B12892" t="n" s="0">
        <f>(-5-((((-5*(-5/((-5/(((-5*(28.91--5))-(-5+((-5*28.91)*(((-5--5)+(28.91--5))+28.91))))-(-5+-5)))*-5)))/-5)--5)+(-5*(((28.91*(28.91-(-5/-5)))*(28.91-(28.91/(-5*28.91))))-(-5/-5)))))</f>
        <v>119211.323655</v>
      </c>
      <c r="C12892" t="n" s="0">
        <v>119211.323655</v>
      </c>
    </row>
    <row r="12893">
      <c r="A12893" t="n" s="0">
        <v>28.92</v>
      </c>
      <c r="B12893" t="n" s="0">
        <f>(-5-((((-5*(-5/((-5/(((-5*(28.92--5))-(-5+((-5*28.92)*(((-5--5)+(28.92--5))+28.92))))-(-5+-5)))*-5)))/-5)--5)+(-5*(((28.92*(28.92-(-5/-5)))*(28.92-(28.92/(-5*28.92))))-(-5/-5)))))</f>
        <v>119335.60864</v>
      </c>
      <c r="C12893" t="n" s="0">
        <v>119335.60864</v>
      </c>
    </row>
    <row r="12894">
      <c r="A12894" t="n" s="0">
        <v>28.93</v>
      </c>
      <c r="B12894" t="n" s="0">
        <f>(-5-((((-5*(-5/((-5/(((-5*(28.93--5))-(-5+((-5*28.93)*(((-5--5)+(28.93--5))+28.93))))-(-5+-5)))*-5)))/-5)--5)+(-5*(((28.93*(28.93-(-5/-5)))*(28.93-(28.93/(-5*28.93))))-(-5/-5)))))</f>
        <v>119459.97998500001</v>
      </c>
      <c r="C12894" t="n" s="0">
        <v>119459.97998499998</v>
      </c>
    </row>
    <row r="12895">
      <c r="A12895" t="n" s="0">
        <v>28.94</v>
      </c>
      <c r="B12895" t="n" s="0">
        <f>(-5-((((-5*(-5/((-5/(((-5*(28.94--5))-(-5+((-5*28.94)*(((-5--5)+(28.94--5))+28.94))))-(-5+-5)))*-5)))/-5)--5)+(-5*(((28.94*(28.94-(-5/-5)))*(28.94-(28.94/(-5*28.94))))-(-5/-5)))))</f>
        <v>119584.43772</v>
      </c>
      <c r="C12895" t="n" s="0">
        <v>119584.43772000002</v>
      </c>
    </row>
    <row r="12896">
      <c r="A12896" t="n" s="0">
        <v>28.95</v>
      </c>
      <c r="B12896" t="n" s="0">
        <f>(-5-((((-5*(-5/((-5/(((-5*(28.95--5))-(-5+((-5*28.95)*(((-5--5)+(28.95--5))+28.95))))-(-5+-5)))*-5)))/-5)--5)+(-5*(((28.95*(28.95-(-5/-5)))*(28.95-(28.95/(-5*28.95))))-(-5/-5)))))</f>
        <v>119708.981875</v>
      </c>
      <c r="C12896" t="n" s="0">
        <v>119708.981875</v>
      </c>
    </row>
    <row r="12897">
      <c r="A12897" t="n" s="0">
        <v>28.96</v>
      </c>
      <c r="B12897" t="n" s="0">
        <f>(-5-((((-5*(-5/((-5/(((-5*(28.96--5))-(-5+((-5*28.96)*(((-5--5)+(28.96--5))+28.96))))-(-5+-5)))*-5)))/-5)--5)+(-5*(((28.96*(28.96-(-5/-5)))*(28.96-(28.96/(-5*28.96))))-(-5/-5)))))</f>
        <v>119833.61248000001</v>
      </c>
      <c r="C12897" t="n" s="0">
        <v>119833.61248000001</v>
      </c>
    </row>
    <row r="12898">
      <c r="A12898" t="n" s="0">
        <v>28.97</v>
      </c>
      <c r="B12898" t="n" s="0">
        <f>(-5-((((-5*(-5/((-5/(((-5*(28.97--5))-(-5+((-5*28.97)*(((-5--5)+(28.97--5))+28.97))))-(-5+-5)))*-5)))/-5)--5)+(-5*(((28.97*(28.97-(-5/-5)))*(28.97-(28.97/(-5*28.97))))-(-5/-5)))))</f>
        <v>119958.32956500001</v>
      </c>
      <c r="C12898" t="n" s="0">
        <v>119958.32956499998</v>
      </c>
    </row>
    <row r="12899">
      <c r="A12899" t="n" s="0">
        <v>28.98</v>
      </c>
      <c r="B12899" t="n" s="0">
        <f>(-5-((((-5*(-5/((-5/(((-5*(28.98--5))-(-5+((-5*28.98)*(((-5--5)+(28.98--5))+28.98))))-(-5+-5)))*-5)))/-5)--5)+(-5*(((28.98*(28.98-(-5/-5)))*(28.98-(28.98/(-5*28.98))))-(-5/-5)))))</f>
        <v>120083.13316</v>
      </c>
      <c r="C12899" t="n" s="0">
        <v>120083.13316</v>
      </c>
    </row>
    <row r="12900">
      <c r="A12900" t="n" s="0">
        <v>28.99</v>
      </c>
      <c r="B12900" t="n" s="0">
        <f>(-5-((((-5*(-5/((-5/(((-5*(28.99--5))-(-5+((-5*28.99)*(((-5--5)+(28.99--5))+28.99))))-(-5+-5)))*-5)))/-5)--5)+(-5*(((28.99*(28.99-(-5/-5)))*(28.99-(28.99/(-5*28.99))))-(-5/-5)))))</f>
        <v>120208.02329499999</v>
      </c>
      <c r="C12900" t="n" s="0">
        <v>120208.02329499996</v>
      </c>
    </row>
    <row r="12901">
      <c r="A12901" t="n" s="0">
        <v>29.0</v>
      </c>
      <c r="B12901" t="n" s="0">
        <f>(-5-((((-5*(-5/((-5/(((-5*(29--5))-(-5+((-5*29)*(((-5--5)+(29--5))+29))))-(-5+-5)))*-5)))/-5)--5)+(-5*(((29*(29-(-5/-5)))*(29-(29/(-5*29))))-(-5/-5)))))</f>
        <v>120333.0</v>
      </c>
      <c r="C12901" t="n" s="0">
        <v>120333.0</v>
      </c>
    </row>
    <row r="12902">
      <c r="A12902" t="n" s="0">
        <v>29.01</v>
      </c>
      <c r="B12902" t="n" s="0">
        <f>(-5-((((-5*(-5/((-5/(((-5*(29.01--5))-(-5+((-5*29.01)*(((-5--5)+(29.01--5))+29.01))))-(-5+-5)))*-5)))/-5)--5)+(-5*(((29.01*(29.01-(-5/-5)))*(29.01-(29.01/(-5*29.01))))-(-5/-5)))))</f>
        <v>120458.063305</v>
      </c>
      <c r="C12902" t="n" s="0">
        <v>120458.06330500003</v>
      </c>
    </row>
    <row r="12903">
      <c r="A12903" t="n" s="0">
        <v>29.02</v>
      </c>
      <c r="B12903" t="n" s="0">
        <f>(-5-((((-5*(-5/((-5/(((-5*(29.02--5))-(-5+((-5*29.02)*(((-5--5)+(29.02--5))+29.02))))-(-5+-5)))*-5)))/-5)--5)+(-5*(((29.02*(29.02-(-5/-5)))*(29.02-(29.02/(-5*29.02))))-(-5/-5)))))</f>
        <v>120583.21324</v>
      </c>
      <c r="C12903" t="n" s="0">
        <v>120583.21324</v>
      </c>
    </row>
    <row r="12904">
      <c r="A12904" t="n" s="0">
        <v>29.03</v>
      </c>
      <c r="B12904" t="n" s="0">
        <f>(-5-((((-5*(-5/((-5/(((-5*(29.03--5))-(-5+((-5*29.03)*(((-5--5)+(29.03--5))+29.03))))-(-5+-5)))*-5)))/-5)--5)+(-5*(((29.03*(29.03-(-5/-5)))*(29.03-(29.03/(-5*29.03))))-(-5/-5)))))</f>
        <v>120708.449835</v>
      </c>
      <c r="C12904" t="n" s="0">
        <v>120708.449835</v>
      </c>
    </row>
    <row r="12905">
      <c r="A12905" t="n" s="0">
        <v>29.04</v>
      </c>
      <c r="B12905" t="n" s="0">
        <f>(-5-((((-5*(-5/((-5/(((-5*(29.04--5))-(-5+((-5*29.04)*(((-5--5)+(29.04--5))+29.04))))-(-5+-5)))*-5)))/-5)--5)+(-5*(((29.04*(29.04-(-5/-5)))*(29.04-(29.04/(-5*29.04))))-(-5/-5)))))</f>
        <v>120833.77312</v>
      </c>
      <c r="C12905" t="n" s="0">
        <v>120833.77311999998</v>
      </c>
    </row>
    <row r="12906">
      <c r="A12906" t="n" s="0">
        <v>29.05</v>
      </c>
      <c r="B12906" t="n" s="0">
        <f>(-5-((((-5*(-5/((-5/(((-5*(29.05--5))-(-5+((-5*29.05)*(((-5--5)+(29.05--5))+29.05))))-(-5+-5)))*-5)))/-5)--5)+(-5*(((29.05*(29.05-(-5/-5)))*(29.05-(29.05/(-5*29.05))))-(-5/-5)))))</f>
        <v>120959.18312500001</v>
      </c>
      <c r="C12906" t="n" s="0">
        <v>120959.18312500001</v>
      </c>
    </row>
    <row r="12907">
      <c r="A12907" t="n" s="0">
        <v>29.06</v>
      </c>
      <c r="B12907" t="n" s="0">
        <f>(-5-((((-5*(-5/((-5/(((-5*(29.06--5))-(-5+((-5*29.06)*(((-5--5)+(29.06--5))+29.06))))-(-5+-5)))*-5)))/-5)--5)+(-5*(((29.06*(29.06-(-5/-5)))*(29.06-(29.06/(-5*29.06))))-(-5/-5)))))</f>
        <v>121084.67988000001</v>
      </c>
      <c r="C12907" t="n" s="0">
        <v>121084.67987999998</v>
      </c>
    </row>
    <row r="12908">
      <c r="A12908" t="n" s="0">
        <v>29.07</v>
      </c>
      <c r="B12908" t="n" s="0">
        <f>(-5-((((-5*(-5/((-5/(((-5*(29.07--5))-(-5+((-5*29.07)*(((-5--5)+(29.07--5))+29.07))))-(-5+-5)))*-5)))/-5)--5)+(-5*(((29.07*(29.07-(-5/-5)))*(29.07-(29.07/(-5*29.07))))-(-5/-5)))))</f>
        <v>121210.263415</v>
      </c>
      <c r="C12908" t="n" s="0">
        <v>121210.26341500001</v>
      </c>
    </row>
    <row r="12909">
      <c r="A12909" t="n" s="0">
        <v>29.08</v>
      </c>
      <c r="B12909" t="n" s="0">
        <f>(-5-((((-5*(-5/((-5/(((-5*(29.08--5))-(-5+((-5*29.08)*(((-5--5)+(29.08--5))+29.08))))-(-5+-5)))*-5)))/-5)--5)+(-5*(((29.08*(29.08-(-5/-5)))*(29.08-(29.08/(-5*29.08))))-(-5/-5)))))</f>
        <v>121335.93376</v>
      </c>
      <c r="C12909" t="n" s="0">
        <v>121335.93376</v>
      </c>
    </row>
    <row r="12910">
      <c r="A12910" t="n" s="0">
        <v>29.09</v>
      </c>
      <c r="B12910" t="n" s="0">
        <f>(-5-((((-5*(-5/((-5/(((-5*(29.09--5))-(-5+((-5*29.09)*(((-5--5)+(29.09--5))+29.09))))-(-5+-5)))*-5)))/-5)--5)+(-5*(((29.09*(29.09-(-5/-5)))*(29.09-(29.09/(-5*29.09))))-(-5/-5)))))</f>
        <v>121461.690945</v>
      </c>
      <c r="C12910" t="n" s="0">
        <v>121461.69094500001</v>
      </c>
    </row>
    <row r="12911">
      <c r="A12911" t="n" s="0">
        <v>29.1</v>
      </c>
      <c r="B12911" t="n" s="0">
        <f>(-5-((((-5*(-5/((-5/(((-5*(29.1--5))-(-5+((-5*29.1)*(((-5--5)+(29.1--5))+29.1))))-(-5+-5)))*-5)))/-5)--5)+(-5*(((29.1*(29.1-(-5/-5)))*(29.1-(29.1/(-5*29.1))))-(-5/-5)))))</f>
        <v>121587.535</v>
      </c>
      <c r="C12911" t="n" s="0">
        <v>121587.53500000002</v>
      </c>
    </row>
    <row r="12912">
      <c r="A12912" t="n" s="0">
        <v>29.11</v>
      </c>
      <c r="B12912" t="n" s="0">
        <f>(-5-((((-5*(-5/((-5/(((-5*(29.11--5))-(-5+((-5*29.11)*(((-5--5)+(29.11--5))+29.11))))-(-5+-5)))*-5)))/-5)--5)+(-5*(((29.11*(29.11-(-5/-5)))*(29.11-(29.11/(-5*29.11))))-(-5/-5)))))</f>
        <v>121713.46595499999</v>
      </c>
      <c r="C12912" t="n" s="0">
        <v>121713.465955</v>
      </c>
    </row>
    <row r="12913">
      <c r="A12913" t="n" s="0">
        <v>29.12</v>
      </c>
      <c r="B12913" t="n" s="0">
        <f>(-5-((((-5*(-5/((-5/(((-5*(29.12--5))-(-5+((-5*29.12)*(((-5--5)+(29.12--5))+29.12))))-(-5+-5)))*-5)))/-5)--5)+(-5*(((29.12*(29.12-(-5/-5)))*(29.12-(29.12/(-5*29.12))))-(-5/-5)))))</f>
        <v>121839.48384</v>
      </c>
      <c r="C12913" t="n" s="0">
        <v>121839.48384000002</v>
      </c>
    </row>
    <row r="12914">
      <c r="A12914" t="n" s="0">
        <v>29.13</v>
      </c>
      <c r="B12914" t="n" s="0">
        <f>(-5-((((-5*(-5/((-5/(((-5*(29.13--5))-(-5+((-5*29.13)*(((-5--5)+(29.13--5))+29.13))))-(-5+-5)))*-5)))/-5)--5)+(-5*(((29.13*(29.13-(-5/-5)))*(29.13-(29.13/(-5*29.13))))-(-5/-5)))))</f>
        <v>121965.588685</v>
      </c>
      <c r="C12914" t="n" s="0">
        <v>121965.58868499998</v>
      </c>
    </row>
    <row r="12915">
      <c r="A12915" t="n" s="0">
        <v>29.14</v>
      </c>
      <c r="B12915" t="n" s="0">
        <f>(-5-((((-5*(-5/((-5/(((-5*(29.14--5))-(-5+((-5*29.14)*(((-5--5)+(29.14--5))+29.14))))-(-5+-5)))*-5)))/-5)--5)+(-5*(((29.14*(29.14-(-5/-5)))*(29.14-(29.14/(-5*29.14))))-(-5/-5)))))</f>
        <v>122091.78052</v>
      </c>
      <c r="C12915" t="n" s="0">
        <v>122091.78052</v>
      </c>
    </row>
    <row r="12916">
      <c r="A12916" t="n" s="0">
        <v>29.15</v>
      </c>
      <c r="B12916" t="n" s="0">
        <f>(-5-((((-5*(-5/((-5/(((-5*(29.15--5))-(-5+((-5*29.15)*(((-5--5)+(29.15--5))+29.15))))-(-5+-5)))*-5)))/-5)--5)+(-5*(((29.15*(29.15-(-5/-5)))*(29.15-(29.15/(-5*29.15))))-(-5/-5)))))</f>
        <v>122218.059375</v>
      </c>
      <c r="C12916" t="n" s="0">
        <v>122218.05937499998</v>
      </c>
    </row>
    <row r="12917">
      <c r="A12917" t="n" s="0">
        <v>29.16</v>
      </c>
      <c r="B12917" t="n" s="0">
        <f>(-5-((((-5*(-5/((-5/(((-5*(29.16--5))-(-5+((-5*29.16)*(((-5--5)+(29.16--5))+29.16))))-(-5+-5)))*-5)))/-5)--5)+(-5*(((29.16*(29.16-(-5/-5)))*(29.16-(29.16/(-5*29.16))))-(-5/-5)))))</f>
        <v>122344.42528</v>
      </c>
      <c r="C12917" t="n" s="0">
        <v>122344.42528000001</v>
      </c>
    </row>
    <row r="12918">
      <c r="A12918" t="n" s="0">
        <v>29.17</v>
      </c>
      <c r="B12918" t="n" s="0">
        <f>(-5-((((-5*(-5/((-5/(((-5*(29.17--5))-(-5+((-5*29.17)*(((-5--5)+(29.17--5))+29.17))))-(-5+-5)))*-5)))/-5)--5)+(-5*(((29.17*(29.17-(-5/-5)))*(29.17-(29.17/(-5*29.17))))-(-5/-5)))))</f>
        <v>122470.878265</v>
      </c>
      <c r="C12918" t="n" s="0">
        <v>122470.878265</v>
      </c>
    </row>
    <row r="12919">
      <c r="A12919" t="n" s="0">
        <v>29.18</v>
      </c>
      <c r="B12919" t="n" s="0">
        <f>(-5-((((-5*(-5/((-5/(((-5*(29.18--5))-(-5+((-5*29.18)*(((-5--5)+(29.18--5))+29.18))))-(-5+-5)))*-5)))/-5)--5)+(-5*(((29.18*(29.18-(-5/-5)))*(29.18-(29.18/(-5*29.18))))-(-5/-5)))))</f>
        <v>122597.41836</v>
      </c>
      <c r="C12919" t="n" s="0">
        <v>122597.41836</v>
      </c>
    </row>
    <row r="12920">
      <c r="A12920" t="n" s="0">
        <v>29.19</v>
      </c>
      <c r="B12920" t="n" s="0">
        <f>(-5-((((-5*(-5/((-5/(((-5*(29.19--5))-(-5+((-5*29.19)*(((-5--5)+(29.19--5))+29.19))))-(-5+-5)))*-5)))/-5)--5)+(-5*(((29.19*(29.19-(-5/-5)))*(29.19-(29.19/(-5*29.19))))-(-5/-5)))))</f>
        <v>122724.045595</v>
      </c>
      <c r="C12920" t="n" s="0">
        <v>122724.04559500002</v>
      </c>
    </row>
    <row r="12921">
      <c r="A12921" t="n" s="0">
        <v>29.2</v>
      </c>
      <c r="B12921" t="n" s="0">
        <f>(-5-((((-5*(-5/((-5/(((-5*(29.2--5))-(-5+((-5*29.2)*(((-5--5)+(29.2--5))+29.2))))-(-5+-5)))*-5)))/-5)--5)+(-5*(((29.2*(29.2-(-5/-5)))*(29.2-(29.2/(-5*29.2))))-(-5/-5)))))</f>
        <v>122850.76</v>
      </c>
      <c r="C12921" t="n" s="0">
        <v>122850.76000000001</v>
      </c>
    </row>
    <row r="12922">
      <c r="A12922" t="n" s="0">
        <v>29.21</v>
      </c>
      <c r="B12922" t="n" s="0">
        <f>(-5-((((-5*(-5/((-5/(((-5*(29.21--5))-(-5+((-5*29.21)*(((-5--5)+(29.21--5))+29.21))))-(-5+-5)))*-5)))/-5)--5)+(-5*(((29.21*(29.21-(-5/-5)))*(29.21-(29.21/(-5*29.21))))-(-5/-5)))))</f>
        <v>122977.561605</v>
      </c>
      <c r="C12922" t="n" s="0">
        <v>122977.56160500001</v>
      </c>
    </row>
    <row r="12923">
      <c r="A12923" t="n" s="0">
        <v>29.22</v>
      </c>
      <c r="B12923" t="n" s="0">
        <f>(-5-((((-5*(-5/((-5/(((-5*(29.22--5))-(-5+((-5*29.22)*(((-5--5)+(29.22--5))+29.22))))-(-5+-5)))*-5)))/-5)--5)+(-5*(((29.22*(29.22-(-5/-5)))*(29.22-(29.22/(-5*29.22))))-(-5/-5)))))</f>
        <v>123104.45044</v>
      </c>
      <c r="C12923" t="n" s="0">
        <v>123104.45043999999</v>
      </c>
    </row>
    <row r="12924">
      <c r="A12924" t="n" s="0">
        <v>29.23</v>
      </c>
      <c r="B12924" t="n" s="0">
        <f>(-5-((((-5*(-5/((-5/(((-5*(29.23--5))-(-5+((-5*29.23)*(((-5--5)+(29.23--5))+29.23))))-(-5+-5)))*-5)))/-5)--5)+(-5*(((29.23*(29.23-(-5/-5)))*(29.23-(29.23/(-5*29.23))))-(-5/-5)))))</f>
        <v>123231.42653499999</v>
      </c>
      <c r="C12924" t="n" s="0">
        <v>123231.426535</v>
      </c>
    </row>
    <row r="12925">
      <c r="A12925" t="n" s="0">
        <v>29.24</v>
      </c>
      <c r="B12925" t="n" s="0">
        <f>(-5-((((-5*(-5/((-5/(((-5*(29.24--5))-(-5+((-5*29.24)*(((-5--5)+(29.24--5))+29.24))))-(-5+-5)))*-5)))/-5)--5)+(-5*(((29.24*(29.24-(-5/-5)))*(29.24-(29.24/(-5*29.24))))-(-5/-5)))))</f>
        <v>123358.48992</v>
      </c>
      <c r="C12925" t="n" s="0">
        <v>123358.48991999998</v>
      </c>
    </row>
    <row r="12926">
      <c r="A12926" t="n" s="0">
        <v>29.25</v>
      </c>
      <c r="B12926" t="n" s="0">
        <f>(-5-((((-5*(-5/((-5/(((-5*(29.25--5))-(-5+((-5*29.25)*(((-5--5)+(29.25--5))+29.25))))-(-5+-5)))*-5)))/-5)--5)+(-5*(((29.25*(29.25-(-5/-5)))*(29.25-(29.25/(-5*29.25))))-(-5/-5)))))</f>
        <v>123485.640625</v>
      </c>
      <c r="C12926" t="n" s="0">
        <v>123485.640625</v>
      </c>
    </row>
    <row r="12927">
      <c r="A12927" t="n" s="0">
        <v>29.26</v>
      </c>
      <c r="B12927" t="n" s="0">
        <f>(-5-((((-5*(-5/((-5/(((-5*(29.26--5))-(-5+((-5*29.26)*(((-5--5)+(29.26--5))+29.26))))-(-5+-5)))*-5)))/-5)--5)+(-5*(((29.26*(29.26-(-5/-5)))*(29.26-(29.26/(-5*29.26))))-(-5/-5)))))</f>
        <v>123612.87868</v>
      </c>
      <c r="C12927" t="n" s="0">
        <v>123612.87868000002</v>
      </c>
    </row>
    <row r="12928">
      <c r="A12928" t="n" s="0">
        <v>29.27</v>
      </c>
      <c r="B12928" t="n" s="0">
        <f>(-5-((((-5*(-5/((-5/(((-5*(29.27--5))-(-5+((-5*29.27)*(((-5--5)+(29.27--5))+29.27))))-(-5+-5)))*-5)))/-5)--5)+(-5*(((29.27*(29.27-(-5/-5)))*(29.27-(29.27/(-5*29.27))))-(-5/-5)))))</f>
        <v>123740.204115</v>
      </c>
      <c r="C12928" t="n" s="0">
        <v>123740.20411499999</v>
      </c>
    </row>
    <row r="12929">
      <c r="A12929" t="n" s="0">
        <v>29.28</v>
      </c>
      <c r="B12929" t="n" s="0">
        <f>(-5-((((-5*(-5/((-5/(((-5*(29.28--5))-(-5+((-5*29.28)*(((-5--5)+(29.28--5))+29.28))))-(-5+-5)))*-5)))/-5)--5)+(-5*(((29.28*(29.28-(-5/-5)))*(29.28-(29.28/(-5*29.28))))-(-5/-5)))))</f>
        <v>123867.61696</v>
      </c>
      <c r="C12929" t="n" s="0">
        <v>123867.61696000001</v>
      </c>
    </row>
    <row r="12930">
      <c r="A12930" t="n" s="0">
        <v>29.29</v>
      </c>
      <c r="B12930" t="n" s="0">
        <f>(-5-((((-5*(-5/((-5/(((-5*(29.29--5))-(-5+((-5*29.29)*(((-5--5)+(29.29--5))+29.29))))-(-5+-5)))*-5)))/-5)--5)+(-5*(((29.29*(29.29-(-5/-5)))*(29.29-(29.29/(-5*29.29))))-(-5/-5)))))</f>
        <v>123995.117245</v>
      </c>
      <c r="C12930" t="n" s="0">
        <v>123995.11724499997</v>
      </c>
    </row>
    <row r="12931">
      <c r="A12931" t="n" s="0">
        <v>29.3</v>
      </c>
      <c r="B12931" t="n" s="0">
        <f>(-5-((((-5*(-5/((-5/(((-5*(29.3--5))-(-5+((-5*29.3)*(((-5--5)+(29.3--5))+29.3))))-(-5+-5)))*-5)))/-5)--5)+(-5*(((29.3*(29.3-(-5/-5)))*(29.3-(29.3/(-5*29.3))))-(-5/-5)))))</f>
        <v>124122.70499999999</v>
      </c>
      <c r="C12931" t="n" s="0">
        <v>124122.705</v>
      </c>
    </row>
    <row r="12932">
      <c r="A12932" t="n" s="0">
        <v>29.31</v>
      </c>
      <c r="B12932" t="n" s="0">
        <f>(-5-((((-5*(-5/((-5/(((-5*(29.31--5))-(-5+((-5*29.31)*(((-5--5)+(29.31--5))+29.31))))-(-5+-5)))*-5)))/-5)--5)+(-5*(((29.31*(29.31-(-5/-5)))*(29.31-(29.31/(-5*29.31))))-(-5/-5)))))</f>
        <v>124250.380255</v>
      </c>
      <c r="C12932" t="n" s="0">
        <v>124250.38025499998</v>
      </c>
    </row>
    <row r="12933">
      <c r="A12933" t="n" s="0">
        <v>29.32</v>
      </c>
      <c r="B12933" t="n" s="0">
        <f>(-5-((((-5*(-5/((-5/(((-5*(29.32--5))-(-5+((-5*29.32)*(((-5--5)+(29.32--5))+29.32))))-(-5+-5)))*-5)))/-5)--5)+(-5*(((29.32*(29.32-(-5/-5)))*(29.32-(29.32/(-5*29.32))))-(-5/-5)))))</f>
        <v>124378.14304</v>
      </c>
      <c r="C12933" t="n" s="0">
        <v>124378.14304</v>
      </c>
    </row>
    <row r="12934">
      <c r="A12934" t="n" s="0">
        <v>29.33</v>
      </c>
      <c r="B12934" t="n" s="0">
        <f>(-5-((((-5*(-5/((-5/(((-5*(29.33--5))-(-5+((-5*29.33)*(((-5--5)+(29.33--5))+29.33))))-(-5+-5)))*-5)))/-5)--5)+(-5*(((29.33*(29.33-(-5/-5)))*(29.33-(29.33/(-5*29.33))))-(-5/-5)))))</f>
        <v>124505.99338500001</v>
      </c>
      <c r="C12934" t="n" s="0">
        <v>124505.99338499998</v>
      </c>
    </row>
    <row r="12935">
      <c r="A12935" t="n" s="0">
        <v>29.34</v>
      </c>
      <c r="B12935" t="n" s="0">
        <f>(-5-((((-5*(-5/((-5/(((-5*(29.34--5))-(-5+((-5*29.34)*(((-5--5)+(29.34--5))+29.34))))-(-5+-5)))*-5)))/-5)--5)+(-5*(((29.34*(29.34-(-5/-5)))*(29.34-(29.34/(-5*29.34))))-(-5/-5)))))</f>
        <v>124633.93132</v>
      </c>
      <c r="C12935" t="n" s="0">
        <v>124633.93132</v>
      </c>
    </row>
    <row r="12936">
      <c r="A12936" t="n" s="0">
        <v>29.35</v>
      </c>
      <c r="B12936" t="n" s="0">
        <f>(-5-((((-5*(-5/((-5/(((-5*(29.35--5))-(-5+((-5*29.35)*(((-5--5)+(29.35--5))+29.35))))-(-5+-5)))*-5)))/-5)--5)+(-5*(((29.35*(29.35-(-5/-5)))*(29.35-(29.35/(-5*29.35))))-(-5/-5)))))</f>
        <v>124761.95687499999</v>
      </c>
      <c r="C12936" t="n" s="0">
        <v>124761.95687500002</v>
      </c>
    </row>
    <row r="12937">
      <c r="A12937" t="n" s="0">
        <v>29.36</v>
      </c>
      <c r="B12937" t="n" s="0">
        <f>(-5-((((-5*(-5/((-5/(((-5*(29.36--5))-(-5+((-5*29.36)*(((-5--5)+(29.36--5))+29.36))))-(-5+-5)))*-5)))/-5)--5)+(-5*(((29.36*(29.36-(-5/-5)))*(29.36-(29.36/(-5*29.36))))-(-5/-5)))))</f>
        <v>124890.07007999999</v>
      </c>
      <c r="C12937" t="n" s="0">
        <v>124890.07007999999</v>
      </c>
    </row>
    <row r="12938">
      <c r="A12938" t="n" s="0">
        <v>29.37</v>
      </c>
      <c r="B12938" t="n" s="0">
        <f>(-5-((((-5*(-5/((-5/(((-5*(29.37--5))-(-5+((-5*29.37)*(((-5--5)+(29.37--5))+29.37))))-(-5+-5)))*-5)))/-5)--5)+(-5*(((29.37*(29.37-(-5/-5)))*(29.37-(29.37/(-5*29.37))))-(-5/-5)))))</f>
        <v>125018.270965</v>
      </c>
      <c r="C12938" t="n" s="0">
        <v>125018.27096500003</v>
      </c>
    </row>
    <row r="12939">
      <c r="A12939" t="n" s="0">
        <v>29.38</v>
      </c>
      <c r="B12939" t="n" s="0">
        <f>(-5-((((-5*(-5/((-5/(((-5*(29.38--5))-(-5+((-5*29.38)*(((-5--5)+(29.38--5))+29.38))))-(-5+-5)))*-5)))/-5)--5)+(-5*(((29.38*(29.38-(-5/-5)))*(29.38-(29.38/(-5*29.38))))-(-5/-5)))))</f>
        <v>125146.55956</v>
      </c>
      <c r="C12939" t="n" s="0">
        <v>125146.55956</v>
      </c>
    </row>
    <row r="12940">
      <c r="A12940" t="n" s="0">
        <v>29.39</v>
      </c>
      <c r="B12940" t="n" s="0">
        <f>(-5-((((-5*(-5/((-5/(((-5*(29.39--5))-(-5+((-5*29.39)*(((-5--5)+(29.39--5))+29.39))))-(-5+-5)))*-5)))/-5)--5)+(-5*(((29.39*(29.39-(-5/-5)))*(29.39-(29.39/(-5*29.39))))-(-5/-5)))))</f>
        <v>125274.935895</v>
      </c>
      <c r="C12940" t="n" s="0">
        <v>125274.935895</v>
      </c>
    </row>
    <row r="12941">
      <c r="A12941" t="n" s="0">
        <v>29.4</v>
      </c>
      <c r="B12941" t="n" s="0">
        <f>(-5-((((-5*(-5/((-5/(((-5*(29.4--5))-(-5+((-5*29.4)*(((-5--5)+(29.4--5))+29.4))))-(-5+-5)))*-5)))/-5)--5)+(-5*(((29.4*(29.4-(-5/-5)))*(29.4-(29.4/(-5*29.4))))-(-5/-5)))))</f>
        <v>125403.40000000001</v>
      </c>
      <c r="C12941" t="n" s="0">
        <v>125403.39999999998</v>
      </c>
    </row>
    <row r="12942">
      <c r="A12942" t="n" s="0">
        <v>29.41</v>
      </c>
      <c r="B12942" t="n" s="0">
        <f>(-5-((((-5*(-5/((-5/(((-5*(29.41--5))-(-5+((-5*29.41)*(((-5--5)+(29.41--5))+29.41))))-(-5+-5)))*-5)))/-5)--5)+(-5*(((29.41*(29.41-(-5/-5)))*(29.41-(29.41/(-5*29.41))))-(-5/-5)))))</f>
        <v>125531.95190500001</v>
      </c>
      <c r="C12942" t="n" s="0">
        <v>125531.951905</v>
      </c>
    </row>
    <row r="12943">
      <c r="A12943" t="n" s="0">
        <v>29.42</v>
      </c>
      <c r="B12943" t="n" s="0">
        <f>(-5-((((-5*(-5/((-5/(((-5*(29.42--5))-(-5+((-5*29.42)*(((-5--5)+(29.42--5))+29.42))))-(-5+-5)))*-5)))/-5)--5)+(-5*(((29.42*(29.42-(-5/-5)))*(29.42-(29.42/(-5*29.42))))-(-5/-5)))))</f>
        <v>125660.59164</v>
      </c>
      <c r="C12943" t="n" s="0">
        <v>125660.59164000001</v>
      </c>
    </row>
    <row r="12944">
      <c r="A12944" t="n" s="0">
        <v>29.43</v>
      </c>
      <c r="B12944" t="n" s="0">
        <f>(-5-((((-5*(-5/((-5/(((-5*(29.43--5))-(-5+((-5*29.43)*(((-5--5)+(29.43--5))+29.43))))-(-5+-5)))*-5)))/-5)--5)+(-5*(((29.43*(29.43-(-5/-5)))*(29.43-(29.43/(-5*29.43))))-(-5/-5)))))</f>
        <v>125789.319235</v>
      </c>
      <c r="C12944" t="n" s="0">
        <v>125789.31923499999</v>
      </c>
    </row>
    <row r="12945">
      <c r="A12945" t="n" s="0">
        <v>29.44</v>
      </c>
      <c r="B12945" t="n" s="0">
        <f>(-5-((((-5*(-5/((-5/(((-5*(29.44--5))-(-5+((-5*29.44)*(((-5--5)+(29.44--5))+29.44))))-(-5+-5)))*-5)))/-5)--5)+(-5*(((29.44*(29.44-(-5/-5)))*(29.44-(29.44/(-5*29.44))))-(-5/-5)))))</f>
        <v>125918.13472</v>
      </c>
      <c r="C12945" t="n" s="0">
        <v>125918.13472</v>
      </c>
    </row>
    <row r="12946">
      <c r="A12946" t="n" s="0">
        <v>29.45</v>
      </c>
      <c r="B12946" t="n" s="0">
        <f>(-5-((((-5*(-5/((-5/(((-5*(29.45--5))-(-5+((-5*29.45)*(((-5--5)+(29.45--5))+29.45))))-(-5+-5)))*-5)))/-5)--5)+(-5*(((29.45*(29.45-(-5/-5)))*(29.45-(29.45/(-5*29.45))))-(-5/-5)))))</f>
        <v>126047.03812499999</v>
      </c>
      <c r="C12946" t="n" s="0">
        <v>126047.038125</v>
      </c>
    </row>
    <row r="12947">
      <c r="A12947" t="n" s="0">
        <v>29.46</v>
      </c>
      <c r="B12947" t="n" s="0">
        <f>(-5-((((-5*(-5/((-5/(((-5*(29.46--5))-(-5+((-5*29.46)*(((-5--5)+(29.46--5))+29.46))))-(-5+-5)))*-5)))/-5)--5)+(-5*(((29.46*(29.46-(-5/-5)))*(29.46-(29.46/(-5*29.46))))-(-5/-5)))))</f>
        <v>126176.02948</v>
      </c>
      <c r="C12947" t="n" s="0">
        <v>126176.02948000001</v>
      </c>
    </row>
    <row r="12948">
      <c r="A12948" t="n" s="0">
        <v>29.47</v>
      </c>
      <c r="B12948" t="n" s="0">
        <f>(-5-((((-5*(-5/((-5/(((-5*(29.47--5))-(-5+((-5*29.47)*(((-5--5)+(29.47--5))+29.47))))-(-5+-5)))*-5)))/-5)--5)+(-5*(((29.47*(29.47-(-5/-5)))*(29.47-(29.47/(-5*29.47))))-(-5/-5)))))</f>
        <v>126305.108815</v>
      </c>
      <c r="C12948" t="n" s="0">
        <v>126305.10881499997</v>
      </c>
    </row>
    <row r="12949">
      <c r="A12949" t="n" s="0">
        <v>29.48</v>
      </c>
      <c r="B12949" t="n" s="0">
        <f>(-5-((((-5*(-5/((-5/(((-5*(29.48--5))-(-5+((-5*29.48)*(((-5--5)+(29.48--5))+29.48))))-(-5+-5)))*-5)))/-5)--5)+(-5*(((29.48*(29.48-(-5/-5)))*(29.48-(29.48/(-5*29.48))))-(-5/-5)))))</f>
        <v>126434.27616000001</v>
      </c>
      <c r="C12949" t="n" s="0">
        <v>126434.27616000001</v>
      </c>
    </row>
    <row r="12950">
      <c r="A12950" t="n" s="0">
        <v>29.49</v>
      </c>
      <c r="B12950" t="n" s="0">
        <f>(-5-((((-5*(-5/((-5/(((-5*(29.49--5))-(-5+((-5*29.49)*(((-5--5)+(29.49--5))+29.49))))-(-5+-5)))*-5)))/-5)--5)+(-5*(((29.49*(29.49-(-5/-5)))*(29.49-(29.49/(-5*29.49))))-(-5/-5)))))</f>
        <v>126563.53154499999</v>
      </c>
      <c r="C12950" t="n" s="0">
        <v>126563.53154499998</v>
      </c>
    </row>
    <row r="12951">
      <c r="A12951" t="n" s="0">
        <v>29.5</v>
      </c>
      <c r="B12951" t="n" s="0">
        <f>(-5-((((-5*(-5/((-5/(((-5*(29.5--5))-(-5+((-5*29.5)*(((-5--5)+(29.5--5))+29.5))))-(-5+-5)))*-5)))/-5)--5)+(-5*(((29.5*(29.5-(-5/-5)))*(29.5-(29.5/(-5*29.5))))-(-5/-5)))))</f>
        <v>126692.875</v>
      </c>
      <c r="C12951" t="n" s="0">
        <v>126692.875</v>
      </c>
    </row>
    <row r="12952">
      <c r="A12952" t="n" s="0">
        <v>29.51</v>
      </c>
      <c r="B12952" t="n" s="0">
        <f>(-5-((((-5*(-5/((-5/(((-5*(29.51--5))-(-5+((-5*29.51)*(((-5--5)+(29.51--5))+29.51))))-(-5+-5)))*-5)))/-5)--5)+(-5*(((29.51*(29.51-(-5/-5)))*(29.51-(29.51/(-5*29.51))))-(-5/-5)))))</f>
        <v>126822.306555</v>
      </c>
      <c r="C12952" t="n" s="0">
        <v>126822.30655500002</v>
      </c>
    </row>
    <row r="12953">
      <c r="A12953" t="n" s="0">
        <v>29.52</v>
      </c>
      <c r="B12953" t="n" s="0">
        <f>(-5-((((-5*(-5/((-5/(((-5*(29.52--5))-(-5+((-5*29.52)*(((-5--5)+(29.52--5))+29.52))))-(-5+-5)))*-5)))/-5)--5)+(-5*(((29.52*(29.52-(-5/-5)))*(29.52-(29.52/(-5*29.52))))-(-5/-5)))))</f>
        <v>126951.82624</v>
      </c>
      <c r="C12953" t="n" s="0">
        <v>126951.82624</v>
      </c>
    </row>
    <row r="12954">
      <c r="A12954" t="n" s="0">
        <v>29.53</v>
      </c>
      <c r="B12954" t="n" s="0">
        <f>(-5-((((-5*(-5/((-5/(((-5*(29.53--5))-(-5+((-5*29.53)*(((-5--5)+(29.53--5))+29.53))))-(-5+-5)))*-5)))/-5)--5)+(-5*(((29.53*(29.53-(-5/-5)))*(29.53-(29.53/(-5*29.53))))-(-5/-5)))))</f>
        <v>127081.434085</v>
      </c>
      <c r="C12954" t="n" s="0">
        <v>127081.43408500002</v>
      </c>
    </row>
    <row r="12955">
      <c r="A12955" t="n" s="0">
        <v>29.54</v>
      </c>
      <c r="B12955" t="n" s="0">
        <f>(-5-((((-5*(-5/((-5/(((-5*(29.54--5))-(-5+((-5*29.54)*(((-5--5)+(29.54--5))+29.54))))-(-5+-5)))*-5)))/-5)--5)+(-5*(((29.54*(29.54-(-5/-5)))*(29.54-(29.54/(-5*29.54))))-(-5/-5)))))</f>
        <v>127211.13012</v>
      </c>
      <c r="C12955" t="n" s="0">
        <v>127211.13012</v>
      </c>
    </row>
    <row r="12956">
      <c r="A12956" t="n" s="0">
        <v>29.55</v>
      </c>
      <c r="B12956" t="n" s="0">
        <f>(-5-((((-5*(-5/((-5/(((-5*(29.55--5))-(-5+((-5*29.55)*(((-5--5)+(29.55--5))+29.55))))-(-5+-5)))*-5)))/-5)--5)+(-5*(((29.55*(29.55-(-5/-5)))*(29.55-(29.55/(-5*29.55))))-(-5/-5)))))</f>
        <v>127340.914375</v>
      </c>
      <c r="C12956" t="n" s="0">
        <v>127340.91437500001</v>
      </c>
    </row>
    <row r="12957">
      <c r="A12957" t="n" s="0">
        <v>29.56</v>
      </c>
      <c r="B12957" t="n" s="0">
        <f>(-5-((((-5*(-5/((-5/(((-5*(29.56--5))-(-5+((-5*29.56)*(((-5--5)+(29.56--5))+29.56))))-(-5+-5)))*-5)))/-5)--5)+(-5*(((29.56*(29.56-(-5/-5)))*(29.56-(29.56/(-5*29.56))))-(-5/-5)))))</f>
        <v>127470.78688</v>
      </c>
      <c r="C12957" t="n" s="0">
        <v>127470.78687999999</v>
      </c>
    </row>
    <row r="12958">
      <c r="A12958" t="n" s="0">
        <v>29.57</v>
      </c>
      <c r="B12958" t="n" s="0">
        <f>(-5-((((-5*(-5/((-5/(((-5*(29.57--5))-(-5+((-5*29.57)*(((-5--5)+(29.57--5))+29.57))))-(-5+-5)))*-5)))/-5)--5)+(-5*(((29.57*(29.57-(-5/-5)))*(29.57-(29.57/(-5*29.57))))-(-5/-5)))))</f>
        <v>127600.74766499999</v>
      </c>
      <c r="C12958" t="n" s="0">
        <v>127600.74766500002</v>
      </c>
    </row>
    <row r="12959">
      <c r="A12959" t="n" s="0">
        <v>29.58</v>
      </c>
      <c r="B12959" t="n" s="0">
        <f>(-5-((((-5*(-5/((-5/(((-5*(29.58--5))-(-5+((-5*29.58)*(((-5--5)+(29.58--5))+29.58))))-(-5+-5)))*-5)))/-5)--5)+(-5*(((29.58*(29.58-(-5/-5)))*(29.58-(29.58/(-5*29.58))))-(-5/-5)))))</f>
        <v>127730.79676000001</v>
      </c>
      <c r="C12959" t="n" s="0">
        <v>127730.79675999998</v>
      </c>
    </row>
    <row r="12960">
      <c r="A12960" t="n" s="0">
        <v>29.59</v>
      </c>
      <c r="B12960" t="n" s="0">
        <f>(-5-((((-5*(-5/((-5/(((-5*(29.59--5))-(-5+((-5*29.59)*(((-5--5)+(29.59--5))+29.59))))-(-5+-5)))*-5)))/-5)--5)+(-5*(((29.59*(29.59-(-5/-5)))*(29.59-(29.59/(-5*29.59))))-(-5/-5)))))</f>
        <v>127860.934195</v>
      </c>
      <c r="C12960" t="n" s="0">
        <v>127860.93419500001</v>
      </c>
    </row>
    <row r="12961">
      <c r="A12961" t="n" s="0">
        <v>29.6</v>
      </c>
      <c r="B12961" t="n" s="0">
        <f>(-5-((((-5*(-5/((-5/(((-5*(29.6--5))-(-5+((-5*29.6)*(((-5--5)+(29.6--5))+29.6))))-(-5+-5)))*-5)))/-5)--5)+(-5*(((29.6*(29.6-(-5/-5)))*(29.6-(29.6/(-5*29.6))))-(-5/-5)))))</f>
        <v>127991.16000000002</v>
      </c>
      <c r="C12961" t="n" s="0">
        <v>127991.16000000002</v>
      </c>
    </row>
    <row r="12962">
      <c r="A12962" t="n" s="0">
        <v>29.61</v>
      </c>
      <c r="B12962" t="n" s="0">
        <f>(-5-((((-5*(-5/((-5/(((-5*(29.61--5))-(-5+((-5*29.61)*(((-5--5)+(29.61--5))+29.61))))-(-5+-5)))*-5)))/-5)--5)+(-5*(((29.61*(29.61-(-5/-5)))*(29.61-(29.61/(-5*29.61))))-(-5/-5)))))</f>
        <v>128121.47420499999</v>
      </c>
      <c r="C12962" t="n" s="0">
        <v>128121.47420499999</v>
      </c>
    </row>
    <row r="12963">
      <c r="A12963" t="n" s="0">
        <v>29.62</v>
      </c>
      <c r="B12963" t="n" s="0">
        <f>(-5-((((-5*(-5/((-5/(((-5*(29.62--5))-(-5+((-5*29.62)*(((-5--5)+(29.62--5))+29.62))))-(-5+-5)))*-5)))/-5)--5)+(-5*(((29.62*(29.62-(-5/-5)))*(29.62-(29.62/(-5*29.62))))-(-5/-5)))))</f>
        <v>128251.87684</v>
      </c>
      <c r="C12963" t="n" s="0">
        <v>128251.87684000001</v>
      </c>
    </row>
    <row r="12964">
      <c r="A12964" t="n" s="0">
        <v>29.63</v>
      </c>
      <c r="B12964" t="n" s="0">
        <f>(-5-((((-5*(-5/((-5/(((-5*(29.63--5))-(-5+((-5*29.63)*(((-5--5)+(29.63--5))+29.63))))-(-5+-5)))*-5)))/-5)--5)+(-5*(((29.63*(29.63-(-5/-5)))*(29.63-(29.63/(-5*29.63))))-(-5/-5)))))</f>
        <v>128382.367935</v>
      </c>
      <c r="C12964" t="n" s="0">
        <v>128382.36793499999</v>
      </c>
    </row>
    <row r="12965">
      <c r="A12965" t="n" s="0">
        <v>29.64</v>
      </c>
      <c r="B12965" t="n" s="0">
        <f>(-5-((((-5*(-5/((-5/(((-5*(29.64--5))-(-5+((-5*29.64)*(((-5--5)+(29.64--5))+29.64))))-(-5+-5)))*-5)))/-5)--5)+(-5*(((29.64*(29.64-(-5/-5)))*(29.64-(29.64/(-5*29.64))))-(-5/-5)))))</f>
        <v>128512.94752</v>
      </c>
      <c r="C12965" t="n" s="0">
        <v>128512.94752</v>
      </c>
    </row>
    <row r="12966">
      <c r="A12966" t="n" s="0">
        <v>29.65</v>
      </c>
      <c r="B12966" t="n" s="0">
        <f>(-5-((((-5*(-5/((-5/(((-5*(29.65--5))-(-5+((-5*29.65)*(((-5--5)+(29.65--5))+29.65))))-(-5+-5)))*-5)))/-5)--5)+(-5*(((29.65*(29.65-(-5/-5)))*(29.65-(29.65/(-5*29.65))))-(-5/-5)))))</f>
        <v>128643.615625</v>
      </c>
      <c r="C12966" t="n" s="0">
        <v>128643.61562499998</v>
      </c>
    </row>
    <row r="12967">
      <c r="A12967" t="n" s="0">
        <v>29.66</v>
      </c>
      <c r="B12967" t="n" s="0">
        <f>(-5-((((-5*(-5/((-5/(((-5*(29.66--5))-(-5+((-5*29.66)*(((-5--5)+(29.66--5))+29.66))))-(-5+-5)))*-5)))/-5)--5)+(-5*(((29.66*(29.66-(-5/-5)))*(29.66-(29.66/(-5*29.66))))-(-5/-5)))))</f>
        <v>128774.37228000001</v>
      </c>
      <c r="C12967" t="n" s="0">
        <v>128774.37228</v>
      </c>
    </row>
    <row r="12968">
      <c r="A12968" t="n" s="0">
        <v>29.67</v>
      </c>
      <c r="B12968" t="n" s="0">
        <f>(-5-((((-5*(-5/((-5/(((-5*(29.67--5))-(-5+((-5*29.67)*(((-5--5)+(29.67--5))+29.67))))-(-5+-5)))*-5)))/-5)--5)+(-5*(((29.67*(29.67-(-5/-5)))*(29.67-(29.67/(-5*29.67))))-(-5/-5)))))</f>
        <v>128905.217515</v>
      </c>
      <c r="C12968" t="n" s="0">
        <v>128905.21751500001</v>
      </c>
    </row>
    <row r="12969">
      <c r="A12969" t="n" s="0">
        <v>29.68</v>
      </c>
      <c r="B12969" t="n" s="0">
        <f>(-5-((((-5*(-5/((-5/(((-5*(29.68--5))-(-5+((-5*29.68)*(((-5--5)+(29.68--5))+29.68))))-(-5+-5)))*-5)))/-5)--5)+(-5*(((29.68*(29.68-(-5/-5)))*(29.68-(29.68/(-5*29.68))))-(-5/-5)))))</f>
        <v>129036.15136</v>
      </c>
      <c r="C12969" t="n" s="0">
        <v>129036.15135999999</v>
      </c>
    </row>
    <row r="12970">
      <c r="A12970" t="n" s="0">
        <v>29.69</v>
      </c>
      <c r="B12970" t="n" s="0">
        <f>(-5-((((-5*(-5/((-5/(((-5*(29.69--5))-(-5+((-5*29.69)*(((-5--5)+(29.69--5))+29.69))))-(-5+-5)))*-5)))/-5)--5)+(-5*(((29.69*(29.69-(-5/-5)))*(29.69-(29.69/(-5*29.69))))-(-5/-5)))))</f>
        <v>129167.173845</v>
      </c>
      <c r="C12970" t="n" s="0">
        <v>129167.17384500003</v>
      </c>
    </row>
    <row r="12971">
      <c r="A12971" t="n" s="0">
        <v>29.7</v>
      </c>
      <c r="B12971" t="n" s="0">
        <f>(-5-((((-5*(-5/((-5/(((-5*(29.7--5))-(-5+((-5*29.7)*(((-5--5)+(29.7--5))+29.7))))-(-5+-5)))*-5)))/-5)--5)+(-5*(((29.7*(29.7-(-5/-5)))*(29.7-(29.7/(-5*29.7))))-(-5/-5)))))</f>
        <v>129298.28499999999</v>
      </c>
      <c r="C12971" t="n" s="0">
        <v>129298.285</v>
      </c>
    </row>
    <row r="12972">
      <c r="A12972" t="n" s="0">
        <v>29.71</v>
      </c>
      <c r="B12972" t="n" s="0">
        <f>(-5-((((-5*(-5/((-5/(((-5*(29.71--5))-(-5+((-5*29.71)*(((-5--5)+(29.71--5))+29.71))))-(-5+-5)))*-5)))/-5)--5)+(-5*(((29.71*(29.71-(-5/-5)))*(29.71-(29.71/(-5*29.71))))-(-5/-5)))))</f>
        <v>129429.48485499999</v>
      </c>
      <c r="C12972" t="n" s="0">
        <v>129429.48485500002</v>
      </c>
    </row>
    <row r="12973">
      <c r="A12973" t="n" s="0">
        <v>29.72</v>
      </c>
      <c r="B12973" t="n" s="0">
        <f>(-5-((((-5*(-5/((-5/(((-5*(29.72--5))-(-5+((-5*29.72)*(((-5--5)+(29.72--5))+29.72))))-(-5+-5)))*-5)))/-5)--5)+(-5*(((29.72*(29.72-(-5/-5)))*(29.72-(29.72/(-5*29.72))))-(-5/-5)))))</f>
        <v>129560.77343999999</v>
      </c>
      <c r="C12973" t="n" s="0">
        <v>129560.77343999998</v>
      </c>
    </row>
    <row r="12974">
      <c r="A12974" t="n" s="0">
        <v>29.73</v>
      </c>
      <c r="B12974" t="n" s="0">
        <f>(-5-((((-5*(-5/((-5/(((-5*(29.73--5))-(-5+((-5*29.73)*(((-5--5)+(29.73--5))+29.73))))-(-5+-5)))*-5)))/-5)--5)+(-5*(((29.73*(29.73-(-5/-5)))*(29.73-(29.73/(-5*29.73))))-(-5/-5)))))</f>
        <v>129692.150785</v>
      </c>
      <c r="C12974" t="n" s="0">
        <v>129692.150785</v>
      </c>
    </row>
    <row r="12975">
      <c r="A12975" t="n" s="0">
        <v>29.74</v>
      </c>
      <c r="B12975" t="n" s="0">
        <f>(-5-((((-5*(-5/((-5/(((-5*(29.74--5))-(-5+((-5*29.74)*(((-5--5)+(29.74--5))+29.74))))-(-5+-5)))*-5)))/-5)--5)+(-5*(((29.74*(29.74-(-5/-5)))*(29.74-(29.74/(-5*29.74))))-(-5/-5)))))</f>
        <v>129823.61692</v>
      </c>
      <c r="C12975" t="n" s="0">
        <v>129823.61691999997</v>
      </c>
    </row>
    <row r="12976">
      <c r="A12976" t="n" s="0">
        <v>29.75</v>
      </c>
      <c r="B12976" t="n" s="0">
        <f>(-5-((((-5*(-5/((-5/(((-5*(29.75--5))-(-5+((-5*29.75)*(((-5--5)+(29.75--5))+29.75))))-(-5+-5)))*-5)))/-5)--5)+(-5*(((29.75*(29.75-(-5/-5)))*(29.75-(29.75/(-5*29.75))))-(-5/-5)))))</f>
        <v>129955.171875</v>
      </c>
      <c r="C12976" t="n" s="0">
        <v>129955.171875</v>
      </c>
    </row>
    <row r="12977">
      <c r="A12977" t="n" s="0">
        <v>29.76</v>
      </c>
      <c r="B12977" t="n" s="0">
        <f>(-5-((((-5*(-5/((-5/(((-5*(29.76--5))-(-5+((-5*29.76)*(((-5--5)+(29.76--5))+29.76))))-(-5+-5)))*-5)))/-5)--5)+(-5*(((29.76*(29.76-(-5/-5)))*(29.76-(29.76/(-5*29.76))))-(-5/-5)))))</f>
        <v>130086.81568</v>
      </c>
      <c r="C12977" t="n" s="0">
        <v>130086.81568000001</v>
      </c>
    </row>
    <row r="12978">
      <c r="A12978" t="n" s="0">
        <v>29.77</v>
      </c>
      <c r="B12978" t="n" s="0">
        <f>(-5-((((-5*(-5/((-5/(((-5*(29.77--5))-(-5+((-5*29.77)*(((-5--5)+(29.77--5))+29.77))))-(-5+-5)))*-5)))/-5)--5)+(-5*(((29.77*(29.77-(-5/-5)))*(29.77-(29.77/(-5*29.77))))-(-5/-5)))))</f>
        <v>130218.548365</v>
      </c>
      <c r="C12978" t="n" s="0">
        <v>130218.54836499998</v>
      </c>
    </row>
    <row r="12979">
      <c r="A12979" t="n" s="0">
        <v>29.78</v>
      </c>
      <c r="B12979" t="n" s="0">
        <f>(-5-((((-5*(-5/((-5/(((-5*(29.78--5))-(-5+((-5*29.78)*(((-5--5)+(29.78--5))+29.78))))-(-5+-5)))*-5)))/-5)--5)+(-5*(((29.78*(29.78-(-5/-5)))*(29.78-(29.78/(-5*29.78))))-(-5/-5)))))</f>
        <v>130350.36996</v>
      </c>
      <c r="C12979" t="n" s="0">
        <v>130350.36996000001</v>
      </c>
    </row>
    <row r="12980">
      <c r="A12980" t="n" s="0">
        <v>29.79</v>
      </c>
      <c r="B12980" t="n" s="0">
        <f>(-5-((((-5*(-5/((-5/(((-5*(29.79--5))-(-5+((-5*29.79)*(((-5--5)+(29.79--5))+29.79))))-(-5+-5)))*-5)))/-5)--5)+(-5*(((29.79*(29.79-(-5/-5)))*(29.79-(29.79/(-5*29.79))))-(-5/-5)))))</f>
        <v>130482.28049499998</v>
      </c>
      <c r="C12980" t="n" s="0">
        <v>130482.280495</v>
      </c>
    </row>
    <row r="12981">
      <c r="A12981" t="n" s="0">
        <v>29.8</v>
      </c>
      <c r="B12981" t="n" s="0">
        <f>(-5-((((-5*(-5/((-5/(((-5*(29.8--5))-(-5+((-5*29.8)*(((-5--5)+(29.8--5))+29.8))))-(-5+-5)))*-5)))/-5)--5)+(-5*(((29.8*(29.8-(-5/-5)))*(29.8-(29.8/(-5*29.8))))-(-5/-5)))))</f>
        <v>130614.28</v>
      </c>
      <c r="C12981" t="n" s="0">
        <v>130614.27999999998</v>
      </c>
    </row>
    <row r="12982">
      <c r="A12982" t="n" s="0">
        <v>29.81</v>
      </c>
      <c r="B12982" t="n" s="0">
        <f>(-5-((((-5*(-5/((-5/(((-5*(29.81--5))-(-5+((-5*29.81)*(((-5--5)+(29.81--5))+29.81))))-(-5+-5)))*-5)))/-5)--5)+(-5*(((29.81*(29.81-(-5/-5)))*(29.81-(29.81/(-5*29.81))))-(-5/-5)))))</f>
        <v>130746.36850499999</v>
      </c>
      <c r="C12982" t="n" s="0">
        <v>130746.36850499996</v>
      </c>
    </row>
    <row r="12983">
      <c r="A12983" t="n" s="0">
        <v>29.82</v>
      </c>
      <c r="B12983" t="n" s="0">
        <f>(-5-((((-5*(-5/((-5/(((-5*(29.82--5))-(-5+((-5*29.82)*(((-5--5)+(29.82--5))+29.82))))-(-5+-5)))*-5)))/-5)--5)+(-5*(((29.82*(29.82-(-5/-5)))*(29.82-(29.82/(-5*29.82))))-(-5/-5)))))</f>
        <v>130878.54604</v>
      </c>
      <c r="C12983" t="n" s="0">
        <v>130878.54604000002</v>
      </c>
    </row>
    <row r="12984">
      <c r="A12984" t="n" s="0">
        <v>29.83</v>
      </c>
      <c r="B12984" t="n" s="0">
        <f>(-5-((((-5*(-5/((-5/(((-5*(29.83--5))-(-5+((-5*29.83)*(((-5--5)+(29.83--5))+29.83))))-(-5+-5)))*-5)))/-5)--5)+(-5*(((29.83*(29.83-(-5/-5)))*(29.83-(29.83/(-5*29.83))))-(-5/-5)))))</f>
        <v>131010.812635</v>
      </c>
      <c r="C12984" t="n" s="0">
        <v>131010.81263499998</v>
      </c>
    </row>
    <row r="12985">
      <c r="A12985" t="n" s="0">
        <v>29.84</v>
      </c>
      <c r="B12985" t="n" s="0">
        <f>(-5-((((-5*(-5/((-5/(((-5*(29.84--5))-(-5+((-5*29.84)*(((-5--5)+(29.84--5))+29.84))))-(-5+-5)))*-5)))/-5)--5)+(-5*(((29.84*(29.84-(-5/-5)))*(29.84-(29.84/(-5*29.84))))-(-5/-5)))))</f>
        <v>131143.16832</v>
      </c>
      <c r="C12985" t="n" s="0">
        <v>131143.16832</v>
      </c>
    </row>
    <row r="12986">
      <c r="A12986" t="n" s="0">
        <v>29.85</v>
      </c>
      <c r="B12986" t="n" s="0">
        <f>(-5-((((-5*(-5/((-5/(((-5*(29.85--5))-(-5+((-5*29.85)*(((-5--5)+(29.85--5))+29.85))))-(-5+-5)))*-5)))/-5)--5)+(-5*(((29.85*(29.85-(-5/-5)))*(29.85-(29.85/(-5*29.85))))-(-5/-5)))))</f>
        <v>131275.613125</v>
      </c>
      <c r="C12986" t="n" s="0">
        <v>131275.613125</v>
      </c>
    </row>
    <row r="12987">
      <c r="A12987" t="n" s="0">
        <v>29.86</v>
      </c>
      <c r="B12987" t="n" s="0">
        <f>(-5-((((-5*(-5/((-5/(((-5*(29.86--5))-(-5+((-5*29.86)*(((-5--5)+(29.86--5))+29.86))))-(-5+-5)))*-5)))/-5)--5)+(-5*(((29.86*(29.86-(-5/-5)))*(29.86-(29.86/(-5*29.86))))-(-5/-5)))))</f>
        <v>131408.14708</v>
      </c>
      <c r="C12987" t="n" s="0">
        <v>131408.14707999997</v>
      </c>
    </row>
    <row r="12988">
      <c r="A12988" t="n" s="0">
        <v>29.87</v>
      </c>
      <c r="B12988" t="n" s="0">
        <f>(-5-((((-5*(-5/((-5/(((-5*(29.87--5))-(-5+((-5*29.87)*(((-5--5)+(29.87--5))+29.87))))-(-5+-5)))*-5)))/-5)--5)+(-5*(((29.87*(29.87-(-5/-5)))*(29.87-(29.87/(-5*29.87))))-(-5/-5)))))</f>
        <v>131540.770215</v>
      </c>
      <c r="C12988" t="n" s="0">
        <v>131540.770215</v>
      </c>
    </row>
    <row r="12989">
      <c r="A12989" t="n" s="0">
        <v>29.88</v>
      </c>
      <c r="B12989" t="n" s="0">
        <f>(-5-((((-5*(-5/((-5/(((-5*(29.88--5))-(-5+((-5*29.88)*(((-5--5)+(29.88--5))+29.88))))-(-5+-5)))*-5)))/-5)--5)+(-5*(((29.88*(29.88-(-5/-5)))*(29.88-(29.88/(-5*29.88))))-(-5/-5)))))</f>
        <v>131673.48256</v>
      </c>
      <c r="C12989" t="n" s="0">
        <v>131673.48255999997</v>
      </c>
    </row>
    <row r="12990">
      <c r="A12990" t="n" s="0">
        <v>29.89</v>
      </c>
      <c r="B12990" t="n" s="0">
        <f>(-5-((((-5*(-5/((-5/(((-5*(29.89--5))-(-5+((-5*29.89)*(((-5--5)+(29.89--5))+29.89))))-(-5+-5)))*-5)))/-5)--5)+(-5*(((29.89*(29.89-(-5/-5)))*(29.89-(29.89/(-5*29.89))))-(-5/-5)))))</f>
        <v>131806.28414499998</v>
      </c>
      <c r="C12990" t="n" s="0">
        <v>131806.284145</v>
      </c>
    </row>
    <row r="12991">
      <c r="A12991" t="n" s="0">
        <v>29.9</v>
      </c>
      <c r="B12991" t="n" s="0">
        <f>(-5-((((-5*(-5/((-5/(((-5*(29.9--5))-(-5+((-5*29.9)*(((-5--5)+(29.9--5))+29.9))))-(-5+-5)))*-5)))/-5)--5)+(-5*(((29.9*(29.9-(-5/-5)))*(29.9-(29.9/(-5*29.9))))-(-5/-5)))))</f>
        <v>131939.175</v>
      </c>
      <c r="C12991" t="n" s="0">
        <v>131939.17500000002</v>
      </c>
    </row>
    <row r="12992">
      <c r="A12992" t="n" s="0">
        <v>29.91</v>
      </c>
      <c r="B12992" t="n" s="0">
        <f>(-5-((((-5*(-5/((-5/(((-5*(29.91--5))-(-5+((-5*29.91)*(((-5--5)+(29.91--5))+29.91))))-(-5+-5)))*-5)))/-5)--5)+(-5*(((29.91*(29.91-(-5/-5)))*(29.91-(29.91/(-5*29.91))))-(-5/-5)))))</f>
        <v>132072.15515500001</v>
      </c>
      <c r="C12992" t="n" s="0">
        <v>132072.15515500001</v>
      </c>
    </row>
    <row r="12993">
      <c r="A12993" t="n" s="0">
        <v>29.92</v>
      </c>
      <c r="B12993" t="n" s="0">
        <f>(-5-((((-5*(-5/((-5/(((-5*(29.92--5))-(-5+((-5*29.92)*(((-5--5)+(29.92--5))+29.92))))-(-5+-5)))*-5)))/-5)--5)+(-5*(((29.92*(29.92-(-5/-5)))*(29.92-(29.92/(-5*29.92))))-(-5/-5)))))</f>
        <v>132205.22464</v>
      </c>
      <c r="C12993" t="n" s="0">
        <v>132205.22464000006</v>
      </c>
    </row>
    <row r="12994">
      <c r="A12994" t="n" s="0">
        <v>29.93</v>
      </c>
      <c r="B12994" t="n" s="0">
        <f>(-5-((((-5*(-5/((-5/(((-5*(29.93--5))-(-5+((-5*29.93)*(((-5--5)+(29.93--5))+29.93))))-(-5+-5)))*-5)))/-5)--5)+(-5*(((29.93*(29.93-(-5/-5)))*(29.93-(29.93/(-5*29.93))))-(-5/-5)))))</f>
        <v>132338.383485</v>
      </c>
      <c r="C12994" t="n" s="0">
        <v>132338.383485</v>
      </c>
    </row>
    <row r="12995">
      <c r="A12995" t="n" s="0">
        <v>29.94</v>
      </c>
      <c r="B12995" t="n" s="0">
        <f>(-5-((((-5*(-5/((-5/(((-5*(29.94--5))-(-5+((-5*29.94)*(((-5--5)+(29.94--5))+29.94))))-(-5+-5)))*-5)))/-5)--5)+(-5*(((29.94*(29.94-(-5/-5)))*(29.94-(29.94/(-5*29.94))))-(-5/-5)))))</f>
        <v>132471.63172</v>
      </c>
      <c r="C12995" t="n" s="0">
        <v>132471.63172</v>
      </c>
    </row>
    <row r="12996">
      <c r="A12996" t="n" s="0">
        <v>29.95</v>
      </c>
      <c r="B12996" t="n" s="0">
        <f>(-5-((((-5*(-5/((-5/(((-5*(29.95--5))-(-5+((-5*29.95)*(((-5--5)+(29.95--5))+29.95))))-(-5+-5)))*-5)))/-5)--5)+(-5*(((29.95*(29.95-(-5/-5)))*(29.95-(29.95/(-5*29.95))))-(-5/-5)))))</f>
        <v>132604.969375</v>
      </c>
      <c r="C12996" t="n" s="0">
        <v>132604.96937500002</v>
      </c>
    </row>
    <row r="12997">
      <c r="A12997" t="n" s="0">
        <v>29.96</v>
      </c>
      <c r="B12997" t="n" s="0">
        <f>(-5-((((-5*(-5/((-5/(((-5*(29.96--5))-(-5+((-5*29.96)*(((-5--5)+(29.96--5))+29.96))))-(-5+-5)))*-5)))/-5)--5)+(-5*(((29.96*(29.96-(-5/-5)))*(29.96-(29.96/(-5*29.96))))-(-5/-5)))))</f>
        <v>132738.39648</v>
      </c>
      <c r="C12997" t="n" s="0">
        <v>132738.39648000002</v>
      </c>
    </row>
    <row r="12998">
      <c r="A12998" t="n" s="0">
        <v>29.97</v>
      </c>
      <c r="B12998" t="n" s="0">
        <f>(-5-((((-5*(-5/((-5/(((-5*(29.97--5))-(-5+((-5*29.97)*(((-5--5)+(29.97--5))+29.97))))-(-5+-5)))*-5)))/-5)--5)+(-5*(((29.97*(29.97-(-5/-5)))*(29.97-(29.97/(-5*29.97))))-(-5/-5)))))</f>
        <v>132871.913065</v>
      </c>
      <c r="C12998" t="n" s="0">
        <v>132871.913065</v>
      </c>
    </row>
    <row r="12999">
      <c r="A12999" t="n" s="0">
        <v>29.98</v>
      </c>
      <c r="B12999" t="n" s="0">
        <f>(-5-((((-5*(-5/((-5/(((-5*(29.98--5))-(-5+((-5*29.98)*(((-5--5)+(29.98--5))+29.98))))-(-5+-5)))*-5)))/-5)--5)+(-5*(((29.98*(29.98-(-5/-5)))*(29.98-(29.98/(-5*29.98))))-(-5/-5)))))</f>
        <v>133005.51916</v>
      </c>
      <c r="C12999" t="n" s="0">
        <v>133005.51916000003</v>
      </c>
    </row>
    <row r="13000">
      <c r="A13000" t="n" s="0">
        <v>29.99</v>
      </c>
      <c r="B13000" t="n" s="0">
        <f>(-5-((((-5*(-5/((-5/(((-5*(29.99--5))-(-5+((-5*29.99)*(((-5--5)+(29.99--5))+29.99))))-(-5+-5)))*-5)))/-5)--5)+(-5*(((29.99*(29.99-(-5/-5)))*(29.99-(29.99/(-5*29.99))))-(-5/-5)))))</f>
        <v>133139.21479499998</v>
      </c>
      <c r="C13000" t="n" s="0">
        <v>133139.21479499998</v>
      </c>
    </row>
    <row r="13001">
      <c r="A13001" t="n" s="0">
        <v>30.0</v>
      </c>
      <c r="B13001" t="n" s="0">
        <f>(-5-((((-5*(-5/((-5/(((-5*(30--5))-(-5+((-5*30)*(((-5--5)+(30--5))+30))))-(-5+-5)))*-5)))/-5)--5)+(-5*(((30*(30-(-5/-5)))*(30-(30/(-5*30))))-(-5/-5)))))</f>
        <v>133273.0</v>
      </c>
      <c r="C13001" t="n" s="0">
        <v>133273.0</v>
      </c>
    </row>
    <row r="13002">
      <c r="A13002" t="n" s="0">
        <v>30.01</v>
      </c>
      <c r="B13002" t="n" s="0">
        <f>(-5-((((-5*(-5/((-5/(((-5*(30.01--5))-(-5+((-5*30.01)*(((-5--5)+(30.01--5))+30.01))))-(-5+-5)))*-5)))/-5)--5)+(-5*(((30.01*(30.01-(-5/-5)))*(30.01-(30.01/(-5*30.01))))-(-5/-5)))))</f>
        <v>133406.874805</v>
      </c>
      <c r="C13002" t="n" s="0">
        <v>133406.87480500003</v>
      </c>
    </row>
    <row r="13003">
      <c r="A13003" t="n" s="0">
        <v>30.02</v>
      </c>
      <c r="B13003" t="n" s="0">
        <f>(-5-((((-5*(-5/((-5/(((-5*(30.02--5))-(-5+((-5*30.02)*(((-5--5)+(30.02--5))+30.02))))-(-5+-5)))*-5)))/-5)--5)+(-5*(((30.02*(30.02-(-5/-5)))*(30.02-(30.02/(-5*30.02))))-(-5/-5)))))</f>
        <v>133540.83924</v>
      </c>
      <c r="C13003" t="n" s="0">
        <v>133540.83924</v>
      </c>
    </row>
    <row r="13004">
      <c r="A13004" t="n" s="0">
        <v>30.03</v>
      </c>
      <c r="B13004" t="n" s="0">
        <f>(-5-((((-5*(-5/((-5/(((-5*(30.03--5))-(-5+((-5*30.03)*(((-5--5)+(30.03--5))+30.03))))-(-5+-5)))*-5)))/-5)--5)+(-5*(((30.03*(30.03-(-5/-5)))*(30.03-(30.03/(-5*30.03))))-(-5/-5)))))</f>
        <v>133674.893335</v>
      </c>
      <c r="C13004" t="n" s="0">
        <v>133674.893335</v>
      </c>
    </row>
    <row r="13005">
      <c r="A13005" t="n" s="0">
        <v>30.04</v>
      </c>
      <c r="B13005" t="n" s="0">
        <f>(-5-((((-5*(-5/((-5/(((-5*(30.04--5))-(-5+((-5*30.04)*(((-5--5)+(30.04--5))+30.04))))-(-5+-5)))*-5)))/-5)--5)+(-5*(((30.04*(30.04-(-5/-5)))*(30.04-(30.04/(-5*30.04))))-(-5/-5)))))</f>
        <v>133809.03712</v>
      </c>
      <c r="C13005" t="n" s="0">
        <v>133809.03712</v>
      </c>
    </row>
    <row r="13006">
      <c r="A13006" t="n" s="0">
        <v>30.05</v>
      </c>
      <c r="B13006" t="n" s="0">
        <f>(-5-((((-5*(-5/((-5/(((-5*(30.05--5))-(-5+((-5*30.05)*(((-5--5)+(30.05--5))+30.05))))-(-5+-5)))*-5)))/-5)--5)+(-5*(((30.05*(30.05-(-5/-5)))*(30.05-(30.05/(-5*30.05))))-(-5/-5)))))</f>
        <v>133943.27062499998</v>
      </c>
      <c r="C13006" t="n" s="0">
        <v>133943.270625</v>
      </c>
    </row>
    <row r="13007">
      <c r="A13007" t="n" s="0">
        <v>30.06</v>
      </c>
      <c r="B13007" t="n" s="0">
        <f>(-5-((((-5*(-5/((-5/(((-5*(30.06--5))-(-5+((-5*30.06)*(((-5--5)+(30.06--5))+30.06))))-(-5+-5)))*-5)))/-5)--5)+(-5*(((30.06*(30.06-(-5/-5)))*(30.06-(30.06/(-5*30.06))))-(-5/-5)))))</f>
        <v>134077.59388000003</v>
      </c>
      <c r="C13007" t="n" s="0">
        <v>134077.59387999997</v>
      </c>
    </row>
    <row r="13008">
      <c r="A13008" t="n" s="0">
        <v>30.07</v>
      </c>
      <c r="B13008" t="n" s="0">
        <f>(-5-((((-5*(-5/((-5/(((-5*(30.07--5))-(-5+((-5*30.07)*(((-5--5)+(30.07--5))+30.07))))-(-5+-5)))*-5)))/-5)--5)+(-5*(((30.07*(30.07-(-5/-5)))*(30.07-(30.07/(-5*30.07))))-(-5/-5)))))</f>
        <v>134212.006915</v>
      </c>
      <c r="C13008" t="n" s="0">
        <v>134212.006915</v>
      </c>
    </row>
    <row r="13009">
      <c r="A13009" t="n" s="0">
        <v>30.08</v>
      </c>
      <c r="B13009" t="n" s="0">
        <f>(-5-((((-5*(-5/((-5/(((-5*(30.08--5))-(-5+((-5*30.08)*(((-5--5)+(30.08--5))+30.08))))-(-5+-5)))*-5)))/-5)--5)+(-5*(((30.08*(30.08-(-5/-5)))*(30.08-(30.08/(-5*30.08))))-(-5/-5)))))</f>
        <v>134346.50976000002</v>
      </c>
      <c r="C13009" t="n" s="0">
        <v>134346.50975999996</v>
      </c>
    </row>
    <row r="13010">
      <c r="A13010" t="n" s="0">
        <v>30.09</v>
      </c>
      <c r="B13010" t="n" s="0">
        <f>(-5-((((-5*(-5/((-5/(((-5*(30.09--5))-(-5+((-5*30.09)*(((-5--5)+(30.09--5))+30.09))))-(-5+-5)))*-5)))/-5)--5)+(-5*(((30.09*(30.09-(-5/-5)))*(30.09-(30.09/(-5*30.09))))-(-5/-5)))))</f>
        <v>134481.102445</v>
      </c>
      <c r="C13010" t="n" s="0">
        <v>134481.102445</v>
      </c>
    </row>
    <row r="13011">
      <c r="A13011" t="n" s="0">
        <v>30.1</v>
      </c>
      <c r="B13011" t="n" s="0">
        <f>(-5-((((-5*(-5/((-5/(((-5*(30.1--5))-(-5+((-5*30.1)*(((-5--5)+(30.1--5))+30.1))))-(-5+-5)))*-5)))/-5)--5)+(-5*(((30.1*(30.1-(-5/-5)))*(30.1-(30.1/(-5*30.1))))-(-5/-5)))))</f>
        <v>134615.785</v>
      </c>
      <c r="C13011" t="n" s="0">
        <v>134615.78500000003</v>
      </c>
    </row>
    <row r="13012">
      <c r="A13012" t="n" s="0">
        <v>30.11</v>
      </c>
      <c r="B13012" t="n" s="0">
        <f>(-5-((((-5*(-5/((-5/(((-5*(30.11--5))-(-5+((-5*30.11)*(((-5--5)+(30.11--5))+30.11))))-(-5+-5)))*-5)))/-5)--5)+(-5*(((30.11*(30.11-(-5/-5)))*(30.11-(30.11/(-5*30.11))))-(-5/-5)))))</f>
        <v>134750.557455</v>
      </c>
      <c r="C13012" t="n" s="0">
        <v>134750.55745499997</v>
      </c>
    </row>
    <row r="13013">
      <c r="A13013" t="n" s="0">
        <v>30.12</v>
      </c>
      <c r="B13013" t="n" s="0">
        <f>(-5-((((-5*(-5/((-5/(((-5*(30.12--5))-(-5+((-5*30.12)*(((-5--5)+(30.12--5))+30.12))))-(-5+-5)))*-5)))/-5)--5)+(-5*(((30.12*(30.12-(-5/-5)))*(30.12-(30.12/(-5*30.12))))-(-5/-5)))))</f>
        <v>134885.41984000002</v>
      </c>
      <c r="C13013" t="n" s="0">
        <v>134885.41984</v>
      </c>
    </row>
    <row r="13014">
      <c r="A13014" t="n" s="0">
        <v>30.13</v>
      </c>
      <c r="B13014" t="n" s="0">
        <f>(-5-((((-5*(-5/((-5/(((-5*(30.13--5))-(-5+((-5*30.13)*(((-5--5)+(30.13--5))+30.13))))-(-5+-5)))*-5)))/-5)--5)+(-5*(((30.13*(30.13-(-5/-5)))*(30.13-(30.13/(-5*30.13))))-(-5/-5)))))</f>
        <v>135020.372185</v>
      </c>
      <c r="C13014" t="n" s="0">
        <v>135020.372185</v>
      </c>
    </row>
    <row r="13015">
      <c r="A13015" t="n" s="0">
        <v>30.14</v>
      </c>
      <c r="B13015" t="n" s="0">
        <f>(-5-((((-5*(-5/((-5/(((-5*(30.14--5))-(-5+((-5*30.14)*(((-5--5)+(30.14--5))+30.14))))-(-5+-5)))*-5)))/-5)--5)+(-5*(((30.14*(30.14-(-5/-5)))*(30.14-(30.14/(-5*30.14))))-(-5/-5)))))</f>
        <v>135155.41452000002</v>
      </c>
      <c r="C13015" t="n" s="0">
        <v>135155.41452000002</v>
      </c>
    </row>
    <row r="13016">
      <c r="A13016" t="n" s="0">
        <v>30.15</v>
      </c>
      <c r="B13016" t="n" s="0">
        <f>(-5-((((-5*(-5/((-5/(((-5*(30.15--5))-(-5+((-5*30.15)*(((-5--5)+(30.15--5))+30.15))))-(-5+-5)))*-5)))/-5)--5)+(-5*(((30.15*(30.15-(-5/-5)))*(30.15-(30.15/(-5*30.15))))-(-5/-5)))))</f>
        <v>135290.546875</v>
      </c>
      <c r="C13016" t="n" s="0">
        <v>135290.54687499997</v>
      </c>
    </row>
    <row r="13017">
      <c r="A13017" t="n" s="0">
        <v>30.16</v>
      </c>
      <c r="B13017" t="n" s="0">
        <f>(-5-((((-5*(-5/((-5/(((-5*(30.16--5))-(-5+((-5*30.16)*(((-5--5)+(30.16--5))+30.16))))-(-5+-5)))*-5)))/-5)--5)+(-5*(((30.16*(30.16-(-5/-5)))*(30.16-(30.16/(-5*30.16))))-(-5/-5)))))</f>
        <v>135425.76928</v>
      </c>
      <c r="C13017" t="n" s="0">
        <v>135425.76928</v>
      </c>
    </row>
    <row r="13018">
      <c r="A13018" t="n" s="0">
        <v>30.17</v>
      </c>
      <c r="B13018" t="n" s="0">
        <f>(-5-((((-5*(-5/((-5/(((-5*(30.17--5))-(-5+((-5*30.17)*(((-5--5)+(30.17--5))+30.17))))-(-5+-5)))*-5)))/-5)--5)+(-5*(((30.17*(30.17-(-5/-5)))*(30.17-(30.17/(-5*30.17))))-(-5/-5)))))</f>
        <v>135561.081765</v>
      </c>
      <c r="C13018" t="n" s="0">
        <v>135561.081765</v>
      </c>
    </row>
    <row r="13019">
      <c r="A13019" t="n" s="0">
        <v>30.18</v>
      </c>
      <c r="B13019" t="n" s="0">
        <f>(-5-((((-5*(-5/((-5/(((-5*(30.18--5))-(-5+((-5*30.18)*(((-5--5)+(30.18--5))+30.18))))-(-5+-5)))*-5)))/-5)--5)+(-5*(((30.18*(30.18-(-5/-5)))*(30.18-(30.18/(-5*30.18))))-(-5/-5)))))</f>
        <v>135696.48436</v>
      </c>
      <c r="C13019" t="n" s="0">
        <v>135696.48436</v>
      </c>
    </row>
    <row r="13020">
      <c r="A13020" t="n" s="0">
        <v>30.19</v>
      </c>
      <c r="B13020" t="n" s="0">
        <f>(-5-((((-5*(-5/((-5/(((-5*(30.19--5))-(-5+((-5*30.19)*(((-5--5)+(30.19--5))+30.19))))-(-5+-5)))*-5)))/-5)--5)+(-5*(((30.19*(30.19-(-5/-5)))*(30.19-(30.19/(-5*30.19))))-(-5/-5)))))</f>
        <v>135831.97709499998</v>
      </c>
      <c r="C13020" t="n" s="0">
        <v>135831.977095</v>
      </c>
    </row>
    <row r="13021">
      <c r="A13021" t="n" s="0">
        <v>30.2</v>
      </c>
      <c r="B13021" t="n" s="0">
        <f>(-5-((((-5*(-5/((-5/(((-5*(30.2--5))-(-5+((-5*30.2)*(((-5--5)+(30.2--5))+30.2))))-(-5+-5)))*-5)))/-5)--5)+(-5*(((30.2*(30.2-(-5/-5)))*(30.2-(30.2/(-5*30.2))))-(-5/-5)))))</f>
        <v>135967.56</v>
      </c>
      <c r="C13021" t="n" s="0">
        <v>135967.56</v>
      </c>
    </row>
    <row r="13022">
      <c r="A13022" t="n" s="0">
        <v>30.21</v>
      </c>
      <c r="B13022" t="n" s="0">
        <f>(-5-((((-5*(-5/((-5/(((-5*(30.21--5))-(-5+((-5*30.21)*(((-5--5)+(30.21--5))+30.21))))-(-5+-5)))*-5)))/-5)--5)+(-5*(((30.21*(30.21-(-5/-5)))*(30.21-(30.21/(-5*30.21))))-(-5/-5)))))</f>
        <v>136103.233105</v>
      </c>
      <c r="C13022" t="n" s="0">
        <v>136103.23310500002</v>
      </c>
    </row>
    <row r="13023">
      <c r="A13023" t="n" s="0">
        <v>30.22</v>
      </c>
      <c r="B13023" t="n" s="0">
        <f>(-5-((((-5*(-5/((-5/(((-5*(30.22--5))-(-5+((-5*30.22)*(((-5--5)+(30.22--5))+30.22))))-(-5+-5)))*-5)))/-5)--5)+(-5*(((30.22*(30.22-(-5/-5)))*(30.22-(30.22/(-5*30.22))))-(-5/-5)))))</f>
        <v>136238.99644</v>
      </c>
      <c r="C13023" t="n" s="0">
        <v>136238.99644</v>
      </c>
    </row>
    <row r="13024">
      <c r="A13024" t="n" s="0">
        <v>30.23</v>
      </c>
      <c r="B13024" t="n" s="0">
        <f>(-5-((((-5*(-5/((-5/(((-5*(30.23--5))-(-5+((-5*30.23)*(((-5--5)+(30.23--5))+30.23))))-(-5+-5)))*-5)))/-5)--5)+(-5*(((30.23*(30.23-(-5/-5)))*(30.23-(30.23/(-5*30.23))))-(-5/-5)))))</f>
        <v>136374.850035</v>
      </c>
      <c r="C13024" t="n" s="0">
        <v>136374.850035</v>
      </c>
    </row>
    <row r="13025">
      <c r="A13025" t="n" s="0">
        <v>30.24</v>
      </c>
      <c r="B13025" t="n" s="0">
        <f>(-5-((((-5*(-5/((-5/(((-5*(30.24--5))-(-5+((-5*30.24)*(((-5--5)+(30.24--5))+30.24))))-(-5+-5)))*-5)))/-5)--5)+(-5*(((30.24*(30.24-(-5/-5)))*(30.24-(30.24/(-5*30.24))))-(-5/-5)))))</f>
        <v>136510.79392</v>
      </c>
      <c r="C13025" t="n" s="0">
        <v>136510.79392</v>
      </c>
    </row>
    <row r="13026">
      <c r="A13026" t="n" s="0">
        <v>30.25</v>
      </c>
      <c r="B13026" t="n" s="0">
        <f>(-5-((((-5*(-5/((-5/(((-5*(30.25--5))-(-5+((-5*30.25)*(((-5--5)+(30.25--5))+30.25))))-(-5+-5)))*-5)))/-5)--5)+(-5*(((30.25*(30.25-(-5/-5)))*(30.25-(30.25/(-5*30.25))))-(-5/-5)))))</f>
        <v>136646.828125</v>
      </c>
      <c r="C13026" t="n" s="0">
        <v>136646.828125</v>
      </c>
    </row>
    <row r="13027">
      <c r="A13027" t="n" s="0">
        <v>30.26</v>
      </c>
      <c r="B13027" t="n" s="0">
        <f>(-5-((((-5*(-5/((-5/(((-5*(30.26--5))-(-5+((-5*30.26)*(((-5--5)+(30.26--5))+30.26))))-(-5+-5)))*-5)))/-5)--5)+(-5*(((30.26*(30.26-(-5/-5)))*(30.26-(30.26/(-5*30.26))))-(-5/-5)))))</f>
        <v>136782.95268000002</v>
      </c>
      <c r="C13027" t="n" s="0">
        <v>136782.95268000002</v>
      </c>
    </row>
    <row r="13028">
      <c r="A13028" t="n" s="0">
        <v>30.27</v>
      </c>
      <c r="B13028" t="n" s="0">
        <f>(-5-((((-5*(-5/((-5/(((-5*(30.27--5))-(-5+((-5*30.27)*(((-5--5)+(30.27--5))+30.27))))-(-5+-5)))*-5)))/-5)--5)+(-5*(((30.27*(30.27-(-5/-5)))*(30.27-(30.27/(-5*30.27))))-(-5/-5)))))</f>
        <v>136919.16761499998</v>
      </c>
      <c r="C13028" t="n" s="0">
        <v>136919.167615</v>
      </c>
    </row>
    <row r="13029">
      <c r="A13029" t="n" s="0">
        <v>30.28</v>
      </c>
      <c r="B13029" t="n" s="0">
        <f>(-5-((((-5*(-5/((-5/(((-5*(30.28--5))-(-5+((-5*30.28)*(((-5--5)+(30.28--5))+30.28))))-(-5+-5)))*-5)))/-5)--5)+(-5*(((30.28*(30.28-(-5/-5)))*(30.28-(30.28/(-5*30.28))))-(-5/-5)))))</f>
        <v>137055.47295999998</v>
      </c>
      <c r="C13029" t="n" s="0">
        <v>137055.47296</v>
      </c>
    </row>
    <row r="13030">
      <c r="A13030" t="n" s="0">
        <v>30.29</v>
      </c>
      <c r="B13030" t="n" s="0">
        <f>(-5-((((-5*(-5/((-5/(((-5*(30.29--5))-(-5+((-5*30.29)*(((-5--5)+(30.29--5))+30.29))))-(-5+-5)))*-5)))/-5)--5)+(-5*(((30.29*(30.29-(-5/-5)))*(30.29-(30.29/(-5*30.29))))-(-5/-5)))))</f>
        <v>137191.868745</v>
      </c>
      <c r="C13030" t="n" s="0">
        <v>137191.86874499999</v>
      </c>
    </row>
    <row r="13031">
      <c r="A13031" t="n" s="0">
        <v>30.3</v>
      </c>
      <c r="B13031" t="n" s="0">
        <f>(-5-((((-5*(-5/((-5/(((-5*(30.3--5))-(-5+((-5*30.3)*(((-5--5)+(30.3--5))+30.3))))-(-5+-5)))*-5)))/-5)--5)+(-5*(((30.3*(30.3-(-5/-5)))*(30.3-(30.3/(-5*30.3))))-(-5/-5)))))</f>
        <v>137328.355</v>
      </c>
      <c r="C13031" t="n" s="0">
        <v>137328.355</v>
      </c>
    </row>
    <row r="13032">
      <c r="A13032" t="n" s="0">
        <v>30.31</v>
      </c>
      <c r="B13032" t="n" s="0">
        <f>(-5-((((-5*(-5/((-5/(((-5*(30.31--5))-(-5+((-5*30.31)*(((-5--5)+(30.31--5))+30.31))))-(-5+-5)))*-5)))/-5)--5)+(-5*(((30.31*(30.31-(-5/-5)))*(30.31-(30.31/(-5*30.31))))-(-5/-5)))))</f>
        <v>137464.931755</v>
      </c>
      <c r="C13032" t="n" s="0">
        <v>137464.93175499997</v>
      </c>
    </row>
    <row r="13033">
      <c r="A13033" t="n" s="0">
        <v>30.32</v>
      </c>
      <c r="B13033" t="n" s="0">
        <f>(-5-((((-5*(-5/((-5/(((-5*(30.32--5))-(-5+((-5*30.32)*(((-5--5)+(30.32--5))+30.32))))-(-5+-5)))*-5)))/-5)--5)+(-5*(((30.32*(30.32-(-5/-5)))*(30.32-(30.32/(-5*30.32))))-(-5/-5)))))</f>
        <v>137601.59904</v>
      </c>
      <c r="C13033" t="n" s="0">
        <v>137601.59904</v>
      </c>
    </row>
    <row r="13034">
      <c r="A13034" t="n" s="0">
        <v>30.33</v>
      </c>
      <c r="B13034" t="n" s="0">
        <f>(-5-((((-5*(-5/((-5/(((-5*(30.33--5))-(-5+((-5*30.33)*(((-5--5)+(30.33--5))+30.33))))-(-5+-5)))*-5)))/-5)--5)+(-5*(((30.33*(30.33-(-5/-5)))*(30.33-(30.33/(-5*30.33))))-(-5/-5)))))</f>
        <v>137738.356885</v>
      </c>
      <c r="C13034" t="n" s="0">
        <v>137738.356885</v>
      </c>
    </row>
    <row r="13035">
      <c r="A13035" t="n" s="0">
        <v>30.34</v>
      </c>
      <c r="B13035" t="n" s="0">
        <f>(-5-((((-5*(-5/((-5/(((-5*(30.34--5))-(-5+((-5*30.34)*(((-5--5)+(30.34--5))+30.34))))-(-5+-5)))*-5)))/-5)--5)+(-5*(((30.34*(30.34-(-5/-5)))*(30.34-(30.34/(-5*30.34))))-(-5/-5)))))</f>
        <v>137875.20532</v>
      </c>
      <c r="C13035" t="n" s="0">
        <v>137875.20532</v>
      </c>
    </row>
    <row r="13036">
      <c r="A13036" t="n" s="0">
        <v>30.35</v>
      </c>
      <c r="B13036" t="n" s="0">
        <f>(-5-((((-5*(-5/((-5/(((-5*(30.35--5))-(-5+((-5*30.35)*(((-5--5)+(30.35--5))+30.35))))-(-5+-5)))*-5)))/-5)--5)+(-5*(((30.35*(30.35-(-5/-5)))*(30.35-(30.35/(-5*30.35))))-(-5/-5)))))</f>
        <v>138012.144375</v>
      </c>
      <c r="C13036" t="n" s="0">
        <v>138012.144375</v>
      </c>
    </row>
    <row r="13037">
      <c r="A13037" t="n" s="0">
        <v>30.36</v>
      </c>
      <c r="B13037" t="n" s="0">
        <f>(-5-((((-5*(-5/((-5/(((-5*(30.36--5))-(-5+((-5*30.36)*(((-5--5)+(30.36--5))+30.36))))-(-5+-5)))*-5)))/-5)--5)+(-5*(((30.36*(30.36-(-5/-5)))*(30.36-(30.36/(-5*30.36))))-(-5/-5)))))</f>
        <v>138149.17408000003</v>
      </c>
      <c r="C13037" t="n" s="0">
        <v>138149.17407999997</v>
      </c>
    </row>
    <row r="13038">
      <c r="A13038" t="n" s="0">
        <v>30.37</v>
      </c>
      <c r="B13038" t="n" s="0">
        <f>(-5-((((-5*(-5/((-5/(((-5*(30.37--5))-(-5+((-5*30.37)*(((-5--5)+(30.37--5))+30.37))))-(-5+-5)))*-5)))/-5)--5)+(-5*(((30.37*(30.37-(-5/-5)))*(30.37-(30.37/(-5*30.37))))-(-5/-5)))))</f>
        <v>138286.294465</v>
      </c>
      <c r="C13038" t="n" s="0">
        <v>138286.294465</v>
      </c>
    </row>
    <row r="13039">
      <c r="A13039" t="n" s="0">
        <v>30.38</v>
      </c>
      <c r="B13039" t="n" s="0">
        <f>(-5-((((-5*(-5/((-5/(((-5*(30.38--5))-(-5+((-5*30.38)*(((-5--5)+(30.38--5))+30.38))))-(-5+-5)))*-5)))/-5)--5)+(-5*(((30.38*(30.38-(-5/-5)))*(30.38-(30.38/(-5*30.38))))-(-5/-5)))))</f>
        <v>138423.50556</v>
      </c>
      <c r="C13039" t="n" s="0">
        <v>138423.50556000002</v>
      </c>
    </row>
    <row r="13040">
      <c r="A13040" t="n" s="0">
        <v>30.39</v>
      </c>
      <c r="B13040" t="n" s="0">
        <f>(-5-((((-5*(-5/((-5/(((-5*(30.39--5))-(-5+((-5*30.39)*(((-5--5)+(30.39--5))+30.39))))-(-5+-5)))*-5)))/-5)--5)+(-5*(((30.39*(30.39-(-5/-5)))*(30.39-(30.39/(-5*30.39))))-(-5/-5)))))</f>
        <v>138560.807395</v>
      </c>
      <c r="C13040" t="n" s="0">
        <v>138560.807395</v>
      </c>
    </row>
    <row r="13041">
      <c r="A13041" t="n" s="0">
        <v>30.4</v>
      </c>
      <c r="B13041" t="n" s="0">
        <f>(-5-((((-5*(-5/((-5/(((-5*(30.4--5))-(-5+((-5*30.4)*(((-5--5)+(30.4--5))+30.4))))-(-5+-5)))*-5)))/-5)--5)+(-5*(((30.4*(30.4-(-5/-5)))*(30.4-(30.4/(-5*30.4))))-(-5/-5)))))</f>
        <v>138698.2</v>
      </c>
      <c r="C13041" t="n" s="0">
        <v>138698.19999999998</v>
      </c>
    </row>
    <row r="13042">
      <c r="A13042" t="n" s="0">
        <v>30.41</v>
      </c>
      <c r="B13042" t="n" s="0">
        <f>(-5-((((-5*(-5/((-5/(((-5*(30.41--5))-(-5+((-5*30.41)*(((-5--5)+(30.41--5))+30.41))))-(-5+-5)))*-5)))/-5)--5)+(-5*(((30.41*(30.41-(-5/-5)))*(30.41-(30.41/(-5*30.41))))-(-5/-5)))))</f>
        <v>138835.683405</v>
      </c>
      <c r="C13042" t="n" s="0">
        <v>138835.68340500002</v>
      </c>
    </row>
    <row r="13043">
      <c r="A13043" t="n" s="0">
        <v>30.42</v>
      </c>
      <c r="B13043" t="n" s="0">
        <f>(-5-((((-5*(-5/((-5/(((-5*(30.42--5))-(-5+((-5*30.42)*(((-5--5)+(30.42--5))+30.42))))-(-5+-5)))*-5)))/-5)--5)+(-5*(((30.42*(30.42-(-5/-5)))*(30.42-(30.42/(-5*30.42))))-(-5/-5)))))</f>
        <v>138973.25764</v>
      </c>
      <c r="C13043" t="n" s="0">
        <v>138973.25764000005</v>
      </c>
    </row>
    <row r="13044">
      <c r="A13044" t="n" s="0">
        <v>30.43</v>
      </c>
      <c r="B13044" t="n" s="0">
        <f>(-5-((((-5*(-5/((-5/(((-5*(30.43--5))-(-5+((-5*30.43)*(((-5--5)+(30.43--5))+30.43))))-(-5+-5)))*-5)))/-5)--5)+(-5*(((30.43*(30.43-(-5/-5)))*(30.43-(30.43/(-5*30.43))))-(-5/-5)))))</f>
        <v>139110.922735</v>
      </c>
      <c r="C13044" t="n" s="0">
        <v>139110.922735</v>
      </c>
    </row>
    <row r="13045">
      <c r="A13045" t="n" s="0">
        <v>30.44</v>
      </c>
      <c r="B13045" t="n" s="0">
        <f>(-5-((((-5*(-5/((-5/(((-5*(30.44--5))-(-5+((-5*30.44)*(((-5--5)+(30.44--5))+30.44))))-(-5+-5)))*-5)))/-5)--5)+(-5*(((30.44*(30.44-(-5/-5)))*(30.44-(30.44/(-5*30.44))))-(-5/-5)))))</f>
        <v>139248.67872</v>
      </c>
      <c r="C13045" t="n" s="0">
        <v>139248.67872000003</v>
      </c>
    </row>
    <row r="13046">
      <c r="A13046" t="n" s="0">
        <v>30.45</v>
      </c>
      <c r="B13046" t="n" s="0">
        <f>(-5-((((-5*(-5/((-5/(((-5*(30.45--5))-(-5+((-5*30.45)*(((-5--5)+(30.45--5))+30.45))))-(-5+-5)))*-5)))/-5)--5)+(-5*(((30.45*(30.45-(-5/-5)))*(30.45-(30.45/(-5*30.45))))-(-5/-5)))))</f>
        <v>139386.52562499998</v>
      </c>
      <c r="C13046" t="n" s="0">
        <v>139386.525625</v>
      </c>
    </row>
    <row r="13047">
      <c r="A13047" t="n" s="0">
        <v>30.46</v>
      </c>
      <c r="B13047" t="n" s="0">
        <f>(-5-((((-5*(-5/((-5/(((-5*(30.46--5))-(-5+((-5*30.46)*(((-5--5)+(30.46--5))+30.46))))-(-5+-5)))*-5)))/-5)--5)+(-5*(((30.46*(30.46-(-5/-5)))*(30.46-(30.46/(-5*30.46))))-(-5/-5)))))</f>
        <v>139524.46348</v>
      </c>
      <c r="C13047" t="n" s="0">
        <v>139524.46348</v>
      </c>
    </row>
    <row r="13048">
      <c r="A13048" t="n" s="0">
        <v>30.47</v>
      </c>
      <c r="B13048" t="n" s="0">
        <f>(-5-((((-5*(-5/((-5/(((-5*(30.47--5))-(-5+((-5*30.47)*(((-5--5)+(30.47--5))+30.47))))-(-5+-5)))*-5)))/-5)--5)+(-5*(((30.47*(30.47-(-5/-5)))*(30.47-(30.47/(-5*30.47))))-(-5/-5)))))</f>
        <v>139662.492315</v>
      </c>
      <c r="C13048" t="n" s="0">
        <v>139662.49231499998</v>
      </c>
    </row>
    <row r="13049">
      <c r="A13049" t="n" s="0">
        <v>30.48</v>
      </c>
      <c r="B13049" t="n" s="0">
        <f>(-5-((((-5*(-5/((-5/(((-5*(30.48--5))-(-5+((-5*30.48)*(((-5--5)+(30.48--5))+30.48))))-(-5+-5)))*-5)))/-5)--5)+(-5*(((30.48*(30.48-(-5/-5)))*(30.48-(30.48/(-5*30.48))))-(-5/-5)))))</f>
        <v>139800.61216</v>
      </c>
      <c r="C13049" t="n" s="0">
        <v>139800.61216</v>
      </c>
    </row>
    <row r="13050">
      <c r="A13050" t="n" s="0">
        <v>30.49</v>
      </c>
      <c r="B13050" t="n" s="0">
        <f>(-5-((((-5*(-5/((-5/(((-5*(30.49--5))-(-5+((-5*30.49)*(((-5--5)+(30.49--5))+30.49))))-(-5+-5)))*-5)))/-5)--5)+(-5*(((30.49*(30.49-(-5/-5)))*(30.49-(30.49/(-5*30.49))))-(-5/-5)))))</f>
        <v>139938.823045</v>
      </c>
      <c r="C13050" t="n" s="0">
        <v>139938.82304499997</v>
      </c>
    </row>
    <row r="13051">
      <c r="A13051" t="n" s="0">
        <v>30.5</v>
      </c>
      <c r="B13051" t="n" s="0">
        <f>(-5-((((-5*(-5/((-5/(((-5*(30.5--5))-(-5+((-5*30.5)*(((-5--5)+(30.5--5))+30.5))))-(-5+-5)))*-5)))/-5)--5)+(-5*(((30.5*(30.5-(-5/-5)))*(30.5-(30.5/(-5*30.5))))-(-5/-5)))))</f>
        <v>140077.125</v>
      </c>
      <c r="C13051" t="n" s="0">
        <v>140077.125</v>
      </c>
    </row>
    <row r="13052">
      <c r="A13052" t="n" s="0">
        <v>30.51</v>
      </c>
      <c r="B13052" t="n" s="0">
        <f>(-5-((((-5*(-5/((-5/(((-5*(30.51--5))-(-5+((-5*30.51)*(((-5--5)+(30.51--5))+30.51))))-(-5+-5)))*-5)))/-5)--5)+(-5*(((30.51*(30.51-(-5/-5)))*(30.51-(30.51/(-5*30.51))))-(-5/-5)))))</f>
        <v>140215.518055</v>
      </c>
      <c r="C13052" t="n" s="0">
        <v>140215.518055</v>
      </c>
    </row>
    <row r="13053">
      <c r="A13053" t="n" s="0">
        <v>30.52</v>
      </c>
      <c r="B13053" t="n" s="0">
        <f>(-5-((((-5*(-5/((-5/(((-5*(30.52--5))-(-5+((-5*30.52)*(((-5--5)+(30.52--5))+30.52))))-(-5+-5)))*-5)))/-5)--5)+(-5*(((30.52*(30.52-(-5/-5)))*(30.52-(30.52/(-5*30.52))))-(-5/-5)))))</f>
        <v>140354.00224</v>
      </c>
      <c r="C13053" t="n" s="0">
        <v>140354.00223999997</v>
      </c>
    </row>
    <row r="13054">
      <c r="A13054" t="n" s="0">
        <v>30.53</v>
      </c>
      <c r="B13054" t="n" s="0">
        <f>(-5-((((-5*(-5/((-5/(((-5*(30.53--5))-(-5+((-5*30.53)*(((-5--5)+(30.53--5))+30.53))))-(-5+-5)))*-5)))/-5)--5)+(-5*(((30.53*(30.53-(-5/-5)))*(30.53-(30.53/(-5*30.53))))-(-5/-5)))))</f>
        <v>140492.577585</v>
      </c>
      <c r="C13054" t="n" s="0">
        <v>140492.577585</v>
      </c>
    </row>
    <row r="13055">
      <c r="A13055" t="n" s="0">
        <v>30.54</v>
      </c>
      <c r="B13055" t="n" s="0">
        <f>(-5-((((-5*(-5/((-5/(((-5*(30.54--5))-(-5+((-5*30.54)*(((-5--5)+(30.54--5))+30.54))))-(-5+-5)))*-5)))/-5)--5)+(-5*(((30.54*(30.54-(-5/-5)))*(30.54-(30.54/(-5*30.54))))-(-5/-5)))))</f>
        <v>140631.24412</v>
      </c>
      <c r="C13055" t="n" s="0">
        <v>140631.24412</v>
      </c>
    </row>
    <row r="13056">
      <c r="A13056" t="n" s="0">
        <v>30.55</v>
      </c>
      <c r="B13056" t="n" s="0">
        <f>(-5-((((-5*(-5/((-5/(((-5*(30.55--5))-(-5+((-5*30.55)*(((-5--5)+(30.55--5))+30.55))))-(-5+-5)))*-5)))/-5)--5)+(-5*(((30.55*(30.55-(-5/-5)))*(30.55-(30.55/(-5*30.55))))-(-5/-5)))))</f>
        <v>140770.001875</v>
      </c>
      <c r="C13056" t="n" s="0">
        <v>140770.001875</v>
      </c>
    </row>
    <row r="13057">
      <c r="A13057" t="n" s="0">
        <v>30.56</v>
      </c>
      <c r="B13057" t="n" s="0">
        <f>(-5-((((-5*(-5/((-5/(((-5*(30.56--5))-(-5+((-5*30.56)*(((-5--5)+(30.56--5))+30.56))))-(-5+-5)))*-5)))/-5)--5)+(-5*(((30.56*(30.56-(-5/-5)))*(30.56-(30.56/(-5*30.56))))-(-5/-5)))))</f>
        <v>140908.85087999998</v>
      </c>
      <c r="C13057" t="n" s="0">
        <v>140908.85087999998</v>
      </c>
    </row>
    <row r="13058">
      <c r="A13058" t="n" s="0">
        <v>30.57</v>
      </c>
      <c r="B13058" t="n" s="0">
        <f>(-5-((((-5*(-5/((-5/(((-5*(30.57--5))-(-5+((-5*30.57)*(((-5--5)+(30.57--5))+30.57))))-(-5+-5)))*-5)))/-5)--5)+(-5*(((30.57*(30.57-(-5/-5)))*(30.57-(30.57/(-5*30.57))))-(-5/-5)))))</f>
        <v>141047.791165</v>
      </c>
      <c r="C13058" t="n" s="0">
        <v>141047.79116499997</v>
      </c>
    </row>
    <row r="13059">
      <c r="A13059" t="n" s="0">
        <v>30.58</v>
      </c>
      <c r="B13059" t="n" s="0">
        <f>(-5-((((-5*(-5/((-5/(((-5*(30.58--5))-(-5+((-5*30.58)*(((-5--5)+(30.58--5))+30.58))))-(-5+-5)))*-5)))/-5)--5)+(-5*(((30.58*(30.58-(-5/-5)))*(30.58-(30.58/(-5*30.58))))-(-5/-5)))))</f>
        <v>141186.82276</v>
      </c>
      <c r="C13059" t="n" s="0">
        <v>141186.82275999995</v>
      </c>
    </row>
    <row r="13060">
      <c r="A13060" t="n" s="0">
        <v>30.59</v>
      </c>
      <c r="B13060" t="n" s="0">
        <f>(-5-((((-5*(-5/((-5/(((-5*(30.59--5))-(-5+((-5*30.59)*(((-5--5)+(30.59--5))+30.59))))-(-5+-5)))*-5)))/-5)--5)+(-5*(((30.59*(30.59-(-5/-5)))*(30.59-(30.59/(-5*30.59))))-(-5/-5)))))</f>
        <v>141325.945695</v>
      </c>
      <c r="C13060" t="n" s="0">
        <v>141325.945695</v>
      </c>
    </row>
    <row r="13061">
      <c r="A13061" t="n" s="0">
        <v>30.6</v>
      </c>
      <c r="B13061" t="n" s="0">
        <f>(-5-((((-5*(-5/((-5/(((-5*(30.6--5))-(-5+((-5*30.6)*(((-5--5)+(30.6--5))+30.6))))-(-5+-5)))*-5)))/-5)--5)+(-5*(((30.6*(30.6-(-5/-5)))*(30.6-(30.6/(-5*30.6))))-(-5/-5)))))</f>
        <v>141465.16</v>
      </c>
      <c r="C13061" t="n" s="0">
        <v>141465.16</v>
      </c>
    </row>
    <row r="13062">
      <c r="A13062" t="n" s="0">
        <v>30.61</v>
      </c>
      <c r="B13062" t="n" s="0">
        <f>(-5-((((-5*(-5/((-5/(((-5*(30.61--5))-(-5+((-5*30.61)*(((-5--5)+(30.61--5))+30.61))))-(-5+-5)))*-5)))/-5)--5)+(-5*(((30.61*(30.61-(-5/-5)))*(30.61-(30.61/(-5*30.61))))-(-5/-5)))))</f>
        <v>141604.465705</v>
      </c>
      <c r="C13062" t="n" s="0">
        <v>141604.46570499998</v>
      </c>
    </row>
    <row r="13063">
      <c r="A13063" t="n" s="0">
        <v>30.62</v>
      </c>
      <c r="B13063" t="n" s="0">
        <f>(-5-((((-5*(-5/((-5/(((-5*(30.62--5))-(-5+((-5*30.62)*(((-5--5)+(30.62--5))+30.62))))-(-5+-5)))*-5)))/-5)--5)+(-5*(((30.62*(30.62-(-5/-5)))*(30.62-(30.62/(-5*30.62))))-(-5/-5)))))</f>
        <v>141743.86284</v>
      </c>
      <c r="C13063" t="n" s="0">
        <v>141743.86284</v>
      </c>
    </row>
    <row r="13064">
      <c r="A13064" t="n" s="0">
        <v>30.63</v>
      </c>
      <c r="B13064" t="n" s="0">
        <f>(-5-((((-5*(-5/((-5/(((-5*(30.63--5))-(-5+((-5*30.63)*(((-5--5)+(30.63--5))+30.63))))-(-5+-5)))*-5)))/-5)--5)+(-5*(((30.63*(30.63-(-5/-5)))*(30.63-(30.63/(-5*30.63))))-(-5/-5)))))</f>
        <v>141883.35143500002</v>
      </c>
      <c r="C13064" t="n" s="0">
        <v>141883.351435</v>
      </c>
    </row>
    <row r="13065">
      <c r="A13065" t="n" s="0">
        <v>30.64</v>
      </c>
      <c r="B13065" t="n" s="0">
        <f>(-5-((((-5*(-5/((-5/(((-5*(30.64--5))-(-5+((-5*30.64)*(((-5--5)+(30.64--5))+30.64))))-(-5+-5)))*-5)))/-5)--5)+(-5*(((30.64*(30.64-(-5/-5)))*(30.64-(30.64/(-5*30.64))))-(-5/-5)))))</f>
        <v>142022.93152</v>
      </c>
      <c r="C13065" t="n" s="0">
        <v>142022.93152000004</v>
      </c>
    </row>
    <row r="13066">
      <c r="A13066" t="n" s="0">
        <v>30.65</v>
      </c>
      <c r="B13066" t="n" s="0">
        <f>(-5-((((-5*(-5/((-5/(((-5*(30.65--5))-(-5+((-5*30.65)*(((-5--5)+(30.65--5))+30.65))))-(-5+-5)))*-5)))/-5)--5)+(-5*(((30.65*(30.65-(-5/-5)))*(30.65-(30.65/(-5*30.65))))-(-5/-5)))))</f>
        <v>142162.603125</v>
      </c>
      <c r="C13066" t="n" s="0">
        <v>142162.603125</v>
      </c>
    </row>
    <row r="13067">
      <c r="A13067" t="n" s="0">
        <v>30.66</v>
      </c>
      <c r="B13067" t="n" s="0">
        <f>(-5-((((-5*(-5/((-5/(((-5*(30.66--5))-(-5+((-5*30.66)*(((-5--5)+(30.66--5))+30.66))))-(-5+-5)))*-5)))/-5)--5)+(-5*(((30.66*(30.66-(-5/-5)))*(30.66-(30.66/(-5*30.66))))-(-5/-5)))))</f>
        <v>142302.36628</v>
      </c>
      <c r="C13067" t="n" s="0">
        <v>142302.36628</v>
      </c>
    </row>
    <row r="13068">
      <c r="A13068" t="n" s="0">
        <v>30.67</v>
      </c>
      <c r="B13068" t="n" s="0">
        <f>(-5-((((-5*(-5/((-5/(((-5*(30.67--5))-(-5+((-5*30.67)*(((-5--5)+(30.67--5))+30.67))))-(-5+-5)))*-5)))/-5)--5)+(-5*(((30.67*(30.67-(-5/-5)))*(30.67-(30.67/(-5*30.67))))-(-5/-5)))))</f>
        <v>142442.221015</v>
      </c>
      <c r="C13068" t="n" s="0">
        <v>142442.22101500002</v>
      </c>
    </row>
    <row r="13069">
      <c r="A13069" t="n" s="0">
        <v>30.68</v>
      </c>
      <c r="B13069" t="n" s="0">
        <f>(-5-((((-5*(-5/((-5/(((-5*(30.68--5))-(-5+((-5*30.68)*(((-5--5)+(30.68--5))+30.68))))-(-5+-5)))*-5)))/-5)--5)+(-5*(((30.68*(30.68-(-5/-5)))*(30.68-(30.68/(-5*30.68))))-(-5/-5)))))</f>
        <v>142582.16736</v>
      </c>
      <c r="C13069" t="n" s="0">
        <v>142582.16736</v>
      </c>
    </row>
    <row r="13070">
      <c r="A13070" t="n" s="0">
        <v>30.69</v>
      </c>
      <c r="B13070" t="n" s="0">
        <f>(-5-((((-5*(-5/((-5/(((-5*(30.69--5))-(-5+((-5*30.69)*(((-5--5)+(30.69--5))+30.69))))-(-5+-5)))*-5)))/-5)--5)+(-5*(((30.69*(30.69-(-5/-5)))*(30.69-(30.69/(-5*30.69))))-(-5/-5)))))</f>
        <v>142722.205345</v>
      </c>
      <c r="C13070" t="n" s="0">
        <v>142722.20534500005</v>
      </c>
    </row>
    <row r="13071">
      <c r="A13071" t="n" s="0">
        <v>30.7</v>
      </c>
      <c r="B13071" t="n" s="0">
        <f>(-5-((((-5*(-5/((-5/(((-5*(30.7--5))-(-5+((-5*30.7)*(((-5--5)+(30.7--5))+30.7))))-(-5+-5)))*-5)))/-5)--5)+(-5*(((30.7*(30.7-(-5/-5)))*(30.7-(30.7/(-5*30.7))))-(-5/-5)))))</f>
        <v>142862.335</v>
      </c>
      <c r="C13071" t="n" s="0">
        <v>142862.335</v>
      </c>
    </row>
    <row r="13072">
      <c r="A13072" t="n" s="0">
        <v>30.71</v>
      </c>
      <c r="B13072" t="n" s="0">
        <f>(-5-((((-5*(-5/((-5/(((-5*(30.71--5))-(-5+((-5*30.71)*(((-5--5)+(30.71--5))+30.71))))-(-5+-5)))*-5)))/-5)--5)+(-5*(((30.71*(30.71-(-5/-5)))*(30.71-(30.71/(-5*30.71))))-(-5/-5)))))</f>
        <v>143002.55635499998</v>
      </c>
      <c r="C13072" t="n" s="0">
        <v>143002.556355</v>
      </c>
    </row>
    <row r="13073">
      <c r="A13073" t="n" s="0">
        <v>30.72</v>
      </c>
      <c r="B13073" t="n" s="0">
        <f>(-5-((((-5*(-5/((-5/(((-5*(30.72--5))-(-5+((-5*30.72)*(((-5--5)+(30.72--5))+30.72))))-(-5+-5)))*-5)))/-5)--5)+(-5*(((30.72*(30.72-(-5/-5)))*(30.72-(30.72/(-5*30.72))))-(-5/-5)))))</f>
        <v>143142.86944</v>
      </c>
      <c r="C13073" t="n" s="0">
        <v>143142.86943999998</v>
      </c>
    </row>
    <row r="13074">
      <c r="A13074" t="n" s="0">
        <v>30.73</v>
      </c>
      <c r="B13074" t="n" s="0">
        <f>(-5-((((-5*(-5/((-5/(((-5*(30.73--5))-(-5+((-5*30.73)*(((-5--5)+(30.73--5))+30.73))))-(-5+-5)))*-5)))/-5)--5)+(-5*(((30.73*(30.73-(-5/-5)))*(30.73-(30.73/(-5*30.73))))-(-5/-5)))))</f>
        <v>143283.274285</v>
      </c>
      <c r="C13074" t="n" s="0">
        <v>143283.27428500002</v>
      </c>
    </row>
    <row r="13075">
      <c r="A13075" t="n" s="0">
        <v>30.74</v>
      </c>
      <c r="B13075" t="n" s="0">
        <f>(-5-((((-5*(-5/((-5/(((-5*(30.74--5))-(-5+((-5*30.74)*(((-5--5)+(30.74--5))+30.74))))-(-5+-5)))*-5)))/-5)--5)+(-5*(((30.74*(30.74-(-5/-5)))*(30.74-(30.74/(-5*30.74))))-(-5/-5)))))</f>
        <v>143423.77091999998</v>
      </c>
      <c r="C13075" t="n" s="0">
        <v>143423.77091999998</v>
      </c>
    </row>
    <row r="13076">
      <c r="A13076" t="n" s="0">
        <v>30.75</v>
      </c>
      <c r="B13076" t="n" s="0">
        <f>(-5-((((-5*(-5/((-5/(((-5*(30.75--5))-(-5+((-5*30.75)*(((-5--5)+(30.75--5))+30.75))))-(-5+-5)))*-5)))/-5)--5)+(-5*(((30.75*(30.75-(-5/-5)))*(30.75-(30.75/(-5*30.75))))-(-5/-5)))))</f>
        <v>143564.359375</v>
      </c>
      <c r="C13076" t="n" s="0">
        <v>143564.359375</v>
      </c>
    </row>
    <row r="13077">
      <c r="A13077" t="n" s="0">
        <v>30.76</v>
      </c>
      <c r="B13077" t="n" s="0">
        <f>(-5-((((-5*(-5/((-5/(((-5*(30.76--5))-(-5+((-5*30.76)*(((-5--5)+(30.76--5))+30.76))))-(-5+-5)))*-5)))/-5)--5)+(-5*(((30.76*(30.76-(-5/-5)))*(30.76-(30.76/(-5*30.76))))-(-5/-5)))))</f>
        <v>143705.03968</v>
      </c>
      <c r="C13077" t="n" s="0">
        <v>143705.03968000005</v>
      </c>
    </row>
    <row r="13078">
      <c r="A13078" t="n" s="0">
        <v>30.77</v>
      </c>
      <c r="B13078" t="n" s="0">
        <f>(-5-((((-5*(-5/((-5/(((-5*(30.77--5))-(-5+((-5*30.77)*(((-5--5)+(30.77--5))+30.77))))-(-5+-5)))*-5)))/-5)--5)+(-5*(((30.77*(30.77-(-5/-5)))*(30.77-(30.77/(-5*30.77))))-(-5/-5)))))</f>
        <v>143845.811865</v>
      </c>
      <c r="C13078" t="n" s="0">
        <v>143845.811865</v>
      </c>
    </row>
    <row r="13079">
      <c r="A13079" t="n" s="0">
        <v>30.78</v>
      </c>
      <c r="B13079" t="n" s="0">
        <f>(-5-((((-5*(-5/((-5/(((-5*(30.78--5))-(-5+((-5*30.78)*(((-5--5)+(30.78--5))+30.78))))-(-5+-5)))*-5)))/-5)--5)+(-5*(((30.78*(30.78-(-5/-5)))*(30.78-(30.78/(-5*30.78))))-(-5/-5)))))</f>
        <v>143986.67596</v>
      </c>
      <c r="C13079" t="n" s="0">
        <v>143986.67596000002</v>
      </c>
    </row>
    <row r="13080">
      <c r="A13080" t="n" s="0">
        <v>30.79</v>
      </c>
      <c r="B13080" t="n" s="0">
        <f>(-5-((((-5*(-5/((-5/(((-5*(30.79--5))-(-5+((-5*30.79)*(((-5--5)+(30.79--5))+30.79))))-(-5+-5)))*-5)))/-5)--5)+(-5*(((30.79*(30.79-(-5/-5)))*(30.79-(30.79/(-5*30.79))))-(-5/-5)))))</f>
        <v>144127.631995</v>
      </c>
      <c r="C13080" t="n" s="0">
        <v>144127.631995</v>
      </c>
    </row>
    <row r="13081">
      <c r="A13081" t="n" s="0">
        <v>30.8</v>
      </c>
      <c r="B13081" t="n" s="0">
        <f>(-5-((((-5*(-5/((-5/(((-5*(30.8--5))-(-5+((-5*30.8)*(((-5--5)+(30.8--5))+30.8))))-(-5+-5)))*-5)))/-5)--5)+(-5*(((30.8*(30.8-(-5/-5)))*(30.8-(30.8/(-5*30.8))))-(-5/-5)))))</f>
        <v>144268.68000000002</v>
      </c>
      <c r="C13081" t="n" s="0">
        <v>144268.68</v>
      </c>
    </row>
    <row r="13082">
      <c r="A13082" t="n" s="0">
        <v>30.81</v>
      </c>
      <c r="B13082" t="n" s="0">
        <f>(-5-((((-5*(-5/((-5/(((-5*(30.81--5))-(-5+((-5*30.81)*(((-5--5)+(30.81--5))+30.81))))-(-5+-5)))*-5)))/-5)--5)+(-5*(((30.81*(30.81-(-5/-5)))*(30.81-(30.81/(-5*30.81))))-(-5/-5)))))</f>
        <v>144409.820005</v>
      </c>
      <c r="C13082" t="n" s="0">
        <v>144409.82000499996</v>
      </c>
    </row>
    <row r="13083">
      <c r="A13083" t="n" s="0">
        <v>30.82</v>
      </c>
      <c r="B13083" t="n" s="0">
        <f>(-5-((((-5*(-5/((-5/(((-5*(30.82--5))-(-5+((-5*30.82)*(((-5--5)+(30.82--5))+30.82))))-(-5+-5)))*-5)))/-5)--5)+(-5*(((30.82*(30.82-(-5/-5)))*(30.82-(30.82/(-5*30.82))))-(-5/-5)))))</f>
        <v>144551.05204</v>
      </c>
      <c r="C13083" t="n" s="0">
        <v>144551.05204</v>
      </c>
    </row>
    <row r="13084">
      <c r="A13084" t="n" s="0">
        <v>30.83</v>
      </c>
      <c r="B13084" t="n" s="0">
        <f>(-5-((((-5*(-5/((-5/(((-5*(30.83--5))-(-5+((-5*30.83)*(((-5--5)+(30.83--5))+30.83))))-(-5+-5)))*-5)))/-5)--5)+(-5*(((30.83*(30.83-(-5/-5)))*(30.83-(30.83/(-5*30.83))))-(-5/-5)))))</f>
        <v>144692.376135</v>
      </c>
      <c r="C13084" t="n" s="0">
        <v>144692.37613499997</v>
      </c>
    </row>
    <row r="13085">
      <c r="A13085" t="n" s="0">
        <v>30.84</v>
      </c>
      <c r="B13085" t="n" s="0">
        <f>(-5-((((-5*(-5/((-5/(((-5*(30.84--5))-(-5+((-5*30.84)*(((-5--5)+(30.84--5))+30.84))))-(-5+-5)))*-5)))/-5)--5)+(-5*(((30.84*(30.84-(-5/-5)))*(30.84-(30.84/(-5*30.84))))-(-5/-5)))))</f>
        <v>144833.79232</v>
      </c>
      <c r="C13085" t="n" s="0">
        <v>144833.79232</v>
      </c>
    </row>
    <row r="13086">
      <c r="A13086" t="n" s="0">
        <v>30.85</v>
      </c>
      <c r="B13086" t="n" s="0">
        <f>(-5-((((-5*(-5/((-5/(((-5*(30.85--5))-(-5+((-5*30.85)*(((-5--5)+(30.85--5))+30.85))))-(-5+-5)))*-5)))/-5)--5)+(-5*(((30.85*(30.85-(-5/-5)))*(30.85-(30.85/(-5*30.85))))-(-5/-5)))))</f>
        <v>144975.30062499997</v>
      </c>
      <c r="C13086" t="n" s="0">
        <v>144975.300625</v>
      </c>
    </row>
    <row r="13087">
      <c r="A13087" t="n" s="0">
        <v>30.86</v>
      </c>
      <c r="B13087" t="n" s="0">
        <f>(-5-((((-5*(-5/((-5/(((-5*(30.86--5))-(-5+((-5*30.86)*(((-5--5)+(30.86--5))+30.86))))-(-5+-5)))*-5)))/-5)--5)+(-5*(((30.86*(30.86-(-5/-5)))*(30.86-(30.86/(-5*30.86))))-(-5/-5)))))</f>
        <v>145116.90107999998</v>
      </c>
      <c r="C13087" t="n" s="0">
        <v>145116.90107999995</v>
      </c>
    </row>
    <row r="13088">
      <c r="A13088" t="n" s="0">
        <v>30.87</v>
      </c>
      <c r="B13088" t="n" s="0">
        <f>(-5-((((-5*(-5/((-5/(((-5*(30.87--5))-(-5+((-5*30.87)*(((-5--5)+(30.87--5))+30.87))))-(-5+-5)))*-5)))/-5)--5)+(-5*(((30.87*(30.87-(-5/-5)))*(30.87-(30.87/(-5*30.87))))-(-5/-5)))))</f>
        <v>145258.593715</v>
      </c>
      <c r="C13088" t="n" s="0">
        <v>145258.593715</v>
      </c>
    </row>
    <row r="13089">
      <c r="A13089" t="n" s="0">
        <v>30.88</v>
      </c>
      <c r="B13089" t="n" s="0">
        <f>(-5-((((-5*(-5/((-5/(((-5*(30.88--5))-(-5+((-5*30.88)*(((-5--5)+(30.88--5))+30.88))))-(-5+-5)))*-5)))/-5)--5)+(-5*(((30.88*(30.88-(-5/-5)))*(30.88-(30.88/(-5*30.88))))-(-5/-5)))))</f>
        <v>145400.37856</v>
      </c>
      <c r="C13089" t="n" s="0">
        <v>145400.37856</v>
      </c>
    </row>
    <row r="13090">
      <c r="A13090" t="n" s="0">
        <v>30.89</v>
      </c>
      <c r="B13090" t="n" s="0">
        <f>(-5-((((-5*(-5/((-5/(((-5*(30.89--5))-(-5+((-5*30.89)*(((-5--5)+(30.89--5))+30.89))))-(-5+-5)))*-5)))/-5)--5)+(-5*(((30.89*(30.89-(-5/-5)))*(30.89-(30.89/(-5*30.89))))-(-5/-5)))))</f>
        <v>145542.255645</v>
      </c>
      <c r="C13090" t="n" s="0">
        <v>145542.25564500003</v>
      </c>
    </row>
    <row r="13091">
      <c r="A13091" t="n" s="0">
        <v>30.9</v>
      </c>
      <c r="B13091" t="n" s="0">
        <f>(-5-((((-5*(-5/((-5/(((-5*(30.9--5))-(-5+((-5*30.9)*(((-5--5)+(30.9--5))+30.9))))-(-5+-5)))*-5)))/-5)--5)+(-5*(((30.9*(30.9-(-5/-5)))*(30.9-(30.9/(-5*30.9))))-(-5/-5)))))</f>
        <v>145684.225</v>
      </c>
      <c r="C13091" t="n" s="0">
        <v>145684.225</v>
      </c>
    </row>
    <row r="13092">
      <c r="A13092" t="n" s="0">
        <v>30.91</v>
      </c>
      <c r="B13092" t="n" s="0">
        <f>(-5-((((-5*(-5/((-5/(((-5*(30.91--5))-(-5+((-5*30.91)*(((-5--5)+(30.91--5))+30.91))))-(-5+-5)))*-5)))/-5)--5)+(-5*(((30.91*(30.91-(-5/-5)))*(30.91-(30.91/(-5*30.91))))-(-5/-5)))))</f>
        <v>145826.286655</v>
      </c>
      <c r="C13092" t="n" s="0">
        <v>145826.286655</v>
      </c>
    </row>
    <row r="13093">
      <c r="A13093" t="n" s="0">
        <v>30.92</v>
      </c>
      <c r="B13093" t="n" s="0">
        <f>(-5-((((-5*(-5/((-5/(((-5*(30.92--5))-(-5+((-5*30.92)*(((-5--5)+(30.92--5))+30.92))))-(-5+-5)))*-5)))/-5)--5)+(-5*(((30.92*(30.92-(-5/-5)))*(30.92-(30.92/(-5*30.92))))-(-5/-5)))))</f>
        <v>145968.44064000002</v>
      </c>
      <c r="C13093" t="n" s="0">
        <v>145968.44064000002</v>
      </c>
    </row>
    <row r="13094">
      <c r="A13094" t="n" s="0">
        <v>30.93</v>
      </c>
      <c r="B13094" t="n" s="0">
        <f>(-5-((((-5*(-5/((-5/(((-5*(30.93--5))-(-5+((-5*30.93)*(((-5--5)+(30.93--5))+30.93))))-(-5+-5)))*-5)))/-5)--5)+(-5*(((30.93*(30.93-(-5/-5)))*(30.93-(30.93/(-5*30.93))))-(-5/-5)))))</f>
        <v>146110.686985</v>
      </c>
      <c r="C13094" t="n" s="0">
        <v>146110.68698499998</v>
      </c>
    </row>
    <row r="13095">
      <c r="A13095" t="n" s="0">
        <v>30.94</v>
      </c>
      <c r="B13095" t="n" s="0">
        <f>(-5-((((-5*(-5/((-5/(((-5*(30.94--5))-(-5+((-5*30.94)*(((-5--5)+(30.94--5))+30.94))))-(-5+-5)))*-5)))/-5)--5)+(-5*(((30.94*(30.94-(-5/-5)))*(30.94-(30.94/(-5*30.94))))-(-5/-5)))))</f>
        <v>146253.02572</v>
      </c>
      <c r="C13095" t="n" s="0">
        <v>146253.02572000003</v>
      </c>
    </row>
    <row r="13096">
      <c r="A13096" t="n" s="0">
        <v>30.95</v>
      </c>
      <c r="B13096" t="n" s="0">
        <f>(-5-((((-5*(-5/((-5/(((-5*(30.95--5))-(-5+((-5*30.95)*(((-5--5)+(30.95--5))+30.95))))-(-5+-5)))*-5)))/-5)--5)+(-5*(((30.95*(30.95-(-5/-5)))*(30.95-(30.95/(-5*30.95))))-(-5/-5)))))</f>
        <v>146395.456875</v>
      </c>
      <c r="C13096" t="n" s="0">
        <v>146395.456875</v>
      </c>
    </row>
    <row r="13097">
      <c r="A13097" t="n" s="0">
        <v>30.96</v>
      </c>
      <c r="B13097" t="n" s="0">
        <f>(-5-((((-5*(-5/((-5/(((-5*(30.96--5))-(-5+((-5*30.96)*(((-5--5)+(30.96--5))+30.96))))-(-5+-5)))*-5)))/-5)--5)+(-5*(((30.96*(30.96-(-5/-5)))*(30.96-(30.96/(-5*30.96))))-(-5/-5)))))</f>
        <v>146537.98048</v>
      </c>
      <c r="C13097" t="n" s="0">
        <v>146537.98048000003</v>
      </c>
    </row>
    <row r="13098">
      <c r="A13098" t="n" s="0">
        <v>30.97</v>
      </c>
      <c r="B13098" t="n" s="0">
        <f>(-5-((((-5*(-5/((-5/(((-5*(30.97--5))-(-5+((-5*30.97)*(((-5--5)+(30.97--5))+30.97))))-(-5+-5)))*-5)))/-5)--5)+(-5*(((30.97*(30.97-(-5/-5)))*(30.97-(30.97/(-5*30.97))))-(-5/-5)))))</f>
        <v>146680.596565</v>
      </c>
      <c r="C13098" t="n" s="0">
        <v>146680.59656499999</v>
      </c>
    </row>
    <row r="13099">
      <c r="A13099" t="n" s="0">
        <v>30.98</v>
      </c>
      <c r="B13099" t="n" s="0">
        <f>(-5-((((-5*(-5/((-5/(((-5*(30.98--5))-(-5+((-5*30.98)*(((-5--5)+(30.98--5))+30.98))))-(-5+-5)))*-5)))/-5)--5)+(-5*(((30.98*(30.98-(-5/-5)))*(30.98-(30.98/(-5*30.98))))-(-5/-5)))))</f>
        <v>146823.30516000002</v>
      </c>
      <c r="C13099" t="n" s="0">
        <v>146823.30516</v>
      </c>
    </row>
    <row r="13100">
      <c r="A13100" t="n" s="0">
        <v>30.99</v>
      </c>
      <c r="B13100" t="n" s="0">
        <f>(-5-((((-5*(-5/((-5/(((-5*(30.99--5))-(-5+((-5*30.99)*(((-5--5)+(30.99--5))+30.99))))-(-5+-5)))*-5)))/-5)--5)+(-5*(((30.99*(30.99-(-5/-5)))*(30.99-(30.99/(-5*30.99))))-(-5/-5)))))</f>
        <v>146966.106295</v>
      </c>
      <c r="C13100" t="n" s="0">
        <v>146966.106295</v>
      </c>
    </row>
    <row r="13101">
      <c r="A13101" t="n" s="0">
        <v>31.0</v>
      </c>
      <c r="B13101" t="n" s="0">
        <f>(-5-((((-5*(-5/((-5/(((-5*(31--5))-(-5+((-5*31)*(((-5--5)+(31--5))+31))))-(-5+-5)))*-5)))/-5)--5)+(-5*(((31*(31-(-5/-5)))*(31-(31/(-5*31))))-(-5/-5)))))</f>
        <v>147109.0</v>
      </c>
      <c r="C13101" t="n" s="0">
        <v>147109.0</v>
      </c>
    </row>
    <row r="13102">
      <c r="A13102" t="n" s="0">
        <v>31.01</v>
      </c>
      <c r="B13102" t="n" s="0">
        <f>(-5-((((-5*(-5/((-5/(((-5*(31.01--5))-(-5+((-5*31.01)*(((-5--5)+(31.01--5))+31.01))))-(-5+-5)))*-5)))/-5)--5)+(-5*(((31.01*(31.01-(-5/-5)))*(31.01-(31.01/(-5*31.01))))-(-5/-5)))))</f>
        <v>147251.986305</v>
      </c>
      <c r="C13102" t="n" s="0">
        <v>147251.98630500003</v>
      </c>
    </row>
    <row r="13103">
      <c r="A13103" t="n" s="0">
        <v>31.02</v>
      </c>
      <c r="B13103" t="n" s="0">
        <f>(-5-((((-5*(-5/((-5/(((-5*(31.02--5))-(-5+((-5*31.02)*(((-5--5)+(31.02--5))+31.02))))-(-5+-5)))*-5)))/-5)--5)+(-5*(((31.02*(31.02-(-5/-5)))*(31.02-(31.02/(-5*31.02))))-(-5/-5)))))</f>
        <v>147395.06524</v>
      </c>
      <c r="C13103" t="n" s="0">
        <v>147395.06524</v>
      </c>
    </row>
    <row r="13104">
      <c r="A13104" t="n" s="0">
        <v>31.03</v>
      </c>
      <c r="B13104" t="n" s="0">
        <f>(-5-((((-5*(-5/((-5/(((-5*(31.03--5))-(-5+((-5*31.03)*(((-5--5)+(31.03--5))+31.03))))-(-5+-5)))*-5)))/-5)--5)+(-5*(((31.03*(31.03-(-5/-5)))*(31.03-(31.03/(-5*31.03))))-(-5/-5)))))</f>
        <v>147538.236835</v>
      </c>
      <c r="C13104" t="n" s="0">
        <v>147538.23683500002</v>
      </c>
    </row>
    <row r="13105">
      <c r="A13105" t="n" s="0">
        <v>31.04</v>
      </c>
      <c r="B13105" t="n" s="0">
        <f>(-5-((((-5*(-5/((-5/(((-5*(31.04--5))-(-5+((-5*31.04)*(((-5--5)+(31.04--5))+31.04))))-(-5+-5)))*-5)))/-5)--5)+(-5*(((31.04*(31.04-(-5/-5)))*(31.04-(31.04/(-5*31.04))))-(-5/-5)))))</f>
        <v>147681.50112</v>
      </c>
      <c r="C13105" t="n" s="0">
        <v>147681.50112</v>
      </c>
    </row>
    <row r="13106">
      <c r="A13106" t="n" s="0">
        <v>31.05</v>
      </c>
      <c r="B13106" t="n" s="0">
        <f>(-5-((((-5*(-5/((-5/(((-5*(31.05--5))-(-5+((-5*31.05)*(((-5--5)+(31.05--5))+31.05))))-(-5+-5)))*-5)))/-5)--5)+(-5*(((31.05*(31.05-(-5/-5)))*(31.05-(31.05/(-5*31.05))))-(-5/-5)))))</f>
        <v>147824.858125</v>
      </c>
      <c r="C13106" t="n" s="0">
        <v>147824.85812500003</v>
      </c>
    </row>
    <row r="13107">
      <c r="A13107" t="n" s="0">
        <v>31.06</v>
      </c>
      <c r="B13107" t="n" s="0">
        <f>(-5-((((-5*(-5/((-5/(((-5*(31.06--5))-(-5+((-5*31.06)*(((-5--5)+(31.06--5))+31.06))))-(-5+-5)))*-5)))/-5)--5)+(-5*(((31.06*(31.06-(-5/-5)))*(31.06-(31.06/(-5*31.06))))-(-5/-5)))))</f>
        <v>147968.30787999998</v>
      </c>
      <c r="C13107" t="n" s="0">
        <v>147968.30787999998</v>
      </c>
    </row>
    <row r="13108">
      <c r="A13108" t="n" s="0">
        <v>31.07</v>
      </c>
      <c r="B13108" t="n" s="0">
        <f>(-5-((((-5*(-5/((-5/(((-5*(31.07--5))-(-5+((-5*31.07)*(((-5--5)+(31.07--5))+31.07))))-(-5+-5)))*-5)))/-5)--5)+(-5*(((31.07*(31.07-(-5/-5)))*(31.07-(31.07/(-5*31.07))))-(-5/-5)))))</f>
        <v>148111.850415</v>
      </c>
      <c r="C13108" t="n" s="0">
        <v>148111.850415</v>
      </c>
    </row>
    <row r="13109">
      <c r="A13109" t="n" s="0">
        <v>31.08</v>
      </c>
      <c r="B13109" t="n" s="0">
        <f>(-5-((((-5*(-5/((-5/(((-5*(31.08--5))-(-5+((-5*31.08)*(((-5--5)+(31.08--5))+31.08))))-(-5+-5)))*-5)))/-5)--5)+(-5*(((31.08*(31.08-(-5/-5)))*(31.08-(31.08/(-5*31.08))))-(-5/-5)))))</f>
        <v>148255.48575999998</v>
      </c>
      <c r="C13109" t="n" s="0">
        <v>148255.48575999995</v>
      </c>
    </row>
    <row r="13110">
      <c r="A13110" t="n" s="0">
        <v>31.09</v>
      </c>
      <c r="B13110" t="n" s="0">
        <f>(-5-((((-5*(-5/((-5/(((-5*(31.09--5))-(-5+((-5*31.09)*(((-5--5)+(31.09--5))+31.09))))-(-5+-5)))*-5)))/-5)--5)+(-5*(((31.09*(31.09-(-5/-5)))*(31.09-(31.09/(-5*31.09))))-(-5/-5)))))</f>
        <v>148399.213945</v>
      </c>
      <c r="C13110" t="n" s="0">
        <v>148399.213945</v>
      </c>
    </row>
    <row r="13111">
      <c r="A13111" t="n" s="0">
        <v>31.1</v>
      </c>
      <c r="B13111" t="n" s="0">
        <f>(-5-((((-5*(-5/((-5/(((-5*(31.1--5))-(-5+((-5*31.1)*(((-5--5)+(31.1--5))+31.1))))-(-5+-5)))*-5)))/-5)--5)+(-5*(((31.1*(31.1-(-5/-5)))*(31.1-(31.1/(-5*31.1))))-(-5/-5)))))</f>
        <v>148543.03499999997</v>
      </c>
      <c r="C13111" t="n" s="0">
        <v>148543.035</v>
      </c>
    </row>
    <row r="13112">
      <c r="A13112" t="n" s="0">
        <v>31.11</v>
      </c>
      <c r="B13112" t="n" s="0">
        <f>(-5-((((-5*(-5/((-5/(((-5*(31.11--5))-(-5+((-5*31.11)*(((-5--5)+(31.11--5))+31.11))))-(-5+-5)))*-5)))/-5)--5)+(-5*(((31.11*(31.11-(-5/-5)))*(31.11-(31.11/(-5*31.11))))-(-5/-5)))))</f>
        <v>148686.948955</v>
      </c>
      <c r="C13112" t="n" s="0">
        <v>148686.94895499997</v>
      </c>
    </row>
    <row r="13113">
      <c r="A13113" t="n" s="0">
        <v>31.12</v>
      </c>
      <c r="B13113" t="n" s="0">
        <f>(-5-((((-5*(-5/((-5/(((-5*(31.12--5))-(-5+((-5*31.12)*(((-5--5)+(31.12--5))+31.12))))-(-5+-5)))*-5)))/-5)--5)+(-5*(((31.12*(31.12-(-5/-5)))*(31.12-(31.12/(-5*31.12))))-(-5/-5)))))</f>
        <v>148830.95583999998</v>
      </c>
      <c r="C13113" t="n" s="0">
        <v>148830.95584</v>
      </c>
    </row>
    <row r="13114">
      <c r="A13114" t="n" s="0">
        <v>31.13</v>
      </c>
      <c r="B13114" t="n" s="0">
        <f>(-5-((((-5*(-5/((-5/(((-5*(31.13--5))-(-5+((-5*31.13)*(((-5--5)+(31.13--5))+31.13))))-(-5+-5)))*-5)))/-5)--5)+(-5*(((31.13*(31.13-(-5/-5)))*(31.13-(31.13/(-5*31.13))))-(-5/-5)))))</f>
        <v>148975.055685</v>
      </c>
      <c r="C13114" t="n" s="0">
        <v>148975.055685</v>
      </c>
    </row>
    <row r="13115">
      <c r="A13115" t="n" s="0">
        <v>31.14</v>
      </c>
      <c r="B13115" t="n" s="0">
        <f>(-5-((((-5*(-5/((-5/(((-5*(31.14--5))-(-5+((-5*31.14)*(((-5--5)+(31.14--5))+31.14))))-(-5+-5)))*-5)))/-5)--5)+(-5*(((31.14*(31.14-(-5/-5)))*(31.14-(31.14/(-5*31.14))))-(-5/-5)))))</f>
        <v>149119.24852000002</v>
      </c>
      <c r="C13115" t="n" s="0">
        <v>149119.24852000002</v>
      </c>
    </row>
    <row r="13116">
      <c r="A13116" t="n" s="0">
        <v>31.15</v>
      </c>
      <c r="B13116" t="n" s="0">
        <f>(-5-((((-5*(-5/((-5/(((-5*(31.15--5))-(-5+((-5*31.15)*(((-5--5)+(31.15--5))+31.15))))-(-5+-5)))*-5)))/-5)--5)+(-5*(((31.15*(31.15-(-5/-5)))*(31.15-(31.15/(-5*31.15))))-(-5/-5)))))</f>
        <v>149263.53437499996</v>
      </c>
      <c r="C13116" t="n" s="0">
        <v>149263.53437500002</v>
      </c>
    </row>
    <row r="13117">
      <c r="A13117" t="n" s="0">
        <v>31.16</v>
      </c>
      <c r="B13117" t="n" s="0">
        <f>(-5-((((-5*(-5/((-5/(((-5*(31.16--5))-(-5+((-5*31.16)*(((-5--5)+(31.16--5))+31.16))))-(-5+-5)))*-5)))/-5)--5)+(-5*(((31.16*(31.16-(-5/-5)))*(31.16-(31.16/(-5*31.16))))-(-5/-5)))))</f>
        <v>149407.91328</v>
      </c>
      <c r="C13117" t="n" s="0">
        <v>149407.91328</v>
      </c>
    </row>
    <row r="13118">
      <c r="A13118" t="n" s="0">
        <v>31.17</v>
      </c>
      <c r="B13118" t="n" s="0">
        <f>(-5-((((-5*(-5/((-5/(((-5*(31.17--5))-(-5+((-5*31.17)*(((-5--5)+(31.17--5))+31.17))))-(-5+-5)))*-5)))/-5)--5)+(-5*(((31.17*(31.17-(-5/-5)))*(31.17-(31.17/(-5*31.17))))-(-5/-5)))))</f>
        <v>149552.385265</v>
      </c>
      <c r="C13118" t="n" s="0">
        <v>149552.38526500002</v>
      </c>
    </row>
    <row r="13119">
      <c r="A13119" t="n" s="0">
        <v>31.18</v>
      </c>
      <c r="B13119" t="n" s="0">
        <f>(-5-((((-5*(-5/((-5/(((-5*(31.18--5))-(-5+((-5*31.18)*(((-5--5)+(31.18--5))+31.18))))-(-5+-5)))*-5)))/-5)--5)+(-5*(((31.18*(31.18-(-5/-5)))*(31.18-(31.18/(-5*31.18))))-(-5/-5)))))</f>
        <v>149696.95036</v>
      </c>
      <c r="C13119" t="n" s="0">
        <v>149696.95036</v>
      </c>
    </row>
    <row r="13120">
      <c r="A13120" t="n" s="0">
        <v>31.19</v>
      </c>
      <c r="B13120" t="n" s="0">
        <f>(-5-((((-5*(-5/((-5/(((-5*(31.19--5))-(-5+((-5*31.19)*(((-5--5)+(31.19--5))+31.19))))-(-5+-5)))*-5)))/-5)--5)+(-5*(((31.19*(31.19-(-5/-5)))*(31.19-(31.19/(-5*31.19))))-(-5/-5)))))</f>
        <v>149841.608595</v>
      </c>
      <c r="C13120" t="n" s="0">
        <v>149841.60859500003</v>
      </c>
    </row>
    <row r="13121">
      <c r="A13121" t="n" s="0">
        <v>31.2</v>
      </c>
      <c r="B13121" t="n" s="0">
        <f>(-5-((((-5*(-5/((-5/(((-5*(31.2--5))-(-5+((-5*31.2)*(((-5--5)+(31.2--5))+31.2))))-(-5+-5)))*-5)))/-5)--5)+(-5*(((31.2*(31.2-(-5/-5)))*(31.2-(31.2/(-5*31.2))))-(-5/-5)))))</f>
        <v>149986.36</v>
      </c>
      <c r="C13121" t="n" s="0">
        <v>149986.36</v>
      </c>
    </row>
    <row r="13122">
      <c r="A13122" t="n" s="0">
        <v>31.21</v>
      </c>
      <c r="B13122" t="n" s="0">
        <f>(-5-((((-5*(-5/((-5/(((-5*(31.21--5))-(-5+((-5*31.21)*(((-5--5)+(31.21--5))+31.21))))-(-5+-5)))*-5)))/-5)--5)+(-5*(((31.21*(31.21-(-5/-5)))*(31.21-(31.21/(-5*31.21))))-(-5/-5)))))</f>
        <v>150131.204605</v>
      </c>
      <c r="C13122" t="n" s="0">
        <v>150131.204605</v>
      </c>
    </row>
    <row r="13123">
      <c r="A13123" t="n" s="0">
        <v>31.22</v>
      </c>
      <c r="B13123" t="n" s="0">
        <f>(-5-((((-5*(-5/((-5/(((-5*(31.22--5))-(-5+((-5*31.22)*(((-5--5)+(31.22--5))+31.22))))-(-5+-5)))*-5)))/-5)--5)+(-5*(((31.22*(31.22-(-5/-5)))*(31.22-(31.22/(-5*31.22))))-(-5/-5)))))</f>
        <v>150276.14244000003</v>
      </c>
      <c r="C13123" t="n" s="0">
        <v>150276.14244</v>
      </c>
    </row>
    <row r="13124">
      <c r="A13124" t="n" s="0">
        <v>31.23</v>
      </c>
      <c r="B13124" t="n" s="0">
        <f>(-5-((((-5*(-5/((-5/(((-5*(31.23--5))-(-5+((-5*31.23)*(((-5--5)+(31.23--5))+31.23))))-(-5+-5)))*-5)))/-5)--5)+(-5*(((31.23*(31.23-(-5/-5)))*(31.23-(31.23/(-5*31.23))))-(-5/-5)))))</f>
        <v>150421.17353499998</v>
      </c>
      <c r="C13124" t="n" s="0">
        <v>150421.17353499998</v>
      </c>
    </row>
    <row r="13125">
      <c r="A13125" t="n" s="0">
        <v>31.24</v>
      </c>
      <c r="B13125" t="n" s="0">
        <f>(-5-((((-5*(-5/((-5/(((-5*(31.24--5))-(-5+((-5*31.24)*(((-5--5)+(31.24--5))+31.24))))-(-5+-5)))*-5)))/-5)--5)+(-5*(((31.24*(31.24-(-5/-5)))*(31.24-(31.24/(-5*31.24))))-(-5/-5)))))</f>
        <v>150566.29792</v>
      </c>
      <c r="C13125" t="n" s="0">
        <v>150566.29791999995</v>
      </c>
    </row>
    <row r="13126">
      <c r="A13126" t="n" s="0">
        <v>31.25</v>
      </c>
      <c r="B13126" t="n" s="0">
        <f>(-5-((((-5*(-5/((-5/(((-5*(31.25--5))-(-5+((-5*31.25)*(((-5--5)+(31.25--5))+31.25))))-(-5+-5)))*-5)))/-5)--5)+(-5*(((31.25*(31.25-(-5/-5)))*(31.25-(31.25/(-5*31.25))))-(-5/-5)))))</f>
        <v>150711.515625</v>
      </c>
      <c r="C13126" t="n" s="0">
        <v>150711.515625</v>
      </c>
    </row>
    <row r="13127">
      <c r="A13127" t="n" s="0">
        <v>31.26</v>
      </c>
      <c r="B13127" t="n" s="0">
        <f>(-5-((((-5*(-5/((-5/(((-5*(31.26--5))-(-5+((-5*31.26)*(((-5--5)+(31.26--5))+31.26))))-(-5+-5)))*-5)))/-5)--5)+(-5*(((31.26*(31.26-(-5/-5)))*(31.26-(31.26/(-5*31.26))))-(-5/-5)))))</f>
        <v>150856.82668</v>
      </c>
      <c r="C13127" t="n" s="0">
        <v>150856.82668000003</v>
      </c>
    </row>
    <row r="13128">
      <c r="A13128" t="n" s="0">
        <v>31.27</v>
      </c>
      <c r="B13128" t="n" s="0">
        <f>(-5-((((-5*(-5/((-5/(((-5*(31.27--5))-(-5+((-5*31.27)*(((-5--5)+(31.27--5))+31.27))))-(-5+-5)))*-5)))/-5)--5)+(-5*(((31.27*(31.27-(-5/-5)))*(31.27-(31.27/(-5*31.27))))-(-5/-5)))))</f>
        <v>151002.231115</v>
      </c>
      <c r="C13128" t="n" s="0">
        <v>151002.23111499997</v>
      </c>
    </row>
    <row r="13129">
      <c r="A13129" t="n" s="0">
        <v>31.28</v>
      </c>
      <c r="B13129" t="n" s="0">
        <f>(-5-((((-5*(-5/((-5/(((-5*(31.28--5))-(-5+((-5*31.28)*(((-5--5)+(31.28--5))+31.28))))-(-5+-5)))*-5)))/-5)--5)+(-5*(((31.28*(31.28-(-5/-5)))*(31.28-(31.28/(-5*31.28))))-(-5/-5)))))</f>
        <v>151147.72896</v>
      </c>
      <c r="C13129" t="n" s="0">
        <v>151147.72896</v>
      </c>
    </row>
    <row r="13130">
      <c r="A13130" t="n" s="0">
        <v>31.29</v>
      </c>
      <c r="B13130" t="n" s="0">
        <f>(-5-((((-5*(-5/((-5/(((-5*(31.29--5))-(-5+((-5*31.29)*(((-5--5)+(31.29--5))+31.29))))-(-5+-5)))*-5)))/-5)--5)+(-5*(((31.29*(31.29-(-5/-5)))*(31.29-(31.29/(-5*31.29))))-(-5/-5)))))</f>
        <v>151293.320245</v>
      </c>
      <c r="C13130" t="n" s="0">
        <v>151293.32024499998</v>
      </c>
    </row>
    <row r="13131">
      <c r="A13131" t="n" s="0">
        <v>31.3</v>
      </c>
      <c r="B13131" t="n" s="0">
        <f>(-5-((((-5*(-5/((-5/(((-5*(31.3--5))-(-5+((-5*31.3)*(((-5--5)+(31.3--5))+31.3))))-(-5+-5)))*-5)))/-5)--5)+(-5*(((31.3*(31.3-(-5/-5)))*(31.3-(31.3/(-5*31.3))))-(-5/-5)))))</f>
        <v>151439.00499999998</v>
      </c>
      <c r="C13131" t="n" s="0">
        <v>151439.005</v>
      </c>
    </row>
    <row r="13132">
      <c r="A13132" t="n" s="0">
        <v>31.31</v>
      </c>
      <c r="B13132" t="n" s="0">
        <f>(-5-((((-5*(-5/((-5/(((-5*(31.31--5))-(-5+((-5*31.31)*(((-5--5)+(31.31--5))+31.31))))-(-5+-5)))*-5)))/-5)--5)+(-5*(((31.31*(31.31-(-5/-5)))*(31.31-(31.31/(-5*31.31))))-(-5/-5)))))</f>
        <v>151584.78325500002</v>
      </c>
      <c r="C13132" t="n" s="0">
        <v>151584.78325499996</v>
      </c>
    </row>
    <row r="13133">
      <c r="A13133" t="n" s="0">
        <v>31.32</v>
      </c>
      <c r="B13133" t="n" s="0">
        <f>(-5-((((-5*(-5/((-5/(((-5*(31.32--5))-(-5+((-5*31.32)*(((-5--5)+(31.32--5))+31.32))))-(-5+-5)))*-5)))/-5)--5)+(-5*(((31.32*(31.32-(-5/-5)))*(31.32-(31.32/(-5*31.32))))-(-5/-5)))))</f>
        <v>151730.65504</v>
      </c>
      <c r="C13133" t="n" s="0">
        <v>151730.65504</v>
      </c>
    </row>
    <row r="13134">
      <c r="A13134" t="n" s="0">
        <v>31.33</v>
      </c>
      <c r="B13134" t="n" s="0">
        <f>(-5-((((-5*(-5/((-5/(((-5*(31.33--5))-(-5+((-5*31.33)*(((-5--5)+(31.33--5))+31.33))))-(-5+-5)))*-5)))/-5)--5)+(-5*(((31.33*(31.33-(-5/-5)))*(31.33-(31.33/(-5*31.33))))-(-5/-5)))))</f>
        <v>151876.62038500002</v>
      </c>
      <c r="C13134" t="n" s="0">
        <v>151876.62038499996</v>
      </c>
    </row>
    <row r="13135">
      <c r="A13135" t="n" s="0">
        <v>31.34</v>
      </c>
      <c r="B13135" t="n" s="0">
        <f>(-5-((((-5*(-5/((-5/(((-5*(31.34--5))-(-5+((-5*31.34)*(((-5--5)+(31.34--5))+31.34))))-(-5+-5)))*-5)))/-5)--5)+(-5*(((31.34*(31.34-(-5/-5)))*(31.34-(31.34/(-5*31.34))))-(-5/-5)))))</f>
        <v>152022.67932</v>
      </c>
      <c r="C13135" t="n" s="0">
        <v>152022.67931999997</v>
      </c>
    </row>
    <row r="13136">
      <c r="A13136" t="n" s="0">
        <v>31.35</v>
      </c>
      <c r="B13136" t="n" s="0">
        <f>(-5-((((-5*(-5/((-5/(((-5*(31.35--5))-(-5+((-5*31.35)*(((-5--5)+(31.35--5))+31.35))))-(-5+-5)))*-5)))/-5)--5)+(-5*(((31.35*(31.35-(-5/-5)))*(31.35-(31.35/(-5*31.35))))-(-5/-5)))))</f>
        <v>152168.831875</v>
      </c>
      <c r="C13136" t="n" s="0">
        <v>152168.831875</v>
      </c>
    </row>
    <row r="13137">
      <c r="A13137" t="n" s="0">
        <v>31.36</v>
      </c>
      <c r="B13137" t="n" s="0">
        <f>(-5-((((-5*(-5/((-5/(((-5*(31.36--5))-(-5+((-5*31.36)*(((-5--5)+(31.36--5))+31.36))))-(-5+-5)))*-5)))/-5)--5)+(-5*(((31.36*(31.36-(-5/-5)))*(31.36-(31.36/(-5*31.36))))-(-5/-5)))))</f>
        <v>152315.07807999998</v>
      </c>
      <c r="C13137" t="n" s="0">
        <v>152315.07807999998</v>
      </c>
    </row>
    <row r="13138">
      <c r="A13138" t="n" s="0">
        <v>31.37</v>
      </c>
      <c r="B13138" t="n" s="0">
        <f>(-5-((((-5*(-5/((-5/(((-5*(31.37--5))-(-5+((-5*31.37)*(((-5--5)+(31.37--5))+31.37))))-(-5+-5)))*-5)))/-5)--5)+(-5*(((31.37*(31.37-(-5/-5)))*(31.37-(31.37/(-5*31.37))))-(-5/-5)))))</f>
        <v>152461.417965</v>
      </c>
      <c r="C13138" t="n" s="0">
        <v>152461.417965</v>
      </c>
    </row>
    <row r="13139">
      <c r="A13139" t="n" s="0">
        <v>31.38</v>
      </c>
      <c r="B13139" t="n" s="0">
        <f>(-5-((((-5*(-5/((-5/(((-5*(31.38--5))-(-5+((-5*31.38)*(((-5--5)+(31.38--5))+31.38))))-(-5+-5)))*-5)))/-5)--5)+(-5*(((31.38*(31.38-(-5/-5)))*(31.38-(31.38/(-5*31.38))))-(-5/-5)))))</f>
        <v>152607.85155999998</v>
      </c>
      <c r="C13139" t="n" s="0">
        <v>152607.85155999998</v>
      </c>
    </row>
    <row r="13140">
      <c r="A13140" t="n" s="0">
        <v>31.39</v>
      </c>
      <c r="B13140" t="n" s="0">
        <f>(-5-((((-5*(-5/((-5/(((-5*(31.39--5))-(-5+((-5*31.39)*(((-5--5)+(31.39--5))+31.39))))-(-5+-5)))*-5)))/-5)--5)+(-5*(((31.39*(31.39-(-5/-5)))*(31.39-(31.39/(-5*31.39))))-(-5/-5)))))</f>
        <v>152754.378895</v>
      </c>
      <c r="C13140" t="n" s="0">
        <v>152754.37889500003</v>
      </c>
    </row>
    <row r="13141">
      <c r="A13141" t="n" s="0">
        <v>31.4</v>
      </c>
      <c r="B13141" t="n" s="0">
        <f>(-5-((((-5*(-5/((-5/(((-5*(31.4--5))-(-5+((-5*31.4)*(((-5--5)+(31.4--5))+31.4))))-(-5+-5)))*-5)))/-5)--5)+(-5*(((31.4*(31.4-(-5/-5)))*(31.4-(31.4/(-5*31.4))))-(-5/-5)))))</f>
        <v>152901.0</v>
      </c>
      <c r="C13141" t="n" s="0">
        <v>152900.99999999997</v>
      </c>
    </row>
    <row r="13142">
      <c r="A13142" t="n" s="0">
        <v>31.41</v>
      </c>
      <c r="B13142" t="n" s="0">
        <f>(-5-((((-5*(-5/((-5/(((-5*(31.41--5))-(-5+((-5*31.41)*(((-5--5)+(31.41--5))+31.41))))-(-5+-5)))*-5)))/-5)--5)+(-5*(((31.41*(31.41-(-5/-5)))*(31.41-(31.41/(-5*31.41))))-(-5/-5)))))</f>
        <v>153047.714905</v>
      </c>
      <c r="C13142" t="n" s="0">
        <v>153047.71490500003</v>
      </c>
    </row>
    <row r="13143">
      <c r="A13143" t="n" s="0">
        <v>31.42</v>
      </c>
      <c r="B13143" t="n" s="0">
        <f>(-5-((((-5*(-5/((-5/(((-5*(31.42--5))-(-5+((-5*31.42)*(((-5--5)+(31.42--5))+31.42))))-(-5+-5)))*-5)))/-5)--5)+(-5*(((31.42*(31.42-(-5/-5)))*(31.42-(31.42/(-5*31.42))))-(-5/-5)))))</f>
        <v>153194.52364</v>
      </c>
      <c r="C13143" t="n" s="0">
        <v>153194.52364000003</v>
      </c>
    </row>
    <row r="13144">
      <c r="A13144" t="n" s="0">
        <v>31.43</v>
      </c>
      <c r="B13144" t="n" s="0">
        <f>(-5-((((-5*(-5/((-5/(((-5*(31.43--5))-(-5+((-5*31.43)*(((-5--5)+(31.43--5))+31.43))))-(-5+-5)))*-5)))/-5)--5)+(-5*(((31.43*(31.43-(-5/-5)))*(31.43-(31.43/(-5*31.43))))-(-5/-5)))))</f>
        <v>153341.426235</v>
      </c>
      <c r="C13144" t="n" s="0">
        <v>153341.426235</v>
      </c>
    </row>
    <row r="13145">
      <c r="A13145" t="n" s="0">
        <v>31.44</v>
      </c>
      <c r="B13145" t="n" s="0">
        <f>(-5-((((-5*(-5/((-5/(((-5*(31.44--5))-(-5+((-5*31.44)*(((-5--5)+(31.44--5))+31.44))))-(-5+-5)))*-5)))/-5)--5)+(-5*(((31.44*(31.44-(-5/-5)))*(31.44-(31.44/(-5*31.44))))-(-5/-5)))))</f>
        <v>153488.42272</v>
      </c>
      <c r="C13145" t="n" s="0">
        <v>153488.42272000003</v>
      </c>
    </row>
    <row r="13146">
      <c r="A13146" t="n" s="0">
        <v>31.45</v>
      </c>
      <c r="B13146" t="n" s="0">
        <f>(-5-((((-5*(-5/((-5/(((-5*(31.45--5))-(-5+((-5*31.45)*(((-5--5)+(31.45--5))+31.45))))-(-5+-5)))*-5)))/-5)--5)+(-5*(((31.45*(31.45-(-5/-5)))*(31.45-(31.45/(-5*31.45))))-(-5/-5)))))</f>
        <v>153635.513125</v>
      </c>
      <c r="C13146" t="n" s="0">
        <v>153635.513125</v>
      </c>
    </row>
    <row r="13147">
      <c r="A13147" t="n" s="0">
        <v>31.46</v>
      </c>
      <c r="B13147" t="n" s="0">
        <f>(-5-((((-5*(-5/((-5/(((-5*(31.46--5))-(-5+((-5*31.46)*(((-5--5)+(31.46--5))+31.46))))-(-5+-5)))*-5)))/-5)--5)+(-5*(((31.46*(31.46-(-5/-5)))*(31.46-(31.46/(-5*31.46))))-(-5/-5)))))</f>
        <v>153782.69748</v>
      </c>
      <c r="C13147" t="n" s="0">
        <v>153782.69748000003</v>
      </c>
    </row>
    <row r="13148">
      <c r="A13148" t="n" s="0">
        <v>31.47</v>
      </c>
      <c r="B13148" t="n" s="0">
        <f>(-5-((((-5*(-5/((-5/(((-5*(31.47--5))-(-5+((-5*31.47)*(((-5--5)+(31.47--5))+31.47))))-(-5+-5)))*-5)))/-5)--5)+(-5*(((31.47*(31.47-(-5/-5)))*(31.47-(31.47/(-5*31.47))))-(-5/-5)))))</f>
        <v>153929.975815</v>
      </c>
      <c r="C13148" t="n" s="0">
        <v>153929.97581499998</v>
      </c>
    </row>
    <row r="13149">
      <c r="A13149" t="n" s="0">
        <v>31.48</v>
      </c>
      <c r="B13149" t="n" s="0">
        <f>(-5-((((-5*(-5/((-5/(((-5*(31.48--5))-(-5+((-5*31.48)*(((-5--5)+(31.48--5))+31.48))))-(-5+-5)))*-5)))/-5)--5)+(-5*(((31.48*(31.48-(-5/-5)))*(31.48-(31.48/(-5*31.48))))-(-5/-5)))))</f>
        <v>154077.34816</v>
      </c>
      <c r="C13149" t="n" s="0">
        <v>154077.34816000002</v>
      </c>
    </row>
    <row r="13150">
      <c r="A13150" t="n" s="0">
        <v>31.49</v>
      </c>
      <c r="B13150" t="n" s="0">
        <f>(-5-((((-5*(-5/((-5/(((-5*(31.49--5))-(-5+((-5*31.49)*(((-5--5)+(31.49--5))+31.49))))-(-5+-5)))*-5)))/-5)--5)+(-5*(((31.49*(31.49-(-5/-5)))*(31.49-(31.49/(-5*31.49))))-(-5/-5)))))</f>
        <v>154224.814545</v>
      </c>
      <c r="C13150" t="n" s="0">
        <v>154224.81454499997</v>
      </c>
    </row>
    <row r="13151">
      <c r="A13151" t="n" s="0">
        <v>31.5</v>
      </c>
      <c r="B13151" t="n" s="0">
        <f>(-5-((((-5*(-5/((-5/(((-5*(31.5--5))-(-5+((-5*31.5)*(((-5--5)+(31.5--5))+31.5))))-(-5+-5)))*-5)))/-5)--5)+(-5*(((31.5*(31.5-(-5/-5)))*(31.5-(31.5/(-5*31.5))))-(-5/-5)))))</f>
        <v>154372.375</v>
      </c>
      <c r="C13151" t="n" s="0">
        <v>154372.375</v>
      </c>
    </row>
    <row r="13152">
      <c r="A13152" t="n" s="0">
        <v>31.51</v>
      </c>
      <c r="B13152" t="n" s="0">
        <f>(-5-((((-5*(-5/((-5/(((-5*(31.51--5))-(-5+((-5*31.51)*(((-5--5)+(31.51--5))+31.51))))-(-5+-5)))*-5)))/-5)--5)+(-5*(((31.51*(31.51-(-5/-5)))*(31.51-(31.51/(-5*31.51))))-(-5/-5)))))</f>
        <v>154520.029555</v>
      </c>
      <c r="C13152" t="n" s="0">
        <v>154520.02955500002</v>
      </c>
    </row>
    <row r="13153">
      <c r="A13153" t="n" s="0">
        <v>31.52</v>
      </c>
      <c r="B13153" t="n" s="0">
        <f>(-5-((((-5*(-5/((-5/(((-5*(31.52--5))-(-5+((-5*31.52)*(((-5--5)+(31.52--5))+31.52))))-(-5+-5)))*-5)))/-5)--5)+(-5*(((31.52*(31.52-(-5/-5)))*(31.52-(31.52/(-5*31.52))))-(-5/-5)))))</f>
        <v>154667.77824</v>
      </c>
      <c r="C13153" t="n" s="0">
        <v>154667.77823999999</v>
      </c>
    </row>
    <row r="13154">
      <c r="A13154" t="n" s="0">
        <v>31.53</v>
      </c>
      <c r="B13154" t="n" s="0">
        <f>(-5-((((-5*(-5/((-5/(((-5*(31.53--5))-(-5+((-5*31.53)*(((-5--5)+(31.53--5))+31.53))))-(-5+-5)))*-5)))/-5)--5)+(-5*(((31.53*(31.53-(-5/-5)))*(31.53-(31.53/(-5*31.53))))-(-5/-5)))))</f>
        <v>154815.621085</v>
      </c>
      <c r="C13154" t="n" s="0">
        <v>154815.62108500002</v>
      </c>
    </row>
    <row r="13155">
      <c r="A13155" t="n" s="0">
        <v>31.54</v>
      </c>
      <c r="B13155" t="n" s="0">
        <f>(-5-((((-5*(-5/((-5/(((-5*(31.54--5))-(-5+((-5*31.54)*(((-5--5)+(31.54--5))+31.54))))-(-5+-5)))*-5)))/-5)--5)+(-5*(((31.54*(31.54-(-5/-5)))*(31.54-(31.54/(-5*31.54))))-(-5/-5)))))</f>
        <v>154963.55812</v>
      </c>
      <c r="C13155" t="n" s="0">
        <v>154963.55812</v>
      </c>
    </row>
    <row r="13156">
      <c r="A13156" t="n" s="0">
        <v>31.55</v>
      </c>
      <c r="B13156" t="n" s="0">
        <f>(-5-((((-5*(-5/((-5/(((-5*(31.55--5))-(-5+((-5*31.55)*(((-5--5)+(31.55--5))+31.55))))-(-5+-5)))*-5)))/-5)--5)+(-5*(((31.55*(31.55-(-5/-5)))*(31.55-(31.55/(-5*31.55))))-(-5/-5)))))</f>
        <v>155111.589375</v>
      </c>
      <c r="C13156" t="n" s="0">
        <v>155111.589375</v>
      </c>
    </row>
    <row r="13157">
      <c r="A13157" t="n" s="0">
        <v>31.56</v>
      </c>
      <c r="B13157" t="n" s="0">
        <f>(-5-((((-5*(-5/((-5/(((-5*(31.56--5))-(-5+((-5*31.56)*(((-5--5)+(31.56--5))+31.56))))-(-5+-5)))*-5)))/-5)--5)+(-5*(((31.56*(31.56-(-5/-5)))*(31.56-(31.56/(-5*31.56))))-(-5/-5)))))</f>
        <v>155259.71488</v>
      </c>
      <c r="C13157" t="n" s="0">
        <v>155259.71487999998</v>
      </c>
    </row>
    <row r="13158">
      <c r="A13158" t="n" s="0">
        <v>31.57</v>
      </c>
      <c r="B13158" t="n" s="0">
        <f>(-5-((((-5*(-5/((-5/(((-5*(31.57--5))-(-5+((-5*31.57)*(((-5--5)+(31.57--5))+31.57))))-(-5+-5)))*-5)))/-5)--5)+(-5*(((31.57*(31.57-(-5/-5)))*(31.57-(31.57/(-5*31.57))))-(-5/-5)))))</f>
        <v>155407.934665</v>
      </c>
      <c r="C13158" t="n" s="0">
        <v>155407.93466499998</v>
      </c>
    </row>
    <row r="13159">
      <c r="A13159" t="n" s="0">
        <v>31.58</v>
      </c>
      <c r="B13159" t="n" s="0">
        <f>(-5-((((-5*(-5/((-5/(((-5*(31.58--5))-(-5+((-5*31.58)*(((-5--5)+(31.58--5))+31.58))))-(-5+-5)))*-5)))/-5)--5)+(-5*(((31.58*(31.58-(-5/-5)))*(31.58-(31.58/(-5*31.58))))-(-5/-5)))))</f>
        <v>155556.24876</v>
      </c>
      <c r="C13159" t="n" s="0">
        <v>155556.24875999996</v>
      </c>
    </row>
    <row r="13160">
      <c r="A13160" t="n" s="0">
        <v>31.59</v>
      </c>
      <c r="B13160" t="n" s="0">
        <f>(-5-((((-5*(-5/((-5/(((-5*(31.59--5))-(-5+((-5*31.59)*(((-5--5)+(31.59--5))+31.59))))-(-5+-5)))*-5)))/-5)--5)+(-5*(((31.59*(31.59-(-5/-5)))*(31.59-(31.59/(-5*31.59))))-(-5/-5)))))</f>
        <v>155704.657195</v>
      </c>
      <c r="C13160" t="n" s="0">
        <v>155704.65719499998</v>
      </c>
    </row>
    <row r="13161">
      <c r="A13161" t="n" s="0">
        <v>31.6</v>
      </c>
      <c r="B13161" t="n" s="0">
        <f>(-5-((((-5*(-5/((-5/(((-5*(31.6--5))-(-5+((-5*31.6)*(((-5--5)+(31.6--5))+31.6))))-(-5+-5)))*-5)))/-5)--5)+(-5*(((31.6*(31.6-(-5/-5)))*(31.6-(31.6/(-5*31.6))))-(-5/-5)))))</f>
        <v>155853.16</v>
      </c>
      <c r="C13161" t="n" s="0">
        <v>155853.16</v>
      </c>
    </row>
    <row r="13162">
      <c r="A13162" t="n" s="0">
        <v>31.61</v>
      </c>
      <c r="B13162" t="n" s="0">
        <f>(-5-((((-5*(-5/((-5/(((-5*(31.61--5))-(-5+((-5*31.61)*(((-5--5)+(31.61--5))+31.61))))-(-5+-5)))*-5)))/-5)--5)+(-5*(((31.61*(31.61-(-5/-5)))*(31.61-(31.61/(-5*31.61))))-(-5/-5)))))</f>
        <v>156001.757205</v>
      </c>
      <c r="C13162" t="n" s="0">
        <v>156001.75720499997</v>
      </c>
    </row>
    <row r="13163">
      <c r="A13163" t="n" s="0">
        <v>31.62</v>
      </c>
      <c r="B13163" t="n" s="0">
        <f>(-5-((((-5*(-5/((-5/(((-5*(31.62--5))-(-5+((-5*31.62)*(((-5--5)+(31.62--5))+31.62))))-(-5+-5)))*-5)))/-5)--5)+(-5*(((31.62*(31.62-(-5/-5)))*(31.62-(31.62/(-5*31.62))))-(-5/-5)))))</f>
        <v>156150.44884</v>
      </c>
      <c r="C13163" t="n" s="0">
        <v>156150.44884</v>
      </c>
    </row>
    <row r="13164">
      <c r="A13164" t="n" s="0">
        <v>31.63</v>
      </c>
      <c r="B13164" t="n" s="0">
        <f>(-5-((((-5*(-5/((-5/(((-5*(31.63--5))-(-5+((-5*31.63)*(((-5--5)+(31.63--5))+31.63))))-(-5+-5)))*-5)))/-5)--5)+(-5*(((31.63*(31.63-(-5/-5)))*(31.63-(31.63/(-5*31.63))))-(-5/-5)))))</f>
        <v>156299.234935</v>
      </c>
      <c r="C13164" t="n" s="0">
        <v>156299.234935</v>
      </c>
    </row>
    <row r="13165">
      <c r="A13165" t="n" s="0">
        <v>31.64</v>
      </c>
      <c r="B13165" t="n" s="0">
        <f>(-5-((((-5*(-5/((-5/(((-5*(31.64--5))-(-5+((-5*31.64)*(((-5--5)+(31.64--5))+31.64))))-(-5+-5)))*-5)))/-5)--5)+(-5*(((31.64*(31.64-(-5/-5)))*(31.64-(31.64/(-5*31.64))))-(-5/-5)))))</f>
        <v>156448.11552000002</v>
      </c>
      <c r="C13165" t="n" s="0">
        <v>156448.11552000002</v>
      </c>
    </row>
    <row r="13166">
      <c r="A13166" t="n" s="0">
        <v>31.65</v>
      </c>
      <c r="B13166" t="n" s="0">
        <f>(-5-((((-5*(-5/((-5/(((-5*(31.65--5))-(-5+((-5*31.65)*(((-5--5)+(31.65--5))+31.65))))-(-5+-5)))*-5)))/-5)--5)+(-5*(((31.65*(31.65-(-5/-5)))*(31.65-(31.65/(-5*31.65))))-(-5/-5)))))</f>
        <v>156597.090625</v>
      </c>
      <c r="C13166" t="n" s="0">
        <v>156597.09062499998</v>
      </c>
    </row>
    <row r="13167">
      <c r="A13167" t="n" s="0">
        <v>31.66</v>
      </c>
      <c r="B13167" t="n" s="0">
        <f>(-5-((((-5*(-5/((-5/(((-5*(31.66--5))-(-5+((-5*31.66)*(((-5--5)+(31.66--5))+31.66))))-(-5+-5)))*-5)))/-5)--5)+(-5*(((31.66*(31.66-(-5/-5)))*(31.66-(31.66/(-5*31.66))))-(-5/-5)))))</f>
        <v>156746.16028</v>
      </c>
      <c r="C13167" t="n" s="0">
        <v>156746.16028</v>
      </c>
    </row>
    <row r="13168">
      <c r="A13168" t="n" s="0">
        <v>31.67</v>
      </c>
      <c r="B13168" t="n" s="0">
        <f>(-5-((((-5*(-5/((-5/(((-5*(31.67--5))-(-5+((-5*31.67)*(((-5--5)+(31.67--5))+31.67))))-(-5+-5)))*-5)))/-5)--5)+(-5*(((31.67*(31.67-(-5/-5)))*(31.67-(31.67/(-5*31.67))))-(-5/-5)))))</f>
        <v>156895.324515</v>
      </c>
      <c r="C13168" t="n" s="0">
        <v>156895.32451500004</v>
      </c>
    </row>
    <row r="13169">
      <c r="A13169" t="n" s="0">
        <v>31.68</v>
      </c>
      <c r="B13169" t="n" s="0">
        <f>(-5-((((-5*(-5/((-5/(((-5*(31.68--5))-(-5+((-5*31.68)*(((-5--5)+(31.68--5))+31.68))))-(-5+-5)))*-5)))/-5)--5)+(-5*(((31.68*(31.68-(-5/-5)))*(31.68-(31.68/(-5*31.68))))-(-5/-5)))))</f>
        <v>157044.58336</v>
      </c>
      <c r="C13169" t="n" s="0">
        <v>157044.58336000002</v>
      </c>
    </row>
    <row r="13170">
      <c r="A13170" t="n" s="0">
        <v>31.69</v>
      </c>
      <c r="B13170" t="n" s="0">
        <f>(-5-((((-5*(-5/((-5/(((-5*(31.69--5))-(-5+((-5*31.69)*(((-5--5)+(31.69--5))+31.69))))-(-5+-5)))*-5)))/-5)--5)+(-5*(((31.69*(31.69-(-5/-5)))*(31.69-(31.69/(-5*31.69))))-(-5/-5)))))</f>
        <v>157193.93684500002</v>
      </c>
      <c r="C13170" t="n" s="0">
        <v>157193.93684500002</v>
      </c>
    </row>
    <row r="13171">
      <c r="A13171" t="n" s="0">
        <v>31.7</v>
      </c>
      <c r="B13171" t="n" s="0">
        <f>(-5-((((-5*(-5/((-5/(((-5*(31.7--5))-(-5+((-5*31.7)*(((-5--5)+(31.7--5))+31.7))))-(-5+-5)))*-5)))/-5)--5)+(-5*(((31.7*(31.7-(-5/-5)))*(31.7-(31.7/(-5*31.7))))-(-5/-5)))))</f>
        <v>157343.38499999998</v>
      </c>
      <c r="C13171" t="n" s="0">
        <v>157343.385</v>
      </c>
    </row>
    <row r="13172">
      <c r="A13172" t="n" s="0">
        <v>31.71</v>
      </c>
      <c r="B13172" t="n" s="0">
        <f>(-5-((((-5*(-5/((-5/(((-5*(31.71--5))-(-5+((-5*31.71)*(((-5--5)+(31.71--5))+31.71))))-(-5+-5)))*-5)))/-5)--5)+(-5*(((31.71*(31.71-(-5/-5)))*(31.71-(31.71/(-5*31.71))))-(-5/-5)))))</f>
        <v>157492.927855</v>
      </c>
      <c r="C13172" t="n" s="0">
        <v>157492.92785500005</v>
      </c>
    </row>
    <row r="13173">
      <c r="A13173" t="n" s="0">
        <v>31.72</v>
      </c>
      <c r="B13173" t="n" s="0">
        <f>(-5-((((-5*(-5/((-5/(((-5*(31.72--5))-(-5+((-5*31.72)*(((-5--5)+(31.72--5))+31.72))))-(-5+-5)))*-5)))/-5)--5)+(-5*(((31.72*(31.72-(-5/-5)))*(31.72-(31.72/(-5*31.72))))-(-5/-5)))))</f>
        <v>157642.56544</v>
      </c>
      <c r="C13173" t="n" s="0">
        <v>157642.56543999998</v>
      </c>
    </row>
    <row r="13174">
      <c r="A13174" t="n" s="0">
        <v>31.73</v>
      </c>
      <c r="B13174" t="n" s="0">
        <f>(-5-((((-5*(-5/((-5/(((-5*(31.73--5))-(-5+((-5*31.73)*(((-5--5)+(31.73--5))+31.73))))-(-5+-5)))*-5)))/-5)--5)+(-5*(((31.73*(31.73-(-5/-5)))*(31.73-(31.73/(-5*31.73))))-(-5/-5)))))</f>
        <v>157792.297785</v>
      </c>
      <c r="C13174" t="n" s="0">
        <v>157792.297785</v>
      </c>
    </row>
    <row r="13175">
      <c r="A13175" t="n" s="0">
        <v>31.74</v>
      </c>
      <c r="B13175" t="n" s="0">
        <f>(-5-((((-5*(-5/((-5/(((-5*(31.74--5))-(-5+((-5*31.74)*(((-5--5)+(31.74--5))+31.74))))-(-5+-5)))*-5)))/-5)--5)+(-5*(((31.74*(31.74-(-5/-5)))*(31.74-(31.74/(-5*31.74))))-(-5/-5)))))</f>
        <v>157942.12492</v>
      </c>
      <c r="C13175" t="n" s="0">
        <v>157942.12491999997</v>
      </c>
    </row>
    <row r="13176">
      <c r="A13176" t="n" s="0">
        <v>31.75</v>
      </c>
      <c r="B13176" t="n" s="0">
        <f>(-5-((((-5*(-5/((-5/(((-5*(31.75--5))-(-5+((-5*31.75)*(((-5--5)+(31.75--5))+31.75))))-(-5+-5)))*-5)))/-5)--5)+(-5*(((31.75*(31.75-(-5/-5)))*(31.75-(31.75/(-5*31.75))))-(-5/-5)))))</f>
        <v>158092.046875</v>
      </c>
      <c r="C13176" t="n" s="0">
        <v>158092.046875</v>
      </c>
    </row>
    <row r="13177">
      <c r="A13177" t="n" s="0">
        <v>31.76</v>
      </c>
      <c r="B13177" t="n" s="0">
        <f>(-5-((((-5*(-5/((-5/(((-5*(31.76--5))-(-5+((-5*31.76)*(((-5--5)+(31.76--5))+31.76))))-(-5+-5)))*-5)))/-5)--5)+(-5*(((31.76*(31.76-(-5/-5)))*(31.76-(31.76/(-5*31.76))))-(-5/-5)))))</f>
        <v>158242.06368000002</v>
      </c>
      <c r="C13177" t="n" s="0">
        <v>158242.06368000002</v>
      </c>
    </row>
    <row r="13178">
      <c r="A13178" t="n" s="0">
        <v>31.77</v>
      </c>
      <c r="B13178" t="n" s="0">
        <f>(-5-((((-5*(-5/((-5/(((-5*(31.77--5))-(-5+((-5*31.77)*(((-5--5)+(31.77--5))+31.77))))-(-5+-5)))*-5)))/-5)--5)+(-5*(((31.77*(31.77-(-5/-5)))*(31.77-(31.77/(-5*31.77))))-(-5/-5)))))</f>
        <v>158392.175365</v>
      </c>
      <c r="C13178" t="n" s="0">
        <v>158392.175365</v>
      </c>
    </row>
    <row r="13179">
      <c r="A13179" t="n" s="0">
        <v>31.78</v>
      </c>
      <c r="B13179" t="n" s="0">
        <f>(-5-((((-5*(-5/((-5/(((-5*(31.78--5))-(-5+((-5*31.78)*(((-5--5)+(31.78--5))+31.78))))-(-5+-5)))*-5)))/-5)--5)+(-5*(((31.78*(31.78-(-5/-5)))*(31.78-(31.78/(-5*31.78))))-(-5/-5)))))</f>
        <v>158542.38196000003</v>
      </c>
      <c r="C13179" t="n" s="0">
        <v>158542.38196</v>
      </c>
    </row>
    <row r="13180">
      <c r="A13180" t="n" s="0">
        <v>31.79</v>
      </c>
      <c r="B13180" t="n" s="0">
        <f>(-5-((((-5*(-5/((-5/(((-5*(31.79--5))-(-5+((-5*31.79)*(((-5--5)+(31.79--5))+31.79))))-(-5+-5)))*-5)))/-5)--5)+(-5*(((31.79*(31.79-(-5/-5)))*(31.79-(31.79/(-5*31.79))))-(-5/-5)))))</f>
        <v>158692.683495</v>
      </c>
      <c r="C13180" t="n" s="0">
        <v>158692.683495</v>
      </c>
    </row>
    <row r="13181">
      <c r="A13181" t="n" s="0">
        <v>31.8</v>
      </c>
      <c r="B13181" t="n" s="0">
        <f>(-5-((((-5*(-5/((-5/(((-5*(31.8--5))-(-5+((-5*31.8)*(((-5--5)+(31.8--5))+31.8))))-(-5+-5)))*-5)))/-5)--5)+(-5*(((31.8*(31.8-(-5/-5)))*(31.8-(31.8/(-5*31.8))))-(-5/-5)))))</f>
        <v>158843.08</v>
      </c>
      <c r="C13181" t="n" s="0">
        <v>158843.08</v>
      </c>
    </row>
    <row r="13182">
      <c r="A13182" t="n" s="0">
        <v>31.81</v>
      </c>
      <c r="B13182" t="n" s="0">
        <f>(-5-((((-5*(-5/((-5/(((-5*(31.81--5))-(-5+((-5*31.81)*(((-5--5)+(31.81--5))+31.81))))-(-5+-5)))*-5)))/-5)--5)+(-5*(((31.81*(31.81-(-5/-5)))*(31.81-(31.81/(-5*31.81))))-(-5/-5)))))</f>
        <v>158993.571505</v>
      </c>
      <c r="C13182" t="n" s="0">
        <v>158993.57150499997</v>
      </c>
    </row>
    <row r="13183">
      <c r="A13183" t="n" s="0">
        <v>31.82</v>
      </c>
      <c r="B13183" t="n" s="0">
        <f>(-5-((((-5*(-5/((-5/(((-5*(31.82--5))-(-5+((-5*31.82)*(((-5--5)+(31.82--5))+31.82))))-(-5+-5)))*-5)))/-5)--5)+(-5*(((31.82*(31.82-(-5/-5)))*(31.82-(31.82/(-5*31.82))))-(-5/-5)))))</f>
        <v>159144.15804</v>
      </c>
      <c r="C13183" t="n" s="0">
        <v>159144.15803999998</v>
      </c>
    </row>
    <row r="13184">
      <c r="A13184" t="n" s="0">
        <v>31.83</v>
      </c>
      <c r="B13184" t="n" s="0">
        <f>(-5-((((-5*(-5/((-5/(((-5*(31.83--5))-(-5+((-5*31.83)*(((-5--5)+(31.83--5))+31.83))))-(-5+-5)))*-5)))/-5)--5)+(-5*(((31.83*(31.83-(-5/-5)))*(31.83-(31.83/(-5*31.83))))-(-5/-5)))))</f>
        <v>159294.839635</v>
      </c>
      <c r="C13184" t="n" s="0">
        <v>159294.83963499998</v>
      </c>
    </row>
    <row r="13185">
      <c r="A13185" t="n" s="0">
        <v>31.84</v>
      </c>
      <c r="B13185" t="n" s="0">
        <f>(-5-((((-5*(-5/((-5/(((-5*(31.84--5))-(-5+((-5*31.84)*(((-5--5)+(31.84--5))+31.84))))-(-5+-5)))*-5)))/-5)--5)+(-5*(((31.84*(31.84-(-5/-5)))*(31.84-(31.84/(-5*31.84))))-(-5/-5)))))</f>
        <v>159445.61632</v>
      </c>
      <c r="C13185" t="n" s="0">
        <v>159445.61632</v>
      </c>
    </row>
    <row r="13186">
      <c r="A13186" t="n" s="0">
        <v>31.85</v>
      </c>
      <c r="B13186" t="n" s="0">
        <f>(-5-((((-5*(-5/((-5/(((-5*(31.85--5))-(-5+((-5*31.85)*(((-5--5)+(31.85--5))+31.85))))-(-5+-5)))*-5)))/-5)--5)+(-5*(((31.85*(31.85-(-5/-5)))*(31.85-(31.85/(-5*31.85))))-(-5/-5)))))</f>
        <v>159596.488125</v>
      </c>
      <c r="C13186" t="n" s="0">
        <v>159596.488125</v>
      </c>
    </row>
    <row r="13187">
      <c r="A13187" t="n" s="0">
        <v>31.86</v>
      </c>
      <c r="B13187" t="n" s="0">
        <f>(-5-((((-5*(-5/((-5/(((-5*(31.86--5))-(-5+((-5*31.86)*(((-5--5)+(31.86--5))+31.86))))-(-5+-5)))*-5)))/-5)--5)+(-5*(((31.86*(31.86-(-5/-5)))*(31.86-(31.86/(-5*31.86))))-(-5/-5)))))</f>
        <v>159747.45507999999</v>
      </c>
      <c r="C13187" t="n" s="0">
        <v>159747.45507999999</v>
      </c>
    </row>
    <row r="13188">
      <c r="A13188" t="n" s="0">
        <v>31.87</v>
      </c>
      <c r="B13188" t="n" s="0">
        <f>(-5-((((-5*(-5/((-5/(((-5*(31.87--5))-(-5+((-5*31.87)*(((-5--5)+(31.87--5))+31.87))))-(-5+-5)))*-5)))/-5)--5)+(-5*(((31.87*(31.87-(-5/-5)))*(31.87-(31.87/(-5*31.87))))-(-5/-5)))))</f>
        <v>159898.517215</v>
      </c>
      <c r="C13188" t="n" s="0">
        <v>159898.517215</v>
      </c>
    </row>
    <row r="13189">
      <c r="A13189" t="n" s="0">
        <v>31.88</v>
      </c>
      <c r="B13189" t="n" s="0">
        <f>(-5-((((-5*(-5/((-5/(((-5*(31.88--5))-(-5+((-5*31.88)*(((-5--5)+(31.88--5))+31.88))))-(-5+-5)))*-5)))/-5)--5)+(-5*(((31.88*(31.88-(-5/-5)))*(31.88-(31.88/(-5*31.88))))-(-5/-5)))))</f>
        <v>160049.67456</v>
      </c>
      <c r="C13189" t="n" s="0">
        <v>160049.67455999998</v>
      </c>
    </row>
    <row r="13190">
      <c r="A13190" t="n" s="0">
        <v>31.89</v>
      </c>
      <c r="B13190" t="n" s="0">
        <f>(-5-((((-5*(-5/((-5/(((-5*(31.89--5))-(-5+((-5*31.89)*(((-5--5)+(31.89--5))+31.89))))-(-5+-5)))*-5)))/-5)--5)+(-5*(((31.89*(31.89-(-5/-5)))*(31.89-(31.89/(-5*31.89))))-(-5/-5)))))</f>
        <v>160200.927145</v>
      </c>
      <c r="C13190" t="n" s="0">
        <v>160200.92714500002</v>
      </c>
    </row>
    <row r="13191">
      <c r="A13191" t="n" s="0">
        <v>31.9</v>
      </c>
      <c r="B13191" t="n" s="0">
        <f>(-5-((((-5*(-5/((-5/(((-5*(31.9--5))-(-5+((-5*31.9)*(((-5--5)+(31.9--5))+31.9))))-(-5+-5)))*-5)))/-5)--5)+(-5*(((31.9*(31.9-(-5/-5)))*(31.9-(31.9/(-5*31.9))))-(-5/-5)))))</f>
        <v>160352.275</v>
      </c>
      <c r="C13191" t="n" s="0">
        <v>160352.275</v>
      </c>
    </row>
    <row r="13192">
      <c r="A13192" t="n" s="0">
        <v>31.91</v>
      </c>
      <c r="B13192" t="n" s="0">
        <f>(-5-((((-5*(-5/((-5/(((-5*(31.91--5))-(-5+((-5*31.91)*(((-5--5)+(31.91--5))+31.91))))-(-5+-5)))*-5)))/-5)--5)+(-5*(((31.91*(31.91-(-5/-5)))*(31.91-(31.91/(-5*31.91))))-(-5/-5)))))</f>
        <v>160503.718155</v>
      </c>
      <c r="C13192" t="n" s="0">
        <v>160503.718155</v>
      </c>
    </row>
    <row r="13193">
      <c r="A13193" t="n" s="0">
        <v>31.92</v>
      </c>
      <c r="B13193" t="n" s="0">
        <f>(-5-((((-5*(-5/((-5/(((-5*(31.92--5))-(-5+((-5*31.92)*(((-5--5)+(31.92--5))+31.92))))-(-5+-5)))*-5)))/-5)--5)+(-5*(((31.92*(31.92-(-5/-5)))*(31.92-(31.92/(-5*31.92))))-(-5/-5)))))</f>
        <v>160655.25664</v>
      </c>
      <c r="C13193" t="n" s="0">
        <v>160655.25664000004</v>
      </c>
    </row>
    <row r="13194">
      <c r="A13194" t="n" s="0">
        <v>31.93</v>
      </c>
      <c r="B13194" t="n" s="0">
        <f>(-5-((((-5*(-5/((-5/(((-5*(31.93--5))-(-5+((-5*31.93)*(((-5--5)+(31.93--5))+31.93))))-(-5+-5)))*-5)))/-5)--5)+(-5*(((31.93*(31.93-(-5/-5)))*(31.93-(31.93/(-5*31.93))))-(-5/-5)))))</f>
        <v>160806.890485</v>
      </c>
      <c r="C13194" t="n" s="0">
        <v>160806.89048499998</v>
      </c>
    </row>
    <row r="13195">
      <c r="A13195" t="n" s="0">
        <v>31.94</v>
      </c>
      <c r="B13195" t="n" s="0">
        <f>(-5-((((-5*(-5/((-5/(((-5*(31.94--5))-(-5+((-5*31.94)*(((-5--5)+(31.94--5))+31.94))))-(-5+-5)))*-5)))/-5)--5)+(-5*(((31.94*(31.94-(-5/-5)))*(31.94-(31.94/(-5*31.94))))-(-5/-5)))))</f>
        <v>160958.61972000002</v>
      </c>
      <c r="C13195" t="n" s="0">
        <v>160958.61972000002</v>
      </c>
    </row>
    <row r="13196">
      <c r="A13196" t="n" s="0">
        <v>31.95</v>
      </c>
      <c r="B13196" t="n" s="0">
        <f>(-5-((((-5*(-5/((-5/(((-5*(31.95--5))-(-5+((-5*31.95)*(((-5--5)+(31.95--5))+31.95))))-(-5+-5)))*-5)))/-5)--5)+(-5*(((31.95*(31.95-(-5/-5)))*(31.95-(31.95/(-5*31.95))))-(-5/-5)))))</f>
        <v>161110.444375</v>
      </c>
      <c r="C13196" t="n" s="0">
        <v>161110.444375</v>
      </c>
    </row>
    <row r="13197">
      <c r="A13197" t="n" s="0">
        <v>31.96</v>
      </c>
      <c r="B13197" t="n" s="0">
        <f>(-5-((((-5*(-5/((-5/(((-5*(31.96--5))-(-5+((-5*31.96)*(((-5--5)+(31.96--5))+31.96))))-(-5+-5)))*-5)))/-5)--5)+(-5*(((31.96*(31.96-(-5/-5)))*(31.96-(31.96/(-5*31.96))))-(-5/-5)))))</f>
        <v>161262.36448000002</v>
      </c>
      <c r="C13197" t="n" s="0">
        <v>161262.36448000002</v>
      </c>
    </row>
    <row r="13198">
      <c r="A13198" t="n" s="0">
        <v>31.97</v>
      </c>
      <c r="B13198" t="n" s="0">
        <f>(-5-((((-5*(-5/((-5/(((-5*(31.97--5))-(-5+((-5*31.97)*(((-5--5)+(31.97--5))+31.97))))-(-5+-5)))*-5)))/-5)--5)+(-5*(((31.97*(31.97-(-5/-5)))*(31.97-(31.97/(-5*31.97))))-(-5/-5)))))</f>
        <v>161414.380065</v>
      </c>
      <c r="C13198" t="n" s="0">
        <v>161414.38006499998</v>
      </c>
    </row>
    <row r="13199">
      <c r="A13199" t="n" s="0">
        <v>31.98</v>
      </c>
      <c r="B13199" t="n" s="0">
        <f>(-5-((((-5*(-5/((-5/(((-5*(31.98--5))-(-5+((-5*31.98)*(((-5--5)+(31.98--5))+31.98))))-(-5+-5)))*-5)))/-5)--5)+(-5*(((31.98*(31.98-(-5/-5)))*(31.98-(31.98/(-5*31.98))))-(-5/-5)))))</f>
        <v>161566.49116</v>
      </c>
      <c r="C13199" t="n" s="0">
        <v>161566.49116</v>
      </c>
    </row>
    <row r="13200">
      <c r="A13200" t="n" s="0">
        <v>31.99</v>
      </c>
      <c r="B13200" t="n" s="0">
        <f>(-5-((((-5*(-5/((-5/(((-5*(31.99--5))-(-5+((-5*31.99)*(((-5--5)+(31.99--5))+31.99))))-(-5+-5)))*-5)))/-5)--5)+(-5*(((31.99*(31.99-(-5/-5)))*(31.99-(31.99/(-5*31.99))))-(-5/-5)))))</f>
        <v>161718.69779500001</v>
      </c>
      <c r="C13200" t="n" s="0">
        <v>161718.697795</v>
      </c>
    </row>
    <row r="13201">
      <c r="A13201" t="n" s="0">
        <v>32.0</v>
      </c>
      <c r="B13201" t="n" s="0">
        <f>(-5-((((-5*(-5/((-5/(((-5*(32--5))-(-5+((-5*32)*(((-5--5)+(32--5))+32))))-(-5+-5)))*-5)))/-5)--5)+(-5*(((32*(32-(-5/-5)))*(32-(32/(-5*32))))-(-5/-5)))))</f>
        <v>161871.0</v>
      </c>
      <c r="C13201" t="n" s="0">
        <v>161871.0</v>
      </c>
    </row>
    <row r="13202">
      <c r="A13202" t="n" s="0">
        <v>32.01</v>
      </c>
      <c r="B13202" t="n" s="0">
        <f>(-5-((((-5*(-5/((-5/(((-5*(32.01--5))-(-5+((-5*32.01)*(((-5--5)+(32.01--5))+32.01))))-(-5+-5)))*-5)))/-5)--5)+(-5*(((32.01*(32.01-(-5/-5)))*(32.01-(32.01/(-5*32.01))))-(-5/-5)))))</f>
        <v>162023.397805</v>
      </c>
      <c r="C13202" t="n" s="0">
        <v>162023.39780499996</v>
      </c>
    </row>
    <row r="13203">
      <c r="A13203" t="n" s="0">
        <v>32.02</v>
      </c>
      <c r="B13203" t="n" s="0">
        <f>(-5-((((-5*(-5/((-5/(((-5*(32.02--5))-(-5+((-5*32.02)*(((-5--5)+(32.02--5))+32.02))))-(-5+-5)))*-5)))/-5)--5)+(-5*(((32.02*(32.02-(-5/-5)))*(32.02-(32.02/(-5*32.02))))-(-5/-5)))))</f>
        <v>162175.89124</v>
      </c>
      <c r="C13203" t="n" s="0">
        <v>162175.89124000006</v>
      </c>
    </row>
    <row r="13204">
      <c r="A13204" t="n" s="0">
        <v>32.03</v>
      </c>
      <c r="B13204" t="n" s="0">
        <f>(-5-((((-5*(-5/((-5/(((-5*(32.03--5))-(-5+((-5*32.03)*(((-5--5)+(32.03--5))+32.03))))-(-5+-5)))*-5)))/-5)--5)+(-5*(((32.03*(32.03-(-5/-5)))*(32.03-(32.03/(-5*32.03))))-(-5/-5)))))</f>
        <v>162328.480335</v>
      </c>
      <c r="C13204" t="n" s="0">
        <v>162328.48033500003</v>
      </c>
    </row>
    <row r="13205">
      <c r="A13205" t="n" s="0">
        <v>32.04</v>
      </c>
      <c r="B13205" t="n" s="0">
        <f>(-5-((((-5*(-5/((-5/(((-5*(32.04--5))-(-5+((-5*32.04)*(((-5--5)+(32.04--5))+32.04))))-(-5+-5)))*-5)))/-5)--5)+(-5*(((32.04*(32.04-(-5/-5)))*(32.04-(32.04/(-5*32.04))))-(-5/-5)))))</f>
        <v>162481.16512000002</v>
      </c>
      <c r="C13205" t="n" s="0">
        <v>162481.16511999996</v>
      </c>
    </row>
    <row r="13206">
      <c r="A13206" t="n" s="0">
        <v>32.05</v>
      </c>
      <c r="B13206" t="n" s="0">
        <f>(-5-((((-5*(-5/((-5/(((-5*(32.05--5))-(-5+((-5*32.05)*(((-5--5)+(32.05--5))+32.05))))-(-5+-5)))*-5)))/-5)--5)+(-5*(((32.05*(32.05-(-5/-5)))*(32.05-(32.05/(-5*32.05))))-(-5/-5)))))</f>
        <v>162633.94562500002</v>
      </c>
      <c r="C13206" t="n" s="0">
        <v>162633.94562499993</v>
      </c>
    </row>
    <row r="13207">
      <c r="A13207" t="n" s="0">
        <v>32.06</v>
      </c>
      <c r="B13207" t="n" s="0">
        <f>(-5-((((-5*(-5/((-5/(((-5*(32.06--5))-(-5+((-5*32.06)*(((-5--5)+(32.06--5))+32.06))))-(-5+-5)))*-5)))/-5)--5)+(-5*(((32.06*(32.06-(-5/-5)))*(32.06-(32.06/(-5*32.06))))-(-5/-5)))))</f>
        <v>162786.82188</v>
      </c>
      <c r="C13207" t="n" s="0">
        <v>162786.82188000006</v>
      </c>
    </row>
    <row r="13208">
      <c r="A13208" t="n" s="0">
        <v>32.07</v>
      </c>
      <c r="B13208" t="n" s="0">
        <f>(-5-((((-5*(-5/((-5/(((-5*(32.07--5))-(-5+((-5*32.07)*(((-5--5)+(32.07--5))+32.07))))-(-5+-5)))*-5)))/-5)--5)+(-5*(((32.07*(32.07-(-5/-5)))*(32.07-(32.07/(-5*32.07))))-(-5/-5)))))</f>
        <v>162939.793915</v>
      </c>
      <c r="C13208" t="n" s="0">
        <v>162939.793915</v>
      </c>
    </row>
    <row r="13209">
      <c r="A13209" t="n" s="0">
        <v>32.08</v>
      </c>
      <c r="B13209" t="n" s="0">
        <f>(-5-((((-5*(-5/((-5/(((-5*(32.08--5))-(-5+((-5*32.08)*(((-5--5)+(32.08--5))+32.08))))-(-5+-5)))*-5)))/-5)--5)+(-5*(((32.08*(32.08-(-5/-5)))*(32.08-(32.08/(-5*32.08))))-(-5/-5)))))</f>
        <v>163092.86176</v>
      </c>
      <c r="C13209" t="n" s="0">
        <v>163092.86175999997</v>
      </c>
    </row>
    <row r="13210">
      <c r="A13210" t="n" s="0">
        <v>32.09</v>
      </c>
      <c r="B13210" t="n" s="0">
        <f>(-5-((((-5*(-5/((-5/(((-5*(32.09--5))-(-5+((-5*32.09)*(((-5--5)+(32.09--5))+32.09))))-(-5+-5)))*-5)))/-5)--5)+(-5*(((32.09*(32.09-(-5/-5)))*(32.09-(32.09/(-5*32.09))))-(-5/-5)))))</f>
        <v>163246.02544499998</v>
      </c>
      <c r="C13210" t="n" s="0">
        <v>163246.02544500004</v>
      </c>
    </row>
    <row r="13211">
      <c r="A13211" t="n" s="0">
        <v>32.1</v>
      </c>
      <c r="B13211" t="n" s="0">
        <f>(-5-((((-5*(-5/((-5/(((-5*(32.1--5))-(-5+((-5*32.1)*(((-5--5)+(32.1--5))+32.1))))-(-5+-5)))*-5)))/-5)--5)+(-5*(((32.1*(32.1-(-5/-5)))*(32.1-(32.1/(-5*32.1))))-(-5/-5)))))</f>
        <v>163399.285</v>
      </c>
      <c r="C13211" t="n" s="0">
        <v>163399.28500000003</v>
      </c>
    </row>
    <row r="13212">
      <c r="A13212" t="n" s="0">
        <v>32.11</v>
      </c>
      <c r="B13212" t="n" s="0">
        <f>(-5-((((-5*(-5/((-5/(((-5*(32.11--5))-(-5+((-5*32.11)*(((-5--5)+(32.11--5))+32.11))))-(-5+-5)))*-5)))/-5)--5)+(-5*(((32.11*(32.11-(-5/-5)))*(32.11-(32.11/(-5*32.11))))-(-5/-5)))))</f>
        <v>163552.64045500002</v>
      </c>
      <c r="C13212" t="n" s="0">
        <v>163552.64045499996</v>
      </c>
    </row>
    <row r="13213">
      <c r="A13213" t="n" s="0">
        <v>32.12</v>
      </c>
      <c r="B13213" t="n" s="0">
        <f>(-5-((((-5*(-5/((-5/(((-5*(32.12--5))-(-5+((-5*32.12)*(((-5--5)+(32.12--5))+32.12))))-(-5+-5)))*-5)))/-5)--5)+(-5*(((32.12*(32.12-(-5/-5)))*(32.12-(32.12/(-5*32.12))))-(-5/-5)))))</f>
        <v>163706.09184000004</v>
      </c>
      <c r="C13213" t="n" s="0">
        <v>163706.09183999995</v>
      </c>
    </row>
    <row r="13214">
      <c r="A13214" t="n" s="0">
        <v>32.13</v>
      </c>
      <c r="B13214" t="n" s="0">
        <f>(-5-((((-5*(-5/((-5/(((-5*(32.13--5))-(-5+((-5*32.13)*(((-5--5)+(32.13--5))+32.13))))-(-5+-5)))*-5)))/-5)--5)+(-5*(((32.13*(32.13-(-5/-5)))*(32.13-(32.13/(-5*32.13))))-(-5/-5)))))</f>
        <v>163859.639185</v>
      </c>
      <c r="C13214" t="n" s="0">
        <v>163859.63918500007</v>
      </c>
    </row>
    <row r="13215">
      <c r="A13215" t="n" s="0">
        <v>32.14</v>
      </c>
      <c r="B13215" t="n" s="0">
        <f>(-5-((((-5*(-5/((-5/(((-5*(32.14--5))-(-5+((-5*32.14)*(((-5--5)+(32.14--5))+32.14))))-(-5+-5)))*-5)))/-5)--5)+(-5*(((32.14*(32.14-(-5/-5)))*(32.14-(32.14/(-5*32.14))))-(-5/-5)))))</f>
        <v>164013.28252</v>
      </c>
      <c r="C13215" t="n" s="0">
        <v>164013.28252</v>
      </c>
    </row>
    <row r="13216">
      <c r="A13216" t="n" s="0">
        <v>32.15</v>
      </c>
      <c r="B13216" t="n" s="0">
        <f>(-5-((((-5*(-5/((-5/(((-5*(32.15--5))-(-5+((-5*32.15)*(((-5--5)+(32.15--5))+32.15))))-(-5+-5)))*-5)))/-5)--5)+(-5*(((32.15*(32.15-(-5/-5)))*(32.15-(32.15/(-5*32.15))))-(-5/-5)))))</f>
        <v>164167.021875</v>
      </c>
      <c r="C13216" t="n" s="0">
        <v>164167.02187499998</v>
      </c>
    </row>
    <row r="13217">
      <c r="A13217" t="n" s="0">
        <v>32.16</v>
      </c>
      <c r="B13217" t="n" s="0">
        <f>(-5-((((-5*(-5/((-5/(((-5*(32.16--5))-(-5+((-5*32.16)*(((-5--5)+(32.16--5))+32.16))))-(-5+-5)))*-5)))/-5)--5)+(-5*(((32.16*(32.16-(-5/-5)))*(32.16-(32.16/(-5*32.16))))-(-5/-5)))))</f>
        <v>164320.85728000003</v>
      </c>
      <c r="C13217" t="n" s="0">
        <v>164320.85727999994</v>
      </c>
    </row>
    <row r="13218">
      <c r="A13218" t="n" s="0">
        <v>32.17</v>
      </c>
      <c r="B13218" t="n" s="0">
        <f>(-5-((((-5*(-5/((-5/(((-5*(32.17--5))-(-5+((-5*32.17)*(((-5--5)+(32.17--5))+32.17))))-(-5+-5)))*-5)))/-5)--5)+(-5*(((32.17*(32.17-(-5/-5)))*(32.17-(32.17/(-5*32.17))))-(-5/-5)))))</f>
        <v>164474.788765</v>
      </c>
      <c r="C13218" t="n" s="0">
        <v>164474.78876500003</v>
      </c>
    </row>
    <row r="13219">
      <c r="A13219" t="n" s="0">
        <v>32.18</v>
      </c>
      <c r="B13219" t="n" s="0">
        <f>(-5-((((-5*(-5/((-5/(((-5*(32.18--5))-(-5+((-5*32.18)*(((-5--5)+(32.18--5))+32.18))))-(-5+-5)))*-5)))/-5)--5)+(-5*(((32.18*(32.18-(-5/-5)))*(32.18-(32.18/(-5*32.18))))-(-5/-5)))))</f>
        <v>164628.81636</v>
      </c>
      <c r="C13219" t="n" s="0">
        <v>164628.81636</v>
      </c>
    </row>
    <row r="13220">
      <c r="A13220" t="n" s="0">
        <v>32.19</v>
      </c>
      <c r="B13220" t="n" s="0">
        <f>(-5-((((-5*(-5/((-5/(((-5*(32.19--5))-(-5+((-5*32.19)*(((-5--5)+(32.19--5))+32.19))))-(-5+-5)))*-5)))/-5)--5)+(-5*(((32.19*(32.19-(-5/-5)))*(32.19-(32.19/(-5*32.19))))-(-5/-5)))))</f>
        <v>164782.94009499997</v>
      </c>
      <c r="C13220" t="n" s="0">
        <v>164782.94009499997</v>
      </c>
    </row>
    <row r="13221">
      <c r="A13221" t="n" s="0">
        <v>32.2</v>
      </c>
      <c r="B13221" t="n" s="0">
        <f>(-5-((((-5*(-5/((-5/(((-5*(32.2--5))-(-5+((-5*32.2)*(((-5--5)+(32.2--5))+32.2))))-(-5+-5)))*-5)))/-5)--5)+(-5*(((32.2*(32.2-(-5/-5)))*(32.2-(32.2/(-5*32.2))))-(-5/-5)))))</f>
        <v>164937.16</v>
      </c>
      <c r="C13221" t="n" s="0">
        <v>164937.16000000006</v>
      </c>
    </row>
    <row r="13222">
      <c r="A13222" t="n" s="0">
        <v>32.21</v>
      </c>
      <c r="B13222" t="n" s="0">
        <f>(-5-((((-5*(-5/((-5/(((-5*(32.21--5))-(-5+((-5*32.21)*(((-5--5)+(32.21--5))+32.21))))-(-5+-5)))*-5)))/-5)--5)+(-5*(((32.21*(32.21-(-5/-5)))*(32.21-(32.21/(-5*32.21))))-(-5/-5)))))</f>
        <v>165091.476105</v>
      </c>
      <c r="C13222" t="n" s="0">
        <v>165091.476105</v>
      </c>
    </row>
    <row r="13223">
      <c r="A13223" t="n" s="0">
        <v>32.22</v>
      </c>
      <c r="B13223" t="n" s="0">
        <f>(-5-((((-5*(-5/((-5/(((-5*(32.22--5))-(-5+((-5*32.22)*(((-5--5)+(32.22--5))+32.22))))-(-5+-5)))*-5)))/-5)--5)+(-5*(((32.22*(32.22-(-5/-5)))*(32.22-(32.22/(-5*32.22))))-(-5/-5)))))</f>
        <v>165245.88844</v>
      </c>
      <c r="C13223" t="n" s="0">
        <v>165245.88843999998</v>
      </c>
    </row>
    <row r="13224">
      <c r="A13224" t="n" s="0">
        <v>32.23</v>
      </c>
      <c r="B13224" t="n" s="0">
        <f>(-5-((((-5*(-5/((-5/(((-5*(32.23--5))-(-5+((-5*32.23)*(((-5--5)+(32.23--5))+32.23))))-(-5+-5)))*-5)))/-5)--5)+(-5*(((32.23*(32.23-(-5/-5)))*(32.23-(32.23/(-5*32.23))))-(-5/-5)))))</f>
        <v>165400.397035</v>
      </c>
      <c r="C13224" t="n" s="0">
        <v>165400.39703499994</v>
      </c>
    </row>
    <row r="13225">
      <c r="A13225" t="n" s="0">
        <v>32.24</v>
      </c>
      <c r="B13225" t="n" s="0">
        <f>(-5-((((-5*(-5/((-5/(((-5*(32.24--5))-(-5+((-5*32.24)*(((-5--5)+(32.24--5))+32.24))))-(-5+-5)))*-5)))/-5)--5)+(-5*(((32.24*(32.24-(-5/-5)))*(32.24-(32.24/(-5*32.24))))-(-5/-5)))))</f>
        <v>165555.00191999998</v>
      </c>
      <c r="C13225" t="n" s="0">
        <v>165555.00192000004</v>
      </c>
    </row>
    <row r="13226">
      <c r="A13226" t="n" s="0">
        <v>32.25</v>
      </c>
      <c r="B13226" t="n" s="0">
        <f>(-5-((((-5*(-5/((-5/(((-5*(32.25--5))-(-5+((-5*32.25)*(((-5--5)+(32.25--5))+32.25))))-(-5+-5)))*-5)))/-5)--5)+(-5*(((32.25*(32.25-(-5/-5)))*(32.25-(32.25/(-5*32.25))))-(-5/-5)))))</f>
        <v>165709.703125</v>
      </c>
      <c r="C13226" t="n" s="0">
        <v>165709.703125</v>
      </c>
    </row>
    <row r="13227">
      <c r="A13227" t="n" s="0">
        <v>32.26</v>
      </c>
      <c r="B13227" t="n" s="0">
        <f>(-5-((((-5*(-5/((-5/(((-5*(32.26--5))-(-5+((-5*32.26)*(((-5--5)+(32.26--5))+32.26))))-(-5+-5)))*-5)))/-5)--5)+(-5*(((32.26*(32.26-(-5/-5)))*(32.26-(32.26/(-5*32.26))))-(-5/-5)))))</f>
        <v>165864.50068</v>
      </c>
      <c r="C13227" t="n" s="0">
        <v>165864.50067999997</v>
      </c>
    </row>
    <row r="13228">
      <c r="A13228" t="n" s="0">
        <v>32.27</v>
      </c>
      <c r="B13228" t="n" s="0">
        <f>(-5-((((-5*(-5/((-5/(((-5*(32.27--5))-(-5+((-5*32.27)*(((-5--5)+(32.27--5))+32.27))))-(-5+-5)))*-5)))/-5)--5)+(-5*(((32.27*(32.27-(-5/-5)))*(32.27-(32.27/(-5*32.27))))-(-5/-5)))))</f>
        <v>166019.39461500003</v>
      </c>
      <c r="C13228" t="n" s="0">
        <v>166019.39461500006</v>
      </c>
    </row>
    <row r="13229">
      <c r="A13229" t="n" s="0">
        <v>32.28</v>
      </c>
      <c r="B13229" t="n" s="0">
        <f>(-5-((((-5*(-5/((-5/(((-5*(32.28--5))-(-5+((-5*32.28)*(((-5--5)+(32.28--5))+32.28))))-(-5+-5)))*-5)))/-5)--5)+(-5*(((32.28*(32.28-(-5/-5)))*(32.28-(32.28/(-5*32.28))))-(-5/-5)))))</f>
        <v>166174.38496</v>
      </c>
      <c r="C13229" t="n" s="0">
        <v>166174.38496</v>
      </c>
    </row>
    <row r="13230">
      <c r="A13230" t="n" s="0">
        <v>32.29</v>
      </c>
      <c r="B13230" t="n" s="0">
        <f>(-5-((((-5*(-5/((-5/(((-5*(32.29--5))-(-5+((-5*32.29)*(((-5--5)+(32.29--5))+32.29))))-(-5+-5)))*-5)))/-5)--5)+(-5*(((32.29*(32.29-(-5/-5)))*(32.29-(32.29/(-5*32.29))))-(-5/-5)))))</f>
        <v>166329.47174500002</v>
      </c>
      <c r="C13230" t="n" s="0">
        <v>166329.471745</v>
      </c>
    </row>
    <row r="13231">
      <c r="A13231" t="n" s="0">
        <v>32.3</v>
      </c>
      <c r="B13231" t="n" s="0">
        <f>(-5-((((-5*(-5/((-5/(((-5*(32.3--5))-(-5+((-5*32.3)*(((-5--5)+(32.3--5))+32.3))))-(-5+-5)))*-5)))/-5)--5)+(-5*(((32.3*(32.3-(-5/-5)))*(32.3-(32.3/(-5*32.3))))-(-5/-5)))))</f>
        <v>166484.655</v>
      </c>
      <c r="C13231" t="n" s="0">
        <v>166484.65499999997</v>
      </c>
    </row>
    <row r="13232">
      <c r="A13232" t="n" s="0">
        <v>32.31</v>
      </c>
      <c r="B13232" t="n" s="0">
        <f>(-5-((((-5*(-5/((-5/(((-5*(32.31--5))-(-5+((-5*32.31)*(((-5--5)+(32.31--5))+32.31))))-(-5+-5)))*-5)))/-5)--5)+(-5*(((32.31*(32.31-(-5/-5)))*(32.31-(32.31/(-5*32.31))))-(-5/-5)))))</f>
        <v>166639.934755</v>
      </c>
      <c r="C13232" t="n" s="0">
        <v>166639.93475500002</v>
      </c>
    </row>
    <row r="13233">
      <c r="A13233" t="n" s="0">
        <v>32.32</v>
      </c>
      <c r="B13233" t="n" s="0">
        <f>(-5-((((-5*(-5/((-5/(((-5*(32.32--5))-(-5+((-5*32.32)*(((-5--5)+(32.32--5))+32.32))))-(-5+-5)))*-5)))/-5)--5)+(-5*(((32.32*(32.32-(-5/-5)))*(32.32-(32.32/(-5*32.32))))-(-5/-5)))))</f>
        <v>166795.31104</v>
      </c>
      <c r="C13233" t="n" s="0">
        <v>166795.31104</v>
      </c>
    </row>
    <row r="13234">
      <c r="A13234" t="n" s="0">
        <v>32.33</v>
      </c>
      <c r="B13234" t="n" s="0">
        <f>(-5-((((-5*(-5/((-5/(((-5*(32.33--5))-(-5+((-5*32.33)*(((-5--5)+(32.33--5))+32.33))))-(-5+-5)))*-5)))/-5)--5)+(-5*(((32.33*(32.33-(-5/-5)))*(32.33-(32.33/(-5*32.33))))-(-5/-5)))))</f>
        <v>166950.783885</v>
      </c>
      <c r="C13234" t="n" s="0">
        <v>166950.78388499998</v>
      </c>
    </row>
    <row r="13235">
      <c r="A13235" t="n" s="0">
        <v>32.34</v>
      </c>
      <c r="B13235" t="n" s="0">
        <f>(-5-((((-5*(-5/((-5/(((-5*(32.34--5))-(-5+((-5*32.34)*(((-5--5)+(32.34--5))+32.34))))-(-5+-5)))*-5)))/-5)--5)+(-5*(((32.34*(32.34-(-5/-5)))*(32.34-(32.34/(-5*32.34))))-(-5/-5)))))</f>
        <v>167106.35332000002</v>
      </c>
      <c r="C13235" t="n" s="0">
        <v>167106.35332000002</v>
      </c>
    </row>
    <row r="13236">
      <c r="A13236" t="n" s="0">
        <v>32.35</v>
      </c>
      <c r="B13236" t="n" s="0">
        <f>(-5-((((-5*(-5/((-5/(((-5*(32.35--5))-(-5+((-5*32.35)*(((-5--5)+(32.35--5))+32.35))))-(-5+-5)))*-5)))/-5)--5)+(-5*(((32.35*(32.35-(-5/-5)))*(32.35-(32.35/(-5*32.35))))-(-5/-5)))))</f>
        <v>167262.019375</v>
      </c>
      <c r="C13236" t="n" s="0">
        <v>167262.019375</v>
      </c>
    </row>
    <row r="13237">
      <c r="A13237" t="n" s="0">
        <v>32.36</v>
      </c>
      <c r="B13237" t="n" s="0">
        <f>(-5-((((-5*(-5/((-5/(((-5*(32.36--5))-(-5+((-5*32.36)*(((-5--5)+(32.36--5))+32.36))))-(-5+-5)))*-5)))/-5)--5)+(-5*(((32.36*(32.36-(-5/-5)))*(32.36-(32.36/(-5*32.36))))-(-5/-5)))))</f>
        <v>167417.78207999998</v>
      </c>
      <c r="C13237" t="n" s="0">
        <v>167417.78207999998</v>
      </c>
    </row>
    <row r="13238">
      <c r="A13238" t="n" s="0">
        <v>32.37</v>
      </c>
      <c r="B13238" t="n" s="0">
        <f>(-5-((((-5*(-5/((-5/(((-5*(32.37--5))-(-5+((-5*32.37)*(((-5--5)+(32.37--5))+32.37))))-(-5+-5)))*-5)))/-5)--5)+(-5*(((32.37*(32.37-(-5/-5)))*(32.37-(32.37/(-5*32.37))))-(-5/-5)))))</f>
        <v>167573.641465</v>
      </c>
      <c r="C13238" t="n" s="0">
        <v>167573.64146499994</v>
      </c>
    </row>
    <row r="13239">
      <c r="A13239" t="n" s="0">
        <v>32.38</v>
      </c>
      <c r="B13239" t="n" s="0">
        <f>(-5-((((-5*(-5/((-5/(((-5*(32.38--5))-(-5+((-5*32.38)*(((-5--5)+(32.38--5))+32.38))))-(-5+-5)))*-5)))/-5)--5)+(-5*(((32.38*(32.38-(-5/-5)))*(32.38-(32.38/(-5*32.38))))-(-5/-5)))))</f>
        <v>167729.59756000002</v>
      </c>
      <c r="C13239" t="n" s="0">
        <v>167729.59756000005</v>
      </c>
    </row>
    <row r="13240">
      <c r="A13240" t="n" s="0">
        <v>32.39</v>
      </c>
      <c r="B13240" t="n" s="0">
        <f>(-5-((((-5*(-5/((-5/(((-5*(32.39--5))-(-5+((-5*32.39)*(((-5--5)+(32.39--5))+32.39))))-(-5+-5)))*-5)))/-5)--5)+(-5*(((32.39*(32.39-(-5/-5)))*(32.39-(32.39/(-5*32.39))))-(-5/-5)))))</f>
        <v>167885.650395</v>
      </c>
      <c r="C13240" t="n" s="0">
        <v>167885.65039500003</v>
      </c>
    </row>
    <row r="13241">
      <c r="A13241" t="n" s="0">
        <v>32.4</v>
      </c>
      <c r="B13241" t="n" s="0">
        <f>(-5-((((-5*(-5/((-5/(((-5*(32.4--5))-(-5+((-5*32.4)*(((-5--5)+(32.4--5))+32.4))))-(-5+-5)))*-5)))/-5)--5)+(-5*(((32.4*(32.4-(-5/-5)))*(32.4-(32.4/(-5*32.4))))-(-5/-5)))))</f>
        <v>168041.8</v>
      </c>
      <c r="C13241" t="n" s="0">
        <v>168041.8</v>
      </c>
    </row>
    <row r="13242">
      <c r="A13242" t="n" s="0">
        <v>32.41</v>
      </c>
      <c r="B13242" t="n" s="0">
        <f>(-5-((((-5*(-5/((-5/(((-5*(32.41--5))-(-5+((-5*32.41)*(((-5--5)+(32.41--5))+32.41))))-(-5+-5)))*-5)))/-5)--5)+(-5*(((32.41*(32.41-(-5/-5)))*(32.41-(32.41/(-5*32.41))))-(-5/-5)))))</f>
        <v>168198.04640499997</v>
      </c>
      <c r="C13242" t="n" s="0">
        <v>168198.04640499994</v>
      </c>
    </row>
    <row r="13243">
      <c r="A13243" t="n" s="0">
        <v>32.42</v>
      </c>
      <c r="B13243" t="n" s="0">
        <f>(-5-((((-5*(-5/((-5/(((-5*(32.42--5))-(-5+((-5*32.42)*(((-5--5)+(32.42--5))+32.42))))-(-5+-5)))*-5)))/-5)--5)+(-5*(((32.42*(32.42-(-5/-5)))*(32.42-(32.42/(-5*32.42))))-(-5/-5)))))</f>
        <v>168354.38964</v>
      </c>
      <c r="C13243" t="n" s="0">
        <v>168354.38964000004</v>
      </c>
    </row>
    <row r="13244">
      <c r="A13244" t="n" s="0">
        <v>32.43</v>
      </c>
      <c r="B13244" t="n" s="0">
        <f>(-5-((((-5*(-5/((-5/(((-5*(32.43--5))-(-5+((-5*32.43)*(((-5--5)+(32.43--5))+32.43))))-(-5+-5)))*-5)))/-5)--5)+(-5*(((32.43*(32.43-(-5/-5)))*(32.43-(32.43/(-5*32.43))))-(-5/-5)))))</f>
        <v>168510.829735</v>
      </c>
      <c r="C13244" t="n" s="0">
        <v>168510.829735</v>
      </c>
    </row>
    <row r="13245">
      <c r="A13245" t="n" s="0">
        <v>32.44</v>
      </c>
      <c r="B13245" t="n" s="0">
        <f>(-5-((((-5*(-5/((-5/(((-5*(32.44--5))-(-5+((-5*32.44)*(((-5--5)+(32.44--5))+32.44))))-(-5+-5)))*-5)))/-5)--5)+(-5*(((32.44*(32.44-(-5/-5)))*(32.44-(32.44/(-5*32.44))))-(-5/-5)))))</f>
        <v>168667.36672000002</v>
      </c>
      <c r="C13245" t="n" s="0">
        <v>168667.36672</v>
      </c>
    </row>
    <row r="13246">
      <c r="A13246" t="n" s="0">
        <v>32.45</v>
      </c>
      <c r="B13246" t="n" s="0">
        <f>(-5-((((-5*(-5/((-5/(((-5*(32.45--5))-(-5+((-5*32.45)*(((-5--5)+(32.45--5))+32.45))))-(-5+-5)))*-5)))/-5)--5)+(-5*(((32.45*(32.45-(-5/-5)))*(32.45-(32.45/(-5*32.45))))-(-5/-5)))))</f>
        <v>168824.000625</v>
      </c>
      <c r="C13246" t="n" s="0">
        <v>168824.00062500004</v>
      </c>
    </row>
    <row r="13247">
      <c r="A13247" t="n" s="0">
        <v>32.46</v>
      </c>
      <c r="B13247" t="n" s="0">
        <f>(-5-((((-5*(-5/((-5/(((-5*(32.46--5))-(-5+((-5*32.46)*(((-5--5)+(32.46--5))+32.46))))-(-5+-5)))*-5)))/-5)--5)+(-5*(((32.46*(32.46-(-5/-5)))*(32.46-(32.46/(-5*32.46))))-(-5/-5)))))</f>
        <v>168980.73148</v>
      </c>
      <c r="C13247" t="n" s="0">
        <v>168980.73148000002</v>
      </c>
    </row>
    <row r="13248">
      <c r="A13248" t="n" s="0">
        <v>32.47</v>
      </c>
      <c r="B13248" t="n" s="0">
        <f>(-5-((((-5*(-5/((-5/(((-5*(32.47--5))-(-5+((-5*32.47)*(((-5--5)+(32.47--5))+32.47))))-(-5+-5)))*-5)))/-5)--5)+(-5*(((32.47*(32.47-(-5/-5)))*(32.47-(32.47/(-5*32.47))))-(-5/-5)))))</f>
        <v>169137.55931500002</v>
      </c>
      <c r="C13248" t="n" s="0">
        <v>169137.559315</v>
      </c>
    </row>
    <row r="13249">
      <c r="A13249" t="n" s="0">
        <v>32.48</v>
      </c>
      <c r="B13249" t="n" s="0">
        <f>(-5-((((-5*(-5/((-5/(((-5*(32.48--5))-(-5+((-5*32.48)*(((-5--5)+(32.48--5))+32.48))))-(-5+-5)))*-5)))/-5)--5)+(-5*(((32.48*(32.48-(-5/-5)))*(32.48-(32.48/(-5*32.48))))-(-5/-5)))))</f>
        <v>169294.48416</v>
      </c>
      <c r="C13249" t="n" s="0">
        <v>169294.48415999993</v>
      </c>
    </row>
    <row r="13250">
      <c r="A13250" t="n" s="0">
        <v>32.49</v>
      </c>
      <c r="B13250" t="n" s="0">
        <f>(-5-((((-5*(-5/((-5/(((-5*(32.49--5))-(-5+((-5*32.49)*(((-5--5)+(32.49--5))+32.49))))-(-5+-5)))*-5)))/-5)--5)+(-5*(((32.49*(32.49-(-5/-5)))*(32.49-(32.49/(-5*32.49))))-(-5/-5)))))</f>
        <v>169451.50604500002</v>
      </c>
      <c r="C13250" t="n" s="0">
        <v>169451.50604500005</v>
      </c>
    </row>
    <row r="13251">
      <c r="A13251" t="n" s="0">
        <v>32.5</v>
      </c>
      <c r="B13251" t="n" s="0">
        <f>(-5-((((-5*(-5/((-5/(((-5*(32.5--5))-(-5+((-5*32.5)*(((-5--5)+(32.5--5))+32.5))))-(-5+-5)))*-5)))/-5)--5)+(-5*(((32.5*(32.5-(-5/-5)))*(32.5-(32.5/(-5*32.5))))-(-5/-5)))))</f>
        <v>169608.625</v>
      </c>
      <c r="C13251" t="n" s="0">
        <v>169608.625</v>
      </c>
    </row>
    <row r="13252">
      <c r="A13252" t="n" s="0">
        <v>32.51</v>
      </c>
      <c r="B13252" t="n" s="0">
        <f>(-5-((((-5*(-5/((-5/(((-5*(32.51--5))-(-5+((-5*32.51)*(((-5--5)+(32.51--5))+32.51))))-(-5+-5)))*-5)))/-5)--5)+(-5*(((32.51*(32.51-(-5/-5)))*(32.51-(32.51/(-5*32.51))))-(-5/-5)))))</f>
        <v>169765.841055</v>
      </c>
      <c r="C13252" t="n" s="0">
        <v>169765.84105499994</v>
      </c>
    </row>
    <row r="13253">
      <c r="A13253" t="n" s="0">
        <v>32.52</v>
      </c>
      <c r="B13253" t="n" s="0">
        <f>(-5-((((-5*(-5/((-5/(((-5*(32.52--5))-(-5+((-5*32.52)*(((-5--5)+(32.52--5))+32.52))))-(-5+-5)))*-5)))/-5)--5)+(-5*(((32.52*(32.52-(-5/-5)))*(32.52-(32.52/(-5*32.52))))-(-5/-5)))))</f>
        <v>169923.15424</v>
      </c>
      <c r="C13253" t="n" s="0">
        <v>169923.15424</v>
      </c>
    </row>
    <row r="13254">
      <c r="A13254" t="n" s="0">
        <v>32.53</v>
      </c>
      <c r="B13254" t="n" s="0">
        <f>(-5-((((-5*(-5/((-5/(((-5*(32.53--5))-(-5+((-5*32.53)*(((-5--5)+(32.53--5))+32.53))))-(-5+-5)))*-5)))/-5)--5)+(-5*(((32.53*(32.53-(-5/-5)))*(32.53-(32.53/(-5*32.53))))-(-5/-5)))))</f>
        <v>170080.564585</v>
      </c>
      <c r="C13254" t="n" s="0">
        <v>170080.56458500001</v>
      </c>
    </row>
    <row r="13255">
      <c r="A13255" t="n" s="0">
        <v>32.54</v>
      </c>
      <c r="B13255" t="n" s="0">
        <f>(-5-((((-5*(-5/((-5/(((-5*(32.54--5))-(-5+((-5*32.54)*(((-5--5)+(32.54--5))+32.54))))-(-5+-5)))*-5)))/-5)--5)+(-5*(((32.54*(32.54-(-5/-5)))*(32.54-(32.54/(-5*32.54))))-(-5/-5)))))</f>
        <v>170238.07212</v>
      </c>
      <c r="C13255" t="n" s="0">
        <v>170238.07211999997</v>
      </c>
    </row>
    <row r="13256">
      <c r="A13256" t="n" s="0">
        <v>32.55</v>
      </c>
      <c r="B13256" t="n" s="0">
        <f>(-5-((((-5*(-5/((-5/(((-5*(32.55--5))-(-5+((-5*32.55)*(((-5--5)+(32.55--5))+32.55))))-(-5+-5)))*-5)))/-5)--5)+(-5*(((32.55*(32.55-(-5/-5)))*(32.55-(32.55/(-5*32.55))))-(-5/-5)))))</f>
        <v>170395.67687499998</v>
      </c>
      <c r="C13256" t="n" s="0">
        <v>170395.67687499995</v>
      </c>
    </row>
    <row r="13257">
      <c r="A13257" t="n" s="0">
        <v>32.56</v>
      </c>
      <c r="B13257" t="n" s="0">
        <f>(-5-((((-5*(-5/((-5/(((-5*(32.56--5))-(-5+((-5*32.56)*(((-5--5)+(32.56--5))+32.56))))-(-5+-5)))*-5)))/-5)--5)+(-5*(((32.56*(32.56-(-5/-5)))*(32.56-(32.56/(-5*32.56))))-(-5/-5)))))</f>
        <v>170553.37887999997</v>
      </c>
      <c r="C13257" t="n" s="0">
        <v>170553.37888000003</v>
      </c>
    </row>
    <row r="13258">
      <c r="A13258" t="n" s="0">
        <v>32.57</v>
      </c>
      <c r="B13258" t="n" s="0">
        <f>(-5-((((-5*(-5/((-5/(((-5*(32.57--5))-(-5+((-5*32.57)*(((-5--5)+(32.57--5))+32.57))))-(-5+-5)))*-5)))/-5)--5)+(-5*(((32.57*(32.57-(-5/-5)))*(32.57-(32.57/(-5*32.57))))-(-5/-5)))))</f>
        <v>170711.17816499996</v>
      </c>
      <c r="C13258" t="n" s="0">
        <v>170711.178165</v>
      </c>
    </row>
    <row r="13259">
      <c r="A13259" t="n" s="0">
        <v>32.58</v>
      </c>
      <c r="B13259" t="n" s="0">
        <f>(-5-((((-5*(-5/((-5/(((-5*(32.58--5))-(-5+((-5*32.58)*(((-5--5)+(32.58--5))+32.58))))-(-5+-5)))*-5)))/-5)--5)+(-5*(((32.58*(32.58-(-5/-5)))*(32.58-(32.58/(-5*32.58))))-(-5/-5)))))</f>
        <v>170869.07476</v>
      </c>
      <c r="C13259" t="n" s="0">
        <v>170869.07476</v>
      </c>
    </row>
    <row r="13260">
      <c r="A13260" t="n" s="0">
        <v>32.59</v>
      </c>
      <c r="B13260" t="n" s="0">
        <f>(-5-((((-5*(-5/((-5/(((-5*(32.59--5))-(-5+((-5*32.59)*(((-5--5)+(32.59--5))+32.59))))-(-5+-5)))*-5)))/-5)--5)+(-5*(((32.59*(32.59-(-5/-5)))*(32.59-(32.59/(-5*32.59))))-(-5/-5)))))</f>
        <v>171027.06869500002</v>
      </c>
      <c r="C13260" t="n" s="0">
        <v>171027.06869500005</v>
      </c>
    </row>
    <row r="13261">
      <c r="A13261" t="n" s="0">
        <v>32.6</v>
      </c>
      <c r="B13261" t="n" s="0">
        <f>(-5-((((-5*(-5/((-5/(((-5*(32.6--5))-(-5+((-5*32.6)*(((-5--5)+(32.6--5))+32.6))))-(-5+-5)))*-5)))/-5)--5)+(-5*(((32.6*(32.6-(-5/-5)))*(32.6-(32.6/(-5*32.6))))-(-5/-5)))))</f>
        <v>171185.16</v>
      </c>
      <c r="C13261" t="n" s="0">
        <v>171185.16</v>
      </c>
    </row>
    <row r="13262">
      <c r="A13262" t="n" s="0">
        <v>32.61</v>
      </c>
      <c r="B13262" t="n" s="0">
        <f>(-5-((((-5*(-5/((-5/(((-5*(32.61--5))-(-5+((-5*32.61)*(((-5--5)+(32.61--5))+32.61))))-(-5+-5)))*-5)))/-5)--5)+(-5*(((32.61*(32.61-(-5/-5)))*(32.61-(32.61/(-5*32.61))))-(-5/-5)))))</f>
        <v>171343.348705</v>
      </c>
      <c r="C13262" t="n" s="0">
        <v>171343.34870499995</v>
      </c>
    </row>
    <row r="13263">
      <c r="A13263" t="n" s="0">
        <v>32.62</v>
      </c>
      <c r="B13263" t="n" s="0">
        <f>(-5-((((-5*(-5/((-5/(((-5*(32.62--5))-(-5+((-5*32.62)*(((-5--5)+(32.62--5))+32.62))))-(-5+-5)))*-5)))/-5)--5)+(-5*(((32.62*(32.62-(-5/-5)))*(32.62-(32.62/(-5*32.62))))-(-5/-5)))))</f>
        <v>171501.63483999998</v>
      </c>
      <c r="C13263" t="n" s="0">
        <v>171501.63483999993</v>
      </c>
    </row>
    <row r="13264">
      <c r="A13264" t="n" s="0">
        <v>32.63</v>
      </c>
      <c r="B13264" t="n" s="0">
        <f>(-5-((((-5*(-5/((-5/(((-5*(32.63--5))-(-5+((-5*32.63)*(((-5--5)+(32.63--5))+32.63))))-(-5+-5)))*-5)))/-5)--5)+(-5*(((32.63*(32.63-(-5/-5)))*(32.63-(32.63/(-5*32.63))))-(-5/-5)))))</f>
        <v>171660.01843499998</v>
      </c>
      <c r="C13264" t="n" s="0">
        <v>171660.01843500003</v>
      </c>
    </row>
    <row r="13265">
      <c r="A13265" t="n" s="0">
        <v>32.64</v>
      </c>
      <c r="B13265" t="n" s="0">
        <f>(-5-((((-5*(-5/((-5/(((-5*(32.64--5))-(-5+((-5*32.64)*(((-5--5)+(32.64--5))+32.64))))-(-5+-5)))*-5)))/-5)--5)+(-5*(((32.64*(32.64-(-5/-5)))*(32.64-(32.64/(-5*32.64))))-(-5/-5)))))</f>
        <v>171818.49952</v>
      </c>
      <c r="C13265" t="n" s="0">
        <v>171818.49952000004</v>
      </c>
    </row>
    <row r="13266">
      <c r="A13266" t="n" s="0">
        <v>32.65</v>
      </c>
      <c r="B13266" t="n" s="0">
        <f>(-5-((((-5*(-5/((-5/(((-5*(32.65--5))-(-5+((-5*32.65)*(((-5--5)+(32.65--5))+32.65))))-(-5+-5)))*-5)))/-5)--5)+(-5*(((32.65*(32.65-(-5/-5)))*(32.65-(32.65/(-5*32.65))))-(-5/-5)))))</f>
        <v>171977.078125</v>
      </c>
      <c r="C13266" t="n" s="0">
        <v>171977.078125</v>
      </c>
    </row>
    <row r="13267">
      <c r="A13267" t="n" s="0">
        <v>32.66</v>
      </c>
      <c r="B13267" t="n" s="0">
        <f>(-5-((((-5*(-5/((-5/(((-5*(32.66--5))-(-5+((-5*32.66)*(((-5--5)+(32.66--5))+32.66))))-(-5+-5)))*-5)))/-5)--5)+(-5*(((32.66*(32.66-(-5/-5)))*(32.66-(32.66/(-5*32.66))))-(-5/-5)))))</f>
        <v>172135.75428</v>
      </c>
      <c r="C13267" t="n" s="0">
        <v>172135.75427999994</v>
      </c>
    </row>
    <row r="13268">
      <c r="A13268" t="n" s="0">
        <v>32.67</v>
      </c>
      <c r="B13268" t="n" s="0">
        <f>(-5-((((-5*(-5/((-5/(((-5*(32.67--5))-(-5+((-5*32.67)*(((-5--5)+(32.67--5))+32.67))))-(-5+-5)))*-5)))/-5)--5)+(-5*(((32.67*(32.67-(-5/-5)))*(32.67-(32.67/(-5*32.67))))-(-5/-5)))))</f>
        <v>172294.52801500002</v>
      </c>
      <c r="C13268" t="n" s="0">
        <v>172294.52801500005</v>
      </c>
    </row>
    <row r="13269">
      <c r="A13269" t="n" s="0">
        <v>32.68</v>
      </c>
      <c r="B13269" t="n" s="0">
        <f>(-5-((((-5*(-5/((-5/(((-5*(32.68--5))-(-5+((-5*32.68)*(((-5--5)+(32.68--5))+32.68))))-(-5+-5)))*-5)))/-5)--5)+(-5*(((32.68*(32.68-(-5/-5)))*(32.68-(32.68/(-5*32.68))))-(-5/-5)))))</f>
        <v>172453.39936</v>
      </c>
      <c r="C13269" t="n" s="0">
        <v>172453.39936000004</v>
      </c>
    </row>
    <row r="13270">
      <c r="A13270" t="n" s="0">
        <v>32.69</v>
      </c>
      <c r="B13270" t="n" s="0">
        <f>(-5-((((-5*(-5/((-5/(((-5*(32.69--5))-(-5+((-5*32.69)*(((-5--5)+(32.69--5))+32.69))))-(-5+-5)))*-5)))/-5)--5)+(-5*(((32.69*(32.69-(-5/-5)))*(32.69-(32.69/(-5*32.69))))-(-5/-5)))))</f>
        <v>172612.368345</v>
      </c>
      <c r="C13270" t="n" s="0">
        <v>172612.36834499997</v>
      </c>
    </row>
    <row r="13271">
      <c r="A13271" t="n" s="0">
        <v>32.7</v>
      </c>
      <c r="B13271" t="n" s="0">
        <f>(-5-((((-5*(-5/((-5/(((-5*(32.7--5))-(-5+((-5*32.7)*(((-5--5)+(32.7--5))+32.7))))-(-5+-5)))*-5)))/-5)--5)+(-5*(((32.7*(32.7-(-5/-5)))*(32.7-(32.7/(-5*32.7))))-(-5/-5)))))</f>
        <v>172771.43500000003</v>
      </c>
      <c r="C13271" t="n" s="0">
        <v>172771.43500000006</v>
      </c>
    </row>
    <row r="13272">
      <c r="A13272" t="n" s="0">
        <v>32.71</v>
      </c>
      <c r="B13272" t="n" s="0">
        <f>(-5-((((-5*(-5/((-5/(((-5*(32.71--5))-(-5+((-5*32.71)*(((-5--5)+(32.71--5))+32.71))))-(-5+-5)))*-5)))/-5)--5)+(-5*(((32.71*(32.71-(-5/-5)))*(32.71-(32.71/(-5*32.71))))-(-5/-5)))))</f>
        <v>172930.599355</v>
      </c>
      <c r="C13272" t="n" s="0">
        <v>172930.59935500004</v>
      </c>
    </row>
    <row r="13273">
      <c r="A13273" t="n" s="0">
        <v>32.72</v>
      </c>
      <c r="B13273" t="n" s="0">
        <f>(-5-((((-5*(-5/((-5/(((-5*(32.72--5))-(-5+((-5*32.72)*(((-5--5)+(32.72--5))+32.72))))-(-5+-5)))*-5)))/-5)--5)+(-5*(((32.72*(32.72-(-5/-5)))*(32.72-(32.72/(-5*32.72))))-(-5/-5)))))</f>
        <v>173089.86144</v>
      </c>
      <c r="C13273" t="n" s="0">
        <v>173089.86143999995</v>
      </c>
    </row>
    <row r="13274">
      <c r="A13274" t="n" s="0">
        <v>32.73</v>
      </c>
      <c r="B13274" t="n" s="0">
        <f>(-5-((((-5*(-5/((-5/(((-5*(32.73--5))-(-5+((-5*32.73)*(((-5--5)+(32.73--5))+32.73))))-(-5+-5)))*-5)))/-5)--5)+(-5*(((32.73*(32.73-(-5/-5)))*(32.73-(32.73/(-5*32.73))))-(-5/-5)))))</f>
        <v>173249.221285</v>
      </c>
      <c r="C13274" t="n" s="0">
        <v>173249.22128499995</v>
      </c>
    </row>
    <row r="13275">
      <c r="A13275" t="n" s="0">
        <v>32.74</v>
      </c>
      <c r="B13275" t="n" s="0">
        <f>(-5-((((-5*(-5/((-5/(((-5*(32.74--5))-(-5+((-5*32.74)*(((-5--5)+(32.74--5))+32.74))))-(-5+-5)))*-5)))/-5)--5)+(-5*(((32.74*(32.74-(-5/-5)))*(32.74-(32.74/(-5*32.74))))-(-5/-5)))))</f>
        <v>173408.67892</v>
      </c>
      <c r="C13275" t="n" s="0">
        <v>173408.67892</v>
      </c>
    </row>
    <row r="13276">
      <c r="A13276" t="n" s="0">
        <v>32.75</v>
      </c>
      <c r="B13276" t="n" s="0">
        <f>(-5-((((-5*(-5/((-5/(((-5*(32.75--5))-(-5+((-5*32.75)*(((-5--5)+(32.75--5))+32.75))))-(-5+-5)))*-5)))/-5)--5)+(-5*(((32.75*(32.75-(-5/-5)))*(32.75-(32.75/(-5*32.75))))-(-5/-5)))))</f>
        <v>173568.234375</v>
      </c>
      <c r="C13276" t="n" s="0">
        <v>173568.234375</v>
      </c>
    </row>
    <row r="13277">
      <c r="A13277" t="n" s="0">
        <v>32.76</v>
      </c>
      <c r="B13277" t="n" s="0">
        <f>(-5-((((-5*(-5/((-5/(((-5*(32.76--5))-(-5+((-5*32.76)*(((-5--5)+(32.76--5))+32.76))))-(-5+-5)))*-5)))/-5)--5)+(-5*(((32.76*(32.76-(-5/-5)))*(32.76-(32.76/(-5*32.76))))-(-5/-5)))))</f>
        <v>173727.88767999999</v>
      </c>
      <c r="C13277" t="n" s="0">
        <v>173727.88767999996</v>
      </c>
    </row>
    <row r="13278">
      <c r="A13278" t="n" s="0">
        <v>32.77</v>
      </c>
      <c r="B13278" t="n" s="0">
        <f>(-5-((((-5*(-5/((-5/(((-5*(32.77--5))-(-5+((-5*32.77)*(((-5--5)+(32.77--5))+32.77))))-(-5+-5)))*-5)))/-5)--5)+(-5*(((32.77*(32.77-(-5/-5)))*(32.77-(32.77/(-5*32.77))))-(-5/-5)))))</f>
        <v>173887.638865</v>
      </c>
      <c r="C13278" t="n" s="0">
        <v>173887.63886500004</v>
      </c>
    </row>
    <row r="13279">
      <c r="A13279" t="n" s="0">
        <v>32.78</v>
      </c>
      <c r="B13279" t="n" s="0">
        <f>(-5-((((-5*(-5/((-5/(((-5*(32.78--5))-(-5+((-5*32.78)*(((-5--5)+(32.78--5))+32.78))))-(-5+-5)))*-5)))/-5)--5)+(-5*(((32.78*(32.78-(-5/-5)))*(32.78-(32.78/(-5*32.78))))-(-5/-5)))))</f>
        <v>174047.48796</v>
      </c>
      <c r="C13279" t="n" s="0">
        <v>174047.48796000003</v>
      </c>
    </row>
    <row r="13280">
      <c r="A13280" t="n" s="0">
        <v>32.79</v>
      </c>
      <c r="B13280" t="n" s="0">
        <f>(-5-((((-5*(-5/((-5/(((-5*(32.79--5))-(-5+((-5*32.79)*(((-5--5)+(32.79--5))+32.79))))-(-5+-5)))*-5)))/-5)--5)+(-5*(((32.79*(32.79-(-5/-5)))*(32.79-(32.79/(-5*32.79))))-(-5/-5)))))</f>
        <v>174207.434995</v>
      </c>
      <c r="C13280" t="n" s="0">
        <v>174207.434995</v>
      </c>
    </row>
    <row r="13281">
      <c r="A13281" t="n" s="0">
        <v>32.8</v>
      </c>
      <c r="B13281" t="n" s="0">
        <f>(-5-((((-5*(-5/((-5/(((-5*(32.8--5))-(-5+((-5*32.8)*(((-5--5)+(32.8--5))+32.8))))-(-5+-5)))*-5)))/-5)--5)+(-5*(((32.8*(32.8-(-5/-5)))*(32.8-(32.8/(-5*32.8))))-(-5/-5)))))</f>
        <v>174367.48</v>
      </c>
      <c r="C13281" t="n" s="0">
        <v>174367.47999999995</v>
      </c>
    </row>
    <row r="13282">
      <c r="A13282" t="n" s="0">
        <v>32.81</v>
      </c>
      <c r="B13282" t="n" s="0">
        <f>(-5-((((-5*(-5/((-5/(((-5*(32.81--5))-(-5+((-5*32.81)*(((-5--5)+(32.81--5))+32.81))))-(-5+-5)))*-5)))/-5)--5)+(-5*(((32.81*(32.81-(-5/-5)))*(32.81-(32.81/(-5*32.81))))-(-5/-5)))))</f>
        <v>174527.623005</v>
      </c>
      <c r="C13282" t="n" s="0">
        <v>174527.62300500003</v>
      </c>
    </row>
    <row r="13283">
      <c r="A13283" t="n" s="0">
        <v>32.82</v>
      </c>
      <c r="B13283" t="n" s="0">
        <f>(-5-((((-5*(-5/((-5/(((-5*(32.82--5))-(-5+((-5*32.82)*(((-5--5)+(32.82--5))+32.82))))-(-5+-5)))*-5)))/-5)--5)+(-5*(((32.82*(32.82-(-5/-5)))*(32.82-(32.82/(-5*32.82))))-(-5/-5)))))</f>
        <v>174687.86404000001</v>
      </c>
      <c r="C13283" t="n" s="0">
        <v>174687.86404</v>
      </c>
    </row>
    <row r="13284">
      <c r="A13284" t="n" s="0">
        <v>32.83</v>
      </c>
      <c r="B13284" t="n" s="0">
        <f>(-5-((((-5*(-5/((-5/(((-5*(32.83--5))-(-5+((-5*32.83)*(((-5--5)+(32.83--5))+32.83))))-(-5+-5)))*-5)))/-5)--5)+(-5*(((32.83*(32.83-(-5/-5)))*(32.83-(32.83/(-5*32.83))))-(-5/-5)))))</f>
        <v>174848.20313500002</v>
      </c>
      <c r="C13284" t="n" s="0">
        <v>174848.20313499993</v>
      </c>
    </row>
    <row r="13285">
      <c r="A13285" t="n" s="0">
        <v>32.84</v>
      </c>
      <c r="B13285" t="n" s="0">
        <f>(-5-((((-5*(-5/((-5/(((-5*(32.84--5))-(-5+((-5*32.84)*(((-5--5)+(32.84--5))+32.84))))-(-5+-5)))*-5)))/-5)--5)+(-5*(((32.84*(32.84-(-5/-5)))*(32.84-(32.84/(-5*32.84))))-(-5/-5)))))</f>
        <v>175008.64032</v>
      </c>
      <c r="C13285" t="n" s="0">
        <v>175008.64032000006</v>
      </c>
    </row>
    <row r="13286">
      <c r="A13286" t="n" s="0">
        <v>32.85</v>
      </c>
      <c r="B13286" t="n" s="0">
        <f>(-5-((((-5*(-5/((-5/(((-5*(32.85--5))-(-5+((-5*32.85)*(((-5--5)+(32.85--5))+32.85))))-(-5+-5)))*-5)))/-5)--5)+(-5*(((32.85*(32.85-(-5/-5)))*(32.85-(32.85/(-5*32.85))))-(-5/-5)))))</f>
        <v>175169.175625</v>
      </c>
      <c r="C13286" t="n" s="0">
        <v>175169.17562500003</v>
      </c>
    </row>
    <row r="13287">
      <c r="A13287" t="n" s="0">
        <v>32.86</v>
      </c>
      <c r="B13287" t="n" s="0">
        <f>(-5-((((-5*(-5/((-5/(((-5*(32.86--5))-(-5+((-5*32.86)*(((-5--5)+(32.86--5))+32.86))))-(-5+-5)))*-5)))/-5)--5)+(-5*(((32.86*(32.86-(-5/-5)))*(32.86-(32.86/(-5*32.86))))-(-5/-5)))))</f>
        <v>175329.80907999998</v>
      </c>
      <c r="C13287" t="n" s="0">
        <v>175329.80907999998</v>
      </c>
    </row>
    <row r="13288">
      <c r="A13288" t="n" s="0">
        <v>32.87</v>
      </c>
      <c r="B13288" t="n" s="0">
        <f>(-5-((((-5*(-5/((-5/(((-5*(32.87--5))-(-5+((-5*32.87)*(((-5--5)+(32.87--5))+32.87))))-(-5+-5)))*-5)))/-5)--5)+(-5*(((32.87*(32.87-(-5/-5)))*(32.87-(32.87/(-5*32.87))))-(-5/-5)))))</f>
        <v>175490.54071499998</v>
      </c>
      <c r="C13288" t="n" s="0">
        <v>175490.54071499995</v>
      </c>
    </row>
    <row r="13289">
      <c r="A13289" t="n" s="0">
        <v>32.88</v>
      </c>
      <c r="B13289" t="n" s="0">
        <f>(-5-((((-5*(-5/((-5/(((-5*(32.88--5))-(-5+((-5*32.88)*(((-5--5)+(32.88--5))+32.88))))-(-5+-5)))*-5)))/-5)--5)+(-5*(((32.88*(32.88-(-5/-5)))*(32.88-(32.88/(-5*32.88))))-(-5/-5)))))</f>
        <v>175651.37055999998</v>
      </c>
      <c r="C13289" t="n" s="0">
        <v>175651.37056000004</v>
      </c>
    </row>
    <row r="13290">
      <c r="A13290" t="n" s="0">
        <v>32.89</v>
      </c>
      <c r="B13290" t="n" s="0">
        <f>(-5-((((-5*(-5/((-5/(((-5*(32.89--5))-(-5+((-5*32.89)*(((-5--5)+(32.89--5))+32.89))))-(-5+-5)))*-5)))/-5)--5)+(-5*(((32.89*(32.89-(-5/-5)))*(32.89-(32.89/(-5*32.89))))-(-5/-5)))))</f>
        <v>175812.29864500003</v>
      </c>
      <c r="C13290" t="n" s="0">
        <v>175812.29864500003</v>
      </c>
    </row>
    <row r="13291">
      <c r="A13291" t="n" s="0">
        <v>32.9</v>
      </c>
      <c r="B13291" t="n" s="0">
        <f>(-5-((((-5*(-5/((-5/(((-5*(32.9--5))-(-5+((-5*32.9)*(((-5--5)+(32.9--5))+32.9))))-(-5+-5)))*-5)))/-5)--5)+(-5*(((32.9*(32.9-(-5/-5)))*(32.9-(32.9/(-5*32.9))))-(-5/-5)))))</f>
        <v>175973.325</v>
      </c>
      <c r="C13291" t="n" s="0">
        <v>175973.32499999998</v>
      </c>
    </row>
    <row r="13292">
      <c r="A13292" t="n" s="0">
        <v>32.91</v>
      </c>
      <c r="B13292" t="n" s="0">
        <f>(-5-((((-5*(-5/((-5/(((-5*(32.91--5))-(-5+((-5*32.91)*(((-5--5)+(32.91--5))+32.91))))-(-5+-5)))*-5)))/-5)--5)+(-5*(((32.91*(32.91-(-5/-5)))*(32.91-(32.91/(-5*32.91))))-(-5/-5)))))</f>
        <v>176134.449655</v>
      </c>
      <c r="C13292" t="n" s="0">
        <v>176134.44965499992</v>
      </c>
    </row>
    <row r="13293">
      <c r="A13293" t="n" s="0">
        <v>32.92</v>
      </c>
      <c r="B13293" t="n" s="0">
        <f>(-5-((((-5*(-5/((-5/(((-5*(32.92--5))-(-5+((-5*32.92)*(((-5--5)+(32.92--5))+32.92))))-(-5+-5)))*-5)))/-5)--5)+(-5*(((32.92*(32.92-(-5/-5)))*(32.92-(32.92/(-5*32.92))))-(-5/-5)))))</f>
        <v>176295.67264</v>
      </c>
      <c r="C13293" t="n" s="0">
        <v>176295.67264000006</v>
      </c>
    </row>
    <row r="13294">
      <c r="A13294" t="n" s="0">
        <v>32.93</v>
      </c>
      <c r="B13294" t="n" s="0">
        <f>(-5-((((-5*(-5/((-5/(((-5*(32.93--5))-(-5+((-5*32.93)*(((-5--5)+(32.93--5))+32.93))))-(-5+-5)))*-5)))/-5)--5)+(-5*(((32.93*(32.93-(-5/-5)))*(32.93-(32.93/(-5*32.93))))-(-5/-5)))))</f>
        <v>176456.993985</v>
      </c>
      <c r="C13294" t="n" s="0">
        <v>176456.99398499998</v>
      </c>
    </row>
    <row r="13295">
      <c r="A13295" t="n" s="0">
        <v>32.94</v>
      </c>
      <c r="B13295" t="n" s="0">
        <f>(-5-((((-5*(-5/((-5/(((-5*(32.94--5))-(-5+((-5*32.94)*(((-5--5)+(32.94--5))+32.94))))-(-5+-5)))*-5)))/-5)--5)+(-5*(((32.94*(32.94-(-5/-5)))*(32.94-(32.94/(-5*32.94))))-(-5/-5)))))</f>
        <v>176618.41371999998</v>
      </c>
      <c r="C13295" t="n" s="0">
        <v>176618.41371999995</v>
      </c>
    </row>
    <row r="13296">
      <c r="A13296" t="n" s="0">
        <v>32.95</v>
      </c>
      <c r="B13296" t="n" s="0">
        <f>(-5-((((-5*(-5/((-5/(((-5*(32.95--5))-(-5+((-5*32.95)*(((-5--5)+(32.95--5))+32.95))))-(-5+-5)))*-5)))/-5)--5)+(-5*(((32.95*(32.95-(-5/-5)))*(32.95-(32.95/(-5*32.95))))-(-5/-5)))))</f>
        <v>176779.93187499998</v>
      </c>
      <c r="C13296" t="n" s="0">
        <v>176779.93187500004</v>
      </c>
    </row>
    <row r="13297">
      <c r="A13297" t="n" s="0">
        <v>32.96</v>
      </c>
      <c r="B13297" t="n" s="0">
        <f>(-5-((((-5*(-5/((-5/(((-5*(32.96--5))-(-5+((-5*32.96)*(((-5--5)+(32.96--5))+32.96))))-(-5+-5)))*-5)))/-5)--5)+(-5*(((32.96*(32.96-(-5/-5)))*(32.96-(32.96/(-5*32.96))))-(-5/-5)))))</f>
        <v>176941.54847999997</v>
      </c>
      <c r="C13297" t="n" s="0">
        <v>176941.54848</v>
      </c>
    </row>
    <row r="13298">
      <c r="A13298" t="n" s="0">
        <v>32.97</v>
      </c>
      <c r="B13298" t="n" s="0">
        <f>(-5-((((-5*(-5/((-5/(((-5*(32.97--5))-(-5+((-5*32.97)*(((-5--5)+(32.97--5))+32.97))))-(-5+-5)))*-5)))/-5)--5)+(-5*(((32.97*(32.97-(-5/-5)))*(32.97-(32.97/(-5*32.97))))-(-5/-5)))))</f>
        <v>177103.263565</v>
      </c>
      <c r="C13298" t="n" s="0">
        <v>177103.26356499997</v>
      </c>
    </row>
    <row r="13299">
      <c r="A13299" t="n" s="0">
        <v>32.98</v>
      </c>
      <c r="B13299" t="n" s="0">
        <f>(-5-((((-5*(-5/((-5/(((-5*(32.98--5))-(-5+((-5*32.98)*(((-5--5)+(32.98--5))+32.98))))-(-5+-5)))*-5)))/-5)--5)+(-5*(((32.98*(32.98-(-5/-5)))*(32.98-(32.98/(-5*32.98))))-(-5/-5)))))</f>
        <v>177265.07716000002</v>
      </c>
      <c r="C13299" t="n" s="0">
        <v>177265.07715999996</v>
      </c>
    </row>
    <row r="13300">
      <c r="A13300" t="n" s="0">
        <v>32.99</v>
      </c>
      <c r="B13300" t="n" s="0">
        <f>(-5-((((-5*(-5/((-5/(((-5*(32.99--5))-(-5+((-5*32.99)*(((-5--5)+(32.99--5))+32.99))))-(-5+-5)))*-5)))/-5)--5)+(-5*(((32.99*(32.99-(-5/-5)))*(32.99-(32.99/(-5*32.99))))-(-5/-5)))))</f>
        <v>177426.989295</v>
      </c>
      <c r="C13300" t="n" s="0">
        <v>177426.98929500004</v>
      </c>
    </row>
    <row r="13301">
      <c r="A13301" t="n" s="0">
        <v>33.0</v>
      </c>
      <c r="B13301" t="n" s="0">
        <f>(-5-((((-5*(-5/((-5/(((-5*(33--5))-(-5+((-5*33)*(((-5--5)+(33--5))+33))))-(-5+-5)))*-5)))/-5)--5)+(-5*(((33*(33-(-5/-5)))*(33-(33/(-5*33))))-(-5/-5)))))</f>
        <v>177589.0</v>
      </c>
      <c r="C13301" t="n" s="0">
        <v>177589.0</v>
      </c>
    </row>
    <row r="13302">
      <c r="A13302" t="n" s="0">
        <v>33.01</v>
      </c>
      <c r="B13302" t="n" s="0">
        <f>(-5-((((-5*(-5/((-5/(((-5*(33.01--5))-(-5+((-5*33.01)*(((-5--5)+(33.01--5))+33.01))))-(-5+-5)))*-5)))/-5)--5)+(-5*(((33.01*(33.01-(-5/-5)))*(33.01-(33.01/(-5*33.01))))-(-5/-5)))))</f>
        <v>177751.109305</v>
      </c>
      <c r="C13302" t="n" s="0">
        <v>177751.109305</v>
      </c>
    </row>
    <row r="13303">
      <c r="A13303" t="n" s="0">
        <v>33.02</v>
      </c>
      <c r="B13303" t="n" s="0">
        <f>(-5-((((-5*(-5/((-5/(((-5*(33.02--5))-(-5+((-5*33.02)*(((-5--5)+(33.02--5))+33.02))))-(-5+-5)))*-5)))/-5)--5)+(-5*(((33.02*(33.02-(-5/-5)))*(33.02-(33.02/(-5*33.02))))-(-5/-5)))))</f>
        <v>177913.31724</v>
      </c>
      <c r="C13303" t="n" s="0">
        <v>177913.31724000006</v>
      </c>
    </row>
    <row r="13304">
      <c r="A13304" t="n" s="0">
        <v>33.03</v>
      </c>
      <c r="B13304" t="n" s="0">
        <f>(-5-((((-5*(-5/((-5/(((-5*(33.03--5))-(-5+((-5*33.03)*(((-5--5)+(33.03--5))+33.03))))-(-5+-5)))*-5)))/-5)--5)+(-5*(((33.03*(33.03-(-5/-5)))*(33.03-(33.03/(-5*33.03))))-(-5/-5)))))</f>
        <v>178075.62383499998</v>
      </c>
      <c r="C13304" t="n" s="0">
        <v>178075.623835</v>
      </c>
    </row>
    <row r="13305">
      <c r="A13305" t="n" s="0">
        <v>33.04</v>
      </c>
      <c r="B13305" t="n" s="0">
        <f>(-5-((((-5*(-5/((-5/(((-5*(33.04--5))-(-5+((-5*33.04)*(((-5--5)+(33.04--5))+33.04))))-(-5+-5)))*-5)))/-5)--5)+(-5*(((33.04*(33.04-(-5/-5)))*(33.04-(33.04/(-5*33.04))))-(-5/-5)))))</f>
        <v>178238.02912000002</v>
      </c>
      <c r="C13305" t="n" s="0">
        <v>178238.02912</v>
      </c>
    </row>
    <row r="13306">
      <c r="A13306" t="n" s="0">
        <v>33.05</v>
      </c>
      <c r="B13306" t="n" s="0">
        <f>(-5-((((-5*(-5/((-5/(((-5*(33.05--5))-(-5+((-5*33.05)*(((-5--5)+(33.05--5))+33.05))))-(-5+-5)))*-5)))/-5)--5)+(-5*(((33.05*(33.05-(-5/-5)))*(33.05-(33.05/(-5*33.05))))-(-5/-5)))))</f>
        <v>178400.533125</v>
      </c>
      <c r="C13306" t="n" s="0">
        <v>178400.53312499993</v>
      </c>
    </row>
    <row r="13307">
      <c r="A13307" t="n" s="0">
        <v>33.06</v>
      </c>
      <c r="B13307" t="n" s="0">
        <f>(-5-((((-5*(-5/((-5/(((-5*(33.06--5))-(-5+((-5*33.06)*(((-5--5)+(33.06--5))+33.06))))-(-5+-5)))*-5)))/-5)--5)+(-5*(((33.06*(33.06-(-5/-5)))*(33.06-(33.06/(-5*33.06))))-(-5/-5)))))</f>
        <v>178563.13588</v>
      </c>
      <c r="C13307" t="n" s="0">
        <v>178563.13588000005</v>
      </c>
    </row>
    <row r="13308">
      <c r="A13308" t="n" s="0">
        <v>33.07</v>
      </c>
      <c r="B13308" t="n" s="0">
        <f>(-5-((((-5*(-5/((-5/(((-5*(33.07--5))-(-5+((-5*33.07)*(((-5--5)+(33.07--5))+33.07))))-(-5+-5)))*-5)))/-5)--5)+(-5*(((33.07*(33.07-(-5/-5)))*(33.07-(33.07/(-5*33.07))))-(-5/-5)))))</f>
        <v>178725.83741500002</v>
      </c>
      <c r="C13308" t="n" s="0">
        <v>178725.837415</v>
      </c>
    </row>
    <row r="13309">
      <c r="A13309" t="n" s="0">
        <v>33.08</v>
      </c>
      <c r="B13309" t="n" s="0">
        <f>(-5-((((-5*(-5/((-5/(((-5*(33.08--5))-(-5+((-5*33.08)*(((-5--5)+(33.08--5))+33.08))))-(-5+-5)))*-5)))/-5)--5)+(-5*(((33.08*(33.08-(-5/-5)))*(33.08-(33.08/(-5*33.08))))-(-5/-5)))))</f>
        <v>178888.63776</v>
      </c>
      <c r="C13309" t="n" s="0">
        <v>178888.63775999995</v>
      </c>
    </row>
    <row r="13310">
      <c r="A13310" t="n" s="0">
        <v>33.09</v>
      </c>
      <c r="B13310" t="n" s="0">
        <f>(-5-((((-5*(-5/((-5/(((-5*(33.09--5))-(-5+((-5*33.09)*(((-5--5)+(33.09--5))+33.09))))-(-5+-5)))*-5)))/-5)--5)+(-5*(((33.09*(33.09-(-5/-5)))*(33.09-(33.09/(-5*33.09))))-(-5/-5)))))</f>
        <v>179051.536945</v>
      </c>
      <c r="C13310" t="n" s="0">
        <v>179051.53694500006</v>
      </c>
    </row>
    <row r="13311">
      <c r="A13311" t="n" s="0">
        <v>33.1</v>
      </c>
      <c r="B13311" t="n" s="0">
        <f>(-5-((((-5*(-5/((-5/(((-5*(33.1--5))-(-5+((-5*33.1)*(((-5--5)+(33.1--5))+33.1))))-(-5+-5)))*-5)))/-5)--5)+(-5*(((33.1*(33.1-(-5/-5)))*(33.1-(33.1/(-5*33.1))))-(-5/-5)))))</f>
        <v>179214.535</v>
      </c>
      <c r="C13311" t="n" s="0">
        <v>179214.535</v>
      </c>
    </row>
    <row r="13312">
      <c r="A13312" t="n" s="0">
        <v>33.11</v>
      </c>
      <c r="B13312" t="n" s="0">
        <f>(-5-((((-5*(-5/((-5/(((-5*(33.11--5))-(-5+((-5*33.11)*(((-5--5)+(33.11--5))+33.11))))-(-5+-5)))*-5)))/-5)--5)+(-5*(((33.11*(33.11-(-5/-5)))*(33.11-(33.11/(-5*33.11))))-(-5/-5)))))</f>
        <v>179377.63195500002</v>
      </c>
      <c r="C13312" t="n" s="0">
        <v>179377.631955</v>
      </c>
    </row>
    <row r="13313">
      <c r="A13313" t="n" s="0">
        <v>33.12</v>
      </c>
      <c r="B13313" t="n" s="0">
        <f>(-5-((((-5*(-5/((-5/(((-5*(33.12--5))-(-5+((-5*33.12)*(((-5--5)+(33.12--5))+33.12))))-(-5+-5)))*-5)))/-5)--5)+(-5*(((33.12*(33.12-(-5/-5)))*(33.12-(33.12/(-5*33.12))))-(-5/-5)))))</f>
        <v>179540.82784</v>
      </c>
      <c r="C13313" t="n" s="0">
        <v>179540.82783999995</v>
      </c>
    </row>
    <row r="13314">
      <c r="A13314" t="n" s="0">
        <v>33.13</v>
      </c>
      <c r="B13314" t="n" s="0">
        <f>(-5-((((-5*(-5/((-5/(((-5*(33.13--5))-(-5+((-5*33.13)*(((-5--5)+(33.13--5))+33.13))))-(-5+-5)))*-5)))/-5)--5)+(-5*(((33.13*(33.13-(-5/-5)))*(33.13-(33.13/(-5*33.13))))-(-5/-5)))))</f>
        <v>179704.12268500004</v>
      </c>
      <c r="C13314" t="n" s="0">
        <v>179704.12268500004</v>
      </c>
    </row>
    <row r="13315">
      <c r="A13315" t="n" s="0">
        <v>33.14</v>
      </c>
      <c r="B13315" t="n" s="0">
        <f>(-5-((((-5*(-5/((-5/(((-5*(33.14--5))-(-5+((-5*33.14)*(((-5--5)+(33.14--5))+33.14))))-(-5+-5)))*-5)))/-5)--5)+(-5*(((33.14*(33.14-(-5/-5)))*(33.14-(33.14/(-5*33.14))))-(-5/-5)))))</f>
        <v>179867.51652</v>
      </c>
      <c r="C13315" t="n" s="0">
        <v>179867.51652</v>
      </c>
    </row>
    <row r="13316">
      <c r="A13316" t="n" s="0">
        <v>33.15</v>
      </c>
      <c r="B13316" t="n" s="0">
        <f>(-5-((((-5*(-5/((-5/(((-5*(33.15--5))-(-5+((-5*33.15)*(((-5--5)+(33.15--5))+33.15))))-(-5+-5)))*-5)))/-5)--5)+(-5*(((33.15*(33.15-(-5/-5)))*(33.15-(33.15/(-5*33.15))))-(-5/-5)))))</f>
        <v>180031.00937499997</v>
      </c>
      <c r="C13316" t="n" s="0">
        <v>180031.009375</v>
      </c>
    </row>
    <row r="13317">
      <c r="A13317" t="n" s="0">
        <v>33.16</v>
      </c>
      <c r="B13317" t="n" s="0">
        <f>(-5-((((-5*(-5/((-5/(((-5*(33.16--5))-(-5+((-5*33.16)*(((-5--5)+(33.16--5))+33.16))))-(-5+-5)))*-5)))/-5)--5)+(-5*(((33.16*(33.16-(-5/-5)))*(33.16-(33.16/(-5*33.16))))-(-5/-5)))))</f>
        <v>180194.60128</v>
      </c>
      <c r="C13317" t="n" s="0">
        <v>180194.60127999994</v>
      </c>
    </row>
    <row r="13318">
      <c r="A13318" t="n" s="0">
        <v>33.17</v>
      </c>
      <c r="B13318" t="n" s="0">
        <f>(-5-((((-5*(-5/((-5/(((-5*(33.17--5))-(-5+((-5*33.17)*(((-5--5)+(33.17--5))+33.17))))-(-5+-5)))*-5)))/-5)--5)+(-5*(((33.17*(33.17-(-5/-5)))*(33.17-(33.17/(-5*33.17))))-(-5/-5)))))</f>
        <v>180358.292265</v>
      </c>
      <c r="C13318" t="n" s="0">
        <v>180358.29226500003</v>
      </c>
    </row>
    <row r="13319">
      <c r="A13319" t="n" s="0">
        <v>33.18</v>
      </c>
      <c r="B13319" t="n" s="0">
        <f>(-5-((((-5*(-5/((-5/(((-5*(33.18--5))-(-5+((-5*33.18)*(((-5--5)+(33.18--5))+33.18))))-(-5+-5)))*-5)))/-5)--5)+(-5*(((33.18*(33.18-(-5/-5)))*(33.18-(33.18/(-5*33.18))))-(-5/-5)))))</f>
        <v>180522.08235999997</v>
      </c>
      <c r="C13319" t="n" s="0">
        <v>180522.08236000003</v>
      </c>
    </row>
    <row r="13320">
      <c r="A13320" t="n" s="0">
        <v>33.19</v>
      </c>
      <c r="B13320" t="n" s="0">
        <f>(-5-((((-5*(-5/((-5/(((-5*(33.19--5))-(-5+((-5*33.19)*(((-5--5)+(33.19--5))+33.19))))-(-5+-5)))*-5)))/-5)--5)+(-5*(((33.19*(33.19-(-5/-5)))*(33.19-(33.19/(-5*33.19))))-(-5/-5)))))</f>
        <v>180685.971595</v>
      </c>
      <c r="C13320" t="n" s="0">
        <v>180685.97159499995</v>
      </c>
    </row>
    <row r="13321">
      <c r="A13321" t="n" s="0">
        <v>33.2</v>
      </c>
      <c r="B13321" t="n" s="0">
        <f>(-5-((((-5*(-5/((-5/(((-5*(33.2--5))-(-5+((-5*33.2)*(((-5--5)+(33.2--5))+33.2))))-(-5+-5)))*-5)))/-5)--5)+(-5*(((33.2*(33.2-(-5/-5)))*(33.2-(33.2/(-5*33.2))))-(-5/-5)))))</f>
        <v>180849.96</v>
      </c>
      <c r="C13321" t="n" s="0">
        <v>180849.96000000005</v>
      </c>
    </row>
    <row r="13322">
      <c r="A13322" t="n" s="0">
        <v>33.21</v>
      </c>
      <c r="B13322" t="n" s="0">
        <f>(-5-((((-5*(-5/((-5/(((-5*(33.21--5))-(-5+((-5*33.21)*(((-5--5)+(33.21--5))+33.21))))-(-5+-5)))*-5)))/-5)--5)+(-5*(((33.21*(33.21-(-5/-5)))*(33.21-(33.21/(-5*33.21))))-(-5/-5)))))</f>
        <v>181014.047605</v>
      </c>
      <c r="C13322" t="n" s="0">
        <v>181014.04760500003</v>
      </c>
    </row>
    <row r="13323">
      <c r="A13323" t="n" s="0">
        <v>33.22</v>
      </c>
      <c r="B13323" t="n" s="0">
        <f>(-5-((((-5*(-5/((-5/(((-5*(33.22--5))-(-5+((-5*33.22)*(((-5--5)+(33.22--5))+33.22))))-(-5+-5)))*-5)))/-5)--5)+(-5*(((33.22*(33.22-(-5/-5)))*(33.22-(33.22/(-5*33.22))))-(-5/-5)))))</f>
        <v>181178.23444</v>
      </c>
      <c r="C13323" t="n" s="0">
        <v>181178.23443999997</v>
      </c>
    </row>
    <row r="13324">
      <c r="A13324" t="n" s="0">
        <v>33.23</v>
      </c>
      <c r="B13324" t="n" s="0">
        <f>(-5-((((-5*(-5/((-5/(((-5*(33.23--5))-(-5+((-5*33.23)*(((-5--5)+(33.23--5))+33.23))))-(-5+-5)))*-5)))/-5)--5)+(-5*(((33.23*(33.23-(-5/-5)))*(33.23-(33.23/(-5*33.23))))-(-5/-5)))))</f>
        <v>181342.520535</v>
      </c>
      <c r="C13324" t="n" s="0">
        <v>181342.52053499993</v>
      </c>
    </row>
    <row r="13325">
      <c r="A13325" t="n" s="0">
        <v>33.24</v>
      </c>
      <c r="B13325" t="n" s="0">
        <f>(-5-((((-5*(-5/((-5/(((-5*(33.24--5))-(-5+((-5*33.24)*(((-5--5)+(33.24--5))+33.24))))-(-5+-5)))*-5)))/-5)--5)+(-5*(((33.24*(33.24-(-5/-5)))*(33.24-(33.24/(-5*33.24))))-(-5/-5)))))</f>
        <v>181506.90592000002</v>
      </c>
      <c r="C13325" t="n" s="0">
        <v>181506.90592000002</v>
      </c>
    </row>
    <row r="13326">
      <c r="A13326" t="n" s="0">
        <v>33.25</v>
      </c>
      <c r="B13326" t="n" s="0">
        <f>(-5-((((-5*(-5/((-5/(((-5*(33.25--5))-(-5+((-5*33.25)*(((-5--5)+(33.25--5))+33.25))))-(-5+-5)))*-5)))/-5)--5)+(-5*(((33.25*(33.25-(-5/-5)))*(33.25-(33.25/(-5*33.25))))-(-5/-5)))))</f>
        <v>181671.390625</v>
      </c>
      <c r="C13326" t="n" s="0">
        <v>181671.390625</v>
      </c>
    </row>
    <row r="13327">
      <c r="A13327" t="n" s="0">
        <v>33.26</v>
      </c>
      <c r="B13327" t="n" s="0">
        <f>(-5-((((-5*(-5/((-5/(((-5*(33.26--5))-(-5+((-5*33.26)*(((-5--5)+(33.26--5))+33.26))))-(-5+-5)))*-5)))/-5)--5)+(-5*(((33.26*(33.26-(-5/-5)))*(33.26-(33.26/(-5*33.26))))-(-5/-5)))))</f>
        <v>181835.97468</v>
      </c>
      <c r="C13327" t="n" s="0">
        <v>181835.97467999998</v>
      </c>
    </row>
    <row r="13328">
      <c r="A13328" t="n" s="0">
        <v>33.27</v>
      </c>
      <c r="B13328" t="n" s="0">
        <f>(-5-((((-5*(-5/((-5/(((-5*(33.27--5))-(-5+((-5*33.27)*(((-5--5)+(33.27--5))+33.27))))-(-5+-5)))*-5)))/-5)--5)+(-5*(((33.27*(33.27-(-5/-5)))*(33.27-(33.27/(-5*33.27))))-(-5/-5)))))</f>
        <v>182000.658115</v>
      </c>
      <c r="C13328" t="n" s="0">
        <v>182000.65811500006</v>
      </c>
    </row>
    <row r="13329">
      <c r="A13329" t="n" s="0">
        <v>33.28</v>
      </c>
      <c r="B13329" t="n" s="0">
        <f>(-5-((((-5*(-5/((-5/(((-5*(33.28--5))-(-5+((-5*33.28)*(((-5--5)+(33.28--5))+33.28))))-(-5+-5)))*-5)))/-5)--5)+(-5*(((33.28*(33.28-(-5/-5)))*(33.28-(33.28/(-5*33.28))))-(-5/-5)))))</f>
        <v>182165.44096</v>
      </c>
      <c r="C13329" t="n" s="0">
        <v>182165.44096000004</v>
      </c>
    </row>
    <row r="13330">
      <c r="A13330" t="n" s="0">
        <v>33.29</v>
      </c>
      <c r="B13330" t="n" s="0">
        <f>(-5-((((-5*(-5/((-5/(((-5*(33.29--5))-(-5+((-5*33.29)*(((-5--5)+(33.29--5))+33.29))))-(-5+-5)))*-5)))/-5)--5)+(-5*(((33.29*(33.29-(-5/-5)))*(33.29-(33.29/(-5*33.29))))-(-5/-5)))))</f>
        <v>182330.32324499998</v>
      </c>
      <c r="C13330" t="n" s="0">
        <v>182330.32324499995</v>
      </c>
    </row>
    <row r="13331">
      <c r="A13331" t="n" s="0">
        <v>33.3</v>
      </c>
      <c r="B13331" t="n" s="0">
        <f>(-5-((((-5*(-5/((-5/(((-5*(33.3--5))-(-5+((-5*33.3)*(((-5--5)+(33.3--5))+33.3))))-(-5+-5)))*-5)))/-5)--5)+(-5*(((33.3*(33.3-(-5/-5)))*(33.3-(33.3/(-5*33.3))))-(-5/-5)))))</f>
        <v>182495.30500000002</v>
      </c>
      <c r="C13331" t="n" s="0">
        <v>182495.30499999993</v>
      </c>
    </row>
    <row r="13332">
      <c r="A13332" t="n" s="0">
        <v>33.31</v>
      </c>
      <c r="B13332" t="n" s="0">
        <f>(-5-((((-5*(-5/((-5/(((-5*(33.31--5))-(-5+((-5*33.31)*(((-5--5)+(33.31--5))+33.31))))-(-5+-5)))*-5)))/-5)--5)+(-5*(((33.31*(33.31-(-5/-5)))*(33.31-(33.31/(-5*33.31))))-(-5/-5)))))</f>
        <v>182660.386255</v>
      </c>
      <c r="C13332" t="n" s="0">
        <v>182660.38625500005</v>
      </c>
    </row>
    <row r="13333">
      <c r="A13333" t="n" s="0">
        <v>33.32</v>
      </c>
      <c r="B13333" t="n" s="0">
        <f>(-5-((((-5*(-5/((-5/(((-5*(33.32--5))-(-5+((-5*33.32)*(((-5--5)+(33.32--5))+33.32))))-(-5+-5)))*-5)))/-5)--5)+(-5*(((33.32*(33.32-(-5/-5)))*(33.32-(33.32/(-5*33.32))))-(-5/-5)))))</f>
        <v>182825.56704</v>
      </c>
      <c r="C13333" t="n" s="0">
        <v>182825.56704</v>
      </c>
    </row>
    <row r="13334">
      <c r="A13334" t="n" s="0">
        <v>33.33</v>
      </c>
      <c r="B13334" t="n" s="0">
        <f>(-5-((((-5*(-5/((-5/(((-5*(33.33--5))-(-5+((-5*33.33)*(((-5--5)+(33.33--5))+33.33))))-(-5+-5)))*-5)))/-5)--5)+(-5*(((33.33*(33.33-(-5/-5)))*(33.33-(33.33/(-5*33.33))))-(-5/-5)))))</f>
        <v>182990.847385</v>
      </c>
      <c r="C13334" t="n" s="0">
        <v>182990.84738499994</v>
      </c>
    </row>
    <row r="13335">
      <c r="A13335" t="n" s="0">
        <v>33.34</v>
      </c>
      <c r="B13335" t="n" s="0">
        <f>(-5-((((-5*(-5/((-5/(((-5*(33.34--5))-(-5+((-5*33.34)*(((-5--5)+(33.34--5))+33.34))))-(-5+-5)))*-5)))/-5)--5)+(-5*(((33.34*(33.34-(-5/-5)))*(33.34-(33.34/(-5*33.34))))-(-5/-5)))))</f>
        <v>183156.22732</v>
      </c>
      <c r="C13335" t="n" s="0">
        <v>183156.22732000003</v>
      </c>
    </row>
    <row r="13336">
      <c r="A13336" t="n" s="0">
        <v>33.35</v>
      </c>
      <c r="B13336" t="n" s="0">
        <f>(-5-((((-5*(-5/((-5/(((-5*(33.35--5))-(-5+((-5*33.35)*(((-5--5)+(33.35--5))+33.35))))-(-5+-5)))*-5)))/-5)--5)+(-5*(((33.35*(33.35-(-5/-5)))*(33.35-(33.35/(-5*33.35))))-(-5/-5)))))</f>
        <v>183321.706875</v>
      </c>
      <c r="C13336" t="n" s="0">
        <v>183321.706875</v>
      </c>
    </row>
    <row r="13337">
      <c r="A13337" t="n" s="0">
        <v>33.36</v>
      </c>
      <c r="B13337" t="n" s="0">
        <f>(-5-((((-5*(-5/((-5/(((-5*(33.36--5))-(-5+((-5*33.36)*(((-5--5)+(33.36--5))+33.36))))-(-5+-5)))*-5)))/-5)--5)+(-5*(((33.36*(33.36-(-5/-5)))*(33.36-(33.36/(-5*33.36))))-(-5/-5)))))</f>
        <v>183487.28608</v>
      </c>
      <c r="C13337" t="n" s="0">
        <v>183487.28608</v>
      </c>
    </row>
    <row r="13338">
      <c r="A13338" t="n" s="0">
        <v>33.37</v>
      </c>
      <c r="B13338" t="n" s="0">
        <f>(-5-((((-5*(-5/((-5/(((-5*(33.37--5))-(-5+((-5*33.37)*(((-5--5)+(33.37--5))+33.37))))-(-5+-5)))*-5)))/-5)--5)+(-5*(((33.37*(33.37-(-5/-5)))*(33.37-(33.37/(-5*33.37))))-(-5/-5)))))</f>
        <v>183652.964965</v>
      </c>
      <c r="C13338" t="n" s="0">
        <v>183652.96496499993</v>
      </c>
    </row>
    <row r="13339">
      <c r="A13339" t="n" s="0">
        <v>33.38</v>
      </c>
      <c r="B13339" t="n" s="0">
        <f>(-5-((((-5*(-5/((-5/(((-5*(33.38--5))-(-5+((-5*33.38)*(((-5--5)+(33.38--5))+33.38))))-(-5+-5)))*-5)))/-5)--5)+(-5*(((33.38*(33.38-(-5/-5)))*(33.38-(33.38/(-5*33.38))))-(-5/-5)))))</f>
        <v>183818.74356000003</v>
      </c>
      <c r="C13339" t="n" s="0">
        <v>183818.74356000006</v>
      </c>
    </row>
    <row r="13340">
      <c r="A13340" t="n" s="0">
        <v>33.39</v>
      </c>
      <c r="B13340" t="n" s="0">
        <f>(-5-((((-5*(-5/((-5/(((-5*(33.39--5))-(-5+((-5*33.39)*(((-5--5)+(33.39--5))+33.39))))-(-5+-5)))*-5)))/-5)--5)+(-5*(((33.39*(33.39-(-5/-5)))*(33.39-(33.39/(-5*33.39))))-(-5/-5)))))</f>
        <v>183984.621895</v>
      </c>
      <c r="C13340" t="n" s="0">
        <v>183984.62189500005</v>
      </c>
    </row>
    <row r="13341">
      <c r="A13341" t="n" s="0">
        <v>33.4</v>
      </c>
      <c r="B13341" t="n" s="0">
        <f>(-5-((((-5*(-5/((-5/(((-5*(33.4--5))-(-5+((-5*33.4)*(((-5--5)+(33.4--5))+33.4))))-(-5+-5)))*-5)))/-5)--5)+(-5*(((33.4*(33.4-(-5/-5)))*(33.4-(33.4/(-5*33.4))))-(-5/-5)))))</f>
        <v>184150.6</v>
      </c>
      <c r="C13341" t="n" s="0">
        <v>184150.6</v>
      </c>
    </row>
    <row r="13342">
      <c r="A13342" t="n" s="0">
        <v>33.41</v>
      </c>
      <c r="B13342" t="n" s="0">
        <f>(-5-((((-5*(-5/((-5/(((-5*(33.41--5))-(-5+((-5*33.41)*(((-5--5)+(33.41--5))+33.41))))-(-5+-5)))*-5)))/-5)--5)+(-5*(((33.41*(33.41-(-5/-5)))*(33.41-(33.41/(-5*33.41))))-(-5/-5)))))</f>
        <v>184316.67790500002</v>
      </c>
      <c r="C13342" t="n" s="0">
        <v>184316.67790499996</v>
      </c>
    </row>
    <row r="13343">
      <c r="A13343" t="n" s="0">
        <v>33.42</v>
      </c>
      <c r="B13343" t="n" s="0">
        <f>(-5-((((-5*(-5/((-5/(((-5*(33.42--5))-(-5+((-5*33.42)*(((-5--5)+(33.42--5))+33.42))))-(-5+-5)))*-5)))/-5)--5)+(-5*(((33.42*(33.42-(-5/-5)))*(33.42-(33.42/(-5*33.42))))-(-5/-5)))))</f>
        <v>184482.85564</v>
      </c>
      <c r="C13343" t="n" s="0">
        <v>184482.85564000002</v>
      </c>
    </row>
    <row r="13344">
      <c r="A13344" t="n" s="0">
        <v>33.43</v>
      </c>
      <c r="B13344" t="n" s="0">
        <f>(-5-((((-5*(-5/((-5/(((-5*(33.43--5))-(-5+((-5*33.43)*(((-5--5)+(33.43--5))+33.43))))-(-5+-5)))*-5)))/-5)--5)+(-5*(((33.43*(33.43-(-5/-5)))*(33.43-(33.43/(-5*33.43))))-(-5/-5)))))</f>
        <v>184649.13323500002</v>
      </c>
      <c r="C13344" t="n" s="0">
        <v>184649.133235</v>
      </c>
    </row>
    <row r="13345">
      <c r="A13345" t="n" s="0">
        <v>33.44</v>
      </c>
      <c r="B13345" t="n" s="0">
        <f>(-5-((((-5*(-5/((-5/(((-5*(33.44--5))-(-5+((-5*33.44)*(((-5--5)+(33.44--5))+33.44))))-(-5+-5)))*-5)))/-5)--5)+(-5*(((33.44*(33.44-(-5/-5)))*(33.44-(33.44/(-5*33.44))))-(-5/-5)))))</f>
        <v>184815.51072</v>
      </c>
      <c r="C13345" t="n" s="0">
        <v>184815.51071999996</v>
      </c>
    </row>
    <row r="13346">
      <c r="A13346" t="n" s="0">
        <v>33.45</v>
      </c>
      <c r="B13346" t="n" s="0">
        <f>(-5-((((-5*(-5/((-5/(((-5*(33.45--5))-(-5+((-5*33.45)*(((-5--5)+(33.45--5))+33.45))))-(-5+-5)))*-5)))/-5)--5)+(-5*(((33.45*(33.45-(-5/-5)))*(33.45-(33.45/(-5*33.45))))-(-5/-5)))))</f>
        <v>184981.988125</v>
      </c>
      <c r="C13346" t="n" s="0">
        <v>184981.98812500006</v>
      </c>
    </row>
    <row r="13347">
      <c r="A13347" t="n" s="0">
        <v>33.46</v>
      </c>
      <c r="B13347" t="n" s="0">
        <f>(-5-((((-5*(-5/((-5/(((-5*(33.46--5))-(-5+((-5*33.46)*(((-5--5)+(33.46--5))+33.46))))-(-5+-5)))*-5)))/-5)--5)+(-5*(((33.46*(33.46-(-5/-5)))*(33.46-(33.46/(-5*33.46))))-(-5/-5)))))</f>
        <v>185148.56548</v>
      </c>
      <c r="C13347" t="n" s="0">
        <v>185148.56548000002</v>
      </c>
    </row>
    <row r="13348">
      <c r="A13348" t="n" s="0">
        <v>33.47</v>
      </c>
      <c r="B13348" t="n" s="0">
        <f>(-5-((((-5*(-5/((-5/(((-5*(33.47--5))-(-5+((-5*33.47)*(((-5--5)+(33.47--5))+33.47))))-(-5+-5)))*-5)))/-5)--5)+(-5*(((33.47*(33.47-(-5/-5)))*(33.47-(33.47/(-5*33.47))))-(-5/-5)))))</f>
        <v>185315.242815</v>
      </c>
      <c r="C13348" t="n" s="0">
        <v>185315.24281499998</v>
      </c>
    </row>
    <row r="13349">
      <c r="A13349" t="n" s="0">
        <v>33.48</v>
      </c>
      <c r="B13349" t="n" s="0">
        <f>(-5-((((-5*(-5/((-5/(((-5*(33.48--5))-(-5+((-5*33.48)*(((-5--5)+(33.48--5))+33.48))))-(-5+-5)))*-5)))/-5)--5)+(-5*(((33.48*(33.48-(-5/-5)))*(33.48-(33.48/(-5*33.48))))-(-5/-5)))))</f>
        <v>185482.02016</v>
      </c>
      <c r="C13349" t="n" s="0">
        <v>185482.02015999996</v>
      </c>
    </row>
    <row r="13350">
      <c r="A13350" t="n" s="0">
        <v>33.49</v>
      </c>
      <c r="B13350" t="n" s="0">
        <f>(-5-((((-5*(-5/((-5/(((-5*(33.49--5))-(-5+((-5*33.49)*(((-5--5)+(33.49--5))+33.49))))-(-5+-5)))*-5)))/-5)--5)+(-5*(((33.49*(33.49-(-5/-5)))*(33.49-(33.49/(-5*33.49))))-(-5/-5)))))</f>
        <v>185648.89754499999</v>
      </c>
      <c r="C13350" t="n" s="0">
        <v>185648.897545</v>
      </c>
    </row>
    <row r="13351">
      <c r="A13351" t="n" s="0">
        <v>33.5</v>
      </c>
      <c r="B13351" t="n" s="0">
        <f>(-5-((((-5*(-5/((-5/(((-5*(33.5--5))-(-5+((-5*33.5)*(((-5--5)+(33.5--5))+33.5))))-(-5+-5)))*-5)))/-5)--5)+(-5*(((33.5*(33.5-(-5/-5)))*(33.5-(33.5/(-5*33.5))))-(-5/-5)))))</f>
        <v>185815.875</v>
      </c>
      <c r="C13351" t="n" s="0">
        <v>185815.875</v>
      </c>
    </row>
    <row r="13352">
      <c r="A13352" t="n" s="0">
        <v>33.51</v>
      </c>
      <c r="B13352" t="n" s="0">
        <f>(-5-((((-5*(-5/((-5/(((-5*(33.51--5))-(-5+((-5*33.51)*(((-5--5)+(33.51--5))+33.51))))-(-5+-5)))*-5)))/-5)--5)+(-5*(((33.51*(33.51-(-5/-5)))*(33.51-(33.51/(-5*33.51))))-(-5/-5)))))</f>
        <v>185982.95255500003</v>
      </c>
      <c r="C13352" t="n" s="0">
        <v>185982.95255499997</v>
      </c>
    </row>
    <row r="13353">
      <c r="A13353" t="n" s="0">
        <v>33.52</v>
      </c>
      <c r="B13353" t="n" s="0">
        <f>(-5-((((-5*(-5/((-5/(((-5*(33.52--5))-(-5+((-5*33.52)*(((-5--5)+(33.52--5))+33.52))))-(-5+-5)))*-5)))/-5)--5)+(-5*(((33.52*(33.52-(-5/-5)))*(33.52-(33.52/(-5*33.52))))-(-5/-5)))))</f>
        <v>186150.13024</v>
      </c>
      <c r="C13353" t="n" s="0">
        <v>186150.13024000006</v>
      </c>
    </row>
    <row r="13354">
      <c r="A13354" t="n" s="0">
        <v>33.53</v>
      </c>
      <c r="B13354" t="n" s="0">
        <f>(-5-((((-5*(-5/((-5/(((-5*(33.53--5))-(-5+((-5*33.53)*(((-5--5)+(33.53--5))+33.53))))-(-5+-5)))*-5)))/-5)--5)+(-5*(((33.53*(33.53-(-5/-5)))*(33.53-(33.53/(-5*33.53))))-(-5/-5)))))</f>
        <v>186317.408085</v>
      </c>
      <c r="C13354" t="n" s="0">
        <v>186317.408085</v>
      </c>
    </row>
    <row r="13355">
      <c r="A13355" t="n" s="0">
        <v>33.54</v>
      </c>
      <c r="B13355" t="n" s="0">
        <f>(-5-((((-5*(-5/((-5/(((-5*(33.54--5))-(-5+((-5*33.54)*(((-5--5)+(33.54--5))+33.54))))-(-5+-5)))*-5)))/-5)--5)+(-5*(((33.54*(33.54-(-5/-5)))*(33.54-(33.54/(-5*33.54))))-(-5/-5)))))</f>
        <v>186484.78612</v>
      </c>
      <c r="C13355" t="n" s="0">
        <v>186484.78611999998</v>
      </c>
    </row>
    <row r="13356">
      <c r="A13356" t="n" s="0">
        <v>33.55</v>
      </c>
      <c r="B13356" t="n" s="0">
        <f>(-5-((((-5*(-5/((-5/(((-5*(33.55--5))-(-5+((-5*33.55)*(((-5--5)+(33.55--5))+33.55))))-(-5+-5)))*-5)))/-5)--5)+(-5*(((33.55*(33.55-(-5/-5)))*(33.55-(33.55/(-5*33.55))))-(-5/-5)))))</f>
        <v>186652.264375</v>
      </c>
      <c r="C13356" t="n" s="0">
        <v>186652.26437499997</v>
      </c>
    </row>
    <row r="13357">
      <c r="A13357" t="n" s="0">
        <v>33.56</v>
      </c>
      <c r="B13357" t="n" s="0">
        <f>(-5-((((-5*(-5/((-5/(((-5*(33.56--5))-(-5+((-5*33.56)*(((-5--5)+(33.56--5))+33.56))))-(-5+-5)))*-5)))/-5)--5)+(-5*(((33.56*(33.56-(-5/-5)))*(33.56-(33.56/(-5*33.56))))-(-5/-5)))))</f>
        <v>186819.84287999998</v>
      </c>
      <c r="C13357" t="n" s="0">
        <v>186819.84288000004</v>
      </c>
    </row>
    <row r="13358">
      <c r="A13358" t="n" s="0">
        <v>33.57</v>
      </c>
      <c r="B13358" t="n" s="0">
        <f>(-5-((((-5*(-5/((-5/(((-5*(33.57--5))-(-5+((-5*33.57)*(((-5--5)+(33.57--5))+33.57))))-(-5+-5)))*-5)))/-5)--5)+(-5*(((33.57*(33.57-(-5/-5)))*(33.57-(33.57/(-5*33.57))))-(-5/-5)))))</f>
        <v>186987.521665</v>
      </c>
      <c r="C13358" t="n" s="0">
        <v>186987.52166499998</v>
      </c>
    </row>
    <row r="13359">
      <c r="A13359" t="n" s="0">
        <v>33.58</v>
      </c>
      <c r="B13359" t="n" s="0">
        <f>(-5-((((-5*(-5/((-5/(((-5*(33.58--5))-(-5+((-5*33.58)*(((-5--5)+(33.58--5))+33.58))))-(-5+-5)))*-5)))/-5)--5)+(-5*(((33.58*(33.58-(-5/-5)))*(33.58-(33.58/(-5*33.58))))-(-5/-5)))))</f>
        <v>187155.30076</v>
      </c>
      <c r="C13359" t="n" s="0">
        <v>187155.30075999995</v>
      </c>
    </row>
    <row r="13360">
      <c r="A13360" t="n" s="0">
        <v>33.59</v>
      </c>
      <c r="B13360" t="n" s="0">
        <f>(-5-((((-5*(-5/((-5/(((-5*(33.59--5))-(-5+((-5*33.59)*(((-5--5)+(33.59--5))+33.59))))-(-5+-5)))*-5)))/-5)--5)+(-5*(((33.59*(33.59-(-5/-5)))*(33.59-(33.59/(-5*33.59))))-(-5/-5)))))</f>
        <v>187323.18019499996</v>
      </c>
      <c r="C13360" t="n" s="0">
        <v>187323.18019500005</v>
      </c>
    </row>
    <row r="13361">
      <c r="A13361" t="n" s="0">
        <v>33.6</v>
      </c>
      <c r="B13361" t="n" s="0">
        <f>(-5-((((-5*(-5/((-5/(((-5*(33.6--5))-(-5+((-5*33.6)*(((-5--5)+(33.6--5))+33.6))))-(-5+-5)))*-5)))/-5)--5)+(-5*(((33.6*(33.6-(-5/-5)))*(33.6-(33.6/(-5*33.6))))-(-5/-5)))))</f>
        <v>187491.16</v>
      </c>
      <c r="C13361" t="n" s="0">
        <v>187491.16</v>
      </c>
    </row>
    <row r="13362">
      <c r="A13362" t="n" s="0">
        <v>33.61</v>
      </c>
      <c r="B13362" t="n" s="0">
        <f>(-5-((((-5*(-5/((-5/(((-5*(33.61--5))-(-5+((-5*33.61)*(((-5--5)+(33.61--5))+33.61))))-(-5+-5)))*-5)))/-5)--5)+(-5*(((33.61*(33.61-(-5/-5)))*(33.61-(33.61/(-5*33.61))))-(-5/-5)))))</f>
        <v>187659.240205</v>
      </c>
      <c r="C13362" t="n" s="0">
        <v>187659.24020499998</v>
      </c>
    </row>
    <row r="13363">
      <c r="A13363" t="n" s="0">
        <v>33.62</v>
      </c>
      <c r="B13363" t="n" s="0">
        <f>(-5-((((-5*(-5/((-5/(((-5*(33.62--5))-(-5+((-5*33.62)*(((-5--5)+(33.62--5))+33.62))))-(-5+-5)))*-5)))/-5)--5)+(-5*(((33.62*(33.62-(-5/-5)))*(33.62-(33.62/(-5*33.62))))-(-5/-5)))))</f>
        <v>187827.42084000004</v>
      </c>
      <c r="C13363" t="n" s="0">
        <v>187827.42083999998</v>
      </c>
    </row>
    <row r="13364">
      <c r="A13364" t="n" s="0">
        <v>33.63</v>
      </c>
      <c r="B13364" t="n" s="0">
        <f>(-5-((((-5*(-5/((-5/(((-5*(33.63--5))-(-5+((-5*33.63)*(((-5--5)+(33.63--5))+33.63))))-(-5+-5)))*-5)))/-5)--5)+(-5*(((33.63*(33.63-(-5/-5)))*(33.63-(33.63/(-5*33.63))))-(-5/-5)))))</f>
        <v>187995.70193500002</v>
      </c>
      <c r="C13364" t="n" s="0">
        <v>187995.70193500008</v>
      </c>
    </row>
    <row r="13365">
      <c r="A13365" t="n" s="0">
        <v>33.64</v>
      </c>
      <c r="B13365" t="n" s="0">
        <f>(-5-((((-5*(-5/((-5/(((-5*(33.64--5))-(-5+((-5*33.64)*(((-5--5)+(33.64--5))+33.64))))-(-5+-5)))*-5)))/-5)--5)+(-5*(((33.64*(33.64-(-5/-5)))*(33.64-(33.64/(-5*33.64))))-(-5/-5)))))</f>
        <v>188164.08352000001</v>
      </c>
      <c r="C13365" t="n" s="0">
        <v>188164.08352000001</v>
      </c>
    </row>
    <row r="13366">
      <c r="A13366" t="n" s="0">
        <v>33.65</v>
      </c>
      <c r="B13366" t="n" s="0">
        <f>(-5-((((-5*(-5/((-5/(((-5*(33.65--5))-(-5+((-5*33.65)*(((-5--5)+(33.65--5))+33.65))))-(-5+-5)))*-5)))/-5)--5)+(-5*(((33.65*(33.65-(-5/-5)))*(33.65-(33.65/(-5*33.65))))-(-5/-5)))))</f>
        <v>188332.565625</v>
      </c>
      <c r="C13366" t="n" s="0">
        <v>188332.565625</v>
      </c>
    </row>
    <row r="13367">
      <c r="A13367" t="n" s="0">
        <v>33.66</v>
      </c>
      <c r="B13367" t="n" s="0">
        <f>(-5-((((-5*(-5/((-5/(((-5*(33.66--5))-(-5+((-5*33.66)*(((-5--5)+(33.66--5))+33.66))))-(-5+-5)))*-5)))/-5)--5)+(-5*(((33.66*(33.66-(-5/-5)))*(33.66-(33.66/(-5*33.66))))-(-5/-5)))))</f>
        <v>188501.14828</v>
      </c>
      <c r="C13367" t="n" s="0">
        <v>188501.14828</v>
      </c>
    </row>
    <row r="13368">
      <c r="A13368" t="n" s="0">
        <v>33.67</v>
      </c>
      <c r="B13368" t="n" s="0">
        <f>(-5-((((-5*(-5/((-5/(((-5*(33.67--5))-(-5+((-5*33.67)*(((-5--5)+(33.67--5))+33.67))))-(-5+-5)))*-5)))/-5)--5)+(-5*(((33.67*(33.67-(-5/-5)))*(33.67-(33.67/(-5*33.67))))-(-5/-5)))))</f>
        <v>188669.831515</v>
      </c>
      <c r="C13368" t="n" s="0">
        <v>188669.831515</v>
      </c>
    </row>
    <row r="13369">
      <c r="A13369" t="n" s="0">
        <v>33.68</v>
      </c>
      <c r="B13369" t="n" s="0">
        <f>(-5-((((-5*(-5/((-5/(((-5*(33.68--5))-(-5+((-5*33.68)*(((-5--5)+(33.68--5))+33.68))))-(-5+-5)))*-5)))/-5)--5)+(-5*(((33.68*(33.68-(-5/-5)))*(33.68-(33.68/(-5*33.68))))-(-5/-5)))))</f>
        <v>188838.61536000003</v>
      </c>
      <c r="C13369" t="n" s="0">
        <v>188838.61536000003</v>
      </c>
    </row>
    <row r="13370">
      <c r="A13370" t="n" s="0">
        <v>33.69</v>
      </c>
      <c r="B13370" t="n" s="0">
        <f>(-5-((((-5*(-5/((-5/(((-5*(33.69--5))-(-5+((-5*33.69)*(((-5--5)+(33.69--5))+33.69))))-(-5+-5)))*-5)))/-5)--5)+(-5*(((33.69*(33.69-(-5/-5)))*(33.69-(33.69/(-5*33.69))))-(-5/-5)))))</f>
        <v>189007.49984499998</v>
      </c>
      <c r="C13370" t="n" s="0">
        <v>189007.499845</v>
      </c>
    </row>
    <row r="13371">
      <c r="A13371" t="n" s="0">
        <v>33.7</v>
      </c>
      <c r="B13371" t="n" s="0">
        <f>(-5-((((-5*(-5/((-5/(((-5*(33.7--5))-(-5+((-5*33.7)*(((-5--5)+(33.7--5))+33.7))))-(-5+-5)))*-5)))/-5)--5)+(-5*(((33.7*(33.7-(-5/-5)))*(33.7-(33.7/(-5*33.7))))-(-5/-5)))))</f>
        <v>189176.485</v>
      </c>
      <c r="C13371" t="n" s="0">
        <v>189176.48500000007</v>
      </c>
    </row>
    <row r="13372">
      <c r="A13372" t="n" s="0">
        <v>33.71</v>
      </c>
      <c r="B13372" t="n" s="0">
        <f>(-5-((((-5*(-5/((-5/(((-5*(33.71--5))-(-5+((-5*33.71)*(((-5--5)+(33.71--5))+33.71))))-(-5+-5)))*-5)))/-5)--5)+(-5*(((33.71*(33.71-(-5/-5)))*(33.71-(33.71/(-5*33.71))))-(-5/-5)))))</f>
        <v>189345.570855</v>
      </c>
      <c r="C13372" t="n" s="0">
        <v>189345.570855</v>
      </c>
    </row>
    <row r="13373">
      <c r="A13373" t="n" s="0">
        <v>33.72</v>
      </c>
      <c r="B13373" t="n" s="0">
        <f>(-5-((((-5*(-5/((-5/(((-5*(33.72--5))-(-5+((-5*33.72)*(((-5--5)+(33.72--5))+33.72))))-(-5+-5)))*-5)))/-5)--5)+(-5*(((33.72*(33.72-(-5/-5)))*(33.72-(33.72/(-5*33.72))))-(-5/-5)))))</f>
        <v>189514.75744000002</v>
      </c>
      <c r="C13373" t="n" s="0">
        <v>189514.75744</v>
      </c>
    </row>
    <row r="13374">
      <c r="A13374" t="n" s="0">
        <v>33.73</v>
      </c>
      <c r="B13374" t="n" s="0">
        <f>(-5-((((-5*(-5/((-5/(((-5*(33.73--5))-(-5+((-5*33.73)*(((-5--5)+(33.73--5))+33.73))))-(-5+-5)))*-5)))/-5)--5)+(-5*(((33.73*(33.73-(-5/-5)))*(33.73-(33.73/(-5*33.73))))-(-5/-5)))))</f>
        <v>189684.044785</v>
      </c>
      <c r="C13374" t="n" s="0">
        <v>189684.04478499998</v>
      </c>
    </row>
    <row r="13375">
      <c r="A13375" t="n" s="0">
        <v>33.74</v>
      </c>
      <c r="B13375" t="n" s="0">
        <f>(-5-((((-5*(-5/((-5/(((-5*(33.74--5))-(-5+((-5*33.74)*(((-5--5)+(33.74--5))+33.74))))-(-5+-5)))*-5)))/-5)--5)+(-5*(((33.74*(33.74-(-5/-5)))*(33.74-(33.74/(-5*33.74))))-(-5/-5)))))</f>
        <v>189853.43292</v>
      </c>
      <c r="C13375" t="n" s="0">
        <v>189853.43292000005</v>
      </c>
    </row>
    <row r="13376">
      <c r="A13376" t="n" s="0">
        <v>33.75</v>
      </c>
      <c r="B13376" t="n" s="0">
        <f>(-5-((((-5*(-5/((-5/(((-5*(33.75--5))-(-5+((-5*33.75)*(((-5--5)+(33.75--5))+33.75))))-(-5+-5)))*-5)))/-5)--5)+(-5*(((33.75*(33.75-(-5/-5)))*(33.75-(33.75/(-5*33.75))))-(-5/-5)))))</f>
        <v>190022.921875</v>
      </c>
      <c r="C13376" t="n" s="0">
        <v>190022.921875</v>
      </c>
    </row>
    <row r="13377">
      <c r="A13377" t="n" s="0">
        <v>33.76</v>
      </c>
      <c r="B13377" t="n" s="0">
        <f>(-5-((((-5*(-5/((-5/(((-5*(33.76--5))-(-5+((-5*33.76)*(((-5--5)+(33.76--5))+33.76))))-(-5+-5)))*-5)))/-5)--5)+(-5*(((33.76*(33.76-(-5/-5)))*(33.76-(33.76/(-5*33.76))))-(-5/-5)))))</f>
        <v>190192.51168</v>
      </c>
      <c r="C13377" t="n" s="0">
        <v>190192.51167999997</v>
      </c>
    </row>
    <row r="13378">
      <c r="A13378" t="n" s="0">
        <v>33.77</v>
      </c>
      <c r="B13378" t="n" s="0">
        <f>(-5-((((-5*(-5/((-5/(((-5*(33.77--5))-(-5+((-5*33.77)*(((-5--5)+(33.77--5))+33.77))))-(-5+-5)))*-5)))/-5)--5)+(-5*(((33.77*(33.77-(-5/-5)))*(33.77-(33.77/(-5*33.77))))-(-5/-5)))))</f>
        <v>190362.202365</v>
      </c>
      <c r="C13378" t="n" s="0">
        <v>190362.20236500006</v>
      </c>
    </row>
    <row r="13379">
      <c r="A13379" t="n" s="0">
        <v>33.78</v>
      </c>
      <c r="B13379" t="n" s="0">
        <f>(-5-((((-5*(-5/((-5/(((-5*(33.78--5))-(-5+((-5*33.78)*(((-5--5)+(33.78--5))+33.78))))-(-5+-5)))*-5)))/-5)--5)+(-5*(((33.78*(33.78-(-5/-5)))*(33.78-(33.78/(-5*33.78))))-(-5/-5)))))</f>
        <v>190531.99396000002</v>
      </c>
      <c r="C13379" t="n" s="0">
        <v>190531.99396000002</v>
      </c>
    </row>
    <row r="13380">
      <c r="A13380" t="n" s="0">
        <v>33.79</v>
      </c>
      <c r="B13380" t="n" s="0">
        <f>(-5-((((-5*(-5/((-5/(((-5*(33.79--5))-(-5+((-5*33.79)*(((-5--5)+(33.79--5))+33.79))))-(-5+-5)))*-5)))/-5)--5)+(-5*(((33.79*(33.79-(-5/-5)))*(33.79-(33.79/(-5*33.79))))-(-5/-5)))))</f>
        <v>190701.886495</v>
      </c>
      <c r="C13380" t="n" s="0">
        <v>190701.88649499998</v>
      </c>
    </row>
    <row r="13381">
      <c r="A13381" t="n" s="0">
        <v>33.8</v>
      </c>
      <c r="B13381" t="n" s="0">
        <f>(-5-((((-5*(-5/((-5/(((-5*(33.8--5))-(-5+((-5*33.8)*(((-5--5)+(33.8--5))+33.8))))-(-5+-5)))*-5)))/-5)--5)+(-5*(((33.8*(33.8-(-5/-5)))*(33.8-(33.8/(-5*33.8))))-(-5/-5)))))</f>
        <v>190871.87999999998</v>
      </c>
      <c r="C13381" t="n" s="0">
        <v>190871.87999999992</v>
      </c>
    </row>
    <row r="13382">
      <c r="A13382" t="n" s="0">
        <v>33.81</v>
      </c>
      <c r="B13382" t="n" s="0">
        <f>(-5-((((-5*(-5/((-5/(((-5*(33.81--5))-(-5+((-5*33.81)*(((-5--5)+(33.81--5))+33.81))))-(-5+-5)))*-5)))/-5)--5)+(-5*(((33.81*(33.81-(-5/-5)))*(33.81-(33.81/(-5*33.81))))-(-5/-5)))))</f>
        <v>191041.974505</v>
      </c>
      <c r="C13382" t="n" s="0">
        <v>191041.97450500005</v>
      </c>
    </row>
    <row r="13383">
      <c r="A13383" t="n" s="0">
        <v>33.82</v>
      </c>
      <c r="B13383" t="n" s="0">
        <f>(-5-((((-5*(-5/((-5/(((-5*(33.82--5))-(-5+((-5*33.82)*(((-5--5)+(33.82--5))+33.82))))-(-5+-5)))*-5)))/-5)--5)+(-5*(((33.82*(33.82-(-5/-5)))*(33.82-(33.82/(-5*33.82))))-(-5/-5)))))</f>
        <v>191212.17004</v>
      </c>
      <c r="C13383" t="n" s="0">
        <v>191212.17003999997</v>
      </c>
    </row>
    <row r="13384">
      <c r="A13384" t="n" s="0">
        <v>33.83</v>
      </c>
      <c r="B13384" t="n" s="0">
        <f>(-5-((((-5*(-5/((-5/(((-5*(33.83--5))-(-5+((-5*33.83)*(((-5--5)+(33.83--5))+33.83))))-(-5+-5)))*-5)))/-5)--5)+(-5*(((33.83*(33.83-(-5/-5)))*(33.83-(33.83/(-5*33.83))))-(-5/-5)))))</f>
        <v>191382.466635</v>
      </c>
      <c r="C13384" t="n" s="0">
        <v>191382.46663499996</v>
      </c>
    </row>
    <row r="13385">
      <c r="A13385" t="n" s="0">
        <v>33.84</v>
      </c>
      <c r="B13385" t="n" s="0">
        <f>(-5-((((-5*(-5/((-5/(((-5*(33.84--5))-(-5+((-5*33.84)*(((-5--5)+(33.84--5))+33.84))))-(-5+-5)))*-5)))/-5)--5)+(-5*(((33.84*(33.84-(-5/-5)))*(33.84-(33.84/(-5*33.84))))-(-5/-5)))))</f>
        <v>191552.86432000002</v>
      </c>
      <c r="C13385" t="n" s="0">
        <v>191552.86432000005</v>
      </c>
    </row>
    <row r="13386">
      <c r="A13386" t="n" s="0">
        <v>33.85</v>
      </c>
      <c r="B13386" t="n" s="0">
        <f>(-5-((((-5*(-5/((-5/(((-5*(33.85--5))-(-5+((-5*33.85)*(((-5--5)+(33.85--5))+33.85))))-(-5+-5)))*-5)))/-5)--5)+(-5*(((33.85*(33.85-(-5/-5)))*(33.85-(33.85/(-5*33.85))))-(-5/-5)))))</f>
        <v>191723.363125</v>
      </c>
      <c r="C13386" t="n" s="0">
        <v>191723.36312500003</v>
      </c>
    </row>
    <row r="13387">
      <c r="A13387" t="n" s="0">
        <v>33.86</v>
      </c>
      <c r="B13387" t="n" s="0">
        <f>(-5-((((-5*(-5/((-5/(((-5*(33.86--5))-(-5+((-5*33.86)*(((-5--5)+(33.86--5))+33.86))))-(-5+-5)))*-5)))/-5)--5)+(-5*(((33.86*(33.86-(-5/-5)))*(33.86-(33.86/(-5*33.86))))-(-5/-5)))))</f>
        <v>191893.96308</v>
      </c>
      <c r="C13387" t="n" s="0">
        <v>191893.96308</v>
      </c>
    </row>
    <row r="13388">
      <c r="A13388" t="n" s="0">
        <v>33.87</v>
      </c>
      <c r="B13388" t="n" s="0">
        <f>(-5-((((-5*(-5/((-5/(((-5*(33.87--5))-(-5+((-5*33.87)*(((-5--5)+(33.87--5))+33.87))))-(-5+-5)))*-5)))/-5)--5)+(-5*(((33.87*(33.87-(-5/-5)))*(33.87-(33.87/(-5*33.87))))-(-5/-5)))))</f>
        <v>192064.664215</v>
      </c>
      <c r="C13388" t="n" s="0">
        <v>192064.66421499994</v>
      </c>
    </row>
    <row r="13389">
      <c r="A13389" t="n" s="0">
        <v>33.88</v>
      </c>
      <c r="B13389" t="n" s="0">
        <f>(-5-((((-5*(-5/((-5/(((-5*(33.88--5))-(-5+((-5*33.88)*(((-5--5)+(33.88--5))+33.88))))-(-5+-5)))*-5)))/-5)--5)+(-5*(((33.88*(33.88-(-5/-5)))*(33.88-(33.88/(-5*33.88))))-(-5/-5)))))</f>
        <v>192235.46656</v>
      </c>
      <c r="C13389" t="n" s="0">
        <v>192235.46656000006</v>
      </c>
    </row>
    <row r="13390">
      <c r="A13390" t="n" s="0">
        <v>33.89</v>
      </c>
      <c r="B13390" t="n" s="0">
        <f>(-5-((((-5*(-5/((-5/(((-5*(33.89--5))-(-5+((-5*33.89)*(((-5--5)+(33.89--5))+33.89))))-(-5+-5)))*-5)))/-5)--5)+(-5*(((33.89*(33.89-(-5/-5)))*(33.89-(33.89/(-5*33.89))))-(-5/-5)))))</f>
        <v>192406.37014500002</v>
      </c>
      <c r="C13390" t="n" s="0">
        <v>192406.37014500005</v>
      </c>
    </row>
    <row r="13391">
      <c r="A13391" t="n" s="0">
        <v>33.9</v>
      </c>
      <c r="B13391" t="n" s="0">
        <f>(-5-((((-5*(-5/((-5/(((-5*(33.9--5))-(-5+((-5*33.9)*(((-5--5)+(33.9--5))+33.9))))-(-5+-5)))*-5)))/-5)--5)+(-5*(((33.9*(33.9-(-5/-5)))*(33.9-(33.9/(-5*33.9))))-(-5/-5)))))</f>
        <v>192577.375</v>
      </c>
      <c r="C13391" t="n" s="0">
        <v>192577.37499999997</v>
      </c>
    </row>
    <row r="13392">
      <c r="A13392" t="n" s="0">
        <v>33.91</v>
      </c>
      <c r="B13392" t="n" s="0">
        <f>(-5-((((-5*(-5/((-5/(((-5*(33.91--5))-(-5+((-5*33.91)*(((-5--5)+(33.91--5))+33.91))))-(-5+-5)))*-5)))/-5)--5)+(-5*(((33.91*(33.91-(-5/-5)))*(33.91-(33.91/(-5*33.91))))-(-5/-5)))))</f>
        <v>192748.48115500002</v>
      </c>
      <c r="C13392" t="n" s="0">
        <v>192748.48115499996</v>
      </c>
    </row>
    <row r="13393">
      <c r="A13393" t="n" s="0">
        <v>33.92</v>
      </c>
      <c r="B13393" t="n" s="0">
        <f>(-5-((((-5*(-5/((-5/(((-5*(33.92--5))-(-5+((-5*33.92)*(((-5--5)+(33.92--5))+33.92))))-(-5+-5)))*-5)))/-5)--5)+(-5*(((33.92*(33.92-(-5/-5)))*(33.92-(33.92/(-5*33.92))))-(-5/-5)))))</f>
        <v>192919.68864</v>
      </c>
      <c r="C13393" t="n" s="0">
        <v>192919.68864000004</v>
      </c>
    </row>
    <row r="13394">
      <c r="A13394" t="n" s="0">
        <v>33.93</v>
      </c>
      <c r="B13394" t="n" s="0">
        <f>(-5-((((-5*(-5/((-5/(((-5*(33.93--5))-(-5+((-5*33.93)*(((-5--5)+(33.93--5))+33.93))))-(-5+-5)))*-5)))/-5)--5)+(-5*(((33.93*(33.93-(-5/-5)))*(33.93-(33.93/(-5*33.93))))-(-5/-5)))))</f>
        <v>193090.997485</v>
      </c>
      <c r="C13394" t="n" s="0">
        <v>193090.99748499997</v>
      </c>
    </row>
    <row r="13395">
      <c r="A13395" t="n" s="0">
        <v>33.94</v>
      </c>
      <c r="B13395" t="n" s="0">
        <f>(-5-((((-5*(-5/((-5/(((-5*(33.94--5))-(-5+((-5*33.94)*(((-5--5)+(33.94--5))+33.94))))-(-5+-5)))*-5)))/-5)--5)+(-5*(((33.94*(33.94-(-5/-5)))*(33.94-(33.94/(-5*33.94))))-(-5/-5)))))</f>
        <v>193262.40772</v>
      </c>
      <c r="C13395" t="n" s="0">
        <v>193262.40772</v>
      </c>
    </row>
    <row r="13396">
      <c r="A13396" t="n" s="0">
        <v>33.95</v>
      </c>
      <c r="B13396" t="n" s="0">
        <f>(-5-((((-5*(-5/((-5/(((-5*(33.95--5))-(-5+((-5*33.95)*(((-5--5)+(33.95--5))+33.95))))-(-5+-5)))*-5)))/-5)--5)+(-5*(((33.95*(33.95-(-5/-5)))*(33.95-(33.95/(-5*33.95))))-(-5/-5)))))</f>
        <v>193433.919375</v>
      </c>
      <c r="C13396" t="n" s="0">
        <v>193433.91937500008</v>
      </c>
    </row>
    <row r="13397">
      <c r="A13397" t="n" s="0">
        <v>33.96</v>
      </c>
      <c r="B13397" t="n" s="0">
        <f>(-5-((((-5*(-5/((-5/(((-5*(33.96--5))-(-5+((-5*33.96)*(((-5--5)+(33.96--5))+33.96))))-(-5+-5)))*-5)))/-5)--5)+(-5*(((33.96*(33.96-(-5/-5)))*(33.96-(33.96/(-5*33.96))))-(-5/-5)))))</f>
        <v>193605.53248</v>
      </c>
      <c r="C13397" t="n" s="0">
        <v>193605.53248000002</v>
      </c>
    </row>
    <row r="13398">
      <c r="A13398" t="n" s="0">
        <v>33.97</v>
      </c>
      <c r="B13398" t="n" s="0">
        <f>(-5-((((-5*(-5/((-5/(((-5*(33.97--5))-(-5+((-5*33.97)*(((-5--5)+(33.97--5))+33.97))))-(-5+-5)))*-5)))/-5)--5)+(-5*(((33.97*(33.97-(-5/-5)))*(33.97-(33.97/(-5*33.97))))-(-5/-5)))))</f>
        <v>193777.24706499997</v>
      </c>
      <c r="C13398" t="n" s="0">
        <v>193777.24706499997</v>
      </c>
    </row>
    <row r="13399">
      <c r="A13399" t="n" s="0">
        <v>33.98</v>
      </c>
      <c r="B13399" t="n" s="0">
        <f>(-5-((((-5*(-5/((-5/(((-5*(33.98--5))-(-5+((-5*33.98)*(((-5--5)+(33.98--5))+33.98))))-(-5+-5)))*-5)))/-5)--5)+(-5*(((33.98*(33.98-(-5/-5)))*(33.98-(33.98/(-5*33.98))))-(-5/-5)))))</f>
        <v>193949.06316</v>
      </c>
      <c r="C13399" t="n" s="0">
        <v>193949.06315999996</v>
      </c>
    </row>
    <row r="13400">
      <c r="A13400" t="n" s="0">
        <v>33.99</v>
      </c>
      <c r="B13400" t="n" s="0">
        <f>(-5-((((-5*(-5/((-5/(((-5*(33.99--5))-(-5+((-5*33.99)*(((-5--5)+(33.99--5))+33.99))))-(-5+-5)))*-5)))/-5)--5)+(-5*(((33.99*(33.99-(-5/-5)))*(33.99-(33.99/(-5*33.99))))-(-5/-5)))))</f>
        <v>194120.98079499998</v>
      </c>
      <c r="C13400" t="n" s="0">
        <v>194120.98079500004</v>
      </c>
    </row>
    <row r="13401">
      <c r="A13401" t="n" s="0">
        <v>34.0</v>
      </c>
      <c r="B13401" t="n" s="0">
        <f>(-5-((((-5*(-5/((-5/(((-5*(34--5))-(-5+((-5*34)*(((-5--5)+(34--5))+34))))-(-5+-5)))*-5)))/-5)--5)+(-5*(((34*(34-(-5/-5)))*(34-(34/(-5*34))))-(-5/-5)))))</f>
        <v>194293.0</v>
      </c>
      <c r="C13401" t="n" s="0">
        <v>194293.0</v>
      </c>
    </row>
    <row r="13402">
      <c r="A13402" t="n" s="0">
        <v>34.01</v>
      </c>
      <c r="B13402" t="n" s="0">
        <f>(-5-((((-5*(-5/((-5/(((-5*(34.01--5))-(-5+((-5*34.01)*(((-5--5)+(34.01--5))+34.01))))-(-5+-5)))*-5)))/-5)--5)+(-5*(((34.01*(34.01-(-5/-5)))*(34.01-(34.01/(-5*34.01))))-(-5/-5)))))</f>
        <v>194465.120805</v>
      </c>
      <c r="C13402" t="n" s="0">
        <v>194465.12080499995</v>
      </c>
    </row>
    <row r="13403">
      <c r="A13403" t="n" s="0">
        <v>34.02</v>
      </c>
      <c r="B13403" t="n" s="0">
        <f>(-5-((((-5*(-5/((-5/(((-5*(34.02--5))-(-5+((-5*34.02)*(((-5--5)+(34.02--5))+34.02))))-(-5+-5)))*-5)))/-5)--5)+(-5*(((34.02*(34.02-(-5/-5)))*(34.02-(34.02/(-5*34.02))))-(-5/-5)))))</f>
        <v>194637.34324</v>
      </c>
      <c r="C13403" t="n" s="0">
        <v>194637.34324000005</v>
      </c>
    </row>
    <row r="13404">
      <c r="A13404" t="n" s="0">
        <v>34.03</v>
      </c>
      <c r="B13404" t="n" s="0">
        <f>(-5-((((-5*(-5/((-5/(((-5*(34.03--5))-(-5+((-5*34.03)*(((-5--5)+(34.03--5))+34.03))))-(-5+-5)))*-5)))/-5)--5)+(-5*(((34.03*(34.03-(-5/-5)))*(34.03-(34.03/(-5*34.03))))-(-5/-5)))))</f>
        <v>194809.667335</v>
      </c>
      <c r="C13404" t="n" s="0">
        <v>194809.66733500003</v>
      </c>
    </row>
    <row r="13405">
      <c r="A13405" t="n" s="0">
        <v>34.04</v>
      </c>
      <c r="B13405" t="n" s="0">
        <f>(-5-((((-5*(-5/((-5/(((-5*(34.04--5))-(-5+((-5*34.04)*(((-5--5)+(34.04--5))+34.04))))-(-5+-5)))*-5)))/-5)--5)+(-5*(((34.04*(34.04-(-5/-5)))*(34.04-(34.04/(-5*34.04))))-(-5/-5)))))</f>
        <v>194982.09312</v>
      </c>
      <c r="C13405" t="n" s="0">
        <v>194982.09311999998</v>
      </c>
    </row>
    <row r="13406">
      <c r="A13406" t="n" s="0">
        <v>34.05</v>
      </c>
      <c r="B13406" t="n" s="0">
        <f>(-5-((((-5*(-5/((-5/(((-5*(34.05--5))-(-5+((-5*34.05)*(((-5--5)+(34.05--5))+34.05))))-(-5+-5)))*-5)))/-5)--5)+(-5*(((34.05*(34.05-(-5/-5)))*(34.05-(34.05/(-5*34.05))))-(-5/-5)))))</f>
        <v>195154.620625</v>
      </c>
      <c r="C13406" t="n" s="0">
        <v>195154.62062499995</v>
      </c>
    </row>
    <row r="13407">
      <c r="A13407" t="n" s="0">
        <v>34.06</v>
      </c>
      <c r="B13407" t="n" s="0">
        <f>(-5-((((-5*(-5/((-5/(((-5*(34.06--5))-(-5+((-5*34.06)*(((-5--5)+(34.06--5))+34.06))))-(-5+-5)))*-5)))/-5)--5)+(-5*(((34.06*(34.06-(-5/-5)))*(34.06-(34.06/(-5*34.06))))-(-5/-5)))))</f>
        <v>195327.24988</v>
      </c>
      <c r="C13407" t="n" s="0">
        <v>195327.24988000005</v>
      </c>
    </row>
    <row r="13408">
      <c r="A13408" t="n" s="0">
        <v>34.07</v>
      </c>
      <c r="B13408" t="n" s="0">
        <f>(-5-((((-5*(-5/((-5/(((-5*(34.07--5))-(-5+((-5*34.07)*(((-5--5)+(34.07--5))+34.07))))-(-5+-5)))*-5)))/-5)--5)+(-5*(((34.07*(34.07-(-5/-5)))*(34.07-(34.07/(-5*34.07))))-(-5/-5)))))</f>
        <v>195499.980915</v>
      </c>
      <c r="C13408" t="n" s="0">
        <v>195499.980915</v>
      </c>
    </row>
    <row r="13409">
      <c r="A13409" t="n" s="0">
        <v>34.08</v>
      </c>
      <c r="B13409" t="n" s="0">
        <f>(-5-((((-5*(-5/((-5/(((-5*(34.08--5))-(-5+((-5*34.08)*(((-5--5)+(34.08--5))+34.08))))-(-5+-5)))*-5)))/-5)--5)+(-5*(((34.08*(34.08-(-5/-5)))*(34.08-(34.08/(-5*34.08))))-(-5/-5)))))</f>
        <v>195672.81376</v>
      </c>
      <c r="C13409" t="n" s="0">
        <v>195672.81375999996</v>
      </c>
    </row>
    <row r="13410">
      <c r="A13410" t="n" s="0">
        <v>34.09</v>
      </c>
      <c r="B13410" t="n" s="0">
        <f>(-5-((((-5*(-5/((-5/(((-5*(34.09--5))-(-5+((-5*34.09)*(((-5--5)+(34.09--5))+34.09))))-(-5+-5)))*-5)))/-5)--5)+(-5*(((34.09*(34.09-(-5/-5)))*(34.09-(34.09/(-5*34.09))))-(-5/-5)))))</f>
        <v>195845.74844499998</v>
      </c>
      <c r="C13410" t="n" s="0">
        <v>195845.74844500006</v>
      </c>
    </row>
    <row r="13411">
      <c r="A13411" t="n" s="0">
        <v>34.1</v>
      </c>
      <c r="B13411" t="n" s="0">
        <f>(-5-((((-5*(-5/((-5/(((-5*(34.1--5))-(-5+((-5*34.1)*(((-5--5)+(34.1--5))+34.1))))-(-5+-5)))*-5)))/-5)--5)+(-5*(((34.1*(34.1-(-5/-5)))*(34.1-(34.1/(-5*34.1))))-(-5/-5)))))</f>
        <v>196018.785</v>
      </c>
      <c r="C13411" t="n" s="0">
        <v>196018.785</v>
      </c>
    </row>
    <row r="13412">
      <c r="A13412" t="n" s="0">
        <v>34.11</v>
      </c>
      <c r="B13412" t="n" s="0">
        <f>(-5-((((-5*(-5/((-5/(((-5*(34.11--5))-(-5+((-5*34.11)*(((-5--5)+(34.11--5))+34.11))))-(-5+-5)))*-5)))/-5)--5)+(-5*(((34.11*(34.11-(-5/-5)))*(34.11-(34.11/(-5*34.11))))-(-5/-5)))))</f>
        <v>196191.923455</v>
      </c>
      <c r="C13412" t="n" s="0">
        <v>196191.92345499998</v>
      </c>
    </row>
    <row r="13413">
      <c r="A13413" t="n" s="0">
        <v>34.12</v>
      </c>
      <c r="B13413" t="n" s="0">
        <f>(-5-((((-5*(-5/((-5/(((-5*(34.12--5))-(-5+((-5*34.12)*(((-5--5)+(34.12--5))+34.12))))-(-5+-5)))*-5)))/-5)--5)+(-5*(((34.12*(34.12-(-5/-5)))*(34.12-(34.12/(-5*34.12))))-(-5/-5)))))</f>
        <v>196365.16384</v>
      </c>
      <c r="C13413" t="n" s="0">
        <v>196365.16383999996</v>
      </c>
    </row>
    <row r="13414">
      <c r="A13414" t="n" s="0">
        <v>34.13</v>
      </c>
      <c r="B13414" t="n" s="0">
        <f>(-5-((((-5*(-5/((-5/(((-5*(34.13--5))-(-5+((-5*34.13)*(((-5--5)+(34.13--5))+34.13))))-(-5+-5)))*-5)))/-5)--5)+(-5*(((34.13*(34.13-(-5/-5)))*(34.13-(34.13/(-5*34.13))))-(-5/-5)))))</f>
        <v>196538.50618499998</v>
      </c>
      <c r="C13414" t="n" s="0">
        <v>196538.5061850001</v>
      </c>
    </row>
    <row r="13415">
      <c r="A13415" t="n" s="0">
        <v>34.14</v>
      </c>
      <c r="B13415" t="n" s="0">
        <f>(-5-((((-5*(-5/((-5/(((-5*(34.14--5))-(-5+((-5*34.14)*(((-5--5)+(34.14--5))+34.14))))-(-5+-5)))*-5)))/-5)--5)+(-5*(((34.14*(34.14-(-5/-5)))*(34.14-(34.14/(-5*34.14))))-(-5/-5)))))</f>
        <v>196711.95052</v>
      </c>
      <c r="C13415" t="n" s="0">
        <v>196711.95052</v>
      </c>
    </row>
    <row r="13416">
      <c r="A13416" t="n" s="0">
        <v>34.15</v>
      </c>
      <c r="B13416" t="n" s="0">
        <f>(-5-((((-5*(-5/((-5/(((-5*(34.15--5))-(-5+((-5*34.15)*(((-5--5)+(34.15--5))+34.15))))-(-5+-5)))*-5)))/-5)--5)+(-5*(((34.15*(34.15-(-5/-5)))*(34.15-(34.15/(-5*34.15))))-(-5/-5)))))</f>
        <v>196885.496875</v>
      </c>
      <c r="C13416" t="n" s="0">
        <v>196885.49687499998</v>
      </c>
    </row>
    <row r="13417">
      <c r="A13417" t="n" s="0">
        <v>34.16</v>
      </c>
      <c r="B13417" t="n" s="0">
        <f>(-5-((((-5*(-5/((-5/(((-5*(34.16--5))-(-5+((-5*34.16)*(((-5--5)+(34.16--5))+34.16))))-(-5+-5)))*-5)))/-5)--5)+(-5*(((34.16*(34.16-(-5/-5)))*(34.16-(34.16/(-5*34.16))))-(-5/-5)))))</f>
        <v>197059.14528</v>
      </c>
      <c r="C13417" t="n" s="0">
        <v>197059.14527999994</v>
      </c>
    </row>
    <row r="13418">
      <c r="A13418" t="n" s="0">
        <v>34.17</v>
      </c>
      <c r="B13418" t="n" s="0">
        <f>(-5-((((-5*(-5/((-5/(((-5*(34.17--5))-(-5+((-5*34.17)*(((-5--5)+(34.17--5))+34.17))))-(-5+-5)))*-5)))/-5)--5)+(-5*(((34.17*(34.17-(-5/-5)))*(34.17-(34.17/(-5*34.17))))-(-5/-5)))))</f>
        <v>197232.895765</v>
      </c>
      <c r="C13418" t="n" s="0">
        <v>197232.89576500002</v>
      </c>
    </row>
    <row r="13419">
      <c r="A13419" t="n" s="0">
        <v>34.18</v>
      </c>
      <c r="B13419" t="n" s="0">
        <f>(-5-((((-5*(-5/((-5/(((-5*(34.18--5))-(-5+((-5*34.18)*(((-5--5)+(34.18--5))+34.18))))-(-5+-5)))*-5)))/-5)--5)+(-5*(((34.18*(34.18-(-5/-5)))*(34.18-(34.18/(-5*34.18))))-(-5/-5)))))</f>
        <v>197406.74835999997</v>
      </c>
      <c r="C13419" t="n" s="0">
        <v>197406.74836</v>
      </c>
    </row>
    <row r="13420">
      <c r="A13420" t="n" s="0">
        <v>34.19</v>
      </c>
      <c r="B13420" t="n" s="0">
        <f>(-5-((((-5*(-5/((-5/(((-5*(34.19--5))-(-5+((-5*34.19)*(((-5--5)+(34.19--5))+34.19))))-(-5+-5)))*-5)))/-5)--5)+(-5*(((34.19*(34.19-(-5/-5)))*(34.19-(34.19/(-5*34.19))))-(-5/-5)))))</f>
        <v>197580.703095</v>
      </c>
      <c r="C13420" t="n" s="0">
        <v>197580.70309499998</v>
      </c>
    </row>
    <row r="13421">
      <c r="A13421" t="n" s="0">
        <v>34.2</v>
      </c>
      <c r="B13421" t="n" s="0">
        <f>(-5-((((-5*(-5/((-5/(((-5*(34.2--5))-(-5+((-5*34.2)*(((-5--5)+(34.2--5))+34.2))))-(-5+-5)))*-5)))/-5)--5)+(-5*(((34.2*(34.2-(-5/-5)))*(34.2-(34.2/(-5*34.2))))-(-5/-5)))))</f>
        <v>197754.76</v>
      </c>
      <c r="C13421" t="n" s="0">
        <v>197754.76000000007</v>
      </c>
    </row>
    <row r="13422">
      <c r="A13422" t="n" s="0">
        <v>34.21</v>
      </c>
      <c r="B13422" t="n" s="0">
        <f>(-5-((((-5*(-5/((-5/(((-5*(34.21--5))-(-5+((-5*34.21)*(((-5--5)+(34.21--5))+34.21))))-(-5+-5)))*-5)))/-5)--5)+(-5*(((34.21*(34.21-(-5/-5)))*(34.21-(34.21/(-5*34.21))))-(-5/-5)))))</f>
        <v>197928.91910499998</v>
      </c>
      <c r="C13422" t="n" s="0">
        <v>197928.919105</v>
      </c>
    </row>
    <row r="13423">
      <c r="A13423" t="n" s="0">
        <v>34.22</v>
      </c>
      <c r="B13423" t="n" s="0">
        <f>(-5-((((-5*(-5/((-5/(((-5*(34.22--5))-(-5+((-5*34.22)*(((-5--5)+(34.22--5))+34.22))))-(-5+-5)))*-5)))/-5)--5)+(-5*(((34.22*(34.22-(-5/-5)))*(34.22-(34.22/(-5*34.22))))-(-5/-5)))))</f>
        <v>198103.18044</v>
      </c>
      <c r="C13423" t="n" s="0">
        <v>198103.18043999997</v>
      </c>
    </row>
    <row r="13424">
      <c r="A13424" t="n" s="0">
        <v>34.23</v>
      </c>
      <c r="B13424" t="n" s="0">
        <f>(-5-((((-5*(-5/((-5/(((-5*(34.23--5))-(-5+((-5*34.23)*(((-5--5)+(34.23--5))+34.23))))-(-5+-5)))*-5)))/-5)--5)+(-5*(((34.23*(34.23-(-5/-5)))*(34.23-(34.23/(-5*34.23))))-(-5/-5)))))</f>
        <v>198277.544035</v>
      </c>
      <c r="C13424" t="n" s="0">
        <v>198277.54403499997</v>
      </c>
    </row>
    <row r="13425">
      <c r="A13425" t="n" s="0">
        <v>34.24</v>
      </c>
      <c r="B13425" t="n" s="0">
        <f>(-5-((((-5*(-5/((-5/(((-5*(34.24--5))-(-5+((-5*34.24)*(((-5--5)+(34.24--5))+34.24))))-(-5+-5)))*-5)))/-5)--5)+(-5*(((34.24*(34.24-(-5/-5)))*(34.24-(34.24/(-5*34.24))))-(-5/-5)))))</f>
        <v>198452.00992</v>
      </c>
      <c r="C13425" t="n" s="0">
        <v>198452.00992</v>
      </c>
    </row>
    <row r="13426">
      <c r="A13426" t="n" s="0">
        <v>34.25</v>
      </c>
      <c r="B13426" t="n" s="0">
        <f>(-5-((((-5*(-5/((-5/(((-5*(34.25--5))-(-5+((-5*34.25)*(((-5--5)+(34.25--5))+34.25))))-(-5+-5)))*-5)))/-5)--5)+(-5*(((34.25*(34.25-(-5/-5)))*(34.25-(34.25/(-5*34.25))))-(-5/-5)))))</f>
        <v>198626.578125</v>
      </c>
      <c r="C13426" t="n" s="0">
        <v>198626.578125</v>
      </c>
    </row>
    <row r="13427">
      <c r="A13427" t="n" s="0">
        <v>34.26</v>
      </c>
      <c r="B13427" t="n" s="0">
        <f>(-5-((((-5*(-5/((-5/(((-5*(34.26--5))-(-5+((-5*34.26)*(((-5--5)+(34.26--5))+34.26))))-(-5+-5)))*-5)))/-5)--5)+(-5*(((34.26*(34.26-(-5/-5)))*(34.26-(34.26/(-5*34.26))))-(-5/-5)))))</f>
        <v>198801.24868000002</v>
      </c>
      <c r="C13427" t="n" s="0">
        <v>198801.24867999993</v>
      </c>
    </row>
    <row r="13428">
      <c r="A13428" t="n" s="0">
        <v>34.27</v>
      </c>
      <c r="B13428" t="n" s="0">
        <f>(-5-((((-5*(-5/((-5/(((-5*(34.27--5))-(-5+((-5*34.27)*(((-5--5)+(34.27--5))+34.27))))-(-5+-5)))*-5)))/-5)--5)+(-5*(((34.27*(34.27-(-5/-5)))*(34.27-(34.27/(-5*34.27))))-(-5/-5)))))</f>
        <v>198976.02161499998</v>
      </c>
      <c r="C13428" t="n" s="0">
        <v>198976.02161500006</v>
      </c>
    </row>
    <row r="13429">
      <c r="A13429" t="n" s="0">
        <v>34.28</v>
      </c>
      <c r="B13429" t="n" s="0">
        <f>(-5-((((-5*(-5/((-5/(((-5*(34.28--5))-(-5+((-5*34.28)*(((-5--5)+(34.28--5))+34.28))))-(-5+-5)))*-5)))/-5)--5)+(-5*(((34.28*(34.28-(-5/-5)))*(34.28-(34.28/(-5*34.28))))-(-5/-5)))))</f>
        <v>199150.89696</v>
      </c>
      <c r="C13429" t="n" s="0">
        <v>199150.89696</v>
      </c>
    </row>
    <row r="13430">
      <c r="A13430" t="n" s="0">
        <v>34.29</v>
      </c>
      <c r="B13430" t="n" s="0">
        <f>(-5-((((-5*(-5/((-5/(((-5*(34.29--5))-(-5+((-5*34.29)*(((-5--5)+(34.29--5))+34.29))))-(-5+-5)))*-5)))/-5)--5)+(-5*(((34.29*(34.29-(-5/-5)))*(34.29-(34.29/(-5*34.29))))-(-5/-5)))))</f>
        <v>199325.87474499998</v>
      </c>
      <c r="C13430" t="n" s="0">
        <v>199325.87474499998</v>
      </c>
    </row>
    <row r="13431">
      <c r="A13431" t="n" s="0">
        <v>34.3</v>
      </c>
      <c r="B13431" t="n" s="0">
        <f>(-5-((((-5*(-5/((-5/(((-5*(34.3--5))-(-5+((-5*34.3)*(((-5--5)+(34.3--5))+34.3))))-(-5+-5)))*-5)))/-5)--5)+(-5*(((34.3*(34.3-(-5/-5)))*(34.3-(34.3/(-5*34.3))))-(-5/-5)))))</f>
        <v>199500.955</v>
      </c>
      <c r="C13431" t="n" s="0">
        <v>199500.95499999993</v>
      </c>
    </row>
    <row r="13432">
      <c r="A13432" t="n" s="0">
        <v>34.31</v>
      </c>
      <c r="B13432" t="n" s="0">
        <f>(-5-((((-5*(-5/((-5/(((-5*(34.31--5))-(-5+((-5*34.31)*(((-5--5)+(34.31--5))+34.31))))-(-5+-5)))*-5)))/-5)--5)+(-5*(((34.31*(34.31-(-5/-5)))*(34.31-(34.31/(-5*34.31))))-(-5/-5)))))</f>
        <v>199676.137755</v>
      </c>
      <c r="C13432" t="n" s="0">
        <v>199676.13775500003</v>
      </c>
    </row>
    <row r="13433">
      <c r="A13433" t="n" s="0">
        <v>34.32</v>
      </c>
      <c r="B13433" t="n" s="0">
        <f>(-5-((((-5*(-5/((-5/(((-5*(34.32--5))-(-5+((-5*34.32)*(((-5--5)+(34.32--5))+34.32))))-(-5+-5)))*-5)))/-5)--5)+(-5*(((34.32*(34.32-(-5/-5)))*(34.32-(34.32/(-5*34.32))))-(-5/-5)))))</f>
        <v>199851.42304</v>
      </c>
      <c r="C13433" t="n" s="0">
        <v>199851.42304000002</v>
      </c>
    </row>
    <row r="13434">
      <c r="A13434" t="n" s="0">
        <v>34.33</v>
      </c>
      <c r="B13434" t="n" s="0">
        <f>(-5-((((-5*(-5/((-5/(((-5*(34.33--5))-(-5+((-5*34.33)*(((-5--5)+(34.33--5))+34.33))))-(-5+-5)))*-5)))/-5)--5)+(-5*(((34.33*(34.33-(-5/-5)))*(34.33-(34.33/(-5*34.33))))-(-5/-5)))))</f>
        <v>200026.810885</v>
      </c>
      <c r="C13434" t="n" s="0">
        <v>200026.81088499998</v>
      </c>
    </row>
    <row r="13435">
      <c r="A13435" t="n" s="0">
        <v>34.34</v>
      </c>
      <c r="B13435" t="n" s="0">
        <f>(-5-((((-5*(-5/((-5/(((-5*(34.34--5))-(-5+((-5*34.34)*(((-5--5)+(34.34--5))+34.34))))-(-5+-5)))*-5)))/-5)--5)+(-5*(((34.34*(34.34-(-5/-5)))*(34.34-(34.34/(-5*34.34))))-(-5/-5)))))</f>
        <v>200202.30132</v>
      </c>
      <c r="C13435" t="n" s="0">
        <v>200202.30132000006</v>
      </c>
    </row>
    <row r="13436">
      <c r="A13436" t="n" s="0">
        <v>34.35</v>
      </c>
      <c r="B13436" t="n" s="0">
        <f>(-5-((((-5*(-5/((-5/(((-5*(34.35--5))-(-5+((-5*34.35)*(((-5--5)+(34.35--5))+34.35))))-(-5+-5)))*-5)))/-5)--5)+(-5*(((34.35*(34.35-(-5/-5)))*(34.35-(34.35/(-5*34.35))))-(-5/-5)))))</f>
        <v>200377.894375</v>
      </c>
      <c r="C13436" t="n" s="0">
        <v>200377.894375</v>
      </c>
    </row>
    <row r="13437">
      <c r="A13437" t="n" s="0">
        <v>34.36</v>
      </c>
      <c r="B13437" t="n" s="0">
        <f>(-5-((((-5*(-5/((-5/(((-5*(34.36--5))-(-5+((-5*34.36)*(((-5--5)+(34.36--5))+34.36))))-(-5+-5)))*-5)))/-5)--5)+(-5*(((34.36*(34.36-(-5/-5)))*(34.36-(34.36/(-5*34.36))))-(-5/-5)))))</f>
        <v>200553.59008</v>
      </c>
      <c r="C13437" t="n" s="0">
        <v>200553.59008</v>
      </c>
    </row>
    <row r="13438">
      <c r="A13438" t="n" s="0">
        <v>34.37</v>
      </c>
      <c r="B13438" t="n" s="0">
        <f>(-5-((((-5*(-5/((-5/(((-5*(34.37--5))-(-5+((-5*34.37)*(((-5--5)+(34.37--5))+34.37))))-(-5+-5)))*-5)))/-5)--5)+(-5*(((34.37*(34.37-(-5/-5)))*(34.37-(34.37/(-5*34.37))))-(-5/-5)))))</f>
        <v>200729.38846500003</v>
      </c>
      <c r="C13438" t="n" s="0">
        <v>200729.38846499994</v>
      </c>
    </row>
    <row r="13439">
      <c r="A13439" t="n" s="0">
        <v>34.38</v>
      </c>
      <c r="B13439" t="n" s="0">
        <f>(-5-((((-5*(-5/((-5/(((-5*(34.38--5))-(-5+((-5*34.38)*(((-5--5)+(34.38--5))+34.38))))-(-5+-5)))*-5)))/-5)--5)+(-5*(((34.38*(34.38-(-5/-5)))*(34.38-(34.38/(-5*34.38))))-(-5/-5)))))</f>
        <v>200905.28956</v>
      </c>
      <c r="C13439" t="n" s="0">
        <v>200905.28956000006</v>
      </c>
    </row>
    <row r="13440">
      <c r="A13440" t="n" s="0">
        <v>34.39</v>
      </c>
      <c r="B13440" t="n" s="0">
        <f>(-5-((((-5*(-5/((-5/(((-5*(34.39--5))-(-5+((-5*34.39)*(((-5--5)+(34.39--5))+34.39))))-(-5+-5)))*-5)))/-5)--5)+(-5*(((34.39*(34.39-(-5/-5)))*(34.39-(34.39/(-5*34.39))))-(-5/-5)))))</f>
        <v>201081.293395</v>
      </c>
      <c r="C13440" t="n" s="0">
        <v>201081.29339500002</v>
      </c>
    </row>
    <row r="13441">
      <c r="A13441" t="n" s="0">
        <v>34.4</v>
      </c>
      <c r="B13441" t="n" s="0">
        <f>(-5-((((-5*(-5/((-5/(((-5*(34.4--5))-(-5+((-5*34.4)*(((-5--5)+(34.4--5))+34.4))))-(-5+-5)))*-5)))/-5)--5)+(-5*(((34.4*(34.4-(-5/-5)))*(34.4-(34.4/(-5*34.4))))-(-5/-5)))))</f>
        <v>201257.4</v>
      </c>
      <c r="C13441" t="n" s="0">
        <v>201257.4</v>
      </c>
    </row>
    <row r="13442">
      <c r="A13442" t="n" s="0">
        <v>34.41</v>
      </c>
      <c r="B13442" t="n" s="0">
        <f>(-5-((((-5*(-5/((-5/(((-5*(34.41--5))-(-5+((-5*34.41)*(((-5--5)+(34.41--5))+34.41))))-(-5+-5)))*-5)))/-5)--5)+(-5*(((34.41*(34.41-(-5/-5)))*(34.41-(34.41/(-5*34.41))))-(-5/-5)))))</f>
        <v>201433.60940500002</v>
      </c>
      <c r="C13442" t="n" s="0">
        <v>201433.60940499997</v>
      </c>
    </row>
    <row r="13443">
      <c r="A13443" t="n" s="0">
        <v>34.42</v>
      </c>
      <c r="B13443" t="n" s="0">
        <f>(-5-((((-5*(-5/((-5/(((-5*(34.42--5))-(-5+((-5*34.42)*(((-5--5)+(34.42--5))+34.42))))-(-5+-5)))*-5)))/-5)--5)+(-5*(((34.42*(34.42-(-5/-5)))*(34.42-(34.42/(-5*34.42))))-(-5/-5)))))</f>
        <v>201609.92164000002</v>
      </c>
      <c r="C13443" t="n" s="0">
        <v>201609.92164000004</v>
      </c>
    </row>
    <row r="13444">
      <c r="A13444" t="n" s="0">
        <v>34.43</v>
      </c>
      <c r="B13444" t="n" s="0">
        <f>(-5-((((-5*(-5/((-5/(((-5*(34.43--5))-(-5+((-5*34.43)*(((-5--5)+(34.43--5))+34.43))))-(-5+-5)))*-5)))/-5)--5)+(-5*(((34.43*(34.43-(-5/-5)))*(34.43-(34.43/(-5*34.43))))-(-5/-5)))))</f>
        <v>201786.336735</v>
      </c>
      <c r="C13444" t="n" s="0">
        <v>201786.33673500002</v>
      </c>
    </row>
    <row r="13445">
      <c r="A13445" t="n" s="0">
        <v>34.44</v>
      </c>
      <c r="B13445" t="n" s="0">
        <f>(-5-((((-5*(-5/((-5/(((-5*(34.44--5))-(-5+((-5*34.44)*(((-5--5)+(34.44--5))+34.44))))-(-5+-5)))*-5)))/-5)--5)+(-5*(((34.44*(34.44-(-5/-5)))*(34.44-(34.44/(-5*34.44))))-(-5/-5)))))</f>
        <v>201962.85472</v>
      </c>
      <c r="C13445" t="n" s="0">
        <v>201962.85471999997</v>
      </c>
    </row>
    <row r="13446">
      <c r="A13446" t="n" s="0">
        <v>34.45</v>
      </c>
      <c r="B13446" t="n" s="0">
        <f>(-5-((((-5*(-5/((-5/(((-5*(34.45--5))-(-5+((-5*34.45)*(((-5--5)+(34.45--5))+34.45))))-(-5+-5)))*-5)))/-5)--5)+(-5*(((34.45*(34.45-(-5/-5)))*(34.45-(34.45/(-5*34.45))))-(-5/-5)))))</f>
        <v>202139.475625</v>
      </c>
      <c r="C13446" t="n" s="0">
        <v>202139.47562500005</v>
      </c>
    </row>
    <row r="13447">
      <c r="A13447" t="n" s="0">
        <v>34.46</v>
      </c>
      <c r="B13447" t="n" s="0">
        <f>(-5-((((-5*(-5/((-5/(((-5*(34.46--5))-(-5+((-5*34.46)*(((-5--5)+(34.46--5))+34.46))))-(-5+-5)))*-5)))/-5)--5)+(-5*(((34.46*(34.46-(-5/-5)))*(34.46-(34.46/(-5*34.46))))-(-5/-5)))))</f>
        <v>202316.19948</v>
      </c>
      <c r="C13447" t="n" s="0">
        <v>202316.19948000004</v>
      </c>
    </row>
    <row r="13448">
      <c r="A13448" t="n" s="0">
        <v>34.47</v>
      </c>
      <c r="B13448" t="n" s="0">
        <f>(-5-((((-5*(-5/((-5/(((-5*(34.47--5))-(-5+((-5*34.47)*(((-5--5)+(34.47--5))+34.47))))-(-5+-5)))*-5)))/-5)--5)+(-5*(((34.47*(34.47-(-5/-5)))*(34.47-(34.47/(-5*34.47))))-(-5/-5)))))</f>
        <v>202493.026315</v>
      </c>
      <c r="C13448" t="n" s="0">
        <v>202493.02631499997</v>
      </c>
    </row>
    <row r="13449">
      <c r="A13449" t="n" s="0">
        <v>34.48</v>
      </c>
      <c r="B13449" t="n" s="0">
        <f>(-5-((((-5*(-5/((-5/(((-5*(34.48--5))-(-5+((-5*34.48)*(((-5--5)+(34.48--5))+34.48))))-(-5+-5)))*-5)))/-5)--5)+(-5*(((34.48*(34.48-(-5/-5)))*(34.48-(34.48/(-5*34.48))))-(-5/-5)))))</f>
        <v>202669.95616</v>
      </c>
      <c r="C13449" t="n" s="0">
        <v>202669.95615999997</v>
      </c>
    </row>
    <row r="13450">
      <c r="A13450" t="n" s="0">
        <v>34.49</v>
      </c>
      <c r="B13450" t="n" s="0">
        <f>(-5-((((-5*(-5/((-5/(((-5*(34.49--5))-(-5+((-5*34.49)*(((-5--5)+(34.49--5))+34.49))))-(-5+-5)))*-5)))/-5)--5)+(-5*(((34.49*(34.49-(-5/-5)))*(34.49-(34.49/(-5*34.49))))-(-5/-5)))))</f>
        <v>202846.989045</v>
      </c>
      <c r="C13450" t="n" s="0">
        <v>202846.98904500002</v>
      </c>
    </row>
    <row r="13451">
      <c r="A13451" t="n" s="0">
        <v>34.5</v>
      </c>
      <c r="B13451" t="n" s="0">
        <f>(-5-((((-5*(-5/((-5/(((-5*(34.5--5))-(-5+((-5*34.5)*(((-5--5)+(34.5--5))+34.5))))-(-5+-5)))*-5)))/-5)--5)+(-5*(((34.5*(34.5-(-5/-5)))*(34.5-(34.5/(-5*34.5))))-(-5/-5)))))</f>
        <v>203024.125</v>
      </c>
      <c r="C13451" t="n" s="0">
        <v>203024.125</v>
      </c>
    </row>
    <row r="13452">
      <c r="A13452" t="n" s="0">
        <v>34.51</v>
      </c>
      <c r="B13452" t="n" s="0">
        <f>(-5-((((-5*(-5/((-5/(((-5*(34.51--5))-(-5+((-5*34.51)*(((-5--5)+(34.51--5))+34.51))))-(-5+-5)))*-5)))/-5)--5)+(-5*(((34.51*(34.51-(-5/-5)))*(34.51-(34.51/(-5*34.51))))-(-5/-5)))))</f>
        <v>203201.36405499998</v>
      </c>
      <c r="C13452" t="n" s="0">
        <v>203201.36405499998</v>
      </c>
    </row>
    <row r="13453">
      <c r="A13453" t="n" s="0">
        <v>34.52</v>
      </c>
      <c r="B13453" t="n" s="0">
        <f>(-5-((((-5*(-5/((-5/(((-5*(34.52--5))-(-5+((-5*34.52)*(((-5--5)+(34.52--5))+34.52))))-(-5+-5)))*-5)))/-5)--5)+(-5*(((34.52*(34.52-(-5/-5)))*(34.52-(34.52/(-5*34.52))))-(-5/-5)))))</f>
        <v>203378.70624</v>
      </c>
      <c r="C13453" t="n" s="0">
        <v>203378.7062400001</v>
      </c>
    </row>
    <row r="13454">
      <c r="A13454" t="n" s="0">
        <v>34.53</v>
      </c>
      <c r="B13454" t="n" s="0">
        <f>(-5-((((-5*(-5/((-5/(((-5*(34.53--5))-(-5+((-5*34.53)*(((-5--5)+(34.53--5))+34.53))))-(-5+-5)))*-5)))/-5)--5)+(-5*(((34.53*(34.53-(-5/-5)))*(34.53-(34.53/(-5*34.53))))-(-5/-5)))))</f>
        <v>203556.151585</v>
      </c>
      <c r="C13454" t="n" s="0">
        <v>203556.151585</v>
      </c>
    </row>
    <row r="13455">
      <c r="A13455" t="n" s="0">
        <v>34.54</v>
      </c>
      <c r="B13455" t="n" s="0">
        <f>(-5-((((-5*(-5/((-5/(((-5*(34.54--5))-(-5+((-5*34.54)*(((-5--5)+(34.54--5))+34.54))))-(-5+-5)))*-5)))/-5)--5)+(-5*(((34.54*(34.54-(-5/-5)))*(34.54-(34.54/(-5*34.54))))-(-5/-5)))))</f>
        <v>203733.70012</v>
      </c>
      <c r="C13455" t="n" s="0">
        <v>203733.70011999996</v>
      </c>
    </row>
    <row r="13456">
      <c r="A13456" t="n" s="0">
        <v>34.55</v>
      </c>
      <c r="B13456" t="n" s="0">
        <f>(-5-((((-5*(-5/((-5/(((-5*(34.55--5))-(-5+((-5*34.55)*(((-5--5)+(34.55--5))+34.55))))-(-5+-5)))*-5)))/-5)--5)+(-5*(((34.55*(34.55-(-5/-5)))*(34.55-(34.55/(-5*34.55))))-(-5/-5)))))</f>
        <v>203911.35187500002</v>
      </c>
      <c r="C13456" t="n" s="0">
        <v>203911.35187499993</v>
      </c>
    </row>
    <row r="13457">
      <c r="A13457" t="n" s="0">
        <v>34.56</v>
      </c>
      <c r="B13457" t="n" s="0">
        <f>(-5-((((-5*(-5/((-5/(((-5*(34.56--5))-(-5+((-5*34.56)*(((-5--5)+(34.56--5))+34.56))))-(-5+-5)))*-5)))/-5)--5)+(-5*(((34.56*(34.56-(-5/-5)))*(34.56-(34.56/(-5*34.56))))-(-5/-5)))))</f>
        <v>204089.10688</v>
      </c>
      <c r="C13457" t="n" s="0">
        <v>204089.10688000004</v>
      </c>
    </row>
    <row r="13458">
      <c r="A13458" t="n" s="0">
        <v>34.57</v>
      </c>
      <c r="B13458" t="n" s="0">
        <f>(-5-((((-5*(-5/((-5/(((-5*(34.57--5))-(-5+((-5*34.57)*(((-5--5)+(34.57--5))+34.57))))-(-5+-5)))*-5)))/-5)--5)+(-5*(((34.57*(34.57-(-5/-5)))*(34.57-(34.57/(-5*34.57))))-(-5/-5)))))</f>
        <v>204266.965165</v>
      </c>
      <c r="C13458" t="n" s="0">
        <v>204266.965165</v>
      </c>
    </row>
    <row r="13459">
      <c r="A13459" t="n" s="0">
        <v>34.58</v>
      </c>
      <c r="B13459" t="n" s="0">
        <f>(-5-((((-5*(-5/((-5/(((-5*(34.58--5))-(-5+((-5*34.58)*(((-5--5)+(34.58--5))+34.58))))-(-5+-5)))*-5)))/-5)--5)+(-5*(((34.58*(34.58-(-5/-5)))*(34.58-(34.58/(-5*34.58))))-(-5/-5)))))</f>
        <v>204444.92676</v>
      </c>
      <c r="C13459" t="n" s="0">
        <v>204444.92675999997</v>
      </c>
    </row>
    <row r="13460">
      <c r="A13460" t="n" s="0">
        <v>34.59</v>
      </c>
      <c r="B13460" t="n" s="0">
        <f>(-5-((((-5*(-5/((-5/(((-5*(34.59--5))-(-5+((-5*34.59)*(((-5--5)+(34.59--5))+34.59))))-(-5+-5)))*-5)))/-5)--5)+(-5*(((34.59*(34.59-(-5/-5)))*(34.59-(34.59/(-5*34.59))))-(-5/-5)))))</f>
        <v>204622.991695</v>
      </c>
      <c r="C13460" t="n" s="0">
        <v>204622.99169500006</v>
      </c>
    </row>
    <row r="13461">
      <c r="A13461" t="n" s="0">
        <v>34.6</v>
      </c>
      <c r="B13461" t="n" s="0">
        <f>(-5-((((-5*(-5/((-5/(((-5*(34.6--5))-(-5+((-5*34.6)*(((-5--5)+(34.6--5))+34.6))))-(-5+-5)))*-5)))/-5)--5)+(-5*(((34.6*(34.6-(-5/-5)))*(34.6-(34.6/(-5*34.6))))-(-5/-5)))))</f>
        <v>204801.15999999997</v>
      </c>
      <c r="C13461" t="n" s="0">
        <v>204801.16</v>
      </c>
    </row>
    <row r="13462">
      <c r="A13462" t="n" s="0">
        <v>34.61</v>
      </c>
      <c r="B13462" t="n" s="0">
        <f>(-5-((((-5*(-5/((-5/(((-5*(34.61--5))-(-5+((-5*34.61)*(((-5--5)+(34.61--5))+34.61))))-(-5+-5)))*-5)))/-5)--5)+(-5*(((34.61*(34.61-(-5/-5)))*(34.61-(34.61/(-5*34.61))))-(-5/-5)))))</f>
        <v>204979.431705</v>
      </c>
      <c r="C13462" t="n" s="0">
        <v>204979.43170499997</v>
      </c>
    </row>
    <row r="13463">
      <c r="A13463" t="n" s="0">
        <v>34.62</v>
      </c>
      <c r="B13463" t="n" s="0">
        <f>(-5-((((-5*(-5/((-5/(((-5*(34.62--5))-(-5+((-5*34.62)*(((-5--5)+(34.62--5))+34.62))))-(-5+-5)))*-5)))/-5)--5)+(-5*(((34.62*(34.62-(-5/-5)))*(34.62-(34.62/(-5*34.62))))-(-5/-5)))))</f>
        <v>205157.80684</v>
      </c>
      <c r="C13463" t="n" s="0">
        <v>205157.80683999995</v>
      </c>
    </row>
    <row r="13464">
      <c r="A13464" t="n" s="0">
        <v>34.63</v>
      </c>
      <c r="B13464" t="n" s="0">
        <f>(-5-((((-5*(-5/((-5/(((-5*(34.63--5))-(-5+((-5*34.63)*(((-5--5)+(34.63--5))+34.63))))-(-5+-5)))*-5)))/-5)--5)+(-5*(((34.63*(34.63-(-5/-5)))*(34.63-(34.63/(-5*34.63))))-(-5/-5)))))</f>
        <v>205336.285435</v>
      </c>
      <c r="C13464" t="n" s="0">
        <v>205336.28543500006</v>
      </c>
    </row>
    <row r="13465">
      <c r="A13465" t="n" s="0">
        <v>34.64</v>
      </c>
      <c r="B13465" t="n" s="0">
        <f>(-5-((((-5*(-5/((-5/(((-5*(34.64--5))-(-5+((-5*34.64)*(((-5--5)+(34.64--5))+34.64))))-(-5+-5)))*-5)))/-5)--5)+(-5*(((34.64*(34.64-(-5/-5)))*(34.64-(34.64/(-5*34.64))))-(-5/-5)))))</f>
        <v>205514.86752</v>
      </c>
      <c r="C13465" t="n" s="0">
        <v>205514.86752</v>
      </c>
    </row>
    <row r="13466">
      <c r="A13466" t="n" s="0">
        <v>34.65</v>
      </c>
      <c r="B13466" t="n" s="0">
        <f>(-5-((((-5*(-5/((-5/(((-5*(34.65--5))-(-5+((-5*34.65)*(((-5--5)+(34.65--5))+34.65))))-(-5+-5)))*-5)))/-5)--5)+(-5*(((34.65*(34.65-(-5/-5)))*(34.65-(34.65/(-5*34.65))))-(-5/-5)))))</f>
        <v>205693.553125</v>
      </c>
      <c r="C13466" t="n" s="0">
        <v>205693.553125</v>
      </c>
    </row>
    <row r="13467">
      <c r="A13467" t="n" s="0">
        <v>34.66</v>
      </c>
      <c r="B13467" t="n" s="0">
        <f>(-5-((((-5*(-5/((-5/(((-5*(34.66--5))-(-5+((-5*34.66)*(((-5--5)+(34.66--5))+34.66))))-(-5+-5)))*-5)))/-5)--5)+(-5*(((34.66*(34.66-(-5/-5)))*(34.66-(34.66/(-5*34.66))))-(-5/-5)))))</f>
        <v>205872.34227999998</v>
      </c>
      <c r="C13467" t="n" s="0">
        <v>205872.34227999995</v>
      </c>
    </row>
    <row r="13468">
      <c r="A13468" t="n" s="0">
        <v>34.67</v>
      </c>
      <c r="B13468" t="n" s="0">
        <f>(-5-((((-5*(-5/((-5/(((-5*(34.67--5))-(-5+((-5*34.67)*(((-5--5)+(34.67--5))+34.67))))-(-5+-5)))*-5)))/-5)--5)+(-5*(((34.67*(34.67-(-5/-5)))*(34.67-(34.67/(-5*34.67))))-(-5/-5)))))</f>
        <v>206051.23501499998</v>
      </c>
      <c r="C13468" t="n" s="0">
        <v>206051.23501500007</v>
      </c>
    </row>
    <row r="13469">
      <c r="A13469" t="n" s="0">
        <v>34.68</v>
      </c>
      <c r="B13469" t="n" s="0">
        <f>(-5-((((-5*(-5/((-5/(((-5*(34.68--5))-(-5+((-5*34.68)*(((-5--5)+(34.68--5))+34.68))))-(-5+-5)))*-5)))/-5)--5)+(-5*(((34.68*(34.68-(-5/-5)))*(34.68-(34.68/(-5*34.68))))-(-5/-5)))))</f>
        <v>206230.23135999998</v>
      </c>
      <c r="C13469" t="n" s="0">
        <v>206230.23136</v>
      </c>
    </row>
    <row r="13470">
      <c r="A13470" t="n" s="0">
        <v>34.69</v>
      </c>
      <c r="B13470" t="n" s="0">
        <f>(-5-((((-5*(-5/((-5/(((-5*(34.69--5))-(-5+((-5*34.69)*(((-5--5)+(34.69--5))+34.69))))-(-5+-5)))*-5)))/-5)--5)+(-5*(((34.69*(34.69-(-5/-5)))*(34.69-(34.69/(-5*34.69))))-(-5/-5)))))</f>
        <v>206409.331345</v>
      </c>
      <c r="C13470" t="n" s="0">
        <v>206409.33134499996</v>
      </c>
    </row>
    <row r="13471">
      <c r="A13471" t="n" s="0">
        <v>34.7</v>
      </c>
      <c r="B13471" t="n" s="0">
        <f>(-5-((((-5*(-5/((-5/(((-5*(34.7--5))-(-5+((-5*34.7)*(((-5--5)+(34.7--5))+34.7))))-(-5+-5)))*-5)))/-5)--5)+(-5*(((34.7*(34.7-(-5/-5)))*(34.7-(34.7/(-5*34.7))))-(-5/-5)))))</f>
        <v>206588.535</v>
      </c>
      <c r="C13471" t="n" s="0">
        <v>206588.53500000006</v>
      </c>
    </row>
    <row r="13472">
      <c r="A13472" t="n" s="0">
        <v>34.71</v>
      </c>
      <c r="B13472" t="n" s="0">
        <f>(-5-((((-5*(-5/((-5/(((-5*(34.71--5))-(-5+((-5*34.71)*(((-5--5)+(34.71--5))+34.71))))-(-5+-5)))*-5)))/-5)--5)+(-5*(((34.71*(34.71-(-5/-5)))*(34.71-(34.71/(-5*34.71))))-(-5/-5)))))</f>
        <v>206767.842355</v>
      </c>
      <c r="C13472" t="n" s="0">
        <v>206767.84235500003</v>
      </c>
    </row>
    <row r="13473">
      <c r="A13473" t="n" s="0">
        <v>34.72</v>
      </c>
      <c r="B13473" t="n" s="0">
        <f>(-5-((((-5*(-5/((-5/(((-5*(34.72--5))-(-5+((-5*34.72)*(((-5--5)+(34.72--5))+34.72))))-(-5+-5)))*-5)))/-5)--5)+(-5*(((34.72*(34.72-(-5/-5)))*(34.72-(34.72/(-5*34.72))))-(-5/-5)))))</f>
        <v>206947.25344</v>
      </c>
      <c r="C13473" t="n" s="0">
        <v>206947.25343999997</v>
      </c>
    </row>
    <row r="13474">
      <c r="A13474" t="n" s="0">
        <v>34.73</v>
      </c>
      <c r="B13474" t="n" s="0">
        <f>(-5-((((-5*(-5/((-5/(((-5*(34.73--5))-(-5+((-5*34.73)*(((-5--5)+(34.73--5))+34.73))))-(-5+-5)))*-5)))/-5)--5)+(-5*(((34.73*(34.73-(-5/-5)))*(34.73-(34.73/(-5*34.73))))-(-5/-5)))))</f>
        <v>207126.76828500003</v>
      </c>
      <c r="C13474" t="n" s="0">
        <v>207126.76828499994</v>
      </c>
    </row>
    <row r="13475">
      <c r="A13475" t="n" s="0">
        <v>34.74</v>
      </c>
      <c r="B13475" t="n" s="0">
        <f>(-5-((((-5*(-5/((-5/(((-5*(34.74--5))-(-5+((-5*34.74)*(((-5--5)+(34.74--5))+34.74))))-(-5+-5)))*-5)))/-5)--5)+(-5*(((34.74*(34.74-(-5/-5)))*(34.74-(34.74/(-5*34.74))))-(-5/-5)))))</f>
        <v>207306.38692</v>
      </c>
      <c r="C13475" t="n" s="0">
        <v>207306.38692000005</v>
      </c>
    </row>
    <row r="13476">
      <c r="A13476" t="n" s="0">
        <v>34.75</v>
      </c>
      <c r="B13476" t="n" s="0">
        <f>(-5-((((-5*(-5/((-5/(((-5*(34.75--5))-(-5+((-5*34.75)*(((-5--5)+(34.75--5))+34.75))))-(-5+-5)))*-5)))/-5)--5)+(-5*(((34.75*(34.75-(-5/-5)))*(34.75-(34.75/(-5*34.75))))-(-5/-5)))))</f>
        <v>207486.109375</v>
      </c>
      <c r="C13476" t="n" s="0">
        <v>207486.109375</v>
      </c>
    </row>
    <row r="13477">
      <c r="A13477" t="n" s="0">
        <v>34.76</v>
      </c>
      <c r="B13477" t="n" s="0">
        <f>(-5-((((-5*(-5/((-5/(((-5*(34.76--5))-(-5+((-5*34.76)*(((-5--5)+(34.76--5))+34.76))))-(-5+-5)))*-5)))/-5)--5)+(-5*(((34.76*(34.76-(-5/-5)))*(34.76-(34.76/(-5*34.76))))-(-5/-5)))))</f>
        <v>207665.93568</v>
      </c>
      <c r="C13477" t="n" s="0">
        <v>207665.93567999997</v>
      </c>
    </row>
    <row r="13478">
      <c r="A13478" t="n" s="0">
        <v>34.77</v>
      </c>
      <c r="B13478" t="n" s="0">
        <f>(-5-((((-5*(-5/((-5/(((-5*(34.77--5))-(-5+((-5*34.77)*(((-5--5)+(34.77--5))+34.77))))-(-5+-5)))*-5)))/-5)--5)+(-5*(((34.77*(34.77-(-5/-5)))*(34.77-(34.77/(-5*34.77))))-(-5/-5)))))</f>
        <v>207845.865865</v>
      </c>
      <c r="C13478" t="n" s="0">
        <v>207845.86586500006</v>
      </c>
    </row>
    <row r="13479">
      <c r="A13479" t="n" s="0">
        <v>34.78</v>
      </c>
      <c r="B13479" t="n" s="0">
        <f>(-5-((((-5*(-5/((-5/(((-5*(34.78--5))-(-5+((-5*34.78)*(((-5--5)+(34.78--5))+34.78))))-(-5+-5)))*-5)))/-5)--5)+(-5*(((34.78*(34.78-(-5/-5)))*(34.78-(34.78/(-5*34.78))))-(-5/-5)))))</f>
        <v>208025.89996</v>
      </c>
      <c r="C13479" t="n" s="0">
        <v>208025.89996</v>
      </c>
    </row>
    <row r="13480">
      <c r="A13480" t="n" s="0">
        <v>34.79</v>
      </c>
      <c r="B13480" t="n" s="0">
        <f>(-5-((((-5*(-5/((-5/(((-5*(34.79--5))-(-5+((-5*34.79)*(((-5--5)+(34.79--5))+34.79))))-(-5+-5)))*-5)))/-5)--5)+(-5*(((34.79*(34.79-(-5/-5)))*(34.79-(34.79/(-5*34.79))))-(-5/-5)))))</f>
        <v>208206.03799500002</v>
      </c>
      <c r="C13480" t="n" s="0">
        <v>208206.037995</v>
      </c>
    </row>
    <row r="13481">
      <c r="A13481" t="n" s="0">
        <v>34.8</v>
      </c>
      <c r="B13481" t="n" s="0">
        <f>(-5-((((-5*(-5/((-5/(((-5*(34.8--5))-(-5+((-5*34.8)*(((-5--5)+(34.8--5))+34.8))))-(-5+-5)))*-5)))/-5)--5)+(-5*(((34.8*(34.8-(-5/-5)))*(34.8-(34.8/(-5*34.8))))-(-5/-5)))))</f>
        <v>208386.28</v>
      </c>
      <c r="C13481" t="n" s="0">
        <v>208386.27999999994</v>
      </c>
    </row>
    <row r="13482">
      <c r="A13482" t="n" s="0">
        <v>34.81</v>
      </c>
      <c r="B13482" t="n" s="0">
        <f>(-5-((((-5*(-5/((-5/(((-5*(34.81--5))-(-5+((-5*34.81)*(((-5--5)+(34.81--5))+34.81))))-(-5+-5)))*-5)))/-5)--5)+(-5*(((34.81*(34.81-(-5/-5)))*(34.81-(34.81/(-5*34.81))))-(-5/-5)))))</f>
        <v>208566.626005</v>
      </c>
      <c r="C13482" t="n" s="0">
        <v>208566.62600500006</v>
      </c>
    </row>
    <row r="13483">
      <c r="A13483" t="n" s="0">
        <v>34.82</v>
      </c>
      <c r="B13483" t="n" s="0">
        <f>(-5-((((-5*(-5/((-5/(((-5*(34.82--5))-(-5+((-5*34.82)*(((-5--5)+(34.82--5))+34.82))))-(-5+-5)))*-5)))/-5)--5)+(-5*(((34.82*(34.82-(-5/-5)))*(34.82-(34.82/(-5*34.82))))-(-5/-5)))))</f>
        <v>208747.07604</v>
      </c>
      <c r="C13483" t="n" s="0">
        <v>208747.07603999999</v>
      </c>
    </row>
    <row r="13484">
      <c r="A13484" t="n" s="0">
        <v>34.83</v>
      </c>
      <c r="B13484" t="n" s="0">
        <f>(-5-((((-5*(-5/((-5/(((-5*(34.83--5))-(-5+((-5*34.83)*(((-5--5)+(34.83--5))+34.83))))-(-5+-5)))*-5)))/-5)--5)+(-5*(((34.83*(34.83-(-5/-5)))*(34.83-(34.83/(-5*34.83))))-(-5/-5)))))</f>
        <v>208927.63013499998</v>
      </c>
      <c r="C13484" t="n" s="0">
        <v>208927.63013499998</v>
      </c>
    </row>
    <row r="13485">
      <c r="A13485" t="n" s="0">
        <v>34.84</v>
      </c>
      <c r="B13485" t="n" s="0">
        <f>(-5-((((-5*(-5/((-5/(((-5*(34.84--5))-(-5+((-5*34.84)*(((-5--5)+(34.84--5))+34.84))))-(-5+-5)))*-5)))/-5)--5)+(-5*(((34.84*(34.84-(-5/-5)))*(34.84-(34.84/(-5*34.84))))-(-5/-5)))))</f>
        <v>209108.28832000002</v>
      </c>
      <c r="C13485" t="n" s="0">
        <v>209108.28832000005</v>
      </c>
    </row>
    <row r="13486">
      <c r="A13486" t="n" s="0">
        <v>34.85</v>
      </c>
      <c r="B13486" t="n" s="0">
        <f>(-5-((((-5*(-5/((-5/(((-5*(34.85--5))-(-5+((-5*34.85)*(((-5--5)+(34.85--5))+34.85))))-(-5+-5)))*-5)))/-5)--5)+(-5*(((34.85*(34.85-(-5/-5)))*(34.85-(34.85/(-5*34.85))))-(-5/-5)))))</f>
        <v>209289.050625</v>
      </c>
      <c r="C13486" t="n" s="0">
        <v>209289.050625</v>
      </c>
    </row>
    <row r="13487">
      <c r="A13487" t="n" s="0">
        <v>34.86</v>
      </c>
      <c r="B13487" t="n" s="0">
        <f>(-5-((((-5*(-5/((-5/(((-5*(34.86--5))-(-5+((-5*34.86)*(((-5--5)+(34.86--5))+34.86))))-(-5+-5)))*-5)))/-5)--5)+(-5*(((34.86*(34.86-(-5/-5)))*(34.86-(34.86/(-5*34.86))))-(-5/-5)))))</f>
        <v>209469.91707999998</v>
      </c>
      <c r="C13487" t="n" s="0">
        <v>209469.91707999998</v>
      </c>
    </row>
    <row r="13488">
      <c r="A13488" t="n" s="0">
        <v>34.87</v>
      </c>
      <c r="B13488" t="n" s="0">
        <f>(-5-((((-5*(-5/((-5/(((-5*(34.87--5))-(-5+((-5*34.87)*(((-5--5)+(34.87--5))+34.87))))-(-5+-5)))*-5)))/-5)--5)+(-5*(((34.87*(34.87-(-5/-5)))*(34.87-(34.87/(-5*34.87))))-(-5/-5)))))</f>
        <v>209650.88771500002</v>
      </c>
      <c r="C13488" t="n" s="0">
        <v>209650.88771499993</v>
      </c>
    </row>
    <row r="13489">
      <c r="A13489" t="n" s="0">
        <v>34.88</v>
      </c>
      <c r="B13489" t="n" s="0">
        <f>(-5-((((-5*(-5/((-5/(((-5*(34.88--5))-(-5+((-5*34.88)*(((-5--5)+(34.88--5))+34.88))))-(-5+-5)))*-5)))/-5)--5)+(-5*(((34.88*(34.88-(-5/-5)))*(34.88-(34.88/(-5*34.88))))-(-5/-5)))))</f>
        <v>209831.96256</v>
      </c>
      <c r="C13489" t="n" s="0">
        <v>209831.96256000004</v>
      </c>
    </row>
    <row r="13490">
      <c r="A13490" t="n" s="0">
        <v>34.89</v>
      </c>
      <c r="B13490" t="n" s="0">
        <f>(-5-((((-5*(-5/((-5/(((-5*(34.89--5))-(-5+((-5*34.89)*(((-5--5)+(34.89--5))+34.89))))-(-5+-5)))*-5)))/-5)--5)+(-5*(((34.89*(34.89-(-5/-5)))*(34.89-(34.89/(-5*34.89))))-(-5/-5)))))</f>
        <v>210013.141645</v>
      </c>
      <c r="C13490" t="n" s="0">
        <v>210013.14164500003</v>
      </c>
    </row>
    <row r="13491">
      <c r="A13491" t="n" s="0">
        <v>34.9</v>
      </c>
      <c r="B13491" t="n" s="0">
        <f>(-5-((((-5*(-5/((-5/(((-5*(34.9--5))-(-5+((-5*34.9)*(((-5--5)+(34.9--5))+34.9))))-(-5+-5)))*-5)))/-5)--5)+(-5*(((34.9*(34.9-(-5/-5)))*(34.9-(34.9/(-5*34.9))))-(-5/-5)))))</f>
        <v>210194.425</v>
      </c>
      <c r="C13491" t="n" s="0">
        <v>210194.425</v>
      </c>
    </row>
    <row r="13492">
      <c r="A13492" t="n" s="0">
        <v>34.91</v>
      </c>
      <c r="B13492" t="n" s="0">
        <f>(-5-((((-5*(-5/((-5/(((-5*(34.91--5))-(-5+((-5*34.91)*(((-5--5)+(34.91--5))+34.91))))-(-5+-5)))*-5)))/-5)--5)+(-5*(((34.91*(34.91-(-5/-5)))*(34.91-(34.91/(-5*34.91))))-(-5/-5)))))</f>
        <v>210375.812655</v>
      </c>
      <c r="C13492" t="n" s="0">
        <v>210375.81265499993</v>
      </c>
    </row>
    <row r="13493">
      <c r="A13493" t="n" s="0">
        <v>34.92</v>
      </c>
      <c r="B13493" t="n" s="0">
        <f>(-5-((((-5*(-5/((-5/(((-5*(34.92--5))-(-5+((-5*34.92)*(((-5--5)+(34.92--5))+34.92))))-(-5+-5)))*-5)))/-5)--5)+(-5*(((34.92*(34.92-(-5/-5)))*(34.92-(34.92/(-5*34.92))))-(-5/-5)))))</f>
        <v>210557.30464000002</v>
      </c>
      <c r="C13493" t="n" s="0">
        <v>210557.30464000005</v>
      </c>
    </row>
    <row r="13494">
      <c r="A13494" t="n" s="0">
        <v>34.93</v>
      </c>
      <c r="B13494" t="n" s="0">
        <f>(-5-((((-5*(-5/((-5/(((-5*(34.93--5))-(-5+((-5*34.93)*(((-5--5)+(34.93--5))+34.93))))-(-5+-5)))*-5)))/-5)--5)+(-5*(((34.93*(34.93-(-5/-5)))*(34.93-(34.93/(-5*34.93))))-(-5/-5)))))</f>
        <v>210738.90098500001</v>
      </c>
      <c r="C13494" t="n" s="0">
        <v>210738.900985</v>
      </c>
    </row>
    <row r="13495">
      <c r="A13495" t="n" s="0">
        <v>34.94</v>
      </c>
      <c r="B13495" t="n" s="0">
        <f>(-5-((((-5*(-5/((-5/(((-5*(34.94--5))-(-5+((-5*34.94)*(((-5--5)+(34.94--5))+34.94))))-(-5+-5)))*-5)))/-5)--5)+(-5*(((34.94*(34.94-(-5/-5)))*(34.94-(34.94/(-5*34.94))))-(-5/-5)))))</f>
        <v>210920.60172</v>
      </c>
      <c r="C13495" t="n" s="0">
        <v>210920.60171999995</v>
      </c>
    </row>
    <row r="13496">
      <c r="A13496" t="n" s="0">
        <v>34.95</v>
      </c>
      <c r="B13496" t="n" s="0">
        <f>(-5-((((-5*(-5/((-5/(((-5*(34.95--5))-(-5+((-5*34.95)*(((-5--5)+(34.95--5))+34.95))))-(-5+-5)))*-5)))/-5)--5)+(-5*(((34.95*(34.95-(-5/-5)))*(34.95-(34.95/(-5*34.95))))-(-5/-5)))))</f>
        <v>211102.406875</v>
      </c>
      <c r="C13496" t="n" s="0">
        <v>211102.40687500007</v>
      </c>
    </row>
    <row r="13497">
      <c r="A13497" t="n" s="0">
        <v>34.96</v>
      </c>
      <c r="B13497" t="n" s="0">
        <f>(-5-((((-5*(-5/((-5/(((-5*(34.96--5))-(-5+((-5*34.96)*(((-5--5)+(34.96--5))+34.96))))-(-5+-5)))*-5)))/-5)--5)+(-5*(((34.96*(34.96-(-5/-5)))*(34.96-(34.96/(-5*34.96))))-(-5/-5)))))</f>
        <v>211284.31648</v>
      </c>
      <c r="C13497" t="n" s="0">
        <v>211284.31648000004</v>
      </c>
    </row>
    <row r="13498">
      <c r="A13498" t="n" s="0">
        <v>34.97</v>
      </c>
      <c r="B13498" t="n" s="0">
        <f>(-5-((((-5*(-5/((-5/(((-5*(34.97--5))-(-5+((-5*34.97)*(((-5--5)+(34.97--5))+34.97))))-(-5+-5)))*-5)))/-5)--5)+(-5*(((34.97*(34.97-(-5/-5)))*(34.97-(34.97/(-5*34.97))))-(-5/-5)))))</f>
        <v>211466.33056499998</v>
      </c>
      <c r="C13498" t="n" s="0">
        <v>211466.330565</v>
      </c>
    </row>
    <row r="13499">
      <c r="A13499" t="n" s="0">
        <v>34.98</v>
      </c>
      <c r="B13499" t="n" s="0">
        <f>(-5-((((-5*(-5/((-5/(((-5*(34.98--5))-(-5+((-5*34.98)*(((-5--5)+(34.98--5))+34.98))))-(-5+-5)))*-5)))/-5)--5)+(-5*(((34.98*(34.98-(-5/-5)))*(34.98-(34.98/(-5*34.98))))-(-5/-5)))))</f>
        <v>211648.44916000002</v>
      </c>
      <c r="C13499" t="n" s="0">
        <v>211648.44915999996</v>
      </c>
    </row>
    <row r="13500">
      <c r="A13500" t="n" s="0">
        <v>34.99</v>
      </c>
      <c r="B13500" t="n" s="0">
        <f>(-5-((((-5*(-5/((-5/(((-5*(34.99--5))-(-5+((-5*34.99)*(((-5--5)+(34.99--5))+34.99))))-(-5+-5)))*-5)))/-5)--5)+(-5*(((34.99*(34.99-(-5/-5)))*(34.99-(34.99/(-5*34.99))))-(-5/-5)))))</f>
        <v>211830.672295</v>
      </c>
      <c r="C13500" t="n" s="0">
        <v>211830.67229500008</v>
      </c>
    </row>
    <row r="13501">
      <c r="A13501" t="n" s="0">
        <v>35.0</v>
      </c>
      <c r="B13501" t="n" s="0">
        <f>(-5-((((-5*(-5/((-5/(((-5*(35--5))-(-5+((-5*35)*(((-5--5)+(35--5))+35))))-(-5+-5)))*-5)))/-5)--5)+(-5*(((35*(35-(-5/-5)))*(35-(35/(-5*35))))-(-5/-5)))))</f>
        <v>212013.0</v>
      </c>
      <c r="C13501" t="n" s="0">
        <v>212013.0</v>
      </c>
    </row>
    <row r="13502">
      <c r="A13502" t="n" s="0">
        <v>35.01</v>
      </c>
      <c r="B13502" t="n" s="0">
        <f>(-5-((((-5*(-5/((-5/(((-5*(35.01--5))-(-5+((-5*35.01)*(((-5--5)+(35.01--5))+35.01))))-(-5+-5)))*-5)))/-5)--5)+(-5*(((35.01*(35.01-(-5/-5)))*(35.01-(35.01/(-5*35.01))))-(-5/-5)))))</f>
        <v>212195.43230500002</v>
      </c>
      <c r="C13502" t="n" s="0">
        <v>212195.43230499994</v>
      </c>
    </row>
    <row r="13503">
      <c r="A13503" t="n" s="0">
        <v>35.02</v>
      </c>
      <c r="B13503" t="n" s="0">
        <f>(-5-((((-5*(-5/((-5/(((-5*(35.02--5))-(-5+((-5*35.02)*(((-5--5)+(35.02--5))+35.02))))-(-5+-5)))*-5)))/-5)--5)+(-5*(((35.02*(35.02-(-5/-5)))*(35.02-(35.02/(-5*35.02))))-(-5/-5)))))</f>
        <v>212377.96924</v>
      </c>
      <c r="C13503" t="n" s="0">
        <v>212377.96924000006</v>
      </c>
    </row>
    <row r="13504">
      <c r="A13504" t="n" s="0">
        <v>35.03</v>
      </c>
      <c r="B13504" t="n" s="0">
        <f>(-5-((((-5*(-5/((-5/(((-5*(35.03--5))-(-5+((-5*35.03)*(((-5--5)+(35.03--5))+35.03))))-(-5+-5)))*-5)))/-5)--5)+(-5*(((35.03*(35.03-(-5/-5)))*(35.03-(35.03/(-5*35.03))))-(-5/-5)))))</f>
        <v>212560.610835</v>
      </c>
      <c r="C13504" t="n" s="0">
        <v>212560.610835</v>
      </c>
    </row>
    <row r="13505">
      <c r="A13505" t="n" s="0">
        <v>35.04</v>
      </c>
      <c r="B13505" t="n" s="0">
        <f>(-5-((((-5*(-5/((-5/(((-5*(35.04--5))-(-5+((-5*35.04)*(((-5--5)+(35.04--5))+35.04))))-(-5+-5)))*-5)))/-5)--5)+(-5*(((35.04*(35.04-(-5/-5)))*(35.04-(35.04/(-5*35.04))))-(-5/-5)))))</f>
        <v>212743.35712</v>
      </c>
      <c r="C13505" t="n" s="0">
        <v>212743.35711999997</v>
      </c>
    </row>
    <row r="13506">
      <c r="A13506" t="n" s="0">
        <v>35.05</v>
      </c>
      <c r="B13506" t="n" s="0">
        <f>(-5-((((-5*(-5/((-5/(((-5*(35.05--5))-(-5+((-5*35.05)*(((-5--5)+(35.05--5))+35.05))))-(-5+-5)))*-5)))/-5)--5)+(-5*(((35.05*(35.05-(-5/-5)))*(35.05-(35.05/(-5*35.05))))-(-5/-5)))))</f>
        <v>212926.20812499998</v>
      </c>
      <c r="C13506" t="n" s="0">
        <v>212926.20812499992</v>
      </c>
    </row>
    <row r="13507">
      <c r="A13507" t="n" s="0">
        <v>35.06</v>
      </c>
      <c r="B13507" t="n" s="0">
        <f>(-5-((((-5*(-5/((-5/(((-5*(35.06--5))-(-5+((-5*35.06)*(((-5--5)+(35.06--5))+35.06))))-(-5+-5)))*-5)))/-5)--5)+(-5*(((35.06*(35.06-(-5/-5)))*(35.06-(35.06/(-5*35.06))))-(-5/-5)))))</f>
        <v>213109.16388</v>
      </c>
      <c r="C13507" t="n" s="0">
        <v>213109.16388000007</v>
      </c>
    </row>
    <row r="13508">
      <c r="A13508" t="n" s="0">
        <v>35.07</v>
      </c>
      <c r="B13508" t="n" s="0">
        <f>(-5-((((-5*(-5/((-5/(((-5*(35.07--5))-(-5+((-5*35.07)*(((-5--5)+(35.07--5))+35.07))))-(-5+-5)))*-5)))/-5)--5)+(-5*(((35.07*(35.07-(-5/-5)))*(35.07-(35.07/(-5*35.07))))-(-5/-5)))))</f>
        <v>213292.22441499998</v>
      </c>
      <c r="C13508" t="n" s="0">
        <v>213292.22441500003</v>
      </c>
    </row>
    <row r="13509">
      <c r="A13509" t="n" s="0">
        <v>35.08</v>
      </c>
      <c r="B13509" t="n" s="0">
        <f>(-5-((((-5*(-5/((-5/(((-5*(35.08--5))-(-5+((-5*35.08)*(((-5--5)+(35.08--5))+35.08))))-(-5+-5)))*-5)))/-5)--5)+(-5*(((35.08*(35.08-(-5/-5)))*(35.08-(35.08/(-5*35.08))))-(-5/-5)))))</f>
        <v>213475.38976</v>
      </c>
      <c r="C13509" t="n" s="0">
        <v>213475.38975999993</v>
      </c>
    </row>
    <row r="13510">
      <c r="A13510" t="n" s="0">
        <v>35.09</v>
      </c>
      <c r="B13510" t="n" s="0">
        <f>(-5-((((-5*(-5/((-5/(((-5*(35.09--5))-(-5+((-5*35.09)*(((-5--5)+(35.09--5))+35.09))))-(-5+-5)))*-5)))/-5)--5)+(-5*(((35.09*(35.09-(-5/-5)))*(35.09-(35.09/(-5*35.09))))-(-5/-5)))))</f>
        <v>213658.659945</v>
      </c>
      <c r="C13510" t="n" s="0">
        <v>213658.65994500008</v>
      </c>
    </row>
    <row r="13511">
      <c r="A13511" t="n" s="0">
        <v>35.1</v>
      </c>
      <c r="B13511" t="n" s="0">
        <f>(-5-((((-5*(-5/((-5/(((-5*(35.1--5))-(-5+((-5*35.1)*(((-5--5)+(35.1--5))+35.1))))-(-5+-5)))*-5)))/-5)--5)+(-5*(((35.1*(35.1-(-5/-5)))*(35.1-(35.1/(-5*35.1))))-(-5/-5)))))</f>
        <v>213842.035</v>
      </c>
      <c r="C13511" t="n" s="0">
        <v>213842.03500000003</v>
      </c>
    </row>
    <row r="13512">
      <c r="A13512" t="n" s="0">
        <v>35.11</v>
      </c>
      <c r="B13512" t="n" s="0">
        <f>(-5-((((-5*(-5/((-5/(((-5*(35.11--5))-(-5+((-5*35.11)*(((-5--5)+(35.11--5))+35.11))))-(-5+-5)))*-5)))/-5)--5)+(-5*(((35.11*(35.11-(-5/-5)))*(35.11-(35.11/(-5*35.11))))-(-5/-5)))))</f>
        <v>214025.51495500002</v>
      </c>
      <c r="C13512" t="n" s="0">
        <v>214025.51495499996</v>
      </c>
    </row>
    <row r="13513">
      <c r="A13513" t="n" s="0">
        <v>35.12</v>
      </c>
      <c r="B13513" t="n" s="0">
        <f>(-5-((((-5*(-5/((-5/(((-5*(35.12--5))-(-5+((-5*35.12)*(((-5--5)+(35.12--5))+35.12))))-(-5+-5)))*-5)))/-5)--5)+(-5*(((35.12*(35.12-(-5/-5)))*(35.12-(35.12/(-5*35.12))))-(-5/-5)))))</f>
        <v>214209.09984</v>
      </c>
      <c r="C13513" t="n" s="0">
        <v>214209.09983999995</v>
      </c>
    </row>
    <row r="13514">
      <c r="A13514" t="n" s="0">
        <v>35.13</v>
      </c>
      <c r="B13514" t="n" s="0">
        <f>(-5-((((-5*(-5/((-5/(((-5*(35.13--5))-(-5+((-5*35.13)*(((-5--5)+(35.13--5))+35.13))))-(-5+-5)))*-5)))/-5)--5)+(-5*(((35.13*(35.13-(-5/-5)))*(35.13-(35.13/(-5*35.13))))-(-5/-5)))))</f>
        <v>214392.789685</v>
      </c>
      <c r="C13514" t="n" s="0">
        <v>214392.78968500008</v>
      </c>
    </row>
    <row r="13515">
      <c r="A13515" t="n" s="0">
        <v>35.14</v>
      </c>
      <c r="B13515" t="n" s="0">
        <f>(-5-((((-5*(-5/((-5/(((-5*(35.14--5))-(-5+((-5*35.14)*(((-5--5)+(35.14--5))+35.14))))-(-5+-5)))*-5)))/-5)--5)+(-5*(((35.14*(35.14-(-5/-5)))*(35.14-(35.14/(-5*35.14))))-(-5/-5)))))</f>
        <v>214576.58452</v>
      </c>
      <c r="C13515" t="n" s="0">
        <v>214576.58452000003</v>
      </c>
    </row>
    <row r="13516">
      <c r="A13516" t="n" s="0">
        <v>35.15</v>
      </c>
      <c r="B13516" t="n" s="0">
        <f>(-5-((((-5*(-5/((-5/(((-5*(35.15--5))-(-5+((-5*35.15)*(((-5--5)+(35.15--5))+35.15))))-(-5+-5)))*-5)))/-5)--5)+(-5*(((35.15*(35.15-(-5/-5)))*(35.15-(35.15/(-5*35.15))))-(-5/-5)))))</f>
        <v>214760.484375</v>
      </c>
      <c r="C13516" t="n" s="0">
        <v>214760.48437499997</v>
      </c>
    </row>
    <row r="13517">
      <c r="A13517" t="n" s="0">
        <v>35.16</v>
      </c>
      <c r="B13517" t="n" s="0">
        <f>(-5-((((-5*(-5/((-5/(((-5*(35.16--5))-(-5+((-5*35.16)*(((-5--5)+(35.16--5))+35.16))))-(-5+-5)))*-5)))/-5)--5)+(-5*(((35.16*(35.16-(-5/-5)))*(35.16-(35.16/(-5*35.16))))-(-5/-5)))))</f>
        <v>214944.48928</v>
      </c>
      <c r="C13517" t="n" s="0">
        <v>214944.48927999992</v>
      </c>
    </row>
    <row r="13518">
      <c r="A13518" t="n" s="0">
        <v>35.17</v>
      </c>
      <c r="B13518" t="n" s="0">
        <f>(-5-((((-5*(-5/((-5/(((-5*(35.17--5))-(-5+((-5*35.17)*(((-5--5)+(35.17--5))+35.17))))-(-5+-5)))*-5)))/-5)--5)+(-5*(((35.17*(35.17-(-5/-5)))*(35.17-(35.17/(-5*35.17))))-(-5/-5)))))</f>
        <v>215128.599265</v>
      </c>
      <c r="C13518" t="n" s="0">
        <v>215128.59926500003</v>
      </c>
    </row>
    <row r="13519">
      <c r="A13519" t="n" s="0">
        <v>35.18</v>
      </c>
      <c r="B13519" t="n" s="0">
        <f>(-5-((((-5*(-5/((-5/(((-5*(35.18--5))-(-5+((-5*35.18)*(((-5--5)+(35.18--5))+35.18))))-(-5+-5)))*-5)))/-5)--5)+(-5*(((35.18*(35.18-(-5/-5)))*(35.18-(35.18/(-5*35.18))))-(-5/-5)))))</f>
        <v>215312.81436000002</v>
      </c>
      <c r="C13519" t="n" s="0">
        <v>215312.81436</v>
      </c>
    </row>
    <row r="13520">
      <c r="A13520" t="n" s="0">
        <v>35.19</v>
      </c>
      <c r="B13520" t="n" s="0">
        <f>(-5-((((-5*(-5/((-5/(((-5*(35.19--5))-(-5+((-5*35.19)*(((-5--5)+(35.19--5))+35.19))))-(-5+-5)))*-5)))/-5)--5)+(-5*(((35.19*(35.19-(-5/-5)))*(35.19-(35.19/(-5*35.19))))-(-5/-5)))))</f>
        <v>215497.134595</v>
      </c>
      <c r="C13520" t="n" s="0">
        <v>215497.13459499995</v>
      </c>
    </row>
    <row r="13521">
      <c r="A13521" t="n" s="0">
        <v>35.2</v>
      </c>
      <c r="B13521" t="n" s="0">
        <f>(-5-((((-5*(-5/((-5/(((-5*(35.2--5))-(-5+((-5*35.2)*(((-5--5)+(35.2--5))+35.2))))-(-5+-5)))*-5)))/-5)--5)+(-5*(((35.2*(35.2-(-5/-5)))*(35.2-(35.2/(-5*35.2))))-(-5/-5)))))</f>
        <v>215681.56</v>
      </c>
      <c r="C13521" t="n" s="0">
        <v>215681.56000000008</v>
      </c>
    </row>
    <row r="13522">
      <c r="A13522" t="n" s="0">
        <v>35.21</v>
      </c>
      <c r="B13522" t="n" s="0">
        <f>(-5-((((-5*(-5/((-5/(((-5*(35.21--5))-(-5+((-5*35.21)*(((-5--5)+(35.21--5))+35.21))))-(-5+-5)))*-5)))/-5)--5)+(-5*(((35.21*(35.21-(-5/-5)))*(35.21-(35.21/(-5*35.21))))-(-5/-5)))))</f>
        <v>215866.09060499998</v>
      </c>
      <c r="C13522" t="n" s="0">
        <v>215866.09060500003</v>
      </c>
    </row>
    <row r="13523">
      <c r="A13523" t="n" s="0">
        <v>35.22</v>
      </c>
      <c r="B13523" t="n" s="0">
        <f>(-5-((((-5*(-5/((-5/(((-5*(35.22--5))-(-5+((-5*35.22)*(((-5--5)+(35.22--5))+35.22))))-(-5+-5)))*-5)))/-5)--5)+(-5*(((35.22*(35.22-(-5/-5)))*(35.22-(35.22/(-5*35.22))))-(-5/-5)))))</f>
        <v>216050.72644</v>
      </c>
      <c r="C13523" t="n" s="0">
        <v>216050.72644</v>
      </c>
    </row>
    <row r="13524">
      <c r="A13524" t="n" s="0">
        <v>35.23</v>
      </c>
      <c r="B13524" t="n" s="0">
        <f>(-5-((((-5*(-5/((-5/(((-5*(35.23--5))-(-5+((-5*35.23)*(((-5--5)+(35.23--5))+35.23))))-(-5+-5)))*-5)))/-5)--5)+(-5*(((35.23*(35.23-(-5/-5)))*(35.23-(35.23/(-5*35.23))))-(-5/-5)))))</f>
        <v>216235.467535</v>
      </c>
      <c r="C13524" t="n" s="0">
        <v>216235.46753499997</v>
      </c>
    </row>
    <row r="13525">
      <c r="A13525" t="n" s="0">
        <v>35.24</v>
      </c>
      <c r="B13525" t="n" s="0">
        <f>(-5-((((-5*(-5/((-5/(((-5*(35.24--5))-(-5+((-5*35.24)*(((-5--5)+(35.24--5))+35.24))))-(-5+-5)))*-5)))/-5)--5)+(-5*(((35.24*(35.24-(-5/-5)))*(35.24-(35.24/(-5*35.24))))-(-5/-5)))))</f>
        <v>216420.31392</v>
      </c>
      <c r="C13525" t="n" s="0">
        <v>216420.31392000002</v>
      </c>
    </row>
    <row r="13526">
      <c r="A13526" t="n" s="0">
        <v>35.25</v>
      </c>
      <c r="B13526" t="n" s="0">
        <f>(-5-((((-5*(-5/((-5/(((-5*(35.25--5))-(-5+((-5*35.25)*(((-5--5)+(35.25--5))+35.25))))-(-5+-5)))*-5)))/-5)--5)+(-5*(((35.25*(35.25-(-5/-5)))*(35.25-(35.25/(-5*35.25))))-(-5/-5)))))</f>
        <v>216605.265625</v>
      </c>
      <c r="C13526" t="n" s="0">
        <v>216605.265625</v>
      </c>
    </row>
    <row r="13527">
      <c r="A13527" t="n" s="0">
        <v>35.26</v>
      </c>
      <c r="B13527" t="n" s="0">
        <f>(-5-((((-5*(-5/((-5/(((-5*(35.26--5))-(-5+((-5*35.26)*(((-5--5)+(35.26--5))+35.26))))-(-5+-5)))*-5)))/-5)--5)+(-5*(((35.26*(35.26-(-5/-5)))*(35.26-(35.26/(-5*35.26))))-(-5/-5)))))</f>
        <v>216790.32267999998</v>
      </c>
      <c r="C13527" t="n" s="0">
        <v>216790.32267999992</v>
      </c>
    </row>
    <row r="13528">
      <c r="A13528" t="n" s="0">
        <v>35.27</v>
      </c>
      <c r="B13528" t="n" s="0">
        <f>(-5-((((-5*(-5/((-5/(((-5*(35.27--5))-(-5+((-5*35.27)*(((-5--5)+(35.27--5))+35.27))))-(-5+-5)))*-5)))/-5)--5)+(-5*(((35.27*(35.27-(-5/-5)))*(35.27-(35.27/(-5*35.27))))-(-5/-5)))))</f>
        <v>216975.485115</v>
      </c>
      <c r="C13528" t="n" s="0">
        <v>216975.48511500005</v>
      </c>
    </row>
    <row r="13529">
      <c r="A13529" t="n" s="0">
        <v>35.28</v>
      </c>
      <c r="B13529" t="n" s="0">
        <f>(-5-((((-5*(-5/((-5/(((-5*(35.28--5))-(-5+((-5*35.28)*(((-5--5)+(35.28--5))+35.28))))-(-5+-5)))*-5)))/-5)--5)+(-5*(((35.28*(35.28-(-5/-5)))*(35.28-(35.28/(-5*35.28))))-(-5/-5)))))</f>
        <v>217160.75296</v>
      </c>
      <c r="C13529" t="n" s="0">
        <v>217160.75296</v>
      </c>
    </row>
    <row r="13530">
      <c r="A13530" t="n" s="0">
        <v>35.29</v>
      </c>
      <c r="B13530" t="n" s="0">
        <f>(-5-((((-5*(-5/((-5/(((-5*(35.29--5))-(-5+((-5*35.29)*(((-5--5)+(35.29--5))+35.29))))-(-5+-5)))*-5)))/-5)--5)+(-5*(((35.29*(35.29-(-5/-5)))*(35.29-(35.29/(-5*35.29))))-(-5/-5)))))</f>
        <v>217346.12624500002</v>
      </c>
      <c r="C13530" t="n" s="0">
        <v>217346.126245</v>
      </c>
    </row>
    <row r="13531">
      <c r="A13531" t="n" s="0">
        <v>35.3</v>
      </c>
      <c r="B13531" t="n" s="0">
        <f>(-5-((((-5*(-5/((-5/(((-5*(35.3--5))-(-5+((-5*35.3)*(((-5--5)+(35.3--5))+35.3))))-(-5+-5)))*-5)))/-5)--5)+(-5*(((35.3*(35.3-(-5/-5)))*(35.3-(35.3/(-5*35.3))))-(-5/-5)))))</f>
        <v>217531.60500000004</v>
      </c>
      <c r="C13531" t="n" s="0">
        <v>217531.60499999995</v>
      </c>
    </row>
    <row r="13532">
      <c r="A13532" t="n" s="0">
        <v>35.31</v>
      </c>
      <c r="B13532" t="n" s="0">
        <f>(-5-((((-5*(-5/((-5/(((-5*(35.31--5))-(-5+((-5*35.31)*(((-5--5)+(35.31--5))+35.31))))-(-5+-5)))*-5)))/-5)--5)+(-5*(((35.31*(35.31-(-5/-5)))*(35.31-(35.31/(-5*35.31))))-(-5/-5)))))</f>
        <v>217717.189255</v>
      </c>
      <c r="C13532" t="n" s="0">
        <v>217717.189255</v>
      </c>
    </row>
    <row r="13533">
      <c r="A13533" t="n" s="0">
        <v>35.32</v>
      </c>
      <c r="B13533" t="n" s="0">
        <f>(-5-((((-5*(-5/((-5/(((-5*(35.32--5))-(-5+((-5*35.32)*(((-5--5)+(35.32--5))+35.32))))-(-5+-5)))*-5)))/-5)--5)+(-5*(((35.32*(35.32-(-5/-5)))*(35.32-(35.32/(-5*35.32))))-(-5/-5)))))</f>
        <v>217902.87904</v>
      </c>
      <c r="C13533" t="n" s="0">
        <v>217902.87904</v>
      </c>
    </row>
    <row r="13534">
      <c r="A13534" t="n" s="0">
        <v>35.33</v>
      </c>
      <c r="B13534" t="n" s="0">
        <f>(-5-((((-5*(-5/((-5/(((-5*(35.33--5))-(-5+((-5*35.33)*(((-5--5)+(35.33--5))+35.33))))-(-5+-5)))*-5)))/-5)--5)+(-5*(((35.33*(35.33-(-5/-5)))*(35.33-(35.33/(-5*35.33))))-(-5/-5)))))</f>
        <v>218088.674385</v>
      </c>
      <c r="C13534" t="n" s="0">
        <v>218088.67438499996</v>
      </c>
    </row>
    <row r="13535">
      <c r="A13535" t="n" s="0">
        <v>35.34</v>
      </c>
      <c r="B13535" t="n" s="0">
        <f>(-5-((((-5*(-5/((-5/(((-5*(35.34--5))-(-5+((-5*35.34)*(((-5--5)+(35.34--5))+35.34))))-(-5+-5)))*-5)))/-5)--5)+(-5*(((35.34*(35.34-(-5/-5)))*(35.34-(35.34/(-5*35.34))))-(-5/-5)))))</f>
        <v>218274.57532</v>
      </c>
      <c r="C13535" t="n" s="0">
        <v>218274.57532000003</v>
      </c>
    </row>
    <row r="13536">
      <c r="A13536" t="n" s="0">
        <v>35.35</v>
      </c>
      <c r="B13536" t="n" s="0">
        <f>(-5-((((-5*(-5/((-5/(((-5*(35.35--5))-(-5+((-5*35.35)*(((-5--5)+(35.35--5))+35.35))))-(-5+-5)))*-5)))/-5)--5)+(-5*(((35.35*(35.35-(-5/-5)))*(35.35-(35.35/(-5*35.35))))-(-5/-5)))))</f>
        <v>218460.581875</v>
      </c>
      <c r="C13536" t="n" s="0">
        <v>218460.581875</v>
      </c>
    </row>
    <row r="13537">
      <c r="A13537" t="n" s="0">
        <v>35.36</v>
      </c>
      <c r="B13537" t="n" s="0">
        <f>(-5-((((-5*(-5/((-5/(((-5*(35.36--5))-(-5+((-5*35.36)*(((-5--5)+(35.36--5))+35.36))))-(-5+-5)))*-5)))/-5)--5)+(-5*(((35.36*(35.36-(-5/-5)))*(35.36-(35.36/(-5*35.36))))-(-5/-5)))))</f>
        <v>218646.69408</v>
      </c>
      <c r="C13537" t="n" s="0">
        <v>218646.69408</v>
      </c>
    </row>
    <row r="13538">
      <c r="A13538" t="n" s="0">
        <v>35.37</v>
      </c>
      <c r="B13538" t="n" s="0">
        <f>(-5-((((-5*(-5/((-5/(((-5*(35.37--5))-(-5+((-5*35.37)*(((-5--5)+(35.37--5))+35.37))))-(-5+-5)))*-5)))/-5)--5)+(-5*(((35.37*(35.37-(-5/-5)))*(35.37-(35.37/(-5*35.37))))-(-5/-5)))))</f>
        <v>218832.911965</v>
      </c>
      <c r="C13538" t="n" s="0">
        <v>218832.91196499992</v>
      </c>
    </row>
    <row r="13539">
      <c r="A13539" t="n" s="0">
        <v>35.38</v>
      </c>
      <c r="B13539" t="n" s="0">
        <f>(-5-((((-5*(-5/((-5/(((-5*(35.38--5))-(-5+((-5*35.38)*(((-5--5)+(35.38--5))+35.38))))-(-5+-5)))*-5)))/-5)--5)+(-5*(((35.38*(35.38-(-5/-5)))*(35.38-(35.38/(-5*35.38))))-(-5/-5)))))</f>
        <v>219019.23556</v>
      </c>
      <c r="C13539" t="n" s="0">
        <v>219019.2355600001</v>
      </c>
    </row>
    <row r="13540">
      <c r="A13540" t="n" s="0">
        <v>35.39</v>
      </c>
      <c r="B13540" t="n" s="0">
        <f>(-5-((((-5*(-5/((-5/(((-5*(35.39--5))-(-5+((-5*35.39)*(((-5--5)+(35.39--5))+35.39))))-(-5+-5)))*-5)))/-5)--5)+(-5*(((35.39*(35.39-(-5/-5)))*(35.39-(35.39/(-5*35.39))))-(-5/-5)))))</f>
        <v>219205.664895</v>
      </c>
      <c r="C13540" t="n" s="0">
        <v>219205.66489500002</v>
      </c>
    </row>
    <row r="13541">
      <c r="A13541" t="n" s="0">
        <v>35.4</v>
      </c>
      <c r="B13541" t="n" s="0">
        <f>(-5-((((-5*(-5/((-5/(((-5*(35.4--5))-(-5+((-5*35.4)*(((-5--5)+(35.4--5))+35.4))))-(-5+-5)))*-5)))/-5)--5)+(-5*(((35.4*(35.4-(-5/-5)))*(35.4-(35.4/(-5*35.4))))-(-5/-5)))))</f>
        <v>219392.2</v>
      </c>
      <c r="C13541" t="n" s="0">
        <v>219392.19999999998</v>
      </c>
    </row>
    <row r="13542">
      <c r="A13542" t="n" s="0">
        <v>35.41</v>
      </c>
      <c r="B13542" t="n" s="0">
        <f>(-5-((((-5*(-5/((-5/(((-5*(35.41--5))-(-5+((-5*35.41)*(((-5--5)+(35.41--5))+35.41))))-(-5+-5)))*-5)))/-5)--5)+(-5*(((35.41*(35.41-(-5/-5)))*(35.41-(35.41/(-5*35.41))))-(-5/-5)))))</f>
        <v>219578.84090500002</v>
      </c>
      <c r="C13542" t="n" s="0">
        <v>219578.84090499996</v>
      </c>
    </row>
    <row r="13543">
      <c r="A13543" t="n" s="0">
        <v>35.42</v>
      </c>
      <c r="B13543" t="n" s="0">
        <f>(-5-((((-5*(-5/((-5/(((-5*(35.42--5))-(-5+((-5*35.42)*(((-5--5)+(35.42--5))+35.42))))-(-5+-5)))*-5)))/-5)--5)+(-5*(((35.42*(35.42-(-5/-5)))*(35.42-(35.42/(-5*35.42))))-(-5/-5)))))</f>
        <v>219765.58763999998</v>
      </c>
      <c r="C13543" t="n" s="0">
        <v>219765.58764</v>
      </c>
    </row>
    <row r="13544">
      <c r="A13544" t="n" s="0">
        <v>35.43</v>
      </c>
      <c r="B13544" t="n" s="0">
        <f>(-5-((((-5*(-5/((-5/(((-5*(35.43--5))-(-5+((-5*35.43)*(((-5--5)+(35.43--5))+35.43))))-(-5+-5)))*-5)))/-5)--5)+(-5*(((35.43*(35.43-(-5/-5)))*(35.43-(35.43/(-5*35.43))))-(-5/-5)))))</f>
        <v>219952.440235</v>
      </c>
      <c r="C13544" t="n" s="0">
        <v>219952.44023500002</v>
      </c>
    </row>
    <row r="13545">
      <c r="A13545" t="n" s="0">
        <v>35.44</v>
      </c>
      <c r="B13545" t="n" s="0">
        <f>(-5-((((-5*(-5/((-5/(((-5*(35.44--5))-(-5+((-5*35.44)*(((-5--5)+(35.44--5))+35.44))))-(-5+-5)))*-5)))/-5)--5)+(-5*(((35.44*(35.44-(-5/-5)))*(35.44-(35.44/(-5*35.44))))-(-5/-5)))))</f>
        <v>220139.39872000003</v>
      </c>
      <c r="C13545" t="n" s="0">
        <v>220139.39871999997</v>
      </c>
    </row>
    <row r="13546">
      <c r="A13546" t="n" s="0">
        <v>35.45</v>
      </c>
      <c r="B13546" t="n" s="0">
        <f>(-5-((((-5*(-5/((-5/(((-5*(35.45--5))-(-5+((-5*35.45)*(((-5--5)+(35.45--5))+35.45))))-(-5+-5)))*-5)))/-5)--5)+(-5*(((35.45*(35.45-(-5/-5)))*(35.45-(35.45/(-5*35.45))))-(-5/-5)))))</f>
        <v>220326.46312499998</v>
      </c>
      <c r="C13546" t="n" s="0">
        <v>220326.46312500007</v>
      </c>
    </row>
    <row r="13547">
      <c r="A13547" t="n" s="0">
        <v>35.46</v>
      </c>
      <c r="B13547" t="n" s="0">
        <f>(-5-((((-5*(-5/((-5/(((-5*(35.46--5))-(-5+((-5*35.46)*(((-5--5)+(35.46--5))+35.46))))-(-5+-5)))*-5)))/-5)--5)+(-5*(((35.46*(35.46-(-5/-5)))*(35.46-(35.46/(-5*35.46))))-(-5/-5)))))</f>
        <v>220513.63348000002</v>
      </c>
      <c r="C13547" t="n" s="0">
        <v>220513.63348</v>
      </c>
    </row>
    <row r="13548">
      <c r="A13548" t="n" s="0">
        <v>35.47</v>
      </c>
      <c r="B13548" t="n" s="0">
        <f>(-5-((((-5*(-5/((-5/(((-5*(35.47--5))-(-5+((-5*35.47)*(((-5--5)+(35.47--5))+35.47))))-(-5+-5)))*-5)))/-5)--5)+(-5*(((35.47*(35.47-(-5/-5)))*(35.47-(35.47/(-5*35.47))))-(-5/-5)))))</f>
        <v>220700.909815</v>
      </c>
      <c r="C13548" t="n" s="0">
        <v>220700.909815</v>
      </c>
    </row>
    <row r="13549">
      <c r="A13549" t="n" s="0">
        <v>35.48</v>
      </c>
      <c r="B13549" t="n" s="0">
        <f>(-5-((((-5*(-5/((-5/(((-5*(35.48--5))-(-5+((-5*35.48)*(((-5--5)+(35.48--5))+35.48))))-(-5+-5)))*-5)))/-5)--5)+(-5*(((35.48*(35.48-(-5/-5)))*(35.48-(35.48/(-5*35.48))))-(-5/-5)))))</f>
        <v>220888.29215999998</v>
      </c>
      <c r="C13549" t="n" s="0">
        <v>220888.29215999992</v>
      </c>
    </row>
    <row r="13550">
      <c r="A13550" t="n" s="0">
        <v>35.49</v>
      </c>
      <c r="B13550" t="n" s="0">
        <f>(-5-((((-5*(-5/((-5/(((-5*(35.49--5))-(-5+((-5*35.49)*(((-5--5)+(35.49--5))+35.49))))-(-5+-5)))*-5)))/-5)--5)+(-5*(((35.49*(35.49-(-5/-5)))*(35.49-(35.49/(-5*35.49))))-(-5/-5)))))</f>
        <v>221075.780545</v>
      </c>
      <c r="C13550" t="n" s="0">
        <v>221075.78054500005</v>
      </c>
    </row>
    <row r="13551">
      <c r="A13551" t="n" s="0">
        <v>35.5</v>
      </c>
      <c r="B13551" t="n" s="0">
        <f>(-5-((((-5*(-5/((-5/(((-5*(35.5--5))-(-5+((-5*35.5)*(((-5--5)+(35.5--5))+35.5))))-(-5+-5)))*-5)))/-5)--5)+(-5*(((35.5*(35.5-(-5/-5)))*(35.5-(35.5/(-5*35.5))))-(-5/-5)))))</f>
        <v>221263.375</v>
      </c>
      <c r="C13551" t="n" s="0">
        <v>221263.375</v>
      </c>
    </row>
    <row r="13552">
      <c r="A13552" t="n" s="0">
        <v>35.51</v>
      </c>
      <c r="B13552" t="n" s="0">
        <f>(-5-((((-5*(-5/((-5/(((-5*(35.51--5))-(-5+((-5*35.51)*(((-5--5)+(35.51--5))+35.51))))-(-5+-5)))*-5)))/-5)--5)+(-5*(((35.51*(35.51-(-5/-5)))*(35.51-(35.51/(-5*35.51))))-(-5/-5)))))</f>
        <v>221451.075555</v>
      </c>
      <c r="C13552" t="n" s="0">
        <v>221451.07555499996</v>
      </c>
    </row>
    <row r="13553">
      <c r="A13553" t="n" s="0">
        <v>35.52</v>
      </c>
      <c r="B13553" t="n" s="0">
        <f>(-5-((((-5*(-5/((-5/(((-5*(35.52--5))-(-5+((-5*35.52)*(((-5--5)+(35.52--5))+35.52))))-(-5+-5)))*-5)))/-5)--5)+(-5*(((35.52*(35.52-(-5/-5)))*(35.52-(35.52/(-5*35.52))))-(-5/-5)))))</f>
        <v>221638.88224000004</v>
      </c>
      <c r="C13553" t="n" s="0">
        <v>221638.88224000004</v>
      </c>
    </row>
    <row r="13554">
      <c r="A13554" t="n" s="0">
        <v>35.53</v>
      </c>
      <c r="B13554" t="n" s="0">
        <f>(-5-((((-5*(-5/((-5/(((-5*(35.53--5))-(-5+((-5*35.53)*(((-5--5)+(35.53--5))+35.53))))-(-5+-5)))*-5)))/-5)--5)+(-5*(((35.53*(35.53-(-5/-5)))*(35.53-(35.53/(-5*35.53))))-(-5/-5)))))</f>
        <v>221826.795085</v>
      </c>
      <c r="C13554" t="n" s="0">
        <v>221826.79508500002</v>
      </c>
    </row>
    <row r="13555">
      <c r="A13555" t="n" s="0">
        <v>35.54</v>
      </c>
      <c r="B13555" t="n" s="0">
        <f>(-5-((((-5*(-5/((-5/(((-5*(35.54--5))-(-5+((-5*35.54)*(((-5--5)+(35.54--5))+35.54))))-(-5+-5)))*-5)))/-5)--5)+(-5*(((35.54*(35.54-(-5/-5)))*(35.54-(35.54/(-5*35.54))))-(-5/-5)))))</f>
        <v>222014.81412</v>
      </c>
      <c r="C13555" t="n" s="0">
        <v>222014.81412</v>
      </c>
    </row>
    <row r="13556">
      <c r="A13556" t="n" s="0">
        <v>35.55</v>
      </c>
      <c r="B13556" t="n" s="0">
        <f>(-5-((((-5*(-5/((-5/(((-5*(35.55--5))-(-5+((-5*35.55)*(((-5--5)+(35.55--5))+35.55))))-(-5+-5)))*-5)))/-5)--5)+(-5*(((35.55*(35.55-(-5/-5)))*(35.55-(35.55/(-5*35.55))))-(-5/-5)))))</f>
        <v>222202.939375</v>
      </c>
      <c r="C13556" t="n" s="0">
        <v>222202.93937499993</v>
      </c>
    </row>
    <row r="13557">
      <c r="A13557" t="n" s="0">
        <v>35.56</v>
      </c>
      <c r="B13557" t="n" s="0">
        <f>(-5-((((-5*(-5/((-5/(((-5*(35.56--5))-(-5+((-5*35.56)*(((-5--5)+(35.56--5))+35.56))))-(-5+-5)))*-5)))/-5)--5)+(-5*(((35.56*(35.56-(-5/-5)))*(35.56-(35.56/(-5*35.56))))-(-5/-5)))))</f>
        <v>222391.17088</v>
      </c>
      <c r="C13557" t="n" s="0">
        <v>222391.17088000002</v>
      </c>
    </row>
    <row r="13558">
      <c r="A13558" t="n" s="0">
        <v>35.57</v>
      </c>
      <c r="B13558" t="n" s="0">
        <f>(-5-((((-5*(-5/((-5/(((-5*(35.57--5))-(-5+((-5*35.57)*(((-5--5)+(35.57--5))+35.57))))-(-5+-5)))*-5)))/-5)--5)+(-5*(((35.57*(35.57-(-5/-5)))*(35.57-(35.57/(-5*35.57))))-(-5/-5)))))</f>
        <v>222579.508665</v>
      </c>
      <c r="C13558" t="n" s="0">
        <v>222579.508665</v>
      </c>
    </row>
    <row r="13559">
      <c r="A13559" t="n" s="0">
        <v>35.58</v>
      </c>
      <c r="B13559" t="n" s="0">
        <f>(-5-((((-5*(-5/((-5/(((-5*(35.58--5))-(-5+((-5*35.58)*(((-5--5)+(35.58--5))+35.58))))-(-5+-5)))*-5)))/-5)--5)+(-5*(((35.58*(35.58-(-5/-5)))*(35.58-(35.58/(-5*35.58))))-(-5/-5)))))</f>
        <v>222767.95276</v>
      </c>
      <c r="C13559" t="n" s="0">
        <v>222767.95275999996</v>
      </c>
    </row>
    <row r="13560">
      <c r="A13560" t="n" s="0">
        <v>35.59</v>
      </c>
      <c r="B13560" t="n" s="0">
        <f>(-5-((((-5*(-5/((-5/(((-5*(35.59--5))-(-5+((-5*35.59)*(((-5--5)+(35.59--5))+35.59))))-(-5+-5)))*-5)))/-5)--5)+(-5*(((35.59*(35.59-(-5/-5)))*(35.59-(35.59/(-5*35.59))))-(-5/-5)))))</f>
        <v>222956.50319499997</v>
      </c>
      <c r="C13560" t="n" s="0">
        <v>222956.50319500003</v>
      </c>
    </row>
    <row r="13561">
      <c r="A13561" t="n" s="0">
        <v>35.6</v>
      </c>
      <c r="B13561" t="n" s="0">
        <f>(-5-((((-5*(-5/((-5/(((-5*(35.6--5))-(-5+((-5*35.6)*(((-5--5)+(35.6--5))+35.6))))-(-5+-5)))*-5)))/-5)--5)+(-5*(((35.6*(35.6-(-5/-5)))*(35.6-(35.6/(-5*35.6))))-(-5/-5)))))</f>
        <v>223145.16</v>
      </c>
      <c r="C13561" t="n" s="0">
        <v>223145.16</v>
      </c>
    </row>
    <row r="13562">
      <c r="A13562" t="n" s="0">
        <v>35.61</v>
      </c>
      <c r="B13562" t="n" s="0">
        <f>(-5-((((-5*(-5/((-5/(((-5*(35.61--5))-(-5+((-5*35.61)*(((-5--5)+(35.61--5))+35.61))))-(-5+-5)))*-5)))/-5)--5)+(-5*(((35.61*(35.61-(-5/-5)))*(35.61-(35.61/(-5*35.61))))-(-5/-5)))))</f>
        <v>223333.923205</v>
      </c>
      <c r="C13562" t="n" s="0">
        <v>223333.923205</v>
      </c>
    </row>
    <row r="13563">
      <c r="A13563" t="n" s="0">
        <v>35.62</v>
      </c>
      <c r="B13563" t="n" s="0">
        <f>(-5-((((-5*(-5/((-5/(((-5*(35.62--5))-(-5+((-5*35.62)*(((-5--5)+(35.62--5))+35.62))))-(-5+-5)))*-5)))/-5)--5)+(-5*(((35.62*(35.62-(-5/-5)))*(35.62-(35.62/(-5*35.62))))-(-5/-5)))))</f>
        <v>223522.79283999998</v>
      </c>
      <c r="C13563" t="n" s="0">
        <v>223522.79283999995</v>
      </c>
    </row>
    <row r="13564">
      <c r="A13564" t="n" s="0">
        <v>35.63</v>
      </c>
      <c r="B13564" t="n" s="0">
        <f>(-5-((((-5*(-5/((-5/(((-5*(35.63--5))-(-5+((-5*35.63)*(((-5--5)+(35.63--5))+35.63))))-(-5+-5)))*-5)))/-5)--5)+(-5*(((35.63*(35.63-(-5/-5)))*(35.63-(35.63/(-5*35.63))))-(-5/-5)))))</f>
        <v>223711.768935</v>
      </c>
      <c r="C13564" t="n" s="0">
        <v>223711.76893500006</v>
      </c>
    </row>
    <row r="13565">
      <c r="A13565" t="n" s="0">
        <v>35.64</v>
      </c>
      <c r="B13565" t="n" s="0">
        <f>(-5-((((-5*(-5/((-5/(((-5*(35.64--5))-(-5+((-5*35.64)*(((-5--5)+(35.64--5))+35.64))))-(-5+-5)))*-5)))/-5)--5)+(-5*(((35.64*(35.64-(-5/-5)))*(35.64-(35.64/(-5*35.64))))-(-5/-5)))))</f>
        <v>223900.85152</v>
      </c>
      <c r="C13565" t="n" s="0">
        <v>223900.85152000003</v>
      </c>
    </row>
    <row r="13566">
      <c r="A13566" t="n" s="0">
        <v>35.65</v>
      </c>
      <c r="B13566" t="n" s="0">
        <f>(-5-((((-5*(-5/((-5/(((-5*(35.65--5))-(-5+((-5*35.65)*(((-5--5)+(35.65--5))+35.65))))-(-5+-5)))*-5)))/-5)--5)+(-5*(((35.65*(35.65-(-5/-5)))*(35.65-(35.65/(-5*35.65))))-(-5/-5)))))</f>
        <v>224090.040625</v>
      </c>
      <c r="C13566" t="n" s="0">
        <v>224090.040625</v>
      </c>
    </row>
    <row r="13567">
      <c r="A13567" t="n" s="0">
        <v>35.66</v>
      </c>
      <c r="B13567" t="n" s="0">
        <f>(-5-((((-5*(-5/((-5/(((-5*(35.66--5))-(-5+((-5*35.66)*(((-5--5)+(35.66--5))+35.66))))-(-5+-5)))*-5)))/-5)--5)+(-5*(((35.66*(35.66-(-5/-5)))*(35.66-(35.66/(-5*35.66))))-(-5/-5)))))</f>
        <v>224279.33628</v>
      </c>
      <c r="C13567" t="n" s="0">
        <v>224279.33627999996</v>
      </c>
    </row>
    <row r="13568">
      <c r="A13568" t="n" s="0">
        <v>35.67</v>
      </c>
      <c r="B13568" t="n" s="0">
        <f>(-5-((((-5*(-5/((-5/(((-5*(35.67--5))-(-5+((-5*35.67)*(((-5--5)+(35.67--5))+35.67))))-(-5+-5)))*-5)))/-5)--5)+(-5*(((35.67*(35.67-(-5/-5)))*(35.67-(35.67/(-5*35.67))))-(-5/-5)))))</f>
        <v>224468.73851499998</v>
      </c>
      <c r="C13568" t="n" s="0">
        <v>224468.73851500006</v>
      </c>
    </row>
    <row r="13569">
      <c r="A13569" t="n" s="0">
        <v>35.68</v>
      </c>
      <c r="B13569" t="n" s="0">
        <f>(-5-((((-5*(-5/((-5/(((-5*(35.68--5))-(-5+((-5*35.68)*(((-5--5)+(35.68--5))+35.68))))-(-5+-5)))*-5)))/-5)--5)+(-5*(((35.68*(35.68-(-5/-5)))*(35.68-(35.68/(-5*35.68))))-(-5/-5)))))</f>
        <v>224658.24735999998</v>
      </c>
      <c r="C13569" t="n" s="0">
        <v>224658.24736000004</v>
      </c>
    </row>
    <row r="13570">
      <c r="A13570" t="n" s="0">
        <v>35.69</v>
      </c>
      <c r="B13570" t="n" s="0">
        <f>(-5-((((-5*(-5/((-5/(((-5*(35.69--5))-(-5+((-5*35.69)*(((-5--5)+(35.69--5))+35.69))))-(-5+-5)))*-5)))/-5)--5)+(-5*(((35.69*(35.69-(-5/-5)))*(35.69-(35.69/(-5*35.69))))-(-5/-5)))))</f>
        <v>224847.862845</v>
      </c>
      <c r="C13570" t="n" s="0">
        <v>224847.86284499997</v>
      </c>
    </row>
    <row r="13571">
      <c r="A13571" t="n" s="0">
        <v>35.7</v>
      </c>
      <c r="B13571" t="n" s="0">
        <f>(-5-((((-5*(-5/((-5/(((-5*(35.7--5))-(-5+((-5*35.7)*(((-5--5)+(35.7--5))+35.7))))-(-5+-5)))*-5)))/-5)--5)+(-5*(((35.7*(35.7-(-5/-5)))*(35.7-(35.7/(-5*35.7))))-(-5/-5)))))</f>
        <v>225037.585</v>
      </c>
      <c r="C13571" t="n" s="0">
        <v>225037.58500000005</v>
      </c>
    </row>
    <row r="13572">
      <c r="A13572" t="n" s="0">
        <v>35.71</v>
      </c>
      <c r="B13572" t="n" s="0">
        <f>(-5-((((-5*(-5/((-5/(((-5*(35.71--5))-(-5+((-5*35.71)*(((-5--5)+(35.71--5))+35.71))))-(-5+-5)))*-5)))/-5)--5)+(-5*(((35.71*(35.71-(-5/-5)))*(35.71-(35.71/(-5*35.71))))-(-5/-5)))))</f>
        <v>225227.413855</v>
      </c>
      <c r="C13572" t="n" s="0">
        <v>225227.413855</v>
      </c>
    </row>
    <row r="13573">
      <c r="A13573" t="n" s="0">
        <v>35.72</v>
      </c>
      <c r="B13573" t="n" s="0">
        <f>(-5-((((-5*(-5/((-5/(((-5*(35.72--5))-(-5+((-5*35.72)*(((-5--5)+(35.72--5))+35.72))))-(-5+-5)))*-5)))/-5)--5)+(-5*(((35.72*(35.72-(-5/-5)))*(35.72-(35.72/(-5*35.72))))-(-5/-5)))))</f>
        <v>225417.34944</v>
      </c>
      <c r="C13573" t="n" s="0">
        <v>225417.34944</v>
      </c>
    </row>
    <row r="13574">
      <c r="A13574" t="n" s="0">
        <v>35.73</v>
      </c>
      <c r="B13574" t="n" s="0">
        <f>(-5-((((-5*(-5/((-5/(((-5*(35.73--5))-(-5+((-5*35.73)*(((-5--5)+(35.73--5))+35.73))))-(-5+-5)))*-5)))/-5)--5)+(-5*(((35.73*(35.73-(-5/-5)))*(35.73-(35.73/(-5*35.73))))-(-5/-5)))))</f>
        <v>225607.39178499999</v>
      </c>
      <c r="C13574" t="n" s="0">
        <v>225607.39178499993</v>
      </c>
    </row>
    <row r="13575">
      <c r="A13575" t="n" s="0">
        <v>35.74</v>
      </c>
      <c r="B13575" t="n" s="0">
        <f>(-5-((((-5*(-5/((-5/(((-5*(35.74--5))-(-5+((-5*35.74)*(((-5--5)+(35.74--5))+35.74))))-(-5+-5)))*-5)))/-5)--5)+(-5*(((35.74*(35.74-(-5/-5)))*(35.74-(35.74/(-5*35.74))))-(-5/-5)))))</f>
        <v>225797.54092</v>
      </c>
      <c r="C13575" t="n" s="0">
        <v>225797.54092000006</v>
      </c>
    </row>
    <row r="13576">
      <c r="A13576" t="n" s="0">
        <v>35.75</v>
      </c>
      <c r="B13576" t="n" s="0">
        <f>(-5-((((-5*(-5/((-5/(((-5*(35.75--5))-(-5+((-5*35.75)*(((-5--5)+(35.75--5))+35.75))))-(-5+-5)))*-5)))/-5)--5)+(-5*(((35.75*(35.75-(-5/-5)))*(35.75-(35.75/(-5*35.75))))-(-5/-5)))))</f>
        <v>225987.796875</v>
      </c>
      <c r="C13576" t="n" s="0">
        <v>225987.796875</v>
      </c>
    </row>
    <row r="13577">
      <c r="A13577" t="n" s="0">
        <v>35.76</v>
      </c>
      <c r="B13577" t="n" s="0">
        <f>(-5-((((-5*(-5/((-5/(((-5*(35.76--5))-(-5+((-5*35.76)*(((-5--5)+(35.76--5))+35.76))))-(-5+-5)))*-5)))/-5)--5)+(-5*(((35.76*(35.76-(-5/-5)))*(35.76-(35.76/(-5*35.76))))-(-5/-5)))))</f>
        <v>226178.15968</v>
      </c>
      <c r="C13577" t="n" s="0">
        <v>226178.15967999995</v>
      </c>
    </row>
    <row r="13578">
      <c r="A13578" t="n" s="0">
        <v>35.77</v>
      </c>
      <c r="B13578" t="n" s="0">
        <f>(-5-((((-5*(-5/((-5/(((-5*(35.77--5))-(-5+((-5*35.77)*(((-5--5)+(35.77--5))+35.77))))-(-5+-5)))*-5)))/-5)--5)+(-5*(((35.77*(35.77-(-5/-5)))*(35.77-(35.77/(-5*35.77))))-(-5/-5)))))</f>
        <v>226368.629365</v>
      </c>
      <c r="C13578" t="n" s="0">
        <v>226368.6293650001</v>
      </c>
    </row>
    <row r="13579">
      <c r="A13579" t="n" s="0">
        <v>35.78</v>
      </c>
      <c r="B13579" t="n" s="0">
        <f>(-5-((((-5*(-5/((-5/(((-5*(35.78--5))-(-5+((-5*35.78)*(((-5--5)+(35.78--5))+35.78))))-(-5+-5)))*-5)))/-5)--5)+(-5*(((35.78*(35.78-(-5/-5)))*(35.78-(35.78/(-5*35.78))))-(-5/-5)))))</f>
        <v>226559.20596</v>
      </c>
      <c r="C13579" t="n" s="0">
        <v>226559.20596000002</v>
      </c>
    </row>
    <row r="13580">
      <c r="A13580" t="n" s="0">
        <v>35.79</v>
      </c>
      <c r="B13580" t="n" s="0">
        <f>(-5-((((-5*(-5/((-5/(((-5*(35.79--5))-(-5+((-5*35.79)*(((-5--5)+(35.79--5))+35.79))))-(-5+-5)))*-5)))/-5)--5)+(-5*(((35.79*(35.79-(-5/-5)))*(35.79-(35.79/(-5*35.79))))-(-5/-5)))))</f>
        <v>226749.889495</v>
      </c>
      <c r="C13580" t="n" s="0">
        <v>226749.88949499995</v>
      </c>
    </row>
    <row r="13581">
      <c r="A13581" t="n" s="0">
        <v>35.8</v>
      </c>
      <c r="B13581" t="n" s="0">
        <f>(-5-((((-5*(-5/((-5/(((-5*(35.8--5))-(-5+((-5*35.8)*(((-5--5)+(35.8--5))+35.8))))-(-5+-5)))*-5)))/-5)--5)+(-5*(((35.8*(35.8-(-5/-5)))*(35.8-(35.8/(-5*35.8))))-(-5/-5)))))</f>
        <v>226940.68000000002</v>
      </c>
      <c r="C13581" t="n" s="0">
        <v>226940.67999999996</v>
      </c>
    </row>
    <row r="13582">
      <c r="A13582" t="n" s="0">
        <v>35.81</v>
      </c>
      <c r="B13582" t="n" s="0">
        <f>(-5-((((-5*(-5/((-5/(((-5*(35.81--5))-(-5+((-5*35.81)*(((-5--5)+(35.81--5))+35.81))))-(-5+-5)))*-5)))/-5)--5)+(-5*(((35.81*(35.81-(-5/-5)))*(35.81-(35.81/(-5*35.81))))-(-5/-5)))))</f>
        <v>227131.577505</v>
      </c>
      <c r="C13582" t="n" s="0">
        <v>227131.57750500002</v>
      </c>
    </row>
    <row r="13583">
      <c r="A13583" t="n" s="0">
        <v>35.82</v>
      </c>
      <c r="B13583" t="n" s="0">
        <f>(-5-((((-5*(-5/((-5/(((-5*(35.82--5))-(-5+((-5*35.82)*(((-5--5)+(35.82--5))+35.82))))-(-5+-5)))*-5)))/-5)--5)+(-5*(((35.82*(35.82-(-5/-5)))*(35.82-(35.82/(-5*35.82))))-(-5/-5)))))</f>
        <v>227322.58204</v>
      </c>
      <c r="C13583" t="n" s="0">
        <v>227322.58203999998</v>
      </c>
    </row>
    <row r="13584">
      <c r="A13584" t="n" s="0">
        <v>35.83</v>
      </c>
      <c r="B13584" t="n" s="0">
        <f>(-5-((((-5*(-5/((-5/(((-5*(35.83--5))-(-5+((-5*35.83)*(((-5--5)+(35.83--5))+35.83))))-(-5+-5)))*-5)))/-5)--5)+(-5*(((35.83*(35.83-(-5/-5)))*(35.83-(35.83/(-5*35.83))))-(-5/-5)))))</f>
        <v>227513.693635</v>
      </c>
      <c r="C13584" t="n" s="0">
        <v>227513.69363499995</v>
      </c>
    </row>
    <row r="13585">
      <c r="A13585" t="n" s="0">
        <v>35.84</v>
      </c>
      <c r="B13585" t="n" s="0">
        <f>(-5-((((-5*(-5/((-5/(((-5*(35.84--5))-(-5+((-5*35.84)*(((-5--5)+(35.84--5))+35.84))))-(-5+-5)))*-5)))/-5)--5)+(-5*(((35.84*(35.84-(-5/-5)))*(35.84-(35.84/(-5*35.84))))-(-5/-5)))))</f>
        <v>227704.91232</v>
      </c>
      <c r="C13585" t="n" s="0">
        <v>227704.91232000003</v>
      </c>
    </row>
    <row r="13586">
      <c r="A13586" t="n" s="0">
        <v>35.85</v>
      </c>
      <c r="B13586" t="n" s="0">
        <f>(-5-((((-5*(-5/((-5/(((-5*(35.85--5))-(-5+((-5*35.85)*(((-5--5)+(35.85--5))+35.85))))-(-5+-5)))*-5)))/-5)--5)+(-5*(((35.85*(35.85-(-5/-5)))*(35.85-(35.85/(-5*35.85))))-(-5/-5)))))</f>
        <v>227896.238125</v>
      </c>
      <c r="C13586" t="n" s="0">
        <v>227896.238125</v>
      </c>
    </row>
    <row r="13587">
      <c r="A13587" t="n" s="0">
        <v>35.86</v>
      </c>
      <c r="B13587" t="n" s="0">
        <f>(-5-((((-5*(-5/((-5/(((-5*(35.86--5))-(-5+((-5*35.86)*(((-5--5)+(35.86--5))+35.86))))-(-5+-5)))*-5)))/-5)--5)+(-5*(((35.86*(35.86-(-5/-5)))*(35.86-(35.86/(-5*35.86))))-(-5/-5)))))</f>
        <v>228087.67108</v>
      </c>
      <c r="C13587" t="n" s="0">
        <v>228087.67108</v>
      </c>
    </row>
    <row r="13588">
      <c r="A13588" t="n" s="0">
        <v>35.87</v>
      </c>
      <c r="B13588" t="n" s="0">
        <f>(-5-((((-5*(-5/((-5/(((-5*(35.87--5))-(-5+((-5*35.87)*(((-5--5)+(35.87--5))+35.87))))-(-5+-5)))*-5)))/-5)--5)+(-5*(((35.87*(35.87-(-5/-5)))*(35.87-(35.87/(-5*35.87))))-(-5/-5)))))</f>
        <v>228279.21121500002</v>
      </c>
      <c r="C13588" t="n" s="0">
        <v>228279.21121499993</v>
      </c>
    </row>
    <row r="13589">
      <c r="A13589" t="n" s="0">
        <v>35.88</v>
      </c>
      <c r="B13589" t="n" s="0">
        <f>(-5-((((-5*(-5/((-5/(((-5*(35.88--5))-(-5+((-5*35.88)*(((-5--5)+(35.88--5))+35.88))))-(-5+-5)))*-5)))/-5)--5)+(-5*(((35.88*(35.88-(-5/-5)))*(35.88-(35.88/(-5*35.88))))-(-5/-5)))))</f>
        <v>228470.85856</v>
      </c>
      <c r="C13589" t="n" s="0">
        <v>228470.85856000005</v>
      </c>
    </row>
    <row r="13590">
      <c r="A13590" t="n" s="0">
        <v>35.89</v>
      </c>
      <c r="B13590" t="n" s="0">
        <f>(-5-((((-5*(-5/((-5/(((-5*(35.89--5))-(-5+((-5*35.89)*(((-5--5)+(35.89--5))+35.89))))-(-5+-5)))*-5)))/-5)--5)+(-5*(((35.89*(35.89-(-5/-5)))*(35.89-(35.89/(-5*35.89))))-(-5/-5)))))</f>
        <v>228662.61314499998</v>
      </c>
      <c r="C13590" t="n" s="0">
        <v>228662.613145</v>
      </c>
    </row>
    <row r="13591">
      <c r="A13591" t="n" s="0">
        <v>35.9</v>
      </c>
      <c r="B13591" t="n" s="0">
        <f>(-5-((((-5*(-5/((-5/(((-5*(35.9--5))-(-5+((-5*35.9)*(((-5--5)+(35.9--5))+35.9))))-(-5+-5)))*-5)))/-5)--5)+(-5*(((35.9*(35.9-(-5/-5)))*(35.9-(35.9/(-5*35.9))))-(-5/-5)))))</f>
        <v>228854.47499999998</v>
      </c>
      <c r="C13591" t="n" s="0">
        <v>228854.47499999998</v>
      </c>
    </row>
    <row r="13592">
      <c r="A13592" t="n" s="0">
        <v>35.91</v>
      </c>
      <c r="B13592" t="n" s="0">
        <f>(-5-((((-5*(-5/((-5/(((-5*(35.91--5))-(-5+((-5*35.91)*(((-5--5)+(35.91--5))+35.91))))-(-5+-5)))*-5)))/-5)--5)+(-5*(((35.91*(35.91-(-5/-5)))*(35.91-(35.91/(-5*35.91))))-(-5/-5)))))</f>
        <v>229046.444155</v>
      </c>
      <c r="C13592" t="n" s="0">
        <v>229046.44415499995</v>
      </c>
    </row>
    <row r="13593">
      <c r="A13593" t="n" s="0">
        <v>35.92</v>
      </c>
      <c r="B13593" t="n" s="0">
        <f>(-5-((((-5*(-5/((-5/(((-5*(35.92--5))-(-5+((-5*35.92)*(((-5--5)+(35.92--5))+35.92))))-(-5+-5)))*-5)))/-5)--5)+(-5*(((35.92*(35.92-(-5/-5)))*(35.92-(35.92/(-5*35.92))))-(-5/-5)))))</f>
        <v>229238.52064</v>
      </c>
      <c r="C13593" t="n" s="0">
        <v>229238.52064000006</v>
      </c>
    </row>
    <row r="13594">
      <c r="A13594" t="n" s="0">
        <v>35.93</v>
      </c>
      <c r="B13594" t="n" s="0">
        <f>(-5-((((-5*(-5/((-5/(((-5*(35.93--5))-(-5+((-5*35.93)*(((-5--5)+(35.93--5))+35.93))))-(-5+-5)))*-5)))/-5)--5)+(-5*(((35.93*(35.93-(-5/-5)))*(35.93-(35.93/(-5*35.93))))-(-5/-5)))))</f>
        <v>229430.70448500002</v>
      </c>
      <c r="C13594" t="n" s="0">
        <v>229430.704485</v>
      </c>
    </row>
    <row r="13595">
      <c r="A13595" t="n" s="0">
        <v>35.94</v>
      </c>
      <c r="B13595" t="n" s="0">
        <f>(-5-((((-5*(-5/((-5/(((-5*(35.94--5))-(-5+((-5*35.94)*(((-5--5)+(35.94--5))+35.94))))-(-5+-5)))*-5)))/-5)--5)+(-5*(((35.94*(35.94-(-5/-5)))*(35.94-(35.94/(-5*35.94))))-(-5/-5)))))</f>
        <v>229622.99571999998</v>
      </c>
      <c r="C13595" t="n" s="0">
        <v>229622.99571999998</v>
      </c>
    </row>
    <row r="13596">
      <c r="A13596" t="n" s="0">
        <v>35.95</v>
      </c>
      <c r="B13596" t="n" s="0">
        <f>(-5-((((-5*(-5/((-5/(((-5*(35.95--5))-(-5+((-5*35.95)*(((-5--5)+(35.95--5))+35.95))))-(-5+-5)))*-5)))/-5)--5)+(-5*(((35.95*(35.95-(-5/-5)))*(35.95-(35.95/(-5*35.95))))-(-5/-5)))))</f>
        <v>229815.394375</v>
      </c>
      <c r="C13596" t="n" s="0">
        <v>229815.39437500006</v>
      </c>
    </row>
    <row r="13597">
      <c r="A13597" t="n" s="0">
        <v>35.96</v>
      </c>
      <c r="B13597" t="n" s="0">
        <f>(-5-((((-5*(-5/((-5/(((-5*(35.96--5))-(-5+((-5*35.96)*(((-5--5)+(35.96--5))+35.96))))-(-5+-5)))*-5)))/-5)--5)+(-5*(((35.96*(35.96-(-5/-5)))*(35.96-(35.96/(-5*35.96))))-(-5/-5)))))</f>
        <v>230007.90047999998</v>
      </c>
      <c r="C13597" t="n" s="0">
        <v>230007.90048000004</v>
      </c>
    </row>
    <row r="13598">
      <c r="A13598" t="n" s="0">
        <v>35.97</v>
      </c>
      <c r="B13598" t="n" s="0">
        <f>(-5-((((-5*(-5/((-5/(((-5*(35.97--5))-(-5+((-5*35.97)*(((-5--5)+(35.97--5))+35.97))))-(-5+-5)))*-5)))/-5)--5)+(-5*(((35.97*(35.97-(-5/-5)))*(35.97-(35.97/(-5*35.97))))-(-5/-5)))))</f>
        <v>230200.514065</v>
      </c>
      <c r="C13598" t="n" s="0">
        <v>230200.514065</v>
      </c>
    </row>
    <row r="13599">
      <c r="A13599" t="n" s="0">
        <v>35.98</v>
      </c>
      <c r="B13599" t="n" s="0">
        <f>(-5-((((-5*(-5/((-5/(((-5*(35.98--5))-(-5+((-5*35.98)*(((-5--5)+(35.98--5))+35.98))))-(-5+-5)))*-5)))/-5)--5)+(-5*(((35.98*(35.98-(-5/-5)))*(35.98-(35.98/(-5*35.98))))-(-5/-5)))))</f>
        <v>230393.23515999998</v>
      </c>
      <c r="C13599" t="n" s="0">
        <v>230393.23515999995</v>
      </c>
    </row>
    <row r="13600">
      <c r="A13600" t="n" s="0">
        <v>35.99</v>
      </c>
      <c r="B13600" t="n" s="0">
        <f>(-5-((((-5*(-5/((-5/(((-5*(35.99--5))-(-5+((-5*35.99)*(((-5--5)+(35.99--5))+35.99))))-(-5+-5)))*-5)))/-5)--5)+(-5*(((35.99*(35.99-(-5/-5)))*(35.99-(35.99/(-5*35.99))))-(-5/-5)))))</f>
        <v>230586.063795</v>
      </c>
      <c r="C13600" t="n" s="0">
        <v>230586.06379500002</v>
      </c>
    </row>
    <row r="13601">
      <c r="A13601" t="n" s="0">
        <v>36.0</v>
      </c>
      <c r="B13601" t="n" s="0">
        <f>(-5-((((-5*(-5/((-5/(((-5*(36--5))-(-5+((-5*36)*(((-5--5)+(36--5))+36))))-(-5+-5)))*-5)))/-5)--5)+(-5*(((36*(36-(-5/-5)))*(36-(36/(-5*36))))-(-5/-5)))))</f>
        <v>230779.0</v>
      </c>
      <c r="C13601" t="n" s="0">
        <v>230779.0</v>
      </c>
    </row>
    <row r="13602">
      <c r="A13602" t="n" s="0">
        <v>36.01</v>
      </c>
      <c r="B13602" t="n" s="0">
        <f>(-5-((((-5*(-5/((-5/(((-5*(36.01--5))-(-5+((-5*36.01)*(((-5--5)+(36.01--5))+36.01))))-(-5+-5)))*-5)))/-5)--5)+(-5*(((36.01*(36.01-(-5/-5)))*(36.01-(36.01/(-5*36.01))))-(-5/-5)))))</f>
        <v>230972.043805</v>
      </c>
      <c r="C13602" t="n" s="0">
        <v>230972.04380499996</v>
      </c>
    </row>
    <row r="13603">
      <c r="A13603" t="n" s="0">
        <v>36.02</v>
      </c>
      <c r="B13603" t="n" s="0">
        <f>(-5-((((-5*(-5/((-5/(((-5*(36.02--5))-(-5+((-5*36.02)*(((-5--5)+(36.02--5))+36.02))))-(-5+-5)))*-5)))/-5)--5)+(-5*(((36.02*(36.02-(-5/-5)))*(36.02-(36.02/(-5*36.02))))-(-5/-5)))))</f>
        <v>231165.19524</v>
      </c>
      <c r="C13603" t="n" s="0">
        <v>231165.19524000006</v>
      </c>
    </row>
    <row r="13604">
      <c r="A13604" t="n" s="0">
        <v>36.03</v>
      </c>
      <c r="B13604" t="n" s="0">
        <f>(-5-((((-5*(-5/((-5/(((-5*(36.03--5))-(-5+((-5*36.03)*(((-5--5)+(36.03--5))+36.03))))-(-5+-5)))*-5)))/-5)--5)+(-5*(((36.03*(36.03-(-5/-5)))*(36.03-(36.03/(-5*36.03))))-(-5/-5)))))</f>
        <v>231358.454335</v>
      </c>
      <c r="C13604" t="n" s="0">
        <v>231358.45433500002</v>
      </c>
    </row>
    <row r="13605">
      <c r="A13605" t="n" s="0">
        <v>36.04</v>
      </c>
      <c r="B13605" t="n" s="0">
        <f>(-5-((((-5*(-5/((-5/(((-5*(36.04--5))-(-5+((-5*36.04)*(((-5--5)+(36.04--5))+36.04))))-(-5+-5)))*-5)))/-5)--5)+(-5*(((36.04*(36.04-(-5/-5)))*(36.04-(36.04/(-5*36.04))))-(-5/-5)))))</f>
        <v>231551.82111999998</v>
      </c>
      <c r="C13605" t="n" s="0">
        <v>231551.82111999998</v>
      </c>
    </row>
    <row r="13606">
      <c r="A13606" t="n" s="0">
        <v>36.05</v>
      </c>
      <c r="B13606" t="n" s="0">
        <f>(-5-((((-5*(-5/((-5/(((-5*(36.05--5))-(-5+((-5*36.05)*(((-5--5)+(36.05--5))+36.05))))-(-5+-5)))*-5)))/-5)--5)+(-5*(((36.05*(36.05-(-5/-5)))*(36.05-(36.05/(-5*36.05))))-(-5/-5)))))</f>
        <v>231745.295625</v>
      </c>
      <c r="C13606" t="n" s="0">
        <v>231745.29562499997</v>
      </c>
    </row>
    <row r="13607">
      <c r="A13607" t="n" s="0">
        <v>36.06</v>
      </c>
      <c r="B13607" t="n" s="0">
        <f>(-5-((((-5*(-5/((-5/(((-5*(36.06--5))-(-5+((-5*36.06)*(((-5--5)+(36.06--5))+36.06))))-(-5+-5)))*-5)))/-5)--5)+(-5*(((36.06*(36.06-(-5/-5)))*(36.06-(36.06/(-5*36.06))))-(-5/-5)))))</f>
        <v>231938.87788</v>
      </c>
      <c r="C13607" t="n" s="0">
        <v>231938.87788000001</v>
      </c>
    </row>
    <row r="13608">
      <c r="A13608" t="n" s="0">
        <v>36.07</v>
      </c>
      <c r="B13608" t="n" s="0">
        <f>(-5-((((-5*(-5/((-5/(((-5*(36.07--5))-(-5+((-5*36.07)*(((-5--5)+(36.07--5))+36.07))))-(-5+-5)))*-5)))/-5)--5)+(-5*(((36.07*(36.07-(-5/-5)))*(36.07-(36.07/(-5*36.07))))-(-5/-5)))))</f>
        <v>232132.567915</v>
      </c>
      <c r="C13608" t="n" s="0">
        <v>232132.56791500002</v>
      </c>
    </row>
    <row r="13609">
      <c r="A13609" t="n" s="0">
        <v>36.08</v>
      </c>
      <c r="B13609" t="n" s="0">
        <f>(-5-((((-5*(-5/((-5/(((-5*(36.08--5))-(-5+((-5*36.08)*(((-5--5)+(36.08--5))+36.08))))-(-5+-5)))*-5)))/-5)--5)+(-5*(((36.08*(36.08-(-5/-5)))*(36.08-(36.08/(-5*36.08))))-(-5/-5)))))</f>
        <v>232326.36576</v>
      </c>
      <c r="C13609" t="n" s="0">
        <v>232326.36575999996</v>
      </c>
    </row>
    <row r="13610">
      <c r="A13610" t="n" s="0">
        <v>36.09</v>
      </c>
      <c r="B13610" t="n" s="0">
        <f>(-5-((((-5*(-5/((-5/(((-5*(36.09--5))-(-5+((-5*36.09)*(((-5--5)+(36.09--5))+36.09))))-(-5+-5)))*-5)))/-5)--5)+(-5*(((36.09*(36.09-(-5/-5)))*(36.09-(36.09/(-5*36.09))))-(-5/-5)))))</f>
        <v>232520.271445</v>
      </c>
      <c r="C13610" t="n" s="0">
        <v>232520.27144500002</v>
      </c>
    </row>
    <row r="13611">
      <c r="A13611" t="n" s="0">
        <v>36.1</v>
      </c>
      <c r="B13611" t="n" s="0">
        <f>(-5-((((-5*(-5/((-5/(((-5*(36.1--5))-(-5+((-5*36.1)*(((-5--5)+(36.1--5))+36.1))))-(-5+-5)))*-5)))/-5)--5)+(-5*(((36.1*(36.1-(-5/-5)))*(36.1-(36.1/(-5*36.1))))-(-5/-5)))))</f>
        <v>232714.285</v>
      </c>
      <c r="C13611" t="n" s="0">
        <v>232714.285</v>
      </c>
    </row>
    <row r="13612">
      <c r="A13612" t="n" s="0">
        <v>36.11</v>
      </c>
      <c r="B13612" t="n" s="0">
        <f>(-5-((((-5*(-5/((-5/(((-5*(36.11--5))-(-5+((-5*36.11)*(((-5--5)+(36.11--5))+36.11))))-(-5+-5)))*-5)))/-5)--5)+(-5*(((36.11*(36.11-(-5/-5)))*(36.11-(36.11/(-5*36.11))))-(-5/-5)))))</f>
        <v>232908.406455</v>
      </c>
      <c r="C13612" t="n" s="0">
        <v>232908.40645499996</v>
      </c>
    </row>
    <row r="13613">
      <c r="A13613" t="n" s="0">
        <v>36.12</v>
      </c>
      <c r="B13613" t="n" s="0">
        <f>(-5-((((-5*(-5/((-5/(((-5*(36.12--5))-(-5+((-5*36.12)*(((-5--5)+(36.12--5))+36.12))))-(-5+-5)))*-5)))/-5)--5)+(-5*(((36.12*(36.12-(-5/-5)))*(36.12-(36.12/(-5*36.12))))-(-5/-5)))))</f>
        <v>233102.63584</v>
      </c>
      <c r="C13613" t="n" s="0">
        <v>233102.63583999994</v>
      </c>
    </row>
    <row r="13614">
      <c r="A13614" t="n" s="0">
        <v>36.13</v>
      </c>
      <c r="B13614" t="n" s="0">
        <f>(-5-((((-5*(-5/((-5/(((-5*(36.13--5))-(-5+((-5*36.13)*(((-5--5)+(36.13--5))+36.13))))-(-5+-5)))*-5)))/-5)--5)+(-5*(((36.13*(36.13-(-5/-5)))*(36.13-(36.13/(-5*36.13))))-(-5/-5)))))</f>
        <v>233296.973185</v>
      </c>
      <c r="C13614" t="n" s="0">
        <v>233296.97318500007</v>
      </c>
    </row>
    <row r="13615">
      <c r="A13615" t="n" s="0">
        <v>36.14</v>
      </c>
      <c r="B13615" t="n" s="0">
        <f>(-5-((((-5*(-5/((-5/(((-5*(36.14--5))-(-5+((-5*36.14)*(((-5--5)+(36.14--5))+36.14))))-(-5+-5)))*-5)))/-5)--5)+(-5*(((36.14*(36.14-(-5/-5)))*(36.14-(36.14/(-5*36.14))))-(-5/-5)))))</f>
        <v>233491.41852</v>
      </c>
      <c r="C13615" t="n" s="0">
        <v>233491.41852</v>
      </c>
    </row>
    <row r="13616">
      <c r="A13616" t="n" s="0">
        <v>36.15</v>
      </c>
      <c r="B13616" t="n" s="0">
        <f>(-5-((((-5*(-5/((-5/(((-5*(36.15--5))-(-5+((-5*36.15)*(((-5--5)+(36.15--5))+36.15))))-(-5+-5)))*-5)))/-5)--5)+(-5*(((36.15*(36.15-(-5/-5)))*(36.15-(36.15/(-5*36.15))))-(-5/-5)))))</f>
        <v>233685.971875</v>
      </c>
      <c r="C13616" t="n" s="0">
        <v>233685.97187500002</v>
      </c>
    </row>
    <row r="13617">
      <c r="A13617" t="n" s="0">
        <v>36.16</v>
      </c>
      <c r="B13617" t="n" s="0">
        <f>(-5-((((-5*(-5/((-5/(((-5*(36.16--5))-(-5+((-5*36.16)*(((-5--5)+(36.16--5))+36.16))))-(-5+-5)))*-5)))/-5)--5)+(-5*(((36.16*(36.16-(-5/-5)))*(36.16-(36.16/(-5*36.16))))-(-5/-5)))))</f>
        <v>233880.63328</v>
      </c>
      <c r="C13617" t="n" s="0">
        <v>233880.63327999995</v>
      </c>
    </row>
    <row r="13618">
      <c r="A13618" t="n" s="0">
        <v>36.17</v>
      </c>
      <c r="B13618" t="n" s="0">
        <f>(-5-((((-5*(-5/((-5/(((-5*(36.17--5))-(-5+((-5*36.17)*(((-5--5)+(36.17--5))+36.17))))-(-5+-5)))*-5)))/-5)--5)+(-5*(((36.17*(36.17-(-5/-5)))*(36.17-(36.17/(-5*36.17))))-(-5/-5)))))</f>
        <v>234075.402765</v>
      </c>
      <c r="C13618" t="n" s="0">
        <v>234075.40276500004</v>
      </c>
    </row>
    <row r="13619">
      <c r="A13619" t="n" s="0">
        <v>36.18</v>
      </c>
      <c r="B13619" t="n" s="0">
        <f>(-5-((((-5*(-5/((-5/(((-5*(36.18--5))-(-5+((-5*36.18)*(((-5--5)+(36.18--5))+36.18))))-(-5+-5)))*-5)))/-5)--5)+(-5*(((36.18*(36.18-(-5/-5)))*(36.18-(36.18/(-5*36.18))))-(-5/-5)))))</f>
        <v>234270.28036</v>
      </c>
      <c r="C13619" t="n" s="0">
        <v>234270.28035999998</v>
      </c>
    </row>
    <row r="13620">
      <c r="A13620" t="n" s="0">
        <v>36.19</v>
      </c>
      <c r="B13620" t="n" s="0">
        <f>(-5-((((-5*(-5/((-5/(((-5*(36.19--5))-(-5+((-5*36.19)*(((-5--5)+(36.19--5))+36.19))))-(-5+-5)))*-5)))/-5)--5)+(-5*(((36.19*(36.19-(-5/-5)))*(36.19-(36.19/(-5*36.19))))-(-5/-5)))))</f>
        <v>234465.266095</v>
      </c>
      <c r="C13620" t="n" s="0">
        <v>234465.26609499994</v>
      </c>
    </row>
    <row r="13621">
      <c r="A13621" t="n" s="0">
        <v>36.2</v>
      </c>
      <c r="B13621" t="n" s="0">
        <f>(-5-((((-5*(-5/((-5/(((-5*(36.2--5))-(-5+((-5*36.2)*(((-5--5)+(36.2--5))+36.2))))-(-5+-5)))*-5)))/-5)--5)+(-5*(((36.2*(36.2-(-5/-5)))*(36.2-(36.2/(-5*36.2))))-(-5/-5)))))</f>
        <v>234660.36</v>
      </c>
      <c r="C13621" t="n" s="0">
        <v>234660.36000000007</v>
      </c>
    </row>
    <row r="13622">
      <c r="A13622" t="n" s="0">
        <v>36.21</v>
      </c>
      <c r="B13622" t="n" s="0">
        <f>(-5-((((-5*(-5/((-5/(((-5*(36.21--5))-(-5+((-5*36.21)*(((-5--5)+(36.21--5))+36.21))))-(-5+-5)))*-5)))/-5)--5)+(-5*(((36.21*(36.21-(-5/-5)))*(36.21-(36.21/(-5*36.21))))-(-5/-5)))))</f>
        <v>234855.56210500002</v>
      </c>
      <c r="C13622" t="n" s="0">
        <v>234855.56210500005</v>
      </c>
    </row>
    <row r="13623">
      <c r="A13623" t="n" s="0">
        <v>36.22</v>
      </c>
      <c r="B13623" t="n" s="0">
        <f>(-5-((((-5*(-5/((-5/(((-5*(36.22--5))-(-5+((-5*36.22)*(((-5--5)+(36.22--5))+36.22))))-(-5+-5)))*-5)))/-5)--5)+(-5*(((36.22*(36.22-(-5/-5)))*(36.22-(36.22/(-5*36.22))))-(-5/-5)))))</f>
        <v>235050.87244000004</v>
      </c>
      <c r="C13623" t="n" s="0">
        <v>235050.87244</v>
      </c>
    </row>
    <row r="13624">
      <c r="A13624" t="n" s="0">
        <v>36.23</v>
      </c>
      <c r="B13624" t="n" s="0">
        <f>(-5-((((-5*(-5/((-5/(((-5*(36.23--5))-(-5+((-5*36.23)*(((-5--5)+(36.23--5))+36.23))))-(-5+-5)))*-5)))/-5)--5)+(-5*(((36.23*(36.23-(-5/-5)))*(36.23-(36.23/(-5*36.23))))-(-5/-5)))))</f>
        <v>235246.291035</v>
      </c>
      <c r="C13624" t="n" s="0">
        <v>235246.29103499997</v>
      </c>
    </row>
    <row r="13625">
      <c r="A13625" t="n" s="0">
        <v>36.24</v>
      </c>
      <c r="B13625" t="n" s="0">
        <f>(-5-((((-5*(-5/((-5/(((-5*(36.24--5))-(-5+((-5*36.24)*(((-5--5)+(36.24--5))+36.24))))-(-5+-5)))*-5)))/-5)--5)+(-5*(((36.24*(36.24-(-5/-5)))*(36.24-(36.24/(-5*36.24))))-(-5/-5)))))</f>
        <v>235441.81792000003</v>
      </c>
      <c r="C13625" t="n" s="0">
        <v>235441.81792000003</v>
      </c>
    </row>
    <row r="13626">
      <c r="A13626" t="n" s="0">
        <v>36.25</v>
      </c>
      <c r="B13626" t="n" s="0">
        <f>(-5-((((-5*(-5/((-5/(((-5*(36.25--5))-(-5+((-5*36.25)*(((-5--5)+(36.25--5))+36.25))))-(-5+-5)))*-5)))/-5)--5)+(-5*(((36.25*(36.25-(-5/-5)))*(36.25-(36.25/(-5*36.25))))-(-5/-5)))))</f>
        <v>235637.453125</v>
      </c>
      <c r="C13626" t="n" s="0">
        <v>235637.453125</v>
      </c>
    </row>
    <row r="13627">
      <c r="A13627" t="n" s="0">
        <v>36.26</v>
      </c>
      <c r="B13627" t="n" s="0">
        <f>(-5-((((-5*(-5/((-5/(((-5*(36.26--5))-(-5+((-5*36.26)*(((-5--5)+(36.26--5))+36.26))))-(-5+-5)))*-5)))/-5)--5)+(-5*(((36.26*(36.26-(-5/-5)))*(36.26-(36.26/(-5*36.26))))-(-5/-5)))))</f>
        <v>235833.19668000002</v>
      </c>
      <c r="C13627" t="n" s="0">
        <v>235833.19667999996</v>
      </c>
    </row>
    <row r="13628">
      <c r="A13628" t="n" s="0">
        <v>36.27</v>
      </c>
      <c r="B13628" t="n" s="0">
        <f>(-5-((((-5*(-5/((-5/(((-5*(36.27--5))-(-5+((-5*36.27)*(((-5--5)+(36.27--5))+36.27))))-(-5+-5)))*-5)))/-5)--5)+(-5*(((36.27*(36.27-(-5/-5)))*(36.27-(36.27/(-5*36.27))))-(-5/-5)))))</f>
        <v>236029.04861499998</v>
      </c>
      <c r="C13628" t="n" s="0">
        <v>236029.04861500004</v>
      </c>
    </row>
    <row r="13629">
      <c r="A13629" t="n" s="0">
        <v>36.28</v>
      </c>
      <c r="B13629" t="n" s="0">
        <f>(-5-((((-5*(-5/((-5/(((-5*(36.28--5))-(-5+((-5*36.28)*(((-5--5)+(36.28--5))+36.28))))-(-5+-5)))*-5)))/-5)--5)+(-5*(((36.28*(36.28-(-5/-5)))*(36.28-(36.28/(-5*36.28))))-(-5/-5)))))</f>
        <v>236225.00896</v>
      </c>
      <c r="C13629" t="n" s="0">
        <v>236225.00896</v>
      </c>
    </row>
    <row r="13630">
      <c r="A13630" t="n" s="0">
        <v>36.29</v>
      </c>
      <c r="B13630" t="n" s="0">
        <f>(-5-((((-5*(-5/((-5/(((-5*(36.29--5))-(-5+((-5*36.29)*(((-5--5)+(36.29--5))+36.29))))-(-5+-5)))*-5)))/-5)--5)+(-5*(((36.29*(36.29-(-5/-5)))*(36.29-(36.29/(-5*36.29))))-(-5/-5)))))</f>
        <v>236421.077745</v>
      </c>
      <c r="C13630" t="n" s="0">
        <v>236421.077745</v>
      </c>
    </row>
    <row r="13631">
      <c r="A13631" t="n" s="0">
        <v>36.3</v>
      </c>
      <c r="B13631" t="n" s="0">
        <f>(-5-((((-5*(-5/((-5/(((-5*(36.3--5))-(-5+((-5*36.3)*(((-5--5)+(36.3--5))+36.3))))-(-5+-5)))*-5)))/-5)--5)+(-5*(((36.3*(36.3-(-5/-5)))*(36.3-(36.3/(-5*36.3))))-(-5/-5)))))</f>
        <v>236617.25499999998</v>
      </c>
      <c r="C13631" t="n" s="0">
        <v>236617.25499999995</v>
      </c>
    </row>
    <row r="13632">
      <c r="A13632" t="n" s="0">
        <v>36.31</v>
      </c>
      <c r="B13632" t="n" s="0">
        <f>(-5-((((-5*(-5/((-5/(((-5*(36.31--5))-(-5+((-5*36.31)*(((-5--5)+(36.31--5))+36.31))))-(-5+-5)))*-5)))/-5)--5)+(-5*(((36.31*(36.31-(-5/-5)))*(36.31-(36.31/(-5*36.31))))-(-5/-5)))))</f>
        <v>236813.540755</v>
      </c>
      <c r="C13632" t="n" s="0">
        <v>236813.54075500002</v>
      </c>
    </row>
    <row r="13633">
      <c r="A13633" t="n" s="0">
        <v>36.32</v>
      </c>
      <c r="B13633" t="n" s="0">
        <f>(-5-((((-5*(-5/((-5/(((-5*(36.32--5))-(-5+((-5*36.32)*(((-5--5)+(36.32--5))+36.32))))-(-5+-5)))*-5)))/-5)--5)+(-5*(((36.32*(36.32-(-5/-5)))*(36.32-(36.32/(-5*36.32))))-(-5/-5)))))</f>
        <v>237009.93503999998</v>
      </c>
      <c r="C13633" t="n" s="0">
        <v>237009.93504</v>
      </c>
    </row>
    <row r="13634">
      <c r="A13634" t="n" s="0">
        <v>36.33</v>
      </c>
      <c r="B13634" t="n" s="0">
        <f>(-5-((((-5*(-5/((-5/(((-5*(36.33--5))-(-5+((-5*36.33)*(((-5--5)+(36.33--5))+36.33))))-(-5+-5)))*-5)))/-5)--5)+(-5*(((36.33*(36.33-(-5/-5)))*(36.33-(36.33/(-5*36.33))))-(-5/-5)))))</f>
        <v>237206.43788500002</v>
      </c>
      <c r="C13634" t="n" s="0">
        <v>237206.43788499996</v>
      </c>
    </row>
    <row r="13635">
      <c r="A13635" t="n" s="0">
        <v>36.34</v>
      </c>
      <c r="B13635" t="n" s="0">
        <f>(-5-((((-5*(-5/((-5/(((-5*(36.34--5))-(-5+((-5*36.34)*(((-5--5)+(36.34--5))+36.34))))-(-5+-5)))*-5)))/-5)--5)+(-5*(((36.34*(36.34-(-5/-5)))*(36.34-(36.34/(-5*36.34))))-(-5/-5)))))</f>
        <v>237403.04932</v>
      </c>
      <c r="C13635" t="n" s="0">
        <v>237403.04932000008</v>
      </c>
    </row>
    <row r="13636">
      <c r="A13636" t="n" s="0">
        <v>36.35</v>
      </c>
      <c r="B13636" t="n" s="0">
        <f>(-5-((((-5*(-5/((-5/(((-5*(36.35--5))-(-5+((-5*36.35)*(((-5--5)+(36.35--5))+36.35))))-(-5+-5)))*-5)))/-5)--5)+(-5*(((36.35*(36.35-(-5/-5)))*(36.35-(36.35/(-5*36.35))))-(-5/-5)))))</f>
        <v>237599.769375</v>
      </c>
      <c r="C13636" t="n" s="0">
        <v>237599.76937500003</v>
      </c>
    </row>
    <row r="13637">
      <c r="A13637" t="n" s="0">
        <v>36.36</v>
      </c>
      <c r="B13637" t="n" s="0">
        <f>(-5-((((-5*(-5/((-5/(((-5*(36.36--5))-(-5+((-5*36.36)*(((-5--5)+(36.36--5))+36.36))))-(-5+-5)))*-5)))/-5)--5)+(-5*(((36.36*(36.36-(-5/-5)))*(36.36-(36.36/(-5*36.36))))-(-5/-5)))))</f>
        <v>237796.59808000003</v>
      </c>
      <c r="C13637" t="n" s="0">
        <v>237796.59808</v>
      </c>
    </row>
    <row r="13638">
      <c r="A13638" t="n" s="0">
        <v>36.37</v>
      </c>
      <c r="B13638" t="n" s="0">
        <f>(-5-((((-5*(-5/((-5/(((-5*(36.37--5))-(-5+((-5*36.37)*(((-5--5)+(36.37--5))+36.37))))-(-5+-5)))*-5)))/-5)--5)+(-5*(((36.37*(36.37-(-5/-5)))*(36.37-(36.37/(-5*36.37))))-(-5/-5)))))</f>
        <v>237993.535465</v>
      </c>
      <c r="C13638" t="n" s="0">
        <v>237993.53546499994</v>
      </c>
    </row>
    <row r="13639">
      <c r="A13639" t="n" s="0">
        <v>36.38</v>
      </c>
      <c r="B13639" t="n" s="0">
        <f>(-5-((((-5*(-5/((-5/(((-5*(36.38--5))-(-5+((-5*36.38)*(((-5--5)+(36.38--5))+36.38))))-(-5+-5)))*-5)))/-5)--5)+(-5*(((36.38*(36.38-(-5/-5)))*(36.38-(36.38/(-5*36.38))))-(-5/-5)))))</f>
        <v>238190.58155999996</v>
      </c>
      <c r="C13639" t="n" s="0">
        <v>238190.58156000008</v>
      </c>
    </row>
    <row r="13640">
      <c r="A13640" t="n" s="0">
        <v>36.39</v>
      </c>
      <c r="B13640" t="n" s="0">
        <f>(-5-((((-5*(-5/((-5/(((-5*(36.39--5))-(-5+((-5*36.39)*(((-5--5)+(36.39--5))+36.39))))-(-5+-5)))*-5)))/-5)--5)+(-5*(((36.39*(36.39-(-5/-5)))*(36.39-(36.39/(-5*36.39))))-(-5/-5)))))</f>
        <v>238387.736395</v>
      </c>
      <c r="C13640" t="n" s="0">
        <v>238387.73639500004</v>
      </c>
    </row>
    <row r="13641">
      <c r="A13641" t="n" s="0">
        <v>36.4</v>
      </c>
      <c r="B13641" t="n" s="0">
        <f>(-5-((((-5*(-5/((-5/(((-5*(36.4--5))-(-5+((-5*36.4)*(((-5--5)+(36.4--5))+36.4))))-(-5+-5)))*-5)))/-5)--5)+(-5*(((36.4*(36.4-(-5/-5)))*(36.4-(36.4/(-5*36.4))))-(-5/-5)))))</f>
        <v>238585.0</v>
      </c>
      <c r="C13641" t="n" s="0">
        <v>238584.99999999997</v>
      </c>
    </row>
    <row r="13642">
      <c r="A13642" t="n" s="0">
        <v>36.41</v>
      </c>
      <c r="B13642" t="n" s="0">
        <f>(-5-((((-5*(-5/((-5/(((-5*(36.41--5))-(-5+((-5*36.41)*(((-5--5)+(36.41--5))+36.41))))-(-5+-5)))*-5)))/-5)--5)+(-5*(((36.41*(36.41-(-5/-5)))*(36.41-(36.41/(-5*36.41))))-(-5/-5)))))</f>
        <v>238782.372405</v>
      </c>
      <c r="C13642" t="n" s="0">
        <v>238782.37240499994</v>
      </c>
    </row>
    <row r="13643">
      <c r="A13643" t="n" s="0">
        <v>36.42</v>
      </c>
      <c r="B13643" t="n" s="0">
        <f>(-5-((((-5*(-5/((-5/(((-5*(36.42--5))-(-5+((-5*36.42)*(((-5--5)+(36.42--5))+36.42))))-(-5+-5)))*-5)))/-5)--5)+(-5*(((36.42*(36.42-(-5/-5)))*(36.42-(36.42/(-5*36.42))))-(-5/-5)))))</f>
        <v>238979.85364</v>
      </c>
      <c r="C13643" t="n" s="0">
        <v>238979.85364000004</v>
      </c>
    </row>
    <row r="13644">
      <c r="A13644" t="n" s="0">
        <v>36.43</v>
      </c>
      <c r="B13644" t="n" s="0">
        <f>(-5-((((-5*(-5/((-5/(((-5*(36.43--5))-(-5+((-5*36.43)*(((-5--5)+(36.43--5))+36.43))))-(-5+-5)))*-5)))/-5)--5)+(-5*(((36.43*(36.43-(-5/-5)))*(36.43-(36.43/(-5*36.43))))-(-5/-5)))))</f>
        <v>239177.44373499998</v>
      </c>
      <c r="C13644" t="n" s="0">
        <v>239177.443735</v>
      </c>
    </row>
    <row r="13645">
      <c r="A13645" t="n" s="0">
        <v>36.44</v>
      </c>
      <c r="B13645" t="n" s="0">
        <f>(-5-((((-5*(-5/((-5/(((-5*(36.44--5))-(-5+((-5*36.44)*(((-5--5)+(36.44--5))+36.44))))-(-5+-5)))*-5)))/-5)--5)+(-5*(((36.44*(36.44-(-5/-5)))*(36.44-(36.44/(-5*36.44))))-(-5/-5)))))</f>
        <v>239375.14272</v>
      </c>
      <c r="C13645" t="n" s="0">
        <v>239375.14271999997</v>
      </c>
    </row>
    <row r="13646">
      <c r="A13646" t="n" s="0">
        <v>36.45</v>
      </c>
      <c r="B13646" t="n" s="0">
        <f>(-5-((((-5*(-5/((-5/(((-5*(36.45--5))-(-5+((-5*36.45)*(((-5--5)+(36.45--5))+36.45))))-(-5+-5)))*-5)))/-5)--5)+(-5*(((36.45*(36.45-(-5/-5)))*(36.45-(36.45/(-5*36.45))))-(-5/-5)))))</f>
        <v>239572.950625</v>
      </c>
      <c r="C13646" t="n" s="0">
        <v>239572.95062500008</v>
      </c>
    </row>
    <row r="13647">
      <c r="A13647" t="n" s="0">
        <v>36.46</v>
      </c>
      <c r="B13647" t="n" s="0">
        <f>(-5-((((-5*(-5/((-5/(((-5*(36.46--5))-(-5+((-5*36.46)*(((-5--5)+(36.46--5))+36.46))))-(-5+-5)))*-5)))/-5)--5)+(-5*(((36.46*(36.46-(-5/-5)))*(36.46-(36.46/(-5*36.46))))-(-5/-5)))))</f>
        <v>239770.86748000002</v>
      </c>
      <c r="C13647" t="n" s="0">
        <v>239770.86748000002</v>
      </c>
    </row>
    <row r="13648">
      <c r="A13648" t="n" s="0">
        <v>36.47</v>
      </c>
      <c r="B13648" t="n" s="0">
        <f>(-5-((((-5*(-5/((-5/(((-5*(36.47--5))-(-5+((-5*36.47)*(((-5--5)+(36.47--5))+36.47))))-(-5+-5)))*-5)))/-5)--5)+(-5*(((36.47*(36.47-(-5/-5)))*(36.47-(36.47/(-5*36.47))))-(-5/-5)))))</f>
        <v>239968.893315</v>
      </c>
      <c r="C13648" t="n" s="0">
        <v>239968.893315</v>
      </c>
    </row>
    <row r="13649">
      <c r="A13649" t="n" s="0">
        <v>36.48</v>
      </c>
      <c r="B13649" t="n" s="0">
        <f>(-5-((((-5*(-5/((-5/(((-5*(36.48--5))-(-5+((-5*36.48)*(((-5--5)+(36.48--5))+36.48))))-(-5+-5)))*-5)))/-5)--5)+(-5*(((36.48*(36.48-(-5/-5)))*(36.48-(36.48/(-5*36.48))))-(-5/-5)))))</f>
        <v>240167.02816000002</v>
      </c>
      <c r="C13649" t="n" s="0">
        <v>240167.02815999993</v>
      </c>
    </row>
    <row r="13650">
      <c r="A13650" t="n" s="0">
        <v>36.49</v>
      </c>
      <c r="B13650" t="n" s="0">
        <f>(-5-((((-5*(-5/((-5/(((-5*(36.49--5))-(-5+((-5*36.49)*(((-5--5)+(36.49--5))+36.49))))-(-5+-5)))*-5)))/-5)--5)+(-5*(((36.49*(36.49-(-5/-5)))*(36.49-(36.49/(-5*36.49))))-(-5/-5)))))</f>
        <v>240365.27204500002</v>
      </c>
      <c r="C13650" t="n" s="0">
        <v>240365.27204500002</v>
      </c>
    </row>
    <row r="13651">
      <c r="A13651" t="n" s="0">
        <v>36.5</v>
      </c>
      <c r="B13651" t="n" s="0">
        <f>(-5-((((-5*(-5/((-5/(((-5*(36.5--5))-(-5+((-5*36.5)*(((-5--5)+(36.5--5))+36.5))))-(-5+-5)))*-5)))/-5)--5)+(-5*(((36.5*(36.5-(-5/-5)))*(36.5-(36.5/(-5*36.5))))-(-5/-5)))))</f>
        <v>240563.625</v>
      </c>
      <c r="C13651" t="n" s="0">
        <v>240563.625</v>
      </c>
    </row>
    <row r="13652">
      <c r="A13652" t="n" s="0">
        <v>36.51</v>
      </c>
      <c r="B13652" t="n" s="0">
        <f>(-5-((((-5*(-5/((-5/(((-5*(36.51--5))-(-5+((-5*36.51)*(((-5--5)+(36.51--5))+36.51))))-(-5+-5)))*-5)))/-5)--5)+(-5*(((36.51*(36.51-(-5/-5)))*(36.51-(36.51/(-5*36.51))))-(-5/-5)))))</f>
        <v>240762.087055</v>
      </c>
      <c r="C13652" t="n" s="0">
        <v>240762.08705499998</v>
      </c>
    </row>
    <row r="13653">
      <c r="A13653" t="n" s="0">
        <v>36.52</v>
      </c>
      <c r="B13653" t="n" s="0">
        <f>(-5-((((-5*(-5/((-5/(((-5*(36.52--5))-(-5+((-5*36.52)*(((-5--5)+(36.52--5))+36.52))))-(-5+-5)))*-5)))/-5)--5)+(-5*(((36.52*(36.52-(-5/-5)))*(36.52-(36.52/(-5*36.52))))-(-5/-5)))))</f>
        <v>240960.65824000002</v>
      </c>
      <c r="C13653" t="n" s="0">
        <v>240960.65824000008</v>
      </c>
    </row>
    <row r="13654">
      <c r="A13654" t="n" s="0">
        <v>36.53</v>
      </c>
      <c r="B13654" t="n" s="0">
        <f>(-5-((((-5*(-5/((-5/(((-5*(36.53--5))-(-5+((-5*36.53)*(((-5--5)+(36.53--5))+36.53))))-(-5+-5)))*-5)))/-5)--5)+(-5*(((36.53*(36.53-(-5/-5)))*(36.53-(36.53/(-5*36.53))))-(-5/-5)))))</f>
        <v>241159.338585</v>
      </c>
      <c r="C13654" t="n" s="0">
        <v>241159.33858500002</v>
      </c>
    </row>
    <row r="13655">
      <c r="A13655" t="n" s="0">
        <v>36.54</v>
      </c>
      <c r="B13655" t="n" s="0">
        <f>(-5-((((-5*(-5/((-5/(((-5*(36.54--5))-(-5+((-5*36.54)*(((-5--5)+(36.54--5))+36.54))))-(-5+-5)))*-5)))/-5)--5)+(-5*(((36.54*(36.54-(-5/-5)))*(36.54-(36.54/(-5*36.54))))-(-5/-5)))))</f>
        <v>241358.12812</v>
      </c>
      <c r="C13655" t="n" s="0">
        <v>241358.12811999995</v>
      </c>
    </row>
    <row r="13656">
      <c r="A13656" t="n" s="0">
        <v>36.55</v>
      </c>
      <c r="B13656" t="n" s="0">
        <f>(-5-((((-5*(-5/((-5/(((-5*(36.55--5))-(-5+((-5*36.55)*(((-5--5)+(36.55--5))+36.55))))-(-5+-5)))*-5)))/-5)--5)+(-5*(((36.55*(36.55-(-5/-5)))*(36.55-(36.55/(-5*36.55))))-(-5/-5)))))</f>
        <v>241557.026875</v>
      </c>
      <c r="C13656" t="n" s="0">
        <v>241557.02687499992</v>
      </c>
    </row>
    <row r="13657">
      <c r="A13657" t="n" s="0">
        <v>36.56</v>
      </c>
      <c r="B13657" t="n" s="0">
        <f>(-5-((((-5*(-5/((-5/(((-5*(36.56--5))-(-5+((-5*36.56)*(((-5--5)+(36.56--5))+36.56))))-(-5+-5)))*-5)))/-5)--5)+(-5*(((36.56*(36.56-(-5/-5)))*(36.56-(36.56/(-5*36.56))))-(-5/-5)))))</f>
        <v>241756.03488</v>
      </c>
      <c r="C13657" t="n" s="0">
        <v>241756.03488000005</v>
      </c>
    </row>
    <row r="13658">
      <c r="A13658" t="n" s="0">
        <v>36.57</v>
      </c>
      <c r="B13658" t="n" s="0">
        <f>(-5-((((-5*(-5/((-5/(((-5*(36.57--5))-(-5+((-5*36.57)*(((-5--5)+(36.57--5))+36.57))))-(-5+-5)))*-5)))/-5)--5)+(-5*(((36.57*(36.57-(-5/-5)))*(36.57-(36.57/(-5*36.57))))-(-5/-5)))))</f>
        <v>241955.152165</v>
      </c>
      <c r="C13658" t="n" s="0">
        <v>241955.152165</v>
      </c>
    </row>
    <row r="13659">
      <c r="A13659" t="n" s="0">
        <v>36.58</v>
      </c>
      <c r="B13659" t="n" s="0">
        <f>(-5-((((-5*(-5/((-5/(((-5*(36.58--5))-(-5+((-5*36.58)*(((-5--5)+(36.58--5))+36.58))))-(-5+-5)))*-5)))/-5)--5)+(-5*(((36.58*(36.58-(-5/-5)))*(36.58-(36.58/(-5*36.58))))-(-5/-5)))))</f>
        <v>242154.37875999996</v>
      </c>
      <c r="C13659" t="n" s="0">
        <v>242154.37875999996</v>
      </c>
    </row>
    <row r="13660">
      <c r="A13660" t="n" s="0">
        <v>36.59</v>
      </c>
      <c r="B13660" t="n" s="0">
        <f>(-5-((((-5*(-5/((-5/(((-5*(36.59--5))-(-5+((-5*36.59)*(((-5--5)+(36.59--5))+36.59))))-(-5+-5)))*-5)))/-5)--5)+(-5*(((36.59*(36.59-(-5/-5)))*(36.59-(36.59/(-5*36.59))))-(-5/-5)))))</f>
        <v>242353.714695</v>
      </c>
      <c r="C13660" t="n" s="0">
        <v>242353.71469500003</v>
      </c>
    </row>
    <row r="13661">
      <c r="A13661" t="n" s="0">
        <v>36.6</v>
      </c>
      <c r="B13661" t="n" s="0">
        <f>(-5-((((-5*(-5/((-5/(((-5*(36.6--5))-(-5+((-5*36.6)*(((-5--5)+(36.6--5))+36.6))))-(-5+-5)))*-5)))/-5)--5)+(-5*(((36.6*(36.6-(-5/-5)))*(36.6-(36.6/(-5*36.6))))-(-5/-5)))))</f>
        <v>242553.16</v>
      </c>
      <c r="C13661" t="n" s="0">
        <v>242553.16000000003</v>
      </c>
    </row>
    <row r="13662">
      <c r="A13662" t="n" s="0">
        <v>36.61</v>
      </c>
      <c r="B13662" t="n" s="0">
        <f>(-5-((((-5*(-5/((-5/(((-5*(36.61--5))-(-5+((-5*36.61)*(((-5--5)+(36.61--5))+36.61))))-(-5+-5)))*-5)))/-5)--5)+(-5*(((36.61*(36.61-(-5/-5)))*(36.61-(36.61/(-5*36.61))))-(-5/-5)))))</f>
        <v>242752.714705</v>
      </c>
      <c r="C13662" t="n" s="0">
        <v>242752.71470499996</v>
      </c>
    </row>
    <row r="13663">
      <c r="A13663" t="n" s="0">
        <v>36.62</v>
      </c>
      <c r="B13663" t="n" s="0">
        <f>(-5-((((-5*(-5/((-5/(((-5*(36.62--5))-(-5+((-5*36.62)*(((-5--5)+(36.62--5))+36.62))))-(-5+-5)))*-5)))/-5)--5)+(-5*(((36.62*(36.62-(-5/-5)))*(36.62-(36.62/(-5*36.62))))-(-5/-5)))))</f>
        <v>242952.37884</v>
      </c>
      <c r="C13663" t="n" s="0">
        <v>242952.37883999996</v>
      </c>
    </row>
    <row r="13664">
      <c r="A13664" t="n" s="0">
        <v>36.63</v>
      </c>
      <c r="B13664" t="n" s="0">
        <f>(-5-((((-5*(-5/((-5/(((-5*(36.63--5))-(-5+((-5*36.63)*(((-5--5)+(36.63--5))+36.63))))-(-5+-5)))*-5)))/-5)--5)+(-5*(((36.63*(36.63-(-5/-5)))*(36.63-(36.63/(-5*36.63))))-(-5/-5)))))</f>
        <v>243152.152435</v>
      </c>
      <c r="C13664" t="n" s="0">
        <v>243152.15243500008</v>
      </c>
    </row>
    <row r="13665">
      <c r="A13665" t="n" s="0">
        <v>36.64</v>
      </c>
      <c r="B13665" t="n" s="0">
        <f>(-5-((((-5*(-5/((-5/(((-5*(36.64--5))-(-5+((-5*36.64)*(((-5--5)+(36.64--5))+36.64))))-(-5+-5)))*-5)))/-5)--5)+(-5*(((36.64*(36.64-(-5/-5)))*(36.64-(36.64/(-5*36.64))))-(-5/-5)))))</f>
        <v>243352.03552</v>
      </c>
      <c r="C13665" t="n" s="0">
        <v>243352.03552</v>
      </c>
    </row>
    <row r="13666">
      <c r="A13666" t="n" s="0">
        <v>36.65</v>
      </c>
      <c r="B13666" t="n" s="0">
        <f>(-5-((((-5*(-5/((-5/(((-5*(36.65--5))-(-5+((-5*36.65)*(((-5--5)+(36.65--5))+36.65))))-(-5+-5)))*-5)))/-5)--5)+(-5*(((36.65*(36.65-(-5/-5)))*(36.65-(36.65/(-5*36.65))))-(-5/-5)))))</f>
        <v>243552.028125</v>
      </c>
      <c r="C13666" t="n" s="0">
        <v>243552.02812499995</v>
      </c>
    </row>
    <row r="13667">
      <c r="A13667" t="n" s="0">
        <v>36.66</v>
      </c>
      <c r="B13667" t="n" s="0">
        <f>(-5-((((-5*(-5/((-5/(((-5*(36.66--5))-(-5+((-5*36.66)*(((-5--5)+(36.66--5))+36.66))))-(-5+-5)))*-5)))/-5)--5)+(-5*(((36.66*(36.66-(-5/-5)))*(36.66-(36.66/(-5*36.66))))-(-5/-5)))))</f>
        <v>243752.13027999998</v>
      </c>
      <c r="C13667" t="n" s="0">
        <v>243752.13027999995</v>
      </c>
    </row>
    <row r="13668">
      <c r="A13668" t="n" s="0">
        <v>36.67</v>
      </c>
      <c r="B13668" t="n" s="0">
        <f>(-5-((((-5*(-5/((-5/(((-5*(36.67--5))-(-5+((-5*36.67)*(((-5--5)+(36.67--5))+36.67))))-(-5+-5)))*-5)))/-5)--5)+(-5*(((36.67*(36.67-(-5/-5)))*(36.67-(36.67/(-5*36.67))))-(-5/-5)))))</f>
        <v>243952.342015</v>
      </c>
      <c r="C13668" t="n" s="0">
        <v>243952.34201500006</v>
      </c>
    </row>
    <row r="13669">
      <c r="A13669" t="n" s="0">
        <v>36.68</v>
      </c>
      <c r="B13669" t="n" s="0">
        <f>(-5-((((-5*(-5/((-5/(((-5*(36.68--5))-(-5+((-5*36.68)*(((-5--5)+(36.68--5))+36.68))))-(-5+-5)))*-5)))/-5)--5)+(-5*(((36.68*(36.68-(-5/-5)))*(36.68-(36.68/(-5*36.68))))-(-5/-5)))))</f>
        <v>244152.66336</v>
      </c>
      <c r="C13669" t="n" s="0">
        <v>244152.66336</v>
      </c>
    </row>
    <row r="13670">
      <c r="A13670" t="n" s="0">
        <v>36.69</v>
      </c>
      <c r="B13670" t="n" s="0">
        <f>(-5-((((-5*(-5/((-5/(((-5*(36.69--5))-(-5+((-5*36.69)*(((-5--5)+(36.69--5))+36.69))))-(-5+-5)))*-5)))/-5)--5)+(-5*(((36.69*(36.69-(-5/-5)))*(36.69-(36.69/(-5*36.69))))-(-5/-5)))))</f>
        <v>244353.094345</v>
      </c>
      <c r="C13670" t="n" s="0">
        <v>244353.094345</v>
      </c>
    </row>
    <row r="13671">
      <c r="A13671" t="n" s="0">
        <v>36.7</v>
      </c>
      <c r="B13671" t="n" s="0">
        <f>(-5-((((-5*(-5/((-5/(((-5*(36.7--5))-(-5+((-5*36.7)*(((-5--5)+(36.7--5))+36.7))))-(-5+-5)))*-5)))/-5)--5)+(-5*(((36.7*(36.7-(-5/-5)))*(36.7-(36.7/(-5*36.7))))-(-5/-5)))))</f>
        <v>244553.635</v>
      </c>
      <c r="C13671" t="n" s="0">
        <v>244553.63500000007</v>
      </c>
    </row>
    <row r="13672">
      <c r="A13672" t="n" s="0">
        <v>36.71</v>
      </c>
      <c r="B13672" t="n" s="0">
        <f>(-5-((((-5*(-5/((-5/(((-5*(36.71--5))-(-5+((-5*36.71)*(((-5--5)+(36.71--5))+36.71))))-(-5+-5)))*-5)))/-5)--5)+(-5*(((36.71*(36.71-(-5/-5)))*(36.71-(36.71/(-5*36.71))))-(-5/-5)))))</f>
        <v>244754.28535499997</v>
      </c>
      <c r="C13672" t="n" s="0">
        <v>244754.28535500003</v>
      </c>
    </row>
    <row r="13673">
      <c r="A13673" t="n" s="0">
        <v>36.72</v>
      </c>
      <c r="B13673" t="n" s="0">
        <f>(-5-((((-5*(-5/((-5/(((-5*(36.72--5))-(-5+((-5*36.72)*(((-5--5)+(36.72--5))+36.72))))-(-5+-5)))*-5)))/-5)--5)+(-5*(((36.72*(36.72-(-5/-5)))*(36.72-(36.72/(-5*36.72))))-(-5/-5)))))</f>
        <v>244955.04543999996</v>
      </c>
      <c r="C13673" t="n" s="0">
        <v>244955.04544</v>
      </c>
    </row>
    <row r="13674">
      <c r="A13674" t="n" s="0">
        <v>36.73</v>
      </c>
      <c r="B13674" t="n" s="0">
        <f>(-5-((((-5*(-5/((-5/(((-5*(36.73--5))-(-5+((-5*36.73)*(((-5--5)+(36.73--5))+36.73))))-(-5+-5)))*-5)))/-5)--5)+(-5*(((36.73*(36.73-(-5/-5)))*(36.73-(36.73/(-5*36.73))))-(-5/-5)))))</f>
        <v>245155.915285</v>
      </c>
      <c r="C13674" t="n" s="0">
        <v>245155.91528499994</v>
      </c>
    </row>
    <row r="13675">
      <c r="A13675" t="n" s="0">
        <v>36.74</v>
      </c>
      <c r="B13675" t="n" s="0">
        <f>(-5-((((-5*(-5/((-5/(((-5*(36.74--5))-(-5+((-5*36.74)*(((-5--5)+(36.74--5))+36.74))))-(-5+-5)))*-5)))/-5)--5)+(-5*(((36.74*(36.74-(-5/-5)))*(36.74-(36.74/(-5*36.74))))-(-5/-5)))))</f>
        <v>245356.89492</v>
      </c>
      <c r="C13675" t="n" s="0">
        <v>245356.89492000002</v>
      </c>
    </row>
    <row r="13676">
      <c r="A13676" t="n" s="0">
        <v>36.75</v>
      </c>
      <c r="B13676" t="n" s="0">
        <f>(-5-((((-5*(-5/((-5/(((-5*(36.75--5))-(-5+((-5*36.75)*(((-5--5)+(36.75--5))+36.75))))-(-5+-5)))*-5)))/-5)--5)+(-5*(((36.75*(36.75-(-5/-5)))*(36.75-(36.75/(-5*36.75))))-(-5/-5)))))</f>
        <v>245557.984375</v>
      </c>
      <c r="C13676" t="n" s="0">
        <v>245557.984375</v>
      </c>
    </row>
    <row r="13677">
      <c r="A13677" t="n" s="0">
        <v>36.76</v>
      </c>
      <c r="B13677" t="n" s="0">
        <f>(-5-((((-5*(-5/((-5/(((-5*(36.76--5))-(-5+((-5*36.76)*(((-5--5)+(36.76--5))+36.76))))-(-5+-5)))*-5)))/-5)--5)+(-5*(((36.76*(36.76-(-5/-5)))*(36.76-(36.76/(-5*36.76))))-(-5/-5)))))</f>
        <v>245759.18368</v>
      </c>
      <c r="C13677" t="n" s="0">
        <v>245759.18367999996</v>
      </c>
    </row>
    <row r="13678">
      <c r="A13678" t="n" s="0">
        <v>36.77</v>
      </c>
      <c r="B13678" t="n" s="0">
        <f>(-5-((((-5*(-5/((-5/(((-5*(36.77--5))-(-5+((-5*36.77)*(((-5--5)+(36.77--5))+36.77))))-(-5+-5)))*-5)))/-5)--5)+(-5*(((36.77*(36.77-(-5/-5)))*(36.77-(36.77/(-5*36.77))))-(-5/-5)))))</f>
        <v>245960.49286500004</v>
      </c>
      <c r="C13678" t="n" s="0">
        <v>245960.49286500004</v>
      </c>
    </row>
    <row r="13679">
      <c r="A13679" t="n" s="0">
        <v>36.78</v>
      </c>
      <c r="B13679" t="n" s="0">
        <f>(-5-((((-5*(-5/((-5/(((-5*(36.78--5))-(-5+((-5*36.78)*(((-5--5)+(36.78--5))+36.78))))-(-5+-5)))*-5)))/-5)--5)+(-5*(((36.78*(36.78-(-5/-5)))*(36.78-(36.78/(-5*36.78))))-(-5/-5)))))</f>
        <v>246161.91196</v>
      </c>
      <c r="C13679" t="n" s="0">
        <v>246161.91196000003</v>
      </c>
    </row>
    <row r="13680">
      <c r="A13680" t="n" s="0">
        <v>36.79</v>
      </c>
      <c r="B13680" t="n" s="0">
        <f>(-5-((((-5*(-5/((-5/(((-5*(36.79--5))-(-5+((-5*36.79)*(((-5--5)+(36.79--5))+36.79))))-(-5+-5)))*-5)))/-5)--5)+(-5*(((36.79*(36.79-(-5/-5)))*(36.79-(36.79/(-5*36.79))))-(-5/-5)))))</f>
        <v>246363.440995</v>
      </c>
      <c r="C13680" t="n" s="0">
        <v>246363.44099499995</v>
      </c>
    </row>
    <row r="13681">
      <c r="A13681" t="n" s="0">
        <v>36.8</v>
      </c>
      <c r="B13681" t="n" s="0">
        <f>(-5-((((-5*(-5/((-5/(((-5*(36.8--5))-(-5+((-5*36.8)*(((-5--5)+(36.8--5))+36.8))))-(-5+-5)))*-5)))/-5)--5)+(-5*(((36.8*(36.8-(-5/-5)))*(36.8-(36.8/(-5*36.8))))-(-5/-5)))))</f>
        <v>246565.08</v>
      </c>
      <c r="C13681" t="n" s="0">
        <v>246565.07999999996</v>
      </c>
    </row>
    <row r="13682">
      <c r="A13682" t="n" s="0">
        <v>36.81</v>
      </c>
      <c r="B13682" t="n" s="0">
        <f>(-5-((((-5*(-5/((-5/(((-5*(36.81--5))-(-5+((-5*36.81)*(((-5--5)+(36.81--5))+36.81))))-(-5+-5)))*-5)))/-5)--5)+(-5*(((36.81*(36.81-(-5/-5)))*(36.81-(36.81/(-5*36.81))))-(-5/-5)))))</f>
        <v>246766.82900499998</v>
      </c>
      <c r="C13682" t="n" s="0">
        <v>246766.82900500004</v>
      </c>
    </row>
    <row r="13683">
      <c r="A13683" t="n" s="0">
        <v>36.82</v>
      </c>
      <c r="B13683" t="n" s="0">
        <f>(-5-((((-5*(-5/((-5/(((-5*(36.82--5))-(-5+((-5*36.82)*(((-5--5)+(36.82--5))+36.82))))-(-5+-5)))*-5)))/-5)--5)+(-5*(((36.82*(36.82-(-5/-5)))*(36.82-(36.82/(-5*36.82))))-(-5/-5)))))</f>
        <v>246968.68804</v>
      </c>
      <c r="C13683" t="n" s="0">
        <v>246968.68803999998</v>
      </c>
    </row>
    <row r="13684">
      <c r="A13684" t="n" s="0">
        <v>36.83</v>
      </c>
      <c r="B13684" t="n" s="0">
        <f>(-5-((((-5*(-5/((-5/(((-5*(36.83--5))-(-5+((-5*36.83)*(((-5--5)+(36.83--5))+36.83))))-(-5+-5)))*-5)))/-5)--5)+(-5*(((36.83*(36.83-(-5/-5)))*(36.83-(36.83/(-5*36.83))))-(-5/-5)))))</f>
        <v>247170.65713500002</v>
      </c>
      <c r="C13684" t="n" s="0">
        <v>247170.65713499996</v>
      </c>
    </row>
    <row r="13685">
      <c r="A13685" t="n" s="0">
        <v>36.84</v>
      </c>
      <c r="B13685" t="n" s="0">
        <f>(-5-((((-5*(-5/((-5/(((-5*(36.84--5))-(-5+((-5*36.84)*(((-5--5)+(36.84--5))+36.84))))-(-5+-5)))*-5)))/-5)--5)+(-5*(((36.84*(36.84-(-5/-5)))*(36.84-(36.84/(-5*36.84))))-(-5/-5)))))</f>
        <v>247372.73632</v>
      </c>
      <c r="C13685" t="n" s="0">
        <v>247372.73632000005</v>
      </c>
    </row>
    <row r="13686">
      <c r="A13686" t="n" s="0">
        <v>36.85</v>
      </c>
      <c r="B13686" t="n" s="0">
        <f>(-5-((((-5*(-5/((-5/(((-5*(36.85--5))-(-5+((-5*36.85)*(((-5--5)+(36.85--5))+36.85))))-(-5+-5)))*-5)))/-5)--5)+(-5*(((36.85*(36.85-(-5/-5)))*(36.85-(36.85/(-5*36.85))))-(-5/-5)))))</f>
        <v>247574.925625</v>
      </c>
      <c r="C13686" t="n" s="0">
        <v>247574.92562500003</v>
      </c>
    </row>
    <row r="13687">
      <c r="A13687" t="n" s="0">
        <v>36.86</v>
      </c>
      <c r="B13687" t="n" s="0">
        <f>(-5-((((-5*(-5/((-5/(((-5*(36.86--5))-(-5+((-5*36.86)*(((-5--5)+(36.86--5))+36.86))))-(-5+-5)))*-5)))/-5)--5)+(-5*(((36.86*(36.86-(-5/-5)))*(36.86-(36.86/(-5*36.86))))-(-5/-5)))))</f>
        <v>247777.22507999997</v>
      </c>
      <c r="C13687" t="n" s="0">
        <v>247777.22507999995</v>
      </c>
    </row>
    <row r="13688">
      <c r="A13688" t="n" s="0">
        <v>36.87</v>
      </c>
      <c r="B13688" t="n" s="0">
        <f>(-5-((((-5*(-5/((-5/(((-5*(36.87--5))-(-5+((-5*36.87)*(((-5--5)+(36.87--5))+36.87))))-(-5+-5)))*-5)))/-5)--5)+(-5*(((36.87*(36.87-(-5/-5)))*(36.87-(36.87/(-5*36.87))))-(-5/-5)))))</f>
        <v>247979.634715</v>
      </c>
      <c r="C13688" t="n" s="0">
        <v>247979.63471499993</v>
      </c>
    </row>
    <row r="13689">
      <c r="A13689" t="n" s="0">
        <v>36.88</v>
      </c>
      <c r="B13689" t="n" s="0">
        <f>(-5-((((-5*(-5/((-5/(((-5*(36.88--5))-(-5+((-5*36.88)*(((-5--5)+(36.88--5))+36.88))))-(-5+-5)))*-5)))/-5)--5)+(-5*(((36.88*(36.88-(-5/-5)))*(36.88-(36.88/(-5*36.88))))-(-5/-5)))))</f>
        <v>248182.15456</v>
      </c>
      <c r="C13689" t="n" s="0">
        <v>248182.15456000008</v>
      </c>
    </row>
    <row r="13690">
      <c r="A13690" t="n" s="0">
        <v>36.89</v>
      </c>
      <c r="B13690" t="n" s="0">
        <f>(-5-((((-5*(-5/((-5/(((-5*(36.89--5))-(-5+((-5*36.89)*(((-5--5)+(36.89--5))+36.89))))-(-5+-5)))*-5)))/-5)--5)+(-5*(((36.89*(36.89-(-5/-5)))*(36.89-(36.89/(-5*36.89))))-(-5/-5)))))</f>
        <v>248384.784645</v>
      </c>
      <c r="C13690" t="n" s="0">
        <v>248384.78464500004</v>
      </c>
    </row>
    <row r="13691">
      <c r="A13691" t="n" s="0">
        <v>36.9</v>
      </c>
      <c r="B13691" t="n" s="0">
        <f>(-5-((((-5*(-5/((-5/(((-5*(36.9--5))-(-5+((-5*36.9)*(((-5--5)+(36.9--5))+36.9))))-(-5+-5)))*-5)))/-5)--5)+(-5*(((36.9*(36.9-(-5/-5)))*(36.9-(36.9/(-5*36.9))))-(-5/-5)))))</f>
        <v>248587.525</v>
      </c>
      <c r="C13691" t="n" s="0">
        <v>248587.52499999997</v>
      </c>
    </row>
    <row r="13692">
      <c r="A13692" t="n" s="0">
        <v>36.91</v>
      </c>
      <c r="B13692" t="n" s="0">
        <f>(-5-((((-5*(-5/((-5/(((-5*(36.91--5))-(-5+((-5*36.91)*(((-5--5)+(36.91--5))+36.91))))-(-5+-5)))*-5)))/-5)--5)+(-5*(((36.91*(36.91-(-5/-5)))*(36.91-(36.91/(-5*36.91))))-(-5/-5)))))</f>
        <v>248790.37565499998</v>
      </c>
      <c r="C13692" t="n" s="0">
        <v>248790.37565499992</v>
      </c>
    </row>
    <row r="13693">
      <c r="A13693" t="n" s="0">
        <v>36.92</v>
      </c>
      <c r="B13693" t="n" s="0">
        <f>(-5-((((-5*(-5/((-5/(((-5*(36.92--5))-(-5+((-5*36.92)*(((-5--5)+(36.92--5))+36.92))))-(-5+-5)))*-5)))/-5)--5)+(-5*(((36.92*(36.92-(-5/-5)))*(36.92-(36.92/(-5*36.92))))-(-5/-5)))))</f>
        <v>248993.33664000002</v>
      </c>
      <c r="C13693" t="n" s="0">
        <v>248993.33664000005</v>
      </c>
    </row>
    <row r="13694">
      <c r="A13694" t="n" s="0">
        <v>36.93</v>
      </c>
      <c r="B13694" t="n" s="0">
        <f>(-5-((((-5*(-5/((-5/(((-5*(36.93--5))-(-5+((-5*36.93)*(((-5--5)+(36.93--5))+36.93))))-(-5+-5)))*-5)))/-5)--5)+(-5*(((36.93*(36.93-(-5/-5)))*(36.93-(36.93/(-5*36.93))))-(-5/-5)))))</f>
        <v>249196.407985</v>
      </c>
      <c r="C13694" t="n" s="0">
        <v>249196.407985</v>
      </c>
    </row>
    <row r="13695">
      <c r="A13695" t="n" s="0">
        <v>36.94</v>
      </c>
      <c r="B13695" t="n" s="0">
        <f>(-5-((((-5*(-5/((-5/(((-5*(36.94--5))-(-5+((-5*36.94)*(((-5--5)+(36.94--5))+36.94))))-(-5+-5)))*-5)))/-5)--5)+(-5*(((36.94*(36.94-(-5/-5)))*(36.94-(36.94/(-5*36.94))))-(-5/-5)))))</f>
        <v>249399.58972</v>
      </c>
      <c r="C13695" t="n" s="0">
        <v>249399.58972</v>
      </c>
    </row>
    <row r="13696">
      <c r="A13696" t="n" s="0">
        <v>36.95</v>
      </c>
      <c r="B13696" t="n" s="0">
        <f>(-5-((((-5*(-5/((-5/(((-5*(36.95--5))-(-5+((-5*36.95)*(((-5--5)+(36.95--5))+36.95))))-(-5+-5)))*-5)))/-5)--5)+(-5*(((36.95*(36.95-(-5/-5)))*(36.95-(36.95/(-5*36.95))))-(-5/-5)))))</f>
        <v>249602.881875</v>
      </c>
      <c r="C13696" t="n" s="0">
        <v>249602.88187500008</v>
      </c>
    </row>
    <row r="13697">
      <c r="A13697" t="n" s="0">
        <v>36.96</v>
      </c>
      <c r="B13697" t="n" s="0">
        <f>(-5-((((-5*(-5/((-5/(((-5*(36.96--5))-(-5+((-5*36.96)*(((-5--5)+(36.96--5))+36.96))))-(-5+-5)))*-5)))/-5)--5)+(-5*(((36.96*(36.96-(-5/-5)))*(36.96-(36.96/(-5*36.96))))-(-5/-5)))))</f>
        <v>249806.28448</v>
      </c>
      <c r="C13697" t="n" s="0">
        <v>249806.28448000003</v>
      </c>
    </row>
    <row r="13698">
      <c r="A13698" t="n" s="0">
        <v>36.97</v>
      </c>
      <c r="B13698" t="n" s="0">
        <f>(-5-((((-5*(-5/((-5/(((-5*(36.97--5))-(-5+((-5*36.97)*(((-5--5)+(36.97--5))+36.97))))-(-5+-5)))*-5)))/-5)--5)+(-5*(((36.97*(36.97-(-5/-5)))*(36.97-(36.97/(-5*36.97))))-(-5/-5)))))</f>
        <v>250009.79756499996</v>
      </c>
      <c r="C13698" t="n" s="0">
        <v>250009.79756499996</v>
      </c>
    </row>
    <row r="13699">
      <c r="A13699" t="n" s="0">
        <v>36.98</v>
      </c>
      <c r="B13699" t="n" s="0">
        <f>(-5-((((-5*(-5/((-5/(((-5*(36.98--5))-(-5+((-5*36.98)*(((-5--5)+(36.98--5))+36.98))))-(-5+-5)))*-5)))/-5)--5)+(-5*(((36.98*(36.98-(-5/-5)))*(36.98-(36.98/(-5*36.98))))-(-5/-5)))))</f>
        <v>250213.42116</v>
      </c>
      <c r="C13699" t="n" s="0">
        <v>250213.42115999997</v>
      </c>
    </row>
    <row r="13700">
      <c r="A13700" t="n" s="0">
        <v>36.99</v>
      </c>
      <c r="B13700" t="n" s="0">
        <f>(-5-((((-5*(-5/((-5/(((-5*(36.99--5))-(-5+((-5*36.99)*(((-5--5)+(36.99--5))+36.99))))-(-5+-5)))*-5)))/-5)--5)+(-5*(((36.99*(36.99-(-5/-5)))*(36.99-(36.99/(-5*36.99))))-(-5/-5)))))</f>
        <v>250417.155295</v>
      </c>
      <c r="C13700" t="n" s="0">
        <v>250417.15529500006</v>
      </c>
    </row>
    <row r="13701">
      <c r="A13701" t="n" s="0">
        <v>37.0</v>
      </c>
      <c r="B13701" t="n" s="0">
        <f>(-5-((((-5*(-5/((-5/(((-5*(37--5))-(-5+((-5*37)*(((-5--5)+(37--5))+37))))-(-5+-5)))*-5)))/-5)--5)+(-5*(((37*(37-(-5/-5)))*(37-(37/(-5*37))))-(-5/-5)))))</f>
        <v>250621.0</v>
      </c>
      <c r="C13701" t="n" s="0">
        <v>250621.0</v>
      </c>
    </row>
    <row r="13702">
      <c r="A13702" t="n" s="0">
        <v>37.01</v>
      </c>
      <c r="B13702" t="n" s="0">
        <f>(-5-((((-5*(-5/((-5/(((-5*(37.01--5))-(-5+((-5*37.01)*(((-5--5)+(37.01--5))+37.01))))-(-5+-5)))*-5)))/-5)--5)+(-5*(((37.01*(37.01-(-5/-5)))*(37.01-(37.01/(-5*37.01))))-(-5/-5)))))</f>
        <v>250824.95530499998</v>
      </c>
      <c r="C13702" t="n" s="0">
        <v>250824.95530499995</v>
      </c>
    </row>
    <row r="13703">
      <c r="A13703" t="n" s="0">
        <v>37.02</v>
      </c>
      <c r="B13703" t="n" s="0">
        <f>(-5-((((-5*(-5/((-5/(((-5*(37.02--5))-(-5+((-5*37.02)*(((-5--5)+(37.02--5))+37.02))))-(-5+-5)))*-5)))/-5)--5)+(-5*(((37.02*(37.02-(-5/-5)))*(37.02-(37.02/(-5*37.02))))-(-5/-5)))))</f>
        <v>251029.02124</v>
      </c>
      <c r="C13703" t="n" s="0">
        <v>251029.0212400001</v>
      </c>
    </row>
    <row r="13704">
      <c r="A13704" t="n" s="0">
        <v>37.03</v>
      </c>
      <c r="B13704" t="n" s="0">
        <f>(-5-((((-5*(-5/((-5/(((-5*(37.03--5))-(-5+((-5*37.03)*(((-5--5)+(37.03--5))+37.03))))-(-5+-5)))*-5)))/-5)--5)+(-5*(((37.03*(37.03-(-5/-5)))*(37.03-(37.03/(-5*37.03))))-(-5/-5)))))</f>
        <v>251233.197835</v>
      </c>
      <c r="C13704" t="n" s="0">
        <v>251233.197835</v>
      </c>
    </row>
    <row r="13705">
      <c r="A13705" t="n" s="0">
        <v>37.04</v>
      </c>
      <c r="B13705" t="n" s="0">
        <f>(-5-((((-5*(-5/((-5/(((-5*(37.04--5))-(-5+((-5*37.04)*(((-5--5)+(37.04--5))+37.04))))-(-5+-5)))*-5)))/-5)--5)+(-5*(((37.04*(37.04-(-5/-5)))*(37.04-(37.04/(-5*37.04))))-(-5/-5)))))</f>
        <v>251437.48512</v>
      </c>
      <c r="C13705" t="n" s="0">
        <v>251437.48511999997</v>
      </c>
    </row>
    <row r="13706">
      <c r="A13706" t="n" s="0">
        <v>37.05</v>
      </c>
      <c r="B13706" t="n" s="0">
        <f>(-5-((((-5*(-5/((-5/(((-5*(37.05--5))-(-5+((-5*37.05)*(((-5--5)+(37.05--5))+37.05))))-(-5+-5)))*-5)))/-5)--5)+(-5*(((37.05*(37.05-(-5/-5)))*(37.05-(37.05/(-5*37.05))))-(-5/-5)))))</f>
        <v>251641.88312500002</v>
      </c>
      <c r="C13706" t="n" s="0">
        <v>251641.88312499993</v>
      </c>
    </row>
    <row r="13707">
      <c r="A13707" t="n" s="0">
        <v>37.06</v>
      </c>
      <c r="B13707" t="n" s="0">
        <f>(-5-((((-5*(-5/((-5/(((-5*(37.06--5))-(-5+((-5*37.06)*(((-5--5)+(37.06--5))+37.06))))-(-5+-5)))*-5)))/-5)--5)+(-5*(((37.06*(37.06-(-5/-5)))*(37.06-(37.06/(-5*37.06))))-(-5/-5)))))</f>
        <v>251846.39187999998</v>
      </c>
      <c r="C13707" t="n" s="0">
        <v>251846.39188000004</v>
      </c>
    </row>
    <row r="13708">
      <c r="A13708" t="n" s="0">
        <v>37.07</v>
      </c>
      <c r="B13708" t="n" s="0">
        <f>(-5-((((-5*(-5/((-5/(((-5*(37.07--5))-(-5+((-5*37.07)*(((-5--5)+(37.07--5))+37.07))))-(-5+-5)))*-5)))/-5)--5)+(-5*(((37.07*(37.07-(-5/-5)))*(37.07-(37.07/(-5*37.07))))-(-5/-5)))))</f>
        <v>252051.01141500002</v>
      </c>
      <c r="C13708" t="n" s="0">
        <v>252051.01141500002</v>
      </c>
    </row>
    <row r="13709">
      <c r="A13709" t="n" s="0">
        <v>37.08</v>
      </c>
      <c r="B13709" t="n" s="0">
        <f>(-5-((((-5*(-5/((-5/(((-5*(37.08--5))-(-5+((-5*37.08)*(((-5--5)+(37.08--5))+37.08))))-(-5+-5)))*-5)))/-5)--5)+(-5*(((37.08*(37.08-(-5/-5)))*(37.08-(37.08/(-5*37.08))))-(-5/-5)))))</f>
        <v>252255.74176</v>
      </c>
      <c r="C13709" t="n" s="0">
        <v>252255.74175999995</v>
      </c>
    </row>
    <row r="13710">
      <c r="A13710" t="n" s="0">
        <v>37.09</v>
      </c>
      <c r="B13710" t="n" s="0">
        <f>(-5-((((-5*(-5/((-5/(((-5*(37.09--5))-(-5+((-5*37.09)*(((-5--5)+(37.09--5))+37.09))))-(-5+-5)))*-5)))/-5)--5)+(-5*(((37.09*(37.09-(-5/-5)))*(37.09-(37.09/(-5*37.09))))-(-5/-5)))))</f>
        <v>252460.582945</v>
      </c>
      <c r="C13710" t="n" s="0">
        <v>252460.58294500006</v>
      </c>
    </row>
    <row r="13711">
      <c r="A13711" t="n" s="0">
        <v>37.1</v>
      </c>
      <c r="B13711" t="n" s="0">
        <f>(-5-((((-5*(-5/((-5/(((-5*(37.1--5))-(-5+((-5*37.1)*(((-5--5)+(37.1--5))+37.1))))-(-5+-5)))*-5)))/-5)--5)+(-5*(((37.1*(37.1-(-5/-5)))*(37.1-(37.1/(-5*37.1))))-(-5/-5)))))</f>
        <v>252665.53499999997</v>
      </c>
      <c r="C13711" t="n" s="0">
        <v>252665.53500000003</v>
      </c>
    </row>
    <row r="13712">
      <c r="A13712" t="n" s="0">
        <v>37.11</v>
      </c>
      <c r="B13712" t="n" s="0">
        <f>(-5-((((-5*(-5/((-5/(((-5*(37.11--5))-(-5+((-5*37.11)*(((-5--5)+(37.11--5))+37.11))))-(-5+-5)))*-5)))/-5)--5)+(-5*(((37.11*(37.11-(-5/-5)))*(37.11-(37.11/(-5*37.11))))-(-5/-5)))))</f>
        <v>252870.59795499998</v>
      </c>
      <c r="C13712" t="n" s="0">
        <v>252870.59795499995</v>
      </c>
    </row>
    <row r="13713">
      <c r="A13713" t="n" s="0">
        <v>37.12</v>
      </c>
      <c r="B13713" t="n" s="0">
        <f>(-5-((((-5*(-5/((-5/(((-5*(37.12--5))-(-5+((-5*37.12)*(((-5--5)+(37.12--5))+37.12))))-(-5+-5)))*-5)))/-5)--5)+(-5*(((37.12*(37.12-(-5/-5)))*(37.12-(37.12/(-5*37.12))))-(-5/-5)))))</f>
        <v>253075.77184</v>
      </c>
      <c r="C13713" t="n" s="0">
        <v>253075.7718399999</v>
      </c>
    </row>
    <row r="13714">
      <c r="A13714" t="n" s="0">
        <v>37.13</v>
      </c>
      <c r="B13714" t="n" s="0">
        <f>(-5-((((-5*(-5/((-5/(((-5*(37.13--5))-(-5+((-5*37.13)*(((-5--5)+(37.13--5))+37.13))))-(-5+-5)))*-5)))/-5)--5)+(-5*(((37.13*(37.13-(-5/-5)))*(37.13-(37.13/(-5*37.13))))-(-5/-5)))))</f>
        <v>253281.05668500002</v>
      </c>
      <c r="C13714" t="n" s="0">
        <v>253281.05668500008</v>
      </c>
    </row>
    <row r="13715">
      <c r="A13715" t="n" s="0">
        <v>37.14</v>
      </c>
      <c r="B13715" t="n" s="0">
        <f>(-5-((((-5*(-5/((-5/(((-5*(37.14--5))-(-5+((-5*37.14)*(((-5--5)+(37.14--5))+37.14))))-(-5+-5)))*-5)))/-5)--5)+(-5*(((37.14*(37.14-(-5/-5)))*(37.14-(37.14/(-5*37.14))))-(-5/-5)))))</f>
        <v>253486.45252000002</v>
      </c>
      <c r="C13715" t="n" s="0">
        <v>253486.45252000002</v>
      </c>
    </row>
    <row r="13716">
      <c r="A13716" t="n" s="0">
        <v>37.15</v>
      </c>
      <c r="B13716" t="n" s="0">
        <f>(-5-((((-5*(-5/((-5/(((-5*(37.15--5))-(-5+((-5*37.15)*(((-5--5)+(37.15--5))+37.15))))-(-5+-5)))*-5)))/-5)--5)+(-5*(((37.15*(37.15-(-5/-5)))*(37.15-(37.15/(-5*37.15))))-(-5/-5)))))</f>
        <v>253691.959375</v>
      </c>
      <c r="C13716" t="n" s="0">
        <v>253691.95937499998</v>
      </c>
    </row>
    <row r="13717">
      <c r="A13717" t="n" s="0">
        <v>37.16</v>
      </c>
      <c r="B13717" t="n" s="0">
        <f>(-5-((((-5*(-5/((-5/(((-5*(37.16--5))-(-5+((-5*37.16)*(((-5--5)+(37.16--5))+37.16))))-(-5+-5)))*-5)))/-5)--5)+(-5*(((37.16*(37.16-(-5/-5)))*(37.16-(37.16/(-5*37.16))))-(-5/-5)))))</f>
        <v>253897.57728</v>
      </c>
      <c r="C13717" t="n" s="0">
        <v>253897.5772799999</v>
      </c>
    </row>
    <row r="13718">
      <c r="A13718" t="n" s="0">
        <v>37.17</v>
      </c>
      <c r="B13718" t="n" s="0">
        <f>(-5-((((-5*(-5/((-5/(((-5*(37.17--5))-(-5+((-5*37.17)*(((-5--5)+(37.17--5))+37.17))))-(-5+-5)))*-5)))/-5)--5)+(-5*(((37.17*(37.17-(-5/-5)))*(37.17-(37.17/(-5*37.17))))-(-5/-5)))))</f>
        <v>254103.306265</v>
      </c>
      <c r="C13718" t="n" s="0">
        <v>254103.30626500005</v>
      </c>
    </row>
    <row r="13719">
      <c r="A13719" t="n" s="0">
        <v>37.18</v>
      </c>
      <c r="B13719" t="n" s="0">
        <f>(-5-((((-5*(-5/((-5/(((-5*(37.18--5))-(-5+((-5*37.18)*(((-5--5)+(37.18--5))+37.18))))-(-5+-5)))*-5)))/-5)--5)+(-5*(((37.18*(37.18-(-5/-5)))*(37.18-(37.18/(-5*37.18))))-(-5/-5)))))</f>
        <v>254309.14636</v>
      </c>
      <c r="C13719" t="n" s="0">
        <v>254309.14635999998</v>
      </c>
    </row>
    <row r="13720">
      <c r="A13720" t="n" s="0">
        <v>37.19</v>
      </c>
      <c r="B13720" t="n" s="0">
        <f>(-5-((((-5*(-5/((-5/(((-5*(37.19--5))-(-5+((-5*37.19)*(((-5--5)+(37.19--5))+37.19))))-(-5+-5)))*-5)))/-5)--5)+(-5*(((37.19*(37.19-(-5/-5)))*(37.19-(37.19/(-5*37.19))))-(-5/-5)))))</f>
        <v>254515.097595</v>
      </c>
      <c r="C13720" t="n" s="0">
        <v>254515.09759499997</v>
      </c>
    </row>
    <row r="13721">
      <c r="A13721" t="n" s="0">
        <v>37.2</v>
      </c>
      <c r="B13721" t="n" s="0">
        <f>(-5-((((-5*(-5/((-5/(((-5*(37.2--5))-(-5+((-5*37.2)*(((-5--5)+(37.2--5))+37.2))))-(-5+-5)))*-5)))/-5)--5)+(-5*(((37.2*(37.2-(-5/-5)))*(37.2-(37.2/(-5*37.2))))-(-5/-5)))))</f>
        <v>254721.16</v>
      </c>
      <c r="C13721" t="n" s="0">
        <v>254721.16000000006</v>
      </c>
    </row>
    <row r="13722">
      <c r="A13722" t="n" s="0">
        <v>37.21</v>
      </c>
      <c r="B13722" t="n" s="0">
        <f>(-5-((((-5*(-5/((-5/(((-5*(37.21--5))-(-5+((-5*37.21)*(((-5--5)+(37.21--5))+37.21))))-(-5+-5)))*-5)))/-5)--5)+(-5*(((37.21*(37.21-(-5/-5)))*(37.21-(37.21/(-5*37.21))))-(-5/-5)))))</f>
        <v>254927.33360500002</v>
      </c>
      <c r="C13722" t="n" s="0">
        <v>254927.333605</v>
      </c>
    </row>
    <row r="13723">
      <c r="A13723" t="n" s="0">
        <v>37.22</v>
      </c>
      <c r="B13723" t="n" s="0">
        <f>(-5-((((-5*(-5/((-5/(((-5*(37.22--5))-(-5+((-5*37.22)*(((-5--5)+(37.22--5))+37.22))))-(-5+-5)))*-5)))/-5)--5)+(-5*(((37.22*(37.22-(-5/-5)))*(37.22-(37.22/(-5*37.22))))-(-5/-5)))))</f>
        <v>255133.61844</v>
      </c>
      <c r="C13723" t="n" s="0">
        <v>255133.61844</v>
      </c>
    </row>
    <row r="13724">
      <c r="A13724" t="n" s="0">
        <v>37.23</v>
      </c>
      <c r="B13724" t="n" s="0">
        <f>(-5-((((-5*(-5/((-5/(((-5*(37.23--5))-(-5+((-5*37.23)*(((-5--5)+(37.23--5))+37.23))))-(-5+-5)))*-5)))/-5)--5)+(-5*(((37.23*(37.23-(-5/-5)))*(37.23-(37.23/(-5*37.23))))-(-5/-5)))))</f>
        <v>255340.01453500002</v>
      </c>
      <c r="C13724" t="n" s="0">
        <v>255340.01453499994</v>
      </c>
    </row>
    <row r="13725">
      <c r="A13725" t="n" s="0">
        <v>37.24</v>
      </c>
      <c r="B13725" t="n" s="0">
        <f>(-5-((((-5*(-5/((-5/(((-5*(37.24--5))-(-5+((-5*37.24)*(((-5--5)+(37.24--5))+37.24))))-(-5+-5)))*-5)))/-5)--5)+(-5*(((37.24*(37.24-(-5/-5)))*(37.24-(37.24/(-5*37.24))))-(-5/-5)))))</f>
        <v>255546.52191999997</v>
      </c>
      <c r="C13725" t="n" s="0">
        <v>255546.52192000003</v>
      </c>
    </row>
    <row r="13726">
      <c r="A13726" t="n" s="0">
        <v>37.25</v>
      </c>
      <c r="B13726" t="n" s="0">
        <f>(-5-((((-5*(-5/((-5/(((-5*(37.25--5))-(-5+((-5*37.25)*(((-5--5)+(37.25--5))+37.25))))-(-5+-5)))*-5)))/-5)--5)+(-5*(((37.25*(37.25-(-5/-5)))*(37.25-(37.25/(-5*37.25))))-(-5/-5)))))</f>
        <v>255753.140625</v>
      </c>
      <c r="C13726" t="n" s="0">
        <v>255753.140625</v>
      </c>
    </row>
    <row r="13727">
      <c r="A13727" t="n" s="0">
        <v>37.26</v>
      </c>
      <c r="B13727" t="n" s="0">
        <f>(-5-((((-5*(-5/((-5/(((-5*(37.26--5))-(-5+((-5*37.26)*(((-5--5)+(37.26--5))+37.26))))-(-5+-5)))*-5)))/-5)--5)+(-5*(((37.26*(37.26-(-5/-5)))*(37.26-(37.26/(-5*37.26))))-(-5/-5)))))</f>
        <v>255959.87068000002</v>
      </c>
      <c r="C13727" t="n" s="0">
        <v>255959.87067999996</v>
      </c>
    </row>
    <row r="13728">
      <c r="A13728" t="n" s="0">
        <v>37.27</v>
      </c>
      <c r="B13728" t="n" s="0">
        <f>(-5-((((-5*(-5/((-5/(((-5*(37.27--5))-(-5+((-5*37.27)*(((-5--5)+(37.27--5))+37.27))))-(-5+-5)))*-5)))/-5)--5)+(-5*(((37.27*(37.27-(-5/-5)))*(37.27-(37.27/(-5*37.27))))-(-5/-5)))))</f>
        <v>256166.712115</v>
      </c>
      <c r="C13728" t="n" s="0">
        <v>256166.71211500006</v>
      </c>
    </row>
    <row r="13729">
      <c r="A13729" t="n" s="0">
        <v>37.28</v>
      </c>
      <c r="B13729" t="n" s="0">
        <f>(-5-((((-5*(-5/((-5/(((-5*(37.28--5))-(-5+((-5*37.28)*(((-5--5)+(37.28--5))+37.28))))-(-5+-5)))*-5)))/-5)--5)+(-5*(((37.28*(37.28-(-5/-5)))*(37.28-(37.28/(-5*37.28))))-(-5/-5)))))</f>
        <v>256373.66495999997</v>
      </c>
      <c r="C13729" t="n" s="0">
        <v>256373.66496000002</v>
      </c>
    </row>
    <row r="13730">
      <c r="A13730" t="n" s="0">
        <v>37.29</v>
      </c>
      <c r="B13730" t="n" s="0">
        <f>(-5-((((-5*(-5/((-5/(((-5*(37.29--5))-(-5+((-5*37.29)*(((-5--5)+(37.29--5))+37.29))))-(-5+-5)))*-5)))/-5)--5)+(-5*(((37.29*(37.29-(-5/-5)))*(37.29-(37.29/(-5*37.29))))-(-5/-5)))))</f>
        <v>256580.729245</v>
      </c>
      <c r="C13730" t="n" s="0">
        <v>256580.72924499997</v>
      </c>
    </row>
    <row r="13731">
      <c r="A13731" t="n" s="0">
        <v>37.3</v>
      </c>
      <c r="B13731" t="n" s="0">
        <f>(-5-((((-5*(-5/((-5/(((-5*(37.3--5))-(-5+((-5*37.3)*(((-5--5)+(37.3--5))+37.3))))-(-5+-5)))*-5)))/-5)--5)+(-5*(((37.3*(37.3-(-5/-5)))*(37.3-(37.3/(-5*37.3))))-(-5/-5)))))</f>
        <v>256787.905</v>
      </c>
      <c r="C13731" t="n" s="0">
        <v>256787.90499999997</v>
      </c>
    </row>
    <row r="13732">
      <c r="A13732" t="n" s="0">
        <v>37.31</v>
      </c>
      <c r="B13732" t="n" s="0">
        <f>(-5-((((-5*(-5/((-5/(((-5*(37.31--5))-(-5+((-5*37.31)*(((-5--5)+(37.31--5))+37.31))))-(-5+-5)))*-5)))/-5)--5)+(-5*(((37.31*(37.31-(-5/-5)))*(37.31-(37.31/(-5*37.31))))-(-5/-5)))))</f>
        <v>256995.19225499997</v>
      </c>
      <c r="C13732" t="n" s="0">
        <v>256995.19225500006</v>
      </c>
    </row>
    <row r="13733">
      <c r="A13733" t="n" s="0">
        <v>37.32</v>
      </c>
      <c r="B13733" t="n" s="0">
        <f>(-5-((((-5*(-5/((-5/(((-5*(37.32--5))-(-5+((-5*37.32)*(((-5--5)+(37.32--5))+37.32))))-(-5+-5)))*-5)))/-5)--5)+(-5*(((37.32*(37.32-(-5/-5)))*(37.32-(37.32/(-5*37.32))))-(-5/-5)))))</f>
        <v>257202.59104</v>
      </c>
      <c r="C13733" t="n" s="0">
        <v>257202.59104</v>
      </c>
    </row>
    <row r="13734">
      <c r="A13734" t="n" s="0">
        <v>37.33</v>
      </c>
      <c r="B13734" t="n" s="0">
        <f>(-5-((((-5*(-5/((-5/(((-5*(37.33--5))-(-5+((-5*37.33)*(((-5--5)+(37.33--5))+37.33))))-(-5+-5)))*-5)))/-5)--5)+(-5*(((37.33*(37.33-(-5/-5)))*(37.33-(37.33/(-5*37.33))))-(-5/-5)))))</f>
        <v>257410.10138500002</v>
      </c>
      <c r="C13734" t="n" s="0">
        <v>257410.10138499993</v>
      </c>
    </row>
    <row r="13735">
      <c r="A13735" t="n" s="0">
        <v>37.34</v>
      </c>
      <c r="B13735" t="n" s="0">
        <f>(-5-((((-5*(-5/((-5/(((-5*(37.34--5))-(-5+((-5*37.34)*(((-5--5)+(37.34--5))+37.34))))-(-5+-5)))*-5)))/-5)--5)+(-5*(((37.34*(37.34-(-5/-5)))*(37.34-(37.34/(-5*37.34))))-(-5/-5)))))</f>
        <v>257617.72332</v>
      </c>
      <c r="C13735" t="n" s="0">
        <v>257617.72332000008</v>
      </c>
    </row>
    <row r="13736">
      <c r="A13736" t="n" s="0">
        <v>37.35</v>
      </c>
      <c r="B13736" t="n" s="0">
        <f>(-5-((((-5*(-5/((-5/(((-5*(37.35--5))-(-5+((-5*37.35)*(((-5--5)+(37.35--5))+37.35))))-(-5+-5)))*-5)))/-5)--5)+(-5*(((37.35*(37.35-(-5/-5)))*(37.35-(37.35/(-5*37.35))))-(-5/-5)))))</f>
        <v>257825.456875</v>
      </c>
      <c r="C13736" t="n" s="0">
        <v>257825.456875</v>
      </c>
    </row>
    <row r="13737">
      <c r="A13737" t="n" s="0">
        <v>37.36</v>
      </c>
      <c r="B13737" t="n" s="0">
        <f>(-5-((((-5*(-5/((-5/(((-5*(37.36--5))-(-5+((-5*37.36)*(((-5--5)+(37.36--5))+37.36))))-(-5+-5)))*-5)))/-5)--5)+(-5*(((37.36*(37.36-(-5/-5)))*(37.36-(37.36/(-5*37.36))))-(-5/-5)))))</f>
        <v>258033.30208</v>
      </c>
      <c r="C13737" t="n" s="0">
        <v>258033.30207999996</v>
      </c>
    </row>
    <row r="13738">
      <c r="A13738" t="n" s="0">
        <v>37.37</v>
      </c>
      <c r="B13738" t="n" s="0">
        <f>(-5-((((-5*(-5/((-5/(((-5*(37.37--5))-(-5+((-5*37.37)*(((-5--5)+(37.37--5))+37.37))))-(-5+-5)))*-5)))/-5)--5)+(-5*(((37.37*(37.37-(-5/-5)))*(37.37-(37.37/(-5*37.37))))-(-5/-5)))))</f>
        <v>258241.258965</v>
      </c>
      <c r="C13738" t="n" s="0">
        <v>258241.2589649999</v>
      </c>
    </row>
    <row r="13739">
      <c r="A13739" t="n" s="0">
        <v>37.38</v>
      </c>
      <c r="B13739" t="n" s="0">
        <f>(-5-((((-5*(-5/((-5/(((-5*(37.38--5))-(-5+((-5*37.38)*(((-5--5)+(37.38--5))+37.38))))-(-5+-5)))*-5)))/-5)--5)+(-5*(((37.38*(37.38-(-5/-5)))*(37.38-(37.38/(-5*37.38))))-(-5/-5)))))</f>
        <v>258449.32755999998</v>
      </c>
      <c r="C13739" t="n" s="0">
        <v>258449.3275600001</v>
      </c>
    </row>
    <row r="13740">
      <c r="A13740" t="n" s="0">
        <v>37.39</v>
      </c>
      <c r="B13740" t="n" s="0">
        <f>(-5-((((-5*(-5/((-5/(((-5*(37.39--5))-(-5+((-5*37.39)*(((-5--5)+(37.39--5))+37.39))))-(-5+-5)))*-5)))/-5)--5)+(-5*(((37.39*(37.39-(-5/-5)))*(37.39-(37.39/(-5*37.39))))-(-5/-5)))))</f>
        <v>258657.50789500002</v>
      </c>
      <c r="C13740" t="n" s="0">
        <v>258657.50789500002</v>
      </c>
    </row>
    <row r="13741">
      <c r="A13741" t="n" s="0">
        <v>37.4</v>
      </c>
      <c r="B13741" t="n" s="0">
        <f>(-5-((((-5*(-5/((-5/(((-5*(37.4--5))-(-5+((-5*37.4)*(((-5--5)+(37.4--5))+37.4))))-(-5+-5)))*-5)))/-5)--5)+(-5*(((37.4*(37.4-(-5/-5)))*(37.4-(37.4/(-5*37.4))))-(-5/-5)))))</f>
        <v>258865.8</v>
      </c>
      <c r="C13741" t="n" s="0">
        <v>258865.80000000002</v>
      </c>
    </row>
    <row r="13742">
      <c r="A13742" t="n" s="0">
        <v>37.41</v>
      </c>
      <c r="B13742" t="n" s="0">
        <f>(-5-((((-5*(-5/((-5/(((-5*(37.41--5))-(-5+((-5*37.41)*(((-5--5)+(37.41--5))+37.41))))-(-5+-5)))*-5)))/-5)--5)+(-5*(((37.41*(37.41-(-5/-5)))*(37.41-(37.41/(-5*37.41))))-(-5/-5)))))</f>
        <v>259074.203905</v>
      </c>
      <c r="C13742" t="n" s="0">
        <v>259074.20390499991</v>
      </c>
    </row>
    <row r="13743">
      <c r="A13743" t="n" s="0">
        <v>37.42</v>
      </c>
      <c r="B13743" t="n" s="0">
        <f>(-5-((((-5*(-5/((-5/(((-5*(37.42--5))-(-5+((-5*37.42)*(((-5--5)+(37.42--5))+37.42))))-(-5+-5)))*-5)))/-5)--5)+(-5*(((37.42*(37.42-(-5/-5)))*(37.42-(37.42/(-5*37.42))))-(-5/-5)))))</f>
        <v>259282.71964000002</v>
      </c>
      <c r="C13743" t="n" s="0">
        <v>259282.71964000005</v>
      </c>
    </row>
    <row r="13744">
      <c r="A13744" t="n" s="0">
        <v>37.43</v>
      </c>
      <c r="B13744" t="n" s="0">
        <f>(-5-((((-5*(-5/((-5/(((-5*(37.43--5))-(-5+((-5*37.43)*(((-5--5)+(37.43--5))+37.43))))-(-5+-5)))*-5)))/-5)--5)+(-5*(((37.43*(37.43-(-5/-5)))*(37.43-(37.43/(-5*37.43))))-(-5/-5)))))</f>
        <v>259491.347235</v>
      </c>
      <c r="C13744" t="n" s="0">
        <v>259491.34723499996</v>
      </c>
    </row>
    <row r="13745">
      <c r="A13745" t="n" s="0">
        <v>37.44</v>
      </c>
      <c r="B13745" t="n" s="0">
        <f>(-5-((((-5*(-5/((-5/(((-5*(37.44--5))-(-5+((-5*37.44)*(((-5--5)+(37.44--5))+37.44))))-(-5+-5)))*-5)))/-5)--5)+(-5*(((37.44*(37.44-(-5/-5)))*(37.44-(37.44/(-5*37.44))))-(-5/-5)))))</f>
        <v>259700.08672</v>
      </c>
      <c r="C13745" t="n" s="0">
        <v>259700.08671999996</v>
      </c>
    </row>
    <row r="13746">
      <c r="A13746" t="n" s="0">
        <v>37.45</v>
      </c>
      <c r="B13746" t="n" s="0">
        <f>(-5-((((-5*(-5/((-5/(((-5*(37.45--5))-(-5+((-5*37.45)*(((-5--5)+(37.45--5))+37.45))))-(-5+-5)))*-5)))/-5)--5)+(-5*(((37.45*(37.45-(-5/-5)))*(37.45-(37.45/(-5*37.45))))-(-5/-5)))))</f>
        <v>259908.938125</v>
      </c>
      <c r="C13746" t="n" s="0">
        <v>259908.93812500002</v>
      </c>
    </row>
    <row r="13747">
      <c r="A13747" t="n" s="0">
        <v>37.46</v>
      </c>
      <c r="B13747" t="n" s="0">
        <f>(-5-((((-5*(-5/((-5/(((-5*(37.46--5))-(-5+((-5*37.46)*(((-5--5)+(37.46--5))+37.46))))-(-5+-5)))*-5)))/-5)--5)+(-5*(((37.46*(37.46-(-5/-5)))*(37.46-(37.46/(-5*37.46))))-(-5/-5)))))</f>
        <v>260117.90148</v>
      </c>
      <c r="C13747" t="n" s="0">
        <v>260117.90148000003</v>
      </c>
    </row>
    <row r="13748">
      <c r="A13748" t="n" s="0">
        <v>37.47</v>
      </c>
      <c r="B13748" t="n" s="0">
        <f>(-5-((((-5*(-5/((-5/(((-5*(37.47--5))-(-5+((-5*37.47)*(((-5--5)+(37.47--5))+37.47))))-(-5+-5)))*-5)))/-5)--5)+(-5*(((37.47*(37.47-(-5/-5)))*(37.47-(37.47/(-5*37.47))))-(-5/-5)))))</f>
        <v>260326.97681500003</v>
      </c>
      <c r="C13748" t="n" s="0">
        <v>260326.976815</v>
      </c>
    </row>
    <row r="13749">
      <c r="A13749" t="n" s="0">
        <v>37.48</v>
      </c>
      <c r="B13749" t="n" s="0">
        <f>(-5-((((-5*(-5/((-5/(((-5*(37.48--5))-(-5+((-5*37.48)*(((-5--5)+(37.48--5))+37.48))))-(-5+-5)))*-5)))/-5)--5)+(-5*(((37.48*(37.48-(-5/-5)))*(37.48-(37.48/(-5*37.48))))-(-5/-5)))))</f>
        <v>260536.16416</v>
      </c>
      <c r="C13749" t="n" s="0">
        <v>260536.16415999996</v>
      </c>
    </row>
    <row r="13750">
      <c r="A13750" t="n" s="0">
        <v>37.49</v>
      </c>
      <c r="B13750" t="n" s="0">
        <f>(-5-((((-5*(-5/((-5/(((-5*(37.49--5))-(-5+((-5*37.49)*(((-5--5)+(37.49--5))+37.49))))-(-5+-5)))*-5)))/-5)--5)+(-5*(((37.49*(37.49-(-5/-5)))*(37.49-(37.49/(-5*37.49))))-(-5/-5)))))</f>
        <v>260745.463545</v>
      </c>
      <c r="C13750" t="n" s="0">
        <v>260745.46354500004</v>
      </c>
    </row>
    <row r="13751">
      <c r="A13751" t="n" s="0">
        <v>37.5</v>
      </c>
      <c r="B13751" t="n" s="0">
        <f>(-5-((((-5*(-5/((-5/(((-5*(37.5--5))-(-5+((-5*37.5)*(((-5--5)+(37.5--5))+37.5))))-(-5+-5)))*-5)))/-5)--5)+(-5*(((37.5*(37.5-(-5/-5)))*(37.5-(37.5/(-5*37.5))))-(-5/-5)))))</f>
        <v>260954.875</v>
      </c>
      <c r="C13751" t="n" s="0">
        <v>260954.875</v>
      </c>
    </row>
    <row r="13752">
      <c r="A13752" t="n" s="0">
        <v>37.51</v>
      </c>
      <c r="B13752" t="n" s="0">
        <f>(-5-((((-5*(-5/((-5/(((-5*(37.51--5))-(-5+((-5*37.51)*(((-5--5)+(37.51--5))+37.51))))-(-5+-5)))*-5)))/-5)--5)+(-5*(((37.51*(37.51-(-5/-5)))*(37.51-(37.51/(-5*37.51))))-(-5/-5)))))</f>
        <v>261164.39855500002</v>
      </c>
      <c r="C13752" t="n" s="0">
        <v>261164.39855499993</v>
      </c>
    </row>
    <row r="13753">
      <c r="A13753" t="n" s="0">
        <v>37.52</v>
      </c>
      <c r="B13753" t="n" s="0">
        <f>(-5-((((-5*(-5/((-5/(((-5*(37.52--5))-(-5+((-5*37.52)*(((-5--5)+(37.52--5))+37.52))))-(-5+-5)))*-5)))/-5)--5)+(-5*(((37.52*(37.52-(-5/-5)))*(37.52-(37.52/(-5*37.52))))-(-5/-5)))))</f>
        <v>261374.03424</v>
      </c>
      <c r="C13753" t="n" s="0">
        <v>261374.03424000004</v>
      </c>
    </row>
    <row r="13754">
      <c r="A13754" t="n" s="0">
        <v>37.53</v>
      </c>
      <c r="B13754" t="n" s="0">
        <f>(-5-((((-5*(-5/((-5/(((-5*(37.53--5))-(-5+((-5*37.53)*(((-5--5)+(37.53--5))+37.53))))-(-5+-5)))*-5)))/-5)--5)+(-5*(((37.53*(37.53-(-5/-5)))*(37.53-(37.53/(-5*37.53))))-(-5/-5)))))</f>
        <v>261583.78208499998</v>
      </c>
      <c r="C13754" t="n" s="0">
        <v>261583.782085</v>
      </c>
    </row>
    <row r="13755">
      <c r="A13755" t="n" s="0">
        <v>37.54</v>
      </c>
      <c r="B13755" t="n" s="0">
        <f>(-5-((((-5*(-5/((-5/(((-5*(37.54--5))-(-5+((-5*37.54)*(((-5--5)+(37.54--5))+37.54))))-(-5+-5)))*-5)))/-5)--5)+(-5*(((37.54*(37.54-(-5/-5)))*(37.54-(37.54/(-5*37.54))))-(-5/-5)))))</f>
        <v>261793.64212</v>
      </c>
      <c r="C13755" t="n" s="0">
        <v>261793.64211999995</v>
      </c>
    </row>
    <row r="13756">
      <c r="A13756" t="n" s="0">
        <v>37.55</v>
      </c>
      <c r="B13756" t="n" s="0">
        <f>(-5-((((-5*(-5/((-5/(((-5*(37.55--5))-(-5+((-5*37.55)*(((-5--5)+(37.55--5))+37.55))))-(-5+-5)))*-5)))/-5)--5)+(-5*(((37.55*(37.55-(-5/-5)))*(37.55-(37.55/(-5*37.55))))-(-5/-5)))))</f>
        <v>262003.614375</v>
      </c>
      <c r="C13756" t="n" s="0">
        <v>262003.61437499998</v>
      </c>
    </row>
    <row r="13757">
      <c r="A13757" t="n" s="0">
        <v>37.56</v>
      </c>
      <c r="B13757" t="n" s="0">
        <f>(-5-((((-5*(-5/((-5/(((-5*(37.56--5))-(-5+((-5*37.56)*(((-5--5)+(37.56--5))+37.56))))-(-5+-5)))*-5)))/-5)--5)+(-5*(((37.56*(37.56-(-5/-5)))*(37.56-(37.56/(-5*37.56))))-(-5/-5)))))</f>
        <v>262213.69888</v>
      </c>
      <c r="C13757" t="n" s="0">
        <v>262213.69888000004</v>
      </c>
    </row>
    <row r="13758">
      <c r="A13758" t="n" s="0">
        <v>37.57</v>
      </c>
      <c r="B13758" t="n" s="0">
        <f>(-5-((((-5*(-5/((-5/(((-5*(37.57--5))-(-5+((-5*37.57)*(((-5--5)+(37.57--5))+37.57))))-(-5+-5)))*-5)))/-5)--5)+(-5*(((37.57*(37.57-(-5/-5)))*(37.57-(37.57/(-5*37.57))))-(-5/-5)))))</f>
        <v>262423.89566499996</v>
      </c>
      <c r="C13758" t="n" s="0">
        <v>262423.895665</v>
      </c>
    </row>
    <row r="13759">
      <c r="A13759" t="n" s="0">
        <v>37.58</v>
      </c>
      <c r="B13759" t="n" s="0">
        <f>(-5-((((-5*(-5/((-5/(((-5*(37.58--5))-(-5+((-5*37.58)*(((-5--5)+(37.58--5))+37.58))))-(-5+-5)))*-5)))/-5)--5)+(-5*(((37.58*(37.58-(-5/-5)))*(37.58-(37.58/(-5*37.58))))-(-5/-5)))))</f>
        <v>262634.20476</v>
      </c>
      <c r="C13759" t="n" s="0">
        <v>262634.20475999994</v>
      </c>
    </row>
    <row r="13760">
      <c r="A13760" t="n" s="0">
        <v>37.59</v>
      </c>
      <c r="B13760" t="n" s="0">
        <f>(-5-((((-5*(-5/((-5/(((-5*(37.59--5))-(-5+((-5*37.59)*(((-5--5)+(37.59--5))+37.59))))-(-5+-5)))*-5)))/-5)--5)+(-5*(((37.59*(37.59-(-5/-5)))*(37.59-(37.59/(-5*37.59))))-(-5/-5)))))</f>
        <v>262844.626195</v>
      </c>
      <c r="C13760" t="n" s="0">
        <v>262844.6261950001</v>
      </c>
    </row>
    <row r="13761">
      <c r="A13761" t="n" s="0">
        <v>37.6</v>
      </c>
      <c r="B13761" t="n" s="0">
        <f>(-5-((((-5*(-5/((-5/(((-5*(37.6--5))-(-5+((-5*37.6)*(((-5--5)+(37.6--5))+37.6))))-(-5+-5)))*-5)))/-5)--5)+(-5*(((37.6*(37.6-(-5/-5)))*(37.6-(37.6/(-5*37.6))))-(-5/-5)))))</f>
        <v>263055.16</v>
      </c>
      <c r="C13761" t="n" s="0">
        <v>263055.16</v>
      </c>
    </row>
    <row r="13762">
      <c r="A13762" t="n" s="0">
        <v>37.61</v>
      </c>
      <c r="B13762" t="n" s="0">
        <f>(-5-((((-5*(-5/((-5/(((-5*(37.61--5))-(-5+((-5*37.61)*(((-5--5)+(37.61--5))+37.61))))-(-5+-5)))*-5)))/-5)--5)+(-5*(((37.61*(37.61-(-5/-5)))*(37.61-(37.61/(-5*37.61))))-(-5/-5)))))</f>
        <v>263265.80620500003</v>
      </c>
      <c r="C13762" t="n" s="0">
        <v>263265.806205</v>
      </c>
    </row>
    <row r="13763">
      <c r="A13763" t="n" s="0">
        <v>37.62</v>
      </c>
      <c r="B13763" t="n" s="0">
        <f>(-5-((((-5*(-5/((-5/(((-5*(37.62--5))-(-5+((-5*37.62)*(((-5--5)+(37.62--5))+37.62))))-(-5+-5)))*-5)))/-5)--5)+(-5*(((37.62*(37.62-(-5/-5)))*(37.62-(37.62/(-5*37.62))))-(-5/-5)))))</f>
        <v>263476.56484</v>
      </c>
      <c r="C13763" t="n" s="0">
        <v>263476.56483999995</v>
      </c>
    </row>
    <row r="13764">
      <c r="A13764" t="n" s="0">
        <v>37.63</v>
      </c>
      <c r="B13764" t="n" s="0">
        <f>(-5-((((-5*(-5/((-5/(((-5*(37.63--5))-(-5+((-5*37.63)*(((-5--5)+(37.63--5))+37.63))))-(-5+-5)))*-5)))/-5)--5)+(-5*(((37.63*(37.63-(-5/-5)))*(37.63-(37.63/(-5*37.63))))-(-5/-5)))))</f>
        <v>263687.435935</v>
      </c>
      <c r="C13764" t="n" s="0">
        <v>263687.4359350001</v>
      </c>
    </row>
    <row r="13765">
      <c r="A13765" t="n" s="0">
        <v>37.64</v>
      </c>
      <c r="B13765" t="n" s="0">
        <f>(-5-((((-5*(-5/((-5/(((-5*(37.64--5))-(-5+((-5*37.64)*(((-5--5)+(37.64--5))+37.64))))-(-5+-5)))*-5)))/-5)--5)+(-5*(((37.64*(37.64-(-5/-5)))*(37.64-(37.64/(-5*37.64))))-(-5/-5)))))</f>
        <v>263898.41952</v>
      </c>
      <c r="C13765" t="n" s="0">
        <v>263898.41952</v>
      </c>
    </row>
    <row r="13766">
      <c r="A13766" t="n" s="0">
        <v>37.65</v>
      </c>
      <c r="B13766" t="n" s="0">
        <f>(-5-((((-5*(-5/((-5/(((-5*(37.65--5))-(-5+((-5*37.65)*(((-5--5)+(37.65--5))+37.65))))-(-5+-5)))*-5)))/-5)--5)+(-5*(((37.65*(37.65-(-5/-5)))*(37.65-(37.65/(-5*37.65))))-(-5/-5)))))</f>
        <v>264109.515625</v>
      </c>
      <c r="C13766" t="n" s="0">
        <v>264109.515625</v>
      </c>
    </row>
    <row r="13767">
      <c r="A13767" t="n" s="0">
        <v>37.66</v>
      </c>
      <c r="B13767" t="n" s="0">
        <f>(-5-((((-5*(-5/((-5/(((-5*(37.66--5))-(-5+((-5*37.66)*(((-5--5)+(37.66--5))+37.66))))-(-5+-5)))*-5)))/-5)--5)+(-5*(((37.66*(37.66-(-5/-5)))*(37.66-(37.66/(-5*37.66))))-(-5/-5)))))</f>
        <v>264320.72427999997</v>
      </c>
      <c r="C13767" t="n" s="0">
        <v>264320.7242799999</v>
      </c>
    </row>
    <row r="13768">
      <c r="A13768" t="n" s="0">
        <v>37.67</v>
      </c>
      <c r="B13768" t="n" s="0">
        <f>(-5-((((-5*(-5/((-5/(((-5*(37.67--5))-(-5+((-5*37.67)*(((-5--5)+(37.67--5))+37.67))))-(-5+-5)))*-5)))/-5)--5)+(-5*(((37.67*(37.67-(-5/-5)))*(37.67-(37.67/(-5*37.67))))-(-5/-5)))))</f>
        <v>264532.045515</v>
      </c>
      <c r="C13768" t="n" s="0">
        <v>264532.045515</v>
      </c>
    </row>
    <row r="13769">
      <c r="A13769" t="n" s="0">
        <v>37.68</v>
      </c>
      <c r="B13769" t="n" s="0">
        <f>(-5-((((-5*(-5/((-5/(((-5*(37.68--5))-(-5+((-5*37.68)*(((-5--5)+(37.68--5))+37.68))))-(-5+-5)))*-5)))/-5)--5)+(-5*(((37.68*(37.68-(-5/-5)))*(37.68-(37.68/(-5*37.68))))-(-5/-5)))))</f>
        <v>264743.47936</v>
      </c>
      <c r="C13769" t="n" s="0">
        <v>264743.47936</v>
      </c>
    </row>
    <row r="13770">
      <c r="A13770" t="n" s="0">
        <v>37.69</v>
      </c>
      <c r="B13770" t="n" s="0">
        <f>(-5-((((-5*(-5/((-5/(((-5*(37.69--5))-(-5+((-5*37.69)*(((-5--5)+(37.69--5))+37.69))))-(-5+-5)))*-5)))/-5)--5)+(-5*(((37.69*(37.69-(-5/-5)))*(37.69-(37.69/(-5*37.69))))-(-5/-5)))))</f>
        <v>264955.025845</v>
      </c>
      <c r="C13770" t="n" s="0">
        <v>264955.025845</v>
      </c>
    </row>
    <row r="13771">
      <c r="A13771" t="n" s="0">
        <v>37.7</v>
      </c>
      <c r="B13771" t="n" s="0">
        <f>(-5-((((-5*(-5/((-5/(((-5*(37.7--5))-(-5+((-5*37.7)*(((-5--5)+(37.7--5))+37.7))))-(-5+-5)))*-5)))/-5)--5)+(-5*(((37.7*(37.7-(-5/-5)))*(37.7-(37.7/(-5*37.7))))-(-5/-5)))))</f>
        <v>265166.685</v>
      </c>
      <c r="C13771" t="n" s="0">
        <v>265166.685</v>
      </c>
    </row>
    <row r="13772">
      <c r="A13772" t="n" s="0">
        <v>37.71</v>
      </c>
      <c r="B13772" t="n" s="0">
        <f>(-5-((((-5*(-5/((-5/(((-5*(37.71--5))-(-5+((-5*37.71)*(((-5--5)+(37.71--5))+37.71))))-(-5+-5)))*-5)))/-5)--5)+(-5*(((37.71*(37.71-(-5/-5)))*(37.71-(37.71/(-5*37.71))))-(-5/-5)))))</f>
        <v>265378.456855</v>
      </c>
      <c r="C13772" t="n" s="0">
        <v>265378.45685500005</v>
      </c>
    </row>
    <row r="13773">
      <c r="A13773" t="n" s="0">
        <v>37.72</v>
      </c>
      <c r="B13773" t="n" s="0">
        <f>(-5-((((-5*(-5/((-5/(((-5*(37.72--5))-(-5+((-5*37.72)*(((-5--5)+(37.72--5))+37.72))))-(-5+-5)))*-5)))/-5)--5)+(-5*(((37.72*(37.72-(-5/-5)))*(37.72-(37.72/(-5*37.72))))-(-5/-5)))))</f>
        <v>265590.34144</v>
      </c>
      <c r="C13773" t="n" s="0">
        <v>265590.34143999993</v>
      </c>
    </row>
    <row r="13774">
      <c r="A13774" t="n" s="0">
        <v>37.73</v>
      </c>
      <c r="B13774" t="n" s="0">
        <f>(-5-((((-5*(-5/((-5/(((-5*(37.73--5))-(-5+((-5*37.73)*(((-5--5)+(37.73--5))+37.73))))-(-5+-5)))*-5)))/-5)--5)+(-5*(((37.73*(37.73-(-5/-5)))*(37.73-(37.73/(-5*37.73))))-(-5/-5)))))</f>
        <v>265802.338785</v>
      </c>
      <c r="C13774" t="n" s="0">
        <v>265802.3387849999</v>
      </c>
    </row>
    <row r="13775">
      <c r="A13775" t="n" s="0">
        <v>37.74</v>
      </c>
      <c r="B13775" t="n" s="0">
        <f>(-5-((((-5*(-5/((-5/(((-5*(37.74--5))-(-5+((-5*37.74)*(((-5--5)+(37.74--5))+37.74))))-(-5+-5)))*-5)))/-5)--5)+(-5*(((37.74*(37.74-(-5/-5)))*(37.74-(37.74/(-5*37.74))))-(-5/-5)))))</f>
        <v>266014.44892</v>
      </c>
      <c r="C13775" t="n" s="0">
        <v>266014.44892000005</v>
      </c>
    </row>
    <row r="13776">
      <c r="A13776" t="n" s="0">
        <v>37.75</v>
      </c>
      <c r="B13776" t="n" s="0">
        <f>(-5-((((-5*(-5/((-5/(((-5*(37.75--5))-(-5+((-5*37.75)*(((-5--5)+(37.75--5))+37.75))))-(-5+-5)))*-5)))/-5)--5)+(-5*(((37.75*(37.75-(-5/-5)))*(37.75-(37.75/(-5*37.75))))-(-5/-5)))))</f>
        <v>266226.671875</v>
      </c>
      <c r="C13776" t="n" s="0">
        <v>266226.671875</v>
      </c>
    </row>
    <row r="13777">
      <c r="A13777" t="n" s="0">
        <v>37.76</v>
      </c>
      <c r="B13777" t="n" s="0">
        <f>(-5-((((-5*(-5/((-5/(((-5*(37.76--5))-(-5+((-5*37.76)*(((-5--5)+(37.76--5))+37.76))))-(-5+-5)))*-5)))/-5)--5)+(-5*(((37.76*(37.76-(-5/-5)))*(37.76-(37.76/(-5*37.76))))-(-5/-5)))))</f>
        <v>266439.00768</v>
      </c>
      <c r="C13777" t="n" s="0">
        <v>266439.00768</v>
      </c>
    </row>
    <row r="13778">
      <c r="A13778" t="n" s="0">
        <v>37.77</v>
      </c>
      <c r="B13778" t="n" s="0">
        <f>(-5-((((-5*(-5/((-5/(((-5*(37.77--5))-(-5+((-5*37.77)*(((-5--5)+(37.77--5))+37.77))))-(-5+-5)))*-5)))/-5)--5)+(-5*(((37.77*(37.77-(-5/-5)))*(37.77-(37.77/(-5*37.77))))-(-5/-5)))))</f>
        <v>266651.456365</v>
      </c>
      <c r="C13778" t="n" s="0">
        <v>266651.45636500005</v>
      </c>
    </row>
    <row r="13779">
      <c r="A13779" t="n" s="0">
        <v>37.78</v>
      </c>
      <c r="B13779" t="n" s="0">
        <f>(-5-((((-5*(-5/((-5/(((-5*(37.78--5))-(-5+((-5*37.78)*(((-5--5)+(37.78--5))+37.78))))-(-5+-5)))*-5)))/-5)--5)+(-5*(((37.78*(37.78-(-5/-5)))*(37.78-(37.78/(-5*37.78))))-(-5/-5)))))</f>
        <v>266864.01795999997</v>
      </c>
      <c r="C13779" t="n" s="0">
        <v>266864.01796</v>
      </c>
    </row>
    <row r="13780">
      <c r="A13780" t="n" s="0">
        <v>37.79</v>
      </c>
      <c r="B13780" t="n" s="0">
        <f>(-5-((((-5*(-5/((-5/(((-5*(37.79--5))-(-5+((-5*37.79)*(((-5--5)+(37.79--5))+37.79))))-(-5+-5)))*-5)))/-5)--5)+(-5*(((37.79*(37.79-(-5/-5)))*(37.79-(37.79/(-5*37.79))))-(-5/-5)))))</f>
        <v>267076.69249499997</v>
      </c>
      <c r="C13780" t="n" s="0">
        <v>267076.69249499997</v>
      </c>
    </row>
    <row r="13781">
      <c r="A13781" t="n" s="0">
        <v>37.8</v>
      </c>
      <c r="B13781" t="n" s="0">
        <f>(-5-((((-5*(-5/((-5/(((-5*(37.8--5))-(-5+((-5*37.8)*(((-5--5)+(37.8--5))+37.8))))-(-5+-5)))*-5)))/-5)--5)+(-5*(((37.8*(37.8-(-5/-5)))*(37.8-(37.8/(-5*37.8))))-(-5/-5)))))</f>
        <v>267289.48</v>
      </c>
      <c r="C13781" t="n" s="0">
        <v>267289.48</v>
      </c>
    </row>
    <row r="13782">
      <c r="A13782" t="n" s="0">
        <v>37.81</v>
      </c>
      <c r="B13782" t="n" s="0">
        <f>(-5-((((-5*(-5/((-5/(((-5*(37.81--5))-(-5+((-5*37.81)*(((-5--5)+(37.81--5))+37.81))))-(-5+-5)))*-5)))/-5)--5)+(-5*(((37.81*(37.81-(-5/-5)))*(37.81-(37.81/(-5*37.81))))-(-5/-5)))))</f>
        <v>267502.380505</v>
      </c>
      <c r="C13782" t="n" s="0">
        <v>267502.380505</v>
      </c>
    </row>
    <row r="13783">
      <c r="A13783" t="n" s="0">
        <v>37.82</v>
      </c>
      <c r="B13783" t="n" s="0">
        <f>(-5-((((-5*(-5/((-5/(((-5*(37.82--5))-(-5+((-5*37.82)*(((-5--5)+(37.82--5))+37.82))))-(-5+-5)))*-5)))/-5)--5)+(-5*(((37.82*(37.82-(-5/-5)))*(37.82-(37.82/(-5*37.82))))-(-5/-5)))))</f>
        <v>267715.39404</v>
      </c>
      <c r="C13783" t="n" s="0">
        <v>267715.39404000004</v>
      </c>
    </row>
    <row r="13784">
      <c r="A13784" t="n" s="0">
        <v>37.83</v>
      </c>
      <c r="B13784" t="n" s="0">
        <f>(-5-((((-5*(-5/((-5/(((-5*(37.83--5))-(-5+((-5*37.83)*(((-5--5)+(37.83--5))+37.83))))-(-5+-5)))*-5)))/-5)--5)+(-5*(((37.83*(37.83-(-5/-5)))*(37.83-(37.83/(-5*37.83))))-(-5/-5)))))</f>
        <v>267928.52063499996</v>
      </c>
      <c r="C13784" t="n" s="0">
        <v>267928.52063499996</v>
      </c>
    </row>
    <row r="13785">
      <c r="A13785" t="n" s="0">
        <v>37.84</v>
      </c>
      <c r="B13785" t="n" s="0">
        <f>(-5-((((-5*(-5/((-5/(((-5*(37.84--5))-(-5+((-5*37.84)*(((-5--5)+(37.84--5))+37.84))))-(-5+-5)))*-5)))/-5)--5)+(-5*(((37.84*(37.84-(-5/-5)))*(37.84-(37.84/(-5*37.84))))-(-5/-5)))))</f>
        <v>268141.76032</v>
      </c>
      <c r="C13785" t="n" s="0">
        <v>268141.7603200001</v>
      </c>
    </row>
    <row r="13786">
      <c r="A13786" t="n" s="0">
        <v>37.85</v>
      </c>
      <c r="B13786" t="n" s="0">
        <f>(-5-((((-5*(-5/((-5/(((-5*(37.85--5))-(-5+((-5*37.85)*(((-5--5)+(37.85--5))+37.85))))-(-5+-5)))*-5)))/-5)--5)+(-5*(((37.85*(37.85-(-5/-5)))*(37.85-(37.85/(-5*37.85))))-(-5/-5)))))</f>
        <v>268355.11312500003</v>
      </c>
      <c r="C13786" t="n" s="0">
        <v>268355.11312500003</v>
      </c>
    </row>
    <row r="13787">
      <c r="A13787" t="n" s="0">
        <v>37.86</v>
      </c>
      <c r="B13787" t="n" s="0">
        <f>(-5-((((-5*(-5/((-5/(((-5*(37.86--5))-(-5+((-5*37.86)*(((-5--5)+(37.86--5))+37.86))))-(-5+-5)))*-5)))/-5)--5)+(-5*(((37.86*(37.86-(-5/-5)))*(37.86-(37.86/(-5*37.86))))-(-5/-5)))))</f>
        <v>268568.57908</v>
      </c>
      <c r="C13787" t="n" s="0">
        <v>268568.57908000005</v>
      </c>
    </row>
    <row r="13788">
      <c r="A13788" t="n" s="0">
        <v>37.87</v>
      </c>
      <c r="B13788" t="n" s="0">
        <f>(-5-((((-5*(-5/((-5/(((-5*(37.87--5))-(-5+((-5*37.87)*(((-5--5)+(37.87--5))+37.87))))-(-5+-5)))*-5)))/-5)--5)+(-5*(((37.87*(37.87-(-5/-5)))*(37.87-(37.87/(-5*37.87))))-(-5/-5)))))</f>
        <v>268782.158215</v>
      </c>
      <c r="C13788" t="n" s="0">
        <v>268782.1582149999</v>
      </c>
    </row>
    <row r="13789">
      <c r="A13789" t="n" s="0">
        <v>37.88</v>
      </c>
      <c r="B13789" t="n" s="0">
        <f>(-5-((((-5*(-5/((-5/(((-5*(37.88--5))-(-5+((-5*37.88)*(((-5--5)+(37.88--5))+37.88))))-(-5+-5)))*-5)))/-5)--5)+(-5*(((37.88*(37.88-(-5/-5)))*(37.88-(37.88/(-5*37.88))))-(-5/-5)))))</f>
        <v>268995.85056</v>
      </c>
      <c r="C13789" t="n" s="0">
        <v>268995.8505600001</v>
      </c>
    </row>
    <row r="13790">
      <c r="A13790" t="n" s="0">
        <v>37.89</v>
      </c>
      <c r="B13790" t="n" s="0">
        <f>(-5-((((-5*(-5/((-5/(((-5*(37.89--5))-(-5+((-5*37.89)*(((-5--5)+(37.89--5))+37.89))))-(-5+-5)))*-5)))/-5)--5)+(-5*(((37.89*(37.89-(-5/-5)))*(37.89-(37.89/(-5*37.89))))-(-5/-5)))))</f>
        <v>269209.656145</v>
      </c>
      <c r="C13790" t="n" s="0">
        <v>269209.65614499996</v>
      </c>
    </row>
    <row r="13791">
      <c r="A13791" t="n" s="0">
        <v>37.9</v>
      </c>
      <c r="B13791" t="n" s="0">
        <f>(-5-((((-5*(-5/((-5/(((-5*(37.9--5))-(-5+((-5*37.9)*(((-5--5)+(37.9--5))+37.9))))-(-5+-5)))*-5)))/-5)--5)+(-5*(((37.9*(37.9-(-5/-5)))*(37.9-(37.9/(-5*37.9))))-(-5/-5)))))</f>
        <v>269423.575</v>
      </c>
      <c r="C13791" t="n" s="0">
        <v>269423.57499999995</v>
      </c>
    </row>
    <row r="13792">
      <c r="A13792" t="n" s="0">
        <v>37.91</v>
      </c>
      <c r="B13792" t="n" s="0">
        <f>(-5-((((-5*(-5/((-5/(((-5*(37.91--5))-(-5+((-5*37.91)*(((-5--5)+(37.91--5))+37.91))))-(-5+-5)))*-5)))/-5)--5)+(-5*(((37.91*(37.91-(-5/-5)))*(37.91-(37.91/(-5*37.91))))-(-5/-5)))))</f>
        <v>269637.60715500003</v>
      </c>
      <c r="C13792" t="n" s="0">
        <v>269637.6071549999</v>
      </c>
    </row>
    <row r="13793">
      <c r="A13793" t="n" s="0">
        <v>37.92</v>
      </c>
      <c r="B13793" t="n" s="0">
        <f>(-5-((((-5*(-5/((-5/(((-5*(37.92--5))-(-5+((-5*37.92)*(((-5--5)+(37.92--5))+37.92))))-(-5+-5)))*-5)))/-5)--5)+(-5*(((37.92*(37.92-(-5/-5)))*(37.92-(37.92/(-5*37.92))))-(-5/-5)))))</f>
        <v>269851.75263999996</v>
      </c>
      <c r="C13793" t="n" s="0">
        <v>269851.7526400001</v>
      </c>
    </row>
    <row r="13794">
      <c r="A13794" t="n" s="0">
        <v>37.93</v>
      </c>
      <c r="B13794" t="n" s="0">
        <f>(-5-((((-5*(-5/((-5/(((-5*(37.93--5))-(-5+((-5*37.93)*(((-5--5)+(37.93--5))+37.93))))-(-5+-5)))*-5)))/-5)--5)+(-5*(((37.93*(37.93-(-5/-5)))*(37.93-(37.93/(-5*37.93))))-(-5/-5)))))</f>
        <v>270066.011485</v>
      </c>
      <c r="C13794" t="n" s="0">
        <v>270066.01148499997</v>
      </c>
    </row>
    <row r="13795">
      <c r="A13795" t="n" s="0">
        <v>37.94</v>
      </c>
      <c r="B13795" t="n" s="0">
        <f>(-5-((((-5*(-5/((-5/(((-5*(37.94--5))-(-5+((-5*37.94)*(((-5--5)+(37.94--5))+37.94))))-(-5+-5)))*-5)))/-5)--5)+(-5*(((37.94*(37.94-(-5/-5)))*(37.94-(37.94/(-5*37.94))))-(-5/-5)))))</f>
        <v>270280.38372</v>
      </c>
      <c r="C13795" t="n" s="0">
        <v>270280.3837199999</v>
      </c>
    </row>
    <row r="13796">
      <c r="A13796" t="n" s="0">
        <v>37.95</v>
      </c>
      <c r="B13796" t="n" s="0">
        <f>(-5-((((-5*(-5/((-5/(((-5*(37.95--5))-(-5+((-5*37.95)*(((-5--5)+(37.95--5))+37.95))))-(-5+-5)))*-5)))/-5)--5)+(-5*(((37.95*(37.95-(-5/-5)))*(37.95-(37.95/(-5*37.95))))-(-5/-5)))))</f>
        <v>270494.869375</v>
      </c>
      <c r="C13796" t="n" s="0">
        <v>270494.869375</v>
      </c>
    </row>
    <row r="13797">
      <c r="A13797" t="n" s="0">
        <v>37.96</v>
      </c>
      <c r="B13797" t="n" s="0">
        <f>(-5-((((-5*(-5/((-5/(((-5*(37.96--5))-(-5+((-5*37.96)*(((-5--5)+(37.96--5))+37.96))))-(-5+-5)))*-5)))/-5)--5)+(-5*(((37.96*(37.96-(-5/-5)))*(37.96-(37.96/(-5*37.96))))-(-5/-5)))))</f>
        <v>270709.46848</v>
      </c>
      <c r="C13797" t="n" s="0">
        <v>270709.46848000004</v>
      </c>
    </row>
    <row r="13798">
      <c r="A13798" t="n" s="0">
        <v>37.97</v>
      </c>
      <c r="B13798" t="n" s="0">
        <f>(-5-((((-5*(-5/((-5/(((-5*(37.97--5))-(-5+((-5*37.97)*(((-5--5)+(37.97--5))+37.97))))-(-5+-5)))*-5)))/-5)--5)+(-5*(((37.97*(37.97-(-5/-5)))*(37.97-(37.97/(-5*37.97))))-(-5/-5)))))</f>
        <v>270924.18106499995</v>
      </c>
      <c r="C13798" t="n" s="0">
        <v>270924.181065</v>
      </c>
    </row>
    <row r="13799">
      <c r="A13799" t="n" s="0">
        <v>37.98</v>
      </c>
      <c r="B13799" t="n" s="0">
        <f>(-5-((((-5*(-5/((-5/(((-5*(37.98--5))-(-5+((-5*37.98)*(((-5--5)+(37.98--5))+37.98))))-(-5+-5)))*-5)))/-5)--5)+(-5*(((37.98*(37.98-(-5/-5)))*(37.98-(37.98/(-5*37.98))))-(-5/-5)))))</f>
        <v>271139.00716</v>
      </c>
      <c r="C13799" t="n" s="0">
        <v>271139.0071599999</v>
      </c>
    </row>
    <row r="13800">
      <c r="A13800" t="n" s="0">
        <v>37.99</v>
      </c>
      <c r="B13800" t="n" s="0">
        <f>(-5-((((-5*(-5/((-5/(((-5*(37.99--5))-(-5+((-5*37.99)*(((-5--5)+(37.99--5))+37.99))))-(-5+-5)))*-5)))/-5)--5)+(-5*(((37.99*(37.99-(-5/-5)))*(37.99-(37.99/(-5*37.99))))-(-5/-5)))))</f>
        <v>271353.946795</v>
      </c>
      <c r="C13800" t="n" s="0">
        <v>271353.94679500005</v>
      </c>
    </row>
    <row r="13801">
      <c r="A13801" t="n" s="0">
        <v>38.0</v>
      </c>
      <c r="B13801" t="n" s="0">
        <f>(-5-((((-5*(-5/((-5/(((-5*(38--5))-(-5+((-5*38)*(((-5--5)+(38--5))+38))))-(-5+-5)))*-5)))/-5)--5)+(-5*(((38*(38-(-5/-5)))*(38-(38/(-5*38))))-(-5/-5)))))</f>
        <v>271569.0</v>
      </c>
      <c r="C13801" t="n" s="0">
        <v>271569.0</v>
      </c>
    </row>
    <row r="13802">
      <c r="A13802" t="n" s="0">
        <v>38.01</v>
      </c>
      <c r="B13802" t="n" s="0">
        <f>(-5-((((-5*(-5/((-5/(((-5*(38.01--5))-(-5+((-5*38.01)*(((-5--5)+(38.01--5))+38.01))))-(-5+-5)))*-5)))/-5)--5)+(-5*(((38.01*(38.01-(-5/-5)))*(38.01-(38.01/(-5*38.01))))-(-5/-5)))))</f>
        <v>271784.166805</v>
      </c>
      <c r="C13802" t="n" s="0">
        <v>271784.1668049999</v>
      </c>
    </row>
    <row r="13803">
      <c r="A13803" t="n" s="0">
        <v>38.02</v>
      </c>
      <c r="B13803" t="n" s="0">
        <f>(-5-((((-5*(-5/((-5/(((-5*(38.02--5))-(-5+((-5*38.02)*(((-5--5)+(38.02--5))+38.02))))-(-5+-5)))*-5)))/-5)--5)+(-5*(((38.02*(38.02-(-5/-5)))*(38.02-(38.02/(-5*38.02))))-(-5/-5)))))</f>
        <v>271999.44723999995</v>
      </c>
      <c r="C13803" t="n" s="0">
        <v>271999.44724000007</v>
      </c>
    </row>
    <row r="13804">
      <c r="A13804" t="n" s="0">
        <v>38.03</v>
      </c>
      <c r="B13804" t="n" s="0">
        <f>(-5-((((-5*(-5/((-5/(((-5*(38.03--5))-(-5+((-5*38.03)*(((-5--5)+(38.03--5))+38.03))))-(-5+-5)))*-5)))/-5)--5)+(-5*(((38.03*(38.03-(-5/-5)))*(38.03-(38.03/(-5*38.03))))-(-5/-5)))))</f>
        <v>272214.841335</v>
      </c>
      <c r="C13804" t="n" s="0">
        <v>272214.84133500006</v>
      </c>
    </row>
    <row r="13805">
      <c r="A13805" t="n" s="0">
        <v>38.04</v>
      </c>
      <c r="B13805" t="n" s="0">
        <f>(-5-((((-5*(-5/((-5/(((-5*(38.04--5))-(-5+((-5*38.04)*(((-5--5)+(38.04--5))+38.04))))-(-5+-5)))*-5)))/-5)--5)+(-5*(((38.04*(38.04-(-5/-5)))*(38.04-(38.04/(-5*38.04))))-(-5/-5)))))</f>
        <v>272430.34911999997</v>
      </c>
      <c r="C13805" t="n" s="0">
        <v>272430.34911999997</v>
      </c>
    </row>
    <row r="13806">
      <c r="A13806" t="n" s="0">
        <v>38.05</v>
      </c>
      <c r="B13806" t="n" s="0">
        <f>(-5-((((-5*(-5/((-5/(((-5*(38.05--5))-(-5+((-5*38.05)*(((-5--5)+(38.05--5))+38.05))))-(-5+-5)))*-5)))/-5)--5)+(-5*(((38.05*(38.05-(-5/-5)))*(38.05-(38.05/(-5*38.05))))-(-5/-5)))))</f>
        <v>272645.970625</v>
      </c>
      <c r="C13806" t="n" s="0">
        <v>272645.97062499996</v>
      </c>
    </row>
    <row r="13807">
      <c r="A13807" t="n" s="0">
        <v>38.06</v>
      </c>
      <c r="B13807" t="n" s="0">
        <f>(-5-((((-5*(-5/((-5/(((-5*(38.06--5))-(-5+((-5*38.06)*(((-5--5)+(38.06--5))+38.06))))-(-5+-5)))*-5)))/-5)--5)+(-5*(((38.06*(38.06-(-5/-5)))*(38.06-(38.06/(-5*38.06))))-(-5/-5)))))</f>
        <v>272861.70587999996</v>
      </c>
      <c r="C13807" t="n" s="0">
        <v>272861.70588</v>
      </c>
    </row>
    <row r="13808">
      <c r="A13808" t="n" s="0">
        <v>38.07</v>
      </c>
      <c r="B13808" t="n" s="0">
        <f>(-5-((((-5*(-5/((-5/(((-5*(38.07--5))-(-5+((-5*38.07)*(((-5--5)+(38.07--5))+38.07))))-(-5+-5)))*-5)))/-5)--5)+(-5*(((38.07*(38.07-(-5/-5)))*(38.07-(38.07/(-5*38.07))))-(-5/-5)))))</f>
        <v>273077.55491500004</v>
      </c>
      <c r="C13808" t="n" s="0">
        <v>273077.55491500004</v>
      </c>
    </row>
    <row r="13809">
      <c r="A13809" t="n" s="0">
        <v>38.08</v>
      </c>
      <c r="B13809" t="n" s="0">
        <f>(-5-((((-5*(-5/((-5/(((-5*(38.08--5))-(-5+((-5*38.08)*(((-5--5)+(38.08--5))+38.08))))-(-5+-5)))*-5)))/-5)--5)+(-5*(((38.08*(38.08-(-5/-5)))*(38.08-(38.08/(-5*38.08))))-(-5/-5)))))</f>
        <v>273293.51776</v>
      </c>
      <c r="C13809" t="n" s="0">
        <v>273293.51775999996</v>
      </c>
    </row>
    <row r="13810">
      <c r="A13810" t="n" s="0">
        <v>38.09</v>
      </c>
      <c r="B13810" t="n" s="0">
        <f>(-5-((((-5*(-5/((-5/(((-5*(38.09--5))-(-5+((-5*38.09)*(((-5--5)+(38.09--5))+38.09))))-(-5+-5)))*-5)))/-5)--5)+(-5*(((38.09*(38.09-(-5/-5)))*(38.09-(38.09/(-5*38.09))))-(-5/-5)))))</f>
        <v>273509.594445</v>
      </c>
      <c r="C13810" t="n" s="0">
        <v>273509.5944450001</v>
      </c>
    </row>
    <row r="13811">
      <c r="A13811" t="n" s="0">
        <v>38.1</v>
      </c>
      <c r="B13811" t="n" s="0">
        <f>(-5-((((-5*(-5/((-5/(((-5*(38.1--5))-(-5+((-5*38.1)*(((-5--5)+(38.1--5))+38.1))))-(-5+-5)))*-5)))/-5)--5)+(-5*(((38.1*(38.1-(-5/-5)))*(38.1-(38.1/(-5*38.1))))-(-5/-5)))))</f>
        <v>273725.785</v>
      </c>
      <c r="C13811" t="n" s="0">
        <v>273725.78500000003</v>
      </c>
    </row>
    <row r="13812">
      <c r="A13812" t="n" s="0">
        <v>38.11</v>
      </c>
      <c r="B13812" t="n" s="0">
        <f>(-5-((((-5*(-5/((-5/(((-5*(38.11--5))-(-5+((-5*38.11)*(((-5--5)+(38.11--5))+38.11))))-(-5+-5)))*-5)))/-5)--5)+(-5*(((38.11*(38.11-(-5/-5)))*(38.11-(38.11/(-5*38.11))))-(-5/-5)))))</f>
        <v>273942.08945499995</v>
      </c>
      <c r="C13812" t="n" s="0">
        <v>273942.08945499995</v>
      </c>
    </row>
    <row r="13813">
      <c r="A13813" t="n" s="0">
        <v>38.12</v>
      </c>
      <c r="B13813" t="n" s="0">
        <f>(-5-((((-5*(-5/((-5/(((-5*(38.12--5))-(-5+((-5*38.12)*(((-5--5)+(38.12--5))+38.12))))-(-5+-5)))*-5)))/-5)--5)+(-5*(((38.12*(38.12-(-5/-5)))*(38.12-(38.12/(-5*38.12))))-(-5/-5)))))</f>
        <v>274158.50784</v>
      </c>
      <c r="C13813" t="n" s="0">
        <v>274158.5078399999</v>
      </c>
    </row>
    <row r="13814">
      <c r="A13814" t="n" s="0">
        <v>38.13</v>
      </c>
      <c r="B13814" t="n" s="0">
        <f>(-5-((((-5*(-5/((-5/(((-5*(38.13--5))-(-5+((-5*38.13)*(((-5--5)+(38.13--5))+38.13))))-(-5+-5)))*-5)))/-5)--5)+(-5*(((38.13*(38.13-(-5/-5)))*(38.13-(38.13/(-5*38.13))))-(-5/-5)))))</f>
        <v>274375.040185</v>
      </c>
      <c r="C13814" t="n" s="0">
        <v>274375.0401850001</v>
      </c>
    </row>
    <row r="13815">
      <c r="A13815" t="n" s="0">
        <v>38.14</v>
      </c>
      <c r="B13815" t="n" s="0">
        <f>(-5-((((-5*(-5/((-5/(((-5*(38.14--5))-(-5+((-5*38.14)*(((-5--5)+(38.14--5))+38.14))))-(-5+-5)))*-5)))/-5)--5)+(-5*(((38.14*(38.14-(-5/-5)))*(38.14-(38.14/(-5*38.14))))-(-5/-5)))))</f>
        <v>274591.68652</v>
      </c>
      <c r="C13815" t="n" s="0">
        <v>274591.68652</v>
      </c>
    </row>
    <row r="13816">
      <c r="A13816" t="n" s="0">
        <v>38.15</v>
      </c>
      <c r="B13816" t="n" s="0">
        <f>(-5-((((-5*(-5/((-5/(((-5*(38.15--5))-(-5+((-5*38.15)*(((-5--5)+(38.15--5))+38.15))))-(-5+-5)))*-5)))/-5)--5)+(-5*(((38.15*(38.15-(-5/-5)))*(38.15-(38.15/(-5*38.15))))-(-5/-5)))))</f>
        <v>274808.446875</v>
      </c>
      <c r="C13816" t="n" s="0">
        <v>274808.44687499997</v>
      </c>
    </row>
    <row r="13817">
      <c r="A13817" t="n" s="0">
        <v>38.16</v>
      </c>
      <c r="B13817" t="n" s="0">
        <f>(-5-((((-5*(-5/((-5/(((-5*(38.16--5))-(-5+((-5*38.16)*(((-5--5)+(38.16--5))+38.16))))-(-5+-5)))*-5)))/-5)--5)+(-5*(((38.16*(38.16-(-5/-5)))*(38.16-(38.16/(-5*38.16))))-(-5/-5)))))</f>
        <v>275025.32128000003</v>
      </c>
      <c r="C13817" t="n" s="0">
        <v>275025.3212799999</v>
      </c>
    </row>
    <row r="13818">
      <c r="A13818" t="n" s="0">
        <v>38.17</v>
      </c>
      <c r="B13818" t="n" s="0">
        <f>(-5-((((-5*(-5/((-5/(((-5*(38.17--5))-(-5+((-5*38.17)*(((-5--5)+(38.17--5))+38.17))))-(-5+-5)))*-5)))/-5)--5)+(-5*(((38.17*(38.17-(-5/-5)))*(38.17-(38.17/(-5*38.17))))-(-5/-5)))))</f>
        <v>275242.309765</v>
      </c>
      <c r="C13818" t="n" s="0">
        <v>275242.3097650001</v>
      </c>
    </row>
    <row r="13819">
      <c r="A13819" t="n" s="0">
        <v>38.18</v>
      </c>
      <c r="B13819" t="n" s="0">
        <f>(-5-((((-5*(-5/((-5/(((-5*(38.18--5))-(-5+((-5*38.18)*(((-5--5)+(38.18--5))+38.18))))-(-5+-5)))*-5)))/-5)--5)+(-5*(((38.18*(38.18-(-5/-5)))*(38.18-(38.18/(-5*38.18))))-(-5/-5)))))</f>
        <v>275459.41235999996</v>
      </c>
      <c r="C13819" t="n" s="0">
        <v>275459.41235999996</v>
      </c>
    </row>
    <row r="13820">
      <c r="A13820" t="n" s="0">
        <v>38.19</v>
      </c>
      <c r="B13820" t="n" s="0">
        <f>(-5-((((-5*(-5/((-5/(((-5*(38.19--5))-(-5+((-5*38.19)*(((-5--5)+(38.19--5))+38.19))))-(-5+-5)))*-5)))/-5)--5)+(-5*(((38.19*(38.19-(-5/-5)))*(38.19-(38.19/(-5*38.19))))-(-5/-5)))))</f>
        <v>275676.629095</v>
      </c>
      <c r="C13820" t="n" s="0">
        <v>275676.629095</v>
      </c>
    </row>
    <row r="13821">
      <c r="A13821" t="n" s="0">
        <v>38.2</v>
      </c>
      <c r="B13821" t="n" s="0">
        <f>(-5-((((-5*(-5/((-5/(((-5*(38.2--5))-(-5+((-5*38.2)*(((-5--5)+(38.2--5))+38.2))))-(-5+-5)))*-5)))/-5)--5)+(-5*(((38.2*(38.2-(-5/-5)))*(38.2-(38.2/(-5*38.2))))-(-5/-5)))))</f>
        <v>275893.96</v>
      </c>
      <c r="C13821" t="n" s="0">
        <v>275893.9600000001</v>
      </c>
    </row>
    <row r="13822">
      <c r="A13822" t="n" s="0">
        <v>38.21</v>
      </c>
      <c r="B13822" t="n" s="0">
        <f>(-5-((((-5*(-5/((-5/(((-5*(38.21--5))-(-5+((-5*38.21)*(((-5--5)+(38.21--5))+38.21))))-(-5+-5)))*-5)))/-5)--5)+(-5*(((38.21*(38.21-(-5/-5)))*(38.21-(38.21/(-5*38.21))))-(-5/-5)))))</f>
        <v>276111.405105</v>
      </c>
      <c r="C13822" t="n" s="0">
        <v>276111.40510500007</v>
      </c>
    </row>
    <row r="13823">
      <c r="A13823" t="n" s="0">
        <v>38.22</v>
      </c>
      <c r="B13823" t="n" s="0">
        <f>(-5-((((-5*(-5/((-5/(((-5*(38.22--5))-(-5+((-5*38.22)*(((-5--5)+(38.22--5))+38.22))))-(-5+-5)))*-5)))/-5)--5)+(-5*(((38.22*(38.22-(-5/-5)))*(38.22-(38.22/(-5*38.22))))-(-5/-5)))))</f>
        <v>276328.96444</v>
      </c>
      <c r="C13823" t="n" s="0">
        <v>276328.96443999995</v>
      </c>
    </row>
    <row r="13824">
      <c r="A13824" t="n" s="0">
        <v>38.23</v>
      </c>
      <c r="B13824" t="n" s="0">
        <f>(-5-((((-5*(-5/((-5/(((-5*(38.23--5))-(-5+((-5*38.23)*(((-5--5)+(38.23--5))+38.23))))-(-5+-5)))*-5)))/-5)--5)+(-5*(((38.23*(38.23-(-5/-5)))*(38.23-(38.23/(-5*38.23))))-(-5/-5)))))</f>
        <v>276546.638035</v>
      </c>
      <c r="C13824" t="n" s="0">
        <v>276546.63803499995</v>
      </c>
    </row>
    <row r="13825">
      <c r="A13825" t="n" s="0">
        <v>38.24</v>
      </c>
      <c r="B13825" t="n" s="0">
        <f>(-5-((((-5*(-5/((-5/(((-5*(38.24--5))-(-5+((-5*38.24)*(((-5--5)+(38.24--5))+38.24))))-(-5+-5)))*-5)))/-5)--5)+(-5*(((38.24*(38.24-(-5/-5)))*(38.24-(38.24/(-5*38.24))))-(-5/-5)))))</f>
        <v>276764.42592</v>
      </c>
      <c r="C13825" t="n" s="0">
        <v>276764.42592</v>
      </c>
    </row>
    <row r="13826">
      <c r="A13826" t="n" s="0">
        <v>38.25</v>
      </c>
      <c r="B13826" t="n" s="0">
        <f>(-5-((((-5*(-5/((-5/(((-5*(38.25--5))-(-5+((-5*38.25)*(((-5--5)+(38.25--5))+38.25))))-(-5+-5)))*-5)))/-5)--5)+(-5*(((38.25*(38.25-(-5/-5)))*(38.25-(38.25/(-5*38.25))))-(-5/-5)))))</f>
        <v>276982.328125</v>
      </c>
      <c r="C13826" t="n" s="0">
        <v>276982.328125</v>
      </c>
    </row>
    <row r="13827">
      <c r="A13827" t="n" s="0">
        <v>38.26</v>
      </c>
      <c r="B13827" t="n" s="0">
        <f>(-5-((((-5*(-5/((-5/(((-5*(38.26--5))-(-5+((-5*38.26)*(((-5--5)+(38.26--5))+38.26))))-(-5+-5)))*-5)))/-5)--5)+(-5*(((38.26*(38.26-(-5/-5)))*(38.26-(38.26/(-5*38.26))))-(-5/-5)))))</f>
        <v>277200.34468000004</v>
      </c>
      <c r="C13827" t="n" s="0">
        <v>277200.34468000004</v>
      </c>
    </row>
    <row r="13828">
      <c r="A13828" t="n" s="0">
        <v>38.27</v>
      </c>
      <c r="B13828" t="n" s="0">
        <f>(-5-((((-5*(-5/((-5/(((-5*(38.27--5))-(-5+((-5*38.27)*(((-5--5)+(38.27--5))+38.27))))-(-5+-5)))*-5)))/-5)--5)+(-5*(((38.27*(38.27-(-5/-5)))*(38.27-(38.27/(-5*38.27))))-(-5/-5)))))</f>
        <v>277418.475615</v>
      </c>
      <c r="C13828" t="n" s="0">
        <v>277418.4756150001</v>
      </c>
    </row>
    <row r="13829">
      <c r="A13829" t="n" s="0">
        <v>38.28</v>
      </c>
      <c r="B13829" t="n" s="0">
        <f>(-5-((((-5*(-5/((-5/(((-5*(38.28--5))-(-5+((-5*38.28)*(((-5--5)+(38.28--5))+38.28))))-(-5+-5)))*-5)))/-5)--5)+(-5*(((38.28*(38.28-(-5/-5)))*(38.28-(38.28/(-5*38.28))))-(-5/-5)))))</f>
        <v>277636.72096000006</v>
      </c>
      <c r="C13829" t="n" s="0">
        <v>277636.72096000006</v>
      </c>
    </row>
    <row r="13830">
      <c r="A13830" t="n" s="0">
        <v>38.29</v>
      </c>
      <c r="B13830" t="n" s="0">
        <f>(-5-((((-5*(-5/((-5/(((-5*(38.29--5))-(-5+((-5*38.29)*(((-5--5)+(38.29--5))+38.29))))-(-5+-5)))*-5)))/-5)--5)+(-5*(((38.29*(38.29-(-5/-5)))*(38.29-(38.29/(-5*38.29))))-(-5/-5)))))</f>
        <v>277855.080745</v>
      </c>
      <c r="C13830" t="n" s="0">
        <v>277855.080745</v>
      </c>
    </row>
    <row r="13831">
      <c r="A13831" t="n" s="0">
        <v>38.3</v>
      </c>
      <c r="B13831" t="n" s="0">
        <f>(-5-((((-5*(-5/((-5/(((-5*(38.3--5))-(-5+((-5*38.3)*(((-5--5)+(38.3--5))+38.3))))-(-5+-5)))*-5)))/-5)--5)+(-5*(((38.3*(38.3-(-5/-5)))*(38.3-(38.3/(-5*38.3))))-(-5/-5)))))</f>
        <v>278073.555</v>
      </c>
      <c r="C13831" t="n" s="0">
        <v>278073.55499999993</v>
      </c>
    </row>
    <row r="13832">
      <c r="A13832" t="n" s="0">
        <v>38.31</v>
      </c>
      <c r="B13832" t="n" s="0">
        <f>(-5-((((-5*(-5/((-5/(((-5*(38.31--5))-(-5+((-5*38.31)*(((-5--5)+(38.31--5))+38.31))))-(-5+-5)))*-5)))/-5)--5)+(-5*(((38.31*(38.31-(-5/-5)))*(38.31-(38.31/(-5*38.31))))-(-5/-5)))))</f>
        <v>278292.14375499997</v>
      </c>
      <c r="C13832" t="n" s="0">
        <v>278292.1437550001</v>
      </c>
    </row>
    <row r="13833">
      <c r="A13833" t="n" s="0">
        <v>38.32</v>
      </c>
      <c r="B13833" t="n" s="0">
        <f>(-5-((((-5*(-5/((-5/(((-5*(38.32--5))-(-5+((-5*38.32)*(((-5--5)+(38.32--5))+38.32))))-(-5+-5)))*-5)))/-5)--5)+(-5*(((38.32*(38.32-(-5/-5)))*(38.32-(38.32/(-5*38.32))))-(-5/-5)))))</f>
        <v>278510.84703999996</v>
      </c>
      <c r="C13833" t="n" s="0">
        <v>278510.84704</v>
      </c>
    </row>
    <row r="13834">
      <c r="A13834" t="n" s="0">
        <v>38.33</v>
      </c>
      <c r="B13834" t="n" s="0">
        <f>(-5-((((-5*(-5/((-5/(((-5*(38.33--5))-(-5+((-5*38.33)*(((-5--5)+(38.33--5))+38.33))))-(-5+-5)))*-5)))/-5)--5)+(-5*(((38.33*(38.33-(-5/-5)))*(38.33-(38.33/(-5*38.33))))-(-5/-5)))))</f>
        <v>278729.66488500003</v>
      </c>
      <c r="C13834" t="n" s="0">
        <v>278729.664885</v>
      </c>
    </row>
    <row r="13835">
      <c r="A13835" t="n" s="0">
        <v>38.34</v>
      </c>
      <c r="B13835" t="n" s="0">
        <f>(-5-((((-5*(-5/((-5/(((-5*(38.34--5))-(-5+((-5*38.34)*(((-5--5)+(38.34--5))+38.34))))-(-5+-5)))*-5)))/-5)--5)+(-5*(((38.34*(38.34-(-5/-5)))*(38.34-(38.34/(-5*38.34))))-(-5/-5)))))</f>
        <v>278948.59732</v>
      </c>
      <c r="C13835" t="n" s="0">
        <v>278948.5973200001</v>
      </c>
    </row>
    <row r="13836">
      <c r="A13836" t="n" s="0">
        <v>38.35</v>
      </c>
      <c r="B13836" t="n" s="0">
        <f>(-5-((((-5*(-5/((-5/(((-5*(38.35--5))-(-5+((-5*38.35)*(((-5--5)+(38.35--5))+38.35))))-(-5+-5)))*-5)))/-5)--5)+(-5*(((38.35*(38.35-(-5/-5)))*(38.35-(38.35/(-5*38.35))))-(-5/-5)))))</f>
        <v>279167.644375</v>
      </c>
      <c r="C13836" t="n" s="0">
        <v>279167.64437500003</v>
      </c>
    </row>
    <row r="13837">
      <c r="A13837" t="n" s="0">
        <v>38.36</v>
      </c>
      <c r="B13837" t="n" s="0">
        <f>(-5-((((-5*(-5/((-5/(((-5*(38.36--5))-(-5+((-5*38.36)*(((-5--5)+(38.36--5))+38.36))))-(-5+-5)))*-5)))/-5)--5)+(-5*(((38.36*(38.36-(-5/-5)))*(38.36-(38.36/(-5*38.36))))-(-5/-5)))))</f>
        <v>279386.80608</v>
      </c>
      <c r="C13837" t="n" s="0">
        <v>279386.80608</v>
      </c>
    </row>
    <row r="13838">
      <c r="A13838" t="n" s="0">
        <v>38.37</v>
      </c>
      <c r="B13838" t="n" s="0">
        <f>(-5-((((-5*(-5/((-5/(((-5*(38.37--5))-(-5+((-5*38.37)*(((-5--5)+(38.37--5))+38.37))))-(-5+-5)))*-5)))/-5)--5)+(-5*(((38.37*(38.37-(-5/-5)))*(38.37-(38.37/(-5*38.37))))-(-5/-5)))))</f>
        <v>279606.082465</v>
      </c>
      <c r="C13838" t="n" s="0">
        <v>279606.0824649999</v>
      </c>
    </row>
    <row r="13839">
      <c r="A13839" t="n" s="0">
        <v>38.38</v>
      </c>
      <c r="B13839" t="n" s="0">
        <f>(-5-((((-5*(-5/((-5/(((-5*(38.38--5))-(-5+((-5*38.38)*(((-5--5)+(38.38--5))+38.38))))-(-5+-5)))*-5)))/-5)--5)+(-5*(((38.38*(38.38-(-5/-5)))*(38.38-(38.38/(-5*38.38))))-(-5/-5)))))</f>
        <v>279825.47356</v>
      </c>
      <c r="C13839" t="n" s="0">
        <v>279825.4735600001</v>
      </c>
    </row>
    <row r="13840">
      <c r="A13840" t="n" s="0">
        <v>38.39</v>
      </c>
      <c r="B13840" t="n" s="0">
        <f>(-5-((((-5*(-5/((-5/(((-5*(38.39--5))-(-5+((-5*38.39)*(((-5--5)+(38.39--5))+38.39))))-(-5+-5)))*-5)))/-5)--5)+(-5*(((38.39*(38.39-(-5/-5)))*(38.39-(38.39/(-5*38.39))))-(-5/-5)))))</f>
        <v>280044.97939500003</v>
      </c>
      <c r="C13840" t="n" s="0">
        <v>280044.97939500003</v>
      </c>
    </row>
    <row r="13841">
      <c r="A13841" t="n" s="0">
        <v>38.4</v>
      </c>
      <c r="B13841" t="n" s="0">
        <f>(-5-((((-5*(-5/((-5/(((-5*(38.4--5))-(-5+((-5*38.4)*(((-5--5)+(38.4--5))+38.4))))-(-5+-5)))*-5)))/-5)--5)+(-5*(((38.4*(38.4-(-5/-5)))*(38.4-(38.4/(-5*38.4))))-(-5/-5)))))</f>
        <v>280264.6</v>
      </c>
      <c r="C13841" t="n" s="0">
        <v>280264.6</v>
      </c>
    </row>
    <row r="13842">
      <c r="A13842" t="n" s="0">
        <v>38.41</v>
      </c>
      <c r="B13842" t="n" s="0">
        <f>(-5-((((-5*(-5/((-5/(((-5*(38.41--5))-(-5+((-5*38.41)*(((-5--5)+(38.41--5))+38.41))))-(-5+-5)))*-5)))/-5)--5)+(-5*(((38.41*(38.41-(-5/-5)))*(38.41-(38.41/(-5*38.41))))-(-5/-5)))))</f>
        <v>280484.33540499996</v>
      </c>
      <c r="C13842" t="n" s="0">
        <v>280484.33540499985</v>
      </c>
    </row>
    <row r="13843">
      <c r="A13843" t="n" s="0">
        <v>38.42</v>
      </c>
      <c r="B13843" t="n" s="0">
        <f>(-5-((((-5*(-5/((-5/(((-5*(38.42--5))-(-5+((-5*38.42)*(((-5--5)+(38.42--5))+38.42))))-(-5+-5)))*-5)))/-5)--5)+(-5*(((38.42*(38.42-(-5/-5)))*(38.42-(38.42/(-5*38.42))))-(-5/-5)))))</f>
        <v>280704.18564000004</v>
      </c>
      <c r="C13843" t="n" s="0">
        <v>280704.18564000004</v>
      </c>
    </row>
    <row r="13844">
      <c r="A13844" t="n" s="0">
        <v>38.43</v>
      </c>
      <c r="B13844" t="n" s="0">
        <f>(-5-((((-5*(-5/((-5/(((-5*(38.43--5))-(-5+((-5*38.43)*(((-5--5)+(38.43--5))+38.43))))-(-5+-5)))*-5)))/-5)--5)+(-5*(((38.43*(38.43-(-5/-5)))*(38.43-(38.43/(-5*38.43))))-(-5/-5)))))</f>
        <v>280924.150735</v>
      </c>
      <c r="C13844" t="n" s="0">
        <v>280924.150735</v>
      </c>
    </row>
    <row r="13845">
      <c r="A13845" t="n" s="0">
        <v>38.44</v>
      </c>
      <c r="B13845" t="n" s="0">
        <f>(-5-((((-5*(-5/((-5/(((-5*(38.44--5))-(-5+((-5*38.44)*(((-5--5)+(38.44--5))+38.44))))-(-5+-5)))*-5)))/-5)--5)+(-5*(((38.44*(38.44-(-5/-5)))*(38.44-(38.44/(-5*38.44))))-(-5/-5)))))</f>
        <v>281144.23072</v>
      </c>
      <c r="C13845" t="n" s="0">
        <v>281144.23071999993</v>
      </c>
    </row>
    <row r="13846">
      <c r="A13846" t="n" s="0">
        <v>38.45</v>
      </c>
      <c r="B13846" t="n" s="0">
        <f>(-5-((((-5*(-5/((-5/(((-5*(38.45--5))-(-5+((-5*38.45)*(((-5--5)+(38.45--5))+38.45))))-(-5+-5)))*-5)))/-5)--5)+(-5*(((38.45*(38.45-(-5/-5)))*(38.45-(38.45/(-5*38.45))))-(-5/-5)))))</f>
        <v>281364.425625</v>
      </c>
      <c r="C13846" t="n" s="0">
        <v>281364.42562500003</v>
      </c>
    </row>
    <row r="13847">
      <c r="A13847" t="n" s="0">
        <v>38.46</v>
      </c>
      <c r="B13847" t="n" s="0">
        <f>(-5-((((-5*(-5/((-5/(((-5*(38.46--5))-(-5+((-5*38.46)*(((-5--5)+(38.46--5))+38.46))))-(-5+-5)))*-5)))/-5)--5)+(-5*(((38.46*(38.46-(-5/-5)))*(38.46-(38.46/(-5*38.46))))-(-5/-5)))))</f>
        <v>281584.73548000003</v>
      </c>
      <c r="C13847" t="n" s="0">
        <v>281584.73548000003</v>
      </c>
    </row>
    <row r="13848">
      <c r="A13848" t="n" s="0">
        <v>38.47</v>
      </c>
      <c r="B13848" t="n" s="0">
        <f>(-5-((((-5*(-5/((-5/(((-5*(38.47--5))-(-5+((-5*38.47)*(((-5--5)+(38.47--5))+38.47))))-(-5+-5)))*-5)))/-5)--5)+(-5*(((38.47*(38.47-(-5/-5)))*(38.47-(38.47/(-5*38.47))))-(-5/-5)))))</f>
        <v>281805.16031500004</v>
      </c>
      <c r="C13848" t="n" s="0">
        <v>281805.1603149999</v>
      </c>
    </row>
    <row r="13849">
      <c r="A13849" t="n" s="0">
        <v>38.48</v>
      </c>
      <c r="B13849" t="n" s="0">
        <f>(-5-((((-5*(-5/((-5/(((-5*(38.48--5))-(-5+((-5*38.48)*(((-5--5)+(38.48--5))+38.48))))-(-5+-5)))*-5)))/-5)--5)+(-5*(((38.48*(38.48-(-5/-5)))*(38.48-(38.48/(-5*38.48))))-(-5/-5)))))</f>
        <v>282025.70016</v>
      </c>
      <c r="C13849" t="n" s="0">
        <v>282025.70015999995</v>
      </c>
    </row>
    <row r="13850">
      <c r="A13850" t="n" s="0">
        <v>38.49</v>
      </c>
      <c r="B13850" t="n" s="0">
        <f>(-5-((((-5*(-5/((-5/(((-5*(38.49--5))-(-5+((-5*38.49)*(((-5--5)+(38.49--5))+38.49))))-(-5+-5)))*-5)))/-5)--5)+(-5*(((38.49*(38.49-(-5/-5)))*(38.49-(38.49/(-5*38.49))))-(-5/-5)))))</f>
        <v>282246.355045</v>
      </c>
      <c r="C13850" t="n" s="0">
        <v>282246.35504500003</v>
      </c>
    </row>
    <row r="13851">
      <c r="A13851" t="n" s="0">
        <v>38.5</v>
      </c>
      <c r="B13851" t="n" s="0">
        <f>(-5-((((-5*(-5/((-5/(((-5*(38.5--5))-(-5+((-5*38.5)*(((-5--5)+(38.5--5))+38.5))))-(-5+-5)))*-5)))/-5)--5)+(-5*(((38.5*(38.5-(-5/-5)))*(38.5-(38.5/(-5*38.5))))-(-5/-5)))))</f>
        <v>282467.125</v>
      </c>
      <c r="C13851" t="n" s="0">
        <v>282467.125</v>
      </c>
    </row>
    <row r="13852">
      <c r="A13852" t="n" s="0">
        <v>38.51</v>
      </c>
      <c r="B13852" t="n" s="0">
        <f>(-5-((((-5*(-5/((-5/(((-5*(38.51--5))-(-5+((-5*38.51)*(((-5--5)+(38.51--5))+38.51))))-(-5+-5)))*-5)))/-5)--5)+(-5*(((38.51*(38.51-(-5/-5)))*(38.51-(38.51/(-5*38.51))))-(-5/-5)))))</f>
        <v>282688.010055</v>
      </c>
      <c r="C13852" t="n" s="0">
        <v>282688.01005499996</v>
      </c>
    </row>
    <row r="13853">
      <c r="A13853" t="n" s="0">
        <v>38.52</v>
      </c>
      <c r="B13853" t="n" s="0">
        <f>(-5-((((-5*(-5/((-5/(((-5*(38.52--5))-(-5+((-5*38.52)*(((-5--5)+(38.52--5))+38.52))))-(-5+-5)))*-5)))/-5)--5)+(-5*(((38.52*(38.52-(-5/-5)))*(38.52-(38.52/(-5*38.52))))-(-5/-5)))))</f>
        <v>282909.01024000003</v>
      </c>
      <c r="C13853" t="n" s="0">
        <v>282909.01024000003</v>
      </c>
    </row>
    <row r="13854">
      <c r="A13854" t="n" s="0">
        <v>38.53</v>
      </c>
      <c r="B13854" t="n" s="0">
        <f>(-5-((((-5*(-5/((-5/(((-5*(38.53--5))-(-5+((-5*38.53)*(((-5--5)+(38.53--5))+38.53))))-(-5+-5)))*-5)))/-5)--5)+(-5*(((38.53*(38.53-(-5/-5)))*(38.53-(38.53/(-5*38.53))))-(-5/-5)))))</f>
        <v>283130.12558500003</v>
      </c>
      <c r="C13854" t="n" s="0">
        <v>283130.12558500003</v>
      </c>
    </row>
    <row r="13855">
      <c r="A13855" t="n" s="0">
        <v>38.54</v>
      </c>
      <c r="B13855" t="n" s="0">
        <f>(-5-((((-5*(-5/((-5/(((-5*(38.54--5))-(-5+((-5*38.54)*(((-5--5)+(38.54--5))+38.54))))-(-5+-5)))*-5)))/-5)--5)+(-5*(((38.54*(38.54-(-5/-5)))*(38.54-(38.54/(-5*38.54))))-(-5/-5)))))</f>
        <v>283351.35612</v>
      </c>
      <c r="C13855" t="n" s="0">
        <v>283351.35611999995</v>
      </c>
    </row>
    <row r="13856">
      <c r="A13856" t="n" s="0">
        <v>38.55</v>
      </c>
      <c r="B13856" t="n" s="0">
        <f>(-5-((((-5*(-5/((-5/(((-5*(38.55--5))-(-5+((-5*38.55)*(((-5--5)+(38.55--5))+38.55))))-(-5+-5)))*-5)))/-5)--5)+(-5*(((38.55*(38.55-(-5/-5)))*(38.55-(38.55/(-5*38.55))))-(-5/-5)))))</f>
        <v>283572.701875</v>
      </c>
      <c r="C13856" t="n" s="0">
        <v>283572.7018749999</v>
      </c>
    </row>
    <row r="13857">
      <c r="A13857" t="n" s="0">
        <v>38.56</v>
      </c>
      <c r="B13857" t="n" s="0">
        <f>(-5-((((-5*(-5/((-5/(((-5*(38.56--5))-(-5+((-5*38.56)*(((-5--5)+(38.56--5))+38.56))))-(-5+-5)))*-5)))/-5)--5)+(-5*(((38.56*(38.56-(-5/-5)))*(38.56-(38.56/(-5*38.56))))-(-5/-5)))))</f>
        <v>283794.16288</v>
      </c>
      <c r="C13857" t="n" s="0">
        <v>283794.1628800001</v>
      </c>
    </row>
    <row r="13858">
      <c r="A13858" t="n" s="0">
        <v>38.57</v>
      </c>
      <c r="B13858" t="n" s="0">
        <f>(-5-((((-5*(-5/((-5/(((-5*(38.57--5))-(-5+((-5*38.57)*(((-5--5)+(38.57--5))+38.57))))-(-5+-5)))*-5)))/-5)--5)+(-5*(((38.57*(38.57-(-5/-5)))*(38.57-(38.57/(-5*38.57))))-(-5/-5)))))</f>
        <v>284015.739165</v>
      </c>
      <c r="C13858" t="n" s="0">
        <v>284015.739165</v>
      </c>
    </row>
    <row r="13859">
      <c r="A13859" t="n" s="0">
        <v>38.58</v>
      </c>
      <c r="B13859" t="n" s="0">
        <f>(-5-((((-5*(-5/((-5/(((-5*(38.58--5))-(-5+((-5*38.58)*(((-5--5)+(38.58--5))+38.58))))-(-5+-5)))*-5)))/-5)--5)+(-5*(((38.58*(38.58-(-5/-5)))*(38.58-(38.58/(-5*38.58))))-(-5/-5)))))</f>
        <v>284237.43076</v>
      </c>
      <c r="C13859" t="n" s="0">
        <v>284237.43075999996</v>
      </c>
    </row>
    <row r="13860">
      <c r="A13860" t="n" s="0">
        <v>38.59</v>
      </c>
      <c r="B13860" t="n" s="0">
        <f>(-5-((((-5*(-5/((-5/(((-5*(38.59--5))-(-5+((-5*38.59)*(((-5--5)+(38.59--5))+38.59))))-(-5+-5)))*-5)))/-5)--5)+(-5*(((38.59*(38.59-(-5/-5)))*(38.59-(38.59/(-5*38.59))))-(-5/-5)))))</f>
        <v>284459.23769499996</v>
      </c>
      <c r="C13860" t="n" s="0">
        <v>284459.2376950001</v>
      </c>
    </row>
    <row r="13861">
      <c r="A13861" t="n" s="0">
        <v>38.6</v>
      </c>
      <c r="B13861" t="n" s="0">
        <f>(-5-((((-5*(-5/((-5/(((-5*(38.6--5))-(-5+((-5*38.6)*(((-5--5)+(38.6--5))+38.6))))-(-5+-5)))*-5)))/-5)--5)+(-5*(((38.6*(38.6-(-5/-5)))*(38.6-(38.6/(-5*38.6))))-(-5/-5)))))</f>
        <v>284681.16000000003</v>
      </c>
      <c r="C13861" t="n" s="0">
        <v>284681.16000000003</v>
      </c>
    </row>
    <row r="13862">
      <c r="A13862" t="n" s="0">
        <v>38.61</v>
      </c>
      <c r="B13862" t="n" s="0">
        <f>(-5-((((-5*(-5/((-5/(((-5*(38.61--5))-(-5+((-5*38.61)*(((-5--5)+(38.61--5))+38.61))))-(-5+-5)))*-5)))/-5)--5)+(-5*(((38.61*(38.61-(-5/-5)))*(38.61-(38.61/(-5*38.61))))-(-5/-5)))))</f>
        <v>284903.197705</v>
      </c>
      <c r="C13862" t="n" s="0">
        <v>284903.197705</v>
      </c>
    </row>
    <row r="13863">
      <c r="A13863" t="n" s="0">
        <v>38.62</v>
      </c>
      <c r="B13863" t="n" s="0">
        <f>(-5-((((-5*(-5/((-5/(((-5*(38.62--5))-(-5+((-5*38.62)*(((-5--5)+(38.62--5))+38.62))))-(-5+-5)))*-5)))/-5)--5)+(-5*(((38.62*(38.62-(-5/-5)))*(38.62-(38.62/(-5*38.62))))-(-5/-5)))))</f>
        <v>285125.35083999997</v>
      </c>
      <c r="C13863" t="n" s="0">
        <v>285125.3508399999</v>
      </c>
    </row>
    <row r="13864">
      <c r="A13864" t="n" s="0">
        <v>38.63</v>
      </c>
      <c r="B13864" t="n" s="0">
        <f>(-5-((((-5*(-5/((-5/(((-5*(38.63--5))-(-5+((-5*38.63)*(((-5--5)+(38.63--5))+38.63))))-(-5+-5)))*-5)))/-5)--5)+(-5*(((38.63*(38.63-(-5/-5)))*(38.63-(38.63/(-5*38.63))))-(-5/-5)))))</f>
        <v>285347.619435</v>
      </c>
      <c r="C13864" t="n" s="0">
        <v>285347.61943500006</v>
      </c>
    </row>
    <row r="13865">
      <c r="A13865" t="n" s="0">
        <v>38.64</v>
      </c>
      <c r="B13865" t="n" s="0">
        <f>(-5-((((-5*(-5/((-5/(((-5*(38.64--5))-(-5+((-5*38.64)*(((-5--5)+(38.64--5))+38.64))))-(-5+-5)))*-5)))/-5)--5)+(-5*(((38.64*(38.64-(-5/-5)))*(38.64-(38.64/(-5*38.64))))-(-5/-5)))))</f>
        <v>285570.00351999997</v>
      </c>
      <c r="C13865" t="n" s="0">
        <v>285570.00352</v>
      </c>
    </row>
    <row r="13866">
      <c r="A13866" t="n" s="0">
        <v>38.65</v>
      </c>
      <c r="B13866" t="n" s="0">
        <f>(-5-((((-5*(-5/((-5/(((-5*(38.65--5))-(-5+((-5*38.65)*(((-5--5)+(38.65--5))+38.65))))-(-5+-5)))*-5)))/-5)--5)+(-5*(((38.65*(38.65-(-5/-5)))*(38.65-(38.65/(-5*38.65))))-(-5/-5)))))</f>
        <v>285792.503125</v>
      </c>
      <c r="C13866" t="n" s="0">
        <v>285792.503125</v>
      </c>
    </row>
    <row r="13867">
      <c r="A13867" t="n" s="0">
        <v>38.66</v>
      </c>
      <c r="B13867" t="n" s="0">
        <f>(-5-((((-5*(-5/((-5/(((-5*(38.66--5))-(-5+((-5*38.66)*(((-5--5)+(38.66--5))+38.66))))-(-5+-5)))*-5)))/-5)--5)+(-5*(((38.66*(38.66-(-5/-5)))*(38.66-(38.66/(-5*38.66))))-(-5/-5)))))</f>
        <v>286015.11827999994</v>
      </c>
      <c r="C13867" t="n" s="0">
        <v>286015.11827999994</v>
      </c>
    </row>
    <row r="13868">
      <c r="A13868" t="n" s="0">
        <v>38.67</v>
      </c>
      <c r="B13868" t="n" s="0">
        <f>(-5-((((-5*(-5/((-5/(((-5*(38.67--5))-(-5+((-5*38.67)*(((-5--5)+(38.67--5))+38.67))))-(-5+-5)))*-5)))/-5)--5)+(-5*(((38.67*(38.67-(-5/-5)))*(38.67-(38.67/(-5*38.67))))-(-5/-5)))))</f>
        <v>286237.849015</v>
      </c>
      <c r="C13868" t="n" s="0">
        <v>286237.84901500004</v>
      </c>
    </row>
    <row r="13869">
      <c r="A13869" t="n" s="0">
        <v>38.68</v>
      </c>
      <c r="B13869" t="n" s="0">
        <f>(-5-((((-5*(-5/((-5/(((-5*(38.68--5))-(-5+((-5*38.68)*(((-5--5)+(38.68--5))+38.68))))-(-5+-5)))*-5)))/-5)--5)+(-5*(((38.68*(38.68-(-5/-5)))*(38.68-(38.68/(-5*38.68))))-(-5/-5)))))</f>
        <v>286460.69536</v>
      </c>
      <c r="C13869" t="n" s="0">
        <v>286460.69535999995</v>
      </c>
    </row>
    <row r="13870">
      <c r="A13870" t="n" s="0">
        <v>38.69</v>
      </c>
      <c r="B13870" t="n" s="0">
        <f>(-5-((((-5*(-5/((-5/(((-5*(38.69--5))-(-5+((-5*38.69)*(((-5--5)+(38.69--5))+38.69))))-(-5+-5)))*-5)))/-5)--5)+(-5*(((38.69*(38.69-(-5/-5)))*(38.69-(38.69/(-5*38.69))))-(-5/-5)))))</f>
        <v>286683.657345</v>
      </c>
      <c r="C13870" t="n" s="0">
        <v>286683.65734499996</v>
      </c>
    </row>
    <row r="13871">
      <c r="A13871" t="n" s="0">
        <v>38.7</v>
      </c>
      <c r="B13871" t="n" s="0">
        <f>(-5-((((-5*(-5/((-5/(((-5*(38.7--5))-(-5+((-5*38.7)*(((-5--5)+(38.7--5))+38.7))))-(-5+-5)))*-5)))/-5)--5)+(-5*(((38.7*(38.7-(-5/-5)))*(38.7-(38.7/(-5*38.7))))-(-5/-5)))))</f>
        <v>286906.735</v>
      </c>
      <c r="C13871" t="n" s="0">
        <v>286906.73500000004</v>
      </c>
    </row>
    <row r="13872">
      <c r="A13872" t="n" s="0">
        <v>38.71</v>
      </c>
      <c r="B13872" t="n" s="0">
        <f>(-5-((((-5*(-5/((-5/(((-5*(38.71--5))-(-5+((-5*38.71)*(((-5--5)+(38.71--5))+38.71))))-(-5+-5)))*-5)))/-5)--5)+(-5*(((38.71*(38.71-(-5/-5)))*(38.71-(38.71/(-5*38.71))))-(-5/-5)))))</f>
        <v>287129.928355</v>
      </c>
      <c r="C13872" t="n" s="0">
        <v>287129.928355</v>
      </c>
    </row>
    <row r="13873">
      <c r="A13873" t="n" s="0">
        <v>38.72</v>
      </c>
      <c r="B13873" t="n" s="0">
        <f>(-5-((((-5*(-5/((-5/(((-5*(38.72--5))-(-5+((-5*38.72)*(((-5--5)+(38.72--5))+38.72))))-(-5+-5)))*-5)))/-5)--5)+(-5*(((38.72*(38.72-(-5/-5)))*(38.72-(38.72/(-5*38.72))))-(-5/-5)))))</f>
        <v>287353.23744</v>
      </c>
      <c r="C13873" t="n" s="0">
        <v>287353.23743999994</v>
      </c>
    </row>
    <row r="13874">
      <c r="A13874" t="n" s="0">
        <v>38.73</v>
      </c>
      <c r="B13874" t="n" s="0">
        <f>(-5-((((-5*(-5/((-5/(((-5*(38.73--5))-(-5+((-5*38.73)*(((-5--5)+(38.73--5))+38.73))))-(-5+-5)))*-5)))/-5)--5)+(-5*(((38.73*(38.73-(-5/-5)))*(38.73-(38.73/(-5*38.73))))-(-5/-5)))))</f>
        <v>287576.66228499997</v>
      </c>
      <c r="C13874" t="n" s="0">
        <v>287576.6622849999</v>
      </c>
    </row>
    <row r="13875">
      <c r="A13875" t="n" s="0">
        <v>38.74</v>
      </c>
      <c r="B13875" t="n" s="0">
        <f>(-5-((((-5*(-5/((-5/(((-5*(38.74--5))-(-5+((-5*38.74)*(((-5--5)+(38.74--5))+38.74))))-(-5+-5)))*-5)))/-5)--5)+(-5*(((38.74*(38.74-(-5/-5)))*(38.74-(38.74/(-5*38.74))))-(-5/-5)))))</f>
        <v>287800.20292</v>
      </c>
      <c r="C13875" t="n" s="0">
        <v>287800.20292</v>
      </c>
    </row>
    <row r="13876">
      <c r="A13876" t="n" s="0">
        <v>38.75</v>
      </c>
      <c r="B13876" t="n" s="0">
        <f>(-5-((((-5*(-5/((-5/(((-5*(38.75--5))-(-5+((-5*38.75)*(((-5--5)+(38.75--5))+38.75))))-(-5+-5)))*-5)))/-5)--5)+(-5*(((38.75*(38.75-(-5/-5)))*(38.75-(38.75/(-5*38.75))))-(-5/-5)))))</f>
        <v>288023.859375</v>
      </c>
      <c r="C13876" t="n" s="0">
        <v>288023.859375</v>
      </c>
    </row>
    <row r="13877">
      <c r="A13877" t="n" s="0">
        <v>38.76</v>
      </c>
      <c r="B13877" t="n" s="0">
        <f>(-5-((((-5*(-5/((-5/(((-5*(38.76--5))-(-5+((-5*38.76)*(((-5--5)+(38.76--5))+38.76))))-(-5+-5)))*-5)))/-5)--5)+(-5*(((38.76*(38.76-(-5/-5)))*(38.76-(38.76/(-5*38.76))))-(-5/-5)))))</f>
        <v>288247.63168000005</v>
      </c>
      <c r="C13877" t="n" s="0">
        <v>288247.63168</v>
      </c>
    </row>
    <row r="13878">
      <c r="A13878" t="n" s="0">
        <v>38.77</v>
      </c>
      <c r="B13878" t="n" s="0">
        <f>(-5-((((-5*(-5/((-5/(((-5*(38.77--5))-(-5+((-5*38.77)*(((-5--5)+(38.77--5))+38.77))))-(-5+-5)))*-5)))/-5)--5)+(-5*(((38.77*(38.77-(-5/-5)))*(38.77-(38.77/(-5*38.77))))-(-5/-5)))))</f>
        <v>288471.519865</v>
      </c>
      <c r="C13878" t="n" s="0">
        <v>288471.51986500004</v>
      </c>
    </row>
    <row r="13879">
      <c r="A13879" t="n" s="0">
        <v>38.78</v>
      </c>
      <c r="B13879" t="n" s="0">
        <f>(-5-((((-5*(-5/((-5/(((-5*(38.78--5))-(-5+((-5*38.78)*(((-5--5)+(38.78--5))+38.78))))-(-5+-5)))*-5)))/-5)--5)+(-5*(((38.78*(38.78-(-5/-5)))*(38.78-(38.78/(-5*38.78))))-(-5/-5)))))</f>
        <v>288695.52395999996</v>
      </c>
      <c r="C13879" t="n" s="0">
        <v>288695.52396</v>
      </c>
    </row>
    <row r="13880">
      <c r="A13880" t="n" s="0">
        <v>38.79</v>
      </c>
      <c r="B13880" t="n" s="0">
        <f>(-5-((((-5*(-5/((-5/(((-5*(38.79--5))-(-5+((-5*38.79)*(((-5--5)+(38.79--5))+38.79))))-(-5+-5)))*-5)))/-5)--5)+(-5*(((38.79*(38.79-(-5/-5)))*(38.79-(38.79/(-5*38.79))))-(-5/-5)))))</f>
        <v>288919.64399500005</v>
      </c>
      <c r="C13880" t="n" s="0">
        <v>288919.643995</v>
      </c>
    </row>
    <row r="13881">
      <c r="A13881" t="n" s="0">
        <v>38.8</v>
      </c>
      <c r="B13881" t="n" s="0">
        <f>(-5-((((-5*(-5/((-5/(((-5*(38.8--5))-(-5+((-5*38.8)*(((-5--5)+(38.8--5))+38.8))))-(-5+-5)))*-5)))/-5)--5)+(-5*(((38.8*(38.8-(-5/-5)))*(38.8-(38.8/(-5*38.8))))-(-5/-5)))))</f>
        <v>289143.88</v>
      </c>
      <c r="C13881" t="n" s="0">
        <v>289143.87999999995</v>
      </c>
    </row>
    <row r="13882">
      <c r="A13882" t="n" s="0">
        <v>38.81</v>
      </c>
      <c r="B13882" t="n" s="0">
        <f>(-5-((((-5*(-5/((-5/(((-5*(38.81--5))-(-5+((-5*38.81)*(((-5--5)+(38.81--5))+38.81))))-(-5+-5)))*-5)))/-5)--5)+(-5*(((38.81*(38.81-(-5/-5)))*(38.81-(38.81/(-5*38.81))))-(-5/-5)))))</f>
        <v>289368.232005</v>
      </c>
      <c r="C13882" t="n" s="0">
        <v>289368.23200500006</v>
      </c>
    </row>
    <row r="13883">
      <c r="A13883" t="n" s="0">
        <v>38.82</v>
      </c>
      <c r="B13883" t="n" s="0">
        <f>(-5-((((-5*(-5/((-5/(((-5*(38.82--5))-(-5+((-5*38.82)*(((-5--5)+(38.82--5))+38.82))))-(-5+-5)))*-5)))/-5)--5)+(-5*(((38.82*(38.82-(-5/-5)))*(38.82-(38.82/(-5*38.82))))-(-5/-5)))))</f>
        <v>289592.70004</v>
      </c>
      <c r="C13883" t="n" s="0">
        <v>289592.7000400001</v>
      </c>
    </row>
    <row r="13884">
      <c r="A13884" t="n" s="0">
        <v>38.83</v>
      </c>
      <c r="B13884" t="n" s="0">
        <f>(-5-((((-5*(-5/((-5/(((-5*(38.83--5))-(-5+((-5*38.83)*(((-5--5)+(38.83--5))+38.83))))-(-5+-5)))*-5)))/-5)--5)+(-5*(((38.83*(38.83-(-5/-5)))*(38.83-(38.83/(-5*38.83))))-(-5/-5)))))</f>
        <v>289817.284135</v>
      </c>
      <c r="C13884" t="n" s="0">
        <v>289817.28413499997</v>
      </c>
    </row>
    <row r="13885">
      <c r="A13885" t="n" s="0">
        <v>38.84</v>
      </c>
      <c r="B13885" t="n" s="0">
        <f>(-5-((((-5*(-5/((-5/(((-5*(38.84--5))-(-5+((-5*38.84)*(((-5--5)+(38.84--5))+38.84))))-(-5+-5)))*-5)))/-5)--5)+(-5*(((38.84*(38.84-(-5/-5)))*(38.84-(38.84/(-5*38.84))))-(-5/-5)))))</f>
        <v>290041.98432</v>
      </c>
      <c r="C13885" t="n" s="0">
        <v>290041.98432000005</v>
      </c>
    </row>
    <row r="13886">
      <c r="A13886" t="n" s="0">
        <v>38.85</v>
      </c>
      <c r="B13886" t="n" s="0">
        <f>(-5-((((-5*(-5/((-5/(((-5*(38.85--5))-(-5+((-5*38.85)*(((-5--5)+(38.85--5))+38.85))))-(-5+-5)))*-5)))/-5)--5)+(-5*(((38.85*(38.85-(-5/-5)))*(38.85-(38.85/(-5*38.85))))-(-5/-5)))))</f>
        <v>290266.800625</v>
      </c>
      <c r="C13886" t="n" s="0">
        <v>290266.80062500003</v>
      </c>
    </row>
    <row r="13887">
      <c r="A13887" t="n" s="0">
        <v>38.86</v>
      </c>
      <c r="B13887" t="n" s="0">
        <f>(-5-((((-5*(-5/((-5/(((-5*(38.86--5))-(-5+((-5*38.86)*(((-5--5)+(38.86--5))+38.86))))-(-5+-5)))*-5)))/-5)--5)+(-5*(((38.86*(38.86-(-5/-5)))*(38.86-(38.86/(-5*38.86))))-(-5/-5)))))</f>
        <v>290491.73308000003</v>
      </c>
      <c r="C13887" t="n" s="0">
        <v>290491.73308000003</v>
      </c>
    </row>
    <row r="13888">
      <c r="A13888" t="n" s="0">
        <v>38.87</v>
      </c>
      <c r="B13888" t="n" s="0">
        <f>(-5-((((-5*(-5/((-5/(((-5*(38.87--5))-(-5+((-5*38.87)*(((-5--5)+(38.87--5))+38.87))))-(-5+-5)))*-5)))/-5)--5)+(-5*(((38.87*(38.87-(-5/-5)))*(38.87-(38.87/(-5*38.87))))-(-5/-5)))))</f>
        <v>290716.781715</v>
      </c>
      <c r="C13888" t="n" s="0">
        <v>290716.78171499993</v>
      </c>
    </row>
    <row r="13889">
      <c r="A13889" t="n" s="0">
        <v>38.88</v>
      </c>
      <c r="B13889" t="n" s="0">
        <f>(-5-((((-5*(-5/((-5/(((-5*(38.88--5))-(-5+((-5*38.88)*(((-5--5)+(38.88--5))+38.88))))-(-5+-5)))*-5)))/-5)--5)+(-5*(((38.88*(38.88-(-5/-5)))*(38.88-(38.88/(-5*38.88))))-(-5/-5)))))</f>
        <v>290941.94656</v>
      </c>
      <c r="C13889" t="n" s="0">
        <v>290941.94656000007</v>
      </c>
    </row>
    <row r="13890">
      <c r="A13890" t="n" s="0">
        <v>38.89</v>
      </c>
      <c r="B13890" t="n" s="0">
        <f>(-5-((((-5*(-5/((-5/(((-5*(38.89--5))-(-5+((-5*38.89)*(((-5--5)+(38.89--5))+38.89))))-(-5+-5)))*-5)))/-5)--5)+(-5*(((38.89*(38.89-(-5/-5)))*(38.89-(38.89/(-5*38.89))))-(-5/-5)))))</f>
        <v>291167.22764500004</v>
      </c>
      <c r="C13890" t="n" s="0">
        <v>291167.227645</v>
      </c>
    </row>
    <row r="13891">
      <c r="A13891" t="n" s="0">
        <v>38.9</v>
      </c>
      <c r="B13891" t="n" s="0">
        <f>(-5-((((-5*(-5/((-5/(((-5*(38.9--5))-(-5+((-5*38.9)*(((-5--5)+(38.9--5))+38.9))))-(-5+-5)))*-5)))/-5)--5)+(-5*(((38.9*(38.9-(-5/-5)))*(38.9-(38.9/(-5*38.9))))-(-5/-5)))))</f>
        <v>291392.62499999994</v>
      </c>
      <c r="C13891" t="n" s="0">
        <v>291392.625</v>
      </c>
    </row>
    <row r="13892">
      <c r="A13892" t="n" s="0">
        <v>38.91</v>
      </c>
      <c r="B13892" t="n" s="0">
        <f>(-5-((((-5*(-5/((-5/(((-5*(38.91--5))-(-5+((-5*38.91)*(((-5--5)+(38.91--5))+38.91))))-(-5+-5)))*-5)))/-5)--5)+(-5*(((38.91*(38.91-(-5/-5)))*(38.91-(38.91/(-5*38.91))))-(-5/-5)))))</f>
        <v>291618.138655</v>
      </c>
      <c r="C13892" t="n" s="0">
        <v>291618.13865499996</v>
      </c>
    </row>
    <row r="13893">
      <c r="A13893" t="n" s="0">
        <v>38.92</v>
      </c>
      <c r="B13893" t="n" s="0">
        <f>(-5-((((-5*(-5/((-5/(((-5*(38.92--5))-(-5+((-5*38.92)*(((-5--5)+(38.92--5))+38.92))))-(-5+-5)))*-5)))/-5)--5)+(-5*(((38.92*(38.92-(-5/-5)))*(38.92-(38.92/(-5*38.92))))-(-5/-5)))))</f>
        <v>291843.76863999997</v>
      </c>
      <c r="C13893" t="n" s="0">
        <v>291843.7686400001</v>
      </c>
    </row>
    <row r="13894">
      <c r="A13894" t="n" s="0">
        <v>38.93</v>
      </c>
      <c r="B13894" t="n" s="0">
        <f>(-5-((((-5*(-5/((-5/(((-5*(38.93--5))-(-5+((-5*38.93)*(((-5--5)+(38.93--5))+38.93))))-(-5+-5)))*-5)))/-5)--5)+(-5*(((38.93*(38.93-(-5/-5)))*(38.93-(38.93/(-5*38.93))))-(-5/-5)))))</f>
        <v>292069.514985</v>
      </c>
      <c r="C13894" t="n" s="0">
        <v>292069.51498499996</v>
      </c>
    </row>
    <row r="13895">
      <c r="A13895" t="n" s="0">
        <v>38.94</v>
      </c>
      <c r="B13895" t="n" s="0">
        <f>(-5-((((-5*(-5/((-5/(((-5*(38.94--5))-(-5+((-5*38.94)*(((-5--5)+(38.94--5))+38.94))))-(-5+-5)))*-5)))/-5)--5)+(-5*(((38.94*(38.94-(-5/-5)))*(38.94-(38.94/(-5*38.94))))-(-5/-5)))))</f>
        <v>292295.37772</v>
      </c>
      <c r="C13895" t="n" s="0">
        <v>292295.37771999993</v>
      </c>
    </row>
    <row r="13896">
      <c r="A13896" t="n" s="0">
        <v>38.95</v>
      </c>
      <c r="B13896" t="n" s="0">
        <f>(-5-((((-5*(-5/((-5/(((-5*(38.95--5))-(-5+((-5*38.95)*(((-5--5)+(38.95--5))+38.95))))-(-5+-5)))*-5)))/-5)--5)+(-5*(((38.95*(38.95-(-5/-5)))*(38.95-(38.95/(-5*38.95))))-(-5/-5)))))</f>
        <v>292521.356875</v>
      </c>
      <c r="C13896" t="n" s="0">
        <v>292521.356875</v>
      </c>
    </row>
    <row r="13897">
      <c r="A13897" t="n" s="0">
        <v>38.96</v>
      </c>
      <c r="B13897" t="n" s="0">
        <f>(-5-((((-5*(-5/((-5/(((-5*(38.96--5))-(-5+((-5*38.96)*(((-5--5)+(38.96--5))+38.96))))-(-5+-5)))*-5)))/-5)--5)+(-5*(((38.96*(38.96-(-5/-5)))*(38.96-(38.96/(-5*38.96))))-(-5/-5)))))</f>
        <v>292747.45248000004</v>
      </c>
      <c r="C13897" t="n" s="0">
        <v>292747.45248000004</v>
      </c>
    </row>
    <row r="13898">
      <c r="A13898" t="n" s="0">
        <v>38.97</v>
      </c>
      <c r="B13898" t="n" s="0">
        <f>(-5-((((-5*(-5/((-5/(((-5*(38.97--5))-(-5+((-5*38.97)*(((-5--5)+(38.97--5))+38.97))))-(-5+-5)))*-5)))/-5)--5)+(-5*(((38.97*(38.97-(-5/-5)))*(38.97-(38.97/(-5*38.97))))-(-5/-5)))))</f>
        <v>292973.664565</v>
      </c>
      <c r="C13898" t="n" s="0">
        <v>292973.664565</v>
      </c>
    </row>
    <row r="13899">
      <c r="A13899" t="n" s="0">
        <v>38.98</v>
      </c>
      <c r="B13899" t="n" s="0">
        <f>(-5-((((-5*(-5/((-5/(((-5*(38.98--5))-(-5+((-5*38.98)*(((-5--5)+(38.98--5))+38.98))))-(-5+-5)))*-5)))/-5)--5)+(-5*(((38.98*(38.98-(-5/-5)))*(38.98-(38.98/(-5*38.98))))-(-5/-5)))))</f>
        <v>293199.99316</v>
      </c>
      <c r="C13899" t="n" s="0">
        <v>293199.99315999995</v>
      </c>
    </row>
    <row r="13900">
      <c r="A13900" t="n" s="0">
        <v>38.99</v>
      </c>
      <c r="B13900" t="n" s="0">
        <f>(-5-((((-5*(-5/((-5/(((-5*(38.99--5))-(-5+((-5*38.99)*(((-5--5)+(38.99--5))+38.99))))-(-5+-5)))*-5)))/-5)--5)+(-5*(((38.99*(38.99-(-5/-5)))*(38.99-(38.99/(-5*38.99))))-(-5/-5)))))</f>
        <v>293426.438295</v>
      </c>
      <c r="C13900" t="n" s="0">
        <v>293426.438295</v>
      </c>
    </row>
    <row r="13901">
      <c r="A13901" t="n" s="0">
        <v>39.0</v>
      </c>
      <c r="B13901" t="n" s="0">
        <f>(-5-((((-5*(-5/((-5/(((-5*(39--5))-(-5+((-5*39)*(((-5--5)+(39--5))+39))))-(-5+-5)))*-5)))/-5)--5)+(-5*(((39*(39-(-5/-5)))*(39-(39/(-5*39))))-(-5/-5)))))</f>
        <v>293653.0</v>
      </c>
      <c r="C13901" t="n" s="0">
        <v>293653.0</v>
      </c>
    </row>
    <row r="13902">
      <c r="A13902" t="n" s="0">
        <v>39.01</v>
      </c>
      <c r="B13902" t="n" s="0">
        <f>(-5-((((-5*(-5/((-5/(((-5*(39.01--5))-(-5+((-5*39.01)*(((-5--5)+(39.01--5))+39.01))))-(-5+-5)))*-5)))/-5)--5)+(-5*(((39.01*(39.01-(-5/-5)))*(39.01-(39.01/(-5*39.01))))-(-5/-5)))))</f>
        <v>293879.678305</v>
      </c>
      <c r="C13902" t="n" s="0">
        <v>293879.678305</v>
      </c>
    </row>
    <row r="13903">
      <c r="A13903" t="n" s="0">
        <v>39.02</v>
      </c>
      <c r="B13903" t="n" s="0">
        <f>(-5-((((-5*(-5/((-5/(((-5*(39.02--5))-(-5+((-5*39.02)*(((-5--5)+(39.02--5))+39.02))))-(-5+-5)))*-5)))/-5)--5)+(-5*(((39.02*(39.02-(-5/-5)))*(39.02-(39.02/(-5*39.02))))-(-5/-5)))))</f>
        <v>294106.47323999996</v>
      </c>
      <c r="C13903" t="n" s="0">
        <v>294106.4732400001</v>
      </c>
    </row>
    <row r="13904">
      <c r="A13904" t="n" s="0">
        <v>39.03</v>
      </c>
      <c r="B13904" t="n" s="0">
        <f>(-5-((((-5*(-5/((-5/(((-5*(39.03--5))-(-5+((-5*39.03)*(((-5--5)+(39.03--5))+39.03))))-(-5+-5)))*-5)))/-5)--5)+(-5*(((39.03*(39.03-(-5/-5)))*(39.03-(39.03/(-5*39.03))))-(-5/-5)))))</f>
        <v>294333.38483500003</v>
      </c>
      <c r="C13904" t="n" s="0">
        <v>294333.38483500003</v>
      </c>
    </row>
    <row r="13905">
      <c r="A13905" t="n" s="0">
        <v>39.04</v>
      </c>
      <c r="B13905" t="n" s="0">
        <f>(-5-((((-5*(-5/((-5/(((-5*(39.04--5))-(-5+((-5*39.04)*(((-5--5)+(39.04--5))+39.04))))-(-5+-5)))*-5)))/-5)--5)+(-5*(((39.04*(39.04-(-5/-5)))*(39.04-(39.04/(-5*39.04))))-(-5/-5)))))</f>
        <v>294560.41312</v>
      </c>
      <c r="C13905" t="n" s="0">
        <v>294560.4131199999</v>
      </c>
    </row>
    <row r="13906">
      <c r="A13906" t="n" s="0">
        <v>39.05</v>
      </c>
      <c r="B13906" t="n" s="0">
        <f>(-5-((((-5*(-5/((-5/(((-5*(39.05--5))-(-5+((-5*39.05)*(((-5--5)+(39.05--5))+39.05))))-(-5+-5)))*-5)))/-5)--5)+(-5*(((39.05*(39.05-(-5/-5)))*(39.05-(39.05/(-5*39.05))))-(-5/-5)))))</f>
        <v>294787.558125</v>
      </c>
      <c r="C13906" t="n" s="0">
        <v>294787.558125</v>
      </c>
    </row>
    <row r="13907">
      <c r="A13907" t="n" s="0">
        <v>39.06</v>
      </c>
      <c r="B13907" t="n" s="0">
        <f>(-5-((((-5*(-5/((-5/(((-5*(39.06--5))-(-5+((-5*39.06)*(((-5--5)+(39.06--5))+39.06))))-(-5+-5)))*-5)))/-5)--5)+(-5*(((39.06*(39.06-(-5/-5)))*(39.06-(39.06/(-5*39.06))))-(-5/-5)))))</f>
        <v>295014.81987999997</v>
      </c>
      <c r="C13907" t="n" s="0">
        <v>295014.8198800001</v>
      </c>
    </row>
    <row r="13908">
      <c r="A13908" t="n" s="0">
        <v>39.07</v>
      </c>
      <c r="B13908" t="n" s="0">
        <f>(-5-((((-5*(-5/((-5/(((-5*(39.07--5))-(-5+((-5*39.07)*(((-5--5)+(39.07--5))+39.07))))-(-5+-5)))*-5)))/-5)--5)+(-5*(((39.07*(39.07-(-5/-5)))*(39.07-(39.07/(-5*39.07))))-(-5/-5)))))</f>
        <v>295242.198415</v>
      </c>
      <c r="C13908" t="n" s="0">
        <v>295242.19841500005</v>
      </c>
    </row>
    <row r="13909">
      <c r="A13909" t="n" s="0">
        <v>39.08</v>
      </c>
      <c r="B13909" t="n" s="0">
        <f>(-5-((((-5*(-5/((-5/(((-5*(39.08--5))-(-5+((-5*39.08)*(((-5--5)+(39.08--5))+39.08))))-(-5+-5)))*-5)))/-5)--5)+(-5*(((39.08*(39.08-(-5/-5)))*(39.08-(39.08/(-5*39.08))))-(-5/-5)))))</f>
        <v>295469.69375999994</v>
      </c>
      <c r="C13909" t="n" s="0">
        <v>295469.69375999994</v>
      </c>
    </row>
    <row r="13910">
      <c r="A13910" t="n" s="0">
        <v>39.09</v>
      </c>
      <c r="B13910" t="n" s="0">
        <f>(-5-((((-5*(-5/((-5/(((-5*(39.09--5))-(-5+((-5*39.09)*(((-5--5)+(39.09--5))+39.09))))-(-5+-5)))*-5)))/-5)--5)+(-5*(((39.09*(39.09-(-5/-5)))*(39.09-(39.09/(-5*39.09))))-(-5/-5)))))</f>
        <v>295697.305945</v>
      </c>
      <c r="C13910" t="n" s="0">
        <v>295697.3059450001</v>
      </c>
    </row>
    <row r="13911">
      <c r="A13911" t="n" s="0">
        <v>39.1</v>
      </c>
      <c r="B13911" t="n" s="0">
        <f>(-5-((((-5*(-5/((-5/(((-5*(39.1--5))-(-5+((-5*39.1)*(((-5--5)+(39.1--5))+39.1))))-(-5+-5)))*-5)))/-5)--5)+(-5*(((39.1*(39.1-(-5/-5)))*(39.1-(39.1/(-5*39.1))))-(-5/-5)))))</f>
        <v>295925.03500000003</v>
      </c>
      <c r="C13911" t="n" s="0">
        <v>295925.03500000003</v>
      </c>
    </row>
    <row r="13912">
      <c r="A13912" t="n" s="0">
        <v>39.11</v>
      </c>
      <c r="B13912" t="n" s="0">
        <f>(-5-((((-5*(-5/((-5/(((-5*(39.11--5))-(-5+((-5*39.11)*(((-5--5)+(39.11--5))+39.11))))-(-5+-5)))*-5)))/-5)--5)+(-5*(((39.11*(39.11-(-5/-5)))*(39.11-(39.11/(-5*39.11))))-(-5/-5)))))</f>
        <v>296152.880955</v>
      </c>
      <c r="C13912" t="n" s="0">
        <v>296152.880955</v>
      </c>
    </row>
    <row r="13913">
      <c r="A13913" t="n" s="0">
        <v>39.12</v>
      </c>
      <c r="B13913" t="n" s="0">
        <f>(-5-((((-5*(-5/((-5/(((-5*(39.12--5))-(-5+((-5*39.12)*(((-5--5)+(39.12--5))+39.12))))-(-5+-5)))*-5)))/-5)--5)+(-5*(((39.12*(39.12-(-5/-5)))*(39.12-(39.12/(-5*39.12))))-(-5/-5)))))</f>
        <v>296380.84384</v>
      </c>
      <c r="C13913" t="n" s="0">
        <v>296380.8438399999</v>
      </c>
    </row>
    <row r="13914">
      <c r="A13914" t="n" s="0">
        <v>39.13</v>
      </c>
      <c r="B13914" t="n" s="0">
        <f>(-5-((((-5*(-5/((-5/(((-5*(39.13--5))-(-5+((-5*39.13)*(((-5--5)+(39.13--5))+39.13))))-(-5+-5)))*-5)))/-5)--5)+(-5*(((39.13*(39.13-(-5/-5)))*(39.13-(39.13/(-5*39.13))))-(-5/-5)))))</f>
        <v>296608.92368500005</v>
      </c>
      <c r="C13914" t="n" s="0">
        <v>296608.92368500005</v>
      </c>
    </row>
    <row r="13915">
      <c r="A13915" t="n" s="0">
        <v>39.14</v>
      </c>
      <c r="B13915" t="n" s="0">
        <f>(-5-((((-5*(-5/((-5/(((-5*(39.14--5))-(-5+((-5*39.14)*(((-5--5)+(39.14--5))+39.14))))-(-5+-5)))*-5)))/-5)--5)+(-5*(((39.14*(39.14-(-5/-5)))*(39.14-(39.14/(-5*39.14))))-(-5/-5)))))</f>
        <v>296837.12052</v>
      </c>
      <c r="C13915" t="n" s="0">
        <v>296837.12052</v>
      </c>
    </row>
    <row r="13916">
      <c r="A13916" t="n" s="0">
        <v>39.15</v>
      </c>
      <c r="B13916" t="n" s="0">
        <f>(-5-((((-5*(-5/((-5/(((-5*(39.15--5))-(-5+((-5*39.15)*(((-5--5)+(39.15--5))+39.15))))-(-5+-5)))*-5)))/-5)--5)+(-5*(((39.15*(39.15-(-5/-5)))*(39.15-(39.15/(-5*39.15))))-(-5/-5)))))</f>
        <v>297065.434375</v>
      </c>
      <c r="C13916" t="n" s="0">
        <v>297065.434375</v>
      </c>
    </row>
    <row r="13917">
      <c r="A13917" t="n" s="0">
        <v>39.16</v>
      </c>
      <c r="B13917" t="n" s="0">
        <f>(-5-((((-5*(-5/((-5/(((-5*(39.16--5))-(-5+((-5*39.16)*(((-5--5)+(39.16--5))+39.16))))-(-5+-5)))*-5)))/-5)--5)+(-5*(((39.16*(39.16-(-5/-5)))*(39.16-(39.16/(-5*39.16))))-(-5/-5)))))</f>
        <v>297293.86528</v>
      </c>
      <c r="C13917" t="n" s="0">
        <v>297293.86527999985</v>
      </c>
    </row>
    <row r="13918">
      <c r="A13918" t="n" s="0">
        <v>39.17</v>
      </c>
      <c r="B13918" t="n" s="0">
        <f>(-5-((((-5*(-5/((-5/(((-5*(39.17--5))-(-5+((-5*39.17)*(((-5--5)+(39.17--5))+39.17))))-(-5+-5)))*-5)))/-5)--5)+(-5*(((39.17*(39.17-(-5/-5)))*(39.17-(39.17/(-5*39.17))))-(-5/-5)))))</f>
        <v>297522.41326500004</v>
      </c>
      <c r="C13918" t="n" s="0">
        <v>297522.413265</v>
      </c>
    </row>
    <row r="13919">
      <c r="A13919" t="n" s="0">
        <v>39.18</v>
      </c>
      <c r="B13919" t="n" s="0">
        <f>(-5-((((-5*(-5/((-5/(((-5*(39.18--5))-(-5+((-5*39.18)*(((-5--5)+(39.18--5))+39.18))))-(-5+-5)))*-5)))/-5)--5)+(-5*(((39.18*(39.18-(-5/-5)))*(39.18-(39.18/(-5*39.18))))-(-5/-5)))))</f>
        <v>297751.07836</v>
      </c>
      <c r="C13919" t="n" s="0">
        <v>297751.07836</v>
      </c>
    </row>
    <row r="13920">
      <c r="A13920" t="n" s="0">
        <v>39.19</v>
      </c>
      <c r="B13920" t="n" s="0">
        <f>(-5-((((-5*(-5/((-5/(((-5*(39.19--5))-(-5+((-5*39.19)*(((-5--5)+(39.19--5))+39.19))))-(-5+-5)))*-5)))/-5)--5)+(-5*(((39.19*(39.19-(-5/-5)))*(39.19-(39.19/(-5*39.19))))-(-5/-5)))))</f>
        <v>297979.86059500003</v>
      </c>
      <c r="C13920" t="n" s="0">
        <v>297979.860595</v>
      </c>
    </row>
    <row r="13921">
      <c r="A13921" t="n" s="0">
        <v>39.2</v>
      </c>
      <c r="B13921" t="n" s="0">
        <f>(-5-((((-5*(-5/((-5/(((-5*(39.2--5))-(-5+((-5*39.2)*(((-5--5)+(39.2--5))+39.2))))-(-5+-5)))*-5)))/-5)--5)+(-5*(((39.2*(39.2-(-5/-5)))*(39.2-(39.2/(-5*39.2))))-(-5/-5)))))</f>
        <v>298208.76</v>
      </c>
      <c r="C13921" t="n" s="0">
        <v>298208.76</v>
      </c>
    </row>
    <row r="13922">
      <c r="A13922" t="n" s="0">
        <v>39.21</v>
      </c>
      <c r="B13922" t="n" s="0">
        <f>(-5-((((-5*(-5/((-5/(((-5*(39.21--5))-(-5+((-5*39.21)*(((-5--5)+(39.21--5))+39.21))))-(-5+-5)))*-5)))/-5)--5)+(-5*(((39.21*(39.21-(-5/-5)))*(39.21-(39.21/(-5*39.21))))-(-5/-5)))))</f>
        <v>298437.77660499996</v>
      </c>
      <c r="C13922" t="n" s="0">
        <v>298437.776605</v>
      </c>
    </row>
    <row r="13923">
      <c r="A13923" t="n" s="0">
        <v>39.22</v>
      </c>
      <c r="B13923" t="n" s="0">
        <f>(-5-((((-5*(-5/((-5/(((-5*(39.22--5))-(-5+((-5*39.22)*(((-5--5)+(39.22--5))+39.22))))-(-5+-5)))*-5)))/-5)--5)+(-5*(((39.22*(39.22-(-5/-5)))*(39.22-(39.22/(-5*39.22))))-(-5/-5)))))</f>
        <v>298666.91044</v>
      </c>
      <c r="C13923" t="n" s="0">
        <v>298666.91043999995</v>
      </c>
    </row>
    <row r="13924">
      <c r="A13924" t="n" s="0">
        <v>39.23</v>
      </c>
      <c r="B13924" t="n" s="0">
        <f>(-5-((((-5*(-5/((-5/(((-5*(39.23--5))-(-5+((-5*39.23)*(((-5--5)+(39.23--5))+39.23))))-(-5+-5)))*-5)))/-5)--5)+(-5*(((39.23*(39.23-(-5/-5)))*(39.23-(39.23/(-5*39.23))))-(-5/-5)))))</f>
        <v>298896.161535</v>
      </c>
      <c r="C13924" t="n" s="0">
        <v>298896.1615349999</v>
      </c>
    </row>
    <row r="13925">
      <c r="A13925" t="n" s="0">
        <v>39.24</v>
      </c>
      <c r="B13925" t="n" s="0">
        <f>(-5-((((-5*(-5/((-5/(((-5*(39.24--5))-(-5+((-5*39.24)*(((-5--5)+(39.24--5))+39.24))))-(-5+-5)))*-5)))/-5)--5)+(-5*(((39.24*(39.24-(-5/-5)))*(39.24-(39.24/(-5*39.24))))-(-5/-5)))))</f>
        <v>299125.52992</v>
      </c>
      <c r="C13925" t="n" s="0">
        <v>299125.52992</v>
      </c>
    </row>
    <row r="13926">
      <c r="A13926" t="n" s="0">
        <v>39.25</v>
      </c>
      <c r="B13926" t="n" s="0">
        <f>(-5-((((-5*(-5/((-5/(((-5*(39.25--5))-(-5+((-5*39.25)*(((-5--5)+(39.25--5))+39.25))))-(-5+-5)))*-5)))/-5)--5)+(-5*(((39.25*(39.25-(-5/-5)))*(39.25-(39.25/(-5*39.25))))-(-5/-5)))))</f>
        <v>299355.015625</v>
      </c>
      <c r="C13926" t="n" s="0">
        <v>299355.015625</v>
      </c>
    </row>
    <row r="13927">
      <c r="A13927" t="n" s="0">
        <v>39.26</v>
      </c>
      <c r="B13927" t="n" s="0">
        <f>(-5-((((-5*(-5/((-5/(((-5*(39.26--5))-(-5+((-5*39.26)*(((-5--5)+(39.26--5))+39.26))))-(-5+-5)))*-5)))/-5)--5)+(-5*(((39.26*(39.26-(-5/-5)))*(39.26-(39.26/(-5*39.26))))-(-5/-5)))))</f>
        <v>299584.61868</v>
      </c>
      <c r="C13927" t="n" s="0">
        <v>299584.61867999996</v>
      </c>
    </row>
    <row r="13928">
      <c r="A13928" t="n" s="0">
        <v>39.27</v>
      </c>
      <c r="B13928" t="n" s="0">
        <f>(-5-((((-5*(-5/((-5/(((-5*(39.27--5))-(-5+((-5*39.27)*(((-5--5)+(39.27--5))+39.27))))-(-5+-5)))*-5)))/-5)--5)+(-5*(((39.27*(39.27-(-5/-5)))*(39.27-(39.27/(-5*39.27))))-(-5/-5)))))</f>
        <v>299814.33911500004</v>
      </c>
      <c r="C13928" t="n" s="0">
        <v>299814.3391150001</v>
      </c>
    </row>
    <row r="13929">
      <c r="A13929" t="n" s="0">
        <v>39.28</v>
      </c>
      <c r="B13929" t="n" s="0">
        <f>(-5-((((-5*(-5/((-5/(((-5*(39.28--5))-(-5+((-5*39.28)*(((-5--5)+(39.28--5))+39.28))))-(-5+-5)))*-5)))/-5)--5)+(-5*(((39.28*(39.28-(-5/-5)))*(39.28-(39.28/(-5*39.28))))-(-5/-5)))))</f>
        <v>300044.17696</v>
      </c>
      <c r="C13929" t="n" s="0">
        <v>300044.17696000007</v>
      </c>
    </row>
    <row r="13930">
      <c r="A13930" t="n" s="0">
        <v>39.29</v>
      </c>
      <c r="B13930" t="n" s="0">
        <f>(-5-((((-5*(-5/((-5/(((-5*(39.29--5))-(-5+((-5*39.29)*(((-5--5)+(39.29--5))+39.29))))-(-5+-5)))*-5)))/-5)--5)+(-5*(((39.29*(39.29-(-5/-5)))*(39.29-(39.29/(-5*39.29))))-(-5/-5)))))</f>
        <v>300274.132245</v>
      </c>
      <c r="C13930" t="n" s="0">
        <v>300274.132245</v>
      </c>
    </row>
    <row r="13931">
      <c r="A13931" t="n" s="0">
        <v>39.3</v>
      </c>
      <c r="B13931" t="n" s="0">
        <f>(-5-((((-5*(-5/((-5/(((-5*(39.3--5))-(-5+((-5*39.3)*(((-5--5)+(39.3--5))+39.3))))-(-5+-5)))*-5)))/-5)--5)+(-5*(((39.3*(39.3-(-5/-5)))*(39.3-(39.3/(-5*39.3))))-(-5/-5)))))</f>
        <v>300504.205</v>
      </c>
      <c r="C13931" t="n" s="0">
        <v>300504.20499999996</v>
      </c>
    </row>
    <row r="13932">
      <c r="A13932" t="n" s="0">
        <v>39.31</v>
      </c>
      <c r="B13932" t="n" s="0">
        <f>(-5-((((-5*(-5/((-5/(((-5*(39.31--5))-(-5+((-5*39.31)*(((-5--5)+(39.31--5))+39.31))))-(-5+-5)))*-5)))/-5)--5)+(-5*(((39.31*(39.31-(-5/-5)))*(39.31-(39.31/(-5*39.31))))-(-5/-5)))))</f>
        <v>300734.39525500004</v>
      </c>
      <c r="C13932" t="n" s="0">
        <v>300734.3952550001</v>
      </c>
    </row>
    <row r="13933">
      <c r="A13933" t="n" s="0">
        <v>39.32</v>
      </c>
      <c r="B13933" t="n" s="0">
        <f>(-5-((((-5*(-5/((-5/(((-5*(39.32--5))-(-5+((-5*39.32)*(((-5--5)+(39.32--5))+39.32))))-(-5+-5)))*-5)))/-5)--5)+(-5*(((39.32*(39.32-(-5/-5)))*(39.32-(39.32/(-5*39.32))))-(-5/-5)))))</f>
        <v>300964.70304</v>
      </c>
      <c r="C13933" t="n" s="0">
        <v>300964.70304</v>
      </c>
    </row>
    <row r="13934">
      <c r="A13934" t="n" s="0">
        <v>39.33</v>
      </c>
      <c r="B13934" t="n" s="0">
        <f>(-5-((((-5*(-5/((-5/(((-5*(39.33--5))-(-5+((-5*39.33)*(((-5--5)+(39.33--5))+39.33))))-(-5+-5)))*-5)))/-5)--5)+(-5*(((39.33*(39.33-(-5/-5)))*(39.33-(39.33/(-5*39.33))))-(-5/-5)))))</f>
        <v>301195.128385</v>
      </c>
      <c r="C13934" t="n" s="0">
        <v>301195.12838499993</v>
      </c>
    </row>
    <row r="13935">
      <c r="A13935" t="n" s="0">
        <v>39.34</v>
      </c>
      <c r="B13935" t="n" s="0">
        <f>(-5-((((-5*(-5/((-5/(((-5*(39.34--5))-(-5+((-5*39.34)*(((-5--5)+(39.34--5))+39.34))))-(-5+-5)))*-5)))/-5)--5)+(-5*(((39.34*(39.34-(-5/-5)))*(39.34-(39.34/(-5*39.34))))-(-5/-5)))))</f>
        <v>301425.67132</v>
      </c>
      <c r="C13935" t="n" s="0">
        <v>301425.6713200001</v>
      </c>
    </row>
    <row r="13936">
      <c r="A13936" t="n" s="0">
        <v>39.35</v>
      </c>
      <c r="B13936" t="n" s="0">
        <f>(-5-((((-5*(-5/((-5/(((-5*(39.35--5))-(-5+((-5*39.35)*(((-5--5)+(39.35--5))+39.35))))-(-5+-5)))*-5)))/-5)--5)+(-5*(((39.35*(39.35-(-5/-5)))*(39.35-(39.35/(-5*39.35))))-(-5/-5)))))</f>
        <v>301656.331875</v>
      </c>
      <c r="C13936" t="n" s="0">
        <v>301656.33187500003</v>
      </c>
    </row>
    <row r="13937">
      <c r="A13937" t="n" s="0">
        <v>39.36</v>
      </c>
      <c r="B13937" t="n" s="0">
        <f>(-5-((((-5*(-5/((-5/(((-5*(39.36--5))-(-5+((-5*39.36)*(((-5--5)+(39.36--5))+39.36))))-(-5+-5)))*-5)))/-5)--5)+(-5*(((39.36*(39.36-(-5/-5)))*(39.36-(39.36/(-5*39.36))))-(-5/-5)))))</f>
        <v>301887.11008</v>
      </c>
      <c r="C13937" t="n" s="0">
        <v>301887.11007999995</v>
      </c>
    </row>
    <row r="13938">
      <c r="A13938" t="n" s="0">
        <v>39.37</v>
      </c>
      <c r="B13938" t="n" s="0">
        <f>(-5-((((-5*(-5/((-5/(((-5*(39.37--5))-(-5+((-5*39.37)*(((-5--5)+(39.37--5))+39.37))))-(-5+-5)))*-5)))/-5)--5)+(-5*(((39.37*(39.37-(-5/-5)))*(39.37-(39.37/(-5*39.37))))-(-5/-5)))))</f>
        <v>302118.00596499996</v>
      </c>
      <c r="C13938" t="n" s="0">
        <v>302118.00596499996</v>
      </c>
    </row>
    <row r="13939">
      <c r="A13939" t="n" s="0">
        <v>39.38</v>
      </c>
      <c r="B13939" t="n" s="0">
        <f>(-5-((((-5*(-5/((-5/(((-5*(39.38--5))-(-5+((-5*39.38)*(((-5--5)+(39.38--5))+39.38))))-(-5+-5)))*-5)))/-5)--5)+(-5*(((39.38*(39.38-(-5/-5)))*(39.38-(39.38/(-5*39.38))))-(-5/-5)))))</f>
        <v>302349.01956000004</v>
      </c>
      <c r="C13939" t="n" s="0">
        <v>302349.01956000004</v>
      </c>
    </row>
    <row r="13940">
      <c r="A13940" t="n" s="0">
        <v>39.39</v>
      </c>
      <c r="B13940" t="n" s="0">
        <f>(-5-((((-5*(-5/((-5/(((-5*(39.39--5))-(-5+((-5*39.39)*(((-5--5)+(39.39--5))+39.39))))-(-5+-5)))*-5)))/-5)--5)+(-5*(((39.39*(39.39-(-5/-5)))*(39.39-(39.39/(-5*39.39))))-(-5/-5)))))</f>
        <v>302580.15089499997</v>
      </c>
      <c r="C13940" t="n" s="0">
        <v>302580.150895</v>
      </c>
    </row>
    <row r="13941">
      <c r="A13941" t="n" s="0">
        <v>39.4</v>
      </c>
      <c r="B13941" t="n" s="0">
        <f>(-5-((((-5*(-5/((-5/(((-5*(39.4--5))-(-5+((-5*39.4)*(((-5--5)+(39.4--5))+39.4))))-(-5+-5)))*-5)))/-5)--5)+(-5*(((39.4*(39.4-(-5/-5)))*(39.4-(39.4/(-5*39.4))))-(-5/-5)))))</f>
        <v>302811.4</v>
      </c>
      <c r="C13941" t="n" s="0">
        <v>302811.4</v>
      </c>
    </row>
    <row r="13942">
      <c r="A13942" t="n" s="0">
        <v>39.41</v>
      </c>
      <c r="B13942" t="n" s="0">
        <f>(-5-((((-5*(-5/((-5/(((-5*(39.41--5))-(-5+((-5*39.41)*(((-5--5)+(39.41--5))+39.41))))-(-5+-5)))*-5)))/-5)--5)+(-5*(((39.41*(39.41-(-5/-5)))*(39.41-(39.41/(-5*39.41))))-(-5/-5)))))</f>
        <v>303042.76690499997</v>
      </c>
      <c r="C13942" t="n" s="0">
        <v>303042.7669049999</v>
      </c>
    </row>
    <row r="13943">
      <c r="A13943" t="n" s="0">
        <v>39.42</v>
      </c>
      <c r="B13943" t="n" s="0">
        <f>(-5-((((-5*(-5/((-5/(((-5*(39.42--5))-(-5+((-5*39.42)*(((-5--5)+(39.42--5))+39.42))))-(-5+-5)))*-5)))/-5)--5)+(-5*(((39.42*(39.42-(-5/-5)))*(39.42-(39.42/(-5*39.42))))-(-5/-5)))))</f>
        <v>303274.25164000003</v>
      </c>
      <c r="C13943" t="n" s="0">
        <v>303274.25164000003</v>
      </c>
    </row>
    <row r="13944">
      <c r="A13944" t="n" s="0">
        <v>39.43</v>
      </c>
      <c r="B13944" t="n" s="0">
        <f>(-5-((((-5*(-5/((-5/(((-5*(39.43--5))-(-5+((-5*39.43)*(((-5--5)+(39.43--5))+39.43))))-(-5+-5)))*-5)))/-5)--5)+(-5*(((39.43*(39.43-(-5/-5)))*(39.43-(39.43/(-5*39.43))))-(-5/-5)))))</f>
        <v>303505.854235</v>
      </c>
      <c r="C13944" t="n" s="0">
        <v>303505.854235</v>
      </c>
    </row>
    <row r="13945">
      <c r="A13945" t="n" s="0">
        <v>39.44</v>
      </c>
      <c r="B13945" t="n" s="0">
        <f>(-5-((((-5*(-5/((-5/(((-5*(39.44--5))-(-5+((-5*39.44)*(((-5--5)+(39.44--5))+39.44))))-(-5+-5)))*-5)))/-5)--5)+(-5*(((39.44*(39.44-(-5/-5)))*(39.44-(39.44/(-5*39.44))))-(-5/-5)))))</f>
        <v>303737.57472000003</v>
      </c>
      <c r="C13945" t="n" s="0">
        <v>303737.57472</v>
      </c>
    </row>
    <row r="13946">
      <c r="A13946" t="n" s="0">
        <v>39.45</v>
      </c>
      <c r="B13946" t="n" s="0">
        <f>(-5-((((-5*(-5/((-5/(((-5*(39.45--5))-(-5+((-5*39.45)*(((-5--5)+(39.45--5))+39.45))))-(-5+-5)))*-5)))/-5)--5)+(-5*(((39.45*(39.45-(-5/-5)))*(39.45-(39.45/(-5*39.45))))-(-5/-5)))))</f>
        <v>303969.413125</v>
      </c>
      <c r="C13946" t="n" s="0">
        <v>303969.4131250001</v>
      </c>
    </row>
    <row r="13947">
      <c r="A13947" t="n" s="0">
        <v>39.46</v>
      </c>
      <c r="B13947" t="n" s="0">
        <f>(-5-((((-5*(-5/((-5/(((-5*(39.46--5))-(-5+((-5*39.46)*(((-5--5)+(39.46--5))+39.46))))-(-5+-5)))*-5)))/-5)--5)+(-5*(((39.46*(39.46-(-5/-5)))*(39.46-(39.46/(-5*39.46))))-(-5/-5)))))</f>
        <v>304201.36948</v>
      </c>
      <c r="C13947" t="n" s="0">
        <v>304201.36948</v>
      </c>
    </row>
    <row r="13948">
      <c r="A13948" t="n" s="0">
        <v>39.47</v>
      </c>
      <c r="B13948" t="n" s="0">
        <f>(-5-((((-5*(-5/((-5/(((-5*(39.47--5))-(-5+((-5*39.47)*(((-5--5)+(39.47--5))+39.47))))-(-5+-5)))*-5)))/-5)--5)+(-5*(((39.47*(39.47-(-5/-5)))*(39.47-(39.47/(-5*39.47))))-(-5/-5)))))</f>
        <v>304433.443815</v>
      </c>
      <c r="C13948" t="n" s="0">
        <v>304433.44381499995</v>
      </c>
    </row>
    <row r="13949">
      <c r="A13949" t="n" s="0">
        <v>39.48</v>
      </c>
      <c r="B13949" t="n" s="0">
        <f>(-5-((((-5*(-5/((-5/(((-5*(39.48--5))-(-5+((-5*39.48)*(((-5--5)+(39.48--5))+39.48))))-(-5+-5)))*-5)))/-5)--5)+(-5*(((39.48*(39.48-(-5/-5)))*(39.48-(39.48/(-5*39.48))))-(-5/-5)))))</f>
        <v>304665.63616</v>
      </c>
      <c r="C13949" t="n" s="0">
        <v>304665.63615999994</v>
      </c>
    </row>
    <row r="13950">
      <c r="A13950" t="n" s="0">
        <v>39.49</v>
      </c>
      <c r="B13950" t="n" s="0">
        <f>(-5-((((-5*(-5/((-5/(((-5*(39.49--5))-(-5+((-5*39.49)*(((-5--5)+(39.49--5))+39.49))))-(-5+-5)))*-5)))/-5)--5)+(-5*(((39.49*(39.49-(-5/-5)))*(39.49-(39.49/(-5*39.49))))-(-5/-5)))))</f>
        <v>304897.946545</v>
      </c>
      <c r="C13950" t="n" s="0">
        <v>304897.946545</v>
      </c>
    </row>
    <row r="13951">
      <c r="A13951" t="n" s="0">
        <v>39.5</v>
      </c>
      <c r="B13951" t="n" s="0">
        <f>(-5-((((-5*(-5/((-5/(((-5*(39.5--5))-(-5+((-5*39.5)*(((-5--5)+(39.5--5))+39.5))))-(-5+-5)))*-5)))/-5)--5)+(-5*(((39.5*(39.5-(-5/-5)))*(39.5-(39.5/(-5*39.5))))-(-5/-5)))))</f>
        <v>305130.375</v>
      </c>
      <c r="C13951" t="n" s="0">
        <v>305130.375</v>
      </c>
    </row>
    <row r="13952">
      <c r="A13952" t="n" s="0">
        <v>39.51</v>
      </c>
      <c r="B13952" t="n" s="0">
        <f>(-5-((((-5*(-5/((-5/(((-5*(39.51--5))-(-5+((-5*39.51)*(((-5--5)+(39.51--5))+39.51))))-(-5+-5)))*-5)))/-5)--5)+(-5*(((39.51*(39.51-(-5/-5)))*(39.51-(39.51/(-5*39.51))))-(-5/-5)))))</f>
        <v>305362.921555</v>
      </c>
      <c r="C13952" t="n" s="0">
        <v>305362.92155499995</v>
      </c>
    </row>
    <row r="13953">
      <c r="A13953" t="n" s="0">
        <v>39.52</v>
      </c>
      <c r="B13953" t="n" s="0">
        <f>(-5-((((-5*(-5/((-5/(((-5*(39.52--5))-(-5+((-5*39.52)*(((-5--5)+(39.52--5))+39.52))))-(-5+-5)))*-5)))/-5)--5)+(-5*(((39.52*(39.52-(-5/-5)))*(39.52-(39.52/(-5*39.52))))-(-5/-5)))))</f>
        <v>305595.58624000003</v>
      </c>
      <c r="C13953" t="n" s="0">
        <v>305595.58624000003</v>
      </c>
    </row>
    <row r="13954">
      <c r="A13954" t="n" s="0">
        <v>39.53</v>
      </c>
      <c r="B13954" t="n" s="0">
        <f>(-5-((((-5*(-5/((-5/(((-5*(39.53--5))-(-5+((-5*39.53)*(((-5--5)+(39.53--5))+39.53))))-(-5+-5)))*-5)))/-5)--5)+(-5*(((39.53*(39.53-(-5/-5)))*(39.53-(39.53/(-5*39.53))))-(-5/-5)))))</f>
        <v>305828.369085</v>
      </c>
      <c r="C13954" t="n" s="0">
        <v>305828.369085</v>
      </c>
    </row>
    <row r="13955">
      <c r="A13955" t="n" s="0">
        <v>39.54</v>
      </c>
      <c r="B13955" t="n" s="0">
        <f>(-5-((((-5*(-5/((-5/(((-5*(39.54--5))-(-5+((-5*39.54)*(((-5--5)+(39.54--5))+39.54))))-(-5+-5)))*-5)))/-5)--5)+(-5*(((39.54*(39.54-(-5/-5)))*(39.54-(39.54/(-5*39.54))))-(-5/-5)))))</f>
        <v>306061.27012</v>
      </c>
      <c r="C13955" t="n" s="0">
        <v>306061.27012</v>
      </c>
    </row>
    <row r="13956">
      <c r="A13956" t="n" s="0">
        <v>39.55</v>
      </c>
      <c r="B13956" t="n" s="0">
        <f>(-5-((((-5*(-5/((-5/(((-5*(39.55--5))-(-5+((-5*39.55)*(((-5--5)+(39.55--5))+39.55))))-(-5+-5)))*-5)))/-5)--5)+(-5*(((39.55*(39.55-(-5/-5)))*(39.55-(39.55/(-5*39.55))))-(-5/-5)))))</f>
        <v>306294.289375</v>
      </c>
      <c r="C13956" t="n" s="0">
        <v>306294.28937499993</v>
      </c>
    </row>
    <row r="13957">
      <c r="A13957" t="n" s="0">
        <v>39.56</v>
      </c>
      <c r="B13957" t="n" s="0">
        <f>(-5-((((-5*(-5/((-5/(((-5*(39.56--5))-(-5+((-5*39.56)*(((-5--5)+(39.56--5))+39.56))))-(-5+-5)))*-5)))/-5)--5)+(-5*(((39.56*(39.56-(-5/-5)))*(39.56-(39.56/(-5*39.56))))-(-5/-5)))))</f>
        <v>306527.42688000004</v>
      </c>
      <c r="C13957" t="n" s="0">
        <v>306527.42688000004</v>
      </c>
    </row>
    <row r="13958">
      <c r="A13958" t="n" s="0">
        <v>39.57</v>
      </c>
      <c r="B13958" t="n" s="0">
        <f>(-5-((((-5*(-5/((-5/(((-5*(39.57--5))-(-5+((-5*39.57)*(((-5--5)+(39.57--5))+39.57))))-(-5+-5)))*-5)))/-5)--5)+(-5*(((39.57*(39.57-(-5/-5)))*(39.57-(39.57/(-5*39.57))))-(-5/-5)))))</f>
        <v>306760.68266500003</v>
      </c>
      <c r="C13958" t="n" s="0">
        <v>306760.68266500003</v>
      </c>
    </row>
    <row r="13959">
      <c r="A13959" t="n" s="0">
        <v>39.58</v>
      </c>
      <c r="B13959" t="n" s="0">
        <f>(-5-((((-5*(-5/((-5/(((-5*(39.58--5))-(-5+((-5*39.58)*(((-5--5)+(39.58--5))+39.58))))-(-5+-5)))*-5)))/-5)--5)+(-5*(((39.58*(39.58-(-5/-5)))*(39.58-(39.58/(-5*39.58))))-(-5/-5)))))</f>
        <v>306994.05676</v>
      </c>
      <c r="C13959" t="n" s="0">
        <v>306994.05675999995</v>
      </c>
    </row>
    <row r="13960">
      <c r="A13960" t="n" s="0">
        <v>39.59</v>
      </c>
      <c r="B13960" t="n" s="0">
        <f>(-5-((((-5*(-5/((-5/(((-5*(39.59--5))-(-5+((-5*39.59)*(((-5--5)+(39.59--5))+39.59))))-(-5+-5)))*-5)))/-5)--5)+(-5*(((39.59*(39.59-(-5/-5)))*(39.59-(39.59/(-5*39.59))))-(-5/-5)))))</f>
        <v>307227.549195</v>
      </c>
      <c r="C13960" t="n" s="0">
        <v>307227.5491950001</v>
      </c>
    </row>
    <row r="13961">
      <c r="A13961" t="n" s="0">
        <v>39.6</v>
      </c>
      <c r="B13961" t="n" s="0">
        <f>(-5-((((-5*(-5/((-5/(((-5*(39.6--5))-(-5+((-5*39.6)*(((-5--5)+(39.6--5))+39.6))))-(-5+-5)))*-5)))/-5)--5)+(-5*(((39.6*(39.6-(-5/-5)))*(39.6-(39.6/(-5*39.6))))-(-5/-5)))))</f>
        <v>307461.16</v>
      </c>
      <c r="C13961" t="n" s="0">
        <v>307461.16000000003</v>
      </c>
    </row>
    <row r="13962">
      <c r="A13962" t="n" s="0">
        <v>39.61</v>
      </c>
      <c r="B13962" t="n" s="0">
        <f>(-5-((((-5*(-5/((-5/(((-5*(39.61--5))-(-5+((-5*39.61)*(((-5--5)+(39.61--5))+39.61))))-(-5+-5)))*-5)))/-5)--5)+(-5*(((39.61*(39.61-(-5/-5)))*(39.61-(39.61/(-5*39.61))))-(-5/-5)))))</f>
        <v>307694.889205</v>
      </c>
      <c r="C13962" t="n" s="0">
        <v>307694.889205</v>
      </c>
    </row>
    <row r="13963">
      <c r="A13963" t="n" s="0">
        <v>39.62</v>
      </c>
      <c r="B13963" t="n" s="0">
        <f>(-5-((((-5*(-5/((-5/(((-5*(39.62--5))-(-5+((-5*39.62)*(((-5--5)+(39.62--5))+39.62))))-(-5+-5)))*-5)))/-5)--5)+(-5*(((39.62*(39.62-(-5/-5)))*(39.62-(39.62/(-5*39.62))))-(-5/-5)))))</f>
        <v>307928.73683999997</v>
      </c>
      <c r="C13963" t="n" s="0">
        <v>307928.7368399999</v>
      </c>
    </row>
    <row r="13964">
      <c r="A13964" t="n" s="0">
        <v>39.63</v>
      </c>
      <c r="B13964" t="n" s="0">
        <f>(-5-((((-5*(-5/((-5/(((-5*(39.63--5))-(-5+((-5*39.63)*(((-5--5)+(39.63--5))+39.63))))-(-5+-5)))*-5)))/-5)--5)+(-5*(((39.63*(39.63-(-5/-5)))*(39.63-(39.63/(-5*39.63))))-(-5/-5)))))</f>
        <v>308162.70293499995</v>
      </c>
      <c r="C13964" t="n" s="0">
        <v>308162.70293500007</v>
      </c>
    </row>
    <row r="13965">
      <c r="A13965" t="n" s="0">
        <v>39.64</v>
      </c>
      <c r="B13965" t="n" s="0">
        <f>(-5-((((-5*(-5/((-5/(((-5*(39.64--5))-(-5+((-5*39.64)*(((-5--5)+(39.64--5))+39.64))))-(-5+-5)))*-5)))/-5)--5)+(-5*(((39.64*(39.64-(-5/-5)))*(39.64-(39.64/(-5*39.64))))-(-5/-5)))))</f>
        <v>308396.78752</v>
      </c>
      <c r="C13965" t="n" s="0">
        <v>308396.78752</v>
      </c>
    </row>
    <row r="13966">
      <c r="A13966" t="n" s="0">
        <v>39.65</v>
      </c>
      <c r="B13966" t="n" s="0">
        <f>(-5-((((-5*(-5/((-5/(((-5*(39.65--5))-(-5+((-5*39.65)*(((-5--5)+(39.65--5))+39.65))))-(-5+-5)))*-5)))/-5)--5)+(-5*(((39.65*(39.65-(-5/-5)))*(39.65-(39.65/(-5*39.65))))-(-5/-5)))))</f>
        <v>308630.990625</v>
      </c>
      <c r="C13966" t="n" s="0">
        <v>308630.990625</v>
      </c>
    </row>
    <row r="13967">
      <c r="A13967" t="n" s="0">
        <v>39.66</v>
      </c>
      <c r="B13967" t="n" s="0">
        <f>(-5-((((-5*(-5/((-5/(((-5*(39.66--5))-(-5+((-5*39.66)*(((-5--5)+(39.66--5))+39.66))))-(-5+-5)))*-5)))/-5)--5)+(-5*(((39.66*(39.66-(-5/-5)))*(39.66-(39.66/(-5*39.66))))-(-5/-5)))))</f>
        <v>308865.31227999995</v>
      </c>
      <c r="C13967" t="n" s="0">
        <v>308865.3122799999</v>
      </c>
    </row>
    <row r="13968">
      <c r="A13968" t="n" s="0">
        <v>39.67</v>
      </c>
      <c r="B13968" t="n" s="0">
        <f>(-5-((((-5*(-5/((-5/(((-5*(39.67--5))-(-5+((-5*39.67)*(((-5--5)+(39.67--5))+39.67))))-(-5+-5)))*-5)))/-5)--5)+(-5*(((39.67*(39.67-(-5/-5)))*(39.67-(39.67/(-5*39.67))))-(-5/-5)))))</f>
        <v>309099.752515</v>
      </c>
      <c r="C13968" t="n" s="0">
        <v>309099.75251500006</v>
      </c>
    </row>
    <row r="13969">
      <c r="A13969" t="n" s="0">
        <v>39.68</v>
      </c>
      <c r="B13969" t="n" s="0">
        <f>(-5-((((-5*(-5/((-5/(((-5*(39.68--5))-(-5+((-5*39.68)*(((-5--5)+(39.68--5))+39.68))))-(-5+-5)))*-5)))/-5)--5)+(-5*(((39.68*(39.68-(-5/-5)))*(39.68-(39.68/(-5*39.68))))-(-5/-5)))))</f>
        <v>309334.31136000005</v>
      </c>
      <c r="C13969" t="n" s="0">
        <v>309334.31136</v>
      </c>
    </row>
    <row r="13970">
      <c r="A13970" t="n" s="0">
        <v>39.69</v>
      </c>
      <c r="B13970" t="n" s="0">
        <f>(-5-((((-5*(-5/((-5/(((-5*(39.69--5))-(-5+((-5*39.69)*(((-5--5)+(39.69--5))+39.69))))-(-5+-5)))*-5)))/-5)--5)+(-5*(((39.69*(39.69-(-5/-5)))*(39.69-(39.69/(-5*39.69))))-(-5/-5)))))</f>
        <v>309568.988845</v>
      </c>
      <c r="C13970" t="n" s="0">
        <v>309568.9888449999</v>
      </c>
    </row>
    <row r="13971">
      <c r="A13971" t="n" s="0">
        <v>39.7</v>
      </c>
      <c r="B13971" t="n" s="0">
        <f>(-5-((((-5*(-5/((-5/(((-5*(39.7--5))-(-5+((-5*39.7)*(((-5--5)+(39.7--5))+39.7))))-(-5+-5)))*-5)))/-5)--5)+(-5*(((39.7*(39.7-(-5/-5)))*(39.7-(39.7/(-5*39.7))))-(-5/-5)))))</f>
        <v>309803.785</v>
      </c>
      <c r="C13971" t="n" s="0">
        <v>309803.7850000001</v>
      </c>
    </row>
    <row r="13972">
      <c r="A13972" t="n" s="0">
        <v>39.71</v>
      </c>
      <c r="B13972" t="n" s="0">
        <f>(-5-((((-5*(-5/((-5/(((-5*(39.71--5))-(-5+((-5*39.71)*(((-5--5)+(39.71--5))+39.71))))-(-5+-5)))*-5)))/-5)--5)+(-5*(((39.71*(39.71-(-5/-5)))*(39.71-(39.71/(-5*39.71))))-(-5/-5)))))</f>
        <v>310038.699855</v>
      </c>
      <c r="C13972" t="n" s="0">
        <v>310038.6998550001</v>
      </c>
    </row>
    <row r="13973">
      <c r="A13973" t="n" s="0">
        <v>39.72</v>
      </c>
      <c r="B13973" t="n" s="0">
        <f>(-5-((((-5*(-5/((-5/(((-5*(39.72--5))-(-5+((-5*39.72)*(((-5--5)+(39.72--5))+39.72))))-(-5+-5)))*-5)))/-5)--5)+(-5*(((39.72*(39.72-(-5/-5)))*(39.72-(39.72/(-5*39.72))))-(-5/-5)))))</f>
        <v>310273.73344000004</v>
      </c>
      <c r="C13973" t="n" s="0">
        <v>310273.7334399999</v>
      </c>
    </row>
    <row r="13974">
      <c r="A13974" t="n" s="0">
        <v>39.73</v>
      </c>
      <c r="B13974" t="n" s="0">
        <f>(-5-((((-5*(-5/((-5/(((-5*(39.73--5))-(-5+((-5*39.73)*(((-5--5)+(39.73--5))+39.73))))-(-5+-5)))*-5)))/-5)--5)+(-5*(((39.73*(39.73-(-5/-5)))*(39.73-(39.73/(-5*39.73))))-(-5/-5)))))</f>
        <v>310508.88578500005</v>
      </c>
      <c r="C13974" t="n" s="0">
        <v>310508.88578499993</v>
      </c>
    </row>
    <row r="13975">
      <c r="A13975" t="n" s="0">
        <v>39.74</v>
      </c>
      <c r="B13975" t="n" s="0">
        <f>(-5-((((-5*(-5/((-5/(((-5*(39.74--5))-(-5+((-5*39.74)*(((-5--5)+(39.74--5))+39.74))))-(-5+-5)))*-5)))/-5)--5)+(-5*(((39.74*(39.74-(-5/-5)))*(39.74-(39.74/(-5*39.74))))-(-5/-5)))))</f>
        <v>310744.15692</v>
      </c>
      <c r="C13975" t="n" s="0">
        <v>310744.15692000004</v>
      </c>
    </row>
    <row r="13976">
      <c r="A13976" t="n" s="0">
        <v>39.75</v>
      </c>
      <c r="B13976" t="n" s="0">
        <f>(-5-((((-5*(-5/((-5/(((-5*(39.75--5))-(-5+((-5*39.75)*(((-5--5)+(39.75--5))+39.75))))-(-5+-5)))*-5)))/-5)--5)+(-5*(((39.75*(39.75-(-5/-5)))*(39.75-(39.75/(-5*39.75))))-(-5/-5)))))</f>
        <v>310979.546875</v>
      </c>
      <c r="C13976" t="n" s="0">
        <v>310979.546875</v>
      </c>
    </row>
    <row r="13977">
      <c r="A13977" t="n" s="0">
        <v>39.76</v>
      </c>
      <c r="B13977" t="n" s="0">
        <f>(-5-((((-5*(-5/((-5/(((-5*(39.76--5))-(-5+((-5*39.76)*(((-5--5)+(39.76--5))+39.76))))-(-5+-5)))*-5)))/-5)--5)+(-5*(((39.76*(39.76-(-5/-5)))*(39.76-(39.76/(-5*39.76))))-(-5/-5)))))</f>
        <v>311215.05568</v>
      </c>
      <c r="C13977" t="n" s="0">
        <v>311215.05568</v>
      </c>
    </row>
    <row r="13978">
      <c r="A13978" t="n" s="0">
        <v>39.77</v>
      </c>
      <c r="B13978" t="n" s="0">
        <f>(-5-((((-5*(-5/((-5/(((-5*(39.77--5))-(-5+((-5*39.77)*(((-5--5)+(39.77--5))+39.77))))-(-5+-5)))*-5)))/-5)--5)+(-5*(((39.77*(39.77-(-5/-5)))*(39.77-(39.77/(-5*39.77))))-(-5/-5)))))</f>
        <v>311450.683365</v>
      </c>
      <c r="C13978" t="n" s="0">
        <v>311450.68336500006</v>
      </c>
    </row>
    <row r="13979">
      <c r="A13979" t="n" s="0">
        <v>39.78</v>
      </c>
      <c r="B13979" t="n" s="0">
        <f>(-5-((((-5*(-5/((-5/(((-5*(39.78--5))-(-5+((-5*39.78)*(((-5--5)+(39.78--5))+39.78))))-(-5+-5)))*-5)))/-5)--5)+(-5*(((39.78*(39.78-(-5/-5)))*(39.78-(39.78/(-5*39.78))))-(-5/-5)))))</f>
        <v>311686.42996</v>
      </c>
      <c r="C13979" t="n" s="0">
        <v>311686.4299600001</v>
      </c>
    </row>
    <row r="13980">
      <c r="A13980" t="n" s="0">
        <v>39.79</v>
      </c>
      <c r="B13980" t="n" s="0">
        <f>(-5-((((-5*(-5/((-5/(((-5*(39.79--5))-(-5+((-5*39.79)*(((-5--5)+(39.79--5))+39.79))))-(-5+-5)))*-5)))/-5)--5)+(-5*(((39.79*(39.79-(-5/-5)))*(39.79-(39.79/(-5*39.79))))-(-5/-5)))))</f>
        <v>311922.29549499997</v>
      </c>
      <c r="C13980" t="n" s="0">
        <v>311922.29549499997</v>
      </c>
    </row>
    <row r="13981">
      <c r="A13981" t="n" s="0">
        <v>39.8</v>
      </c>
      <c r="B13981" t="n" s="0">
        <f>(-5-((((-5*(-5/((-5/(((-5*(39.8--5))-(-5+((-5*39.8)*(((-5--5)+(39.8--5))+39.8))))-(-5+-5)))*-5)))/-5)--5)+(-5*(((39.8*(39.8-(-5/-5)))*(39.8-(39.8/(-5*39.8))))-(-5/-5)))))</f>
        <v>312158.28</v>
      </c>
      <c r="C13981" t="n" s="0">
        <v>312158.27999999997</v>
      </c>
    </row>
    <row r="13982">
      <c r="A13982" t="n" s="0">
        <v>39.81</v>
      </c>
      <c r="B13982" t="n" s="0">
        <f>(-5-((((-5*(-5/((-5/(((-5*(39.81--5))-(-5+((-5*39.81)*(((-5--5)+(39.81--5))+39.81))))-(-5+-5)))*-5)))/-5)--5)+(-5*(((39.81*(39.81-(-5/-5)))*(39.81-(39.81/(-5*39.81))))-(-5/-5)))))</f>
        <v>312394.38350500003</v>
      </c>
      <c r="C13982" t="n" s="0">
        <v>312394.38350500003</v>
      </c>
    </row>
    <row r="13983">
      <c r="A13983" t="n" s="0">
        <v>39.82</v>
      </c>
      <c r="B13983" t="n" s="0">
        <f>(-5-((((-5*(-5/((-5/(((-5*(39.82--5))-(-5+((-5*39.82)*(((-5--5)+(39.82--5))+39.82))))-(-5+-5)))*-5)))/-5)--5)+(-5*(((39.82*(39.82-(-5/-5)))*(39.82-(39.82/(-5*39.82))))-(-5/-5)))))</f>
        <v>312630.60604</v>
      </c>
      <c r="C13983" t="n" s="0">
        <v>312630.60604000004</v>
      </c>
    </row>
    <row r="13984">
      <c r="A13984" t="n" s="0">
        <v>39.83</v>
      </c>
      <c r="B13984" t="n" s="0">
        <f>(-5-((((-5*(-5/((-5/(((-5*(39.83--5))-(-5+((-5*39.83)*(((-5--5)+(39.83--5))+39.83))))-(-5+-5)))*-5)))/-5)--5)+(-5*(((39.83*(39.83-(-5/-5)))*(39.83-(39.83/(-5*39.83))))-(-5/-5)))))</f>
        <v>312866.947635</v>
      </c>
      <c r="C13984" t="n" s="0">
        <v>312866.94763499993</v>
      </c>
    </row>
    <row r="13985">
      <c r="A13985" t="n" s="0">
        <v>39.84</v>
      </c>
      <c r="B13985" t="n" s="0">
        <f>(-5-((((-5*(-5/((-5/(((-5*(39.84--5))-(-5+((-5*39.84)*(((-5--5)+(39.84--5))+39.84))))-(-5+-5)))*-5)))/-5)--5)+(-5*(((39.84*(39.84-(-5/-5)))*(39.84-(39.84/(-5*39.84))))-(-5/-5)))))</f>
        <v>313103.40832</v>
      </c>
      <c r="C13985" t="n" s="0">
        <v>313103.4083200001</v>
      </c>
    </row>
    <row r="13986">
      <c r="A13986" t="n" s="0">
        <v>39.85</v>
      </c>
      <c r="B13986" t="n" s="0">
        <f>(-5-((((-5*(-5/((-5/(((-5*(39.85--5))-(-5+((-5*39.85)*(((-5--5)+(39.85--5))+39.85))))-(-5+-5)))*-5)))/-5)--5)+(-5*(((39.85*(39.85-(-5/-5)))*(39.85-(39.85/(-5*39.85))))-(-5/-5)))))</f>
        <v>313339.98812500003</v>
      </c>
      <c r="C13986" t="n" s="0">
        <v>313339.98812500003</v>
      </c>
    </row>
    <row r="13987">
      <c r="A13987" t="n" s="0">
        <v>39.86</v>
      </c>
      <c r="B13987" t="n" s="0">
        <f>(-5-((((-5*(-5/((-5/(((-5*(39.86--5))-(-5+((-5*39.86)*(((-5--5)+(39.86--5))+39.86))))-(-5+-5)))*-5)))/-5)--5)+(-5*(((39.86*(39.86-(-5/-5)))*(39.86-(39.86/(-5*39.86))))-(-5/-5)))))</f>
        <v>313576.68708</v>
      </c>
      <c r="C13987" t="n" s="0">
        <v>313576.68708</v>
      </c>
    </row>
    <row r="13988">
      <c r="A13988" t="n" s="0">
        <v>39.87</v>
      </c>
      <c r="B13988" t="n" s="0">
        <f>(-5-((((-5*(-5/((-5/(((-5*(39.87--5))-(-5+((-5*39.87)*(((-5--5)+(39.87--5))+39.87))))-(-5+-5)))*-5)))/-5)--5)+(-5*(((39.87*(39.87-(-5/-5)))*(39.87-(39.87/(-5*39.87))))-(-5/-5)))))</f>
        <v>313813.505215</v>
      </c>
      <c r="C13988" t="n" s="0">
        <v>313813.50521499995</v>
      </c>
    </row>
    <row r="13989">
      <c r="A13989" t="n" s="0">
        <v>39.88</v>
      </c>
      <c r="B13989" t="n" s="0">
        <f>(-5-((((-5*(-5/((-5/(((-5*(39.88--5))-(-5+((-5*39.88)*(((-5--5)+(39.88--5))+39.88))))-(-5+-5)))*-5)))/-5)--5)+(-5*(((39.88*(39.88-(-5/-5)))*(39.88-(39.88/(-5*39.88))))-(-5/-5)))))</f>
        <v>314050.44256</v>
      </c>
      <c r="C13989" t="n" s="0">
        <v>314050.44256000005</v>
      </c>
    </row>
    <row r="13990">
      <c r="A13990" t="n" s="0">
        <v>39.89</v>
      </c>
      <c r="B13990" t="n" s="0">
        <f>(-5-((((-5*(-5/((-5/(((-5*(39.89--5))-(-5+((-5*39.89)*(((-5--5)+(39.89--5))+39.89))))-(-5+-5)))*-5)))/-5)--5)+(-5*(((39.89*(39.89-(-5/-5)))*(39.89-(39.89/(-5*39.89))))-(-5/-5)))))</f>
        <v>314287.499145</v>
      </c>
      <c r="C13990" t="n" s="0">
        <v>314287.499145</v>
      </c>
    </row>
    <row r="13991">
      <c r="A13991" t="n" s="0">
        <v>39.9</v>
      </c>
      <c r="B13991" t="n" s="0">
        <f>(-5-((((-5*(-5/((-5/(((-5*(39.9--5))-(-5+((-5*39.9)*(((-5--5)+(39.9--5))+39.9))))-(-5+-5)))*-5)))/-5)--5)+(-5*(((39.9*(39.9-(-5/-5)))*(39.9-(39.9/(-5*39.9))))-(-5/-5)))))</f>
        <v>314524.675</v>
      </c>
      <c r="C13991" t="n" s="0">
        <v>314524.675</v>
      </c>
    </row>
    <row r="13992">
      <c r="A13992" t="n" s="0">
        <v>39.91</v>
      </c>
      <c r="B13992" t="n" s="0">
        <f>(-5-((((-5*(-5/((-5/(((-5*(39.91--5))-(-5+((-5*39.91)*(((-5--5)+(39.91--5))+39.91))))-(-5+-5)))*-5)))/-5)--5)+(-5*(((39.91*(39.91-(-5/-5)))*(39.91-(39.91/(-5*39.91))))-(-5/-5)))))</f>
        <v>314761.970155</v>
      </c>
      <c r="C13992" t="n" s="0">
        <v>314761.9701549999</v>
      </c>
    </row>
    <row r="13993">
      <c r="A13993" t="n" s="0">
        <v>39.92</v>
      </c>
      <c r="B13993" t="n" s="0">
        <f>(-5-((((-5*(-5/((-5/(((-5*(39.92--5))-(-5+((-5*39.92)*(((-5--5)+(39.92--5))+39.92))))-(-5+-5)))*-5)))/-5)--5)+(-5*(((39.92*(39.92-(-5/-5)))*(39.92-(39.92/(-5*39.92))))-(-5/-5)))))</f>
        <v>314999.38464</v>
      </c>
      <c r="C13993" t="n" s="0">
        <v>314999.38464000006</v>
      </c>
    </row>
    <row r="13994">
      <c r="A13994" t="n" s="0">
        <v>39.93</v>
      </c>
      <c r="B13994" t="n" s="0">
        <f>(-5-((((-5*(-5/((-5/(((-5*(39.93--5))-(-5+((-5*39.93)*(((-5--5)+(39.93--5))+39.93))))-(-5+-5)))*-5)))/-5)--5)+(-5*(((39.93*(39.93-(-5/-5)))*(39.93-(39.93/(-5*39.93))))-(-5/-5)))))</f>
        <v>315236.91848500003</v>
      </c>
      <c r="C13994" t="n" s="0">
        <v>315236.918485</v>
      </c>
    </row>
    <row r="13995">
      <c r="A13995" t="n" s="0">
        <v>39.94</v>
      </c>
      <c r="B13995" t="n" s="0">
        <f>(-5-((((-5*(-5/((-5/(((-5*(39.94--5))-(-5+((-5*39.94)*(((-5--5)+(39.94--5))+39.94))))-(-5+-5)))*-5)))/-5)--5)+(-5*(((39.94*(39.94-(-5/-5)))*(39.94-(39.94/(-5*39.94))))-(-5/-5)))))</f>
        <v>315474.57172</v>
      </c>
      <c r="C13995" t="n" s="0">
        <v>315474.57171999995</v>
      </c>
    </row>
    <row r="13996">
      <c r="A13996" t="n" s="0">
        <v>39.95</v>
      </c>
      <c r="B13996" t="n" s="0">
        <f>(-5-((((-5*(-5/((-5/(((-5*(39.95--5))-(-5+((-5*39.95)*(((-5--5)+(39.95--5))+39.95))))-(-5+-5)))*-5)))/-5)--5)+(-5*(((39.95*(39.95-(-5/-5)))*(39.95-(39.95/(-5*39.95))))-(-5/-5)))))</f>
        <v>315712.344375</v>
      </c>
      <c r="C13996" t="n" s="0">
        <v>315712.34437500004</v>
      </c>
    </row>
    <row r="13997">
      <c r="A13997" t="n" s="0">
        <v>39.96</v>
      </c>
      <c r="B13997" t="n" s="0">
        <f>(-5-((((-5*(-5/((-5/(((-5*(39.96--5))-(-5+((-5*39.96)*(((-5--5)+(39.96--5))+39.96))))-(-5+-5)))*-5)))/-5)--5)+(-5*(((39.96*(39.96-(-5/-5)))*(39.96-(39.96/(-5*39.96))))-(-5/-5)))))</f>
        <v>315950.23647999996</v>
      </c>
      <c r="C13997" t="n" s="0">
        <v>315950.23648</v>
      </c>
    </row>
    <row r="13998">
      <c r="A13998" t="n" s="0">
        <v>39.97</v>
      </c>
      <c r="B13998" t="n" s="0">
        <f>(-5-((((-5*(-5/((-5/(((-5*(39.97--5))-(-5+((-5*39.97)*(((-5--5)+(39.97--5))+39.97))))-(-5+-5)))*-5)))/-5)--5)+(-5*(((39.97*(39.97-(-5/-5)))*(39.97-(39.97/(-5*39.97))))-(-5/-5)))))</f>
        <v>316188.248065</v>
      </c>
      <c r="C13998" t="n" s="0">
        <v>316188.24806499993</v>
      </c>
    </row>
    <row r="13999">
      <c r="A13999" t="n" s="0">
        <v>39.98</v>
      </c>
      <c r="B13999" t="n" s="0">
        <f>(-5-((((-5*(-5/((-5/(((-5*(39.98--5))-(-5+((-5*39.98)*(((-5--5)+(39.98--5))+39.98))))-(-5+-5)))*-5)))/-5)--5)+(-5*(((39.98*(39.98-(-5/-5)))*(39.98-(39.98/(-5*39.98))))-(-5/-5)))))</f>
        <v>316426.37915999995</v>
      </c>
      <c r="C13999" t="n" s="0">
        <v>316426.3791599999</v>
      </c>
    </row>
    <row r="14000">
      <c r="A14000" t="n" s="0">
        <v>39.99</v>
      </c>
      <c r="B14000" t="n" s="0">
        <f>(-5-((((-5*(-5/((-5/(((-5*(39.99--5))-(-5+((-5*39.99)*(((-5--5)+(39.99--5))+39.99))))-(-5+-5)))*-5)))/-5)--5)+(-5*(((39.99*(39.99-(-5/-5)))*(39.99-(39.99/(-5*39.99))))-(-5/-5)))))</f>
        <v>316664.629795</v>
      </c>
      <c r="C14000" t="n" s="0">
        <v>316664.629795</v>
      </c>
    </row>
    <row r="14001">
      <c r="A14001" t="n" s="0">
        <v>40.0</v>
      </c>
      <c r="B14001" t="n" s="0">
        <f>(-5-((((-5*(-5/((-5/(((-5*(40--5))-(-5+((-5*40)*(((-5--5)+(40--5))+40))))-(-5+-5)))*-5)))/-5)--5)+(-5*(((40*(40-(-5/-5)))*(40-(40/(-5*40))))-(-5/-5)))))</f>
        <v>316903.0</v>
      </c>
      <c r="C14001" t="n" s="0">
        <v>316903.0</v>
      </c>
    </row>
    <row r="14002">
      <c r="A14002" t="n" s="0">
        <v>40.01</v>
      </c>
      <c r="B14002" t="n" s="0">
        <f>(-5-((((-5*(-5/((-5/(((-5*(40.01--5))-(-5+((-5*40.01)*(((-5--5)+(40.01--5))+40.01))))-(-5+-5)))*-5)))/-5)--5)+(-5*(((40.01*(40.01-(-5/-5)))*(40.01-(40.01/(-5*40.01))))-(-5/-5)))))</f>
        <v>317141.489805</v>
      </c>
      <c r="C14002" t="n" s="0">
        <v>317141.48980499996</v>
      </c>
    </row>
    <row r="14003">
      <c r="A14003" t="n" s="0">
        <v>40.02</v>
      </c>
      <c r="B14003" t="n" s="0">
        <f>(-5-((((-5*(-5/((-5/(((-5*(40.02--5))-(-5+((-5*40.02)*(((-5--5)+(40.02--5))+40.02))))-(-5+-5)))*-5)))/-5)--5)+(-5*(((40.02*(40.02-(-5/-5)))*(40.02-(40.02/(-5*40.02))))-(-5/-5)))))</f>
        <v>317380.09924</v>
      </c>
      <c r="C14003" t="n" s="0">
        <v>317380.09924000007</v>
      </c>
    </row>
    <row r="14004">
      <c r="A14004" t="n" s="0">
        <v>40.03</v>
      </c>
      <c r="B14004" t="n" s="0">
        <f>(-5-((((-5*(-5/((-5/(((-5*(40.03--5))-(-5+((-5*40.03)*(((-5--5)+(40.03--5))+40.03))))-(-5+-5)))*-5)))/-5)--5)+(-5*(((40.03*(40.03-(-5/-5)))*(40.03-(40.03/(-5*40.03))))-(-5/-5)))))</f>
        <v>317618.82833499997</v>
      </c>
      <c r="C14004" t="n" s="0">
        <v>317618.828335</v>
      </c>
    </row>
    <row r="14005">
      <c r="A14005" t="n" s="0">
        <v>40.04</v>
      </c>
      <c r="B14005" t="n" s="0">
        <f>(-5-((((-5*(-5/((-5/(((-5*(40.04--5))-(-5+((-5*40.04)*(((-5--5)+(40.04--5))+40.04))))-(-5+-5)))*-5)))/-5)--5)+(-5*(((40.04*(40.04-(-5/-5)))*(40.04-(40.04/(-5*40.04))))-(-5/-5)))))</f>
        <v>317857.67711999995</v>
      </c>
      <c r="C14005" t="n" s="0">
        <v>317857.67711999995</v>
      </c>
    </row>
    <row r="14006">
      <c r="A14006" t="n" s="0">
        <v>40.05</v>
      </c>
      <c r="B14006" t="n" s="0">
        <f>(-5-((((-5*(-5/((-5/(((-5*(40.05--5))-(-5+((-5*40.05)*(((-5--5)+(40.05--5))+40.05))))-(-5+-5)))*-5)))/-5)--5)+(-5*(((40.05*(40.05-(-5/-5)))*(40.05-(40.05/(-5*40.05))))-(-5/-5)))))</f>
        <v>318096.645625</v>
      </c>
      <c r="C14006" t="n" s="0">
        <v>318096.64562499995</v>
      </c>
    </row>
    <row r="14007">
      <c r="A14007" t="n" s="0">
        <v>40.06</v>
      </c>
      <c r="B14007" t="n" s="0">
        <f>(-5-((((-5*(-5/((-5/(((-5*(40.06--5))-(-5+((-5*40.06)*(((-5--5)+(40.06--5))+40.06))))-(-5+-5)))*-5)))/-5)--5)+(-5*(((40.06*(40.06-(-5/-5)))*(40.06-(40.06/(-5*40.06))))-(-5/-5)))))</f>
        <v>318335.73388</v>
      </c>
      <c r="C14007" t="n" s="0">
        <v>318335.73388</v>
      </c>
    </row>
    <row r="14008">
      <c r="A14008" t="n" s="0">
        <v>40.07</v>
      </c>
      <c r="B14008" t="n" s="0">
        <f>(-5-((((-5*(-5/((-5/(((-5*(40.07--5))-(-5+((-5*40.07)*(((-5--5)+(40.07--5))+40.07))))-(-5+-5)))*-5)))/-5)--5)+(-5*(((40.07*(40.07-(-5/-5)))*(40.07-(40.07/(-5*40.07))))-(-5/-5)))))</f>
        <v>318574.94191500003</v>
      </c>
      <c r="C14008" t="n" s="0">
        <v>318574.94191500003</v>
      </c>
    </row>
    <row r="14009">
      <c r="A14009" t="n" s="0">
        <v>40.08</v>
      </c>
      <c r="B14009" t="n" s="0">
        <f>(-5-((((-5*(-5/((-5/(((-5*(40.08--5))-(-5+((-5*40.08)*(((-5--5)+(40.08--5))+40.08))))-(-5+-5)))*-5)))/-5)--5)+(-5*(((40.08*(40.08-(-5/-5)))*(40.08-(40.08/(-5*40.08))))-(-5/-5)))))</f>
        <v>318814.26976</v>
      </c>
      <c r="C14009" t="n" s="0">
        <v>318814.26975999994</v>
      </c>
    </row>
    <row r="14010">
      <c r="A14010" t="n" s="0">
        <v>40.09</v>
      </c>
      <c r="B14010" t="n" s="0">
        <f>(-5-((((-5*(-5/((-5/(((-5*(40.09--5))-(-5+((-5*40.09)*(((-5--5)+(40.09--5))+40.09))))-(-5+-5)))*-5)))/-5)--5)+(-5*(((40.09*(40.09-(-5/-5)))*(40.09-(40.09/(-5*40.09))))-(-5/-5)))))</f>
        <v>319053.717445</v>
      </c>
      <c r="C14010" t="n" s="0">
        <v>319053.71744500013</v>
      </c>
    </row>
    <row r="14011">
      <c r="A14011" t="n" s="0">
        <v>40.1</v>
      </c>
      <c r="B14011" t="n" s="0">
        <f>(-5-((((-5*(-5/((-5/(((-5*(40.1--5))-(-5+((-5*40.1)*(((-5--5)+(40.1--5))+40.1))))-(-5+-5)))*-5)))/-5)--5)+(-5*(((40.1*(40.1-(-5/-5)))*(40.1-(40.1/(-5*40.1))))-(-5/-5)))))</f>
        <v>319293.285</v>
      </c>
      <c r="C14011" t="n" s="0">
        <v>319293.28500000003</v>
      </c>
    </row>
    <row r="14012">
      <c r="A14012" t="n" s="0">
        <v>40.11</v>
      </c>
      <c r="B14012" t="n" s="0">
        <f>(-5-((((-5*(-5/((-5/(((-5*(40.11--5))-(-5+((-5*40.11)*(((-5--5)+(40.11--5))+40.11))))-(-5+-5)))*-5)))/-5)--5)+(-5*(((40.11*(40.11-(-5/-5)))*(40.11-(40.11/(-5*40.11))))-(-5/-5)))))</f>
        <v>319532.97245500004</v>
      </c>
      <c r="C14012" t="n" s="0">
        <v>319532.972455</v>
      </c>
    </row>
    <row r="14013">
      <c r="A14013" t="n" s="0">
        <v>40.12</v>
      </c>
      <c r="B14013" t="n" s="0">
        <f>(-5-((((-5*(-5/((-5/(((-5*(40.12--5))-(-5+((-5*40.12)*(((-5--5)+(40.12--5))+40.12))))-(-5+-5)))*-5)))/-5)--5)+(-5*(((40.12*(40.12-(-5/-5)))*(40.12-(40.12/(-5*40.12))))-(-5/-5)))))</f>
        <v>319772.77984000003</v>
      </c>
      <c r="C14013" t="n" s="0">
        <v>319772.77984</v>
      </c>
    </row>
    <row r="14014">
      <c r="A14014" t="n" s="0">
        <v>40.13</v>
      </c>
      <c r="B14014" t="n" s="0">
        <f>(-5-((((-5*(-5/((-5/(((-5*(40.13--5))-(-5+((-5*40.13)*(((-5--5)+(40.13--5))+40.13))))-(-5+-5)))*-5)))/-5)--5)+(-5*(((40.13*(40.13-(-5/-5)))*(40.13-(40.13/(-5*40.13))))-(-5/-5)))))</f>
        <v>320012.70718500006</v>
      </c>
      <c r="C14014" t="n" s="0">
        <v>320012.70718500006</v>
      </c>
    </row>
    <row r="14015">
      <c r="A14015" t="n" s="0">
        <v>40.14</v>
      </c>
      <c r="B14015" t="n" s="0">
        <f>(-5-((((-5*(-5/((-5/(((-5*(40.14--5))-(-5+((-5*40.14)*(((-5--5)+(40.14--5))+40.14))))-(-5+-5)))*-5)))/-5)--5)+(-5*(((40.14*(40.14-(-5/-5)))*(40.14-(40.14/(-5*40.14))))-(-5/-5)))))</f>
        <v>320252.75451999996</v>
      </c>
      <c r="C14015" t="n" s="0">
        <v>320252.75451999996</v>
      </c>
    </row>
    <row r="14016">
      <c r="A14016" t="n" s="0">
        <v>40.15</v>
      </c>
      <c r="B14016" t="n" s="0">
        <f>(-5-((((-5*(-5/((-5/(((-5*(40.15--5))-(-5+((-5*40.15)*(((-5--5)+(40.15--5))+40.15))))-(-5+-5)))*-5)))/-5)--5)+(-5*(((40.15*(40.15-(-5/-5)))*(40.15-(40.15/(-5*40.15))))-(-5/-5)))))</f>
        <v>320492.921875</v>
      </c>
      <c r="C14016" t="n" s="0">
        <v>320492.921875</v>
      </c>
    </row>
    <row r="14017">
      <c r="A14017" t="n" s="0">
        <v>40.16</v>
      </c>
      <c r="B14017" t="n" s="0">
        <f>(-5-((((-5*(-5/((-5/(((-5*(40.16--5))-(-5+((-5*40.16)*(((-5--5)+(40.16--5))+40.16))))-(-5+-5)))*-5)))/-5)--5)+(-5*(((40.16*(40.16-(-5/-5)))*(40.16-(40.16/(-5*40.16))))-(-5/-5)))))</f>
        <v>320733.20927999995</v>
      </c>
      <c r="C14017" t="n" s="0">
        <v>320733.2092799999</v>
      </c>
    </row>
    <row r="14018">
      <c r="A14018" t="n" s="0">
        <v>40.17</v>
      </c>
      <c r="B14018" t="n" s="0">
        <f>(-5-((((-5*(-5/((-5/(((-5*(40.17--5))-(-5+((-5*40.17)*(((-5--5)+(40.17--5))+40.17))))-(-5+-5)))*-5)))/-5)--5)+(-5*(((40.17*(40.17-(-5/-5)))*(40.17-(40.17/(-5*40.17))))-(-5/-5)))))</f>
        <v>320973.61676500004</v>
      </c>
      <c r="C14018" t="n" s="0">
        <v>320973.61676500004</v>
      </c>
    </row>
    <row r="14019">
      <c r="A14019" t="n" s="0">
        <v>40.18</v>
      </c>
      <c r="B14019" t="n" s="0">
        <f>(-5-((((-5*(-5/((-5/(((-5*(40.18--5))-(-5+((-5*40.18)*(((-5--5)+(40.18--5))+40.18))))-(-5+-5)))*-5)))/-5)--5)+(-5*(((40.18*(40.18-(-5/-5)))*(40.18-(40.18/(-5*40.18))))-(-5/-5)))))</f>
        <v>321214.14436000003</v>
      </c>
      <c r="C14019" t="n" s="0">
        <v>321214.14436</v>
      </c>
    </row>
    <row r="14020">
      <c r="A14020" t="n" s="0">
        <v>40.19</v>
      </c>
      <c r="B14020" t="n" s="0">
        <f>(-5-((((-5*(-5/((-5/(((-5*(40.19--5))-(-5+((-5*40.19)*(((-5--5)+(40.19--5))+40.19))))-(-5+-5)))*-5)))/-5)--5)+(-5*(((40.19*(40.19-(-5/-5)))*(40.19-(40.19/(-5*40.19))))-(-5/-5)))))</f>
        <v>321454.79209500004</v>
      </c>
      <c r="C14020" t="n" s="0">
        <v>321454.7920949999</v>
      </c>
    </row>
    <row r="14021">
      <c r="A14021" t="n" s="0">
        <v>40.2</v>
      </c>
      <c r="B14021" t="n" s="0">
        <f>(-5-((((-5*(-5/((-5/(((-5*(40.2--5))-(-5+((-5*40.2)*(((-5--5)+(40.2--5))+40.2))))-(-5+-5)))*-5)))/-5)--5)+(-5*(((40.2*(40.2-(-5/-5)))*(40.2-(40.2/(-5*40.2))))-(-5/-5)))))</f>
        <v>321695.56</v>
      </c>
      <c r="C14021" t="n" s="0">
        <v>321695.56</v>
      </c>
    </row>
    <row r="14022">
      <c r="A14022" t="n" s="0">
        <v>40.21</v>
      </c>
      <c r="B14022" t="n" s="0">
        <f>(-5-((((-5*(-5/((-5/(((-5*(40.21--5))-(-5+((-5*40.21)*(((-5--5)+(40.21--5))+40.21))))-(-5+-5)))*-5)))/-5)--5)+(-5*(((40.21*(40.21-(-5/-5)))*(40.21-(40.21/(-5*40.21))))-(-5/-5)))))</f>
        <v>321936.448105</v>
      </c>
      <c r="C14022" t="n" s="0">
        <v>321936.448105</v>
      </c>
    </row>
    <row r="14023">
      <c r="A14023" t="n" s="0">
        <v>40.22</v>
      </c>
      <c r="B14023" t="n" s="0">
        <f>(-5-((((-5*(-5/((-5/(((-5*(40.22--5))-(-5+((-5*40.22)*(((-5--5)+(40.22--5))+40.22))))-(-5+-5)))*-5)))/-5)--5)+(-5*(((40.22*(40.22-(-5/-5)))*(40.22-(40.22/(-5*40.22))))-(-5/-5)))))</f>
        <v>322177.45644000004</v>
      </c>
      <c r="C14023" t="n" s="0">
        <v>322177.4564399999</v>
      </c>
    </row>
    <row r="14024">
      <c r="A14024" t="n" s="0">
        <v>40.23</v>
      </c>
      <c r="B14024" t="n" s="0">
        <f>(-5-((((-5*(-5/((-5/(((-5*(40.23--5))-(-5+((-5*40.23)*(((-5--5)+(40.23--5))+40.23))))-(-5+-5)))*-5)))/-5)--5)+(-5*(((40.23*(40.23-(-5/-5)))*(40.23-(40.23/(-5*40.23))))-(-5/-5)))))</f>
        <v>322418.585035</v>
      </c>
      <c r="C14024" t="n" s="0">
        <v>322418.58503499994</v>
      </c>
    </row>
    <row r="14025">
      <c r="A14025" t="n" s="0">
        <v>40.24</v>
      </c>
      <c r="B14025" t="n" s="0">
        <f>(-5-((((-5*(-5/((-5/(((-5*(40.24--5))-(-5+((-5*40.24)*(((-5--5)+(40.24--5))+40.24))))-(-5+-5)))*-5)))/-5)--5)+(-5*(((40.24*(40.24-(-5/-5)))*(40.24-(40.24/(-5*40.24))))-(-5/-5)))))</f>
        <v>322659.83392</v>
      </c>
      <c r="C14025" t="n" s="0">
        <v>322659.83392</v>
      </c>
    </row>
    <row r="14026">
      <c r="A14026" t="n" s="0">
        <v>40.25</v>
      </c>
      <c r="B14026" t="n" s="0">
        <f>(-5-((((-5*(-5/((-5/(((-5*(40.25--5))-(-5+((-5*40.25)*(((-5--5)+(40.25--5))+40.25))))-(-5+-5)))*-5)))/-5)--5)+(-5*(((40.25*(40.25-(-5/-5)))*(40.25-(40.25/(-5*40.25))))-(-5/-5)))))</f>
        <v>322901.203125</v>
      </c>
      <c r="C14026" t="n" s="0">
        <v>322901.203125</v>
      </c>
    </row>
    <row r="14027">
      <c r="A14027" t="n" s="0">
        <v>40.26</v>
      </c>
      <c r="B14027" t="n" s="0">
        <f>(-5-((((-5*(-5/((-5/(((-5*(40.26--5))-(-5+((-5*40.26)*(((-5--5)+(40.26--5))+40.26))))-(-5+-5)))*-5)))/-5)--5)+(-5*(((40.26*(40.26-(-5/-5)))*(40.26-(40.26/(-5*40.26))))-(-5/-5)))))</f>
        <v>323142.69268</v>
      </c>
      <c r="C14027" t="n" s="0">
        <v>323142.69268</v>
      </c>
    </row>
    <row r="14028">
      <c r="A14028" t="n" s="0">
        <v>40.27</v>
      </c>
      <c r="B14028" t="n" s="0">
        <f>(-5-((((-5*(-5/((-5/(((-5*(40.27--5))-(-5+((-5*40.27)*(((-5--5)+(40.27--5))+40.27))))-(-5+-5)))*-5)))/-5)--5)+(-5*(((40.27*(40.27-(-5/-5)))*(40.27-(40.27/(-5*40.27))))-(-5/-5)))))</f>
        <v>323384.30261500005</v>
      </c>
      <c r="C14028" t="n" s="0">
        <v>323384.30261500005</v>
      </c>
    </row>
    <row r="14029">
      <c r="A14029" t="n" s="0">
        <v>40.28</v>
      </c>
      <c r="B14029" t="n" s="0">
        <f>(-5-((((-5*(-5/((-5/(((-5*(40.28--5))-(-5+((-5*40.28)*(((-5--5)+(40.28--5))+40.28))))-(-5+-5)))*-5)))/-5)--5)+(-5*(((40.28*(40.28-(-5/-5)))*(40.28-(40.28/(-5*40.28))))-(-5/-5)))))</f>
        <v>323626.03296</v>
      </c>
      <c r="C14029" t="n" s="0">
        <v>323626.0329600001</v>
      </c>
    </row>
    <row r="14030">
      <c r="A14030" t="n" s="0">
        <v>40.29</v>
      </c>
      <c r="B14030" t="n" s="0">
        <f>(-5-((((-5*(-5/((-5/(((-5*(40.29--5))-(-5+((-5*40.29)*(((-5--5)+(40.29--5))+40.29))))-(-5+-5)))*-5)))/-5)--5)+(-5*(((40.29*(40.29-(-5/-5)))*(40.29-(40.29/(-5*40.29))))-(-5/-5)))))</f>
        <v>323867.88374499994</v>
      </c>
      <c r="C14030" t="n" s="0">
        <v>323867.883745</v>
      </c>
    </row>
    <row r="14031">
      <c r="A14031" t="n" s="0">
        <v>40.3</v>
      </c>
      <c r="B14031" t="n" s="0">
        <f>(-5-((((-5*(-5/((-5/(((-5*(40.3--5))-(-5+((-5*40.3)*(((-5--5)+(40.3--5))+40.3))))-(-5+-5)))*-5)))/-5)--5)+(-5*(((40.3*(40.3-(-5/-5)))*(40.3-(40.3/(-5*40.3))))-(-5/-5)))))</f>
        <v>324109.855</v>
      </c>
      <c r="C14031" t="n" s="0">
        <v>324109.8549999999</v>
      </c>
    </row>
    <row r="14032">
      <c r="A14032" t="n" s="0">
        <v>40.31</v>
      </c>
      <c r="B14032" t="n" s="0">
        <f>(-5-((((-5*(-5/((-5/(((-5*(40.31--5))-(-5+((-5*40.31)*(((-5--5)+(40.31--5))+40.31))))-(-5+-5)))*-5)))/-5)--5)+(-5*(((40.31*(40.31-(-5/-5)))*(40.31-(40.31/(-5*40.31))))-(-5/-5)))))</f>
        <v>324351.946755</v>
      </c>
      <c r="C14032" t="n" s="0">
        <v>324351.94675500004</v>
      </c>
    </row>
    <row r="14033">
      <c r="A14033" t="n" s="0">
        <v>40.32</v>
      </c>
      <c r="B14033" t="n" s="0">
        <f>(-5-((((-5*(-5/((-5/(((-5*(40.32--5))-(-5+((-5*40.32)*(((-5--5)+(40.32--5))+40.32))))-(-5+-5)))*-5)))/-5)--5)+(-5*(((40.32*(40.32-(-5/-5)))*(40.32-(40.32/(-5*40.32))))-(-5/-5)))))</f>
        <v>324594.15904000006</v>
      </c>
      <c r="C14033" t="n" s="0">
        <v>324594.15904</v>
      </c>
    </row>
    <row r="14034">
      <c r="A14034" t="n" s="0">
        <v>40.33</v>
      </c>
      <c r="B14034" t="n" s="0">
        <f>(-5-((((-5*(-5/((-5/(((-5*(40.33--5))-(-5+((-5*40.33)*(((-5--5)+(40.33--5))+40.33))))-(-5+-5)))*-5)))/-5)--5)+(-5*(((40.33*(40.33-(-5/-5)))*(40.33-(40.33/(-5*40.33))))-(-5/-5)))))</f>
        <v>324836.49188499997</v>
      </c>
      <c r="C14034" t="n" s="0">
        <v>324836.49188499997</v>
      </c>
    </row>
    <row r="14035">
      <c r="A14035" t="n" s="0">
        <v>40.34</v>
      </c>
      <c r="B14035" t="n" s="0">
        <f>(-5-((((-5*(-5/((-5/(((-5*(40.34--5))-(-5+((-5*40.34)*(((-5--5)+(40.34--5))+40.34))))-(-5+-5)))*-5)))/-5)--5)+(-5*(((40.34*(40.34-(-5/-5)))*(40.34-(40.34/(-5*40.34))))-(-5/-5)))))</f>
        <v>325078.94532</v>
      </c>
      <c r="C14035" t="n" s="0">
        <v>325078.9453200001</v>
      </c>
    </row>
    <row r="14036">
      <c r="A14036" t="n" s="0">
        <v>40.35</v>
      </c>
      <c r="B14036" t="n" s="0">
        <f>(-5-((((-5*(-5/((-5/(((-5*(40.35--5))-(-5+((-5*40.35)*(((-5--5)+(40.35--5))+40.35))))-(-5+-5)))*-5)))/-5)--5)+(-5*(((40.35*(40.35-(-5/-5)))*(40.35-(40.35/(-5*40.35))))-(-5/-5)))))</f>
        <v>325321.51937500003</v>
      </c>
      <c r="C14036" t="n" s="0">
        <v>325321.51937500003</v>
      </c>
    </row>
    <row r="14037">
      <c r="A14037" t="n" s="0">
        <v>40.36</v>
      </c>
      <c r="B14037" t="n" s="0">
        <f>(-5-((((-5*(-5/((-5/(((-5*(40.36--5))-(-5+((-5*40.36)*(((-5--5)+(40.36--5))+40.36))))-(-5+-5)))*-5)))/-5)--5)+(-5*(((40.36*(40.36-(-5/-5)))*(40.36-(40.36/(-5*40.36))))-(-5/-5)))))</f>
        <v>325564.21408</v>
      </c>
      <c r="C14037" t="n" s="0">
        <v>325564.21408</v>
      </c>
    </row>
    <row r="14038">
      <c r="A14038" t="n" s="0">
        <v>40.37</v>
      </c>
      <c r="B14038" t="n" s="0">
        <f>(-5-((((-5*(-5/((-5/(((-5*(40.37--5))-(-5+((-5*40.37)*(((-5--5)+(40.37--5))+40.37))))-(-5+-5)))*-5)))/-5)--5)+(-5*(((40.37*(40.37-(-5/-5)))*(40.37-(40.37/(-5*40.37))))-(-5/-5)))))</f>
        <v>325807.029465</v>
      </c>
      <c r="C14038" t="n" s="0">
        <v>325807.0294649999</v>
      </c>
    </row>
    <row r="14039">
      <c r="A14039" t="n" s="0">
        <v>40.38</v>
      </c>
      <c r="B14039" t="n" s="0">
        <f>(-5-((((-5*(-5/((-5/(((-5*(40.38--5))-(-5+((-5*40.38)*(((-5--5)+(40.38--5))+40.38))))-(-5+-5)))*-5)))/-5)--5)+(-5*(((40.38*(40.38-(-5/-5)))*(40.38-(40.38/(-5*40.38))))-(-5/-5)))))</f>
        <v>326049.96556</v>
      </c>
      <c r="C14039" t="n" s="0">
        <v>326049.96556000004</v>
      </c>
    </row>
    <row r="14040">
      <c r="A14040" t="n" s="0">
        <v>40.39</v>
      </c>
      <c r="B14040" t="n" s="0">
        <f>(-5-((((-5*(-5/((-5/(((-5*(40.39--5))-(-5+((-5*40.39)*(((-5--5)+(40.39--5))+40.39))))-(-5+-5)))*-5)))/-5)--5)+(-5*(((40.39*(40.39-(-5/-5)))*(40.39-(40.39/(-5*40.39))))-(-5/-5)))))</f>
        <v>326293.022395</v>
      </c>
      <c r="C14040" t="n" s="0">
        <v>326293.022395</v>
      </c>
    </row>
    <row r="14041">
      <c r="A14041" t="n" s="0">
        <v>40.4</v>
      </c>
      <c r="B14041" t="n" s="0">
        <f>(-5-((((-5*(-5/((-5/(((-5*(40.4--5))-(-5+((-5*40.4)*(((-5--5)+(40.4--5))+40.4))))-(-5+-5)))*-5)))/-5)--5)+(-5*(((40.4*(40.4-(-5/-5)))*(40.4-(40.4/(-5*40.4))))-(-5/-5)))))</f>
        <v>326536.2</v>
      </c>
      <c r="C14041" t="n" s="0">
        <v>326536.19999999995</v>
      </c>
    </row>
    <row r="14042">
      <c r="A14042" t="n" s="0">
        <v>40.41</v>
      </c>
      <c r="B14042" t="n" s="0">
        <f>(-5-((((-5*(-5/((-5/(((-5*(40.41--5))-(-5+((-5*40.41)*(((-5--5)+(40.41--5))+40.41))))-(-5+-5)))*-5)))/-5)--5)+(-5*(((40.41*(40.41-(-5/-5)))*(40.41-(40.41/(-5*40.41))))-(-5/-5)))))</f>
        <v>326779.498405</v>
      </c>
      <c r="C14042" t="n" s="0">
        <v>326779.49840499996</v>
      </c>
    </row>
    <row r="14043">
      <c r="A14043" t="n" s="0">
        <v>40.42</v>
      </c>
      <c r="B14043" t="n" s="0">
        <f>(-5-((((-5*(-5/((-5/(((-5*(40.42--5))-(-5+((-5*40.42)*(((-5--5)+(40.42--5))+40.42))))-(-5+-5)))*-5)))/-5)--5)+(-5*(((40.42*(40.42-(-5/-5)))*(40.42-(40.42/(-5*40.42))))-(-5/-5)))))</f>
        <v>327022.91764</v>
      </c>
      <c r="C14043" t="n" s="0">
        <v>327022.91764000006</v>
      </c>
    </row>
    <row r="14044">
      <c r="A14044" t="n" s="0">
        <v>40.43</v>
      </c>
      <c r="B14044" t="n" s="0">
        <f>(-5-((((-5*(-5/((-5/(((-5*(40.43--5))-(-5+((-5*40.43)*(((-5--5)+(40.43--5))+40.43))))-(-5+-5)))*-5)))/-5)--5)+(-5*(((40.43*(40.43-(-5/-5)))*(40.43-(40.43/(-5*40.43))))-(-5/-5)))))</f>
        <v>327266.457735</v>
      </c>
      <c r="C14044" t="n" s="0">
        <v>327266.457735</v>
      </c>
    </row>
    <row r="14045">
      <c r="A14045" t="n" s="0">
        <v>40.44</v>
      </c>
      <c r="B14045" t="n" s="0">
        <f>(-5-((((-5*(-5/((-5/(((-5*(40.44--5))-(-5+((-5*40.44)*(((-5--5)+(40.44--5))+40.44))))-(-5+-5)))*-5)))/-5)--5)+(-5*(((40.44*(40.44-(-5/-5)))*(40.44-(40.44/(-5*40.44))))-(-5/-5)))))</f>
        <v>327510.11871999997</v>
      </c>
      <c r="C14045" t="n" s="0">
        <v>327510.1187199999</v>
      </c>
    </row>
    <row r="14046">
      <c r="A14046" t="n" s="0">
        <v>40.45</v>
      </c>
      <c r="B14046" t="n" s="0">
        <f>(-5-((((-5*(-5/((-5/(((-5*(40.45--5))-(-5+((-5*40.45)*(((-5--5)+(40.45--5))+40.45))))-(-5+-5)))*-5)))/-5)--5)+(-5*(((40.45*(40.45-(-5/-5)))*(40.45-(40.45/(-5*40.45))))-(-5/-5)))))</f>
        <v>327753.900625</v>
      </c>
      <c r="C14046" t="n" s="0">
        <v>327753.900625</v>
      </c>
    </row>
    <row r="14047">
      <c r="A14047" t="n" s="0">
        <v>40.46</v>
      </c>
      <c r="B14047" t="n" s="0">
        <f>(-5-((((-5*(-5/((-5/(((-5*(40.46--5))-(-5+((-5*40.46)*(((-5--5)+(40.46--5))+40.46))))-(-5+-5)))*-5)))/-5)--5)+(-5*(((40.46*(40.46-(-5/-5)))*(40.46-(40.46/(-5*40.46))))-(-5/-5)))))</f>
        <v>327997.80348</v>
      </c>
      <c r="C14047" t="n" s="0">
        <v>327997.80348</v>
      </c>
    </row>
    <row r="14048">
      <c r="A14048" t="n" s="0">
        <v>40.47</v>
      </c>
      <c r="B14048" t="n" s="0">
        <f>(-5-((((-5*(-5/((-5/(((-5*(40.47--5))-(-5+((-5*40.47)*(((-5--5)+(40.47--5))+40.47))))-(-5+-5)))*-5)))/-5)--5)+(-5*(((40.47*(40.47-(-5/-5)))*(40.47-(40.47/(-5*40.47))))-(-5/-5)))))</f>
        <v>328241.827315</v>
      </c>
      <c r="C14048" t="n" s="0">
        <v>328241.827315</v>
      </c>
    </row>
    <row r="14049">
      <c r="A14049" t="n" s="0">
        <v>40.48</v>
      </c>
      <c r="B14049" t="n" s="0">
        <f>(-5-((((-5*(-5/((-5/(((-5*(40.48--5))-(-5+((-5*40.48)*(((-5--5)+(40.48--5))+40.48))))-(-5+-5)))*-5)))/-5)--5)+(-5*(((40.48*(40.48-(-5/-5)))*(40.48-(40.48/(-5*40.48))))-(-5/-5)))))</f>
        <v>328485.97215999995</v>
      </c>
      <c r="C14049" t="n" s="0">
        <v>328485.97215999995</v>
      </c>
    </row>
    <row r="14050">
      <c r="A14050" t="n" s="0">
        <v>40.49</v>
      </c>
      <c r="B14050" t="n" s="0">
        <f>(-5-((((-5*(-5/((-5/(((-5*(40.49--5))-(-5+((-5*40.49)*(((-5--5)+(40.49--5))+40.49))))-(-5+-5)))*-5)))/-5)--5)+(-5*(((40.49*(40.49-(-5/-5)))*(40.49-(40.49/(-5*40.49))))-(-5/-5)))))</f>
        <v>328730.238045</v>
      </c>
      <c r="C14050" t="n" s="0">
        <v>328730.238045</v>
      </c>
    </row>
    <row r="14051">
      <c r="A14051" t="n" s="0">
        <v>40.5</v>
      </c>
      <c r="B14051" t="n" s="0">
        <f>(-5-((((-5*(-5/((-5/(((-5*(40.5--5))-(-5+((-5*40.5)*(((-5--5)+(40.5--5))+40.5))))-(-5+-5)))*-5)))/-5)--5)+(-5*(((40.5*(40.5-(-5/-5)))*(40.5-(40.5/(-5*40.5))))-(-5/-5)))))</f>
        <v>328974.625</v>
      </c>
      <c r="C14051" t="n" s="0">
        <v>328974.625</v>
      </c>
    </row>
    <row r="14052">
      <c r="A14052" t="n" s="0">
        <v>40.51</v>
      </c>
      <c r="B14052" t="n" s="0">
        <f>(-5-((((-5*(-5/((-5/(((-5*(40.51--5))-(-5+((-5*40.51)*(((-5--5)+(40.51--5))+40.51))))-(-5+-5)))*-5)))/-5)--5)+(-5*(((40.51*(40.51-(-5/-5)))*(40.51-(40.51/(-5*40.51))))-(-5/-5)))))</f>
        <v>329219.13305500004</v>
      </c>
      <c r="C14052" t="n" s="0">
        <v>329219.133055</v>
      </c>
    </row>
    <row r="14053">
      <c r="A14053" t="n" s="0">
        <v>40.52</v>
      </c>
      <c r="B14053" t="n" s="0">
        <f>(-5-((((-5*(-5/((-5/(((-5*(40.52--5))-(-5+((-5*40.52)*(((-5--5)+(40.52--5))+40.52))))-(-5+-5)))*-5)))/-5)--5)+(-5*(((40.52*(40.52-(-5/-5)))*(40.52-(40.52/(-5*40.52))))-(-5/-5)))))</f>
        <v>329463.76224000007</v>
      </c>
      <c r="C14053" t="n" s="0">
        <v>329463.76224000007</v>
      </c>
    </row>
    <row r="14054">
      <c r="A14054" t="n" s="0">
        <v>40.53</v>
      </c>
      <c r="B14054" t="n" s="0">
        <f>(-5-((((-5*(-5/((-5/(((-5*(40.53--5))-(-5+((-5*40.53)*(((-5--5)+(40.53--5))+40.53))))-(-5+-5)))*-5)))/-5)--5)+(-5*(((40.53*(40.53-(-5/-5)))*(40.53-(40.53/(-5*40.53))))-(-5/-5)))))</f>
        <v>329708.512585</v>
      </c>
      <c r="C14054" t="n" s="0">
        <v>329708.512585</v>
      </c>
    </row>
    <row r="14055">
      <c r="A14055" t="n" s="0">
        <v>40.54</v>
      </c>
      <c r="B14055" t="n" s="0">
        <f>(-5-((((-5*(-5/((-5/(((-5*(40.54--5))-(-5+((-5*40.54)*(((-5--5)+(40.54--5))+40.54))))-(-5+-5)))*-5)))/-5)--5)+(-5*(((40.54*(40.54-(-5/-5)))*(40.54-(40.54/(-5*40.54))))-(-5/-5)))))</f>
        <v>329953.38412</v>
      </c>
      <c r="C14055" t="n" s="0">
        <v>329953.38412</v>
      </c>
    </row>
    <row r="14056">
      <c r="A14056" t="n" s="0">
        <v>40.55</v>
      </c>
      <c r="B14056" t="n" s="0">
        <f>(-5-((((-5*(-5/((-5/(((-5*(40.55--5))-(-5+((-5*40.55)*(((-5--5)+(40.55--5))+40.55))))-(-5+-5)))*-5)))/-5)--5)+(-5*(((40.55*(40.55-(-5/-5)))*(40.55-(40.55/(-5*40.55))))-(-5/-5)))))</f>
        <v>330198.376875</v>
      </c>
      <c r="C14056" t="n" s="0">
        <v>330198.37687499996</v>
      </c>
    </row>
    <row r="14057">
      <c r="A14057" t="n" s="0">
        <v>40.56</v>
      </c>
      <c r="B14057" t="n" s="0">
        <f>(-5-((((-5*(-5/((-5/(((-5*(40.56--5))-(-5+((-5*40.56)*(((-5--5)+(40.56--5))+40.56))))-(-5+-5)))*-5)))/-5)--5)+(-5*(((40.56*(40.56-(-5/-5)))*(40.56-(40.56/(-5*40.56))))-(-5/-5)))))</f>
        <v>330443.49087999994</v>
      </c>
      <c r="C14057" t="n" s="0">
        <v>330443.49088</v>
      </c>
    </row>
    <row r="14058">
      <c r="A14058" t="n" s="0">
        <v>40.57</v>
      </c>
      <c r="B14058" t="n" s="0">
        <f>(-5-((((-5*(-5/((-5/(((-5*(40.57--5))-(-5+((-5*40.57)*(((-5--5)+(40.57--5))+40.57))))-(-5+-5)))*-5)))/-5)--5)+(-5*(((40.57*(40.57-(-5/-5)))*(40.57-(40.57/(-5*40.57))))-(-5/-5)))))</f>
        <v>330688.726165</v>
      </c>
      <c r="C14058" t="n" s="0">
        <v>330688.726165</v>
      </c>
    </row>
    <row r="14059">
      <c r="A14059" t="n" s="0">
        <v>40.58</v>
      </c>
      <c r="B14059" t="n" s="0">
        <f>(-5-((((-5*(-5/((-5/(((-5*(40.58--5))-(-5+((-5*40.58)*(((-5--5)+(40.58--5))+40.58))))-(-5+-5)))*-5)))/-5)--5)+(-5*(((40.58*(40.58-(-5/-5)))*(40.58-(40.58/(-5*40.58))))-(-5/-5)))))</f>
        <v>330934.08276</v>
      </c>
      <c r="C14059" t="n" s="0">
        <v>330934.08275999996</v>
      </c>
    </row>
    <row r="14060">
      <c r="A14060" t="n" s="0">
        <v>40.59</v>
      </c>
      <c r="B14060" t="n" s="0">
        <f>(-5-((((-5*(-5/((-5/(((-5*(40.59--5))-(-5+((-5*40.59)*(((-5--5)+(40.59--5))+40.59))))-(-5+-5)))*-5)))/-5)--5)+(-5*(((40.59*(40.59-(-5/-5)))*(40.59-(40.59/(-5*40.59))))-(-5/-5)))))</f>
        <v>331179.560695</v>
      </c>
      <c r="C14060" t="n" s="0">
        <v>331179.5606950001</v>
      </c>
    </row>
    <row r="14061">
      <c r="A14061" t="n" s="0">
        <v>40.6</v>
      </c>
      <c r="B14061" t="n" s="0">
        <f>(-5-((((-5*(-5/((-5/(((-5*(40.6--5))-(-5+((-5*40.6)*(((-5--5)+(40.6--5))+40.6))))-(-5+-5)))*-5)))/-5)--5)+(-5*(((40.6*(40.6-(-5/-5)))*(40.6-(40.6/(-5*40.6))))-(-5/-5)))))</f>
        <v>331425.16</v>
      </c>
      <c r="C14061" t="n" s="0">
        <v>331425.1600000001</v>
      </c>
    </row>
    <row r="14062">
      <c r="A14062" t="n" s="0">
        <v>40.61</v>
      </c>
      <c r="B14062" t="n" s="0">
        <f>(-5-((((-5*(-5/((-5/(((-5*(40.61--5))-(-5+((-5*40.61)*(((-5--5)+(40.61--5))+40.61))))-(-5+-5)))*-5)))/-5)--5)+(-5*(((40.61*(40.61-(-5/-5)))*(40.61-(40.61/(-5*40.61))))-(-5/-5)))))</f>
        <v>331670.880705</v>
      </c>
      <c r="C14062" t="n" s="0">
        <v>331670.880705</v>
      </c>
    </row>
    <row r="14063">
      <c r="A14063" t="n" s="0">
        <v>40.62</v>
      </c>
      <c r="B14063" t="n" s="0">
        <f>(-5-((((-5*(-5/((-5/(((-5*(40.62--5))-(-5+((-5*40.62)*(((-5--5)+(40.62--5))+40.62))))-(-5+-5)))*-5)))/-5)--5)+(-5*(((40.62*(40.62-(-5/-5)))*(40.62-(40.62/(-5*40.62))))-(-5/-5)))))</f>
        <v>331916.72284</v>
      </c>
      <c r="C14063" t="n" s="0">
        <v>331916.72283999994</v>
      </c>
    </row>
    <row r="14064">
      <c r="A14064" t="n" s="0">
        <v>40.63</v>
      </c>
      <c r="B14064" t="n" s="0">
        <f>(-5-((((-5*(-5/((-5/(((-5*(40.63--5))-(-5+((-5*40.63)*(((-5--5)+(40.63--5))+40.63))))-(-5+-5)))*-5)))/-5)--5)+(-5*(((40.63*(40.63-(-5/-5)))*(40.63-(40.63/(-5*40.63))))-(-5/-5)))))</f>
        <v>332162.686435</v>
      </c>
      <c r="C14064" t="n" s="0">
        <v>332162.6864350001</v>
      </c>
    </row>
    <row r="14065">
      <c r="A14065" t="n" s="0">
        <v>40.64</v>
      </c>
      <c r="B14065" t="n" s="0">
        <f>(-5-((((-5*(-5/((-5/(((-5*(40.64--5))-(-5+((-5*40.64)*(((-5--5)+(40.64--5))+40.64))))-(-5+-5)))*-5)))/-5)--5)+(-5*(((40.64*(40.64-(-5/-5)))*(40.64-(40.64/(-5*40.64))))-(-5/-5)))))</f>
        <v>332408.77152000007</v>
      </c>
      <c r="C14065" t="n" s="0">
        <v>332408.77152000007</v>
      </c>
    </row>
    <row r="14066">
      <c r="A14066" t="n" s="0">
        <v>40.65</v>
      </c>
      <c r="B14066" t="n" s="0">
        <f>(-5-((((-5*(-5/((-5/(((-5*(40.65--5))-(-5+((-5*40.65)*(((-5--5)+(40.65--5))+40.65))))-(-5+-5)))*-5)))/-5)--5)+(-5*(((40.65*(40.65-(-5/-5)))*(40.65-(40.65/(-5*40.65))))-(-5/-5)))))</f>
        <v>332654.978125</v>
      </c>
      <c r="C14066" t="n" s="0">
        <v>332654.97812499997</v>
      </c>
    </row>
    <row r="14067">
      <c r="A14067" t="n" s="0">
        <v>40.66</v>
      </c>
      <c r="B14067" t="n" s="0">
        <f>(-5-((((-5*(-5/((-5/(((-5*(40.66--5))-(-5+((-5*40.66)*(((-5--5)+(40.66--5))+40.66))))-(-5+-5)))*-5)))/-5)--5)+(-5*(((40.66*(40.66-(-5/-5)))*(40.66-(40.66/(-5*40.66))))-(-5/-5)))))</f>
        <v>332901.30628</v>
      </c>
      <c r="C14067" t="n" s="0">
        <v>332901.30627999996</v>
      </c>
    </row>
    <row r="14068">
      <c r="A14068" t="n" s="0">
        <v>40.67</v>
      </c>
      <c r="B14068" t="n" s="0">
        <f>(-5-((((-5*(-5/((-5/(((-5*(40.67--5))-(-5+((-5*40.67)*(((-5--5)+(40.67--5))+40.67))))-(-5+-5)))*-5)))/-5)--5)+(-5*(((40.67*(40.67-(-5/-5)))*(40.67-(40.67/(-5*40.67))))-(-5/-5)))))</f>
        <v>333147.756015</v>
      </c>
      <c r="C14068" t="n" s="0">
        <v>333147.75601500005</v>
      </c>
    </row>
    <row r="14069">
      <c r="A14069" t="n" s="0">
        <v>40.68</v>
      </c>
      <c r="B14069" t="n" s="0">
        <f>(-5-((((-5*(-5/((-5/(((-5*(40.68--5))-(-5+((-5*40.68)*(((-5--5)+(40.68--5))+40.68))))-(-5+-5)))*-5)))/-5)--5)+(-5*(((40.68*(40.68-(-5/-5)))*(40.68-(40.68/(-5*40.68))))-(-5/-5)))))</f>
        <v>333394.32736</v>
      </c>
      <c r="C14069" t="n" s="0">
        <v>333394.32735999994</v>
      </c>
    </row>
    <row r="14070">
      <c r="A14070" t="n" s="0">
        <v>40.69</v>
      </c>
      <c r="B14070" t="n" s="0">
        <f>(-5-((((-5*(-5/((-5/(((-5*(40.69--5))-(-5+((-5*40.69)*(((-5--5)+(40.69--5))+40.69))))-(-5+-5)))*-5)))/-5)--5)+(-5*(((40.69*(40.69-(-5/-5)))*(40.69-(40.69/(-5*40.69))))-(-5/-5)))))</f>
        <v>333641.02034499997</v>
      </c>
      <c r="C14070" t="n" s="0">
        <v>333641.0203449999</v>
      </c>
    </row>
    <row r="14071">
      <c r="A14071" t="n" s="0">
        <v>40.7</v>
      </c>
      <c r="B14071" t="n" s="0">
        <f>(-5-((((-5*(-5/((-5/(((-5*(40.7--5))-(-5+((-5*40.7)*(((-5--5)+(40.7--5))+40.7))))-(-5+-5)))*-5)))/-5)--5)+(-5*(((40.7*(40.7-(-5/-5)))*(40.7-(40.7/(-5*40.7))))-(-5/-5)))))</f>
        <v>333887.835</v>
      </c>
      <c r="C14071" t="n" s="0">
        <v>333887.8350000001</v>
      </c>
    </row>
    <row r="14072">
      <c r="A14072" t="n" s="0">
        <v>40.71</v>
      </c>
      <c r="B14072" t="n" s="0">
        <f>(-5-((((-5*(-5/((-5/(((-5*(40.71--5))-(-5+((-5*40.71)*(((-5--5)+(40.71--5))+40.71))))-(-5+-5)))*-5)))/-5)--5)+(-5*(((40.71*(40.71-(-5/-5)))*(40.71-(40.71/(-5*40.71))))-(-5/-5)))))</f>
        <v>334134.771355</v>
      </c>
      <c r="C14072" t="n" s="0">
        <v>334134.771355</v>
      </c>
    </row>
    <row r="14073">
      <c r="A14073" t="n" s="0">
        <v>40.72</v>
      </c>
      <c r="B14073" t="n" s="0">
        <f>(-5-((((-5*(-5/((-5/(((-5*(40.72--5))-(-5+((-5*40.72)*(((-5--5)+(40.72--5))+40.72))))-(-5+-5)))*-5)))/-5)--5)+(-5*(((40.72*(40.72-(-5/-5)))*(40.72-(40.72/(-5*40.72))))-(-5/-5)))))</f>
        <v>334381.82944</v>
      </c>
      <c r="C14073" t="n" s="0">
        <v>334381.8294399999</v>
      </c>
    </row>
    <row r="14074">
      <c r="A14074" t="n" s="0">
        <v>40.73</v>
      </c>
      <c r="B14074" t="n" s="0">
        <f>(-5-((((-5*(-5/((-5/(((-5*(40.73--5))-(-5+((-5*40.73)*(((-5--5)+(40.73--5))+40.73))))-(-5+-5)))*-5)))/-5)--5)+(-5*(((40.73*(40.73-(-5/-5)))*(40.73-(40.73/(-5*40.73))))-(-5/-5)))))</f>
        <v>334629.00928500004</v>
      </c>
      <c r="C14074" t="n" s="0">
        <v>334629.00928499986</v>
      </c>
    </row>
    <row r="14075">
      <c r="A14075" t="n" s="0">
        <v>40.74</v>
      </c>
      <c r="B14075" t="n" s="0">
        <f>(-5-((((-5*(-5/((-5/(((-5*(40.74--5))-(-5+((-5*40.74)*(((-5--5)+(40.74--5))+40.74))))-(-5+-5)))*-5)))/-5)--5)+(-5*(((40.74*(40.74-(-5/-5)))*(40.74-(40.74/(-5*40.74))))-(-5/-5)))))</f>
        <v>334876.31092</v>
      </c>
      <c r="C14075" t="n" s="0">
        <v>334876.3109200001</v>
      </c>
    </row>
    <row r="14076">
      <c r="A14076" t="n" s="0">
        <v>40.75</v>
      </c>
      <c r="B14076" t="n" s="0">
        <f>(-5-((((-5*(-5/((-5/(((-5*(40.75--5))-(-5+((-5*40.75)*(((-5--5)+(40.75--5))+40.75))))-(-5+-5)))*-5)))/-5)--5)+(-5*(((40.75*(40.75-(-5/-5)))*(40.75-(40.75/(-5*40.75))))-(-5/-5)))))</f>
        <v>335123.734375</v>
      </c>
      <c r="C14076" t="n" s="0">
        <v>335123.734375</v>
      </c>
    </row>
    <row r="14077">
      <c r="A14077" t="n" s="0">
        <v>40.76</v>
      </c>
      <c r="B14077" t="n" s="0">
        <f>(-5-((((-5*(-5/((-5/(((-5*(40.76--5))-(-5+((-5*40.76)*(((-5--5)+(40.76--5))+40.76))))-(-5+-5)))*-5)))/-5)--5)+(-5*(((40.76*(40.76-(-5/-5)))*(40.76-(40.76/(-5*40.76))))-(-5/-5)))))</f>
        <v>335371.27968</v>
      </c>
      <c r="C14077" t="n" s="0">
        <v>335371.27968</v>
      </c>
    </row>
    <row r="14078">
      <c r="A14078" t="n" s="0">
        <v>40.77</v>
      </c>
      <c r="B14078" t="n" s="0">
        <f>(-5-((((-5*(-5/((-5/(((-5*(40.77--5))-(-5+((-5*40.77)*(((-5--5)+(40.77--5))+40.77))))-(-5+-5)))*-5)))/-5)--5)+(-5*(((40.77*(40.77-(-5/-5)))*(40.77-(40.77/(-5*40.77))))-(-5/-5)))))</f>
        <v>335618.946865</v>
      </c>
      <c r="C14078" t="n" s="0">
        <v>335618.9468650001</v>
      </c>
    </row>
    <row r="14079">
      <c r="A14079" t="n" s="0">
        <v>40.78</v>
      </c>
      <c r="B14079" t="n" s="0">
        <f>(-5-((((-5*(-5/((-5/(((-5*(40.78--5))-(-5+((-5*40.78)*(((-5--5)+(40.78--5))+40.78))))-(-5+-5)))*-5)))/-5)--5)+(-5*(((40.78*(40.78-(-5/-5)))*(40.78-(40.78/(-5*40.78))))-(-5/-5)))))</f>
        <v>335866.73595999996</v>
      </c>
      <c r="C14079" t="n" s="0">
        <v>335866.73596</v>
      </c>
    </row>
    <row r="14080">
      <c r="A14080" t="n" s="0">
        <v>40.79</v>
      </c>
      <c r="B14080" t="n" s="0">
        <f>(-5-((((-5*(-5/((-5/(((-5*(40.79--5))-(-5+((-5*40.79)*(((-5--5)+(40.79--5))+40.79))))-(-5+-5)))*-5)))/-5)--5)+(-5*(((40.79*(40.79-(-5/-5)))*(40.79-(40.79/(-5*40.79))))-(-5/-5)))))</f>
        <v>336114.646995</v>
      </c>
      <c r="C14080" t="n" s="0">
        <v>336114.646995</v>
      </c>
    </row>
    <row r="14081">
      <c r="A14081" t="n" s="0">
        <v>40.8</v>
      </c>
      <c r="B14081" t="n" s="0">
        <f>(-5-((((-5*(-5/((-5/(((-5*(40.8--5))-(-5+((-5*40.8)*(((-5--5)+(40.8--5))+40.8))))-(-5+-5)))*-5)))/-5)--5)+(-5*(((40.8*(40.8-(-5/-5)))*(40.8-(40.8/(-5*40.8))))-(-5/-5)))))</f>
        <v>336362.68</v>
      </c>
      <c r="C14081" t="n" s="0">
        <v>336362.67999999993</v>
      </c>
    </row>
    <row r="14082">
      <c r="A14082" t="n" s="0">
        <v>40.81</v>
      </c>
      <c r="B14082" t="n" s="0">
        <f>(-5-((((-5*(-5/((-5/(((-5*(40.81--5))-(-5+((-5*40.81)*(((-5--5)+(40.81--5))+40.81))))-(-5+-5)))*-5)))/-5)--5)+(-5*(((40.81*(40.81-(-5/-5)))*(40.81-(40.81/(-5*40.81))))-(-5/-5)))))</f>
        <v>336610.835005</v>
      </c>
      <c r="C14082" t="n" s="0">
        <v>336610.83500500006</v>
      </c>
    </row>
    <row r="14083">
      <c r="A14083" t="n" s="0">
        <v>40.82</v>
      </c>
      <c r="B14083" t="n" s="0">
        <f>(-5-((((-5*(-5/((-5/(((-5*(40.82--5))-(-5+((-5*40.82)*(((-5--5)+(40.82--5))+40.82))))-(-5+-5)))*-5)))/-5)--5)+(-5*(((40.82*(40.82-(-5/-5)))*(40.82-(40.82/(-5*40.82))))-(-5/-5)))))</f>
        <v>336859.11204</v>
      </c>
      <c r="C14083" t="n" s="0">
        <v>336859.11204000004</v>
      </c>
    </row>
    <row r="14084">
      <c r="A14084" t="n" s="0">
        <v>40.83</v>
      </c>
      <c r="B14084" t="n" s="0">
        <f>(-5-((((-5*(-5/((-5/(((-5*(40.83--5))-(-5+((-5*40.83)*(((-5--5)+(40.83--5))+40.83))))-(-5+-5)))*-5)))/-5)--5)+(-5*(((40.83*(40.83-(-5/-5)))*(40.83-(40.83/(-5*40.83))))-(-5/-5)))))</f>
        <v>337107.51113500004</v>
      </c>
      <c r="C14084" t="n" s="0">
        <v>337107.511135</v>
      </c>
    </row>
    <row r="14085">
      <c r="A14085" t="n" s="0">
        <v>40.84</v>
      </c>
      <c r="B14085" t="n" s="0">
        <f>(-5-((((-5*(-5/((-5/(((-5*(40.84--5))-(-5+((-5*40.84)*(((-5--5)+(40.84--5))+40.84))))-(-5+-5)))*-5)))/-5)--5)+(-5*(((40.84*(40.84-(-5/-5)))*(40.84-(40.84/(-5*40.84))))-(-5/-5)))))</f>
        <v>337356.03232</v>
      </c>
      <c r="C14085" t="n" s="0">
        <v>337356.0323200001</v>
      </c>
    </row>
    <row r="14086">
      <c r="A14086" t="n" s="0">
        <v>40.85</v>
      </c>
      <c r="B14086" t="n" s="0">
        <f>(-5-((((-5*(-5/((-5/(((-5*(40.85--5))-(-5+((-5*40.85)*(((-5--5)+(40.85--5))+40.85))))-(-5+-5)))*-5)))/-5)--5)+(-5*(((40.85*(40.85-(-5/-5)))*(40.85-(40.85/(-5*40.85))))-(-5/-5)))))</f>
        <v>337604.675625</v>
      </c>
      <c r="C14086" t="n" s="0">
        <v>337604.67562500003</v>
      </c>
    </row>
    <row r="14087">
      <c r="A14087" t="n" s="0">
        <v>40.86</v>
      </c>
      <c r="B14087" t="n" s="0">
        <f>(-5-((((-5*(-5/((-5/(((-5*(40.86--5))-(-5+((-5*40.86)*(((-5--5)+(40.86--5))+40.86))))-(-5+-5)))*-5)))/-5)--5)+(-5*(((40.86*(40.86-(-5/-5)))*(40.86-(40.86/(-5*40.86))))-(-5/-5)))))</f>
        <v>337853.44107999996</v>
      </c>
      <c r="C14087" t="n" s="0">
        <v>337853.44108</v>
      </c>
    </row>
    <row r="14088">
      <c r="A14088" t="n" s="0">
        <v>40.87</v>
      </c>
      <c r="B14088" t="n" s="0">
        <f>(-5-((((-5*(-5/((-5/(((-5*(40.87--5))-(-5+((-5*40.87)*(((-5--5)+(40.87--5))+40.87))))-(-5+-5)))*-5)))/-5)--5)+(-5*(((40.87*(40.87-(-5/-5)))*(40.87-(40.87/(-5*40.87))))-(-5/-5)))))</f>
        <v>338102.328715</v>
      </c>
      <c r="C14088" t="n" s="0">
        <v>338102.32871499995</v>
      </c>
    </row>
    <row r="14089">
      <c r="A14089" t="n" s="0">
        <v>40.88</v>
      </c>
      <c r="B14089" t="n" s="0">
        <f>(-5-((((-5*(-5/((-5/(((-5*(40.88--5))-(-5+((-5*40.88)*(((-5--5)+(40.88--5))+40.88))))-(-5+-5)))*-5)))/-5)--5)+(-5*(((40.88*(40.88-(-5/-5)))*(40.88-(40.88/(-5*40.88))))-(-5/-5)))))</f>
        <v>338351.33856</v>
      </c>
      <c r="C14089" t="n" s="0">
        <v>338351.3385600001</v>
      </c>
    </row>
    <row r="14090">
      <c r="A14090" t="n" s="0">
        <v>40.89</v>
      </c>
      <c r="B14090" t="n" s="0">
        <f>(-5-((((-5*(-5/((-5/(((-5*(40.89--5))-(-5+((-5*40.89)*(((-5--5)+(40.89--5))+40.89))))-(-5+-5)))*-5)))/-5)--5)+(-5*(((40.89*(40.89-(-5/-5)))*(40.89-(40.89/(-5*40.89))))-(-5/-5)))))</f>
        <v>338600.470645</v>
      </c>
      <c r="C14090" t="n" s="0">
        <v>338600.470645</v>
      </c>
    </row>
    <row r="14091">
      <c r="A14091" t="n" s="0">
        <v>40.9</v>
      </c>
      <c r="B14091" t="n" s="0">
        <f>(-5-((((-5*(-5/((-5/(((-5*(40.9--5))-(-5+((-5*40.9)*(((-5--5)+(40.9--5))+40.9))))-(-5+-5)))*-5)))/-5)--5)+(-5*(((40.9*(40.9-(-5/-5)))*(40.9-(40.9/(-5*40.9))))-(-5/-5)))))</f>
        <v>338849.725</v>
      </c>
      <c r="C14091" t="n" s="0">
        <v>338849.725</v>
      </c>
    </row>
    <row r="14092">
      <c r="A14092" t="n" s="0">
        <v>40.91</v>
      </c>
      <c r="B14092" t="n" s="0">
        <f>(-5-((((-5*(-5/((-5/(((-5*(40.91--5))-(-5+((-5*40.91)*(((-5--5)+(40.91--5))+40.91))))-(-5+-5)))*-5)))/-5)--5)+(-5*(((40.91*(40.91-(-5/-5)))*(40.91-(40.91/(-5*40.91))))-(-5/-5)))))</f>
        <v>339099.101655</v>
      </c>
      <c r="C14092" t="n" s="0">
        <v>339099.1016549999</v>
      </c>
    </row>
    <row r="14093">
      <c r="A14093" t="n" s="0">
        <v>40.92</v>
      </c>
      <c r="B14093" t="n" s="0">
        <f>(-5-((((-5*(-5/((-5/(((-5*(40.92--5))-(-5+((-5*40.92)*(((-5--5)+(40.92--5))+40.92))))-(-5+-5)))*-5)))/-5)--5)+(-5*(((40.92*(40.92-(-5/-5)))*(40.92-(40.92/(-5*40.92))))-(-5/-5)))))</f>
        <v>339348.60064</v>
      </c>
      <c r="C14093" t="n" s="0">
        <v>339348.6006400001</v>
      </c>
    </row>
    <row r="14094">
      <c r="A14094" t="n" s="0">
        <v>40.93</v>
      </c>
      <c r="B14094" t="n" s="0">
        <f>(-5-((((-5*(-5/((-5/(((-5*(40.93--5))-(-5+((-5*40.93)*(((-5--5)+(40.93--5))+40.93))))-(-5+-5)))*-5)))/-5)--5)+(-5*(((40.93*(40.93-(-5/-5)))*(40.93-(40.93/(-5*40.93))))-(-5/-5)))))</f>
        <v>339598.221985</v>
      </c>
      <c r="C14094" t="n" s="0">
        <v>339598.22198499995</v>
      </c>
    </row>
    <row r="14095">
      <c r="A14095" t="n" s="0">
        <v>40.94</v>
      </c>
      <c r="B14095" t="n" s="0">
        <f>(-5-((((-5*(-5/((-5/(((-5*(40.94--5))-(-5+((-5*40.94)*(((-5--5)+(40.94--5))+40.94))))-(-5+-5)))*-5)))/-5)--5)+(-5*(((40.94*(40.94-(-5/-5)))*(40.94-(40.94/(-5*40.94))))-(-5/-5)))))</f>
        <v>339847.96572</v>
      </c>
      <c r="C14095" t="n" s="0">
        <v>339847.9657199999</v>
      </c>
    </row>
    <row r="14096">
      <c r="A14096" t="n" s="0">
        <v>40.95</v>
      </c>
      <c r="B14096" t="n" s="0">
        <f>(-5-((((-5*(-5/((-5/(((-5*(40.95--5))-(-5+((-5*40.95)*(((-5--5)+(40.95--5))+40.95))))-(-5+-5)))*-5)))/-5)--5)+(-5*(((40.95*(40.95-(-5/-5)))*(40.95-(40.95/(-5*40.95))))-(-5/-5)))))</f>
        <v>340097.831875</v>
      </c>
      <c r="C14096" t="n" s="0">
        <v>340097.83187500003</v>
      </c>
    </row>
    <row r="14097">
      <c r="A14097" t="n" s="0">
        <v>40.96</v>
      </c>
      <c r="B14097" t="n" s="0">
        <f>(-5-((((-5*(-5/((-5/(((-5*(40.96--5))-(-5+((-5*40.96)*(((-5--5)+(40.96--5))+40.96))))-(-5+-5)))*-5)))/-5)--5)+(-5*(((40.96*(40.96-(-5/-5)))*(40.96-(40.96/(-5*40.96))))-(-5/-5)))))</f>
        <v>340347.82048</v>
      </c>
      <c r="C14097" t="n" s="0">
        <v>340347.8204800001</v>
      </c>
    </row>
    <row r="14098">
      <c r="A14098" t="n" s="0">
        <v>40.97</v>
      </c>
      <c r="B14098" t="n" s="0">
        <f>(-5-((((-5*(-5/((-5/(((-5*(40.97--5))-(-5+((-5*40.97)*(((-5--5)+(40.97--5))+40.97))))-(-5+-5)))*-5)))/-5)--5)+(-5*(((40.97*(40.97-(-5/-5)))*(40.97-(40.97/(-5*40.97))))-(-5/-5)))))</f>
        <v>340597.931565</v>
      </c>
      <c r="C14098" t="n" s="0">
        <v>340597.931565</v>
      </c>
    </row>
    <row r="14099">
      <c r="A14099" t="n" s="0">
        <v>40.98</v>
      </c>
      <c r="B14099" t="n" s="0">
        <f>(-5-((((-5*(-5/((-5/(((-5*(40.98--5))-(-5+((-5*40.98)*(((-5--5)+(40.98--5))+40.98))))-(-5+-5)))*-5)))/-5)--5)+(-5*(((40.98*(40.98-(-5/-5)))*(40.98-(40.98/(-5*40.98))))-(-5/-5)))))</f>
        <v>340848.16516</v>
      </c>
      <c r="C14099" t="n" s="0">
        <v>340848.1651599999</v>
      </c>
    </row>
    <row r="14100">
      <c r="A14100" t="n" s="0">
        <v>40.99</v>
      </c>
      <c r="B14100" t="n" s="0">
        <f>(-5-((((-5*(-5/((-5/(((-5*(40.99--5))-(-5+((-5*40.99)*(((-5--5)+(40.99--5))+40.99))))-(-5+-5)))*-5)))/-5)--5)+(-5*(((40.99*(40.99-(-5/-5)))*(40.99-(40.99/(-5*40.99))))-(-5/-5)))))</f>
        <v>341098.52129500004</v>
      </c>
      <c r="C14100" t="n" s="0">
        <v>341098.52129500004</v>
      </c>
    </row>
    <row r="14101">
      <c r="A14101" t="n" s="0">
        <v>41.0</v>
      </c>
      <c r="B14101" t="n" s="0">
        <f>(-5-((((-5*(-5/((-5/(((-5*(41--5))-(-5+((-5*41)*(((-5--5)+(41--5))+41))))-(-5+-5)))*-5)))/-5)--5)+(-5*(((41*(41-(-5/-5)))*(41-(41/(-5*41))))-(-5/-5)))))</f>
        <v>341349.0</v>
      </c>
      <c r="C14101" t="n" s="0">
        <v>341349.0</v>
      </c>
    </row>
    <row r="14102">
      <c r="A14102" t="n" s="0">
        <v>41.01</v>
      </c>
      <c r="B14102" t="n" s="0">
        <f>(-5-((((-5*(-5/((-5/(((-5*(41.01--5))-(-5+((-5*41.01)*(((-5--5)+(41.01--5))+41.01))))-(-5+-5)))*-5)))/-5)--5)+(-5*(((41.01*(41.01-(-5/-5)))*(41.01-(41.01/(-5*41.01))))-(-5/-5)))))</f>
        <v>341599.601305</v>
      </c>
      <c r="C14102" t="n" s="0">
        <v>341599.60130499996</v>
      </c>
    </row>
    <row r="14103">
      <c r="A14103" t="n" s="0">
        <v>41.02</v>
      </c>
      <c r="B14103" t="n" s="0">
        <f>(-5-((((-5*(-5/((-5/(((-5*(41.02--5))-(-5+((-5*41.02)*(((-5--5)+(41.02--5))+41.02))))-(-5+-5)))*-5)))/-5)--5)+(-5*(((41.02*(41.02-(-5/-5)))*(41.02-(41.02/(-5*41.02))))-(-5/-5)))))</f>
        <v>341850.32524000003</v>
      </c>
      <c r="C14103" t="n" s="0">
        <v>341850.32524000003</v>
      </c>
    </row>
    <row r="14104">
      <c r="A14104" t="n" s="0">
        <v>41.03</v>
      </c>
      <c r="B14104" t="n" s="0">
        <f>(-5-((((-5*(-5/((-5/(((-5*(41.03--5))-(-5+((-5*41.03)*(((-5--5)+(41.03--5))+41.03))))-(-5+-5)))*-5)))/-5)--5)+(-5*(((41.03*(41.03-(-5/-5)))*(41.03-(41.03/(-5*41.03))))-(-5/-5)))))</f>
        <v>342101.171835</v>
      </c>
      <c r="C14104" t="n" s="0">
        <v>342101.171835</v>
      </c>
    </row>
    <row r="14105">
      <c r="A14105" t="n" s="0">
        <v>41.04</v>
      </c>
      <c r="B14105" t="n" s="0">
        <f>(-5-((((-5*(-5/((-5/(((-5*(41.04--5))-(-5+((-5*41.04)*(((-5--5)+(41.04--5))+41.04))))-(-5+-5)))*-5)))/-5)--5)+(-5*(((41.04*(41.04-(-5/-5)))*(41.04-(41.04/(-5*41.04))))-(-5/-5)))))</f>
        <v>342352.14112</v>
      </c>
      <c r="C14105" t="n" s="0">
        <v>342352.14112000004</v>
      </c>
    </row>
    <row r="14106">
      <c r="A14106" t="n" s="0">
        <v>41.05</v>
      </c>
      <c r="B14106" t="n" s="0">
        <f>(-5-((((-5*(-5/((-5/(((-5*(41.05--5))-(-5+((-5*41.05)*(((-5--5)+(41.05--5))+41.05))))-(-5+-5)))*-5)))/-5)--5)+(-5*(((41.05*(41.05-(-5/-5)))*(41.05-(41.05/(-5*41.05))))-(-5/-5)))))</f>
        <v>342603.233125</v>
      </c>
      <c r="C14106" t="n" s="0">
        <v>342603.2331249999</v>
      </c>
    </row>
    <row r="14107">
      <c r="A14107" t="n" s="0">
        <v>41.06</v>
      </c>
      <c r="B14107" t="n" s="0">
        <f>(-5-((((-5*(-5/((-5/(((-5*(41.06--5))-(-5+((-5*41.06)*(((-5--5)+(41.06--5))+41.06))))-(-5+-5)))*-5)))/-5)--5)+(-5*(((41.06*(41.06-(-5/-5)))*(41.06-(41.06/(-5*41.06))))-(-5/-5)))))</f>
        <v>342854.44788</v>
      </c>
      <c r="C14107" t="n" s="0">
        <v>342854.44788</v>
      </c>
    </row>
    <row r="14108">
      <c r="A14108" t="n" s="0">
        <v>41.07</v>
      </c>
      <c r="B14108" t="n" s="0">
        <f>(-5-((((-5*(-5/((-5/(((-5*(41.07--5))-(-5+((-5*41.07)*(((-5--5)+(41.07--5))+41.07))))-(-5+-5)))*-5)))/-5)--5)+(-5*(((41.07*(41.07-(-5/-5)))*(41.07-(41.07/(-5*41.07))))-(-5/-5)))))</f>
        <v>343105.785415</v>
      </c>
      <c r="C14108" t="n" s="0">
        <v>343105.78541500005</v>
      </c>
    </row>
    <row r="14109">
      <c r="A14109" t="n" s="0">
        <v>41.08</v>
      </c>
      <c r="B14109" t="n" s="0">
        <f>(-5-((((-5*(-5/((-5/(((-5*(41.08--5))-(-5+((-5*41.08)*(((-5--5)+(41.08--5))+41.08))))-(-5+-5)))*-5)))/-5)--5)+(-5*(((41.08*(41.08-(-5/-5)))*(41.08-(41.08/(-5*41.08))))-(-5/-5)))))</f>
        <v>343357.24576</v>
      </c>
      <c r="C14109" t="n" s="0">
        <v>343357.24575999996</v>
      </c>
    </row>
    <row r="14110">
      <c r="A14110" t="n" s="0">
        <v>41.09</v>
      </c>
      <c r="B14110" t="n" s="0">
        <f>(-5-((((-5*(-5/((-5/(((-5*(41.09--5))-(-5+((-5*41.09)*(((-5--5)+(41.09--5))+41.09))))-(-5+-5)))*-5)))/-5)--5)+(-5*(((41.09*(41.09-(-5/-5)))*(41.09-(41.09/(-5*41.09))))-(-5/-5)))))</f>
        <v>343608.828945</v>
      </c>
      <c r="C14110" t="n" s="0">
        <v>343608.8289450001</v>
      </c>
    </row>
    <row r="14111">
      <c r="A14111" t="n" s="0">
        <v>41.1</v>
      </c>
      <c r="B14111" t="n" s="0">
        <f>(-5-((((-5*(-5/((-5/(((-5*(41.1--5))-(-5+((-5*41.1)*(((-5--5)+(41.1--5))+41.1))))-(-5+-5)))*-5)))/-5)--5)+(-5*(((41.1*(41.1-(-5/-5)))*(41.1-(41.1/(-5*41.1))))-(-5/-5)))))</f>
        <v>343860.53500000003</v>
      </c>
      <c r="C14111" t="n" s="0">
        <v>343860.53500000003</v>
      </c>
    </row>
    <row r="14112">
      <c r="A14112" t="n" s="0">
        <v>41.11</v>
      </c>
      <c r="B14112" t="n" s="0">
        <f>(-5-((((-5*(-5/((-5/(((-5*(41.11--5))-(-5+((-5*41.11)*(((-5--5)+(41.11--5))+41.11))))-(-5+-5)))*-5)))/-5)--5)+(-5*(((41.11*(41.11-(-5/-5)))*(41.11-(41.11/(-5*41.11))))-(-5/-5)))))</f>
        <v>344112.363955</v>
      </c>
      <c r="C14112" t="n" s="0">
        <v>344112.363955</v>
      </c>
    </row>
    <row r="14113">
      <c r="A14113" t="n" s="0">
        <v>41.12</v>
      </c>
      <c r="B14113" t="n" s="0">
        <f>(-5-((((-5*(-5/((-5/(((-5*(41.12--5))-(-5+((-5*41.12)*(((-5--5)+(41.12--5))+41.12))))-(-5+-5)))*-5)))/-5)--5)+(-5*(((41.12*(41.12-(-5/-5)))*(41.12-(41.12/(-5*41.12))))-(-5/-5)))))</f>
        <v>344364.31584</v>
      </c>
      <c r="C14113" t="n" s="0">
        <v>344364.3158399999</v>
      </c>
    </row>
    <row r="14114">
      <c r="A14114" t="n" s="0">
        <v>41.13</v>
      </c>
      <c r="B14114" t="n" s="0">
        <f>(-5-((((-5*(-5/((-5/(((-5*(41.13--5))-(-5+((-5*41.13)*(((-5--5)+(41.13--5))+41.13))))-(-5+-5)))*-5)))/-5)--5)+(-5*(((41.13*(41.13-(-5/-5)))*(41.13-(41.13/(-5*41.13))))-(-5/-5)))))</f>
        <v>344616.390685</v>
      </c>
      <c r="C14114" t="n" s="0">
        <v>344616.3906850001</v>
      </c>
    </row>
    <row r="14115">
      <c r="A14115" t="n" s="0">
        <v>41.14</v>
      </c>
      <c r="B14115" t="n" s="0">
        <f>(-5-((((-5*(-5/((-5/(((-5*(41.14--5))-(-5+((-5*41.14)*(((-5--5)+(41.14--5))+41.14))))-(-5+-5)))*-5)))/-5)--5)+(-5*(((41.14*(41.14-(-5/-5)))*(41.14-(41.14/(-5*41.14))))-(-5/-5)))))</f>
        <v>344868.58852</v>
      </c>
      <c r="C14115" t="n" s="0">
        <v>344868.58852</v>
      </c>
    </row>
    <row r="14116">
      <c r="A14116" t="n" s="0">
        <v>41.15</v>
      </c>
      <c r="B14116" t="n" s="0">
        <f>(-5-((((-5*(-5/((-5/(((-5*(41.15--5))-(-5+((-5*41.15)*(((-5--5)+(41.15--5))+41.15))))-(-5+-5)))*-5)))/-5)--5)+(-5*(((41.15*(41.15-(-5/-5)))*(41.15-(41.15/(-5*41.15))))-(-5/-5)))))</f>
        <v>345120.909375</v>
      </c>
      <c r="C14116" t="n" s="0">
        <v>345120.909375</v>
      </c>
    </row>
    <row r="14117">
      <c r="A14117" t="n" s="0">
        <v>41.16</v>
      </c>
      <c r="B14117" t="n" s="0">
        <f>(-5-((((-5*(-5/((-5/(((-5*(41.16--5))-(-5+((-5*41.16)*(((-5--5)+(41.16--5))+41.16))))-(-5+-5)))*-5)))/-5)--5)+(-5*(((41.16*(41.16-(-5/-5)))*(41.16-(41.16/(-5*41.16))))-(-5/-5)))))</f>
        <v>345373.35328</v>
      </c>
      <c r="C14117" t="n" s="0">
        <v>345373.3532799999</v>
      </c>
    </row>
    <row r="14118">
      <c r="A14118" t="n" s="0">
        <v>41.17</v>
      </c>
      <c r="B14118" t="n" s="0">
        <f>(-5-((((-5*(-5/((-5/(((-5*(41.17--5))-(-5+((-5*41.17)*(((-5--5)+(41.17--5))+41.17))))-(-5+-5)))*-5)))/-5)--5)+(-5*(((41.17*(41.17-(-5/-5)))*(41.17-(41.17/(-5*41.17))))-(-5/-5)))))</f>
        <v>345625.920265</v>
      </c>
      <c r="C14118" t="n" s="0">
        <v>345625.920265</v>
      </c>
    </row>
    <row r="14119">
      <c r="A14119" t="n" s="0">
        <v>41.18</v>
      </c>
      <c r="B14119" t="n" s="0">
        <f>(-5-((((-5*(-5/((-5/(((-5*(41.18--5))-(-5+((-5*41.18)*(((-5--5)+(41.18--5))+41.18))))-(-5+-5)))*-5)))/-5)--5)+(-5*(((41.18*(41.18-(-5/-5)))*(41.18-(41.18/(-5*41.18))))-(-5/-5)))))</f>
        <v>345878.61036</v>
      </c>
      <c r="C14119" t="n" s="0">
        <v>345878.61035999993</v>
      </c>
    </row>
    <row r="14120">
      <c r="A14120" t="n" s="0">
        <v>41.19</v>
      </c>
      <c r="B14120" t="n" s="0">
        <f>(-5-((((-5*(-5/((-5/(((-5*(41.19--5))-(-5+((-5*41.19)*(((-5--5)+(41.19--5))+41.19))))-(-5+-5)))*-5)))/-5)--5)+(-5*(((41.19*(41.19-(-5/-5)))*(41.19-(41.19/(-5*41.19))))-(-5/-5)))))</f>
        <v>346131.423595</v>
      </c>
      <c r="C14120" t="n" s="0">
        <v>346131.42359499994</v>
      </c>
    </row>
    <row r="14121">
      <c r="A14121" t="n" s="0">
        <v>41.2</v>
      </c>
      <c r="B14121" t="n" s="0">
        <f>(-5-((((-5*(-5/((-5/(((-5*(41.2--5))-(-5+((-5*41.2)*(((-5--5)+(41.2--5))+41.2))))-(-5+-5)))*-5)))/-5)--5)+(-5*(((41.2*(41.2-(-5/-5)))*(41.2-(41.2/(-5*41.2))))-(-5/-5)))))</f>
        <v>346384.36</v>
      </c>
      <c r="C14121" t="n" s="0">
        <v>346384.3600000001</v>
      </c>
    </row>
    <row r="14122">
      <c r="A14122" t="n" s="0">
        <v>41.21</v>
      </c>
      <c r="B14122" t="n" s="0">
        <f>(-5-((((-5*(-5/((-5/(((-5*(41.21--5))-(-5+((-5*41.21)*(((-5--5)+(41.21--5))+41.21))))-(-5+-5)))*-5)))/-5)--5)+(-5*(((41.21*(41.21-(-5/-5)))*(41.21-(41.21/(-5*41.21))))-(-5/-5)))))</f>
        <v>346637.419605</v>
      </c>
      <c r="C14122" t="n" s="0">
        <v>346637.41960500006</v>
      </c>
    </row>
    <row r="14123">
      <c r="A14123" t="n" s="0">
        <v>41.22</v>
      </c>
      <c r="B14123" t="n" s="0">
        <f>(-5-((((-5*(-5/((-5/(((-5*(41.22--5))-(-5+((-5*41.22)*(((-5--5)+(41.22--5))+41.22))))-(-5+-5)))*-5)))/-5)--5)+(-5*(((41.22*(41.22-(-5/-5)))*(41.22-(41.22/(-5*41.22))))-(-5/-5)))))</f>
        <v>346890.60244000005</v>
      </c>
      <c r="C14123" t="n" s="0">
        <v>346890.60243999993</v>
      </c>
    </row>
    <row r="14124">
      <c r="A14124" t="n" s="0">
        <v>41.23</v>
      </c>
      <c r="B14124" t="n" s="0">
        <f>(-5-((((-5*(-5/((-5/(((-5*(41.23--5))-(-5+((-5*41.23)*(((-5--5)+(41.23--5))+41.23))))-(-5+-5)))*-5)))/-5)--5)+(-5*(((41.23*(41.23-(-5/-5)))*(41.23-(41.23/(-5*41.23))))-(-5/-5)))))</f>
        <v>347143.908535</v>
      </c>
      <c r="C14124" t="n" s="0">
        <v>347143.908535</v>
      </c>
    </row>
    <row r="14125">
      <c r="A14125" t="n" s="0">
        <v>41.24</v>
      </c>
      <c r="B14125" t="n" s="0">
        <f>(-5-((((-5*(-5/((-5/(((-5*(41.24--5))-(-5+((-5*41.24)*(((-5--5)+(41.24--5))+41.24))))-(-5+-5)))*-5)))/-5)--5)+(-5*(((41.24*(41.24-(-5/-5)))*(41.24-(41.24/(-5*41.24))))-(-5/-5)))))</f>
        <v>347397.33792</v>
      </c>
      <c r="C14125" t="n" s="0">
        <v>347397.3379200001</v>
      </c>
    </row>
    <row r="14126">
      <c r="A14126" t="n" s="0">
        <v>41.25</v>
      </c>
      <c r="B14126" t="n" s="0">
        <f>(-5-((((-5*(-5/((-5/(((-5*(41.25--5))-(-5+((-5*41.25)*(((-5--5)+(41.25--5))+41.25))))-(-5+-5)))*-5)))/-5)--5)+(-5*(((41.25*(41.25-(-5/-5)))*(41.25-(41.25/(-5*41.25))))-(-5/-5)))))</f>
        <v>347650.890625</v>
      </c>
      <c r="C14126" t="n" s="0">
        <v>347650.890625</v>
      </c>
    </row>
    <row r="14127">
      <c r="A14127" t="n" s="0">
        <v>41.26</v>
      </c>
      <c r="B14127" t="n" s="0">
        <f>(-5-((((-5*(-5/((-5/(((-5*(41.26--5))-(-5+((-5*41.26)*(((-5--5)+(41.26--5))+41.26))))-(-5+-5)))*-5)))/-5)--5)+(-5*(((41.26*(41.26-(-5/-5)))*(41.26-(41.26/(-5*41.26))))-(-5/-5)))))</f>
        <v>347904.56668</v>
      </c>
      <c r="C14127" t="n" s="0">
        <v>347904.56668</v>
      </c>
    </row>
    <row r="14128">
      <c r="A14128" t="n" s="0">
        <v>41.27</v>
      </c>
      <c r="B14128" t="n" s="0">
        <f>(-5-((((-5*(-5/((-5/(((-5*(41.27--5))-(-5+((-5*41.27)*(((-5--5)+(41.27--5))+41.27))))-(-5+-5)))*-5)))/-5)--5)+(-5*(((41.27*(41.27-(-5/-5)))*(41.27-(41.27/(-5*41.27))))-(-5/-5)))))</f>
        <v>348158.366115</v>
      </c>
      <c r="C14128" t="n" s="0">
        <v>348158.36611500004</v>
      </c>
    </row>
    <row r="14129">
      <c r="A14129" t="n" s="0">
        <v>41.28</v>
      </c>
      <c r="B14129" t="n" s="0">
        <f>(-5-((((-5*(-5/((-5/(((-5*(41.28--5))-(-5+((-5*41.28)*(((-5--5)+(41.28--5))+41.28))))-(-5+-5)))*-5)))/-5)--5)+(-5*(((41.28*(41.28-(-5/-5)))*(41.28-(41.28/(-5*41.28))))-(-5/-5)))))</f>
        <v>348412.28896</v>
      </c>
      <c r="C14129" t="n" s="0">
        <v>348412.2889600001</v>
      </c>
    </row>
    <row r="14130">
      <c r="A14130" t="n" s="0">
        <v>41.29</v>
      </c>
      <c r="B14130" t="n" s="0">
        <f>(-5-((((-5*(-5/((-5/(((-5*(41.29--5))-(-5+((-5*41.29)*(((-5--5)+(41.29--5))+41.29))))-(-5+-5)))*-5)))/-5)--5)+(-5*(((41.29*(41.29-(-5/-5)))*(41.29-(41.29/(-5*41.29))))-(-5/-5)))))</f>
        <v>348666.335245</v>
      </c>
      <c r="C14130" t="n" s="0">
        <v>348666.33524499997</v>
      </c>
    </row>
    <row r="14131">
      <c r="A14131" t="n" s="0">
        <v>41.3</v>
      </c>
      <c r="B14131" t="n" s="0">
        <f>(-5-((((-5*(-5/((-5/(((-5*(41.3--5))-(-5+((-5*41.3)*(((-5--5)+(41.3--5))+41.3))))-(-5+-5)))*-5)))/-5)--5)+(-5*(((41.3*(41.3-(-5/-5)))*(41.3-(41.3/(-5*41.3))))-(-5/-5)))))</f>
        <v>348920.505</v>
      </c>
      <c r="C14131" t="n" s="0">
        <v>348920.50499999995</v>
      </c>
    </row>
    <row r="14132">
      <c r="A14132" t="n" s="0">
        <v>41.31</v>
      </c>
      <c r="B14132" t="n" s="0">
        <f>(-5-((((-5*(-5/((-5/(((-5*(41.31--5))-(-5+((-5*41.31)*(((-5--5)+(41.31--5))+41.31))))-(-5+-5)))*-5)))/-5)--5)+(-5*(((41.31*(41.31-(-5/-5)))*(41.31-(41.31/(-5*41.31))))-(-5/-5)))))</f>
        <v>349174.79825500003</v>
      </c>
      <c r="C14132" t="n" s="0">
        <v>349174.7982550001</v>
      </c>
    </row>
    <row r="14133">
      <c r="A14133" t="n" s="0">
        <v>41.32</v>
      </c>
      <c r="B14133" t="n" s="0">
        <f>(-5-((((-5*(-5/((-5/(((-5*(41.32--5))-(-5+((-5*41.32)*(((-5--5)+(41.32--5))+41.32))))-(-5+-5)))*-5)))/-5)--5)+(-5*(((41.32*(41.32-(-5/-5)))*(41.32-(41.32/(-5*41.32))))-(-5/-5)))))</f>
        <v>349429.21504</v>
      </c>
      <c r="C14133" t="n" s="0">
        <v>349429.21504000004</v>
      </c>
    </row>
    <row r="14134">
      <c r="A14134" t="n" s="0">
        <v>41.33</v>
      </c>
      <c r="B14134" t="n" s="0">
        <f>(-5-((((-5*(-5/((-5/(((-5*(41.33--5))-(-5+((-5*41.33)*(((-5--5)+(41.33--5))+41.33))))-(-5+-5)))*-5)))/-5)--5)+(-5*(((41.33*(41.33-(-5/-5)))*(41.33-(41.33/(-5*41.33))))-(-5/-5)))))</f>
        <v>349683.75538499997</v>
      </c>
      <c r="C14134" t="n" s="0">
        <v>349683.7553849999</v>
      </c>
    </row>
    <row r="14135">
      <c r="A14135" t="n" s="0">
        <v>41.34</v>
      </c>
      <c r="B14135" t="n" s="0">
        <f>(-5-((((-5*(-5/((-5/(((-5*(41.34--5))-(-5+((-5*41.34)*(((-5--5)+(41.34--5))+41.34))))-(-5+-5)))*-5)))/-5)--5)+(-5*(((41.34*(41.34-(-5/-5)))*(41.34-(41.34/(-5*41.34))))-(-5/-5)))))</f>
        <v>349938.41932000004</v>
      </c>
      <c r="C14135" t="n" s="0">
        <v>349938.4193200001</v>
      </c>
    </row>
    <row r="14136">
      <c r="A14136" t="n" s="0">
        <v>41.35</v>
      </c>
      <c r="B14136" t="n" s="0">
        <f>(-5-((((-5*(-5/((-5/(((-5*(41.35--5))-(-5+((-5*41.35)*(((-5--5)+(41.35--5))+41.35))))-(-5+-5)))*-5)))/-5)--5)+(-5*(((41.35*(41.35-(-5/-5)))*(41.35-(41.35/(-5*41.35))))-(-5/-5)))))</f>
        <v>350193.206875</v>
      </c>
      <c r="C14136" t="n" s="0">
        <v>350193.206875</v>
      </c>
    </row>
    <row r="14137">
      <c r="A14137" t="n" s="0">
        <v>41.36</v>
      </c>
      <c r="B14137" t="n" s="0">
        <f>(-5-((((-5*(-5/((-5/(((-5*(41.36--5))-(-5+((-5*41.36)*(((-5--5)+(41.36--5))+41.36))))-(-5+-5)))*-5)))/-5)--5)+(-5*(((41.36*(41.36-(-5/-5)))*(41.36-(41.36/(-5*41.36))))-(-5/-5)))))</f>
        <v>350448.11808</v>
      </c>
      <c r="C14137" t="n" s="0">
        <v>350448.11808</v>
      </c>
    </row>
    <row r="14138">
      <c r="A14138" t="n" s="0">
        <v>41.37</v>
      </c>
      <c r="B14138" t="n" s="0">
        <f>(-5-((((-5*(-5/((-5/(((-5*(41.37--5))-(-5+((-5*41.37)*(((-5--5)+(41.37--5))+41.37))))-(-5+-5)))*-5)))/-5)--5)+(-5*(((41.37*(41.37-(-5/-5)))*(41.37-(41.37/(-5*41.37))))-(-5/-5)))))</f>
        <v>350703.152965</v>
      </c>
      <c r="C14138" t="n" s="0">
        <v>350703.1529649999</v>
      </c>
    </row>
    <row r="14139">
      <c r="A14139" t="n" s="0">
        <v>41.38</v>
      </c>
      <c r="B14139" t="n" s="0">
        <f>(-5-((((-5*(-5/((-5/(((-5*(41.38--5))-(-5+((-5*41.38)*(((-5--5)+(41.38--5))+41.38))))-(-5+-5)))*-5)))/-5)--5)+(-5*(((41.38*(41.38-(-5/-5)))*(41.38-(41.38/(-5*41.38))))-(-5/-5)))))</f>
        <v>350958.31156</v>
      </c>
      <c r="C14139" t="n" s="0">
        <v>350958.3115600001</v>
      </c>
    </row>
    <row r="14140">
      <c r="A14140" t="n" s="0">
        <v>41.39</v>
      </c>
      <c r="B14140" t="n" s="0">
        <f>(-5-((((-5*(-5/((-5/(((-5*(41.39--5))-(-5+((-5*41.39)*(((-5--5)+(41.39--5))+41.39))))-(-5+-5)))*-5)))/-5)--5)+(-5*(((41.39*(41.39-(-5/-5)))*(41.39-(41.39/(-5*41.39))))-(-5/-5)))))</f>
        <v>351213.59389500006</v>
      </c>
      <c r="C14140" t="n" s="0">
        <v>351213.59389500006</v>
      </c>
    </row>
    <row r="14141">
      <c r="A14141" t="n" s="0">
        <v>41.4</v>
      </c>
      <c r="B14141" t="n" s="0">
        <f>(-5-((((-5*(-5/((-5/(((-5*(41.4--5))-(-5+((-5*41.4)*(((-5--5)+(41.4--5))+41.4))))-(-5+-5)))*-5)))/-5)--5)+(-5*(((41.4*(41.4-(-5/-5)))*(41.4-(41.4/(-5*41.4))))-(-5/-5)))))</f>
        <v>351469.0</v>
      </c>
      <c r="C14141" t="n" s="0">
        <v>351469.0</v>
      </c>
    </row>
    <row r="14142">
      <c r="A14142" t="n" s="0">
        <v>41.41</v>
      </c>
      <c r="B14142" t="n" s="0">
        <f>(-5-((((-5*(-5/((-5/(((-5*(41.41--5))-(-5+((-5*41.41)*(((-5--5)+(41.41--5))+41.41))))-(-5+-5)))*-5)))/-5)--5)+(-5*(((41.41*(41.41-(-5/-5)))*(41.41-(41.41/(-5*41.41))))-(-5/-5)))))</f>
        <v>351724.529905</v>
      </c>
      <c r="C14142" t="n" s="0">
        <v>351724.5299049999</v>
      </c>
    </row>
    <row r="14143">
      <c r="A14143" t="n" s="0">
        <v>41.42</v>
      </c>
      <c r="B14143" t="n" s="0">
        <f>(-5-((((-5*(-5/((-5/(((-5*(41.42--5))-(-5+((-5*41.42)*(((-5--5)+(41.42--5))+41.42))))-(-5+-5)))*-5)))/-5)--5)+(-5*(((41.42*(41.42-(-5/-5)))*(41.42-(41.42/(-5*41.42))))-(-5/-5)))))</f>
        <v>351980.18364</v>
      </c>
      <c r="C14143" t="n" s="0">
        <v>351980.18364000006</v>
      </c>
    </row>
    <row r="14144">
      <c r="A14144" t="n" s="0">
        <v>41.43</v>
      </c>
      <c r="B14144" t="n" s="0">
        <f>(-5-((((-5*(-5/((-5/(((-5*(41.43--5))-(-5+((-5*41.43)*(((-5--5)+(41.43--5))+41.43))))-(-5+-5)))*-5)))/-5)--5)+(-5*(((41.43*(41.43-(-5/-5)))*(41.43-(41.43/(-5*41.43))))-(-5/-5)))))</f>
        <v>352235.96123500005</v>
      </c>
      <c r="C14144" t="n" s="0">
        <v>352235.96123499994</v>
      </c>
    </row>
    <row r="14145">
      <c r="A14145" t="n" s="0">
        <v>41.44</v>
      </c>
      <c r="B14145" t="n" s="0">
        <f>(-5-((((-5*(-5/((-5/(((-5*(41.44--5))-(-5+((-5*41.44)*(((-5--5)+(41.44--5))+41.44))))-(-5+-5)))*-5)))/-5)--5)+(-5*(((41.44*(41.44-(-5/-5)))*(41.44-(41.44/(-5*41.44))))-(-5/-5)))))</f>
        <v>352491.86272</v>
      </c>
      <c r="C14145" t="n" s="0">
        <v>352491.86272</v>
      </c>
    </row>
    <row r="14146">
      <c r="A14146" t="n" s="0">
        <v>41.45</v>
      </c>
      <c r="B14146" t="n" s="0">
        <f>(-5-((((-5*(-5/((-5/(((-5*(41.45--5))-(-5+((-5*41.45)*(((-5--5)+(41.45--5))+41.45))))-(-5+-5)))*-5)))/-5)--5)+(-5*(((41.45*(41.45-(-5/-5)))*(41.45-(41.45/(-5*41.45))))-(-5/-5)))))</f>
        <v>352747.888125</v>
      </c>
      <c r="C14146" t="n" s="0">
        <v>352747.888125</v>
      </c>
    </row>
    <row r="14147">
      <c r="A14147" t="n" s="0">
        <v>41.46</v>
      </c>
      <c r="B14147" t="n" s="0">
        <f>(-5-((((-5*(-5/((-5/(((-5*(41.46--5))-(-5+((-5*41.46)*(((-5--5)+(41.46--5))+41.46))))-(-5+-5)))*-5)))/-5)--5)+(-5*(((41.46*(41.46-(-5/-5)))*(41.46-(41.46/(-5*41.46))))-(-5/-5)))))</f>
        <v>353004.03748000006</v>
      </c>
      <c r="C14147" t="n" s="0">
        <v>353004.03747999994</v>
      </c>
    </row>
    <row r="14148">
      <c r="A14148" t="n" s="0">
        <v>41.47</v>
      </c>
      <c r="B14148" t="n" s="0">
        <f>(-5-((((-5*(-5/((-5/(((-5*(41.47--5))-(-5+((-5*41.47)*(((-5--5)+(41.47--5))+41.47))))-(-5+-5)))*-5)))/-5)--5)+(-5*(((41.47*(41.47-(-5/-5)))*(41.47-(41.47/(-5*41.47))))-(-5/-5)))))</f>
        <v>353260.310815</v>
      </c>
      <c r="C14148" t="n" s="0">
        <v>353260.3108149999</v>
      </c>
    </row>
    <row r="14149">
      <c r="A14149" t="n" s="0">
        <v>41.48</v>
      </c>
      <c r="B14149" t="n" s="0">
        <f>(-5-((((-5*(-5/((-5/(((-5*(41.48--5))-(-5+((-5*41.48)*(((-5--5)+(41.48--5))+41.48))))-(-5+-5)))*-5)))/-5)--5)+(-5*(((41.48*(41.48-(-5/-5)))*(41.48-(41.48/(-5*41.48))))-(-5/-5)))))</f>
        <v>353516.70816000004</v>
      </c>
      <c r="C14149" t="n" s="0">
        <v>353516.70816</v>
      </c>
    </row>
    <row r="14150">
      <c r="A14150" t="n" s="0">
        <v>41.49</v>
      </c>
      <c r="B14150" t="n" s="0">
        <f>(-5-((((-5*(-5/((-5/(((-5*(41.49--5))-(-5+((-5*41.49)*(((-5--5)+(41.49--5))+41.49))))-(-5+-5)))*-5)))/-5)--5)+(-5*(((41.49*(41.49-(-5/-5)))*(41.49-(41.49/(-5*41.49))))-(-5/-5)))))</f>
        <v>353773.229545</v>
      </c>
      <c r="C14150" t="n" s="0">
        <v>353773.229545</v>
      </c>
    </row>
    <row r="14151">
      <c r="A14151" t="n" s="0">
        <v>41.5</v>
      </c>
      <c r="B14151" t="n" s="0">
        <f>(-5-((((-5*(-5/((-5/(((-5*(41.5--5))-(-5+((-5*41.5)*(((-5--5)+(41.5--5))+41.5))))-(-5+-5)))*-5)))/-5)--5)+(-5*(((41.5*(41.5-(-5/-5)))*(41.5-(41.5/(-5*41.5))))-(-5/-5)))))</f>
        <v>354029.875</v>
      </c>
      <c r="C14151" t="n" s="0">
        <v>354029.875</v>
      </c>
    </row>
    <row r="14152">
      <c r="A14152" t="n" s="0">
        <v>41.51</v>
      </c>
      <c r="B14152" t="n" s="0">
        <f>(-5-((((-5*(-5/((-5/(((-5*(41.51--5))-(-5+((-5*41.51)*(((-5--5)+(41.51--5))+41.51))))-(-5+-5)))*-5)))/-5)--5)+(-5*(((41.51*(41.51-(-5/-5)))*(41.51-(41.51/(-5*41.51))))-(-5/-5)))))</f>
        <v>354286.64455499995</v>
      </c>
      <c r="C14152" t="n" s="0">
        <v>354286.64455499995</v>
      </c>
    </row>
    <row r="14153">
      <c r="A14153" t="n" s="0">
        <v>41.52</v>
      </c>
      <c r="B14153" t="n" s="0">
        <f>(-5-((((-5*(-5/((-5/(((-5*(41.52--5))-(-5+((-5*41.52)*(((-5--5)+(41.52--5))+41.52))))-(-5+-5)))*-5)))/-5)--5)+(-5*(((41.52*(41.52-(-5/-5)))*(41.52-(41.52/(-5*41.52))))-(-5/-5)))))</f>
        <v>354543.53824</v>
      </c>
      <c r="C14153" t="n" s="0">
        <v>354543.5382400001</v>
      </c>
    </row>
    <row r="14154">
      <c r="A14154" t="n" s="0">
        <v>41.53</v>
      </c>
      <c r="B14154" t="n" s="0">
        <f>(-5-((((-5*(-5/((-5/(((-5*(41.53--5))-(-5+((-5*41.53)*(((-5--5)+(41.53--5))+41.53))))-(-5+-5)))*-5)))/-5)--5)+(-5*(((41.53*(41.53-(-5/-5)))*(41.53-(41.53/(-5*41.53))))-(-5/-5)))))</f>
        <v>354800.556085</v>
      </c>
      <c r="C14154" t="n" s="0">
        <v>354800.55608500005</v>
      </c>
    </row>
    <row r="14155">
      <c r="A14155" t="n" s="0">
        <v>41.54</v>
      </c>
      <c r="B14155" t="n" s="0">
        <f>(-5-((((-5*(-5/((-5/(((-5*(41.54--5))-(-5+((-5*41.54)*(((-5--5)+(41.54--5))+41.54))))-(-5+-5)))*-5)))/-5)--5)+(-5*(((41.54*(41.54-(-5/-5)))*(41.54-(41.54/(-5*41.54))))-(-5/-5)))))</f>
        <v>355057.69812</v>
      </c>
      <c r="C14155" t="n" s="0">
        <v>355057.69811999996</v>
      </c>
    </row>
    <row r="14156">
      <c r="A14156" t="n" s="0">
        <v>41.55</v>
      </c>
      <c r="B14156" t="n" s="0">
        <f>(-5-((((-5*(-5/((-5/(((-5*(41.55--5))-(-5+((-5*41.55)*(((-5--5)+(41.55--5))+41.55))))-(-5+-5)))*-5)))/-5)--5)+(-5*(((41.55*(41.55-(-5/-5)))*(41.55-(41.55/(-5*41.55))))-(-5/-5)))))</f>
        <v>355314.964375</v>
      </c>
      <c r="C14156" t="n" s="0">
        <v>355314.9643749999</v>
      </c>
    </row>
    <row r="14157">
      <c r="A14157" t="n" s="0">
        <v>41.56</v>
      </c>
      <c r="B14157" t="n" s="0">
        <f>(-5-((((-5*(-5/((-5/(((-5*(41.56--5))-(-5+((-5*41.56)*(((-5--5)+(41.56--5))+41.56))))-(-5+-5)))*-5)))/-5)--5)+(-5*(((41.56*(41.56-(-5/-5)))*(41.56-(41.56/(-5*41.56))))-(-5/-5)))))</f>
        <v>355572.35488</v>
      </c>
      <c r="C14157" t="n" s="0">
        <v>355572.35488000006</v>
      </c>
    </row>
    <row r="14158">
      <c r="A14158" t="n" s="0">
        <v>41.57</v>
      </c>
      <c r="B14158" t="n" s="0">
        <f>(-5-((((-5*(-5/((-5/(((-5*(41.57--5))-(-5+((-5*41.57)*(((-5--5)+(41.57--5))+41.57))))-(-5+-5)))*-5)))/-5)--5)+(-5*(((41.57*(41.57-(-5/-5)))*(41.57-(41.57/(-5*41.57))))-(-5/-5)))))</f>
        <v>355829.869665</v>
      </c>
      <c r="C14158" t="n" s="0">
        <v>355829.869665</v>
      </c>
    </row>
    <row r="14159">
      <c r="A14159" t="n" s="0">
        <v>41.58</v>
      </c>
      <c r="B14159" t="n" s="0">
        <f>(-5-((((-5*(-5/((-5/(((-5*(41.58--5))-(-5+((-5*41.58)*(((-5--5)+(41.58--5))+41.58))))-(-5+-5)))*-5)))/-5)--5)+(-5*(((41.58*(41.58-(-5/-5)))*(41.58-(41.58/(-5*41.58))))-(-5/-5)))))</f>
        <v>356087.50876</v>
      </c>
      <c r="C14159" t="n" s="0">
        <v>356087.50875999994</v>
      </c>
    </row>
    <row r="14160">
      <c r="A14160" t="n" s="0">
        <v>41.59</v>
      </c>
      <c r="B14160" t="n" s="0">
        <f>(-5-((((-5*(-5/((-5/(((-5*(41.59--5))-(-5+((-5*41.59)*(((-5--5)+(41.59--5))+41.59))))-(-5+-5)))*-5)))/-5)--5)+(-5*(((41.59*(41.59-(-5/-5)))*(41.59-(41.59/(-5*41.59))))-(-5/-5)))))</f>
        <v>356345.272195</v>
      </c>
      <c r="C14160" t="n" s="0">
        <v>356345.2721950001</v>
      </c>
    </row>
    <row r="14161">
      <c r="A14161" t="n" s="0">
        <v>41.6</v>
      </c>
      <c r="B14161" t="n" s="0">
        <f>(-5-((((-5*(-5/((-5/(((-5*(41.6--5))-(-5+((-5*41.6)*(((-5--5)+(41.6--5))+41.6))))-(-5+-5)))*-5)))/-5)--5)+(-5*(((41.6*(41.6-(-5/-5)))*(41.6-(41.6/(-5*41.6))))-(-5/-5)))))</f>
        <v>356603.16000000003</v>
      </c>
      <c r="C14161" t="n" s="0">
        <v>356603.16</v>
      </c>
    </row>
    <row r="14162">
      <c r="A14162" t="n" s="0">
        <v>41.61</v>
      </c>
      <c r="B14162" t="n" s="0">
        <f>(-5-((((-5*(-5/((-5/(((-5*(41.61--5))-(-5+((-5*41.61)*(((-5--5)+(41.61--5))+41.61))))-(-5+-5)))*-5)))/-5)--5)+(-5*(((41.61*(41.61-(-5/-5)))*(41.61-(41.61/(-5*41.61))))-(-5/-5)))))</f>
        <v>356861.172205</v>
      </c>
      <c r="C14162" t="n" s="0">
        <v>356861.172205</v>
      </c>
    </row>
    <row r="14163">
      <c r="A14163" t="n" s="0">
        <v>41.62</v>
      </c>
      <c r="B14163" t="n" s="0">
        <f>(-5-((((-5*(-5/((-5/(((-5*(41.62--5))-(-5+((-5*41.62)*(((-5--5)+(41.62--5))+41.62))))-(-5+-5)))*-5)))/-5)--5)+(-5*(((41.62*(41.62-(-5/-5)))*(41.62-(41.62/(-5*41.62))))-(-5/-5)))))</f>
        <v>357119.30884</v>
      </c>
      <c r="C14163" t="n" s="0">
        <v>357119.30883999995</v>
      </c>
    </row>
    <row r="14164">
      <c r="A14164" t="n" s="0">
        <v>41.63</v>
      </c>
      <c r="B14164" t="n" s="0">
        <f>(-5-((((-5*(-5/((-5/(((-5*(41.63--5))-(-5+((-5*41.63)*(((-5--5)+(41.63--5))+41.63))))-(-5+-5)))*-5)))/-5)--5)+(-5*(((41.63*(41.63-(-5/-5)))*(41.63-(41.63/(-5*41.63))))-(-5/-5)))))</f>
        <v>357377.56993500004</v>
      </c>
      <c r="C14164" t="n" s="0">
        <v>357377.5699350001</v>
      </c>
    </row>
    <row r="14165">
      <c r="A14165" t="n" s="0">
        <v>41.64</v>
      </c>
      <c r="B14165" t="n" s="0">
        <f>(-5-((((-5*(-5/((-5/(((-5*(41.64--5))-(-5+((-5*41.64)*(((-5--5)+(41.64--5))+41.64))))-(-5+-5)))*-5)))/-5)--5)+(-5*(((41.64*(41.64-(-5/-5)))*(41.64-(41.64/(-5*41.64))))-(-5/-5)))))</f>
        <v>357635.95551999996</v>
      </c>
      <c r="C14165" t="n" s="0">
        <v>357635.95551999996</v>
      </c>
    </row>
    <row r="14166">
      <c r="A14166" t="n" s="0">
        <v>41.65</v>
      </c>
      <c r="B14166" t="n" s="0">
        <f>(-5-((((-5*(-5/((-5/(((-5*(41.65--5))-(-5+((-5*41.65)*(((-5--5)+(41.65--5))+41.65))))-(-5+-5)))*-5)))/-5)--5)+(-5*(((41.65*(41.65-(-5/-5)))*(41.65-(41.65/(-5*41.65))))-(-5/-5)))))</f>
        <v>357894.465625</v>
      </c>
      <c r="C14166" t="n" s="0">
        <v>357894.46562499995</v>
      </c>
    </row>
    <row r="14167">
      <c r="A14167" t="n" s="0">
        <v>41.66</v>
      </c>
      <c r="B14167" t="n" s="0">
        <f>(-5-((((-5*(-5/((-5/(((-5*(41.66--5))-(-5+((-5*41.66)*(((-5--5)+(41.66--5))+41.66))))-(-5+-5)))*-5)))/-5)--5)+(-5*(((41.66*(41.66-(-5/-5)))*(41.66-(41.66/(-5*41.66))))-(-5/-5)))))</f>
        <v>358153.10028</v>
      </c>
      <c r="C14167" t="n" s="0">
        <v>358153.1002799999</v>
      </c>
    </row>
    <row r="14168">
      <c r="A14168" t="n" s="0">
        <v>41.67</v>
      </c>
      <c r="B14168" t="n" s="0">
        <f>(-5-((((-5*(-5/((-5/(((-5*(41.67--5))-(-5+((-5*41.67)*(((-5--5)+(41.67--5))+41.67))))-(-5+-5)))*-5)))/-5)--5)+(-5*(((41.67*(41.67-(-5/-5)))*(41.67-(41.67/(-5*41.67))))-(-5/-5)))))</f>
        <v>358411.85951499996</v>
      </c>
      <c r="C14168" t="n" s="0">
        <v>358411.8595150001</v>
      </c>
    </row>
    <row r="14169">
      <c r="A14169" t="n" s="0">
        <v>41.68</v>
      </c>
      <c r="B14169" t="n" s="0">
        <f>(-5-((((-5*(-5/((-5/(((-5*(41.68--5))-(-5+((-5*41.68)*(((-5--5)+(41.68--5))+41.68))))-(-5+-5)))*-5)))/-5)--5)+(-5*(((41.68*(41.68-(-5/-5)))*(41.68-(41.68/(-5*41.68))))-(-5/-5)))))</f>
        <v>358670.74336</v>
      </c>
      <c r="C14169" t="n" s="0">
        <v>358670.74335999996</v>
      </c>
    </row>
    <row r="14170">
      <c r="A14170" t="n" s="0">
        <v>41.69</v>
      </c>
      <c r="B14170" t="n" s="0">
        <f>(-5-((((-5*(-5/((-5/(((-5*(41.69--5))-(-5+((-5*41.69)*(((-5--5)+(41.69--5))+41.69))))-(-5+-5)))*-5)))/-5)--5)+(-5*(((41.69*(41.69-(-5/-5)))*(41.69-(41.69/(-5*41.69))))-(-5/-5)))))</f>
        <v>358929.751845</v>
      </c>
      <c r="C14170" t="n" s="0">
        <v>358929.751845</v>
      </c>
    </row>
    <row r="14171">
      <c r="A14171" t="n" s="0">
        <v>41.7</v>
      </c>
      <c r="B14171" t="n" s="0">
        <f>(-5-((((-5*(-5/((-5/(((-5*(41.7--5))-(-5+((-5*41.7)*(((-5--5)+(41.7--5))+41.7))))-(-5+-5)))*-5)))/-5)--5)+(-5*(((41.7*(41.7-(-5/-5)))*(41.7-(41.7/(-5*41.7))))-(-5/-5)))))</f>
        <v>359188.885</v>
      </c>
      <c r="C14171" t="n" s="0">
        <v>359188.885</v>
      </c>
    </row>
    <row r="14172">
      <c r="A14172" t="n" s="0">
        <v>41.71</v>
      </c>
      <c r="B14172" t="n" s="0">
        <f>(-5-((((-5*(-5/((-5/(((-5*(41.71--5))-(-5+((-5*41.71)*(((-5--5)+(41.71--5))+41.71))))-(-5+-5)))*-5)))/-5)--5)+(-5*(((41.71*(41.71-(-5/-5)))*(41.71-(41.71/(-5*41.71))))-(-5/-5)))))</f>
        <v>359448.142855</v>
      </c>
      <c r="C14172" t="n" s="0">
        <v>359448.142855</v>
      </c>
    </row>
    <row r="14173">
      <c r="A14173" t="n" s="0">
        <v>41.72</v>
      </c>
      <c r="B14173" t="n" s="0">
        <f>(-5-((((-5*(-5/((-5/(((-5*(41.72--5))-(-5+((-5*41.72)*(((-5--5)+(41.72--5))+41.72))))-(-5+-5)))*-5)))/-5)--5)+(-5*(((41.72*(41.72-(-5/-5)))*(41.72-(41.72/(-5*41.72))))-(-5/-5)))))</f>
        <v>359707.52543999994</v>
      </c>
      <c r="C14173" t="n" s="0">
        <v>359707.52543999994</v>
      </c>
    </row>
    <row r="14174">
      <c r="A14174" t="n" s="0">
        <v>41.73</v>
      </c>
      <c r="B14174" t="n" s="0">
        <f>(-5-((((-5*(-5/((-5/(((-5*(41.73--5))-(-5+((-5*41.73)*(((-5--5)+(41.73--5))+41.73))))-(-5+-5)))*-5)))/-5)--5)+(-5*(((41.73*(41.73-(-5/-5)))*(41.73-(41.73/(-5*41.73))))-(-5/-5)))))</f>
        <v>359967.032785</v>
      </c>
      <c r="C14174" t="n" s="0">
        <v>359967.03278499993</v>
      </c>
    </row>
    <row r="14175">
      <c r="A14175" t="n" s="0">
        <v>41.74</v>
      </c>
      <c r="B14175" t="n" s="0">
        <f>(-5-((((-5*(-5/((-5/(((-5*(41.74--5))-(-5+((-5*41.74)*(((-5--5)+(41.74--5))+41.74))))-(-5+-5)))*-5)))/-5)--5)+(-5*(((41.74*(41.74-(-5/-5)))*(41.74-(41.74/(-5*41.74))))-(-5/-5)))))</f>
        <v>360226.66492</v>
      </c>
      <c r="C14175" t="n" s="0">
        <v>360226.66492</v>
      </c>
    </row>
    <row r="14176">
      <c r="A14176" t="n" s="0">
        <v>41.75</v>
      </c>
      <c r="B14176" t="n" s="0">
        <f>(-5-((((-5*(-5/((-5/(((-5*(41.75--5))-(-5+((-5*41.75)*(((-5--5)+(41.75--5))+41.75))))-(-5+-5)))*-5)))/-5)--5)+(-5*(((41.75*(41.75-(-5/-5)))*(41.75-(41.75/(-5*41.75))))-(-5/-5)))))</f>
        <v>360486.421875</v>
      </c>
      <c r="C14176" t="n" s="0">
        <v>360486.421875</v>
      </c>
    </row>
    <row r="14177">
      <c r="A14177" t="n" s="0">
        <v>41.76</v>
      </c>
      <c r="B14177" t="n" s="0">
        <f>(-5-((((-5*(-5/((-5/(((-5*(41.76--5))-(-5+((-5*41.76)*(((-5--5)+(41.76--5))+41.76))))-(-5+-5)))*-5)))/-5)--5)+(-5*(((41.76*(41.76-(-5/-5)))*(41.76-(41.76/(-5*41.76))))-(-5/-5)))))</f>
        <v>360746.30367999995</v>
      </c>
      <c r="C14177" t="n" s="0">
        <v>360746.30367999995</v>
      </c>
    </row>
    <row r="14178">
      <c r="A14178" t="n" s="0">
        <v>41.77</v>
      </c>
      <c r="B14178" t="n" s="0">
        <f>(-5-((((-5*(-5/((-5/(((-5*(41.77--5))-(-5+((-5*41.77)*(((-5--5)+(41.77--5))+41.77))))-(-5+-5)))*-5)))/-5)--5)+(-5*(((41.77*(41.77-(-5/-5)))*(41.77-(41.77/(-5*41.77))))-(-5/-5)))))</f>
        <v>361006.31036500004</v>
      </c>
      <c r="C14178" t="n" s="0">
        <v>361006.3103650001</v>
      </c>
    </row>
    <row r="14179">
      <c r="A14179" t="n" s="0">
        <v>41.78</v>
      </c>
      <c r="B14179" t="n" s="0">
        <f>(-5-((((-5*(-5/((-5/(((-5*(41.78--5))-(-5+((-5*41.78)*(((-5--5)+(41.78--5))+41.78))))-(-5+-5)))*-5)))/-5)--5)+(-5*(((41.78*(41.78-(-5/-5)))*(41.78-(41.78/(-5*41.78))))-(-5/-5)))))</f>
        <v>361266.44195999997</v>
      </c>
      <c r="C14179" t="n" s="0">
        <v>361266.44196</v>
      </c>
    </row>
    <row r="14180">
      <c r="A14180" t="n" s="0">
        <v>41.79</v>
      </c>
      <c r="B14180" t="n" s="0">
        <f>(-5-((((-5*(-5/((-5/(((-5*(41.79--5))-(-5+((-5*41.79)*(((-5--5)+(41.79--5))+41.79))))-(-5+-5)))*-5)))/-5)--5)+(-5*(((41.79*(41.79-(-5/-5)))*(41.79-(41.79/(-5*41.79))))-(-5/-5)))))</f>
        <v>361526.698495</v>
      </c>
      <c r="C14180" t="n" s="0">
        <v>361526.6984949999</v>
      </c>
    </row>
    <row r="14181">
      <c r="A14181" t="n" s="0">
        <v>41.8</v>
      </c>
      <c r="B14181" t="n" s="0">
        <f>(-5-((((-5*(-5/((-5/(((-5*(41.8--5))-(-5+((-5*41.8)*(((-5--5)+(41.8--5))+41.8))))-(-5+-5)))*-5)))/-5)--5)+(-5*(((41.8*(41.8-(-5/-5)))*(41.8-(41.8/(-5*41.8))))-(-5/-5)))))</f>
        <v>361787.08</v>
      </c>
      <c r="C14181" t="n" s="0">
        <v>361787.07999999996</v>
      </c>
    </row>
    <row r="14182">
      <c r="A14182" t="n" s="0">
        <v>41.81</v>
      </c>
      <c r="B14182" t="n" s="0">
        <f>(-5-((((-5*(-5/((-5/(((-5*(41.81--5))-(-5+((-5*41.81)*(((-5--5)+(41.81--5))+41.81))))-(-5+-5)))*-5)))/-5)--5)+(-5*(((41.81*(41.81-(-5/-5)))*(41.81-(41.81/(-5*41.81))))-(-5/-5)))))</f>
        <v>362047.586505</v>
      </c>
      <c r="C14182" t="n" s="0">
        <v>362047.5865050001</v>
      </c>
    </row>
    <row r="14183">
      <c r="A14183" t="n" s="0">
        <v>41.82</v>
      </c>
      <c r="B14183" t="n" s="0">
        <f>(-5-((((-5*(-5/((-5/(((-5*(41.82--5))-(-5+((-5*41.82)*(((-5--5)+(41.82--5))+41.82))))-(-5+-5)))*-5)))/-5)--5)+(-5*(((41.82*(41.82-(-5/-5)))*(41.82-(41.82/(-5*41.82))))-(-5/-5)))))</f>
        <v>362308.21803999995</v>
      </c>
      <c r="C14183" t="n" s="0">
        <v>362308.21804000007</v>
      </c>
    </row>
    <row r="14184">
      <c r="A14184" t="n" s="0">
        <v>41.83</v>
      </c>
      <c r="B14184" t="n" s="0">
        <f>(-5-((((-5*(-5/((-5/(((-5*(41.83--5))-(-5+((-5*41.83)*(((-5--5)+(41.83--5))+41.83))))-(-5+-5)))*-5)))/-5)--5)+(-5*(((41.83*(41.83-(-5/-5)))*(41.83-(41.83/(-5*41.83))))-(-5/-5)))))</f>
        <v>362568.974635</v>
      </c>
      <c r="C14184" t="n" s="0">
        <v>362568.974635</v>
      </c>
    </row>
    <row r="14185">
      <c r="A14185" t="n" s="0">
        <v>41.84</v>
      </c>
      <c r="B14185" t="n" s="0">
        <f>(-5-((((-5*(-5/((-5/(((-5*(41.84--5))-(-5+((-5*41.84)*(((-5--5)+(41.84--5))+41.84))))-(-5+-5)))*-5)))/-5)--5)+(-5*(((41.84*(41.84-(-5/-5)))*(41.84-(41.84/(-5*41.84))))-(-5/-5)))))</f>
        <v>362829.85632</v>
      </c>
      <c r="C14185" t="n" s="0">
        <v>362829.85632000014</v>
      </c>
    </row>
    <row r="14186">
      <c r="A14186" t="n" s="0">
        <v>41.85</v>
      </c>
      <c r="B14186" t="n" s="0">
        <f>(-5-((((-5*(-5/((-5/(((-5*(41.85--5))-(-5+((-5*41.85)*(((-5--5)+(41.85--5))+41.85))))-(-5+-5)))*-5)))/-5)--5)+(-5*(((41.85*(41.85-(-5/-5)))*(41.85-(41.85/(-5*41.85))))-(-5/-5)))))</f>
        <v>363090.863125</v>
      </c>
      <c r="C14186" t="n" s="0">
        <v>363090.86312500003</v>
      </c>
    </row>
    <row r="14187">
      <c r="A14187" t="n" s="0">
        <v>41.86</v>
      </c>
      <c r="B14187" t="n" s="0">
        <f>(-5-((((-5*(-5/((-5/(((-5*(41.86--5))-(-5+((-5*41.86)*(((-5--5)+(41.86--5))+41.86))))-(-5+-5)))*-5)))/-5)--5)+(-5*(((41.86*(41.86-(-5/-5)))*(41.86-(41.86/(-5*41.86))))-(-5/-5)))))</f>
        <v>363351.99507999996</v>
      </c>
      <c r="C14187" t="n" s="0">
        <v>363351.99508</v>
      </c>
    </row>
    <row r="14188">
      <c r="A14188" t="n" s="0">
        <v>41.87</v>
      </c>
      <c r="B14188" t="n" s="0">
        <f>(-5-((((-5*(-5/((-5/(((-5*(41.87--5))-(-5+((-5*41.87)*(((-5--5)+(41.87--5))+41.87))))-(-5+-5)))*-5)))/-5)--5)+(-5*(((41.87*(41.87-(-5/-5)))*(41.87-(41.87/(-5*41.87))))-(-5/-5)))))</f>
        <v>363613.252215</v>
      </c>
      <c r="C14188" t="n" s="0">
        <v>363613.2522149999</v>
      </c>
    </row>
    <row r="14189">
      <c r="A14189" t="n" s="0">
        <v>41.88</v>
      </c>
      <c r="B14189" t="n" s="0">
        <f>(-5-((((-5*(-5/((-5/(((-5*(41.88--5))-(-5+((-5*41.88)*(((-5--5)+(41.88--5))+41.88))))-(-5+-5)))*-5)))/-5)--5)+(-5*(((41.88*(41.88-(-5/-5)))*(41.88-(41.88/(-5*41.88))))-(-5/-5)))))</f>
        <v>363874.63456000003</v>
      </c>
      <c r="C14189" t="n" s="0">
        <v>363874.63456000003</v>
      </c>
    </row>
    <row r="14190">
      <c r="A14190" t="n" s="0">
        <v>41.89</v>
      </c>
      <c r="B14190" t="n" s="0">
        <f>(-5-((((-5*(-5/((-5/(((-5*(41.89--5))-(-5+((-5*41.89)*(((-5--5)+(41.89--5))+41.89))))-(-5+-5)))*-5)))/-5)--5)+(-5*(((41.89*(41.89-(-5/-5)))*(41.89-(41.89/(-5*41.89))))-(-5/-5)))))</f>
        <v>364136.142145</v>
      </c>
      <c r="C14190" t="n" s="0">
        <v>364136.142145</v>
      </c>
    </row>
    <row r="14191">
      <c r="A14191" t="n" s="0">
        <v>41.9</v>
      </c>
      <c r="B14191" t="n" s="0">
        <f>(-5-((((-5*(-5/((-5/(((-5*(41.9--5))-(-5+((-5*41.9)*(((-5--5)+(41.9--5))+41.9))))-(-5+-5)))*-5)))/-5)--5)+(-5*(((41.9*(41.9-(-5/-5)))*(41.9-(41.9/(-5*41.9))))-(-5/-5)))))</f>
        <v>364397.775</v>
      </c>
      <c r="C14191" t="n" s="0">
        <v>364397.775</v>
      </c>
    </row>
    <row r="14192">
      <c r="A14192" t="n" s="0">
        <v>41.91</v>
      </c>
      <c r="B14192" t="n" s="0">
        <f>(-5-((((-5*(-5/((-5/(((-5*(41.91--5))-(-5+((-5*41.91)*(((-5--5)+(41.91--5))+41.91))))-(-5+-5)))*-5)))/-5)--5)+(-5*(((41.91*(41.91-(-5/-5)))*(41.91-(41.91/(-5*41.91))))-(-5/-5)))))</f>
        <v>364659.53315499995</v>
      </c>
      <c r="C14192" t="n" s="0">
        <v>364659.5331549999</v>
      </c>
    </row>
    <row r="14193">
      <c r="A14193" t="n" s="0">
        <v>41.92</v>
      </c>
      <c r="B14193" t="n" s="0">
        <f>(-5-((((-5*(-5/((-5/(((-5*(41.92--5))-(-5+((-5*41.92)*(((-5--5)+(41.92--5))+41.92))))-(-5+-5)))*-5)))/-5)--5)+(-5*(((41.92*(41.92-(-5/-5)))*(41.92-(41.92/(-5*41.92))))-(-5/-5)))))</f>
        <v>364921.41664</v>
      </c>
      <c r="C14193" t="n" s="0">
        <v>364921.41664</v>
      </c>
    </row>
    <row r="14194">
      <c r="A14194" t="n" s="0">
        <v>41.93</v>
      </c>
      <c r="B14194" t="n" s="0">
        <f>(-5-((((-5*(-5/((-5/(((-5*(41.93--5))-(-5+((-5*41.93)*(((-5--5)+(41.93--5))+41.93))))-(-5+-5)))*-5)))/-5)--5)+(-5*(((41.93*(41.93-(-5/-5)))*(41.93-(41.93/(-5*41.93))))-(-5/-5)))))</f>
        <v>365183.425485</v>
      </c>
      <c r="C14194" t="n" s="0">
        <v>365183.42548499996</v>
      </c>
    </row>
    <row r="14195">
      <c r="A14195" t="n" s="0">
        <v>41.94</v>
      </c>
      <c r="B14195" t="n" s="0">
        <f>(-5-((((-5*(-5/((-5/(((-5*(41.94--5))-(-5+((-5*41.94)*(((-5--5)+(41.94--5))+41.94))))-(-5+-5)))*-5)))/-5)--5)+(-5*(((41.94*(41.94-(-5/-5)))*(41.94-(41.94/(-5*41.94))))-(-5/-5)))))</f>
        <v>365445.55971999996</v>
      </c>
      <c r="C14195" t="n" s="0">
        <v>365445.55971999996</v>
      </c>
    </row>
    <row r="14196">
      <c r="A14196" t="n" s="0">
        <v>41.95</v>
      </c>
      <c r="B14196" t="n" s="0">
        <f>(-5-((((-5*(-5/((-5/(((-5*(41.95--5))-(-5+((-5*41.95)*(((-5--5)+(41.95--5))+41.95))))-(-5+-5)))*-5)))/-5)--5)+(-5*(((41.95*(41.95-(-5/-5)))*(41.95-(41.95/(-5*41.95))))-(-5/-5)))))</f>
        <v>365707.819375</v>
      </c>
      <c r="C14196" t="n" s="0">
        <v>365707.8193750001</v>
      </c>
    </row>
    <row r="14197">
      <c r="A14197" t="n" s="0">
        <v>41.96</v>
      </c>
      <c r="B14197" t="n" s="0">
        <f>(-5-((((-5*(-5/((-5/(((-5*(41.96--5))-(-5+((-5*41.96)*(((-5--5)+(41.96--5))+41.96))))-(-5+-5)))*-5)))/-5)--5)+(-5*(((41.96*(41.96-(-5/-5)))*(41.96-(41.96/(-5*41.96))))-(-5/-5)))))</f>
        <v>365970.20447999996</v>
      </c>
      <c r="C14197" t="n" s="0">
        <v>365970.20448</v>
      </c>
    </row>
    <row r="14198">
      <c r="A14198" t="n" s="0">
        <v>41.97</v>
      </c>
      <c r="B14198" t="n" s="0">
        <f>(-5-((((-5*(-5/((-5/(((-5*(41.97--5))-(-5+((-5*41.97)*(((-5--5)+(41.97--5))+41.97))))-(-5+-5)))*-5)))/-5)--5)+(-5*(((41.97*(41.97-(-5/-5)))*(41.97-(41.97/(-5*41.97))))-(-5/-5)))))</f>
        <v>366232.715065</v>
      </c>
      <c r="C14198" t="n" s="0">
        <v>366232.71506499994</v>
      </c>
    </row>
    <row r="14199">
      <c r="A14199" t="n" s="0">
        <v>41.98</v>
      </c>
      <c r="B14199" t="n" s="0">
        <f>(-5-((((-5*(-5/((-5/(((-5*(41.98--5))-(-5+((-5*41.98)*(((-5--5)+(41.98--5))+41.98))))-(-5+-5)))*-5)))/-5)--5)+(-5*(((41.98*(41.98-(-5/-5)))*(41.98-(41.98/(-5*41.98))))-(-5/-5)))))</f>
        <v>366495.35115999996</v>
      </c>
      <c r="C14199" t="n" s="0">
        <v>366495.3511599999</v>
      </c>
    </row>
    <row r="14200">
      <c r="A14200" t="n" s="0">
        <v>41.99</v>
      </c>
      <c r="B14200" t="n" s="0">
        <f>(-5-((((-5*(-5/((-5/(((-5*(41.99--5))-(-5+((-5*41.99)*(((-5--5)+(41.99--5))+41.99))))-(-5+-5)))*-5)))/-5)--5)+(-5*(((41.99*(41.99-(-5/-5)))*(41.99-(41.99/(-5*41.99))))-(-5/-5)))))</f>
        <v>366758.11279499996</v>
      </c>
      <c r="C14200" t="n" s="0">
        <v>366758.112795</v>
      </c>
    </row>
    <row r="14201">
      <c r="A14201" t="n" s="0">
        <v>42.0</v>
      </c>
      <c r="B14201" t="n" s="0">
        <f>(-5-((((-5*(-5/((-5/(((-5*(42--5))-(-5+((-5*42)*(((-5--5)+(42--5))+42))))-(-5+-5)))*-5)))/-5)--5)+(-5*(((42*(42-(-5/-5)))*(42-(42/(-5*42))))-(-5/-5)))))</f>
        <v>367021.0</v>
      </c>
      <c r="C14201" t="n" s="0">
        <v>367021.0</v>
      </c>
    </row>
    <row r="14202">
      <c r="A14202" t="n" s="0">
        <v>42.01</v>
      </c>
      <c r="B14202" t="n" s="0">
        <f>(-5-((((-5*(-5/((-5/(((-5*(42.01--5))-(-5+((-5*42.01)*(((-5--5)+(42.01--5))+42.01))))-(-5+-5)))*-5)))/-5)--5)+(-5*(((42.01*(42.01-(-5/-5)))*(42.01-(42.01/(-5*42.01))))-(-5/-5)))))</f>
        <v>367284.012805</v>
      </c>
      <c r="C14202" t="n" s="0">
        <v>367284.012805</v>
      </c>
    </row>
    <row r="14203">
      <c r="A14203" t="n" s="0">
        <v>42.02</v>
      </c>
      <c r="B14203" t="n" s="0">
        <f>(-5-((((-5*(-5/((-5/(((-5*(42.02--5))-(-5+((-5*42.02)*(((-5--5)+(42.02--5))+42.02))))-(-5+-5)))*-5)))/-5)--5)+(-5*(((42.02*(42.02-(-5/-5)))*(42.02-(42.02/(-5*42.02))))-(-5/-5)))))</f>
        <v>367547.15124</v>
      </c>
      <c r="C14203" t="n" s="0">
        <v>367547.1512400001</v>
      </c>
    </row>
    <row r="14204">
      <c r="A14204" t="n" s="0">
        <v>42.03</v>
      </c>
      <c r="B14204" t="n" s="0">
        <f>(-5-((((-5*(-5/((-5/(((-5*(42.03--5))-(-5+((-5*42.03)*(((-5--5)+(42.03--5))+42.03))))-(-5+-5)))*-5)))/-5)--5)+(-5*(((42.03*(42.03-(-5/-5)))*(42.03-(42.03/(-5*42.03))))-(-5/-5)))))</f>
        <v>367810.415335</v>
      </c>
      <c r="C14204" t="n" s="0">
        <v>367810.4153350001</v>
      </c>
    </row>
    <row r="14205">
      <c r="A14205" t="n" s="0">
        <v>42.04</v>
      </c>
      <c r="B14205" t="n" s="0">
        <f>(-5-((((-5*(-5/((-5/(((-5*(42.04--5))-(-5+((-5*42.04)*(((-5--5)+(42.04--5))+42.04))))-(-5+-5)))*-5)))/-5)--5)+(-5*(((42.04*(42.04-(-5/-5)))*(42.04-(42.04/(-5*42.04))))-(-5/-5)))))</f>
        <v>368073.80512</v>
      </c>
      <c r="C14205" t="n" s="0">
        <v>368073.80512</v>
      </c>
    </row>
    <row r="14206">
      <c r="A14206" t="n" s="0">
        <v>42.05</v>
      </c>
      <c r="B14206" t="n" s="0">
        <f>(-5-((((-5*(-5/((-5/(((-5*(42.05--5))-(-5+((-5*42.05)*(((-5--5)+(42.05--5))+42.05))))-(-5+-5)))*-5)))/-5)--5)+(-5*(((42.05*(42.05-(-5/-5)))*(42.05-(42.05/(-5*42.05))))-(-5/-5)))))</f>
        <v>368337.320625</v>
      </c>
      <c r="C14206" t="n" s="0">
        <v>368337.32062499993</v>
      </c>
    </row>
    <row r="14207">
      <c r="A14207" t="n" s="0">
        <v>42.06</v>
      </c>
      <c r="B14207" t="n" s="0">
        <f>(-5-((((-5*(-5/((-5/(((-5*(42.06--5))-(-5+((-5*42.06)*(((-5--5)+(42.06--5))+42.06))))-(-5+-5)))*-5)))/-5)--5)+(-5*(((42.06*(42.06-(-5/-5)))*(42.06-(42.06/(-5*42.06))))-(-5/-5)))))</f>
        <v>368600.96188</v>
      </c>
      <c r="C14207" t="n" s="0">
        <v>368600.9618800001</v>
      </c>
    </row>
    <row r="14208">
      <c r="A14208" t="n" s="0">
        <v>42.07</v>
      </c>
      <c r="B14208" t="n" s="0">
        <f>(-5-((((-5*(-5/((-5/(((-5*(42.07--5))-(-5+((-5*42.07)*(((-5--5)+(42.07--5))+42.07))))-(-5+-5)))*-5)))/-5)--5)+(-5*(((42.07*(42.07-(-5/-5)))*(42.07-(42.07/(-5*42.07))))-(-5/-5)))))</f>
        <v>368864.728915</v>
      </c>
      <c r="C14208" t="n" s="0">
        <v>368864.728915</v>
      </c>
    </row>
    <row r="14209">
      <c r="A14209" t="n" s="0">
        <v>42.08</v>
      </c>
      <c r="B14209" t="n" s="0">
        <f>(-5-((((-5*(-5/((-5/(((-5*(42.08--5))-(-5+((-5*42.08)*(((-5--5)+(42.08--5))+42.08))))-(-5+-5)))*-5)))/-5)--5)+(-5*(((42.08*(42.08-(-5/-5)))*(42.08-(42.08/(-5*42.08))))-(-5/-5)))))</f>
        <v>369128.62175999995</v>
      </c>
      <c r="C14209" t="n" s="0">
        <v>369128.6217599999</v>
      </c>
    </row>
    <row r="14210">
      <c r="A14210" t="n" s="0">
        <v>42.09</v>
      </c>
      <c r="B14210" t="n" s="0">
        <f>(-5-((((-5*(-5/((-5/(((-5*(42.09--5))-(-5+((-5*42.09)*(((-5--5)+(42.09--5))+42.09))))-(-5+-5)))*-5)))/-5)--5)+(-5*(((42.09*(42.09-(-5/-5)))*(42.09-(42.09/(-5*42.09))))-(-5/-5)))))</f>
        <v>369392.64044499997</v>
      </c>
      <c r="C14210" t="n" s="0">
        <v>369392.64044500014</v>
      </c>
    </row>
    <row r="14211">
      <c r="A14211" t="n" s="0">
        <v>42.1</v>
      </c>
      <c r="B14211" t="n" s="0">
        <f>(-5-((((-5*(-5/((-5/(((-5*(42.1--5))-(-5+((-5*42.1)*(((-5--5)+(42.1--5))+42.1))))-(-5+-5)))*-5)))/-5)--5)+(-5*(((42.1*(42.1-(-5/-5)))*(42.1-(42.1/(-5*42.1))))-(-5/-5)))))</f>
        <v>369656.785</v>
      </c>
      <c r="C14211" t="n" s="0">
        <v>369656.78500000003</v>
      </c>
    </row>
    <row r="14212">
      <c r="A14212" t="n" s="0">
        <v>42.11</v>
      </c>
      <c r="B14212" t="n" s="0">
        <f>(-5-((((-5*(-5/((-5/(((-5*(42.11--5))-(-5+((-5*42.11)*(((-5--5)+(42.11--5))+42.11))))-(-5+-5)))*-5)))/-5)--5)+(-5*(((42.11*(42.11-(-5/-5)))*(42.11-(42.11/(-5*42.11))))-(-5/-5)))))</f>
        <v>369921.055455</v>
      </c>
      <c r="C14212" t="n" s="0">
        <v>369921.05545499997</v>
      </c>
    </row>
    <row r="14213">
      <c r="A14213" t="n" s="0">
        <v>42.12</v>
      </c>
      <c r="B14213" t="n" s="0">
        <f>(-5-((((-5*(-5/((-5/(((-5*(42.12--5))-(-5+((-5*42.12)*(((-5--5)+(42.12--5))+42.12))))-(-5+-5)))*-5)))/-5)--5)+(-5*(((42.12*(42.12-(-5/-5)))*(42.12-(42.12/(-5*42.12))))-(-5/-5)))))</f>
        <v>370185.45184</v>
      </c>
      <c r="C14213" t="n" s="0">
        <v>370185.4518399999</v>
      </c>
    </row>
    <row r="14214">
      <c r="A14214" t="n" s="0">
        <v>42.13</v>
      </c>
      <c r="B14214" t="n" s="0">
        <f>(-5-((((-5*(-5/((-5/(((-5*(42.13--5))-(-5+((-5*42.13)*(((-5--5)+(42.13--5))+42.13))))-(-5+-5)))*-5)))/-5)--5)+(-5*(((42.13*(42.13-(-5/-5)))*(42.13-(42.13/(-5*42.13))))-(-5/-5)))))</f>
        <v>370449.974185</v>
      </c>
      <c r="C14214" t="n" s="0">
        <v>370449.9741850001</v>
      </c>
    </row>
    <row r="14215">
      <c r="A14215" t="n" s="0">
        <v>42.14</v>
      </c>
      <c r="B14215" t="n" s="0">
        <f>(-5-((((-5*(-5/((-5/(((-5*(42.14--5))-(-5+((-5*42.14)*(((-5--5)+(42.14--5))+42.14))))-(-5+-5)))*-5)))/-5)--5)+(-5*(((42.14*(42.14-(-5/-5)))*(42.14-(42.14/(-5*42.14))))-(-5/-5)))))</f>
        <v>370714.62252000003</v>
      </c>
      <c r="C14215" t="n" s="0">
        <v>370714.62252</v>
      </c>
    </row>
    <row r="14216">
      <c r="A14216" t="n" s="0">
        <v>42.15</v>
      </c>
      <c r="B14216" t="n" s="0">
        <f>(-5-((((-5*(-5/((-5/(((-5*(42.15--5))-(-5+((-5*42.15)*(((-5--5)+(42.15--5))+42.15))))-(-5+-5)))*-5)))/-5)--5)+(-5*(((42.15*(42.15-(-5/-5)))*(42.15-(42.15/(-5*42.15))))-(-5/-5)))))</f>
        <v>370979.396875</v>
      </c>
      <c r="C14216" t="n" s="0">
        <v>370979.396875</v>
      </c>
    </row>
    <row r="14217">
      <c r="A14217" t="n" s="0">
        <v>42.16</v>
      </c>
      <c r="B14217" t="n" s="0">
        <f>(-5-((((-5*(-5/((-5/(((-5*(42.16--5))-(-5+((-5*42.16)*(((-5--5)+(42.16--5))+42.16))))-(-5+-5)))*-5)))/-5)--5)+(-5*(((42.16*(42.16-(-5/-5)))*(42.16-(42.16/(-5*42.16))))-(-5/-5)))))</f>
        <v>371244.29728</v>
      </c>
      <c r="C14217" t="n" s="0">
        <v>371244.2972799999</v>
      </c>
    </row>
    <row r="14218">
      <c r="A14218" t="n" s="0">
        <v>42.17</v>
      </c>
      <c r="B14218" t="n" s="0">
        <f>(-5-((((-5*(-5/((-5/(((-5*(42.17--5))-(-5+((-5*42.17)*(((-5--5)+(42.17--5))+42.17))))-(-5+-5)))*-5)))/-5)--5)+(-5*(((42.17*(42.17-(-5/-5)))*(42.17-(42.17/(-5*42.17))))-(-5/-5)))))</f>
        <v>371509.323765</v>
      </c>
      <c r="C14218" t="n" s="0">
        <v>371509.32376500004</v>
      </c>
    </row>
    <row r="14219">
      <c r="A14219" t="n" s="0">
        <v>42.18</v>
      </c>
      <c r="B14219" t="n" s="0">
        <f>(-5-((((-5*(-5/((-5/(((-5*(42.18--5))-(-5+((-5*42.18)*(((-5--5)+(42.18--5))+42.18))))-(-5+-5)))*-5)))/-5)--5)+(-5*(((42.18*(42.18-(-5/-5)))*(42.18-(42.18/(-5*42.18))))-(-5/-5)))))</f>
        <v>371774.47636000003</v>
      </c>
      <c r="C14219" t="n" s="0">
        <v>371774.47636</v>
      </c>
    </row>
    <row r="14220">
      <c r="A14220" t="n" s="0">
        <v>42.19</v>
      </c>
      <c r="B14220" t="n" s="0">
        <f>(-5-((((-5*(-5/((-5/(((-5*(42.19--5))-(-5+((-5*42.19)*(((-5--5)+(42.19--5))+42.19))))-(-5+-5)))*-5)))/-5)--5)+(-5*(((42.19*(42.19-(-5/-5)))*(42.19-(42.19/(-5*42.19))))-(-5/-5)))))</f>
        <v>372039.755095</v>
      </c>
      <c r="C14220" t="n" s="0">
        <v>372039.755095</v>
      </c>
    </row>
    <row r="14221">
      <c r="A14221" t="n" s="0">
        <v>42.2</v>
      </c>
      <c r="B14221" t="n" s="0">
        <f>(-5-((((-5*(-5/((-5/(((-5*(42.2--5))-(-5+((-5*42.2)*(((-5--5)+(42.2--5))+42.2))))-(-5+-5)))*-5)))/-5)--5)+(-5*(((42.2*(42.2-(-5/-5)))*(42.2-(42.2/(-5*42.2))))-(-5/-5)))))</f>
        <v>372305.16</v>
      </c>
      <c r="C14221" t="n" s="0">
        <v>372305.1600000001</v>
      </c>
    </row>
    <row r="14222">
      <c r="A14222" t="n" s="0">
        <v>42.21</v>
      </c>
      <c r="B14222" t="n" s="0">
        <f>(-5-((((-5*(-5/((-5/(((-5*(42.21--5))-(-5+((-5*42.21)*(((-5--5)+(42.21--5))+42.21))))-(-5+-5)))*-5)))/-5)--5)+(-5*(((42.21*(42.21-(-5/-5)))*(42.21-(42.21/(-5*42.21))))-(-5/-5)))))</f>
        <v>372570.691105</v>
      </c>
      <c r="C14222" t="n" s="0">
        <v>372570.691105</v>
      </c>
    </row>
    <row r="14223">
      <c r="A14223" t="n" s="0">
        <v>42.22</v>
      </c>
      <c r="B14223" t="n" s="0">
        <f>(-5-((((-5*(-5/((-5/(((-5*(42.22--5))-(-5+((-5*42.22)*(((-5--5)+(42.22--5))+42.22))))-(-5+-5)))*-5)))/-5)--5)+(-5*(((42.22*(42.22-(-5/-5)))*(42.22-(42.22/(-5*42.22))))-(-5/-5)))))</f>
        <v>372836.34844000003</v>
      </c>
      <c r="C14223" t="n" s="0">
        <v>372836.3484399999</v>
      </c>
    </row>
    <row r="14224">
      <c r="A14224" t="n" s="0">
        <v>42.23</v>
      </c>
      <c r="B14224" t="n" s="0">
        <f>(-5-((((-5*(-5/((-5/(((-5*(42.23--5))-(-5+((-5*42.23)*(((-5--5)+(42.23--5))+42.23))))-(-5+-5)))*-5)))/-5)--5)+(-5*(((42.23*(42.23-(-5/-5)))*(42.23-(42.23/(-5*42.23))))-(-5/-5)))))</f>
        <v>373102.132035</v>
      </c>
      <c r="C14224" t="n" s="0">
        <v>373102.1320349999</v>
      </c>
    </row>
    <row r="14225">
      <c r="A14225" t="n" s="0">
        <v>42.24</v>
      </c>
      <c r="B14225" t="n" s="0">
        <f>(-5-((((-5*(-5/((-5/(((-5*(42.24--5))-(-5+((-5*42.24)*(((-5--5)+(42.24--5))+42.24))))-(-5+-5)))*-5)))/-5)--5)+(-5*(((42.24*(42.24-(-5/-5)))*(42.24-(42.24/(-5*42.24))))-(-5/-5)))))</f>
        <v>373368.04192000005</v>
      </c>
      <c r="C14225" t="n" s="0">
        <v>373368.04192</v>
      </c>
    </row>
    <row r="14226">
      <c r="A14226" t="n" s="0">
        <v>42.25</v>
      </c>
      <c r="B14226" t="n" s="0">
        <f>(-5-((((-5*(-5/((-5/(((-5*(42.25--5))-(-5+((-5*42.25)*(((-5--5)+(42.25--5))+42.25))))-(-5+-5)))*-5)))/-5)--5)+(-5*(((42.25*(42.25-(-5/-5)))*(42.25-(42.25/(-5*42.25))))-(-5/-5)))))</f>
        <v>373634.078125</v>
      </c>
      <c r="C14226" t="n" s="0">
        <v>373634.078125</v>
      </c>
    </row>
    <row r="14227">
      <c r="A14227" t="n" s="0">
        <v>42.26</v>
      </c>
      <c r="B14227" t="n" s="0">
        <f>(-5-((((-5*(-5/((-5/(((-5*(42.26--5))-(-5+((-5*42.26)*(((-5--5)+(42.26--5))+42.26))))-(-5+-5)))*-5)))/-5)--5)+(-5*(((42.26*(42.26-(-5/-5)))*(42.26-(42.26/(-5*42.26))))-(-5/-5)))))</f>
        <v>373900.24068</v>
      </c>
      <c r="C14227" t="n" s="0">
        <v>373900.24068</v>
      </c>
    </row>
    <row r="14228">
      <c r="A14228" t="n" s="0">
        <v>42.27</v>
      </c>
      <c r="B14228" t="n" s="0">
        <f>(-5-((((-5*(-5/((-5/(((-5*(42.27--5))-(-5+((-5*42.27)*(((-5--5)+(42.27--5))+42.27))))-(-5+-5)))*-5)))/-5)--5)+(-5*(((42.27*(42.27-(-5/-5)))*(42.27-(42.27/(-5*42.27))))-(-5/-5)))))</f>
        <v>374166.529615</v>
      </c>
      <c r="C14228" t="n" s="0">
        <v>374166.5296150001</v>
      </c>
    </row>
    <row r="14229">
      <c r="A14229" t="n" s="0">
        <v>42.28</v>
      </c>
      <c r="B14229" t="n" s="0">
        <f>(-5-((((-5*(-5/((-5/(((-5*(42.28--5))-(-5+((-5*42.28)*(((-5--5)+(42.28--5))+42.28))))-(-5+-5)))*-5)))/-5)--5)+(-5*(((42.28*(42.28-(-5/-5)))*(42.28-(42.28/(-5*42.28))))-(-5/-5)))))</f>
        <v>374432.94496</v>
      </c>
      <c r="C14229" t="n" s="0">
        <v>374432.9449600001</v>
      </c>
    </row>
    <row r="14230">
      <c r="A14230" t="n" s="0">
        <v>42.29</v>
      </c>
      <c r="B14230" t="n" s="0">
        <f>(-5-((((-5*(-5/((-5/(((-5*(42.29--5))-(-5+((-5*42.29)*(((-5--5)+(42.29--5))+42.29))))-(-5+-5)))*-5)))/-5)--5)+(-5*(((42.29*(42.29-(-5/-5)))*(42.29-(42.29/(-5*42.29))))-(-5/-5)))))</f>
        <v>374699.486745</v>
      </c>
      <c r="C14230" t="n" s="0">
        <v>374699.486745</v>
      </c>
    </row>
    <row r="14231">
      <c r="A14231" t="n" s="0">
        <v>42.3</v>
      </c>
      <c r="B14231" t="n" s="0">
        <f>(-5-((((-5*(-5/((-5/(((-5*(42.3--5))-(-5+((-5*42.3)*(((-5--5)+(42.3--5))+42.3))))-(-5+-5)))*-5)))/-5)--5)+(-5*(((42.3*(42.3-(-5/-5)))*(42.3-(42.3/(-5*42.3))))-(-5/-5)))))</f>
        <v>374966.155</v>
      </c>
      <c r="C14231" t="n" s="0">
        <v>374966.15499999997</v>
      </c>
    </row>
    <row r="14232">
      <c r="A14232" t="n" s="0">
        <v>42.31</v>
      </c>
      <c r="B14232" t="n" s="0">
        <f>(-5-((((-5*(-5/((-5/(((-5*(42.31--5))-(-5+((-5*42.31)*(((-5--5)+(42.31--5))+42.31))))-(-5+-5)))*-5)))/-5)--5)+(-5*(((42.31*(42.31-(-5/-5)))*(42.31-(42.31/(-5*42.31))))-(-5/-5)))))</f>
        <v>375232.949755</v>
      </c>
      <c r="C14232" t="n" s="0">
        <v>375232.94975500007</v>
      </c>
    </row>
    <row r="14233">
      <c r="A14233" t="n" s="0">
        <v>42.32</v>
      </c>
      <c r="B14233" t="n" s="0">
        <f>(-5-((((-5*(-5/((-5/(((-5*(42.32--5))-(-5+((-5*42.32)*(((-5--5)+(42.32--5))+42.32))))-(-5+-5)))*-5)))/-5)--5)+(-5*(((42.32*(42.32-(-5/-5)))*(42.32-(42.32/(-5*42.32))))-(-5/-5)))))</f>
        <v>375499.87104</v>
      </c>
      <c r="C14233" t="n" s="0">
        <v>375499.87104</v>
      </c>
    </row>
    <row r="14234">
      <c r="A14234" t="n" s="0">
        <v>42.33</v>
      </c>
      <c r="B14234" t="n" s="0">
        <f>(-5-((((-5*(-5/((-5/(((-5*(42.33--5))-(-5+((-5*42.33)*(((-5--5)+(42.33--5))+42.33))))-(-5+-5)))*-5)))/-5)--5)+(-5*(((42.33*(42.33-(-5/-5)))*(42.33-(42.33/(-5*42.33))))-(-5/-5)))))</f>
        <v>375766.918885</v>
      </c>
      <c r="C14234" t="n" s="0">
        <v>375766.91888499993</v>
      </c>
    </row>
    <row r="14235">
      <c r="A14235" t="n" s="0">
        <v>42.34</v>
      </c>
      <c r="B14235" t="n" s="0">
        <f>(-5-((((-5*(-5/((-5/(((-5*(42.34--5))-(-5+((-5*42.34)*(((-5--5)+(42.34--5))+42.34))))-(-5+-5)))*-5)))/-5)--5)+(-5*(((42.34*(42.34-(-5/-5)))*(42.34-(42.34/(-5*42.34))))-(-5/-5)))))</f>
        <v>376034.09332000004</v>
      </c>
      <c r="C14235" t="n" s="0">
        <v>376034.09332000016</v>
      </c>
    </row>
    <row r="14236">
      <c r="A14236" t="n" s="0">
        <v>42.35</v>
      </c>
      <c r="B14236" t="n" s="0">
        <f>(-5-((((-5*(-5/((-5/(((-5*(42.35--5))-(-5+((-5*42.35)*(((-5--5)+(42.35--5))+42.35))))-(-5+-5)))*-5)))/-5)--5)+(-5*(((42.35*(42.35-(-5/-5)))*(42.35-(42.35/(-5*42.35))))-(-5/-5)))))</f>
        <v>376301.39437500003</v>
      </c>
      <c r="C14236" t="n" s="0">
        <v>376301.39437500003</v>
      </c>
    </row>
    <row r="14237">
      <c r="A14237" t="n" s="0">
        <v>42.36</v>
      </c>
      <c r="B14237" t="n" s="0">
        <f>(-5-((((-5*(-5/((-5/(((-5*(42.36--5))-(-5+((-5*42.36)*(((-5--5)+(42.36--5))+42.36))))-(-5+-5)))*-5)))/-5)--5)+(-5*(((42.36*(42.36-(-5/-5)))*(42.36-(42.36/(-5*42.36))))-(-5/-5)))))</f>
        <v>376568.82208</v>
      </c>
      <c r="C14237" t="n" s="0">
        <v>376568.82208</v>
      </c>
    </row>
    <row r="14238">
      <c r="A14238" t="n" s="0">
        <v>42.37</v>
      </c>
      <c r="B14238" t="n" s="0">
        <f>(-5-((((-5*(-5/((-5/(((-5*(42.37--5))-(-5+((-5*42.37)*(((-5--5)+(42.37--5))+42.37))))-(-5+-5)))*-5)))/-5)--5)+(-5*(((42.37*(42.37-(-5/-5)))*(42.37-(42.37/(-5*42.37))))-(-5/-5)))))</f>
        <v>376836.376465</v>
      </c>
      <c r="C14238" t="n" s="0">
        <v>376836.376465</v>
      </c>
    </row>
    <row r="14239">
      <c r="A14239" t="n" s="0">
        <v>42.38</v>
      </c>
      <c r="B14239" t="n" s="0">
        <f>(-5-((((-5*(-5/((-5/(((-5*(42.38--5))-(-5+((-5*42.38)*(((-5--5)+(42.38--5))+42.38))))-(-5+-5)))*-5)))/-5)--5)+(-5*(((42.38*(42.38-(-5/-5)))*(42.38-(42.38/(-5*42.38))))-(-5/-5)))))</f>
        <v>377104.05756000004</v>
      </c>
      <c r="C14239" t="n" s="0">
        <v>377104.05756000004</v>
      </c>
    </row>
    <row r="14240">
      <c r="A14240" t="n" s="0">
        <v>42.39</v>
      </c>
      <c r="B14240" t="n" s="0">
        <f>(-5-((((-5*(-5/((-5/(((-5*(42.39--5))-(-5+((-5*42.39)*(((-5--5)+(42.39--5))+42.39))))-(-5+-5)))*-5)))/-5)--5)+(-5*(((42.39*(42.39-(-5/-5)))*(42.39-(42.39/(-5*42.39))))-(-5/-5)))))</f>
        <v>377371.86539500003</v>
      </c>
      <c r="C14240" t="n" s="0">
        <v>377371.86539500003</v>
      </c>
    </row>
    <row r="14241">
      <c r="A14241" t="n" s="0">
        <v>42.4</v>
      </c>
      <c r="B14241" t="n" s="0">
        <f>(-5-((((-5*(-5/((-5/(((-5*(42.4--5))-(-5+((-5*42.4)*(((-5--5)+(42.4--5))+42.4))))-(-5+-5)))*-5)))/-5)--5)+(-5*(((42.4*(42.4-(-5/-5)))*(42.4-(42.4/(-5*42.4))))-(-5/-5)))))</f>
        <v>377639.8</v>
      </c>
      <c r="C14241" t="n" s="0">
        <v>377639.79999999993</v>
      </c>
    </row>
    <row r="14242">
      <c r="A14242" t="n" s="0">
        <v>42.41</v>
      </c>
      <c r="B14242" t="n" s="0">
        <f>(-5-((((-5*(-5/((-5/(((-5*(42.41--5))-(-5+((-5*42.41)*(((-5--5)+(42.41--5))+42.41))))-(-5+-5)))*-5)))/-5)--5)+(-5*(((42.41*(42.41-(-5/-5)))*(42.41-(42.41/(-5*42.41))))-(-5/-5)))))</f>
        <v>377907.861405</v>
      </c>
      <c r="C14242" t="n" s="0">
        <v>377907.86140499986</v>
      </c>
    </row>
    <row r="14243">
      <c r="A14243" t="n" s="0">
        <v>42.42</v>
      </c>
      <c r="B14243" t="n" s="0">
        <f>(-5-((((-5*(-5/((-5/(((-5*(42.42--5))-(-5+((-5*42.42)*(((-5--5)+(42.42--5))+42.42))))-(-5+-5)))*-5)))/-5)--5)+(-5*(((42.42*(42.42-(-5/-5)))*(42.42-(42.42/(-5*42.42))))-(-5/-5)))))</f>
        <v>378176.04964</v>
      </c>
      <c r="C14243" t="n" s="0">
        <v>378176.04964000004</v>
      </c>
    </row>
    <row r="14244">
      <c r="A14244" t="n" s="0">
        <v>42.43</v>
      </c>
      <c r="B14244" t="n" s="0">
        <f>(-5-((((-5*(-5/((-5/(((-5*(42.43--5))-(-5+((-5*42.43)*(((-5--5)+(42.43--5))+42.43))))-(-5+-5)))*-5)))/-5)--5)+(-5*(((42.43*(42.43-(-5/-5)))*(42.43-(42.43/(-5*42.43))))-(-5/-5)))))</f>
        <v>378444.364735</v>
      </c>
      <c r="C14244" t="n" s="0">
        <v>378444.364735</v>
      </c>
    </row>
    <row r="14245">
      <c r="A14245" t="n" s="0">
        <v>42.44</v>
      </c>
      <c r="B14245" t="n" s="0">
        <f>(-5-((((-5*(-5/((-5/(((-5*(42.44--5))-(-5+((-5*42.44)*(((-5--5)+(42.44--5))+42.44))))-(-5+-5)))*-5)))/-5)--5)+(-5*(((42.44*(42.44-(-5/-5)))*(42.44-(42.44/(-5*42.44))))-(-5/-5)))))</f>
        <v>378712.80672</v>
      </c>
      <c r="C14245" t="n" s="0">
        <v>378712.80672</v>
      </c>
    </row>
    <row r="14246">
      <c r="A14246" t="n" s="0">
        <v>42.45</v>
      </c>
      <c r="B14246" t="n" s="0">
        <f>(-5-((((-5*(-5/((-5/(((-5*(42.45--5))-(-5+((-5*42.45)*(((-5--5)+(42.45--5))+42.45))))-(-5+-5)))*-5)))/-5)--5)+(-5*(((42.45*(42.45-(-5/-5)))*(42.45-(42.45/(-5*42.45))))-(-5/-5)))))</f>
        <v>378981.375625</v>
      </c>
      <c r="C14246" t="n" s="0">
        <v>378981.37562500004</v>
      </c>
    </row>
    <row r="14247">
      <c r="A14247" t="n" s="0">
        <v>42.46</v>
      </c>
      <c r="B14247" t="n" s="0">
        <f>(-5-((((-5*(-5/((-5/(((-5*(42.46--5))-(-5+((-5*42.46)*(((-5--5)+(42.46--5))+42.46))))-(-5+-5)))*-5)))/-5)--5)+(-5*(((42.46*(42.46-(-5/-5)))*(42.46-(42.46/(-5*42.46))))-(-5/-5)))))</f>
        <v>379250.07148</v>
      </c>
      <c r="C14247" t="n" s="0">
        <v>379250.07148000004</v>
      </c>
    </row>
    <row r="14248">
      <c r="A14248" t="n" s="0">
        <v>42.47</v>
      </c>
      <c r="B14248" t="n" s="0">
        <f>(-5-((((-5*(-5/((-5/(((-5*(42.47--5))-(-5+((-5*42.47)*(((-5--5)+(42.47--5))+42.47))))-(-5+-5)))*-5)))/-5)--5)+(-5*(((42.47*(42.47-(-5/-5)))*(42.47-(42.47/(-5*42.47))))-(-5/-5)))))</f>
        <v>379518.894315</v>
      </c>
      <c r="C14248" t="n" s="0">
        <v>379518.8943149999</v>
      </c>
    </row>
    <row r="14249">
      <c r="A14249" t="n" s="0">
        <v>42.48</v>
      </c>
      <c r="B14249" t="n" s="0">
        <f>(-5-((((-5*(-5/((-5/(((-5*(42.48--5))-(-5+((-5*42.48)*(((-5--5)+(42.48--5))+42.48))))-(-5+-5)))*-5)))/-5)--5)+(-5*(((42.48*(42.48-(-5/-5)))*(42.48-(42.48/(-5*42.48))))-(-5/-5)))))</f>
        <v>379787.84416</v>
      </c>
      <c r="C14249" t="n" s="0">
        <v>379787.8441599999</v>
      </c>
    </row>
    <row r="14250">
      <c r="A14250" t="n" s="0">
        <v>42.49</v>
      </c>
      <c r="B14250" t="n" s="0">
        <f>(-5-((((-5*(-5/((-5/(((-5*(42.49--5))-(-5+((-5*42.49)*(((-5--5)+(42.49--5))+42.49))))-(-5+-5)))*-5)))/-5)--5)+(-5*(((42.49*(42.49-(-5/-5)))*(42.49-(42.49/(-5*42.49))))-(-5/-5)))))</f>
        <v>380056.921045</v>
      </c>
      <c r="C14250" t="n" s="0">
        <v>380056.921045</v>
      </c>
    </row>
    <row r="14251">
      <c r="A14251" t="n" s="0">
        <v>42.5</v>
      </c>
      <c r="B14251" t="n" s="0">
        <f>(-5-((((-5*(-5/((-5/(((-5*(42.5--5))-(-5+((-5*42.5)*(((-5--5)+(42.5--5))+42.5))))-(-5+-5)))*-5)))/-5)--5)+(-5*(((42.5*(42.5-(-5/-5)))*(42.5-(42.5/(-5*42.5))))-(-5/-5)))))</f>
        <v>380326.125</v>
      </c>
      <c r="C14251" t="n" s="0">
        <v>380326.125</v>
      </c>
    </row>
    <row r="14252">
      <c r="A14252" t="n" s="0">
        <v>42.51</v>
      </c>
      <c r="B14252" t="n" s="0">
        <f>(-5-((((-5*(-5/((-5/(((-5*(42.51--5))-(-5+((-5*42.51)*(((-5--5)+(42.51--5))+42.51))))-(-5+-5)))*-5)))/-5)--5)+(-5*(((42.51*(42.51-(-5/-5)))*(42.51-(42.51/(-5*42.51))))-(-5/-5)))))</f>
        <v>380595.456055</v>
      </c>
      <c r="C14252" t="n" s="0">
        <v>380595.45605499996</v>
      </c>
    </row>
    <row r="14253">
      <c r="A14253" t="n" s="0">
        <v>42.52</v>
      </c>
      <c r="B14253" t="n" s="0">
        <f>(-5-((((-5*(-5/((-5/(((-5*(42.52--5))-(-5+((-5*42.52)*(((-5--5)+(42.52--5))+42.52))))-(-5+-5)))*-5)))/-5)--5)+(-5*(((42.52*(42.52-(-5/-5)))*(42.52-(42.52/(-5*42.52))))-(-5/-5)))))</f>
        <v>380864.91424</v>
      </c>
      <c r="C14253" t="n" s="0">
        <v>380864.91424000013</v>
      </c>
    </row>
    <row r="14254">
      <c r="A14254" t="n" s="0">
        <v>42.53</v>
      </c>
      <c r="B14254" t="n" s="0">
        <f>(-5-((((-5*(-5/((-5/(((-5*(42.53--5))-(-5+((-5*42.53)*(((-5--5)+(42.53--5))+42.53))))-(-5+-5)))*-5)))/-5)--5)+(-5*(((42.53*(42.53-(-5/-5)))*(42.53-(42.53/(-5*42.53))))-(-5/-5)))))</f>
        <v>381134.499585</v>
      </c>
      <c r="C14254" t="n" s="0">
        <v>381134.4995850001</v>
      </c>
    </row>
    <row r="14255">
      <c r="A14255" t="n" s="0">
        <v>42.54</v>
      </c>
      <c r="B14255" t="n" s="0">
        <f>(-5-((((-5*(-5/((-5/(((-5*(42.54--5))-(-5+((-5*42.54)*(((-5--5)+(42.54--5))+42.54))))-(-5+-5)))*-5)))/-5)--5)+(-5*(((42.54*(42.54-(-5/-5)))*(42.54-(42.54/(-5*42.54))))-(-5/-5)))))</f>
        <v>381404.21212</v>
      </c>
      <c r="C14255" t="n" s="0">
        <v>381404.2121199999</v>
      </c>
    </row>
    <row r="14256">
      <c r="A14256" t="n" s="0">
        <v>42.55</v>
      </c>
      <c r="B14256" t="n" s="0">
        <f>(-5-((((-5*(-5/((-5/(((-5*(42.55--5))-(-5+((-5*42.55)*(((-5--5)+(42.55--5))+42.55))))-(-5+-5)))*-5)))/-5)--5)+(-5*(((42.55*(42.55-(-5/-5)))*(42.55-(42.55/(-5*42.55))))-(-5/-5)))))</f>
        <v>381674.051875</v>
      </c>
      <c r="C14256" t="n" s="0">
        <v>381674.05187499995</v>
      </c>
    </row>
    <row r="14257">
      <c r="A14257" t="n" s="0">
        <v>42.56</v>
      </c>
      <c r="B14257" t="n" s="0">
        <f>(-5-((((-5*(-5/((-5/(((-5*(42.56--5))-(-5+((-5*42.56)*(((-5--5)+(42.56--5))+42.56))))-(-5+-5)))*-5)))/-5)--5)+(-5*(((42.56*(42.56-(-5/-5)))*(42.56-(42.56/(-5*42.56))))-(-5/-5)))))</f>
        <v>381944.01888</v>
      </c>
      <c r="C14257" t="n" s="0">
        <v>381944.0188800001</v>
      </c>
    </row>
    <row r="14258">
      <c r="A14258" t="n" s="0">
        <v>42.57</v>
      </c>
      <c r="B14258" t="n" s="0">
        <f>(-5-((((-5*(-5/((-5/(((-5*(42.57--5))-(-5+((-5*42.57)*(((-5--5)+(42.57--5))+42.57))))-(-5+-5)))*-5)))/-5)--5)+(-5*(((42.57*(42.57-(-5/-5)))*(42.57-(42.57/(-5*42.57))))-(-5/-5)))))</f>
        <v>382214.113165</v>
      </c>
      <c r="C14258" t="n" s="0">
        <v>382214.113165</v>
      </c>
    </row>
    <row r="14259">
      <c r="A14259" t="n" s="0">
        <v>42.58</v>
      </c>
      <c r="B14259" t="n" s="0">
        <f>(-5-((((-5*(-5/((-5/(((-5*(42.58--5))-(-5+((-5*42.58)*(((-5--5)+(42.58--5))+42.58))))-(-5+-5)))*-5)))/-5)--5)+(-5*(((42.58*(42.58-(-5/-5)))*(42.58-(42.58/(-5*42.58))))-(-5/-5)))))</f>
        <v>382484.33476</v>
      </c>
      <c r="C14259" t="n" s="0">
        <v>382484.33475999994</v>
      </c>
    </row>
    <row r="14260">
      <c r="A14260" t="n" s="0">
        <v>42.59</v>
      </c>
      <c r="B14260" t="n" s="0">
        <f>(-5-((((-5*(-5/((-5/(((-5*(42.59--5))-(-5+((-5*42.59)*(((-5--5)+(42.59--5))+42.59))))-(-5+-5)))*-5)))/-5)--5)+(-5*(((42.59*(42.59-(-5/-5)))*(42.59-(42.59/(-5*42.59))))-(-5/-5)))))</f>
        <v>382754.6836950001</v>
      </c>
      <c r="C14260" t="n" s="0">
        <v>382754.68369500013</v>
      </c>
    </row>
    <row r="14261">
      <c r="A14261" t="n" s="0">
        <v>42.6</v>
      </c>
      <c r="B14261" t="n" s="0">
        <f>(-5-((((-5*(-5/((-5/(((-5*(42.6--5))-(-5+((-5*42.6)*(((-5--5)+(42.6--5))+42.6))))-(-5+-5)))*-5)))/-5)--5)+(-5*(((42.6*(42.6-(-5/-5)))*(42.6-(42.6/(-5*42.6))))-(-5/-5)))))</f>
        <v>383025.16</v>
      </c>
      <c r="C14261" t="n" s="0">
        <v>383025.16000000003</v>
      </c>
    </row>
    <row r="14262">
      <c r="A14262" t="n" s="0">
        <v>42.61</v>
      </c>
      <c r="B14262" t="n" s="0">
        <f>(-5-((((-5*(-5/((-5/(((-5*(42.61--5))-(-5+((-5*42.61)*(((-5--5)+(42.61--5))+42.61))))-(-5+-5)))*-5)))/-5)--5)+(-5*(((42.61*(42.61-(-5/-5)))*(42.61-(42.61/(-5*42.61))))-(-5/-5)))))</f>
        <v>383295.763705</v>
      </c>
      <c r="C14262" t="n" s="0">
        <v>383295.76370500005</v>
      </c>
    </row>
    <row r="14263">
      <c r="A14263" t="n" s="0">
        <v>42.62</v>
      </c>
      <c r="B14263" t="n" s="0">
        <f>(-5-((((-5*(-5/((-5/(((-5*(42.62--5))-(-5+((-5*42.62)*(((-5--5)+(42.62--5))+42.62))))-(-5+-5)))*-5)))/-5)--5)+(-5*(((42.62*(42.62-(-5/-5)))*(42.62-(42.62/(-5*42.62))))-(-5/-5)))))</f>
        <v>383566.49484</v>
      </c>
      <c r="C14263" t="n" s="0">
        <v>383566.49483999994</v>
      </c>
    </row>
    <row r="14264">
      <c r="A14264" t="n" s="0">
        <v>42.63</v>
      </c>
      <c r="B14264" t="n" s="0">
        <f>(-5-((((-5*(-5/((-5/(((-5*(42.63--5))-(-5+((-5*42.63)*(((-5--5)+(42.63--5))+42.63))))-(-5+-5)))*-5)))/-5)--5)+(-5*(((42.63*(42.63-(-5/-5)))*(42.63-(42.63/(-5*42.63))))-(-5/-5)))))</f>
        <v>383837.35343500006</v>
      </c>
      <c r="C14264" t="n" s="0">
        <v>383837.35343500006</v>
      </c>
    </row>
    <row r="14265">
      <c r="A14265" t="n" s="0">
        <v>42.64</v>
      </c>
      <c r="B14265" t="n" s="0">
        <f>(-5-((((-5*(-5/((-5/(((-5*(42.64--5))-(-5+((-5*42.64)*(((-5--5)+(42.64--5))+42.64))))-(-5+-5)))*-5)))/-5)--5)+(-5*(((42.64*(42.64-(-5/-5)))*(42.64-(42.64/(-5*42.64))))-(-5/-5)))))</f>
        <v>384108.33952000004</v>
      </c>
      <c r="C14265" t="n" s="0">
        <v>384108.33952000004</v>
      </c>
    </row>
    <row r="14266">
      <c r="A14266" t="n" s="0">
        <v>42.65</v>
      </c>
      <c r="B14266" t="n" s="0">
        <f>(-5-((((-5*(-5/((-5/(((-5*(42.65--5))-(-5+((-5*42.65)*(((-5--5)+(42.65--5))+42.65))))-(-5+-5)))*-5)))/-5)--5)+(-5*(((42.65*(42.65-(-5/-5)))*(42.65-(42.65/(-5*42.65))))-(-5/-5)))))</f>
        <v>384379.45312499994</v>
      </c>
      <c r="C14266" t="n" s="0">
        <v>384379.453125</v>
      </c>
    </row>
    <row r="14267">
      <c r="A14267" t="n" s="0">
        <v>42.66</v>
      </c>
      <c r="B14267" t="n" s="0">
        <f>(-5-((((-5*(-5/((-5/(((-5*(42.66--5))-(-5+((-5*42.66)*(((-5--5)+(42.66--5))+42.66))))-(-5+-5)))*-5)))/-5)--5)+(-5*(((42.66*(42.66-(-5/-5)))*(42.66-(42.66/(-5*42.66))))-(-5/-5)))))</f>
        <v>384650.69428</v>
      </c>
      <c r="C14267" t="n" s="0">
        <v>384650.6942799999</v>
      </c>
    </row>
    <row r="14268">
      <c r="A14268" t="n" s="0">
        <v>42.67</v>
      </c>
      <c r="B14268" t="n" s="0">
        <f>(-5-((((-5*(-5/((-5/(((-5*(42.67--5))-(-5+((-5*42.67)*(((-5--5)+(42.67--5))+42.67))))-(-5+-5)))*-5)))/-5)--5)+(-5*(((42.67*(42.67-(-5/-5)))*(42.67-(42.67/(-5*42.67))))-(-5/-5)))))</f>
        <v>384922.063015</v>
      </c>
      <c r="C14268" t="n" s="0">
        <v>384922.0630150001</v>
      </c>
    </row>
    <row r="14269">
      <c r="A14269" t="n" s="0">
        <v>42.68</v>
      </c>
      <c r="B14269" t="n" s="0">
        <f>(-5-((((-5*(-5/((-5/(((-5*(42.68--5))-(-5+((-5*42.68)*(((-5--5)+(42.68--5))+42.68))))-(-5+-5)))*-5)))/-5)--5)+(-5*(((42.68*(42.68-(-5/-5)))*(42.68-(42.68/(-5*42.68))))-(-5/-5)))))</f>
        <v>385193.55936</v>
      </c>
      <c r="C14269" t="n" s="0">
        <v>385193.55935999996</v>
      </c>
    </row>
    <row r="14270">
      <c r="A14270" t="n" s="0">
        <v>42.69</v>
      </c>
      <c r="B14270" t="n" s="0">
        <f>(-5-((((-5*(-5/((-5/(((-5*(42.69--5))-(-5+((-5*42.69)*(((-5--5)+(42.69--5))+42.69))))-(-5+-5)))*-5)))/-5)--5)+(-5*(((42.69*(42.69-(-5/-5)))*(42.69-(42.69/(-5*42.69))))-(-5/-5)))))</f>
        <v>385465.18334499997</v>
      </c>
      <c r="C14270" t="n" s="0">
        <v>385465.18334499997</v>
      </c>
    </row>
    <row r="14271">
      <c r="A14271" t="n" s="0">
        <v>42.7</v>
      </c>
      <c r="B14271" t="n" s="0">
        <f>(-5-((((-5*(-5/((-5/(((-5*(42.7--5))-(-5+((-5*42.7)*(((-5--5)+(42.7--5))+42.7))))-(-5+-5)))*-5)))/-5)--5)+(-5*(((42.7*(42.7-(-5/-5)))*(42.7-(42.7/(-5*42.7))))-(-5/-5)))))</f>
        <v>385736.935</v>
      </c>
      <c r="C14271" t="n" s="0">
        <v>385736.93500000006</v>
      </c>
    </row>
    <row r="14272">
      <c r="A14272" t="n" s="0">
        <v>42.71</v>
      </c>
      <c r="B14272" t="n" s="0">
        <f>(-5-((((-5*(-5/((-5/(((-5*(42.71--5))-(-5+((-5*42.71)*(((-5--5)+(42.71--5))+42.71))))-(-5+-5)))*-5)))/-5)--5)+(-5*(((42.71*(42.71-(-5/-5)))*(42.71-(42.71/(-5*42.71))))-(-5/-5)))))</f>
        <v>386008.81435500004</v>
      </c>
      <c r="C14272" t="n" s="0">
        <v>386008.81435500004</v>
      </c>
    </row>
    <row r="14273">
      <c r="A14273" t="n" s="0">
        <v>42.72</v>
      </c>
      <c r="B14273" t="n" s="0">
        <f>(-5-((((-5*(-5/((-5/(((-5*(42.72--5))-(-5+((-5*42.72)*(((-5--5)+(42.72--5))+42.72))))-(-5+-5)))*-5)))/-5)--5)+(-5*(((42.72*(42.72-(-5/-5)))*(42.72-(42.72/(-5*42.72))))-(-5/-5)))))</f>
        <v>386280.82144</v>
      </c>
      <c r="C14273" t="n" s="0">
        <v>386280.82143999997</v>
      </c>
    </row>
    <row r="14274">
      <c r="A14274" t="n" s="0">
        <v>42.73</v>
      </c>
      <c r="B14274" t="n" s="0">
        <f>(-5-((((-5*(-5/((-5/(((-5*(42.73--5))-(-5+((-5*42.73)*(((-5--5)+(42.73--5))+42.73))))-(-5+-5)))*-5)))/-5)--5)+(-5*(((42.73*(42.73-(-5/-5)))*(42.73-(42.73/(-5*42.73))))-(-5/-5)))))</f>
        <v>386552.956285</v>
      </c>
      <c r="C14274" t="n" s="0">
        <v>386552.9562849999</v>
      </c>
    </row>
    <row r="14275">
      <c r="A14275" t="n" s="0">
        <v>42.74</v>
      </c>
      <c r="B14275" t="n" s="0">
        <f>(-5-((((-5*(-5/((-5/(((-5*(42.74--5))-(-5+((-5*42.74)*(((-5--5)+(42.74--5))+42.74))))-(-5+-5)))*-5)))/-5)--5)+(-5*(((42.74*(42.74-(-5/-5)))*(42.74-(42.74/(-5*42.74))))-(-5/-5)))))</f>
        <v>386825.21892</v>
      </c>
      <c r="C14275" t="n" s="0">
        <v>386825.21892</v>
      </c>
    </row>
    <row r="14276">
      <c r="A14276" t="n" s="0">
        <v>42.75</v>
      </c>
      <c r="B14276" t="n" s="0">
        <f>(-5-((((-5*(-5/((-5/(((-5*(42.75--5))-(-5+((-5*42.75)*(((-5--5)+(42.75--5))+42.75))))-(-5+-5)))*-5)))/-5)--5)+(-5*(((42.75*(42.75-(-5/-5)))*(42.75-(42.75/(-5*42.75))))-(-5/-5)))))</f>
        <v>387097.609375</v>
      </c>
      <c r="C14276" t="n" s="0">
        <v>387097.609375</v>
      </c>
    </row>
    <row r="14277">
      <c r="A14277" t="n" s="0">
        <v>42.76</v>
      </c>
      <c r="B14277" t="n" s="0">
        <f>(-5-((((-5*(-5/((-5/(((-5*(42.76--5))-(-5+((-5*42.76)*(((-5--5)+(42.76--5))+42.76))))-(-5+-5)))*-5)))/-5)--5)+(-5*(((42.76*(42.76-(-5/-5)))*(42.76-(42.76/(-5*42.76))))-(-5/-5)))))</f>
        <v>387370.12768</v>
      </c>
      <c r="C14277" t="n" s="0">
        <v>387370.12768000003</v>
      </c>
    </row>
    <row r="14278">
      <c r="A14278" t="n" s="0">
        <v>42.77</v>
      </c>
      <c r="B14278" t="n" s="0">
        <f>(-5-((((-5*(-5/((-5/(((-5*(42.77--5))-(-5+((-5*42.77)*(((-5--5)+(42.77--5))+42.77))))-(-5+-5)))*-5)))/-5)--5)+(-5*(((42.77*(42.77-(-5/-5)))*(42.77-(42.77/(-5*42.77))))-(-5/-5)))))</f>
        <v>387642.77386500005</v>
      </c>
      <c r="C14278" t="n" s="0">
        <v>387642.7738650001</v>
      </c>
    </row>
    <row r="14279">
      <c r="A14279" t="n" s="0">
        <v>42.78</v>
      </c>
      <c r="B14279" t="n" s="0">
        <f>(-5-((((-5*(-5/((-5/(((-5*(42.78--5))-(-5+((-5*42.78)*(((-5--5)+(42.78--5))+42.78))))-(-5+-5)))*-5)))/-5)--5)+(-5*(((42.78*(42.78-(-5/-5)))*(42.78-(42.78/(-5*42.78))))-(-5/-5)))))</f>
        <v>387915.54796</v>
      </c>
      <c r="C14279" t="n" s="0">
        <v>387915.5479600001</v>
      </c>
    </row>
    <row r="14280">
      <c r="A14280" t="n" s="0">
        <v>42.79</v>
      </c>
      <c r="B14280" t="n" s="0">
        <f>(-5-((((-5*(-5/((-5/(((-5*(42.79--5))-(-5+((-5*42.79)*(((-5--5)+(42.79--5))+42.79))))-(-5+-5)))*-5)))/-5)--5)+(-5*(((42.79*(42.79-(-5/-5)))*(42.79-(42.79/(-5*42.79))))-(-5/-5)))))</f>
        <v>388188.44999500003</v>
      </c>
      <c r="C14280" t="n" s="0">
        <v>388188.449995</v>
      </c>
    </row>
    <row r="14281">
      <c r="A14281" t="n" s="0">
        <v>42.8</v>
      </c>
      <c r="B14281" t="n" s="0">
        <f>(-5-((((-5*(-5/((-5/(((-5*(42.8--5))-(-5+((-5*42.8)*(((-5--5)+(42.8--5))+42.8))))-(-5+-5)))*-5)))/-5)--5)+(-5*(((42.8*(42.8-(-5/-5)))*(42.8-(42.8/(-5*42.8))))-(-5/-5)))))</f>
        <v>388461.48</v>
      </c>
      <c r="C14281" t="n" s="0">
        <v>388461.4799999999</v>
      </c>
    </row>
    <row r="14282">
      <c r="A14282" t="n" s="0">
        <v>42.81</v>
      </c>
      <c r="B14282" t="n" s="0">
        <f>(-5-((((-5*(-5/((-5/(((-5*(42.81--5))-(-5+((-5*42.81)*(((-5--5)+(42.81--5))+42.81))))-(-5+-5)))*-5)))/-5)--5)+(-5*(((42.81*(42.81-(-5/-5)))*(42.81-(42.81/(-5*42.81))))-(-5/-5)))))</f>
        <v>388734.638005</v>
      </c>
      <c r="C14282" t="n" s="0">
        <v>388734.638005</v>
      </c>
    </row>
    <row r="14283">
      <c r="A14283" t="n" s="0">
        <v>42.82</v>
      </c>
      <c r="B14283" t="n" s="0">
        <f>(-5-((((-5*(-5/((-5/(((-5*(42.82--5))-(-5+((-5*42.82)*(((-5--5)+(42.82--5))+42.82))))-(-5+-5)))*-5)))/-5)--5)+(-5*(((42.82*(42.82-(-5/-5)))*(42.82-(42.82/(-5*42.82))))-(-5/-5)))))</f>
        <v>389007.92404</v>
      </c>
      <c r="C14283" t="n" s="0">
        <v>389007.92404000007</v>
      </c>
    </row>
    <row r="14284">
      <c r="A14284" t="n" s="0">
        <v>42.83</v>
      </c>
      <c r="B14284" t="n" s="0">
        <f>(-5-((((-5*(-5/((-5/(((-5*(42.83--5))-(-5+((-5*42.83)*(((-5--5)+(42.83--5))+42.83))))-(-5+-5)))*-5)))/-5)--5)+(-5*(((42.83*(42.83-(-5/-5)))*(42.83-(42.83/(-5*42.83))))-(-5/-5)))))</f>
        <v>389281.338135</v>
      </c>
      <c r="C14284" t="n" s="0">
        <v>389281.3381349999</v>
      </c>
    </row>
    <row r="14285">
      <c r="A14285" t="n" s="0">
        <v>42.84</v>
      </c>
      <c r="B14285" t="n" s="0">
        <f>(-5-((((-5*(-5/((-5/(((-5*(42.84--5))-(-5+((-5*42.84)*(((-5--5)+(42.84--5))+42.84))))-(-5+-5)))*-5)))/-5)--5)+(-5*(((42.84*(42.84-(-5/-5)))*(42.84-(42.84/(-5*42.84))))-(-5/-5)))))</f>
        <v>389554.88032</v>
      </c>
      <c r="C14285" t="n" s="0">
        <v>389554.8803200001</v>
      </c>
    </row>
    <row r="14286">
      <c r="A14286" t="n" s="0">
        <v>42.85</v>
      </c>
      <c r="B14286" t="n" s="0">
        <f>(-5-((((-5*(-5/((-5/(((-5*(42.85--5))-(-5+((-5*42.85)*(((-5--5)+(42.85--5))+42.85))))-(-5+-5)))*-5)))/-5)--5)+(-5*(((42.85*(42.85-(-5/-5)))*(42.85-(42.85/(-5*42.85))))-(-5/-5)))))</f>
        <v>389828.55062500003</v>
      </c>
      <c r="C14286" t="n" s="0">
        <v>389828.55062500003</v>
      </c>
    </row>
    <row r="14287">
      <c r="A14287" t="n" s="0">
        <v>42.86</v>
      </c>
      <c r="B14287" t="n" s="0">
        <f>(-5-((((-5*(-5/((-5/(((-5*(42.86--5))-(-5+((-5*42.86)*(((-5--5)+(42.86--5))+42.86))))-(-5+-5)))*-5)))/-5)--5)+(-5*(((42.86*(42.86-(-5/-5)))*(42.86-(42.86/(-5*42.86))))-(-5/-5)))))</f>
        <v>390102.34907999996</v>
      </c>
      <c r="C14287" t="n" s="0">
        <v>390102.34908</v>
      </c>
    </row>
    <row r="14288">
      <c r="A14288" t="n" s="0">
        <v>42.87</v>
      </c>
      <c r="B14288" t="n" s="0">
        <f>(-5-((((-5*(-5/((-5/(((-5*(42.87--5))-(-5+((-5*42.87)*(((-5--5)+(42.87--5))+42.87))))-(-5+-5)))*-5)))/-5)--5)+(-5*(((42.87*(42.87-(-5/-5)))*(42.87-(42.87/(-5*42.87))))-(-5/-5)))))</f>
        <v>390376.275715</v>
      </c>
      <c r="C14288" t="n" s="0">
        <v>390376.27571499994</v>
      </c>
    </row>
    <row r="14289">
      <c r="A14289" t="n" s="0">
        <v>42.88</v>
      </c>
      <c r="B14289" t="n" s="0">
        <f>(-5-((((-5*(-5/((-5/(((-5*(42.88--5))-(-5+((-5*42.88)*(((-5--5)+(42.88--5))+42.88))))-(-5+-5)))*-5)))/-5)--5)+(-5*(((42.88*(42.88-(-5/-5)))*(42.88-(42.88/(-5*42.88))))-(-5/-5)))))</f>
        <v>390650.33056</v>
      </c>
      <c r="C14289" t="n" s="0">
        <v>390650.3305600001</v>
      </c>
    </row>
    <row r="14290">
      <c r="A14290" t="n" s="0">
        <v>42.89</v>
      </c>
      <c r="B14290" t="n" s="0">
        <f>(-5-((((-5*(-5/((-5/(((-5*(42.89--5))-(-5+((-5*42.89)*(((-5--5)+(42.89--5))+42.89))))-(-5+-5)))*-5)))/-5)--5)+(-5*(((42.89*(42.89-(-5/-5)))*(42.89-(42.89/(-5*42.89))))-(-5/-5)))))</f>
        <v>390924.513645</v>
      </c>
      <c r="C14290" t="n" s="0">
        <v>390924.513645</v>
      </c>
    </row>
    <row r="14291">
      <c r="A14291" t="n" s="0">
        <v>42.9</v>
      </c>
      <c r="B14291" t="n" s="0">
        <f>(-5-((((-5*(-5/((-5/(((-5*(42.9--5))-(-5+((-5*42.9)*(((-5--5)+(42.9--5))+42.9))))-(-5+-5)))*-5)))/-5)--5)+(-5*(((42.9*(42.9-(-5/-5)))*(42.9-(42.9/(-5*42.9))))-(-5/-5)))))</f>
        <v>391198.825</v>
      </c>
      <c r="C14291" t="n" s="0">
        <v>391198.82499999995</v>
      </c>
    </row>
    <row r="14292">
      <c r="A14292" t="n" s="0">
        <v>42.91</v>
      </c>
      <c r="B14292" t="n" s="0">
        <f>(-5-((((-5*(-5/((-5/(((-5*(42.91--5))-(-5+((-5*42.91)*(((-5--5)+(42.91--5))+42.91))))-(-5+-5)))*-5)))/-5)--5)+(-5*(((42.91*(42.91-(-5/-5)))*(42.91-(42.91/(-5*42.91))))-(-5/-5)))))</f>
        <v>391473.264655</v>
      </c>
      <c r="C14292" t="n" s="0">
        <v>391473.2646549999</v>
      </c>
    </row>
    <row r="14293">
      <c r="A14293" t="n" s="0">
        <v>42.92</v>
      </c>
      <c r="B14293" t="n" s="0">
        <f>(-5-((((-5*(-5/((-5/(((-5*(42.92--5))-(-5+((-5*42.92)*(((-5--5)+(42.92--5))+42.92))))-(-5+-5)))*-5)))/-5)--5)+(-5*(((42.92*(42.92-(-5/-5)))*(42.92-(42.92/(-5*42.92))))-(-5/-5)))))</f>
        <v>391747.83264000004</v>
      </c>
      <c r="C14293" t="n" s="0">
        <v>391747.83264000004</v>
      </c>
    </row>
    <row r="14294">
      <c r="A14294" t="n" s="0">
        <v>42.93</v>
      </c>
      <c r="B14294" t="n" s="0">
        <f>(-5-((((-5*(-5/((-5/(((-5*(42.93--5))-(-5+((-5*42.93)*(((-5--5)+(42.93--5))+42.93))))-(-5+-5)))*-5)))/-5)--5)+(-5*(((42.93*(42.93-(-5/-5)))*(42.93-(42.93/(-5*42.93))))-(-5/-5)))))</f>
        <v>392022.528985</v>
      </c>
      <c r="C14294" t="n" s="0">
        <v>392022.528985</v>
      </c>
    </row>
    <row r="14295">
      <c r="A14295" t="n" s="0">
        <v>42.94</v>
      </c>
      <c r="B14295" t="n" s="0">
        <f>(-5-((((-5*(-5/((-5/(((-5*(42.94--5))-(-5+((-5*42.94)*(((-5--5)+(42.94--5))+42.94))))-(-5+-5)))*-5)))/-5)--5)+(-5*(((42.94*(42.94-(-5/-5)))*(42.94-(42.94/(-5*42.94))))-(-5/-5)))))</f>
        <v>392297.35372</v>
      </c>
      <c r="C14295" t="n" s="0">
        <v>392297.35371999996</v>
      </c>
    </row>
    <row r="14296">
      <c r="A14296" t="n" s="0">
        <v>42.95</v>
      </c>
      <c r="B14296" t="n" s="0">
        <f>(-5-((((-5*(-5/((-5/(((-5*(42.95--5))-(-5+((-5*42.95)*(((-5--5)+(42.95--5))+42.95))))-(-5+-5)))*-5)))/-5)--5)+(-5*(((42.95*(42.95-(-5/-5)))*(42.95-(42.95/(-5*42.95))))-(-5/-5)))))</f>
        <v>392572.306875</v>
      </c>
      <c r="C14296" t="n" s="0">
        <v>392572.306875</v>
      </c>
    </row>
    <row r="14297">
      <c r="A14297" t="n" s="0">
        <v>42.96</v>
      </c>
      <c r="B14297" t="n" s="0">
        <f>(-5-((((-5*(-5/((-5/(((-5*(42.96--5))-(-5+((-5*42.96)*(((-5--5)+(42.96--5))+42.96))))-(-5+-5)))*-5)))/-5)--5)+(-5*(((42.96*(42.96-(-5/-5)))*(42.96-(42.96/(-5*42.96))))-(-5/-5)))))</f>
        <v>392847.38848</v>
      </c>
      <c r="C14297" t="n" s="0">
        <v>392847.38848</v>
      </c>
    </row>
    <row r="14298">
      <c r="A14298" t="n" s="0">
        <v>42.97</v>
      </c>
      <c r="B14298" t="n" s="0">
        <f>(-5-((((-5*(-5/((-5/(((-5*(42.97--5))-(-5+((-5*42.97)*(((-5--5)+(42.97--5))+42.97))))-(-5+-5)))*-5)))/-5)--5)+(-5*(((42.97*(42.97-(-5/-5)))*(42.97-(42.97/(-5*42.97))))-(-5/-5)))))</f>
        <v>393122.598565</v>
      </c>
      <c r="C14298" t="n" s="0">
        <v>393122.59856499993</v>
      </c>
    </row>
    <row r="14299">
      <c r="A14299" t="n" s="0">
        <v>42.98</v>
      </c>
      <c r="B14299" t="n" s="0">
        <f>(-5-((((-5*(-5/((-5/(((-5*(42.98--5))-(-5+((-5*42.98)*(((-5--5)+(42.98--5))+42.98))))-(-5+-5)))*-5)))/-5)--5)+(-5*(((42.98*(42.98-(-5/-5)))*(42.98-(42.98/(-5*42.98))))-(-5/-5)))))</f>
        <v>393397.93716000003</v>
      </c>
      <c r="C14299" t="n" s="0">
        <v>393397.93716</v>
      </c>
    </row>
    <row r="14300">
      <c r="A14300" t="n" s="0">
        <v>42.99</v>
      </c>
      <c r="B14300" t="n" s="0">
        <f>(-5-((((-5*(-5/((-5/(((-5*(42.99--5))-(-5+((-5*42.99)*(((-5--5)+(42.99--5))+42.99))))-(-5+-5)))*-5)))/-5)--5)+(-5*(((42.99*(42.99-(-5/-5)))*(42.99-(42.99/(-5*42.99))))-(-5/-5)))))</f>
        <v>393673.404295</v>
      </c>
      <c r="C14300" t="n" s="0">
        <v>393673.404295</v>
      </c>
    </row>
    <row r="14301">
      <c r="A14301" t="n" s="0">
        <v>43.0</v>
      </c>
      <c r="B14301" t="n" s="0">
        <f>(-5-((((-5*(-5/((-5/(((-5*(43--5))-(-5+((-5*43)*(((-5--5)+(43--5))+43))))-(-5+-5)))*-5)))/-5)--5)+(-5*(((43*(43-(-5/-5)))*(43-(43/(-5*43))))-(-5/-5)))))</f>
        <v>393949.0</v>
      </c>
      <c r="C14301" t="n" s="0">
        <v>393949.0</v>
      </c>
    </row>
    <row r="14302">
      <c r="A14302" t="n" s="0">
        <v>43.01</v>
      </c>
      <c r="B14302" t="n" s="0">
        <f>(-5-((((-5*(-5/((-5/(((-5*(43.01--5))-(-5+((-5*43.01)*(((-5--5)+(43.01--5))+43.01))))-(-5+-5)))*-5)))/-5)--5)+(-5*(((43.01*(43.01-(-5/-5)))*(43.01-(43.01/(-5*43.01))))-(-5/-5)))))</f>
        <v>394224.724305</v>
      </c>
      <c r="C14302" t="n" s="0">
        <v>394224.72430500004</v>
      </c>
    </row>
    <row r="14303">
      <c r="A14303" t="n" s="0">
        <v>43.02</v>
      </c>
      <c r="B14303" t="n" s="0">
        <f>(-5-((((-5*(-5/((-5/(((-5*(43.02--5))-(-5+((-5*43.02)*(((-5--5)+(43.02--5))+43.02))))-(-5+-5)))*-5)))/-5)--5)+(-5*(((43.02*(43.02-(-5/-5)))*(43.02-(43.02/(-5*43.02))))-(-5/-5)))))</f>
        <v>394500.57724</v>
      </c>
      <c r="C14303" t="n" s="0">
        <v>394500.5772400001</v>
      </c>
    </row>
    <row r="14304">
      <c r="A14304" t="n" s="0">
        <v>43.03</v>
      </c>
      <c r="B14304" t="n" s="0">
        <f>(-5-((((-5*(-5/((-5/(((-5*(43.03--5))-(-5+((-5*43.03)*(((-5--5)+(43.03--5))+43.03))))-(-5+-5)))*-5)))/-5)--5)+(-5*(((43.03*(43.03-(-5/-5)))*(43.03-(43.03/(-5*43.03))))-(-5/-5)))))</f>
        <v>394776.558835</v>
      </c>
      <c r="C14304" t="n" s="0">
        <v>394776.55883500003</v>
      </c>
    </row>
    <row r="14305">
      <c r="A14305" t="n" s="0">
        <v>43.04</v>
      </c>
      <c r="B14305" t="n" s="0">
        <f>(-5-((((-5*(-5/((-5/(((-5*(43.04--5))-(-5+((-5*43.04)*(((-5--5)+(43.04--5))+43.04))))-(-5+-5)))*-5)))/-5)--5)+(-5*(((43.04*(43.04-(-5/-5)))*(43.04-(43.04/(-5*43.04))))-(-5/-5)))))</f>
        <v>395052.66912000004</v>
      </c>
      <c r="C14305" t="n" s="0">
        <v>395052.66912</v>
      </c>
    </row>
    <row r="14306">
      <c r="A14306" t="n" s="0">
        <v>43.05</v>
      </c>
      <c r="B14306" t="n" s="0">
        <f>(-5-((((-5*(-5/((-5/(((-5*(43.05--5))-(-5+((-5*43.05)*(((-5--5)+(43.05--5))+43.05))))-(-5+-5)))*-5)))/-5)--5)+(-5*(((43.05*(43.05-(-5/-5)))*(43.05-(43.05/(-5*43.05))))-(-5/-5)))))</f>
        <v>395328.908125</v>
      </c>
      <c r="C14306" t="n" s="0">
        <v>395328.90812499996</v>
      </c>
    </row>
    <row r="14307">
      <c r="A14307" t="n" s="0">
        <v>43.06</v>
      </c>
      <c r="B14307" t="n" s="0">
        <f>(-5-((((-5*(-5/((-5/(((-5*(43.06--5))-(-5+((-5*43.06)*(((-5--5)+(43.06--5))+43.06))))-(-5+-5)))*-5)))/-5)--5)+(-5*(((43.06*(43.06-(-5/-5)))*(43.06-(43.06/(-5*43.06))))-(-5/-5)))))</f>
        <v>395605.27588</v>
      </c>
      <c r="C14307" t="n" s="0">
        <v>395605.2758800001</v>
      </c>
    </row>
    <row r="14308">
      <c r="A14308" t="n" s="0">
        <v>43.07</v>
      </c>
      <c r="B14308" t="n" s="0">
        <f>(-5-((((-5*(-5/((-5/(((-5*(43.07--5))-(-5+((-5*43.07)*(((-5--5)+(43.07--5))+43.07))))-(-5+-5)))*-5)))/-5)--5)+(-5*(((43.07*(43.07-(-5/-5)))*(43.07-(43.07/(-5*43.07))))-(-5/-5)))))</f>
        <v>395881.772415</v>
      </c>
      <c r="C14308" t="n" s="0">
        <v>395881.7724150001</v>
      </c>
    </row>
    <row r="14309">
      <c r="A14309" t="n" s="0">
        <v>43.08</v>
      </c>
      <c r="B14309" t="n" s="0">
        <f>(-5-((((-5*(-5/((-5/(((-5*(43.08--5))-(-5+((-5*43.08)*(((-5--5)+(43.08--5))+43.08))))-(-5+-5)))*-5)))/-5)--5)+(-5*(((43.08*(43.08-(-5/-5)))*(43.08-(43.08/(-5*43.08))))-(-5/-5)))))</f>
        <v>396158.39776</v>
      </c>
      <c r="C14309" t="n" s="0">
        <v>396158.39775999996</v>
      </c>
    </row>
    <row r="14310">
      <c r="A14310" t="n" s="0">
        <v>43.09</v>
      </c>
      <c r="B14310" t="n" s="0">
        <f>(-5-((((-5*(-5/((-5/(((-5*(43.09--5))-(-5+((-5*43.09)*(((-5--5)+(43.09--5))+43.09))))-(-5+-5)))*-5)))/-5)--5)+(-5*(((43.09*(43.09-(-5/-5)))*(43.09-(43.09/(-5*43.09))))-(-5/-5)))))</f>
        <v>396435.151945</v>
      </c>
      <c r="C14310" t="n" s="0">
        <v>396435.15194500017</v>
      </c>
    </row>
    <row r="14311">
      <c r="A14311" t="n" s="0">
        <v>43.1</v>
      </c>
      <c r="B14311" t="n" s="0">
        <f>(-5-((((-5*(-5/((-5/(((-5*(43.1--5))-(-5+((-5*43.1)*(((-5--5)+(43.1--5))+43.1))))-(-5+-5)))*-5)))/-5)--5)+(-5*(((43.1*(43.1-(-5/-5)))*(43.1-(43.1/(-5*43.1))))-(-5/-5)))))</f>
        <v>396712.035</v>
      </c>
      <c r="C14311" t="n" s="0">
        <v>396712.0350000001</v>
      </c>
    </row>
    <row r="14312">
      <c r="A14312" t="n" s="0">
        <v>43.11</v>
      </c>
      <c r="B14312" t="n" s="0">
        <f>(-5-((((-5*(-5/((-5/(((-5*(43.11--5))-(-5+((-5*43.11)*(((-5--5)+(43.11--5))+43.11))))-(-5+-5)))*-5)))/-5)--5)+(-5*(((43.11*(43.11-(-5/-5)))*(43.11-(43.11/(-5*43.11))))-(-5/-5)))))</f>
        <v>396989.04695499997</v>
      </c>
      <c r="C14312" t="n" s="0">
        <v>396989.04695499997</v>
      </c>
    </row>
    <row r="14313">
      <c r="A14313" t="n" s="0">
        <v>43.12</v>
      </c>
      <c r="B14313" t="n" s="0">
        <f>(-5-((((-5*(-5/((-5/(((-5*(43.12--5))-(-5+((-5*43.12)*(((-5--5)+(43.12--5))+43.12))))-(-5+-5)))*-5)))/-5)--5)+(-5*(((43.12*(43.12-(-5/-5)))*(43.12-(43.12/(-5*43.12))))-(-5/-5)))))</f>
        <v>397266.18784</v>
      </c>
      <c r="C14313" t="n" s="0">
        <v>397266.18783999997</v>
      </c>
    </row>
    <row r="14314">
      <c r="A14314" t="n" s="0">
        <v>43.13</v>
      </c>
      <c r="B14314" t="n" s="0">
        <f>(-5-((((-5*(-5/((-5/(((-5*(43.13--5))-(-5+((-5*43.13)*(((-5--5)+(43.13--5))+43.13))))-(-5+-5)))*-5)))/-5)--5)+(-5*(((43.13*(43.13-(-5/-5)))*(43.13-(43.13/(-5*43.13))))-(-5/-5)))))</f>
        <v>397543.457685</v>
      </c>
      <c r="C14314" t="n" s="0">
        <v>397543.45768500003</v>
      </c>
    </row>
    <row r="14315">
      <c r="A14315" t="n" s="0">
        <v>43.14</v>
      </c>
      <c r="B14315" t="n" s="0">
        <f>(-5-((((-5*(-5/((-5/(((-5*(43.14--5))-(-5+((-5*43.14)*(((-5--5)+(43.14--5))+43.14))))-(-5+-5)))*-5)))/-5)--5)+(-5*(((43.14*(43.14-(-5/-5)))*(43.14-(43.14/(-5*43.14))))-(-5/-5)))))</f>
        <v>397820.85652000003</v>
      </c>
      <c r="C14315" t="n" s="0">
        <v>397820.85652000003</v>
      </c>
    </row>
    <row r="14316">
      <c r="A14316" t="n" s="0">
        <v>43.15</v>
      </c>
      <c r="B14316" t="n" s="0">
        <f>(-5-((((-5*(-5/((-5/(((-5*(43.15--5))-(-5+((-5*43.15)*(((-5--5)+(43.15--5))+43.15))))-(-5+-5)))*-5)))/-5)--5)+(-5*(((43.15*(43.15-(-5/-5)))*(43.15-(43.15/(-5*43.15))))-(-5/-5)))))</f>
        <v>398098.384375</v>
      </c>
      <c r="C14316" t="n" s="0">
        <v>398098.38437499997</v>
      </c>
    </row>
    <row r="14317">
      <c r="A14317" t="n" s="0">
        <v>43.16</v>
      </c>
      <c r="B14317" t="n" s="0">
        <f>(-5-((((-5*(-5/((-5/(((-5*(43.16--5))-(-5+((-5*43.16)*(((-5--5)+(43.16--5))+43.16))))-(-5+-5)))*-5)))/-5)--5)+(-5*(((43.16*(43.16-(-5/-5)))*(43.16-(43.16/(-5*43.16))))-(-5/-5)))))</f>
        <v>398376.04128</v>
      </c>
      <c r="C14317" t="n" s="0">
        <v>398376.0412799999</v>
      </c>
    </row>
    <row r="14318">
      <c r="A14318" t="n" s="0">
        <v>43.17</v>
      </c>
      <c r="B14318" t="n" s="0">
        <f>(-5-((((-5*(-5/((-5/(((-5*(43.17--5))-(-5+((-5*43.17)*(((-5--5)+(43.17--5))+43.17))))-(-5+-5)))*-5)))/-5)--5)+(-5*(((43.17*(43.17-(-5/-5)))*(43.17-(43.17/(-5*43.17))))-(-5/-5)))))</f>
        <v>398653.82726499997</v>
      </c>
      <c r="C14318" t="n" s="0">
        <v>398653.827265</v>
      </c>
    </row>
    <row r="14319">
      <c r="A14319" t="n" s="0">
        <v>43.18</v>
      </c>
      <c r="B14319" t="n" s="0">
        <f>(-5-((((-5*(-5/((-5/(((-5*(43.18--5))-(-5+((-5*43.18)*(((-5--5)+(43.18--5))+43.18))))-(-5+-5)))*-5)))/-5)--5)+(-5*(((43.18*(43.18-(-5/-5)))*(43.18-(43.18/(-5*43.18))))-(-5/-5)))))</f>
        <v>398931.74236</v>
      </c>
      <c r="C14319" t="n" s="0">
        <v>398931.74236</v>
      </c>
    </row>
    <row r="14320">
      <c r="A14320" t="n" s="0">
        <v>43.19</v>
      </c>
      <c r="B14320" t="n" s="0">
        <f>(-5-((((-5*(-5/((-5/(((-5*(43.19--5))-(-5+((-5*43.19)*(((-5--5)+(43.19--5))+43.19))))-(-5+-5)))*-5)))/-5)--5)+(-5*(((43.19*(43.19-(-5/-5)))*(43.19-(43.19/(-5*43.19))))-(-5/-5)))))</f>
        <v>399209.786595</v>
      </c>
      <c r="C14320" t="n" s="0">
        <v>399209.7865949999</v>
      </c>
    </row>
    <row r="14321">
      <c r="A14321" t="n" s="0">
        <v>43.2</v>
      </c>
      <c r="B14321" t="n" s="0">
        <f>(-5-((((-5*(-5/((-5/(((-5*(43.2--5))-(-5+((-5*43.2)*(((-5--5)+(43.2--5))+43.2))))-(-5+-5)))*-5)))/-5)--5)+(-5*(((43.2*(43.2-(-5/-5)))*(43.2-(43.2/(-5*43.2))))-(-5/-5)))))</f>
        <v>399487.96</v>
      </c>
      <c r="C14321" t="n" s="0">
        <v>399487.9600000001</v>
      </c>
    </row>
    <row r="14322">
      <c r="A14322" t="n" s="0">
        <v>43.21</v>
      </c>
      <c r="B14322" t="n" s="0">
        <f>(-5-((((-5*(-5/((-5/(((-5*(43.21--5))-(-5+((-5*43.21)*(((-5--5)+(43.21--5))+43.21))))-(-5+-5)))*-5)))/-5)--5)+(-5*(((43.21*(43.21-(-5/-5)))*(43.21-(43.21/(-5*43.21))))-(-5/-5)))))</f>
        <v>399766.262605</v>
      </c>
      <c r="C14322" t="n" s="0">
        <v>399766.26260500005</v>
      </c>
    </row>
    <row r="14323">
      <c r="A14323" t="n" s="0">
        <v>43.22</v>
      </c>
      <c r="B14323" t="n" s="0">
        <f>(-5-((((-5*(-5/((-5/(((-5*(43.22--5))-(-5+((-5*43.22)*(((-5--5)+(43.22--5))+43.22))))-(-5+-5)))*-5)))/-5)--5)+(-5*(((43.22*(43.22-(-5/-5)))*(43.22-(43.22/(-5*43.22))))-(-5/-5)))))</f>
        <v>400044.69444</v>
      </c>
      <c r="C14323" t="n" s="0">
        <v>400044.69443999993</v>
      </c>
    </row>
    <row r="14324">
      <c r="A14324" t="n" s="0">
        <v>43.23</v>
      </c>
      <c r="B14324" t="n" s="0">
        <f>(-5-((((-5*(-5/((-5/(((-5*(43.23--5))-(-5+((-5*43.23)*(((-5--5)+(43.23--5))+43.23))))-(-5+-5)))*-5)))/-5)--5)+(-5*(((43.23*(43.23-(-5/-5)))*(43.23-(43.23/(-5*43.23))))-(-5/-5)))))</f>
        <v>400323.255535</v>
      </c>
      <c r="C14324" t="n" s="0">
        <v>400323.25553499995</v>
      </c>
    </row>
    <row r="14325">
      <c r="A14325" t="n" s="0">
        <v>43.24</v>
      </c>
      <c r="B14325" t="n" s="0">
        <f>(-5-((((-5*(-5/((-5/(((-5*(43.24--5))-(-5+((-5*43.24)*(((-5--5)+(43.24--5))+43.24))))-(-5+-5)))*-5)))/-5)--5)+(-5*(((43.24*(43.24-(-5/-5)))*(43.24-(43.24/(-5*43.24))))-(-5/-5)))))</f>
        <v>400601.94591999997</v>
      </c>
      <c r="C14325" t="n" s="0">
        <v>400601.94591999997</v>
      </c>
    </row>
    <row r="14326">
      <c r="A14326" t="n" s="0">
        <v>43.25</v>
      </c>
      <c r="B14326" t="n" s="0">
        <f>(-5-((((-5*(-5/((-5/(((-5*(43.25--5))-(-5+((-5*43.25)*(((-5--5)+(43.25--5))+43.25))))-(-5+-5)))*-5)))/-5)--5)+(-5*(((43.25*(43.25-(-5/-5)))*(43.25-(43.25/(-5*43.25))))-(-5/-5)))))</f>
        <v>400880.765625</v>
      </c>
      <c r="C14326" t="n" s="0">
        <v>400880.765625</v>
      </c>
    </row>
    <row r="14327">
      <c r="A14327" t="n" s="0">
        <v>43.26</v>
      </c>
      <c r="B14327" t="n" s="0">
        <f>(-5-((((-5*(-5/((-5/(((-5*(43.26--5))-(-5+((-5*43.26)*(((-5--5)+(43.26--5))+43.26))))-(-5+-5)))*-5)))/-5)--5)+(-5*(((43.26*(43.26-(-5/-5)))*(43.26-(43.26/(-5*43.26))))-(-5/-5)))))</f>
        <v>401159.71468000003</v>
      </c>
      <c r="C14327" t="n" s="0">
        <v>401159.71468</v>
      </c>
    </row>
    <row r="14328">
      <c r="A14328" t="n" s="0">
        <v>43.27</v>
      </c>
      <c r="B14328" t="n" s="0">
        <f>(-5-((((-5*(-5/((-5/(((-5*(43.27--5))-(-5+((-5*43.27)*(((-5--5)+(43.27--5))+43.27))))-(-5+-5)))*-5)))/-5)--5)+(-5*(((43.27*(43.27-(-5/-5)))*(43.27-(43.27/(-5*43.27))))-(-5/-5)))))</f>
        <v>401438.793115</v>
      </c>
      <c r="C14328" t="n" s="0">
        <v>401438.7931150001</v>
      </c>
    </row>
    <row r="14329">
      <c r="A14329" t="n" s="0">
        <v>43.28</v>
      </c>
      <c r="B14329" t="n" s="0">
        <f>(-5-((((-5*(-5/((-5/(((-5*(43.28--5))-(-5+((-5*43.28)*(((-5--5)+(43.28--5))+43.28))))-(-5+-5)))*-5)))/-5)--5)+(-5*(((43.28*(43.28-(-5/-5)))*(43.28-(43.28/(-5*43.28))))-(-5/-5)))))</f>
        <v>401718.00096000003</v>
      </c>
      <c r="C14329" t="n" s="0">
        <v>401718.0009600001</v>
      </c>
    </row>
    <row r="14330">
      <c r="A14330" t="n" s="0">
        <v>43.29</v>
      </c>
      <c r="B14330" t="n" s="0">
        <f>(-5-((((-5*(-5/((-5/(((-5*(43.29--5))-(-5+((-5*43.29)*(((-5--5)+(43.29--5))+43.29))))-(-5+-5)))*-5)))/-5)--5)+(-5*(((43.29*(43.29-(-5/-5)))*(43.29-(43.29/(-5*43.29))))-(-5/-5)))))</f>
        <v>401997.338245</v>
      </c>
      <c r="C14330" t="n" s="0">
        <v>401997.338245</v>
      </c>
    </row>
    <row r="14331">
      <c r="A14331" t="n" s="0">
        <v>43.3</v>
      </c>
      <c r="B14331" t="n" s="0">
        <f>(-5-((((-5*(-5/((-5/(((-5*(43.3--5))-(-5+((-5*43.3)*(((-5--5)+(43.3--5))+43.3))))-(-5+-5)))*-5)))/-5)--5)+(-5*(((43.3*(43.3-(-5/-5)))*(43.3-(43.3/(-5*43.3))))-(-5/-5)))))</f>
        <v>402276.80500000005</v>
      </c>
      <c r="C14331" t="n" s="0">
        <v>402276.8049999999</v>
      </c>
    </row>
    <row r="14332">
      <c r="A14332" t="n" s="0">
        <v>43.31</v>
      </c>
      <c r="B14332" t="n" s="0">
        <f>(-5-((((-5*(-5/((-5/(((-5*(43.31--5))-(-5+((-5*43.31)*(((-5--5)+(43.31--5))+43.31))))-(-5+-5)))*-5)))/-5)--5)+(-5*(((43.31*(43.31-(-5/-5)))*(43.31-(43.31/(-5*43.31))))-(-5/-5)))))</f>
        <v>402556.40125500003</v>
      </c>
      <c r="C14332" t="n" s="0">
        <v>402556.40125500003</v>
      </c>
    </row>
    <row r="14333">
      <c r="A14333" t="n" s="0">
        <v>43.32</v>
      </c>
      <c r="B14333" t="n" s="0">
        <f>(-5-((((-5*(-5/((-5/(((-5*(43.32--5))-(-5+((-5*43.32)*(((-5--5)+(43.32--5))+43.32))))-(-5+-5)))*-5)))/-5)--5)+(-5*(((43.32*(43.32-(-5/-5)))*(43.32-(43.32/(-5*43.32))))-(-5/-5)))))</f>
        <v>402836.12704</v>
      </c>
      <c r="C14333" t="n" s="0">
        <v>402836.12704000005</v>
      </c>
    </row>
    <row r="14334">
      <c r="A14334" t="n" s="0">
        <v>43.33</v>
      </c>
      <c r="B14334" t="n" s="0">
        <f>(-5-((((-5*(-5/((-5/(((-5*(43.33--5))-(-5+((-5*43.33)*(((-5--5)+(43.33--5))+43.33))))-(-5+-5)))*-5)))/-5)--5)+(-5*(((43.33*(43.33-(-5/-5)))*(43.33-(43.33/(-5*43.33))))-(-5/-5)))))</f>
        <v>403115.982385</v>
      </c>
      <c r="C14334" t="n" s="0">
        <v>403115.9823849999</v>
      </c>
    </row>
    <row r="14335">
      <c r="A14335" t="n" s="0">
        <v>43.34</v>
      </c>
      <c r="B14335" t="n" s="0">
        <f>(-5-((((-5*(-5/((-5/(((-5*(43.34--5))-(-5+((-5*43.34)*(((-5--5)+(43.34--5))+43.34))))-(-5+-5)))*-5)))/-5)--5)+(-5*(((43.34*(43.34-(-5/-5)))*(43.34-(43.34/(-5*43.34))))-(-5/-5)))))</f>
        <v>403395.96732</v>
      </c>
      <c r="C14335" t="n" s="0">
        <v>403395.96732000005</v>
      </c>
    </row>
    <row r="14336">
      <c r="A14336" t="n" s="0">
        <v>43.35</v>
      </c>
      <c r="B14336" t="n" s="0">
        <f>(-5-((((-5*(-5/((-5/(((-5*(43.35--5))-(-5+((-5*43.35)*(((-5--5)+(43.35--5))+43.35))))-(-5+-5)))*-5)))/-5)--5)+(-5*(((43.35*(43.35-(-5/-5)))*(43.35-(43.35/(-5*43.35))))-(-5/-5)))))</f>
        <v>403676.081875</v>
      </c>
      <c r="C14336" t="n" s="0">
        <v>403676.081875</v>
      </c>
    </row>
    <row r="14337">
      <c r="A14337" t="n" s="0">
        <v>43.36</v>
      </c>
      <c r="B14337" t="n" s="0">
        <f>(-5-((((-5*(-5/((-5/(((-5*(43.36--5))-(-5+((-5*43.36)*(((-5--5)+(43.36--5))+43.36))))-(-5+-5)))*-5)))/-5)--5)+(-5*(((43.36*(43.36-(-5/-5)))*(43.36-(43.36/(-5*43.36))))-(-5/-5)))))</f>
        <v>403956.32608</v>
      </c>
      <c r="C14337" t="n" s="0">
        <v>403956.32608</v>
      </c>
    </row>
    <row r="14338">
      <c r="A14338" t="n" s="0">
        <v>43.37</v>
      </c>
      <c r="B14338" t="n" s="0">
        <f>(-5-((((-5*(-5/((-5/(((-5*(43.37--5))-(-5+((-5*43.37)*(((-5--5)+(43.37--5))+43.37))))-(-5+-5)))*-5)))/-5)--5)+(-5*(((43.37*(43.37-(-5/-5)))*(43.37-(43.37/(-5*43.37))))-(-5/-5)))))</f>
        <v>404236.69996500004</v>
      </c>
      <c r="C14338" t="n" s="0">
        <v>404236.699965</v>
      </c>
    </row>
    <row r="14339">
      <c r="A14339" t="n" s="0">
        <v>43.38</v>
      </c>
      <c r="B14339" t="n" s="0">
        <f>(-5-((((-5*(-5/((-5/(((-5*(43.38--5))-(-5+((-5*43.38)*(((-5--5)+(43.38--5))+43.38))))-(-5+-5)))*-5)))/-5)--5)+(-5*(((43.38*(43.38-(-5/-5)))*(43.38-(43.38/(-5*43.38))))-(-5/-5)))))</f>
        <v>404517.20356000005</v>
      </c>
      <c r="C14339" t="n" s="0">
        <v>404517.20356000005</v>
      </c>
    </row>
    <row r="14340">
      <c r="A14340" t="n" s="0">
        <v>43.39</v>
      </c>
      <c r="B14340" t="n" s="0">
        <f>(-5-((((-5*(-5/((-5/(((-5*(43.39--5))-(-5+((-5*43.39)*(((-5--5)+(43.39--5))+43.39))))-(-5+-5)))*-5)))/-5)--5)+(-5*(((43.39*(43.39-(-5/-5)))*(43.39-(43.39/(-5*43.39))))-(-5/-5)))))</f>
        <v>404797.836895</v>
      </c>
      <c r="C14340" t="n" s="0">
        <v>404797.836895</v>
      </c>
    </row>
    <row r="14341">
      <c r="A14341" t="n" s="0">
        <v>43.4</v>
      </c>
      <c r="B14341" t="n" s="0">
        <f>(-5-((((-5*(-5/((-5/(((-5*(43.4--5))-(-5+((-5*43.4)*(((-5--5)+(43.4--5))+43.4))))-(-5+-5)))*-5)))/-5)--5)+(-5*(((43.4*(43.4-(-5/-5)))*(43.4-(43.4/(-5*43.4))))-(-5/-5)))))</f>
        <v>405078.6</v>
      </c>
      <c r="C14341" t="n" s="0">
        <v>405078.5999999999</v>
      </c>
    </row>
    <row r="14342">
      <c r="A14342" t="n" s="0">
        <v>43.41</v>
      </c>
      <c r="B14342" t="n" s="0">
        <f>(-5-((((-5*(-5/((-5/(((-5*(43.41--5))-(-5+((-5*43.41)*(((-5--5)+(43.41--5))+43.41))))-(-5+-5)))*-5)))/-5)--5)+(-5*(((43.41*(43.41-(-5/-5)))*(43.41-(43.41/(-5*43.41))))-(-5/-5)))))</f>
        <v>405359.492905</v>
      </c>
      <c r="C14342" t="n" s="0">
        <v>405359.49290499993</v>
      </c>
    </row>
    <row r="14343">
      <c r="A14343" t="n" s="0">
        <v>43.42</v>
      </c>
      <c r="B14343" t="n" s="0">
        <f>(-5-((((-5*(-5/((-5/(((-5*(43.42--5))-(-5+((-5*43.42)*(((-5--5)+(43.42--5))+43.42))))-(-5+-5)))*-5)))/-5)--5)+(-5*(((43.42*(43.42-(-5/-5)))*(43.42-(43.42/(-5*43.42))))-(-5/-5)))))</f>
        <v>405640.51564000006</v>
      </c>
      <c r="C14343" t="n" s="0">
        <v>405640.51564000006</v>
      </c>
    </row>
    <row r="14344">
      <c r="A14344" t="n" s="0">
        <v>43.43</v>
      </c>
      <c r="B14344" t="n" s="0">
        <f>(-5-((((-5*(-5/((-5/(((-5*(43.43--5))-(-5+((-5*43.43)*(((-5--5)+(43.43--5))+43.43))))-(-5+-5)))*-5)))/-5)--5)+(-5*(((43.43*(43.43-(-5/-5)))*(43.43-(43.43/(-5*43.43))))-(-5/-5)))))</f>
        <v>405921.668235</v>
      </c>
      <c r="C14344" t="n" s="0">
        <v>405921.668235</v>
      </c>
    </row>
    <row r="14345">
      <c r="A14345" t="n" s="0">
        <v>43.44</v>
      </c>
      <c r="B14345" t="n" s="0">
        <f>(-5-((((-5*(-5/((-5/(((-5*(43.44--5))-(-5+((-5*43.44)*(((-5--5)+(43.44--5))+43.44))))-(-5+-5)))*-5)))/-5)--5)+(-5*(((43.44*(43.44-(-5/-5)))*(43.44-(43.44/(-5*43.44))))-(-5/-5)))))</f>
        <v>406202.95072</v>
      </c>
      <c r="C14345" t="n" s="0">
        <v>406202.9507199999</v>
      </c>
    </row>
    <row r="14346">
      <c r="A14346" t="n" s="0">
        <v>43.45</v>
      </c>
      <c r="B14346" t="n" s="0">
        <f>(-5-((((-5*(-5/((-5/(((-5*(43.45--5))-(-5+((-5*43.45)*(((-5--5)+(43.45--5))+43.45))))-(-5+-5)))*-5)))/-5)--5)+(-5*(((43.45*(43.45-(-5/-5)))*(43.45-(43.45/(-5*43.45))))-(-5/-5)))))</f>
        <v>406484.363125</v>
      </c>
      <c r="C14346" t="n" s="0">
        <v>406484.36312500003</v>
      </c>
    </row>
    <row r="14347">
      <c r="A14347" t="n" s="0">
        <v>43.46</v>
      </c>
      <c r="B14347" t="n" s="0">
        <f>(-5-((((-5*(-5/((-5/(((-5*(43.46--5))-(-5+((-5*43.46)*(((-5--5)+(43.46--5))+43.46))))-(-5+-5)))*-5)))/-5)--5)+(-5*(((43.46*(43.46-(-5/-5)))*(43.46-(43.46/(-5*43.46))))-(-5/-5)))))</f>
        <v>406765.90547999996</v>
      </c>
      <c r="C14347" t="n" s="0">
        <v>406765.90548</v>
      </c>
    </row>
    <row r="14348">
      <c r="A14348" t="n" s="0">
        <v>43.47</v>
      </c>
      <c r="B14348" t="n" s="0">
        <f>(-5-((((-5*(-5/((-5/(((-5*(43.47--5))-(-5+((-5*43.47)*(((-5--5)+(43.47--5))+43.47))))-(-5+-5)))*-5)))/-5)--5)+(-5*(((43.47*(43.47-(-5/-5)))*(43.47-(43.47/(-5*43.47))))-(-5/-5)))))</f>
        <v>407047.577815</v>
      </c>
      <c r="C14348" t="n" s="0">
        <v>407047.57781499997</v>
      </c>
    </row>
    <row r="14349">
      <c r="A14349" t="n" s="0">
        <v>43.48</v>
      </c>
      <c r="B14349" t="n" s="0">
        <f>(-5-((((-5*(-5/((-5/(((-5*(43.48--5))-(-5+((-5*43.48)*(((-5--5)+(43.48--5))+43.48))))-(-5+-5)))*-5)))/-5)--5)+(-5*(((43.48*(43.48-(-5/-5)))*(43.48-(43.48/(-5*43.48))))-(-5/-5)))))</f>
        <v>407329.38016000006</v>
      </c>
      <c r="C14349" t="n" s="0">
        <v>407329.38015999994</v>
      </c>
    </row>
    <row r="14350">
      <c r="A14350" t="n" s="0">
        <v>43.49</v>
      </c>
      <c r="B14350" t="n" s="0">
        <f>(-5-((((-5*(-5/((-5/(((-5*(43.49--5))-(-5+((-5*43.49)*(((-5--5)+(43.49--5))+43.49))))-(-5+-5)))*-5)))/-5)--5)+(-5*(((43.49*(43.49-(-5/-5)))*(43.49-(43.49/(-5*43.49))))-(-5/-5)))))</f>
        <v>407611.312545</v>
      </c>
      <c r="C14350" t="n" s="0">
        <v>407611.312545</v>
      </c>
    </row>
    <row r="14351">
      <c r="A14351" t="n" s="0">
        <v>43.5</v>
      </c>
      <c r="B14351" t="n" s="0">
        <f>(-5-((((-5*(-5/((-5/(((-5*(43.5--5))-(-5+((-5*43.5)*(((-5--5)+(43.5--5))+43.5))))-(-5+-5)))*-5)))/-5)--5)+(-5*(((43.5*(43.5-(-5/-5)))*(43.5-(43.5/(-5*43.5))))-(-5/-5)))))</f>
        <v>407893.375</v>
      </c>
      <c r="C14351" t="n" s="0">
        <v>407893.375</v>
      </c>
    </row>
    <row r="14352">
      <c r="A14352" t="n" s="0">
        <v>43.51</v>
      </c>
      <c r="B14352" t="n" s="0">
        <f>(-5-((((-5*(-5/((-5/(((-5*(43.51--5))-(-5+((-5*43.51)*(((-5--5)+(43.51--5))+43.51))))-(-5+-5)))*-5)))/-5)--5)+(-5*(((43.51*(43.51-(-5/-5)))*(43.51-(43.51/(-5*43.51))))-(-5/-5)))))</f>
        <v>408175.56755499996</v>
      </c>
      <c r="C14352" t="n" s="0">
        <v>408175.56755499996</v>
      </c>
    </row>
    <row r="14353">
      <c r="A14353" t="n" s="0">
        <v>43.52</v>
      </c>
      <c r="B14353" t="n" s="0">
        <f>(-5-((((-5*(-5/((-5/(((-5*(43.52--5))-(-5+((-5*43.52)*(((-5--5)+(43.52--5))+43.52))))-(-5+-5)))*-5)))/-5)--5)+(-5*(((43.52*(43.52-(-5/-5)))*(43.52-(43.52/(-5*43.52))))-(-5/-5)))))</f>
        <v>408457.89024</v>
      </c>
      <c r="C14353" t="n" s="0">
        <v>408457.89024000004</v>
      </c>
    </row>
    <row r="14354">
      <c r="A14354" t="n" s="0">
        <v>43.53</v>
      </c>
      <c r="B14354" t="n" s="0">
        <f>(-5-((((-5*(-5/((-5/(((-5*(43.53--5))-(-5+((-5*43.53)*(((-5--5)+(43.53--5))+43.53))))-(-5+-5)))*-5)))/-5)--5)+(-5*(((43.53*(43.53-(-5/-5)))*(43.53-(43.53/(-5*43.53))))-(-5/-5)))))</f>
        <v>408740.343085</v>
      </c>
      <c r="C14354" t="n" s="0">
        <v>408740.34308500006</v>
      </c>
    </row>
    <row r="14355">
      <c r="A14355" t="n" s="0">
        <v>43.54</v>
      </c>
      <c r="B14355" t="n" s="0">
        <f>(-5-((((-5*(-5/((-5/(((-5*(43.54--5))-(-5+((-5*43.54)*(((-5--5)+(43.54--5))+43.54))))-(-5+-5)))*-5)))/-5)--5)+(-5*(((43.54*(43.54-(-5/-5)))*(43.54-(43.54/(-5*43.54))))-(-5/-5)))))</f>
        <v>409022.92611999996</v>
      </c>
      <c r="C14355" t="n" s="0">
        <v>409022.92611999996</v>
      </c>
    </row>
    <row r="14356">
      <c r="A14356" t="n" s="0">
        <v>43.55</v>
      </c>
      <c r="B14356" t="n" s="0">
        <f>(-5-((((-5*(-5/((-5/(((-5*(43.55--5))-(-5+((-5*43.55)*(((-5--5)+(43.55--5))+43.55))))-(-5+-5)))*-5)))/-5)--5)+(-5*(((43.55*(43.55-(-5/-5)))*(43.55-(43.55/(-5*43.55))))-(-5/-5)))))</f>
        <v>409305.639375</v>
      </c>
      <c r="C14356" t="n" s="0">
        <v>409305.6393749999</v>
      </c>
    </row>
    <row r="14357">
      <c r="A14357" t="n" s="0">
        <v>43.56</v>
      </c>
      <c r="B14357" t="n" s="0">
        <f>(-5-((((-5*(-5/((-5/(((-5*(43.56--5))-(-5+((-5*43.56)*(((-5--5)+(43.56--5))+43.56))))-(-5+-5)))*-5)))/-5)--5)+(-5*(((43.56*(43.56-(-5/-5)))*(43.56-(43.56/(-5*43.56))))-(-5/-5)))))</f>
        <v>409588.48287999997</v>
      </c>
      <c r="C14357" t="n" s="0">
        <v>409588.4828800001</v>
      </c>
    </row>
    <row r="14358">
      <c r="A14358" t="n" s="0">
        <v>43.57</v>
      </c>
      <c r="B14358" t="n" s="0">
        <f>(-5-((((-5*(-5/((-5/(((-5*(43.57--5))-(-5+((-5*43.57)*(((-5--5)+(43.57--5))+43.57))))-(-5+-5)))*-5)))/-5)--5)+(-5*(((43.57*(43.57-(-5/-5)))*(43.57-(43.57/(-5*43.57))))-(-5/-5)))))</f>
        <v>409871.456665</v>
      </c>
      <c r="C14358" t="n" s="0">
        <v>409871.45666500006</v>
      </c>
    </row>
    <row r="14359">
      <c r="A14359" t="n" s="0">
        <v>43.58</v>
      </c>
      <c r="B14359" t="n" s="0">
        <f>(-5-((((-5*(-5/((-5/(((-5*(43.58--5))-(-5+((-5*43.58)*(((-5--5)+(43.58--5))+43.58))))-(-5+-5)))*-5)))/-5)--5)+(-5*(((43.58*(43.58-(-5/-5)))*(43.58-(43.58/(-5*43.58))))-(-5/-5)))))</f>
        <v>410154.56076</v>
      </c>
      <c r="C14359" t="n" s="0">
        <v>410154.5607599999</v>
      </c>
    </row>
    <row r="14360">
      <c r="A14360" t="n" s="0">
        <v>43.59</v>
      </c>
      <c r="B14360" t="n" s="0">
        <f>(-5-((((-5*(-5/((-5/(((-5*(43.59--5))-(-5+((-5*43.59)*(((-5--5)+(43.59--5))+43.59))))-(-5+-5)))*-5)))/-5)--5)+(-5*(((43.59*(43.59-(-5/-5)))*(43.59-(43.59/(-5*43.59))))-(-5/-5)))))</f>
        <v>410437.79519499996</v>
      </c>
      <c r="C14360" t="n" s="0">
        <v>410437.79519500013</v>
      </c>
    </row>
    <row r="14361">
      <c r="A14361" t="n" s="0">
        <v>43.6</v>
      </c>
      <c r="B14361" t="n" s="0">
        <f>(-5-((((-5*(-5/((-5/(((-5*(43.6--5))-(-5+((-5*43.6)*(((-5--5)+(43.6--5))+43.6))))-(-5+-5)))*-5)))/-5)--5)+(-5*(((43.6*(43.6-(-5/-5)))*(43.6-(43.6/(-5*43.6))))-(-5/-5)))))</f>
        <v>410721.16000000003</v>
      </c>
      <c r="C14361" t="n" s="0">
        <v>410721.1600000001</v>
      </c>
    </row>
    <row r="14362">
      <c r="A14362" t="n" s="0">
        <v>43.61</v>
      </c>
      <c r="B14362" t="n" s="0">
        <f>(-5-((((-5*(-5/((-5/(((-5*(43.61--5))-(-5+((-5*43.61)*(((-5--5)+(43.61--5))+43.61))))-(-5+-5)))*-5)))/-5)--5)+(-5*(((43.61*(43.61-(-5/-5)))*(43.61-(43.61/(-5*43.61))))-(-5/-5)))))</f>
        <v>411004.655205</v>
      </c>
      <c r="C14362" t="n" s="0">
        <v>411004.655205</v>
      </c>
    </row>
    <row r="14363">
      <c r="A14363" t="n" s="0">
        <v>43.62</v>
      </c>
      <c r="B14363" t="n" s="0">
        <f>(-5-((((-5*(-5/((-5/(((-5*(43.62--5))-(-5+((-5*43.62)*(((-5--5)+(43.62--5))+43.62))))-(-5+-5)))*-5)))/-5)--5)+(-5*(((43.62*(43.62-(-5/-5)))*(43.62-(43.62/(-5*43.62))))-(-5/-5)))))</f>
        <v>411288.28083999996</v>
      </c>
      <c r="C14363" t="n" s="0">
        <v>411288.28083999996</v>
      </c>
    </row>
    <row r="14364">
      <c r="A14364" t="n" s="0">
        <v>43.63</v>
      </c>
      <c r="B14364" t="n" s="0">
        <f>(-5-((((-5*(-5/((-5/(((-5*(43.63--5))-(-5+((-5*43.63)*(((-5--5)+(43.63--5))+43.63))))-(-5+-5)))*-5)))/-5)--5)+(-5*(((43.63*(43.63-(-5/-5)))*(43.63-(43.63/(-5*43.63))))-(-5/-5)))))</f>
        <v>411572.036935</v>
      </c>
      <c r="C14364" t="n" s="0">
        <v>411572.03693500004</v>
      </c>
    </row>
    <row r="14365">
      <c r="A14365" t="n" s="0">
        <v>43.64</v>
      </c>
      <c r="B14365" t="n" s="0">
        <f>(-5-((((-5*(-5/((-5/(((-5*(43.64--5))-(-5+((-5*43.64)*(((-5--5)+(43.64--5))+43.64))))-(-5+-5)))*-5)))/-5)--5)+(-5*(((43.64*(43.64-(-5/-5)))*(43.64-(43.64/(-5*43.64))))-(-5/-5)))))</f>
        <v>411855.92352000007</v>
      </c>
      <c r="C14365" t="n" s="0">
        <v>411855.92352</v>
      </c>
    </row>
    <row r="14366">
      <c r="A14366" t="n" s="0">
        <v>43.65</v>
      </c>
      <c r="B14366" t="n" s="0">
        <f>(-5-((((-5*(-5/((-5/(((-5*(43.65--5))-(-5+((-5*43.65)*(((-5--5)+(43.65--5))+43.65))))-(-5+-5)))*-5)))/-5)--5)+(-5*(((43.65*(43.65-(-5/-5)))*(43.65-(43.65/(-5*43.65))))-(-5/-5)))))</f>
        <v>412139.940625</v>
      </c>
      <c r="C14366" t="n" s="0">
        <v>412139.940625</v>
      </c>
    </row>
    <row r="14367">
      <c r="A14367" t="n" s="0">
        <v>43.66</v>
      </c>
      <c r="B14367" t="n" s="0">
        <f>(-5-((((-5*(-5/((-5/(((-5*(43.66--5))-(-5+((-5*43.66)*(((-5--5)+(43.66--5))+43.66))))-(-5+-5)))*-5)))/-5)--5)+(-5*(((43.66*(43.66-(-5/-5)))*(43.66-(43.66/(-5*43.66))))-(-5/-5)))))</f>
        <v>412424.08828</v>
      </c>
      <c r="C14367" t="n" s="0">
        <v>412424.08827999985</v>
      </c>
    </row>
    <row r="14368">
      <c r="A14368" t="n" s="0">
        <v>43.67</v>
      </c>
      <c r="B14368" t="n" s="0">
        <f>(-5-((((-5*(-5/((-5/(((-5*(43.67--5))-(-5+((-5*43.67)*(((-5--5)+(43.67--5))+43.67))))-(-5+-5)))*-5)))/-5)--5)+(-5*(((43.67*(43.67-(-5/-5)))*(43.67-(43.67/(-5*43.67))))-(-5/-5)))))</f>
        <v>412708.366515</v>
      </c>
      <c r="C14368" t="n" s="0">
        <v>412708.36651500006</v>
      </c>
    </row>
    <row r="14369">
      <c r="A14369" t="n" s="0">
        <v>43.68</v>
      </c>
      <c r="B14369" t="n" s="0">
        <f>(-5-((((-5*(-5/((-5/(((-5*(43.68--5))-(-5+((-5*43.68)*(((-5--5)+(43.68--5))+43.68))))-(-5+-5)))*-5)))/-5)--5)+(-5*(((43.68*(43.68-(-5/-5)))*(43.68-(43.68/(-5*43.68))))-(-5/-5)))))</f>
        <v>412992.77535999997</v>
      </c>
      <c r="C14369" t="n" s="0">
        <v>412992.77535999997</v>
      </c>
    </row>
    <row r="14370">
      <c r="A14370" t="n" s="0">
        <v>43.69</v>
      </c>
      <c r="B14370" t="n" s="0">
        <f>(-5-((((-5*(-5/((-5/(((-5*(43.69--5))-(-5+((-5*43.69)*(((-5--5)+(43.69--5))+43.69))))-(-5+-5)))*-5)))/-5)--5)+(-5*(((43.69*(43.69-(-5/-5)))*(43.69-(43.69/(-5*43.69))))-(-5/-5)))))</f>
        <v>413277.314845</v>
      </c>
      <c r="C14370" t="n" s="0">
        <v>413277.314845</v>
      </c>
    </row>
    <row r="14371">
      <c r="A14371" t="n" s="0">
        <v>43.7</v>
      </c>
      <c r="B14371" t="n" s="0">
        <f>(-5-((((-5*(-5/((-5/(((-5*(43.7--5))-(-5+((-5*43.7)*(((-5--5)+(43.7--5))+43.7))))-(-5+-5)))*-5)))/-5)--5)+(-5*(((43.7*(43.7-(-5/-5)))*(43.7-(43.7/(-5*43.7))))-(-5/-5)))))</f>
        <v>413561.985</v>
      </c>
      <c r="C14371" t="n" s="0">
        <v>413561.9850000001</v>
      </c>
    </row>
    <row r="14372">
      <c r="A14372" t="n" s="0">
        <v>43.71</v>
      </c>
      <c r="B14372" t="n" s="0">
        <f>(-5-((((-5*(-5/((-5/(((-5*(43.71--5))-(-5+((-5*43.71)*(((-5--5)+(43.71--5))+43.71))))-(-5+-5)))*-5)))/-5)--5)+(-5*(((43.71*(43.71-(-5/-5)))*(43.71-(43.71/(-5*43.71))))-(-5/-5)))))</f>
        <v>413846.785855</v>
      </c>
      <c r="C14372" t="n" s="0">
        <v>413846.785855</v>
      </c>
    </row>
    <row r="14373">
      <c r="A14373" t="n" s="0">
        <v>43.72</v>
      </c>
      <c r="B14373" t="n" s="0">
        <f>(-5-((((-5*(-5/((-5/(((-5*(43.72--5))-(-5+((-5*43.72)*(((-5--5)+(43.72--5))+43.72))))-(-5+-5)))*-5)))/-5)--5)+(-5*(((43.72*(43.72-(-5/-5)))*(43.72-(43.72/(-5*43.72))))-(-5/-5)))))</f>
        <v>414131.71744</v>
      </c>
      <c r="C14373" t="n" s="0">
        <v>414131.7174399999</v>
      </c>
    </row>
    <row r="14374">
      <c r="A14374" t="n" s="0">
        <v>43.73</v>
      </c>
      <c r="B14374" t="n" s="0">
        <f>(-5-((((-5*(-5/((-5/(((-5*(43.73--5))-(-5+((-5*43.73)*(((-5--5)+(43.73--5))+43.73))))-(-5+-5)))*-5)))/-5)--5)+(-5*(((43.73*(43.73-(-5/-5)))*(43.73-(43.73/(-5*43.73))))-(-5/-5)))))</f>
        <v>414416.779785</v>
      </c>
      <c r="C14374" t="n" s="0">
        <v>414416.77978499996</v>
      </c>
    </row>
    <row r="14375">
      <c r="A14375" t="n" s="0">
        <v>43.74</v>
      </c>
      <c r="B14375" t="n" s="0">
        <f>(-5-((((-5*(-5/((-5/(((-5*(43.74--5))-(-5+((-5*43.74)*(((-5--5)+(43.74--5))+43.74))))-(-5+-5)))*-5)))/-5)--5)+(-5*(((43.74*(43.74-(-5/-5)))*(43.74-(43.74/(-5*43.74))))-(-5/-5)))))</f>
        <v>414701.97292</v>
      </c>
      <c r="C14375" t="n" s="0">
        <v>414701.97292</v>
      </c>
    </row>
    <row r="14376">
      <c r="A14376" t="n" s="0">
        <v>43.75</v>
      </c>
      <c r="B14376" t="n" s="0">
        <f>(-5-((((-5*(-5/((-5/(((-5*(43.75--5))-(-5+((-5*43.75)*(((-5--5)+(43.75--5))+43.75))))-(-5+-5)))*-5)))/-5)--5)+(-5*(((43.75*(43.75-(-5/-5)))*(43.75-(43.75/(-5*43.75))))-(-5/-5)))))</f>
        <v>414987.296875</v>
      </c>
      <c r="C14376" t="n" s="0">
        <v>414987.296875</v>
      </c>
    </row>
    <row r="14377">
      <c r="A14377" t="n" s="0">
        <v>43.76</v>
      </c>
      <c r="B14377" t="n" s="0">
        <f>(-5-((((-5*(-5/((-5/(((-5*(43.76--5))-(-5+((-5*43.76)*(((-5--5)+(43.76--5))+43.76))))-(-5+-5)))*-5)))/-5)--5)+(-5*(((43.76*(43.76-(-5/-5)))*(43.76-(43.76/(-5*43.76))))-(-5/-5)))))</f>
        <v>415272.75168</v>
      </c>
      <c r="C14377" t="n" s="0">
        <v>415272.75168</v>
      </c>
    </row>
    <row r="14378">
      <c r="A14378" t="n" s="0">
        <v>43.77</v>
      </c>
      <c r="B14378" t="n" s="0">
        <f>(-5-((((-5*(-5/((-5/(((-5*(43.77--5))-(-5+((-5*43.77)*(((-5--5)+(43.77--5))+43.77))))-(-5+-5)))*-5)))/-5)--5)+(-5*(((43.77*(43.77-(-5/-5)))*(43.77-(43.77/(-5*43.77))))-(-5/-5)))))</f>
        <v>415558.337365</v>
      </c>
      <c r="C14378" t="n" s="0">
        <v>415558.33736500016</v>
      </c>
    </row>
    <row r="14379">
      <c r="A14379" t="n" s="0">
        <v>43.78</v>
      </c>
      <c r="B14379" t="n" s="0">
        <f>(-5-((((-5*(-5/((-5/(((-5*(43.78--5))-(-5+((-5*43.78)*(((-5--5)+(43.78--5))+43.78))))-(-5+-5)))*-5)))/-5)--5)+(-5*(((43.78*(43.78-(-5/-5)))*(43.78-(43.78/(-5*43.78))))-(-5/-5)))))</f>
        <v>415844.05396</v>
      </c>
      <c r="C14379" t="n" s="0">
        <v>415844.05396000005</v>
      </c>
    </row>
    <row r="14380">
      <c r="A14380" t="n" s="0">
        <v>43.79</v>
      </c>
      <c r="B14380" t="n" s="0">
        <f>(-5-((((-5*(-5/((-5/(((-5*(43.79--5))-(-5+((-5*43.79)*(((-5--5)+(43.79--5))+43.79))))-(-5+-5)))*-5)))/-5)--5)+(-5*(((43.79*(43.79-(-5/-5)))*(43.79-(43.79/(-5*43.79))))-(-5/-5)))))</f>
        <v>416129.901495</v>
      </c>
      <c r="C14380" t="n" s="0">
        <v>416129.901495</v>
      </c>
    </row>
    <row r="14381">
      <c r="A14381" t="n" s="0">
        <v>43.8</v>
      </c>
      <c r="B14381" t="n" s="0">
        <f>(-5-((((-5*(-5/((-5/(((-5*(43.8--5))-(-5+((-5*43.8)*(((-5--5)+(43.8--5))+43.8))))-(-5+-5)))*-5)))/-5)--5)+(-5*(((43.8*(43.8-(-5/-5)))*(43.8-(43.8/(-5*43.8))))-(-5/-5)))))</f>
        <v>416415.88</v>
      </c>
      <c r="C14381" t="n" s="0">
        <v>416415.8799999999</v>
      </c>
    </row>
    <row r="14382">
      <c r="A14382" t="n" s="0">
        <v>43.81</v>
      </c>
      <c r="B14382" t="n" s="0">
        <f>(-5-((((-5*(-5/((-5/(((-5*(43.81--5))-(-5+((-5*43.81)*(((-5--5)+(43.81--5))+43.81))))-(-5+-5)))*-5)))/-5)--5)+(-5*(((43.81*(43.81-(-5/-5)))*(43.81-(43.81/(-5*43.81))))-(-5/-5)))))</f>
        <v>416701.989505</v>
      </c>
      <c r="C14382" t="n" s="0">
        <v>416701.9895050001</v>
      </c>
    </row>
    <row r="14383">
      <c r="A14383" t="n" s="0">
        <v>43.82</v>
      </c>
      <c r="B14383" t="n" s="0">
        <f>(-5-((((-5*(-5/((-5/(((-5*(43.82--5))-(-5+((-5*43.82)*(((-5--5)+(43.82--5))+43.82))))-(-5+-5)))*-5)))/-5)--5)+(-5*(((43.82*(43.82-(-5/-5)))*(43.82-(43.82/(-5*43.82))))-(-5/-5)))))</f>
        <v>416988.23004</v>
      </c>
      <c r="C14383" t="n" s="0">
        <v>416988.23004</v>
      </c>
    </row>
    <row r="14384">
      <c r="A14384" t="n" s="0">
        <v>43.83</v>
      </c>
      <c r="B14384" t="n" s="0">
        <f>(-5-((((-5*(-5/((-5/(((-5*(43.83--5))-(-5+((-5*43.83)*(((-5--5)+(43.83--5))+43.83))))-(-5+-5)))*-5)))/-5)--5)+(-5*(((43.83*(43.83-(-5/-5)))*(43.83-(43.83/(-5*43.83))))-(-5/-5)))))</f>
        <v>417274.601635</v>
      </c>
      <c r="C14384" t="n" s="0">
        <v>417274.60163499997</v>
      </c>
    </row>
    <row r="14385">
      <c r="A14385" t="n" s="0">
        <v>43.84</v>
      </c>
      <c r="B14385" t="n" s="0">
        <f>(-5-((((-5*(-5/((-5/(((-5*(43.84--5))-(-5+((-5*43.84)*(((-5--5)+(43.84--5))+43.84))))-(-5+-5)))*-5)))/-5)--5)+(-5*(((43.84*(43.84-(-5/-5)))*(43.84-(43.84/(-5*43.84))))-(-5/-5)))))</f>
        <v>417561.10432</v>
      </c>
      <c r="C14385" t="n" s="0">
        <v>417561.1043200001</v>
      </c>
    </row>
    <row r="14386">
      <c r="A14386" t="n" s="0">
        <v>43.85</v>
      </c>
      <c r="B14386" t="n" s="0">
        <f>(-5-((((-5*(-5/((-5/(((-5*(43.85--5))-(-5+((-5*43.85)*(((-5--5)+(43.85--5))+43.85))))-(-5+-5)))*-5)))/-5)--5)+(-5*(((43.85*(43.85-(-5/-5)))*(43.85-(43.85/(-5*43.85))))-(-5/-5)))))</f>
        <v>417847.73812500003</v>
      </c>
      <c r="C14386" t="n" s="0">
        <v>417847.738125</v>
      </c>
    </row>
    <row r="14387">
      <c r="A14387" t="n" s="0">
        <v>43.86</v>
      </c>
      <c r="B14387" t="n" s="0">
        <f>(-5-((((-5*(-5/((-5/(((-5*(43.86--5))-(-5+((-5*43.86)*(((-5--5)+(43.86--5))+43.86))))-(-5+-5)))*-5)))/-5)--5)+(-5*(((43.86*(43.86-(-5/-5)))*(43.86-(43.86/(-5*43.86))))-(-5/-5)))))</f>
        <v>418134.50308</v>
      </c>
      <c r="C14387" t="n" s="0">
        <v>418134.50308000005</v>
      </c>
    </row>
    <row r="14388">
      <c r="A14388" t="n" s="0">
        <v>43.87</v>
      </c>
      <c r="B14388" t="n" s="0">
        <f>(-5-((((-5*(-5/((-5/(((-5*(43.87--5))-(-5+((-5*43.87)*(((-5--5)+(43.87--5))+43.87))))-(-5+-5)))*-5)))/-5)--5)+(-5*(((43.87*(43.87-(-5/-5)))*(43.87-(43.87/(-5*43.87))))-(-5/-5)))))</f>
        <v>418421.399215</v>
      </c>
      <c r="C14388" t="n" s="0">
        <v>418421.399215</v>
      </c>
    </row>
    <row r="14389">
      <c r="A14389" t="n" s="0">
        <v>43.88</v>
      </c>
      <c r="B14389" t="n" s="0">
        <f>(-5-((((-5*(-5/((-5/(((-5*(43.88--5))-(-5+((-5*43.88)*(((-5--5)+(43.88--5))+43.88))))-(-5+-5)))*-5)))/-5)--5)+(-5*(((43.88*(43.88-(-5/-5)))*(43.88-(43.88/(-5*43.88))))-(-5/-5)))))</f>
        <v>418708.42656</v>
      </c>
      <c r="C14389" t="n" s="0">
        <v>418708.42656000005</v>
      </c>
    </row>
    <row r="14390">
      <c r="A14390" t="n" s="0">
        <v>43.89</v>
      </c>
      <c r="B14390" t="n" s="0">
        <f>(-5-((((-5*(-5/((-5/(((-5*(43.89--5))-(-5+((-5*43.89)*(((-5--5)+(43.89--5))+43.89))))-(-5+-5)))*-5)))/-5)--5)+(-5*(((43.89*(43.89-(-5/-5)))*(43.89-(43.89/(-5*43.89))))-(-5/-5)))))</f>
        <v>418995.585145</v>
      </c>
      <c r="C14390" t="n" s="0">
        <v>418995.585145</v>
      </c>
    </row>
    <row r="14391">
      <c r="A14391" t="n" s="0">
        <v>43.9</v>
      </c>
      <c r="B14391" t="n" s="0">
        <f>(-5-((((-5*(-5/((-5/(((-5*(43.9--5))-(-5+((-5*43.9)*(((-5--5)+(43.9--5))+43.9))))-(-5+-5)))*-5)))/-5)--5)+(-5*(((43.9*(43.9-(-5/-5)))*(43.9-(43.9/(-5*43.9))))-(-5/-5)))))</f>
        <v>419282.875</v>
      </c>
      <c r="C14391" t="n" s="0">
        <v>419282.87499999994</v>
      </c>
    </row>
    <row r="14392">
      <c r="A14392" t="n" s="0">
        <v>43.91</v>
      </c>
      <c r="B14392" t="n" s="0">
        <f>(-5-((((-5*(-5/((-5/(((-5*(43.91--5))-(-5+((-5*43.91)*(((-5--5)+(43.91--5))+43.91))))-(-5+-5)))*-5)))/-5)--5)+(-5*(((43.91*(43.91-(-5/-5)))*(43.91-(43.91/(-5*43.91))))-(-5/-5)))))</f>
        <v>419570.296155</v>
      </c>
      <c r="C14392" t="n" s="0">
        <v>419570.2961549999</v>
      </c>
    </row>
    <row r="14393">
      <c r="A14393" t="n" s="0">
        <v>43.92</v>
      </c>
      <c r="B14393" t="n" s="0">
        <f>(-5-((((-5*(-5/((-5/(((-5*(43.92--5))-(-5+((-5*43.92)*(((-5--5)+(43.92--5))+43.92))))-(-5+-5)))*-5)))/-5)--5)+(-5*(((43.92*(43.92-(-5/-5)))*(43.92-(43.92/(-5*43.92))))-(-5/-5)))))</f>
        <v>419857.84864</v>
      </c>
      <c r="C14393" t="n" s="0">
        <v>419857.84864000004</v>
      </c>
    </row>
    <row r="14394">
      <c r="A14394" t="n" s="0">
        <v>43.93</v>
      </c>
      <c r="B14394" t="n" s="0">
        <f>(-5-((((-5*(-5/((-5/(((-5*(43.93--5))-(-5+((-5*43.93)*(((-5--5)+(43.93--5))+43.93))))-(-5+-5)))*-5)))/-5)--5)+(-5*(((43.93*(43.93-(-5/-5)))*(43.93-(43.93/(-5*43.93))))-(-5/-5)))))</f>
        <v>420145.53248500003</v>
      </c>
      <c r="C14394" t="n" s="0">
        <v>420145.532485</v>
      </c>
    </row>
    <row r="14395">
      <c r="A14395" t="n" s="0">
        <v>43.94</v>
      </c>
      <c r="B14395" t="n" s="0">
        <f>(-5-((((-5*(-5/((-5/(((-5*(43.94--5))-(-5+((-5*43.94)*(((-5--5)+(43.94--5))+43.94))))-(-5+-5)))*-5)))/-5)--5)+(-5*(((43.94*(43.94-(-5/-5)))*(43.94-(43.94/(-5*43.94))))-(-5/-5)))))</f>
        <v>420433.34772</v>
      </c>
      <c r="C14395" t="n" s="0">
        <v>420433.34771999996</v>
      </c>
    </row>
    <row r="14396">
      <c r="A14396" t="n" s="0">
        <v>43.95</v>
      </c>
      <c r="B14396" t="n" s="0">
        <f>(-5-((((-5*(-5/((-5/(((-5*(43.95--5))-(-5+((-5*43.95)*(((-5--5)+(43.95--5))+43.95))))-(-5+-5)))*-5)))/-5)--5)+(-5*(((43.95*(43.95-(-5/-5)))*(43.95-(43.95/(-5*43.95))))-(-5/-5)))))</f>
        <v>420721.294375</v>
      </c>
      <c r="C14396" t="n" s="0">
        <v>420721.29437500006</v>
      </c>
    </row>
    <row r="14397">
      <c r="A14397" t="n" s="0">
        <v>43.96</v>
      </c>
      <c r="B14397" t="n" s="0">
        <f>(-5-((((-5*(-5/((-5/(((-5*(43.96--5))-(-5+((-5*43.96)*(((-5--5)+(43.96--5))+43.96))))-(-5+-5)))*-5)))/-5)--5)+(-5*(((43.96*(43.96-(-5/-5)))*(43.96-(43.96/(-5*43.96))))-(-5/-5)))))</f>
        <v>421009.37248</v>
      </c>
      <c r="C14397" t="n" s="0">
        <v>421009.37248</v>
      </c>
    </row>
    <row r="14398">
      <c r="A14398" t="n" s="0">
        <v>43.97</v>
      </c>
      <c r="B14398" t="n" s="0">
        <f>(-5-((((-5*(-5/((-5/(((-5*(43.97--5))-(-5+((-5*43.97)*(((-5--5)+(43.97--5))+43.97))))-(-5+-5)))*-5)))/-5)--5)+(-5*(((43.97*(43.97-(-5/-5)))*(43.97-(43.97/(-5*43.97))))-(-5/-5)))))</f>
        <v>421297.582065</v>
      </c>
      <c r="C14398" t="n" s="0">
        <v>421297.5820649999</v>
      </c>
    </row>
    <row r="14399">
      <c r="A14399" t="n" s="0">
        <v>43.98</v>
      </c>
      <c r="B14399" t="n" s="0">
        <f>(-5-((((-5*(-5/((-5/(((-5*(43.98--5))-(-5+((-5*43.98)*(((-5--5)+(43.98--5))+43.98))))-(-5+-5)))*-5)))/-5)--5)+(-5*(((43.98*(43.98-(-5/-5)))*(43.98-(43.98/(-5*43.98))))-(-5/-5)))))</f>
        <v>421585.92316</v>
      </c>
      <c r="C14399" t="n" s="0">
        <v>421585.9231599999</v>
      </c>
    </row>
    <row r="14400">
      <c r="A14400" t="n" s="0">
        <v>43.99</v>
      </c>
      <c r="B14400" t="n" s="0">
        <f>(-5-((((-5*(-5/((-5/(((-5*(43.99--5))-(-5+((-5*43.99)*(((-5--5)+(43.99--5))+43.99))))-(-5+-5)))*-5)))/-5)--5)+(-5*(((43.99*(43.99-(-5/-5)))*(43.99-(43.99/(-5*43.99))))-(-5/-5)))))</f>
        <v>421874.395795</v>
      </c>
      <c r="C14400" t="n" s="0">
        <v>421874.395795</v>
      </c>
    </row>
    <row r="14401">
      <c r="A14401" t="n" s="0">
        <v>44.0</v>
      </c>
      <c r="B14401" t="n" s="0">
        <f>(-5-((((-5*(-5/((-5/(((-5*(44--5))-(-5+((-5*44)*(((-5--5)+(44--5))+44))))-(-5+-5)))*-5)))/-5)--5)+(-5*(((44*(44-(-5/-5)))*(44-(44/(-5*44))))-(-5/-5)))))</f>
        <v>422163.0</v>
      </c>
      <c r="C14401" t="n" s="0">
        <v>422163.0</v>
      </c>
    </row>
    <row r="14402">
      <c r="A14402" t="n" s="0">
        <v>44.01</v>
      </c>
      <c r="B14402" t="n" s="0">
        <f>(-5-((((-5*(-5/((-5/(((-5*(44.01--5))-(-5+((-5*44.01)*(((-5--5)+(44.01--5))+44.01))))-(-5+-5)))*-5)))/-5)--5)+(-5*(((44.01*(44.01-(-5/-5)))*(44.01-(44.01/(-5*44.01))))-(-5/-5)))))</f>
        <v>422451.735805</v>
      </c>
      <c r="C14402" t="n" s="0">
        <v>422451.73580499995</v>
      </c>
    </row>
    <row r="14403">
      <c r="A14403" t="n" s="0">
        <v>44.02</v>
      </c>
      <c r="B14403" t="n" s="0">
        <f>(-5-((((-5*(-5/((-5/(((-5*(44.02--5))-(-5+((-5*44.02)*(((-5--5)+(44.02--5))+44.02))))-(-5+-5)))*-5)))/-5)--5)+(-5*(((44.02*(44.02-(-5/-5)))*(44.02-(44.02/(-5*44.02))))-(-5/-5)))))</f>
        <v>422740.60323999997</v>
      </c>
      <c r="C14403" t="n" s="0">
        <v>422740.6032400001</v>
      </c>
    </row>
    <row r="14404">
      <c r="A14404" t="n" s="0">
        <v>44.03</v>
      </c>
      <c r="B14404" t="n" s="0">
        <f>(-5-((((-5*(-5/((-5/(((-5*(44.03--5))-(-5+((-5*44.03)*(((-5--5)+(44.03--5))+44.03))))-(-5+-5)))*-5)))/-5)--5)+(-5*(((44.03*(44.03-(-5/-5)))*(44.03-(44.03/(-5*44.03))))-(-5/-5)))))</f>
        <v>423029.602335</v>
      </c>
      <c r="C14404" t="n" s="0">
        <v>423029.60233500006</v>
      </c>
    </row>
    <row r="14405">
      <c r="A14405" t="n" s="0">
        <v>44.04</v>
      </c>
      <c r="B14405" t="n" s="0">
        <f>(-5-((((-5*(-5/((-5/(((-5*(44.04--5))-(-5+((-5*44.04)*(((-5--5)+(44.04--5))+44.04))))-(-5+-5)))*-5)))/-5)--5)+(-5*(((44.04*(44.04-(-5/-5)))*(44.04-(44.04/(-5*44.04))))-(-5/-5)))))</f>
        <v>423318.73312</v>
      </c>
      <c r="C14405" t="n" s="0">
        <v>423318.73311999993</v>
      </c>
    </row>
    <row r="14406">
      <c r="A14406" t="n" s="0">
        <v>44.05</v>
      </c>
      <c r="B14406" t="n" s="0">
        <f>(-5-((((-5*(-5/((-5/(((-5*(44.05--5))-(-5+((-5*44.05)*(((-5--5)+(44.05--5))+44.05))))-(-5+-5)))*-5)))/-5)--5)+(-5*(((44.05*(44.05-(-5/-5)))*(44.05-(44.05/(-5*44.05))))-(-5/-5)))))</f>
        <v>423607.995625</v>
      </c>
      <c r="C14406" t="n" s="0">
        <v>423607.995625</v>
      </c>
    </row>
    <row r="14407">
      <c r="A14407" t="n" s="0">
        <v>44.06</v>
      </c>
      <c r="B14407" t="n" s="0">
        <f>(-5-((((-5*(-5/((-5/(((-5*(44.06--5))-(-5+((-5*44.06)*(((-5--5)+(44.06--5))+44.06))))-(-5+-5)))*-5)))/-5)--5)+(-5*(((44.06*(44.06-(-5/-5)))*(44.06-(44.06/(-5*44.06))))-(-5/-5)))))</f>
        <v>423897.38988</v>
      </c>
      <c r="C14407" t="n" s="0">
        <v>423897.38988000003</v>
      </c>
    </row>
    <row r="14408">
      <c r="A14408" t="n" s="0">
        <v>44.07</v>
      </c>
      <c r="B14408" t="n" s="0">
        <f>(-5-((((-5*(-5/((-5/(((-5*(44.07--5))-(-5+((-5*44.07)*(((-5--5)+(44.07--5))+44.07))))-(-5+-5)))*-5)))/-5)--5)+(-5*(((44.07*(44.07-(-5/-5)))*(44.07-(44.07/(-5*44.07))))-(-5/-5)))))</f>
        <v>424186.915915</v>
      </c>
      <c r="C14408" t="n" s="0">
        <v>424186.915915</v>
      </c>
    </row>
    <row r="14409">
      <c r="A14409" t="n" s="0">
        <v>44.08</v>
      </c>
      <c r="B14409" t="n" s="0">
        <f>(-5-((((-5*(-5/((-5/(((-5*(44.08--5))-(-5+((-5*44.08)*(((-5--5)+(44.08--5))+44.08))))-(-5+-5)))*-5)))/-5)--5)+(-5*(((44.08*(44.08-(-5/-5)))*(44.08-(44.08/(-5*44.08))))-(-5/-5)))))</f>
        <v>424476.57376000006</v>
      </c>
      <c r="C14409" t="n" s="0">
        <v>424476.57375999994</v>
      </c>
    </row>
    <row r="14410">
      <c r="A14410" t="n" s="0">
        <v>44.09</v>
      </c>
      <c r="B14410" t="n" s="0">
        <f>(-5-((((-5*(-5/((-5/(((-5*(44.09--5))-(-5+((-5*44.09)*(((-5--5)+(44.09--5))+44.09))))-(-5+-5)))*-5)))/-5)--5)+(-5*(((44.09*(44.09-(-5/-5)))*(44.09-(44.09/(-5*44.09))))-(-5/-5)))))</f>
        <v>424766.363445</v>
      </c>
      <c r="C14410" t="n" s="0">
        <v>424766.36344500014</v>
      </c>
    </row>
    <row r="14411">
      <c r="A14411" t="n" s="0">
        <v>44.1</v>
      </c>
      <c r="B14411" t="n" s="0">
        <f>(-5-((((-5*(-5/((-5/(((-5*(44.1--5))-(-5+((-5*44.1)*(((-5--5)+(44.1--5))+44.1))))-(-5+-5)))*-5)))/-5)--5)+(-5*(((44.1*(44.1-(-5/-5)))*(44.1-(44.1/(-5*44.1))))-(-5/-5)))))</f>
        <v>425056.28500000003</v>
      </c>
      <c r="C14411" t="n" s="0">
        <v>425056.2850000001</v>
      </c>
    </row>
    <row r="14412">
      <c r="A14412" t="n" s="0">
        <v>44.11</v>
      </c>
      <c r="B14412" t="n" s="0">
        <f>(-5-((((-5*(-5/((-5/(((-5*(44.11--5))-(-5+((-5*44.11)*(((-5--5)+(44.11--5))+44.11))))-(-5+-5)))*-5)))/-5)--5)+(-5*(((44.11*(44.11-(-5/-5)))*(44.11-(44.11/(-5*44.11))))-(-5/-5)))))</f>
        <v>425346.338455</v>
      </c>
      <c r="C14412" t="n" s="0">
        <v>425346.338455</v>
      </c>
    </row>
    <row r="14413">
      <c r="A14413" t="n" s="0">
        <v>44.12</v>
      </c>
      <c r="B14413" t="n" s="0">
        <f>(-5-((((-5*(-5/((-5/(((-5*(44.12--5))-(-5+((-5*44.12)*(((-5--5)+(44.12--5))+44.12))))-(-5+-5)))*-5)))/-5)--5)+(-5*(((44.12*(44.12-(-5/-5)))*(44.12-(44.12/(-5*44.12))))-(-5/-5)))))</f>
        <v>425636.52384</v>
      </c>
      <c r="C14413" t="n" s="0">
        <v>425636.52383999986</v>
      </c>
    </row>
    <row r="14414">
      <c r="A14414" t="n" s="0">
        <v>44.13</v>
      </c>
      <c r="B14414" t="n" s="0">
        <f>(-5-((((-5*(-5/((-5/(((-5*(44.13--5))-(-5+((-5*44.13)*(((-5--5)+(44.13--5))+44.13))))-(-5+-5)))*-5)))/-5)--5)+(-5*(((44.13*(44.13-(-5/-5)))*(44.13-(44.13/(-5*44.13))))-(-5/-5)))))</f>
        <v>425926.841185</v>
      </c>
      <c r="C14414" t="n" s="0">
        <v>425926.84118500014</v>
      </c>
    </row>
    <row r="14415">
      <c r="A14415" t="n" s="0">
        <v>44.14</v>
      </c>
      <c r="B14415" t="n" s="0">
        <f>(-5-((((-5*(-5/((-5/(((-5*(44.14--5))-(-5+((-5*44.14)*(((-5--5)+(44.14--5))+44.14))))-(-5+-5)))*-5)))/-5)--5)+(-5*(((44.14*(44.14-(-5/-5)))*(44.14-(44.14/(-5*44.14))))-(-5/-5)))))</f>
        <v>426217.29052000004</v>
      </c>
      <c r="C14415" t="n" s="0">
        <v>426217.29052</v>
      </c>
    </row>
    <row r="14416">
      <c r="A14416" t="n" s="0">
        <v>44.15</v>
      </c>
      <c r="B14416" t="n" s="0">
        <f>(-5-((((-5*(-5/((-5/(((-5*(44.15--5))-(-5+((-5*44.15)*(((-5--5)+(44.15--5))+44.15))))-(-5+-5)))*-5)))/-5)--5)+(-5*(((44.15*(44.15-(-5/-5)))*(44.15-(44.15/(-5*44.15))))-(-5/-5)))))</f>
        <v>426507.87187500007</v>
      </c>
      <c r="C14416" t="n" s="0">
        <v>426507.871875</v>
      </c>
    </row>
    <row r="14417">
      <c r="A14417" t="n" s="0">
        <v>44.16</v>
      </c>
      <c r="B14417" t="n" s="0">
        <f>(-5-((((-5*(-5/((-5/(((-5*(44.16--5))-(-5+((-5*44.16)*(((-5--5)+(44.16--5))+44.16))))-(-5+-5)))*-5)))/-5)--5)+(-5*(((44.16*(44.16-(-5/-5)))*(44.16-(44.16/(-5*44.16))))-(-5/-5)))))</f>
        <v>426798.58528</v>
      </c>
      <c r="C14417" t="n" s="0">
        <v>426798.5852799999</v>
      </c>
    </row>
    <row r="14418">
      <c r="A14418" t="n" s="0">
        <v>44.17</v>
      </c>
      <c r="B14418" t="n" s="0">
        <f>(-5-((((-5*(-5/((-5/(((-5*(44.17--5))-(-5+((-5*44.17)*(((-5--5)+(44.17--5))+44.17))))-(-5+-5)))*-5)))/-5)--5)+(-5*(((44.17*(44.17-(-5/-5)))*(44.17-(44.17/(-5*44.17))))-(-5/-5)))))</f>
        <v>427089.430765</v>
      </c>
      <c r="C14418" t="n" s="0">
        <v>427089.43076500006</v>
      </c>
    </row>
    <row r="14419">
      <c r="A14419" t="n" s="0">
        <v>44.18</v>
      </c>
      <c r="B14419" t="n" s="0">
        <f>(-5-((((-5*(-5/((-5/(((-5*(44.18--5))-(-5+((-5*44.18)*(((-5--5)+(44.18--5))+44.18))))-(-5+-5)))*-5)))/-5)--5)+(-5*(((44.18*(44.18-(-5/-5)))*(44.18-(44.18/(-5*44.18))))-(-5/-5)))))</f>
        <v>427380.40836</v>
      </c>
      <c r="C14419" t="n" s="0">
        <v>427380.40836</v>
      </c>
    </row>
    <row r="14420">
      <c r="A14420" t="n" s="0">
        <v>44.19</v>
      </c>
      <c r="B14420" t="n" s="0">
        <f>(-5-((((-5*(-5/((-5/(((-5*(44.19--5))-(-5+((-5*44.19)*(((-5--5)+(44.19--5))+44.19))))-(-5+-5)))*-5)))/-5)--5)+(-5*(((44.19*(44.19-(-5/-5)))*(44.19-(44.19/(-5*44.19))))-(-5/-5)))))</f>
        <v>427671.518095</v>
      </c>
      <c r="C14420" t="n" s="0">
        <v>427671.51809499995</v>
      </c>
    </row>
    <row r="14421">
      <c r="A14421" t="n" s="0">
        <v>44.2</v>
      </c>
      <c r="B14421" t="n" s="0">
        <f>(-5-((((-5*(-5/((-5/(((-5*(44.2--5))-(-5+((-5*44.2)*(((-5--5)+(44.2--5))+44.2))))-(-5+-5)))*-5)))/-5)--5)+(-5*(((44.2*(44.2-(-5/-5)))*(44.2-(44.2/(-5*44.2))))-(-5/-5)))))</f>
        <v>427962.75999999995</v>
      </c>
      <c r="C14421" t="n" s="0">
        <v>427962.76000000007</v>
      </c>
    </row>
    <row r="14422">
      <c r="A14422" t="n" s="0">
        <v>44.21</v>
      </c>
      <c r="B14422" t="n" s="0">
        <f>(-5-((((-5*(-5/((-5/(((-5*(44.21--5))-(-5+((-5*44.21)*(((-5--5)+(44.21--5))+44.21))))-(-5+-5)))*-5)))/-5)--5)+(-5*(((44.21*(44.21-(-5/-5)))*(44.21-(44.21/(-5*44.21))))-(-5/-5)))))</f>
        <v>428254.134105</v>
      </c>
      <c r="C14422" t="n" s="0">
        <v>428254.134105</v>
      </c>
    </row>
    <row r="14423">
      <c r="A14423" t="n" s="0">
        <v>44.22</v>
      </c>
      <c r="B14423" t="n" s="0">
        <f>(-5-((((-5*(-5/((-5/(((-5*(44.22--5))-(-5+((-5*44.22)*(((-5--5)+(44.22--5))+44.22))))-(-5+-5)))*-5)))/-5)--5)+(-5*(((44.22*(44.22-(-5/-5)))*(44.22-(44.22/(-5*44.22))))-(-5/-5)))))</f>
        <v>428545.64044</v>
      </c>
      <c r="C14423" t="n" s="0">
        <v>428545.64044</v>
      </c>
    </row>
    <row r="14424">
      <c r="A14424" t="n" s="0">
        <v>44.23</v>
      </c>
      <c r="B14424" t="n" s="0">
        <f>(-5-((((-5*(-5/((-5/(((-5*(44.23--5))-(-5+((-5*44.23)*(((-5--5)+(44.23--5))+44.23))))-(-5+-5)))*-5)))/-5)--5)+(-5*(((44.23*(44.23-(-5/-5)))*(44.23-(44.23/(-5*44.23))))-(-5/-5)))))</f>
        <v>428837.27903499996</v>
      </c>
      <c r="C14424" t="n" s="0">
        <v>428837.27903499996</v>
      </c>
    </row>
    <row r="14425">
      <c r="A14425" t="n" s="0">
        <v>44.24</v>
      </c>
      <c r="B14425" t="n" s="0">
        <f>(-5-((((-5*(-5/((-5/(((-5*(44.24--5))-(-5+((-5*44.24)*(((-5--5)+(44.24--5))+44.24))))-(-5+-5)))*-5)))/-5)--5)+(-5*(((44.24*(44.24-(-5/-5)))*(44.24-(44.24/(-5*44.24))))-(-5/-5)))))</f>
        <v>429129.04991999996</v>
      </c>
      <c r="C14425" t="n" s="0">
        <v>429129.04992</v>
      </c>
    </row>
    <row r="14426">
      <c r="A14426" t="n" s="0">
        <v>44.25</v>
      </c>
      <c r="B14426" t="n" s="0">
        <f>(-5-((((-5*(-5/((-5/(((-5*(44.25--5))-(-5+((-5*44.25)*(((-5--5)+(44.25--5))+44.25))))-(-5+-5)))*-5)))/-5)--5)+(-5*(((44.25*(44.25-(-5/-5)))*(44.25-(44.25/(-5*44.25))))-(-5/-5)))))</f>
        <v>429420.953125</v>
      </c>
      <c r="C14426" t="n" s="0">
        <v>429420.953125</v>
      </c>
    </row>
    <row r="14427">
      <c r="A14427" t="n" s="0">
        <v>44.26</v>
      </c>
      <c r="B14427" t="n" s="0">
        <f>(-5-((((-5*(-5/((-5/(((-5*(44.26--5))-(-5+((-5*44.26)*(((-5--5)+(44.26--5))+44.26))))-(-5+-5)))*-5)))/-5)--5)+(-5*(((44.26*(44.26-(-5/-5)))*(44.26-(44.26/(-5*44.26))))-(-5/-5)))))</f>
        <v>429712.98868</v>
      </c>
      <c r="C14427" t="n" s="0">
        <v>429712.98867999995</v>
      </c>
    </row>
    <row r="14428">
      <c r="A14428" t="n" s="0">
        <v>44.27</v>
      </c>
      <c r="B14428" t="n" s="0">
        <f>(-5-((((-5*(-5/((-5/(((-5*(44.27--5))-(-5+((-5*44.27)*(((-5--5)+(44.27--5))+44.27))))-(-5+-5)))*-5)))/-5)--5)+(-5*(((44.27*(44.27-(-5/-5)))*(44.27-(44.27/(-5*44.27))))-(-5/-5)))))</f>
        <v>430005.156615</v>
      </c>
      <c r="C14428" t="n" s="0">
        <v>430005.1566150001</v>
      </c>
    </row>
    <row r="14429">
      <c r="A14429" t="n" s="0">
        <v>44.28</v>
      </c>
      <c r="B14429" t="n" s="0">
        <f>(-5-((((-5*(-5/((-5/(((-5*(44.28--5))-(-5+((-5*44.28)*(((-5--5)+(44.28--5))+44.28))))-(-5+-5)))*-5)))/-5)--5)+(-5*(((44.28*(44.28-(-5/-5)))*(44.28-(44.28/(-5*44.28))))-(-5/-5)))))</f>
        <v>430297.45696</v>
      </c>
      <c r="C14429" t="n" s="0">
        <v>430297.45696000004</v>
      </c>
    </row>
    <row r="14430">
      <c r="A14430" t="n" s="0">
        <v>44.29</v>
      </c>
      <c r="B14430" t="n" s="0">
        <f>(-5-((((-5*(-5/((-5/(((-5*(44.29--5))-(-5+((-5*44.29)*(((-5--5)+(44.29--5))+44.29))))-(-5+-5)))*-5)))/-5)--5)+(-5*(((44.29*(44.29-(-5/-5)))*(44.29-(44.29/(-5*44.29))))-(-5/-5)))))</f>
        <v>430589.889745</v>
      </c>
      <c r="C14430" t="n" s="0">
        <v>430589.889745</v>
      </c>
    </row>
    <row r="14431">
      <c r="A14431" t="n" s="0">
        <v>44.3</v>
      </c>
      <c r="B14431" t="n" s="0">
        <f>(-5-((((-5*(-5/((-5/(((-5*(44.3--5))-(-5+((-5*44.3)*(((-5--5)+(44.3--5))+44.3))))-(-5+-5)))*-5)))/-5)--5)+(-5*(((44.3*(44.3-(-5/-5)))*(44.3-(44.3/(-5*44.3))))-(-5/-5)))))</f>
        <v>430882.455</v>
      </c>
      <c r="C14431" t="n" s="0">
        <v>430882.45499999996</v>
      </c>
    </row>
    <row r="14432">
      <c r="A14432" t="n" s="0">
        <v>44.31</v>
      </c>
      <c r="B14432" t="n" s="0">
        <f>(-5-((((-5*(-5/((-5/(((-5*(44.31--5))-(-5+((-5*44.31)*(((-5--5)+(44.31--5))+44.31))))-(-5+-5)))*-5)))/-5)--5)+(-5*(((44.31*(44.31-(-5/-5)))*(44.31-(44.31/(-5*44.31))))-(-5/-5)))))</f>
        <v>431175.152755</v>
      </c>
      <c r="C14432" t="n" s="0">
        <v>431175.15275500005</v>
      </c>
    </row>
    <row r="14433">
      <c r="A14433" t="n" s="0">
        <v>44.32</v>
      </c>
      <c r="B14433" t="n" s="0">
        <f>(-5-((((-5*(-5/((-5/(((-5*(44.32--5))-(-5+((-5*44.32)*(((-5--5)+(44.32--5))+44.32))))-(-5+-5)))*-5)))/-5)--5)+(-5*(((44.32*(44.32-(-5/-5)))*(44.32-(44.32/(-5*44.32))))-(-5/-5)))))</f>
        <v>431467.98303999996</v>
      </c>
      <c r="C14433" t="n" s="0">
        <v>431467.98304</v>
      </c>
    </row>
    <row r="14434">
      <c r="A14434" t="n" s="0">
        <v>44.33</v>
      </c>
      <c r="B14434" t="n" s="0">
        <f>(-5-((((-5*(-5/((-5/(((-5*(44.33--5))-(-5+((-5*44.33)*(((-5--5)+(44.33--5))+44.33))))-(-5+-5)))*-5)))/-5)--5)+(-5*(((44.33*(44.33-(-5/-5)))*(44.33-(44.33/(-5*44.33))))-(-5/-5)))))</f>
        <v>431760.945885</v>
      </c>
      <c r="C14434" t="n" s="0">
        <v>431760.9458849999</v>
      </c>
    </row>
    <row r="14435">
      <c r="A14435" t="n" s="0">
        <v>44.34</v>
      </c>
      <c r="B14435" t="n" s="0">
        <f>(-5-((((-5*(-5/((-5/(((-5*(44.34--5))-(-5+((-5*44.34)*(((-5--5)+(44.34--5))+44.34))))-(-5+-5)))*-5)))/-5)--5)+(-5*(((44.34*(44.34-(-5/-5)))*(44.34-(44.34/(-5*44.34))))-(-5/-5)))))</f>
        <v>432054.04132</v>
      </c>
      <c r="C14435" t="n" s="0">
        <v>432054.04132000013</v>
      </c>
    </row>
    <row r="14436">
      <c r="A14436" t="n" s="0">
        <v>44.35</v>
      </c>
      <c r="B14436" t="n" s="0">
        <f>(-5-((((-5*(-5/((-5/(((-5*(44.35--5))-(-5+((-5*44.35)*(((-5--5)+(44.35--5))+44.35))))-(-5+-5)))*-5)))/-5)--5)+(-5*(((44.35*(44.35-(-5/-5)))*(44.35-(44.35/(-5*44.35))))-(-5/-5)))))</f>
        <v>432347.269375</v>
      </c>
      <c r="C14436" t="n" s="0">
        <v>432347.2693750001</v>
      </c>
    </row>
    <row r="14437">
      <c r="A14437" t="n" s="0">
        <v>44.36</v>
      </c>
      <c r="B14437" t="n" s="0">
        <f>(-5-((((-5*(-5/((-5/(((-5*(44.36--5))-(-5+((-5*44.36)*(((-5--5)+(44.36--5))+44.36))))-(-5+-5)))*-5)))/-5)--5)+(-5*(((44.36*(44.36-(-5/-5)))*(44.36-(44.36/(-5*44.36))))-(-5/-5)))))</f>
        <v>432640.63008000003</v>
      </c>
      <c r="C14437" t="n" s="0">
        <v>432640.63008</v>
      </c>
    </row>
    <row r="14438">
      <c r="A14438" t="n" s="0">
        <v>44.37</v>
      </c>
      <c r="B14438" t="n" s="0">
        <f>(-5-((((-5*(-5/((-5/(((-5*(44.37--5))-(-5+((-5*44.37)*(((-5--5)+(44.37--5))+44.37))))-(-5+-5)))*-5)))/-5)--5)+(-5*(((44.37*(44.37-(-5/-5)))*(44.37-(44.37/(-5*44.37))))-(-5/-5)))))</f>
        <v>432934.123465</v>
      </c>
      <c r="C14438" t="n" s="0">
        <v>432934.1234649999</v>
      </c>
    </row>
    <row r="14439">
      <c r="A14439" t="n" s="0">
        <v>44.38</v>
      </c>
      <c r="B14439" t="n" s="0">
        <f>(-5-((((-5*(-5/((-5/(((-5*(44.38--5))-(-5+((-5*44.38)*(((-5--5)+(44.38--5))+44.38))))-(-5+-5)))*-5)))/-5)--5)+(-5*(((44.38*(44.38-(-5/-5)))*(44.38-(44.38/(-5*44.38))))-(-5/-5)))))</f>
        <v>433227.74956</v>
      </c>
      <c r="C14439" t="n" s="0">
        <v>433227.7495600001</v>
      </c>
    </row>
    <row r="14440">
      <c r="A14440" t="n" s="0">
        <v>44.39</v>
      </c>
      <c r="B14440" t="n" s="0">
        <f>(-5-((((-5*(-5/((-5/(((-5*(44.39--5))-(-5+((-5*44.39)*(((-5--5)+(44.39--5))+44.39))))-(-5+-5)))*-5)))/-5)--5)+(-5*(((44.39*(44.39-(-5/-5)))*(44.39-(44.39/(-5*44.39))))-(-5/-5)))))</f>
        <v>433521.508395</v>
      </c>
      <c r="C14440" t="n" s="0">
        <v>433521.50839499995</v>
      </c>
    </row>
    <row r="14441">
      <c r="A14441" t="n" s="0">
        <v>44.4</v>
      </c>
      <c r="B14441" t="n" s="0">
        <f>(-5-((((-5*(-5/((-5/(((-5*(44.4--5))-(-5+((-5*44.4)*(((-5--5)+(44.4--5))+44.4))))-(-5+-5)))*-5)))/-5)--5)+(-5*(((44.4*(44.4-(-5/-5)))*(44.4-(44.4/(-5*44.4))))-(-5/-5)))))</f>
        <v>433815.4</v>
      </c>
      <c r="C14441" t="n" s="0">
        <v>433815.39999999997</v>
      </c>
    </row>
    <row r="14442">
      <c r="A14442" t="n" s="0">
        <v>44.41</v>
      </c>
      <c r="B14442" t="n" s="0">
        <f>(-5-((((-5*(-5/((-5/(((-5*(44.41--5))-(-5+((-5*44.41)*(((-5--5)+(44.41--5))+44.41))))-(-5+-5)))*-5)))/-5)--5)+(-5*(((44.41*(44.41-(-5/-5)))*(44.41-(44.41/(-5*44.41))))-(-5/-5)))))</f>
        <v>434109.424405</v>
      </c>
      <c r="C14442" t="n" s="0">
        <v>434109.4244049999</v>
      </c>
    </row>
    <row r="14443">
      <c r="A14443" t="n" s="0">
        <v>44.42</v>
      </c>
      <c r="B14443" t="n" s="0">
        <f>(-5-((((-5*(-5/((-5/(((-5*(44.42--5))-(-5+((-5*44.42)*(((-5--5)+(44.42--5))+44.42))))-(-5+-5)))*-5)))/-5)--5)+(-5*(((44.42*(44.42-(-5/-5)))*(44.42-(44.42/(-5*44.42))))-(-5/-5)))))</f>
        <v>434403.58164000005</v>
      </c>
      <c r="C14443" t="n" s="0">
        <v>434403.58164000005</v>
      </c>
    </row>
    <row r="14444">
      <c r="A14444" t="n" s="0">
        <v>44.43</v>
      </c>
      <c r="B14444" t="n" s="0">
        <f>(-5-((((-5*(-5/((-5/(((-5*(44.43--5))-(-5+((-5*44.43)*(((-5--5)+(44.43--5))+44.43))))-(-5+-5)))*-5)))/-5)--5)+(-5*(((44.43*(44.43-(-5/-5)))*(44.43-(44.43/(-5*44.43))))-(-5/-5)))))</f>
        <v>434697.871735</v>
      </c>
      <c r="C14444" t="n" s="0">
        <v>434697.871735</v>
      </c>
    </row>
    <row r="14445">
      <c r="A14445" t="n" s="0">
        <v>44.44</v>
      </c>
      <c r="B14445" t="n" s="0">
        <f>(-5-((((-5*(-5/((-5/(((-5*(44.44--5))-(-5+((-5*44.44)*(((-5--5)+(44.44--5))+44.44))))-(-5+-5)))*-5)))/-5)--5)+(-5*(((44.44*(44.44-(-5/-5)))*(44.44-(44.44/(-5*44.44))))-(-5/-5)))))</f>
        <v>434992.29472</v>
      </c>
      <c r="C14445" t="n" s="0">
        <v>434992.29471999995</v>
      </c>
    </row>
    <row r="14446">
      <c r="A14446" t="n" s="0">
        <v>44.45</v>
      </c>
      <c r="B14446" t="n" s="0">
        <f>(-5-((((-5*(-5/((-5/(((-5*(44.45--5))-(-5+((-5*44.45)*(((-5--5)+(44.45--5))+44.45))))-(-5+-5)))*-5)))/-5)--5)+(-5*(((44.45*(44.45-(-5/-5)))*(44.45-(44.45/(-5*44.45))))-(-5/-5)))))</f>
        <v>435286.850625</v>
      </c>
      <c r="C14446" t="n" s="0">
        <v>435286.8506250001</v>
      </c>
    </row>
    <row r="14447">
      <c r="A14447" t="n" s="0">
        <v>44.46</v>
      </c>
      <c r="B14447" t="n" s="0">
        <f>(-5-((((-5*(-5/((-5/(((-5*(44.46--5))-(-5+((-5*44.46)*(((-5--5)+(44.46--5))+44.46))))-(-5+-5)))*-5)))/-5)--5)+(-5*(((44.46*(44.46-(-5/-5)))*(44.46-(44.46/(-5*44.46))))-(-5/-5)))))</f>
        <v>435581.53948000004</v>
      </c>
      <c r="C14447" t="n" s="0">
        <v>435581.53948000004</v>
      </c>
    </row>
    <row r="14448">
      <c r="A14448" t="n" s="0">
        <v>44.47</v>
      </c>
      <c r="B14448" t="n" s="0">
        <f>(-5-((((-5*(-5/((-5/(((-5*(44.47--5))-(-5+((-5*44.47)*(((-5--5)+(44.47--5))+44.47))))-(-5+-5)))*-5)))/-5)--5)+(-5*(((44.47*(44.47-(-5/-5)))*(44.47-(44.47/(-5*44.47))))-(-5/-5)))))</f>
        <v>435876.361315</v>
      </c>
      <c r="C14448" t="n" s="0">
        <v>435876.36131499993</v>
      </c>
    </row>
    <row r="14449">
      <c r="A14449" t="n" s="0">
        <v>44.48</v>
      </c>
      <c r="B14449" t="n" s="0">
        <f>(-5-((((-5*(-5/((-5/(((-5*(44.48--5))-(-5+((-5*44.48)*(((-5--5)+(44.48--5))+44.48))))-(-5+-5)))*-5)))/-5)--5)+(-5*(((44.48*(44.48-(-5/-5)))*(44.48-(44.48/(-5*44.48))))-(-5/-5)))))</f>
        <v>436171.31616</v>
      </c>
      <c r="C14449" t="n" s="0">
        <v>436171.31615999993</v>
      </c>
    </row>
    <row r="14450">
      <c r="A14450" t="n" s="0">
        <v>44.49</v>
      </c>
      <c r="B14450" t="n" s="0">
        <f>(-5-((((-5*(-5/((-5/(((-5*(44.49--5))-(-5+((-5*44.49)*(((-5--5)+(44.49--5))+44.49))))-(-5+-5)))*-5)))/-5)--5)+(-5*(((44.49*(44.49-(-5/-5)))*(44.49-(44.49/(-5*44.49))))-(-5/-5)))))</f>
        <v>436466.404045</v>
      </c>
      <c r="C14450" t="n" s="0">
        <v>436466.4040450001</v>
      </c>
    </row>
    <row r="14451">
      <c r="A14451" t="n" s="0">
        <v>44.5</v>
      </c>
      <c r="B14451" t="n" s="0">
        <f>(-5-((((-5*(-5/((-5/(((-5*(44.5--5))-(-5+((-5*44.5)*(((-5--5)+(44.5--5))+44.5))))-(-5+-5)))*-5)))/-5)--5)+(-5*(((44.5*(44.5-(-5/-5)))*(44.5-(44.5/(-5*44.5))))-(-5/-5)))))</f>
        <v>436761.625</v>
      </c>
      <c r="C14451" t="n" s="0">
        <v>436761.625</v>
      </c>
    </row>
    <row r="14452">
      <c r="A14452" t="n" s="0">
        <v>44.51</v>
      </c>
      <c r="B14452" t="n" s="0">
        <f>(-5-((((-5*(-5/((-5/(((-5*(44.51--5))-(-5+((-5*44.51)*(((-5--5)+(44.51--5))+44.51))))-(-5+-5)))*-5)))/-5)--5)+(-5*(((44.51*(44.51-(-5/-5)))*(44.51-(44.51/(-5*44.51))))-(-5/-5)))))</f>
        <v>437056.979055</v>
      </c>
      <c r="C14452" t="n" s="0">
        <v>437056.979055</v>
      </c>
    </row>
    <row r="14453">
      <c r="A14453" t="n" s="0">
        <v>44.52</v>
      </c>
      <c r="B14453" t="n" s="0">
        <f>(-5-((((-5*(-5/((-5/(((-5*(44.52--5))-(-5+((-5*44.52)*(((-5--5)+(44.52--5))+44.52))))-(-5+-5)))*-5)))/-5)--5)+(-5*(((44.52*(44.52-(-5/-5)))*(44.52-(44.52/(-5*44.52))))-(-5/-5)))))</f>
        <v>437352.46624</v>
      </c>
      <c r="C14453" t="n" s="0">
        <v>437352.46624000015</v>
      </c>
    </row>
    <row r="14454">
      <c r="A14454" t="n" s="0">
        <v>44.53</v>
      </c>
      <c r="B14454" t="n" s="0">
        <f>(-5-((((-5*(-5/((-5/(((-5*(44.53--5))-(-5+((-5*44.53)*(((-5--5)+(44.53--5))+44.53))))-(-5+-5)))*-5)))/-5)--5)+(-5*(((44.53*(44.53-(-5/-5)))*(44.53-(44.53/(-5*44.53))))-(-5/-5)))))</f>
        <v>437648.086585</v>
      </c>
      <c r="C14454" t="n" s="0">
        <v>437648.08658500004</v>
      </c>
    </row>
    <row r="14455">
      <c r="A14455" t="n" s="0">
        <v>44.54</v>
      </c>
      <c r="B14455" t="n" s="0">
        <f>(-5-((((-5*(-5/((-5/(((-5*(44.54--5))-(-5+((-5*44.54)*(((-5--5)+(44.54--5))+44.54))))-(-5+-5)))*-5)))/-5)--5)+(-5*(((44.54*(44.54-(-5/-5)))*(44.54-(44.54/(-5*44.54))))-(-5/-5)))))</f>
        <v>437943.84011999995</v>
      </c>
      <c r="C14455" t="n" s="0">
        <v>437943.84012</v>
      </c>
    </row>
    <row r="14456">
      <c r="A14456" t="n" s="0">
        <v>44.55</v>
      </c>
      <c r="B14456" t="n" s="0">
        <f>(-5-((((-5*(-5/((-5/(((-5*(44.55--5))-(-5+((-5*44.55)*(((-5--5)+(44.55--5))+44.55))))-(-5+-5)))*-5)))/-5)--5)+(-5*(((44.55*(44.55-(-5/-5)))*(44.55-(44.55/(-5*44.55))))-(-5/-5)))))</f>
        <v>438239.72687500005</v>
      </c>
      <c r="C14456" t="n" s="0">
        <v>438239.72687499993</v>
      </c>
    </row>
    <row r="14457">
      <c r="A14457" t="n" s="0">
        <v>44.56</v>
      </c>
      <c r="B14457" t="n" s="0">
        <f>(-5-((((-5*(-5/((-5/(((-5*(44.56--5))-(-5+((-5*44.56)*(((-5--5)+(44.56--5))+44.56))))-(-5+-5)))*-5)))/-5)--5)+(-5*(((44.56*(44.56-(-5/-5)))*(44.56-(44.56/(-5*44.56))))-(-5/-5)))))</f>
        <v>438535.74688</v>
      </c>
      <c r="C14457" t="n" s="0">
        <v>438535.7468800001</v>
      </c>
    </row>
    <row r="14458">
      <c r="A14458" t="n" s="0">
        <v>44.57</v>
      </c>
      <c r="B14458" t="n" s="0">
        <f>(-5-((((-5*(-5/((-5/(((-5*(44.57--5))-(-5+((-5*44.57)*(((-5--5)+(44.57--5))+44.57))))-(-5+-5)))*-5)))/-5)--5)+(-5*(((44.57*(44.57-(-5/-5)))*(44.57-(44.57/(-5*44.57))))-(-5/-5)))))</f>
        <v>438831.900165</v>
      </c>
      <c r="C14458" t="n" s="0">
        <v>438831.900165</v>
      </c>
    </row>
    <row r="14459">
      <c r="A14459" t="n" s="0">
        <v>44.58</v>
      </c>
      <c r="B14459" t="n" s="0">
        <f>(-5-((((-5*(-5/((-5/(((-5*(44.58--5))-(-5+((-5*44.58)*(((-5--5)+(44.58--5))+44.58))))-(-5+-5)))*-5)))/-5)--5)+(-5*(((44.58*(44.58-(-5/-5)))*(44.58-(44.58/(-5*44.58))))-(-5/-5)))))</f>
        <v>439128.18676</v>
      </c>
      <c r="C14459" t="n" s="0">
        <v>439128.18675999995</v>
      </c>
    </row>
    <row r="14460">
      <c r="A14460" t="n" s="0">
        <v>44.59</v>
      </c>
      <c r="B14460" t="n" s="0">
        <f>(-5-((((-5*(-5/((-5/(((-5*(44.59--5))-(-5+((-5*44.59)*(((-5--5)+(44.59--5))+44.59))))-(-5+-5)))*-5)))/-5)--5)+(-5*(((44.59*(44.59-(-5/-5)))*(44.59-(44.59/(-5*44.59))))-(-5/-5)))))</f>
        <v>439424.60669499997</v>
      </c>
      <c r="C14460" t="n" s="0">
        <v>439424.6066950002</v>
      </c>
    </row>
    <row r="14461">
      <c r="A14461" t="n" s="0">
        <v>44.6</v>
      </c>
      <c r="B14461" t="n" s="0">
        <f>(-5-((((-5*(-5/((-5/(((-5*(44.6--5))-(-5+((-5*44.6)*(((-5--5)+(44.6--5))+44.6))))-(-5+-5)))*-5)))/-5)--5)+(-5*(((44.6*(44.6-(-5/-5)))*(44.6-(44.6/(-5*44.6))))-(-5/-5)))))</f>
        <v>439721.16000000003</v>
      </c>
      <c r="C14461" t="n" s="0">
        <v>439721.16000000003</v>
      </c>
    </row>
    <row r="14462">
      <c r="A14462" t="n" s="0">
        <v>44.61</v>
      </c>
      <c r="B14462" t="n" s="0">
        <f>(-5-((((-5*(-5/((-5/(((-5*(44.61--5))-(-5+((-5*44.61)*(((-5--5)+(44.61--5))+44.61))))-(-5+-5)))*-5)))/-5)--5)+(-5*(((44.61*(44.61-(-5/-5)))*(44.61-(44.61/(-5*44.61))))-(-5/-5)))))</f>
        <v>440017.84670500003</v>
      </c>
      <c r="C14462" t="n" s="0">
        <v>440017.84670500003</v>
      </c>
    </row>
    <row r="14463">
      <c r="A14463" t="n" s="0">
        <v>44.62</v>
      </c>
      <c r="B14463" t="n" s="0">
        <f>(-5-((((-5*(-5/((-5/(((-5*(44.62--5))-(-5+((-5*44.62)*(((-5--5)+(44.62--5))+44.62))))-(-5+-5)))*-5)))/-5)--5)+(-5*(((44.62*(44.62-(-5/-5)))*(44.62-(44.62/(-5*44.62))))-(-5/-5)))))</f>
        <v>440314.66684</v>
      </c>
      <c r="C14463" t="n" s="0">
        <v>440314.6668399999</v>
      </c>
    </row>
    <row r="14464">
      <c r="A14464" t="n" s="0">
        <v>44.63</v>
      </c>
      <c r="B14464" t="n" s="0">
        <f>(-5-((((-5*(-5/((-5/(((-5*(44.63--5))-(-5+((-5*44.63)*(((-5--5)+(44.63--5))+44.63))))-(-5+-5)))*-5)))/-5)--5)+(-5*(((44.63*(44.63-(-5/-5)))*(44.63-(44.63/(-5*44.63))))-(-5/-5)))))</f>
        <v>440611.620435</v>
      </c>
      <c r="C14464" t="n" s="0">
        <v>440611.62043500005</v>
      </c>
    </row>
    <row r="14465">
      <c r="A14465" t="n" s="0">
        <v>44.64</v>
      </c>
      <c r="B14465" t="n" s="0">
        <f>(-5-((((-5*(-5/((-5/(((-5*(44.64--5))-(-5+((-5*44.64)*(((-5--5)+(44.64--5))+44.64))))-(-5+-5)))*-5)))/-5)--5)+(-5*(((44.64*(44.64-(-5/-5)))*(44.64-(44.64/(-5*44.64))))-(-5/-5)))))</f>
        <v>440908.70752</v>
      </c>
      <c r="C14465" t="n" s="0">
        <v>440908.70752000005</v>
      </c>
    </row>
    <row r="14466">
      <c r="A14466" t="n" s="0">
        <v>44.65</v>
      </c>
      <c r="B14466" t="n" s="0">
        <f>(-5-((((-5*(-5/((-5/(((-5*(44.65--5))-(-5+((-5*44.65)*(((-5--5)+(44.65--5))+44.65))))-(-5+-5)))*-5)))/-5)--5)+(-5*(((44.65*(44.65-(-5/-5)))*(44.65-(44.65/(-5*44.65))))-(-5/-5)))))</f>
        <v>441205.928125</v>
      </c>
      <c r="C14466" t="n" s="0">
        <v>441205.928125</v>
      </c>
    </row>
    <row r="14467">
      <c r="A14467" t="n" s="0">
        <v>44.66</v>
      </c>
      <c r="B14467" t="n" s="0">
        <f>(-5-((((-5*(-5/((-5/(((-5*(44.66--5))-(-5+((-5*44.66)*(((-5--5)+(44.66--5))+44.66))))-(-5+-5)))*-5)))/-5)--5)+(-5*(((44.66*(44.66-(-5/-5)))*(44.66-(44.66/(-5*44.66))))-(-5/-5)))))</f>
        <v>441503.28228</v>
      </c>
      <c r="C14467" t="n" s="0">
        <v>441503.28227999987</v>
      </c>
    </row>
    <row r="14468">
      <c r="A14468" t="n" s="0">
        <v>44.67</v>
      </c>
      <c r="B14468" t="n" s="0">
        <f>(-5-((((-5*(-5/((-5/(((-5*(44.67--5))-(-5+((-5*44.67)*(((-5--5)+(44.67--5))+44.67))))-(-5+-5)))*-5)))/-5)--5)+(-5*(((44.67*(44.67-(-5/-5)))*(44.67-(44.67/(-5*44.67))))-(-5/-5)))))</f>
        <v>441800.770015</v>
      </c>
      <c r="C14468" t="n" s="0">
        <v>441800.7700150001</v>
      </c>
    </row>
    <row r="14469">
      <c r="A14469" t="n" s="0">
        <v>44.68</v>
      </c>
      <c r="B14469" t="n" s="0">
        <f>(-5-((((-5*(-5/((-5/(((-5*(44.68--5))-(-5+((-5*44.68)*(((-5--5)+(44.68--5))+44.68))))-(-5+-5)))*-5)))/-5)--5)+(-5*(((44.68*(44.68-(-5/-5)))*(44.68-(44.68/(-5*44.68))))-(-5/-5)))))</f>
        <v>442098.39136</v>
      </c>
      <c r="C14469" t="n" s="0">
        <v>442098.39136</v>
      </c>
    </row>
    <row r="14470">
      <c r="A14470" t="n" s="0">
        <v>44.69</v>
      </c>
      <c r="B14470" t="n" s="0">
        <f>(-5-((((-5*(-5/((-5/(((-5*(44.69--5))-(-5+((-5*44.69)*(((-5--5)+(44.69--5))+44.69))))-(-5+-5)))*-5)))/-5)--5)+(-5*(((44.69*(44.69-(-5/-5)))*(44.69-(44.69/(-5*44.69))))-(-5/-5)))))</f>
        <v>442396.146345</v>
      </c>
      <c r="C14470" t="n" s="0">
        <v>442396.14634499996</v>
      </c>
    </row>
    <row r="14471">
      <c r="A14471" t="n" s="0">
        <v>44.7</v>
      </c>
      <c r="B14471" t="n" s="0">
        <f>(-5-((((-5*(-5/((-5/(((-5*(44.7--5))-(-5+((-5*44.7)*(((-5--5)+(44.7--5))+44.7))))-(-5+-5)))*-5)))/-5)--5)+(-5*(((44.7*(44.7-(-5/-5)))*(44.7-(44.7/(-5*44.7))))-(-5/-5)))))</f>
        <v>442694.035</v>
      </c>
      <c r="C14471" t="n" s="0">
        <v>442694.0350000001</v>
      </c>
    </row>
    <row r="14472">
      <c r="A14472" t="n" s="0">
        <v>44.71</v>
      </c>
      <c r="B14472" t="n" s="0">
        <f>(-5-((((-5*(-5/((-5/(((-5*(44.71--5))-(-5+((-5*44.71)*(((-5--5)+(44.71--5))+44.71))))-(-5+-5)))*-5)))/-5)--5)+(-5*(((44.71*(44.71-(-5/-5)))*(44.71-(44.71/(-5*44.71))))-(-5/-5)))))</f>
        <v>442992.057355</v>
      </c>
      <c r="C14472" t="n" s="0">
        <v>442992.057355</v>
      </c>
    </row>
    <row r="14473">
      <c r="A14473" t="n" s="0">
        <v>44.72</v>
      </c>
      <c r="B14473" t="n" s="0">
        <f>(-5-((((-5*(-5/((-5/(((-5*(44.72--5))-(-5+((-5*44.72)*(((-5--5)+(44.72--5))+44.72))))-(-5+-5)))*-5)))/-5)--5)+(-5*(((44.72*(44.72-(-5/-5)))*(44.72-(44.72/(-5*44.72))))-(-5/-5)))))</f>
        <v>443290.21343999996</v>
      </c>
      <c r="C14473" t="n" s="0">
        <v>443290.21343999996</v>
      </c>
    </row>
    <row r="14474">
      <c r="A14474" t="n" s="0">
        <v>44.73</v>
      </c>
      <c r="B14474" t="n" s="0">
        <f>(-5-((((-5*(-5/((-5/(((-5*(44.73--5))-(-5+((-5*44.73)*(((-5--5)+(44.73--5))+44.73))))-(-5+-5)))*-5)))/-5)--5)+(-5*(((44.73*(44.73-(-5/-5)))*(44.73-(44.73/(-5*44.73))))-(-5/-5)))))</f>
        <v>443588.503285</v>
      </c>
      <c r="C14474" t="n" s="0">
        <v>443588.50328499987</v>
      </c>
    </row>
    <row r="14475">
      <c r="A14475" t="n" s="0">
        <v>44.74</v>
      </c>
      <c r="B14475" t="n" s="0">
        <f>(-5-((((-5*(-5/((-5/(((-5*(44.74--5))-(-5+((-5*44.74)*(((-5--5)+(44.74--5))+44.74))))-(-5+-5)))*-5)))/-5)--5)+(-5*(((44.74*(44.74-(-5/-5)))*(44.74-(44.74/(-5*44.74))))-(-5/-5)))))</f>
        <v>443886.92692</v>
      </c>
      <c r="C14475" t="n" s="0">
        <v>443886.92692</v>
      </c>
    </row>
    <row r="14476">
      <c r="A14476" t="n" s="0">
        <v>44.75</v>
      </c>
      <c r="B14476" t="n" s="0">
        <f>(-5-((((-5*(-5/((-5/(((-5*(44.75--5))-(-5+((-5*44.75)*(((-5--5)+(44.75--5))+44.75))))-(-5+-5)))*-5)))/-5)--5)+(-5*(((44.75*(44.75-(-5/-5)))*(44.75-(44.75/(-5*44.75))))-(-5/-5)))))</f>
        <v>444185.484375</v>
      </c>
      <c r="C14476" t="n" s="0">
        <v>444185.484375</v>
      </c>
    </row>
    <row r="14477">
      <c r="A14477" t="n" s="0">
        <v>44.76</v>
      </c>
      <c r="B14477" t="n" s="0">
        <f>(-5-((((-5*(-5/((-5/(((-5*(44.76--5))-(-5+((-5*44.76)*(((-5--5)+(44.76--5))+44.76))))-(-5+-5)))*-5)))/-5)--5)+(-5*(((44.76*(44.76-(-5/-5)))*(44.76-(44.76/(-5*44.76))))-(-5/-5)))))</f>
        <v>444484.17568</v>
      </c>
      <c r="C14477" t="n" s="0">
        <v>444484.17568</v>
      </c>
    </row>
    <row r="14478">
      <c r="A14478" t="n" s="0">
        <v>44.77</v>
      </c>
      <c r="B14478" t="n" s="0">
        <f>(-5-((((-5*(-5/((-5/(((-5*(44.77--5))-(-5+((-5*44.77)*(((-5--5)+(44.77--5))+44.77))))-(-5+-5)))*-5)))/-5)--5)+(-5*(((44.77*(44.77-(-5/-5)))*(44.77-(44.77/(-5*44.77))))-(-5/-5)))))</f>
        <v>444783.00086499995</v>
      </c>
      <c r="C14478" t="n" s="0">
        <v>444783.0008650001</v>
      </c>
    </row>
    <row r="14479">
      <c r="A14479" t="n" s="0">
        <v>44.78</v>
      </c>
      <c r="B14479" t="n" s="0">
        <f>(-5-((((-5*(-5/((-5/(((-5*(44.78--5))-(-5+((-5*44.78)*(((-5--5)+(44.78--5))+44.78))))-(-5+-5)))*-5)))/-5)--5)+(-5*(((44.78*(44.78-(-5/-5)))*(44.78-(44.78/(-5*44.78))))-(-5/-5)))))</f>
        <v>445081.95995999995</v>
      </c>
      <c r="C14479" t="n" s="0">
        <v>445081.95996</v>
      </c>
    </row>
    <row r="14480">
      <c r="A14480" t="n" s="0">
        <v>44.79</v>
      </c>
      <c r="B14480" t="n" s="0">
        <f>(-5-((((-5*(-5/((-5/(((-5*(44.79--5))-(-5+((-5*44.79)*(((-5--5)+(44.79--5))+44.79))))-(-5+-5)))*-5)))/-5)--5)+(-5*(((44.79*(44.79-(-5/-5)))*(44.79-(44.79/(-5*44.79))))-(-5/-5)))))</f>
        <v>445381.052995</v>
      </c>
      <c r="C14480" t="n" s="0">
        <v>445381.0529949999</v>
      </c>
    </row>
    <row r="14481">
      <c r="A14481" t="n" s="0">
        <v>44.8</v>
      </c>
      <c r="B14481" t="n" s="0">
        <f>(-5-((((-5*(-5/((-5/(((-5*(44.8--5))-(-5+((-5*44.8)*(((-5--5)+(44.8--5))+44.8))))-(-5+-5)))*-5)))/-5)--5)+(-5*(((44.8*(44.8-(-5/-5)))*(44.8-(44.8/(-5*44.8))))-(-5/-5)))))</f>
        <v>445680.28</v>
      </c>
      <c r="C14481" t="n" s="0">
        <v>445680.2799999999</v>
      </c>
    </row>
    <row r="14482">
      <c r="A14482" t="n" s="0">
        <v>44.81</v>
      </c>
      <c r="B14482" t="n" s="0">
        <f>(-5-((((-5*(-5/((-5/(((-5*(44.81--5))-(-5+((-5*44.81)*(((-5--5)+(44.81--5))+44.81))))-(-5+-5)))*-5)))/-5)--5)+(-5*(((44.81*(44.81-(-5/-5)))*(44.81-(44.81/(-5*44.81))))-(-5/-5)))))</f>
        <v>445979.641005</v>
      </c>
      <c r="C14482" t="n" s="0">
        <v>445979.6410050001</v>
      </c>
    </row>
    <row r="14483">
      <c r="A14483" t="n" s="0">
        <v>44.82</v>
      </c>
      <c r="B14483" t="n" s="0">
        <f>(-5-((((-5*(-5/((-5/(((-5*(44.82--5))-(-5+((-5*44.82)*(((-5--5)+(44.82--5))+44.82))))-(-5+-5)))*-5)))/-5)--5)+(-5*(((44.82*(44.82-(-5/-5)))*(44.82-(44.82/(-5*44.82))))-(-5/-5)))))</f>
        <v>446279.13604</v>
      </c>
      <c r="C14483" t="n" s="0">
        <v>446279.13604</v>
      </c>
    </row>
    <row r="14484">
      <c r="A14484" t="n" s="0">
        <v>44.83</v>
      </c>
      <c r="B14484" t="n" s="0">
        <f>(-5-((((-5*(-5/((-5/(((-5*(44.83--5))-(-5+((-5*44.83)*(((-5--5)+(44.83--5))+44.83))))-(-5+-5)))*-5)))/-5)--5)+(-5*(((44.83*(44.83-(-5/-5)))*(44.83-(44.83/(-5*44.83))))-(-5/-5)))))</f>
        <v>446578.765135</v>
      </c>
      <c r="C14484" t="n" s="0">
        <v>446578.765135</v>
      </c>
    </row>
    <row r="14485">
      <c r="A14485" t="n" s="0">
        <v>44.84</v>
      </c>
      <c r="B14485" t="n" s="0">
        <f>(-5-((((-5*(-5/((-5/(((-5*(44.84--5))-(-5+((-5*44.84)*(((-5--5)+(44.84--5))+44.84))))-(-5+-5)))*-5)))/-5)--5)+(-5*(((44.84*(44.84-(-5/-5)))*(44.84-(44.84/(-5*44.84))))-(-5/-5)))))</f>
        <v>446878.52832000004</v>
      </c>
      <c r="C14485" t="n" s="0">
        <v>446878.5283200001</v>
      </c>
    </row>
    <row r="14486">
      <c r="A14486" t="n" s="0">
        <v>44.85</v>
      </c>
      <c r="B14486" t="n" s="0">
        <f>(-5-((((-5*(-5/((-5/(((-5*(44.85--5))-(-5+((-5*44.85)*(((-5--5)+(44.85--5))+44.85))))-(-5+-5)))*-5)))/-5)--5)+(-5*(((44.85*(44.85-(-5/-5)))*(44.85-(44.85/(-5*44.85))))-(-5/-5)))))</f>
        <v>447178.42562500003</v>
      </c>
      <c r="C14486" t="n" s="0">
        <v>447178.42562500003</v>
      </c>
    </row>
    <row r="14487">
      <c r="A14487" t="n" s="0">
        <v>44.86</v>
      </c>
      <c r="B14487" t="n" s="0">
        <f>(-5-((((-5*(-5/((-5/(((-5*(44.86--5))-(-5+((-5*44.86)*(((-5--5)+(44.86--5))+44.86))))-(-5+-5)))*-5)))/-5)--5)+(-5*(((44.86*(44.86-(-5/-5)))*(44.86-(44.86/(-5*44.86))))-(-5/-5)))))</f>
        <v>447478.45707999996</v>
      </c>
      <c r="C14487" t="n" s="0">
        <v>447478.45708</v>
      </c>
    </row>
    <row r="14488">
      <c r="A14488" t="n" s="0">
        <v>44.87</v>
      </c>
      <c r="B14488" t="n" s="0">
        <f>(-5-((((-5*(-5/((-5/(((-5*(44.87--5))-(-5+((-5*44.87)*(((-5--5)+(44.87--5))+44.87))))-(-5+-5)))*-5)))/-5)--5)+(-5*(((44.87*(44.87-(-5/-5)))*(44.87-(44.87/(-5*44.87))))-(-5/-5)))))</f>
        <v>447778.622715</v>
      </c>
      <c r="C14488" t="n" s="0">
        <v>447778.6227149999</v>
      </c>
    </row>
    <row r="14489">
      <c r="A14489" t="n" s="0">
        <v>44.88</v>
      </c>
      <c r="B14489" t="n" s="0">
        <f>(-5-((((-5*(-5/((-5/(((-5*(44.88--5))-(-5+((-5*44.88)*(((-5--5)+(44.88--5))+44.88))))-(-5+-5)))*-5)))/-5)--5)+(-5*(((44.88*(44.88-(-5/-5)))*(44.88-(44.88/(-5*44.88))))-(-5/-5)))))</f>
        <v>448078.92256000004</v>
      </c>
      <c r="C14489" t="n" s="0">
        <v>448078.9225600001</v>
      </c>
    </row>
    <row r="14490">
      <c r="A14490" t="n" s="0">
        <v>44.89</v>
      </c>
      <c r="B14490" t="n" s="0">
        <f>(-5-((((-5*(-5/((-5/(((-5*(44.89--5))-(-5+((-5*44.89)*(((-5--5)+(44.89--5))+44.89))))-(-5+-5)))*-5)))/-5)--5)+(-5*(((44.89*(44.89-(-5/-5)))*(44.89-(44.89/(-5*44.89))))-(-5/-5)))))</f>
        <v>448379.356645</v>
      </c>
      <c r="C14490" t="n" s="0">
        <v>448379.356645</v>
      </c>
    </row>
    <row r="14491">
      <c r="A14491" t="n" s="0">
        <v>44.9</v>
      </c>
      <c r="B14491" t="n" s="0">
        <f>(-5-((((-5*(-5/((-5/(((-5*(44.9--5))-(-5+((-5*44.9)*(((-5--5)+(44.9--5))+44.9))))-(-5+-5)))*-5)))/-5)--5)+(-5*(((44.9*(44.9-(-5/-5)))*(44.9-(44.9/(-5*44.9))))-(-5/-5)))))</f>
        <v>448679.925</v>
      </c>
      <c r="C14491" t="n" s="0">
        <v>448679.92499999993</v>
      </c>
    </row>
    <row r="14492">
      <c r="A14492" t="n" s="0">
        <v>44.91</v>
      </c>
      <c r="B14492" t="n" s="0">
        <f>(-5-((((-5*(-5/((-5/(((-5*(44.91--5))-(-5+((-5*44.91)*(((-5--5)+(44.91--5))+44.91))))-(-5+-5)))*-5)))/-5)--5)+(-5*(((44.91*(44.91-(-5/-5)))*(44.91-(44.91/(-5*44.91))))-(-5/-5)))))</f>
        <v>448980.627655</v>
      </c>
      <c r="C14492" t="n" s="0">
        <v>448980.6276549999</v>
      </c>
    </row>
    <row r="14493">
      <c r="A14493" t="n" s="0">
        <v>44.92</v>
      </c>
      <c r="B14493" t="n" s="0">
        <f>(-5-((((-5*(-5/((-5/(((-5*(44.92--5))-(-5+((-5*44.92)*(((-5--5)+(44.92--5))+44.92))))-(-5+-5)))*-5)))/-5)--5)+(-5*(((44.92*(44.92-(-5/-5)))*(44.92-(44.92/(-5*44.92))))-(-5/-5)))))</f>
        <v>449281.46464</v>
      </c>
      <c r="C14493" t="n" s="0">
        <v>449281.4646400001</v>
      </c>
    </row>
    <row r="14494">
      <c r="A14494" t="n" s="0">
        <v>44.93</v>
      </c>
      <c r="B14494" t="n" s="0">
        <f>(-5-((((-5*(-5/((-5/(((-5*(44.93--5))-(-5+((-5*44.93)*(((-5--5)+(44.93--5))+44.93))))-(-5+-5)))*-5)))/-5)--5)+(-5*(((44.93*(44.93-(-5/-5)))*(44.93-(44.93/(-5*44.93))))-(-5/-5)))))</f>
        <v>449582.435985</v>
      </c>
      <c r="C14494" t="n" s="0">
        <v>449582.43598499993</v>
      </c>
    </row>
    <row r="14495">
      <c r="A14495" t="n" s="0">
        <v>44.94</v>
      </c>
      <c r="B14495" t="n" s="0">
        <f>(-5-((((-5*(-5/((-5/(((-5*(44.94--5))-(-5+((-5*44.94)*(((-5--5)+(44.94--5))+44.94))))-(-5+-5)))*-5)))/-5)--5)+(-5*(((44.94*(44.94-(-5/-5)))*(44.94-(44.94/(-5*44.94))))-(-5/-5)))))</f>
        <v>449883.54172000004</v>
      </c>
      <c r="C14495" t="n" s="0">
        <v>449883.54172</v>
      </c>
    </row>
    <row r="14496">
      <c r="A14496" t="n" s="0">
        <v>44.95</v>
      </c>
      <c r="B14496" t="n" s="0">
        <f>(-5-((((-5*(-5/((-5/(((-5*(44.95--5))-(-5+((-5*44.95)*(((-5--5)+(44.95--5))+44.95))))-(-5+-5)))*-5)))/-5)--5)+(-5*(((44.95*(44.95-(-5/-5)))*(44.95-(44.95/(-5*44.95))))-(-5/-5)))))</f>
        <v>450184.781875</v>
      </c>
      <c r="C14496" t="n" s="0">
        <v>450184.78187500004</v>
      </c>
    </row>
    <row r="14497">
      <c r="A14497" t="n" s="0">
        <v>44.96</v>
      </c>
      <c r="B14497" t="n" s="0">
        <f>(-5-((((-5*(-5/((-5/(((-5*(44.96--5))-(-5+((-5*44.96)*(((-5--5)+(44.96--5))+44.96))))-(-5+-5)))*-5)))/-5)--5)+(-5*(((44.96*(44.96-(-5/-5)))*(44.96-(44.96/(-5*44.96))))-(-5/-5)))))</f>
        <v>450486.15648</v>
      </c>
      <c r="C14497" t="n" s="0">
        <v>450486.15648</v>
      </c>
    </row>
    <row r="14498">
      <c r="A14498" t="n" s="0">
        <v>44.97</v>
      </c>
      <c r="B14498" t="n" s="0">
        <f>(-5-((((-5*(-5/((-5/(((-5*(44.97--5))-(-5+((-5*44.97)*(((-5--5)+(44.97--5))+44.97))))-(-5+-5)))*-5)))/-5)--5)+(-5*(((44.97*(44.97-(-5/-5)))*(44.97-(44.97/(-5*44.97))))-(-5/-5)))))</f>
        <v>450787.66556500003</v>
      </c>
      <c r="C14498" t="n" s="0">
        <v>450787.6655649999</v>
      </c>
    </row>
    <row r="14499">
      <c r="A14499" t="n" s="0">
        <v>44.98</v>
      </c>
      <c r="B14499" t="n" s="0">
        <f>(-5-((((-5*(-5/((-5/(((-5*(44.98--5))-(-5+((-5*44.98)*(((-5--5)+(44.98--5))+44.98))))-(-5+-5)))*-5)))/-5)--5)+(-5*(((44.98*(44.98-(-5/-5)))*(44.98-(44.98/(-5*44.98))))-(-5/-5)))))</f>
        <v>451089.30916000006</v>
      </c>
      <c r="C14499" t="n" s="0">
        <v>451089.30915999995</v>
      </c>
    </row>
    <row r="14500">
      <c r="A14500" t="n" s="0">
        <v>44.99</v>
      </c>
      <c r="B14500" t="n" s="0">
        <f>(-5-((((-5*(-5/((-5/(((-5*(44.99--5))-(-5+((-5*44.99)*(((-5--5)+(44.99--5))+44.99))))-(-5+-5)))*-5)))/-5)--5)+(-5*(((44.99*(44.99-(-5/-5)))*(44.99-(44.99/(-5*44.99))))-(-5/-5)))))</f>
        <v>451391.08729500003</v>
      </c>
      <c r="C14500" t="n" s="0">
        <v>451391.087295</v>
      </c>
    </row>
    <row r="14501">
      <c r="A14501" t="n" s="0">
        <v>45.0</v>
      </c>
      <c r="B14501" t="n" s="0">
        <f>(-5-((((-5*(-5/((-5/(((-5*(45--5))-(-5+((-5*45)*(((-5--5)+(45--5))+45))))-(-5+-5)))*-5)))/-5)--5)+(-5*(((45*(45-(-5/-5)))*(45-(45/(-5*45))))-(-5/-5)))))</f>
        <v>451693.0</v>
      </c>
      <c r="C14501" t="n" s="0">
        <v>451693.0</v>
      </c>
    </row>
    <row r="14502">
      <c r="A14502" t="n" s="0">
        <v>45.01</v>
      </c>
      <c r="B14502" t="n" s="0">
        <f>(-5-((((-5*(-5/((-5/(((-5*(45.01--5))-(-5+((-5*45.01)*(((-5--5)+(45.01--5))+45.01))))-(-5+-5)))*-5)))/-5)--5)+(-5*(((45.01*(45.01-(-5/-5)))*(45.01-(45.01/(-5*45.01))))-(-5/-5)))))</f>
        <v>451995.04730499996</v>
      </c>
      <c r="C14502" t="n" s="0">
        <v>451995.047305</v>
      </c>
    </row>
    <row r="14503">
      <c r="A14503" t="n" s="0">
        <v>45.02</v>
      </c>
      <c r="B14503" t="n" s="0">
        <f>(-5-((((-5*(-5/((-5/(((-5*(45.02--5))-(-5+((-5*45.02)*(((-5--5)+(45.02--5))+45.02))))-(-5+-5)))*-5)))/-5)--5)+(-5*(((45.02*(45.02-(-5/-5)))*(45.02-(45.02/(-5*45.02))))-(-5/-5)))))</f>
        <v>452297.22923999996</v>
      </c>
      <c r="C14503" t="n" s="0">
        <v>452297.2292400001</v>
      </c>
    </row>
    <row r="14504">
      <c r="A14504" t="n" s="0">
        <v>45.03</v>
      </c>
      <c r="B14504" t="n" s="0">
        <f>(-5-((((-5*(-5/((-5/(((-5*(45.03--5))-(-5+((-5*45.03)*(((-5--5)+(45.03--5))+45.03))))-(-5+-5)))*-5)))/-5)--5)+(-5*(((45.03*(45.03-(-5/-5)))*(45.03-(45.03/(-5*45.03))))-(-5/-5)))))</f>
        <v>452599.545835</v>
      </c>
      <c r="C14504" t="n" s="0">
        <v>452599.54583500006</v>
      </c>
    </row>
    <row r="14505">
      <c r="A14505" t="n" s="0">
        <v>45.04</v>
      </c>
      <c r="B14505" t="n" s="0">
        <f>(-5-((((-5*(-5/((-5/(((-5*(45.04--5))-(-5+((-5*45.04)*(((-5--5)+(45.04--5))+45.04))))-(-5+-5)))*-5)))/-5)--5)+(-5*(((45.04*(45.04-(-5/-5)))*(45.04-(45.04/(-5*45.04))))-(-5/-5)))))</f>
        <v>452901.99712</v>
      </c>
      <c r="C14505" t="n" s="0">
        <v>452901.99711999996</v>
      </c>
    </row>
    <row r="14506">
      <c r="A14506" t="n" s="0">
        <v>45.05</v>
      </c>
      <c r="B14506" t="n" s="0">
        <f>(-5-((((-5*(-5/((-5/(((-5*(45.05--5))-(-5+((-5*45.05)*(((-5--5)+(45.05--5))+45.05))))-(-5+-5)))*-5)))/-5)--5)+(-5*(((45.05*(45.05-(-5/-5)))*(45.05-(45.05/(-5*45.05))))-(-5/-5)))))</f>
        <v>453204.583125</v>
      </c>
      <c r="C14506" t="n" s="0">
        <v>453204.58312499995</v>
      </c>
    </row>
    <row r="14507">
      <c r="A14507" t="n" s="0">
        <v>45.06</v>
      </c>
      <c r="B14507" t="n" s="0">
        <f>(-5-((((-5*(-5/((-5/(((-5*(45.06--5))-(-5+((-5*45.06)*(((-5--5)+(45.06--5))+45.06))))-(-5+-5)))*-5)))/-5)--5)+(-5*(((45.06*(45.06-(-5/-5)))*(45.06-(45.06/(-5*45.06))))-(-5/-5)))))</f>
        <v>453507.30388</v>
      </c>
      <c r="C14507" t="n" s="0">
        <v>453507.30388000014</v>
      </c>
    </row>
    <row r="14508">
      <c r="A14508" t="n" s="0">
        <v>45.07</v>
      </c>
      <c r="B14508" t="n" s="0">
        <f>(-5-((((-5*(-5/((-5/(((-5*(45.07--5))-(-5+((-5*45.07)*(((-5--5)+(45.07--5))+45.07))))-(-5+-5)))*-5)))/-5)--5)+(-5*(((45.07*(45.07-(-5/-5)))*(45.07-(45.07/(-5*45.07))))-(-5/-5)))))</f>
        <v>453810.159415</v>
      </c>
      <c r="C14508" t="n" s="0">
        <v>453810.15941500006</v>
      </c>
    </row>
    <row r="14509">
      <c r="A14509" t="n" s="0">
        <v>45.08</v>
      </c>
      <c r="B14509" t="n" s="0">
        <f>(-5-((((-5*(-5/((-5/(((-5*(45.08--5))-(-5+((-5*45.08)*(((-5--5)+(45.08--5))+45.08))))-(-5+-5)))*-5)))/-5)--5)+(-5*(((45.08*(45.08-(-5/-5)))*(45.08-(45.08/(-5*45.08))))-(-5/-5)))))</f>
        <v>454113.14976</v>
      </c>
      <c r="C14509" t="n" s="0">
        <v>454113.14975999994</v>
      </c>
    </row>
    <row r="14510">
      <c r="A14510" t="n" s="0">
        <v>45.09</v>
      </c>
      <c r="B14510" t="n" s="0">
        <f>(-5-((((-5*(-5/((-5/(((-5*(45.09--5))-(-5+((-5*45.09)*(((-5--5)+(45.09--5))+45.09))))-(-5+-5)))*-5)))/-5)--5)+(-5*(((45.09*(45.09-(-5/-5)))*(45.09-(45.09/(-5*45.09))))-(-5/-5)))))</f>
        <v>454416.274945</v>
      </c>
      <c r="C14510" t="n" s="0">
        <v>454416.2749450001</v>
      </c>
    </row>
    <row r="14511">
      <c r="A14511" t="n" s="0">
        <v>45.1</v>
      </c>
      <c r="B14511" t="n" s="0">
        <f>(-5-((((-5*(-5/((-5/(((-5*(45.1--5))-(-5+((-5*45.1)*(((-5--5)+(45.1--5))+45.1))))-(-5+-5)))*-5)))/-5)--5)+(-5*(((45.1*(45.1-(-5/-5)))*(45.1-(45.1/(-5*45.1))))-(-5/-5)))))</f>
        <v>454719.535</v>
      </c>
      <c r="C14511" t="n" s="0">
        <v>454719.53500000003</v>
      </c>
    </row>
    <row r="14512">
      <c r="A14512" t="n" s="0">
        <v>45.11</v>
      </c>
      <c r="B14512" t="n" s="0">
        <f>(-5-((((-5*(-5/((-5/(((-5*(45.11--5))-(-5+((-5*45.11)*(((-5--5)+(45.11--5))+45.11))))-(-5+-5)))*-5)))/-5)--5)+(-5*(((45.11*(45.11-(-5/-5)))*(45.11-(45.11/(-5*45.11))))-(-5/-5)))))</f>
        <v>455022.929955</v>
      </c>
      <c r="C14512" t="n" s="0">
        <v>455022.92995500006</v>
      </c>
    </row>
    <row r="14513">
      <c r="A14513" t="n" s="0">
        <v>45.12</v>
      </c>
      <c r="B14513" t="n" s="0">
        <f>(-5-((((-5*(-5/((-5/(((-5*(45.12--5))-(-5+((-5*45.12)*(((-5--5)+(45.12--5))+45.12))))-(-5+-5)))*-5)))/-5)--5)+(-5*(((45.12*(45.12-(-5/-5)))*(45.12-(45.12/(-5*45.12))))-(-5/-5)))))</f>
        <v>455326.45983999997</v>
      </c>
      <c r="C14513" t="n" s="0">
        <v>455326.45983999997</v>
      </c>
    </row>
    <row r="14514">
      <c r="A14514" t="n" s="0">
        <v>45.13</v>
      </c>
      <c r="B14514" t="n" s="0">
        <f>(-5-((((-5*(-5/((-5/(((-5*(45.13--5))-(-5+((-5*45.13)*(((-5--5)+(45.13--5))+45.13))))-(-5+-5)))*-5)))/-5)--5)+(-5*(((45.13*(45.13-(-5/-5)))*(45.13-(45.13/(-5*45.13))))-(-5/-5)))))</f>
        <v>455630.12468500005</v>
      </c>
      <c r="C14514" t="n" s="0">
        <v>455630.1246850001</v>
      </c>
    </row>
    <row r="14515">
      <c r="A14515" t="n" s="0">
        <v>45.14</v>
      </c>
      <c r="B14515" t="n" s="0">
        <f>(-5-((((-5*(-5/((-5/(((-5*(45.14--5))-(-5+((-5*45.14)*(((-5--5)+(45.14--5))+45.14))))-(-5+-5)))*-5)))/-5)--5)+(-5*(((45.14*(45.14-(-5/-5)))*(45.14-(45.14/(-5*45.14))))-(-5/-5)))))</f>
        <v>455933.92452</v>
      </c>
      <c r="C14515" t="n" s="0">
        <v>455933.92452</v>
      </c>
    </row>
    <row r="14516">
      <c r="A14516" t="n" s="0">
        <v>45.15</v>
      </c>
      <c r="B14516" t="n" s="0">
        <f>(-5-((((-5*(-5/((-5/(((-5*(45.15--5))-(-5+((-5*45.15)*(((-5--5)+(45.15--5))+45.15))))-(-5+-5)))*-5)))/-5)--5)+(-5*(((45.15*(45.15-(-5/-5)))*(45.15-(45.15/(-5*45.15))))-(-5/-5)))))</f>
        <v>456237.859375</v>
      </c>
      <c r="C14516" t="n" s="0">
        <v>456237.859375</v>
      </c>
    </row>
    <row r="14517">
      <c r="A14517" t="n" s="0">
        <v>45.16</v>
      </c>
      <c r="B14517" t="n" s="0">
        <f>(-5-((((-5*(-5/((-5/(((-5*(45.16--5))-(-5+((-5*45.16)*(((-5--5)+(45.16--5))+45.16))))-(-5+-5)))*-5)))/-5)--5)+(-5*(((45.16*(45.16-(-5/-5)))*(45.16-(45.16/(-5*45.16))))-(-5/-5)))))</f>
        <v>456541.92928</v>
      </c>
      <c r="C14517" t="n" s="0">
        <v>456541.9292799999</v>
      </c>
    </row>
    <row r="14518">
      <c r="A14518" t="n" s="0">
        <v>45.17</v>
      </c>
      <c r="B14518" t="n" s="0">
        <f>(-5-((((-5*(-5/((-5/(((-5*(45.17--5))-(-5+((-5*45.17)*(((-5--5)+(45.17--5))+45.17))))-(-5+-5)))*-5)))/-5)--5)+(-5*(((45.17*(45.17-(-5/-5)))*(45.17-(45.17/(-5*45.17))))-(-5/-5)))))</f>
        <v>456846.134265</v>
      </c>
      <c r="C14518" t="n" s="0">
        <v>456846.13426500006</v>
      </c>
    </row>
    <row r="14519">
      <c r="A14519" t="n" s="0">
        <v>45.18</v>
      </c>
      <c r="B14519" t="n" s="0">
        <f>(-5-((((-5*(-5/((-5/(((-5*(45.18--5))-(-5+((-5*45.18)*(((-5--5)+(45.18--5))+45.18))))-(-5+-5)))*-5)))/-5)--5)+(-5*(((45.18*(45.18-(-5/-5)))*(45.18-(45.18/(-5*45.18))))-(-5/-5)))))</f>
        <v>457150.47436</v>
      </c>
      <c r="C14519" t="n" s="0">
        <v>457150.47435999993</v>
      </c>
    </row>
    <row r="14520">
      <c r="A14520" t="n" s="0">
        <v>45.19</v>
      </c>
      <c r="B14520" t="n" s="0">
        <f>(-5-((((-5*(-5/((-5/(((-5*(45.19--5))-(-5+((-5*45.19)*(((-5--5)+(45.19--5))+45.19))))-(-5+-5)))*-5)))/-5)--5)+(-5*(((45.19*(45.19-(-5/-5)))*(45.19-(45.19/(-5*45.19))))-(-5/-5)))))</f>
        <v>457454.94959499995</v>
      </c>
      <c r="C14520" t="n" s="0">
        <v>457454.94959499995</v>
      </c>
    </row>
    <row r="14521">
      <c r="A14521" t="n" s="0">
        <v>45.2</v>
      </c>
      <c r="B14521" t="n" s="0">
        <f>(-5-((((-5*(-5/((-5/(((-5*(45.2--5))-(-5+((-5*45.2)*(((-5--5)+(45.2--5))+45.2))))-(-5+-5)))*-5)))/-5)--5)+(-5*(((45.2*(45.2-(-5/-5)))*(45.2-(45.2/(-5*45.2))))-(-5/-5)))))</f>
        <v>457759.56000000006</v>
      </c>
      <c r="C14521" t="n" s="0">
        <v>457759.56</v>
      </c>
    </row>
    <row r="14522">
      <c r="A14522" t="n" s="0">
        <v>45.21</v>
      </c>
      <c r="B14522" t="n" s="0">
        <f>(-5-((((-5*(-5/((-5/(((-5*(45.21--5))-(-5+((-5*45.21)*(((-5--5)+(45.21--5))+45.21))))-(-5+-5)))*-5)))/-5)--5)+(-5*(((45.21*(45.21-(-5/-5)))*(45.21-(45.21/(-5*45.21))))-(-5/-5)))))</f>
        <v>458064.305605</v>
      </c>
      <c r="C14522" t="n" s="0">
        <v>458064.30560500006</v>
      </c>
    </row>
    <row r="14523">
      <c r="A14523" t="n" s="0">
        <v>45.22</v>
      </c>
      <c r="B14523" t="n" s="0">
        <f>(-5-((((-5*(-5/((-5/(((-5*(45.22--5))-(-5+((-5*45.22)*(((-5--5)+(45.22--5))+45.22))))-(-5+-5)))*-5)))/-5)--5)+(-5*(((45.22*(45.22-(-5/-5)))*(45.22-(45.22/(-5*45.22))))-(-5/-5)))))</f>
        <v>458369.18643999996</v>
      </c>
      <c r="C14523" t="n" s="0">
        <v>458369.18643999996</v>
      </c>
    </row>
    <row r="14524">
      <c r="A14524" t="n" s="0">
        <v>45.23</v>
      </c>
      <c r="B14524" t="n" s="0">
        <f>(-5-((((-5*(-5/((-5/(((-5*(45.23--5))-(-5+((-5*45.23)*(((-5--5)+(45.23--5))+45.23))))-(-5+-5)))*-5)))/-5)--5)+(-5*(((45.23*(45.23-(-5/-5)))*(45.23-(45.23/(-5*45.23))))-(-5/-5)))))</f>
        <v>458674.20253500005</v>
      </c>
      <c r="C14524" t="n" s="0">
        <v>458674.20253499993</v>
      </c>
    </row>
    <row r="14525">
      <c r="A14525" t="n" s="0">
        <v>45.24</v>
      </c>
      <c r="B14525" t="n" s="0">
        <f>(-5-((((-5*(-5/((-5/(((-5*(45.24--5))-(-5+((-5*45.24)*(((-5--5)+(45.24--5))+45.24))))-(-5+-5)))*-5)))/-5)--5)+(-5*(((45.24*(45.24-(-5/-5)))*(45.24-(45.24/(-5*45.24))))-(-5/-5)))))</f>
        <v>458979.35392</v>
      </c>
      <c r="C14525" t="n" s="0">
        <v>458979.35391999997</v>
      </c>
    </row>
    <row r="14526">
      <c r="A14526" t="n" s="0">
        <v>45.25</v>
      </c>
      <c r="B14526" t="n" s="0">
        <f>(-5-((((-5*(-5/((-5/(((-5*(45.25--5))-(-5+((-5*45.25)*(((-5--5)+(45.25--5))+45.25))))-(-5+-5)))*-5)))/-5)--5)+(-5*(((45.25*(45.25-(-5/-5)))*(45.25-(45.25/(-5*45.25))))-(-5/-5)))))</f>
        <v>459284.640625</v>
      </c>
      <c r="C14526" t="n" s="0">
        <v>459284.640625</v>
      </c>
    </row>
    <row r="14527">
      <c r="A14527" t="n" s="0">
        <v>45.26</v>
      </c>
      <c r="B14527" t="n" s="0">
        <f>(-5-((((-5*(-5/((-5/(((-5*(45.26--5))-(-5+((-5*45.26)*(((-5--5)+(45.26--5))+45.26))))-(-5+-5)))*-5)))/-5)--5)+(-5*(((45.26*(45.26-(-5/-5)))*(45.26-(45.26/(-5*45.26))))-(-5/-5)))))</f>
        <v>459590.06268</v>
      </c>
      <c r="C14527" t="n" s="0">
        <v>459590.06268</v>
      </c>
    </row>
    <row r="14528">
      <c r="A14528" t="n" s="0">
        <v>45.27</v>
      </c>
      <c r="B14528" t="n" s="0">
        <f>(-5-((((-5*(-5/((-5/(((-5*(45.27--5))-(-5+((-5*45.27)*(((-5--5)+(45.27--5))+45.27))))-(-5+-5)))*-5)))/-5)--5)+(-5*(((45.27*(45.27-(-5/-5)))*(45.27-(45.27/(-5*45.27))))-(-5/-5)))))</f>
        <v>459895.620115</v>
      </c>
      <c r="C14528" t="n" s="0">
        <v>459895.6201150001</v>
      </c>
    </row>
    <row r="14529">
      <c r="A14529" t="n" s="0">
        <v>45.28</v>
      </c>
      <c r="B14529" t="n" s="0">
        <f>(-5-((((-5*(-5/((-5/(((-5*(45.28--5))-(-5+((-5*45.28)*(((-5--5)+(45.28--5))+45.28))))-(-5+-5)))*-5)))/-5)--5)+(-5*(((45.28*(45.28-(-5/-5)))*(45.28-(45.28/(-5*45.28))))-(-5/-5)))))</f>
        <v>460201.31296</v>
      </c>
      <c r="C14529" t="n" s="0">
        <v>460201.31296000007</v>
      </c>
    </row>
    <row r="14530">
      <c r="A14530" t="n" s="0">
        <v>45.29</v>
      </c>
      <c r="B14530" t="n" s="0">
        <f>(-5-((((-5*(-5/((-5/(((-5*(45.29--5))-(-5+((-5*45.29)*(((-5--5)+(45.29--5))+45.29))))-(-5+-5)))*-5)))/-5)--5)+(-5*(((45.29*(45.29-(-5/-5)))*(45.29-(45.29/(-5*45.29))))-(-5/-5)))))</f>
        <v>460507.141245</v>
      </c>
      <c r="C14530" t="n" s="0">
        <v>460507.14124499995</v>
      </c>
    </row>
    <row r="14531">
      <c r="A14531" t="n" s="0">
        <v>45.3</v>
      </c>
      <c r="B14531" t="n" s="0">
        <f>(-5-((((-5*(-5/((-5/(((-5*(45.3--5))-(-5+((-5*45.3)*(((-5--5)+(45.3--5))+45.3))))-(-5+-5)))*-5)))/-5)--5)+(-5*(((45.3*(45.3-(-5/-5)))*(45.3-(45.3/(-5*45.3))))-(-5/-5)))))</f>
        <v>460813.105</v>
      </c>
      <c r="C14531" t="n" s="0">
        <v>460813.1049999999</v>
      </c>
    </row>
    <row r="14532">
      <c r="A14532" t="n" s="0">
        <v>45.31</v>
      </c>
      <c r="B14532" t="n" s="0">
        <f>(-5-((((-5*(-5/((-5/(((-5*(45.31--5))-(-5+((-5*45.31)*(((-5--5)+(45.31--5))+45.31))))-(-5+-5)))*-5)))/-5)--5)+(-5*(((45.31*(45.31-(-5/-5)))*(45.31-(45.31/(-5*45.31))))-(-5/-5)))))</f>
        <v>461119.204255</v>
      </c>
      <c r="C14532" t="n" s="0">
        <v>461119.2042550001</v>
      </c>
    </row>
    <row r="14533">
      <c r="A14533" t="n" s="0">
        <v>45.32</v>
      </c>
      <c r="B14533" t="n" s="0">
        <f>(-5-((((-5*(-5/((-5/(((-5*(45.32--5))-(-5+((-5*45.32)*(((-5--5)+(45.32--5))+45.32))))-(-5+-5)))*-5)))/-5)--5)+(-5*(((45.32*(45.32-(-5/-5)))*(45.32-(45.32/(-5*45.32))))-(-5/-5)))))</f>
        <v>461425.43904</v>
      </c>
      <c r="C14533" t="n" s="0">
        <v>461425.43904</v>
      </c>
    </row>
    <row r="14534">
      <c r="A14534" t="n" s="0">
        <v>45.33</v>
      </c>
      <c r="B14534" t="n" s="0">
        <f>(-5-((((-5*(-5/((-5/(((-5*(45.33--5))-(-5+((-5*45.33)*(((-5--5)+(45.33--5))+45.33))))-(-5+-5)))*-5)))/-5)--5)+(-5*(((45.33*(45.33-(-5/-5)))*(45.33-(45.33/(-5*45.33))))-(-5/-5)))))</f>
        <v>461731.80938500003</v>
      </c>
      <c r="C14534" t="n" s="0">
        <v>461731.8093849999</v>
      </c>
    </row>
    <row r="14535">
      <c r="A14535" t="n" s="0">
        <v>45.34</v>
      </c>
      <c r="B14535" t="n" s="0">
        <f>(-5-((((-5*(-5/((-5/(((-5*(45.34--5))-(-5+((-5*45.34)*(((-5--5)+(45.34--5))+45.34))))-(-5+-5)))*-5)))/-5)--5)+(-5*(((45.34*(45.34-(-5/-5)))*(45.34-(45.34/(-5*45.34))))-(-5/-5)))))</f>
        <v>462038.31532</v>
      </c>
      <c r="C14535" t="n" s="0">
        <v>462038.3153200001</v>
      </c>
    </row>
    <row r="14536">
      <c r="A14536" t="n" s="0">
        <v>45.35</v>
      </c>
      <c r="B14536" t="n" s="0">
        <f>(-5-((((-5*(-5/((-5/(((-5*(45.35--5))-(-5+((-5*45.35)*(((-5--5)+(45.35--5))+45.35))))-(-5+-5)))*-5)))/-5)--5)+(-5*(((45.35*(45.35-(-5/-5)))*(45.35-(45.35/(-5*45.35))))-(-5/-5)))))</f>
        <v>462344.95687500003</v>
      </c>
      <c r="C14536" t="n" s="0">
        <v>462344.95687500003</v>
      </c>
    </row>
    <row r="14537">
      <c r="A14537" t="n" s="0">
        <v>45.36</v>
      </c>
      <c r="B14537" t="n" s="0">
        <f>(-5-((((-5*(-5/((-5/(((-5*(45.36--5))-(-5+((-5*45.36)*(((-5--5)+(45.36--5))+45.36))))-(-5+-5)))*-5)))/-5)--5)+(-5*(((45.36*(45.36-(-5/-5)))*(45.36-(45.36/(-5*45.36))))-(-5/-5)))))</f>
        <v>462651.73408</v>
      </c>
      <c r="C14537" t="n" s="0">
        <v>462651.73407999997</v>
      </c>
    </row>
    <row r="14538">
      <c r="A14538" t="n" s="0">
        <v>45.37</v>
      </c>
      <c r="B14538" t="n" s="0">
        <f>(-5-((((-5*(-5/((-5/(((-5*(45.37--5))-(-5+((-5*45.37)*(((-5--5)+(45.37--5))+45.37))))-(-5+-5)))*-5)))/-5)--5)+(-5*(((45.37*(45.37-(-5/-5)))*(45.37-(45.37/(-5*45.37))))-(-5/-5)))))</f>
        <v>462958.646965</v>
      </c>
      <c r="C14538" t="n" s="0">
        <v>462958.6469649999</v>
      </c>
    </row>
    <row r="14539">
      <c r="A14539" t="n" s="0">
        <v>45.38</v>
      </c>
      <c r="B14539" t="n" s="0">
        <f>(-5-((((-5*(-5/((-5/(((-5*(45.38--5))-(-5+((-5*45.38)*(((-5--5)+(45.38--5))+45.38))))-(-5+-5)))*-5)))/-5)--5)+(-5*(((45.38*(45.38-(-5/-5)))*(45.38-(45.38/(-5*45.38))))-(-5/-5)))))</f>
        <v>463265.69556</v>
      </c>
      <c r="C14539" t="n" s="0">
        <v>463265.6955600001</v>
      </c>
    </row>
    <row r="14540">
      <c r="A14540" t="n" s="0">
        <v>45.39</v>
      </c>
      <c r="B14540" t="n" s="0">
        <f>(-5-((((-5*(-5/((-5/(((-5*(45.39--5))-(-5+((-5*45.39)*(((-5--5)+(45.39--5))+45.39))))-(-5+-5)))*-5)))/-5)--5)+(-5*(((45.39*(45.39-(-5/-5)))*(45.39-(45.39/(-5*45.39))))-(-5/-5)))))</f>
        <v>463572.879895</v>
      </c>
      <c r="C14540" t="n" s="0">
        <v>463572.87989499996</v>
      </c>
    </row>
    <row r="14541">
      <c r="A14541" t="n" s="0">
        <v>45.4</v>
      </c>
      <c r="B14541" t="n" s="0">
        <f>(-5-((((-5*(-5/((-5/(((-5*(45.4--5))-(-5+((-5*45.4)*(((-5--5)+(45.4--5))+45.4))))-(-5+-5)))*-5)))/-5)--5)+(-5*(((45.4*(45.4-(-5/-5)))*(45.4-(45.4/(-5*45.4))))-(-5/-5)))))</f>
        <v>463880.2</v>
      </c>
      <c r="C14541" t="n" s="0">
        <v>463880.19999999995</v>
      </c>
    </row>
    <row r="14542">
      <c r="A14542" t="n" s="0">
        <v>45.41</v>
      </c>
      <c r="B14542" t="n" s="0">
        <f>(-5-((((-5*(-5/((-5/(((-5*(45.41--5))-(-5+((-5*45.41)*(((-5--5)+(45.41--5))+45.41))))-(-5+-5)))*-5)))/-5)--5)+(-5*(((45.41*(45.41-(-5/-5)))*(45.41-(45.41/(-5*45.41))))-(-5/-5)))))</f>
        <v>464187.655905</v>
      </c>
      <c r="C14542" t="n" s="0">
        <v>464187.6559049999</v>
      </c>
    </row>
    <row r="14543">
      <c r="A14543" t="n" s="0">
        <v>45.42</v>
      </c>
      <c r="B14543" t="n" s="0">
        <f>(-5-((((-5*(-5/((-5/(((-5*(45.42--5))-(-5+((-5*45.42)*(((-5--5)+(45.42--5))+45.42))))-(-5+-5)))*-5)))/-5)--5)+(-5*(((45.42*(45.42-(-5/-5)))*(45.42-(45.42/(-5*45.42))))-(-5/-5)))))</f>
        <v>464495.24763999996</v>
      </c>
      <c r="C14543" t="n" s="0">
        <v>464495.24764</v>
      </c>
    </row>
    <row r="14544">
      <c r="A14544" t="n" s="0">
        <v>45.43</v>
      </c>
      <c r="B14544" t="n" s="0">
        <f>(-5-((((-5*(-5/((-5/(((-5*(45.43--5))-(-5+((-5*45.43)*(((-5--5)+(45.43--5))+45.43))))-(-5+-5)))*-5)))/-5)--5)+(-5*(((45.43*(45.43-(-5/-5)))*(45.43-(45.43/(-5*45.43))))-(-5/-5)))))</f>
        <v>464802.97523499996</v>
      </c>
      <c r="C14544" t="n" s="0">
        <v>464802.97523499996</v>
      </c>
    </row>
    <row r="14545">
      <c r="A14545" t="n" s="0">
        <v>45.44</v>
      </c>
      <c r="B14545" t="n" s="0">
        <f>(-5-((((-5*(-5/((-5/(((-5*(45.44--5))-(-5+((-5*45.44)*(((-5--5)+(45.44--5))+45.44))))-(-5+-5)))*-5)))/-5)--5)+(-5*(((45.44*(45.44-(-5/-5)))*(45.44-(45.44/(-5*45.44))))-(-5/-5)))))</f>
        <v>465110.83872</v>
      </c>
      <c r="C14545" t="n" s="0">
        <v>465110.8387199999</v>
      </c>
    </row>
    <row r="14546">
      <c r="A14546" t="n" s="0">
        <v>45.45</v>
      </c>
      <c r="B14546" t="n" s="0">
        <f>(-5-((((-5*(-5/((-5/(((-5*(45.45--5))-(-5+((-5*45.45)*(((-5--5)+(45.45--5))+45.45))))-(-5+-5)))*-5)))/-5)--5)+(-5*(((45.45*(45.45-(-5/-5)))*(45.45-(45.45/(-5*45.45))))-(-5/-5)))))</f>
        <v>465418.838125</v>
      </c>
      <c r="C14546" t="n" s="0">
        <v>465418.838125</v>
      </c>
    </row>
    <row r="14547">
      <c r="A14547" t="n" s="0">
        <v>45.46</v>
      </c>
      <c r="B14547" t="n" s="0">
        <f>(-5-((((-5*(-5/((-5/(((-5*(45.46--5))-(-5+((-5*45.46)*(((-5--5)+(45.46--5))+45.46))))-(-5+-5)))*-5)))/-5)--5)+(-5*(((45.46*(45.46-(-5/-5)))*(45.46-(45.46/(-5*45.46))))-(-5/-5)))))</f>
        <v>465726.97348000004</v>
      </c>
      <c r="C14547" t="n" s="0">
        <v>465726.97348000004</v>
      </c>
    </row>
    <row r="14548">
      <c r="A14548" t="n" s="0">
        <v>45.47</v>
      </c>
      <c r="B14548" t="n" s="0">
        <f>(-5-((((-5*(-5/((-5/(((-5*(45.47--5))-(-5+((-5*45.47)*(((-5--5)+(45.47--5))+45.47))))-(-5+-5)))*-5)))/-5)--5)+(-5*(((45.47*(45.47-(-5/-5)))*(45.47-(45.47/(-5*45.47))))-(-5/-5)))))</f>
        <v>466035.244815</v>
      </c>
      <c r="C14548" t="n" s="0">
        <v>466035.2448149999</v>
      </c>
    </row>
    <row r="14549">
      <c r="A14549" t="n" s="0">
        <v>45.48</v>
      </c>
      <c r="B14549" t="n" s="0">
        <f>(-5-((((-5*(-5/((-5/(((-5*(45.48--5))-(-5+((-5*45.48)*(((-5--5)+(45.48--5))+45.48))))-(-5+-5)))*-5)))/-5)--5)+(-5*(((45.48*(45.48-(-5/-5)))*(45.48-(45.48/(-5*45.48))))-(-5/-5)))))</f>
        <v>466343.65216</v>
      </c>
      <c r="C14549" t="n" s="0">
        <v>466343.6521599999</v>
      </c>
    </row>
    <row r="14550">
      <c r="A14550" t="n" s="0">
        <v>45.49</v>
      </c>
      <c r="B14550" t="n" s="0">
        <f>(-5-((((-5*(-5/((-5/(((-5*(45.49--5))-(-5+((-5*45.49)*(((-5--5)+(45.49--5))+45.49))))-(-5+-5)))*-5)))/-5)--5)+(-5*(((45.49*(45.49-(-5/-5)))*(45.49-(45.49/(-5*45.49))))-(-5/-5)))))</f>
        <v>466652.195545</v>
      </c>
      <c r="C14550" t="n" s="0">
        <v>466652.1955450001</v>
      </c>
    </row>
    <row r="14551">
      <c r="A14551" t="n" s="0">
        <v>45.5</v>
      </c>
      <c r="B14551" t="n" s="0">
        <f>(-5-((((-5*(-5/((-5/(((-5*(45.5--5))-(-5+((-5*45.5)*(((-5--5)+(45.5--5))+45.5))))-(-5+-5)))*-5)))/-5)--5)+(-5*(((45.5*(45.5-(-5/-5)))*(45.5-(45.5/(-5*45.5))))-(-5/-5)))))</f>
        <v>466960.875</v>
      </c>
      <c r="C14551" t="n" s="0">
        <v>466960.875</v>
      </c>
    </row>
    <row r="14552">
      <c r="A14552" t="n" s="0">
        <v>45.51</v>
      </c>
      <c r="B14552" t="n" s="0">
        <f>(-5-((((-5*(-5/((-5/(((-5*(45.51--5))-(-5+((-5*45.51)*(((-5--5)+(45.51--5))+45.51))))-(-5+-5)))*-5)))/-5)--5)+(-5*(((45.51*(45.51-(-5/-5)))*(45.51-(45.51/(-5*45.51))))-(-5/-5)))))</f>
        <v>467269.690555</v>
      </c>
      <c r="C14552" t="n" s="0">
        <v>467269.6905549999</v>
      </c>
    </row>
    <row r="14553">
      <c r="A14553" t="n" s="0">
        <v>45.52</v>
      </c>
      <c r="B14553" t="n" s="0">
        <f>(-5-((((-5*(-5/((-5/(((-5*(45.52--5))-(-5+((-5*45.52)*(((-5--5)+(45.52--5))+45.52))))-(-5+-5)))*-5)))/-5)--5)+(-5*(((45.52*(45.52-(-5/-5)))*(45.52-(45.52/(-5*45.52))))-(-5/-5)))))</f>
        <v>467578.64224</v>
      </c>
      <c r="C14553" t="n" s="0">
        <v>467578.6422400001</v>
      </c>
    </row>
    <row r="14554">
      <c r="A14554" t="n" s="0">
        <v>45.53</v>
      </c>
      <c r="B14554" t="n" s="0">
        <f>(-5-((((-5*(-5/((-5/(((-5*(45.53--5))-(-5+((-5*45.53)*(((-5--5)+(45.53--5))+45.53))))-(-5+-5)))*-5)))/-5)--5)+(-5*(((45.53*(45.53-(-5/-5)))*(45.53-(45.53/(-5*45.53))))-(-5/-5)))))</f>
        <v>467887.730085</v>
      </c>
      <c r="C14554" t="n" s="0">
        <v>467887.7300850001</v>
      </c>
    </row>
    <row r="14555">
      <c r="A14555" t="n" s="0">
        <v>45.54</v>
      </c>
      <c r="B14555" t="n" s="0">
        <f>(-5-((((-5*(-5/((-5/(((-5*(45.54--5))-(-5+((-5*45.54)*(((-5--5)+(45.54--5))+45.54))))-(-5+-5)))*-5)))/-5)--5)+(-5*(((45.54*(45.54-(-5/-5)))*(45.54-(45.54/(-5*45.54))))-(-5/-5)))))</f>
        <v>468196.95412</v>
      </c>
      <c r="C14555" t="n" s="0">
        <v>468196.95411999995</v>
      </c>
    </row>
    <row r="14556">
      <c r="A14556" t="n" s="0">
        <v>45.55</v>
      </c>
      <c r="B14556" t="n" s="0">
        <f>(-5-((((-5*(-5/((-5/(((-5*(45.55--5))-(-5+((-5*45.55)*(((-5--5)+(45.55--5))+45.55))))-(-5+-5)))*-5)))/-5)--5)+(-5*(((45.55*(45.55-(-5/-5)))*(45.55-(45.55/(-5*45.55))))-(-5/-5)))))</f>
        <v>468506.314375</v>
      </c>
      <c r="C14556" t="n" s="0">
        <v>468506.31437499996</v>
      </c>
    </row>
    <row r="14557">
      <c r="A14557" t="n" s="0">
        <v>45.56</v>
      </c>
      <c r="B14557" t="n" s="0">
        <f>(-5-((((-5*(-5/((-5/(((-5*(45.56--5))-(-5+((-5*45.56)*(((-5--5)+(45.56--5))+45.56))))-(-5+-5)))*-5)))/-5)--5)+(-5*(((45.56*(45.56-(-5/-5)))*(45.56-(45.56/(-5*45.56))))-(-5/-5)))))</f>
        <v>468815.81087999995</v>
      </c>
      <c r="C14557" t="n" s="0">
        <v>468815.8108800001</v>
      </c>
    </row>
    <row r="14558">
      <c r="A14558" t="n" s="0">
        <v>45.57</v>
      </c>
      <c r="B14558" t="n" s="0">
        <f>(-5-((((-5*(-5/((-5/(((-5*(45.57--5))-(-5+((-5*45.57)*(((-5--5)+(45.57--5))+45.57))))-(-5+-5)))*-5)))/-5)--5)+(-5*(((45.57*(45.57-(-5/-5)))*(45.57-(45.57/(-5*45.57))))-(-5/-5)))))</f>
        <v>469125.443665</v>
      </c>
      <c r="C14558" t="n" s="0">
        <v>469125.443665</v>
      </c>
    </row>
    <row r="14559">
      <c r="A14559" t="n" s="0">
        <v>45.58</v>
      </c>
      <c r="B14559" t="n" s="0">
        <f>(-5-((((-5*(-5/((-5/(((-5*(45.58--5))-(-5+((-5*45.58)*(((-5--5)+(45.58--5))+45.58))))-(-5+-5)))*-5)))/-5)--5)+(-5*(((45.58*(45.58-(-5/-5)))*(45.58-(45.58/(-5*45.58))))-(-5/-5)))))</f>
        <v>469435.21276</v>
      </c>
      <c r="C14559" t="n" s="0">
        <v>469435.2127599999</v>
      </c>
    </row>
    <row r="14560">
      <c r="A14560" t="n" s="0">
        <v>45.59</v>
      </c>
      <c r="B14560" t="n" s="0">
        <f>(-5-((((-5*(-5/((-5/(((-5*(45.59--5))-(-5+((-5*45.59)*(((-5--5)+(45.59--5))+45.59))))-(-5+-5)))*-5)))/-5)--5)+(-5*(((45.59*(45.59-(-5/-5)))*(45.59-(45.59/(-5*45.59))))-(-5/-5)))))</f>
        <v>469745.118195</v>
      </c>
      <c r="C14560" t="n" s="0">
        <v>469745.1181950001</v>
      </c>
    </row>
    <row r="14561">
      <c r="A14561" t="n" s="0">
        <v>45.6</v>
      </c>
      <c r="B14561" t="n" s="0">
        <f>(-5-((((-5*(-5/((-5/(((-5*(45.6--5))-(-5+((-5*45.6)*(((-5--5)+(45.6--5))+45.6))))-(-5+-5)))*-5)))/-5)--5)+(-5*(((45.6*(45.6-(-5/-5)))*(45.6-(45.6/(-5*45.6))))-(-5/-5)))))</f>
        <v>470055.16</v>
      </c>
      <c r="C14561" t="n" s="0">
        <v>470055.16000000003</v>
      </c>
    </row>
    <row r="14562">
      <c r="A14562" t="n" s="0">
        <v>45.61</v>
      </c>
      <c r="B14562" t="n" s="0">
        <f>(-5-((((-5*(-5/((-5/(((-5*(45.61--5))-(-5+((-5*45.61)*(((-5--5)+(45.61--5))+45.61))))-(-5+-5)))*-5)))/-5)--5)+(-5*(((45.61*(45.61-(-5/-5)))*(45.61-(45.61/(-5*45.61))))-(-5/-5)))))</f>
        <v>470365.338205</v>
      </c>
      <c r="C14562" t="n" s="0">
        <v>470365.33820500004</v>
      </c>
    </row>
    <row r="14563">
      <c r="A14563" t="n" s="0">
        <v>45.62</v>
      </c>
      <c r="B14563" t="n" s="0">
        <f>(-5-((((-5*(-5/((-5/(((-5*(45.62--5))-(-5+((-5*45.62)*(((-5--5)+(45.62--5))+45.62))))-(-5+-5)))*-5)))/-5)--5)+(-5*(((45.62*(45.62-(-5/-5)))*(45.62-(45.62/(-5*45.62))))-(-5/-5)))))</f>
        <v>470675.65284</v>
      </c>
      <c r="C14563" t="n" s="0">
        <v>470675.6528399999</v>
      </c>
    </row>
    <row r="14564">
      <c r="A14564" t="n" s="0">
        <v>45.63</v>
      </c>
      <c r="B14564" t="n" s="0">
        <f>(-5-((((-5*(-5/((-5/(((-5*(45.63--5))-(-5+((-5*45.63)*(((-5--5)+(45.63--5))+45.63))))-(-5+-5)))*-5)))/-5)--5)+(-5*(((45.63*(45.63-(-5/-5)))*(45.63-(45.63/(-5*45.63))))-(-5/-5)))))</f>
        <v>470986.103935</v>
      </c>
      <c r="C14564" t="n" s="0">
        <v>470986.103935</v>
      </c>
    </row>
    <row r="14565">
      <c r="A14565" t="n" s="0">
        <v>45.64</v>
      </c>
      <c r="B14565" t="n" s="0">
        <f>(-5-((((-5*(-5/((-5/(((-5*(45.64--5))-(-5+((-5*45.64)*(((-5--5)+(45.64--5))+45.64))))-(-5+-5)))*-5)))/-5)--5)+(-5*(((45.64*(45.64-(-5/-5)))*(45.64-(45.64/(-5*45.64))))-(-5/-5)))))</f>
        <v>471296.69152000005</v>
      </c>
      <c r="C14565" t="n" s="0">
        <v>471296.69152000005</v>
      </c>
    </row>
    <row r="14566">
      <c r="A14566" t="n" s="0">
        <v>45.65</v>
      </c>
      <c r="B14566" t="n" s="0">
        <f>(-5-((((-5*(-5/((-5/(((-5*(45.65--5))-(-5+((-5*45.65)*(((-5--5)+(45.65--5))+45.65))))-(-5+-5)))*-5)))/-5)--5)+(-5*(((45.65*(45.65-(-5/-5)))*(45.65-(45.65/(-5*45.65))))-(-5/-5)))))</f>
        <v>471607.415625</v>
      </c>
      <c r="C14566" t="n" s="0">
        <v>471607.415625</v>
      </c>
    </row>
    <row r="14567">
      <c r="A14567" t="n" s="0">
        <v>45.66</v>
      </c>
      <c r="B14567" t="n" s="0">
        <f>(-5-((((-5*(-5/((-5/(((-5*(45.66--5))-(-5+((-5*45.66)*(((-5--5)+(45.66--5))+45.66))))-(-5+-5)))*-5)))/-5)--5)+(-5*(((45.66*(45.66-(-5/-5)))*(45.66-(45.66/(-5*45.66))))-(-5/-5)))))</f>
        <v>471918.27628</v>
      </c>
      <c r="C14567" t="n" s="0">
        <v>471918.2762799999</v>
      </c>
    </row>
    <row r="14568">
      <c r="A14568" t="n" s="0">
        <v>45.67</v>
      </c>
      <c r="B14568" t="n" s="0">
        <f>(-5-((((-5*(-5/((-5/(((-5*(45.67--5))-(-5+((-5*45.67)*(((-5--5)+(45.67--5))+45.67))))-(-5+-5)))*-5)))/-5)--5)+(-5*(((45.67*(45.67-(-5/-5)))*(45.67-(45.67/(-5*45.67))))-(-5/-5)))))</f>
        <v>472229.273515</v>
      </c>
      <c r="C14568" t="n" s="0">
        <v>472229.27351500007</v>
      </c>
    </row>
    <row r="14569">
      <c r="A14569" t="n" s="0">
        <v>45.68</v>
      </c>
      <c r="B14569" t="n" s="0">
        <f>(-5-((((-5*(-5/((-5/(((-5*(45.68--5))-(-5+((-5*45.68)*(((-5--5)+(45.68--5))+45.68))))-(-5+-5)))*-5)))/-5)--5)+(-5*(((45.68*(45.68-(-5/-5)))*(45.68-(45.68/(-5*45.68))))-(-5/-5)))))</f>
        <v>472540.40735999995</v>
      </c>
      <c r="C14569" t="n" s="0">
        <v>472540.40735999995</v>
      </c>
    </row>
    <row r="14570">
      <c r="A14570" t="n" s="0">
        <v>45.69</v>
      </c>
      <c r="B14570" t="n" s="0">
        <f>(-5-((((-5*(-5/((-5/(((-5*(45.69--5))-(-5+((-5*45.69)*(((-5--5)+(45.69--5))+45.69))))-(-5+-5)))*-5)))/-5)--5)+(-5*(((45.69*(45.69-(-5/-5)))*(45.69-(45.69/(-5*45.69))))-(-5/-5)))))</f>
        <v>472851.677845</v>
      </c>
      <c r="C14570" t="n" s="0">
        <v>472851.6778449999</v>
      </c>
    </row>
    <row r="14571">
      <c r="A14571" t="n" s="0">
        <v>45.7</v>
      </c>
      <c r="B14571" t="n" s="0">
        <f>(-5-((((-5*(-5/((-5/(((-5*(45.7--5))-(-5+((-5*45.7)*(((-5--5)+(45.7--5))+45.7))))-(-5+-5)))*-5)))/-5)--5)+(-5*(((45.7*(45.7-(-5/-5)))*(45.7-(45.7/(-5*45.7))))-(-5/-5)))))</f>
        <v>473163.085</v>
      </c>
      <c r="C14571" t="n" s="0">
        <v>473163.0850000001</v>
      </c>
    </row>
    <row r="14572">
      <c r="A14572" t="n" s="0">
        <v>45.71</v>
      </c>
      <c r="B14572" t="n" s="0">
        <f>(-5-((((-5*(-5/((-5/(((-5*(45.71--5))-(-5+((-5*45.71)*(((-5--5)+(45.71--5))+45.71))))-(-5+-5)))*-5)))/-5)--5)+(-5*(((45.71*(45.71-(-5/-5)))*(45.71-(45.71/(-5*45.71))))-(-5/-5)))))</f>
        <v>473474.628855</v>
      </c>
      <c r="C14572" t="n" s="0">
        <v>473474.628855</v>
      </c>
    </row>
    <row r="14573">
      <c r="A14573" t="n" s="0">
        <v>45.72</v>
      </c>
      <c r="B14573" t="n" s="0">
        <f>(-5-((((-5*(-5/((-5/(((-5*(45.72--5))-(-5+((-5*45.72)*(((-5--5)+(45.72--5))+45.72))))-(-5+-5)))*-5)))/-5)--5)+(-5*(((45.72*(45.72-(-5/-5)))*(45.72-(45.72/(-5*45.72))))-(-5/-5)))))</f>
        <v>473786.30944</v>
      </c>
      <c r="C14573" t="n" s="0">
        <v>473786.3094399999</v>
      </c>
    </row>
    <row r="14574">
      <c r="A14574" t="n" s="0">
        <v>45.73</v>
      </c>
      <c r="B14574" t="n" s="0">
        <f>(-5-((((-5*(-5/((-5/(((-5*(45.73--5))-(-5+((-5*45.73)*(((-5--5)+(45.73--5))+45.73))))-(-5+-5)))*-5)))/-5)--5)+(-5*(((45.73*(45.73-(-5/-5)))*(45.73-(45.73/(-5*45.73))))-(-5/-5)))))</f>
        <v>474098.126785</v>
      </c>
      <c r="C14574" t="n" s="0">
        <v>474098.1267849999</v>
      </c>
    </row>
    <row r="14575">
      <c r="A14575" t="n" s="0">
        <v>45.74</v>
      </c>
      <c r="B14575" t="n" s="0">
        <f>(-5-((((-5*(-5/((-5/(((-5*(45.74--5))-(-5+((-5*45.74)*(((-5--5)+(45.74--5))+45.74))))-(-5+-5)))*-5)))/-5)--5)+(-5*(((45.74*(45.74-(-5/-5)))*(45.74-(45.74/(-5*45.74))))-(-5/-5)))))</f>
        <v>474410.08092000004</v>
      </c>
      <c r="C14575" t="n" s="0">
        <v>474410.08092000004</v>
      </c>
    </row>
    <row r="14576">
      <c r="A14576" t="n" s="0">
        <v>45.75</v>
      </c>
      <c r="B14576" t="n" s="0">
        <f>(-5-((((-5*(-5/((-5/(((-5*(45.75--5))-(-5+((-5*45.75)*(((-5--5)+(45.75--5))+45.75))))-(-5+-5)))*-5)))/-5)--5)+(-5*(((45.75*(45.75-(-5/-5)))*(45.75-(45.75/(-5*45.75))))-(-5/-5)))))</f>
        <v>474722.171875</v>
      </c>
      <c r="C14576" t="n" s="0">
        <v>474722.171875</v>
      </c>
    </row>
    <row r="14577">
      <c r="A14577" t="n" s="0">
        <v>45.76</v>
      </c>
      <c r="B14577" t="n" s="0">
        <f>(-5-((((-5*(-5/((-5/(((-5*(45.76--5))-(-5+((-5*45.76)*(((-5--5)+(45.76--5))+45.76))))-(-5+-5)))*-5)))/-5)--5)+(-5*(((45.76*(45.76-(-5/-5)))*(45.76-(45.76/(-5*45.76))))-(-5/-5)))))</f>
        <v>475034.39968000003</v>
      </c>
      <c r="C14577" t="n" s="0">
        <v>475034.3996799999</v>
      </c>
    </row>
    <row r="14578">
      <c r="A14578" t="n" s="0">
        <v>45.77</v>
      </c>
      <c r="B14578" t="n" s="0">
        <f>(-5-((((-5*(-5/((-5/(((-5*(45.77--5))-(-5+((-5*45.77)*(((-5--5)+(45.77--5))+45.77))))-(-5+-5)))*-5)))/-5)--5)+(-5*(((45.77*(45.77-(-5/-5)))*(45.77-(45.77/(-5*45.77))))-(-5/-5)))))</f>
        <v>475346.76436499995</v>
      </c>
      <c r="C14578" t="n" s="0">
        <v>475346.7643650001</v>
      </c>
    </row>
    <row r="14579">
      <c r="A14579" t="n" s="0">
        <v>45.78</v>
      </c>
      <c r="B14579" t="n" s="0">
        <f>(-5-((((-5*(-5/((-5/(((-5*(45.78--5))-(-5+((-5*45.78)*(((-5--5)+(45.78--5))+45.78))))-(-5+-5)))*-5)))/-5)--5)+(-5*(((45.78*(45.78-(-5/-5)))*(45.78-(45.78/(-5*45.78))))-(-5/-5)))))</f>
        <v>475659.26596</v>
      </c>
      <c r="C14579" t="n" s="0">
        <v>475659.26596000005</v>
      </c>
    </row>
    <row r="14580">
      <c r="A14580" t="n" s="0">
        <v>45.79</v>
      </c>
      <c r="B14580" t="n" s="0">
        <f>(-5-((((-5*(-5/((-5/(((-5*(45.79--5))-(-5+((-5*45.79)*(((-5--5)+(45.79--5))+45.79))))-(-5+-5)))*-5)))/-5)--5)+(-5*(((45.79*(45.79-(-5/-5)))*(45.79-(45.79/(-5*45.79))))-(-5/-5)))))</f>
        <v>475971.904495</v>
      </c>
      <c r="C14580" t="n" s="0">
        <v>475971.904495</v>
      </c>
    </row>
    <row r="14581">
      <c r="A14581" t="n" s="0">
        <v>45.8</v>
      </c>
      <c r="B14581" t="n" s="0">
        <f>(-5-((((-5*(-5/((-5/(((-5*(45.8--5))-(-5+((-5*45.8)*(((-5--5)+(45.8--5))+45.8))))-(-5+-5)))*-5)))/-5)--5)+(-5*(((45.8*(45.8-(-5/-5)))*(45.8-(45.8/(-5*45.8))))-(-5/-5)))))</f>
        <v>476284.68000000005</v>
      </c>
      <c r="C14581" t="n" s="0">
        <v>476284.67999999993</v>
      </c>
    </row>
    <row r="14582">
      <c r="A14582" t="n" s="0">
        <v>45.81</v>
      </c>
      <c r="B14582" t="n" s="0">
        <f>(-5-((((-5*(-5/((-5/(((-5*(45.81--5))-(-5+((-5*45.81)*(((-5--5)+(45.81--5))+45.81))))-(-5+-5)))*-5)))/-5)--5)+(-5*(((45.81*(45.81-(-5/-5)))*(45.81-(45.81/(-5*45.81))))-(-5/-5)))))</f>
        <v>476597.592505</v>
      </c>
      <c r="C14582" t="n" s="0">
        <v>476597.59250500007</v>
      </c>
    </row>
    <row r="14583">
      <c r="A14583" t="n" s="0">
        <v>45.82</v>
      </c>
      <c r="B14583" t="n" s="0">
        <f>(-5-((((-5*(-5/((-5/(((-5*(45.82--5))-(-5+((-5*45.82)*(((-5--5)+(45.82--5))+45.82))))-(-5+-5)))*-5)))/-5)--5)+(-5*(((45.82*(45.82-(-5/-5)))*(45.82-(45.82/(-5*45.82))))-(-5/-5)))))</f>
        <v>476910.64204</v>
      </c>
      <c r="C14583" t="n" s="0">
        <v>476910.64204000006</v>
      </c>
    </row>
    <row r="14584">
      <c r="A14584" t="n" s="0">
        <v>45.83</v>
      </c>
      <c r="B14584" t="n" s="0">
        <f>(-5-((((-5*(-5/((-5/(((-5*(45.83--5))-(-5+((-5*45.83)*(((-5--5)+(45.83--5))+45.83))))-(-5+-5)))*-5)))/-5)--5)+(-5*(((45.83*(45.83-(-5/-5)))*(45.83-(45.83/(-5*45.83))))-(-5/-5)))))</f>
        <v>477223.828635</v>
      </c>
      <c r="C14584" t="n" s="0">
        <v>477223.828635</v>
      </c>
    </row>
    <row r="14585">
      <c r="A14585" t="n" s="0">
        <v>45.84</v>
      </c>
      <c r="B14585" t="n" s="0">
        <f>(-5-((((-5*(-5/((-5/(((-5*(45.84--5))-(-5+((-5*45.84)*(((-5--5)+(45.84--5))+45.84))))-(-5+-5)))*-5)))/-5)--5)+(-5*(((45.84*(45.84-(-5/-5)))*(45.84-(45.84/(-5*45.84))))-(-5/-5)))))</f>
        <v>477537.15232000005</v>
      </c>
      <c r="C14585" t="n" s="0">
        <v>477537.1523200001</v>
      </c>
    </row>
    <row r="14586">
      <c r="A14586" t="n" s="0">
        <v>45.85</v>
      </c>
      <c r="B14586" t="n" s="0">
        <f>(-5-((((-5*(-5/((-5/(((-5*(45.85--5))-(-5+((-5*45.85)*(((-5--5)+(45.85--5))+45.85))))-(-5+-5)))*-5)))/-5)--5)+(-5*(((45.85*(45.85-(-5/-5)))*(45.85-(45.85/(-5*45.85))))-(-5/-5)))))</f>
        <v>477850.61312500003</v>
      </c>
      <c r="C14586" t="n" s="0">
        <v>477850.61312500003</v>
      </c>
    </row>
    <row r="14587">
      <c r="A14587" t="n" s="0">
        <v>45.86</v>
      </c>
      <c r="B14587" t="n" s="0">
        <f>(-5-((((-5*(-5/((-5/(((-5*(45.86--5))-(-5+((-5*45.86)*(((-5--5)+(45.86--5))+45.86))))-(-5+-5)))*-5)))/-5)--5)+(-5*(((45.86*(45.86-(-5/-5)))*(45.86-(45.86/(-5*45.86))))-(-5/-5)))))</f>
        <v>478164.21108</v>
      </c>
      <c r="C14587" t="n" s="0">
        <v>478164.21108</v>
      </c>
    </row>
    <row r="14588">
      <c r="A14588" t="n" s="0">
        <v>45.87</v>
      </c>
      <c r="B14588" t="n" s="0">
        <f>(-5-((((-5*(-5/((-5/(((-5*(45.87--5))-(-5+((-5*45.87)*(((-5--5)+(45.87--5))+45.87))))-(-5+-5)))*-5)))/-5)--5)+(-5*(((45.87*(45.87-(-5/-5)))*(45.87-(45.87/(-5*45.87))))-(-5/-5)))))</f>
        <v>478477.94621499995</v>
      </c>
      <c r="C14588" t="n" s="0">
        <v>478477.94621499995</v>
      </c>
    </row>
    <row r="14589">
      <c r="A14589" t="n" s="0">
        <v>45.88</v>
      </c>
      <c r="B14589" t="n" s="0">
        <f>(-5-((((-5*(-5/((-5/(((-5*(45.88--5))-(-5+((-5*45.88)*(((-5--5)+(45.88--5))+45.88))))-(-5+-5)))*-5)))/-5)--5)+(-5*(((45.88*(45.88-(-5/-5)))*(45.88-(45.88/(-5*45.88))))-(-5/-5)))))</f>
        <v>478791.81856</v>
      </c>
      <c r="C14589" t="n" s="0">
        <v>478791.8185600001</v>
      </c>
    </row>
    <row r="14590">
      <c r="A14590" t="n" s="0">
        <v>45.89</v>
      </c>
      <c r="B14590" t="n" s="0">
        <f>(-5-((((-5*(-5/((-5/(((-5*(45.89--5))-(-5+((-5*45.89)*(((-5--5)+(45.89--5))+45.89))))-(-5+-5)))*-5)))/-5)--5)+(-5*(((45.89*(45.89-(-5/-5)))*(45.89-(45.89/(-5*45.89))))-(-5/-5)))))</f>
        <v>479105.828145</v>
      </c>
      <c r="C14590" t="n" s="0">
        <v>479105.828145</v>
      </c>
    </row>
    <row r="14591">
      <c r="A14591" t="n" s="0">
        <v>45.9</v>
      </c>
      <c r="B14591" t="n" s="0">
        <f>(-5-((((-5*(-5/((-5/(((-5*(45.9--5))-(-5+((-5*45.9)*(((-5--5)+(45.9--5))+45.9))))-(-5+-5)))*-5)))/-5)--5)+(-5*(((45.9*(45.9-(-5/-5)))*(45.9-(45.9/(-5*45.9))))-(-5/-5)))))</f>
        <v>479419.97500000003</v>
      </c>
      <c r="C14591" t="n" s="0">
        <v>479419.97500000003</v>
      </c>
    </row>
    <row r="14592">
      <c r="A14592" t="n" s="0">
        <v>45.91</v>
      </c>
      <c r="B14592" t="n" s="0">
        <f>(-5-((((-5*(-5/((-5/(((-5*(45.91--5))-(-5+((-5*45.91)*(((-5--5)+(45.91--5))+45.91))))-(-5+-5)))*-5)))/-5)--5)+(-5*(((45.91*(45.91-(-5/-5)))*(45.91-(45.91/(-5*45.91))))-(-5/-5)))))</f>
        <v>479734.259155</v>
      </c>
      <c r="C14592" t="n" s="0">
        <v>479734.25915499986</v>
      </c>
    </row>
    <row r="14593">
      <c r="A14593" t="n" s="0">
        <v>45.92</v>
      </c>
      <c r="B14593" t="n" s="0">
        <f>(-5-((((-5*(-5/((-5/(((-5*(45.92--5))-(-5+((-5*45.92)*(((-5--5)+(45.92--5))+45.92))))-(-5+-5)))*-5)))/-5)--5)+(-5*(((45.92*(45.92-(-5/-5)))*(45.92-(45.92/(-5*45.92))))-(-5/-5)))))</f>
        <v>480048.68064</v>
      </c>
      <c r="C14593" t="n" s="0">
        <v>480048.6806400001</v>
      </c>
    </row>
    <row r="14594">
      <c r="A14594" t="n" s="0">
        <v>45.93</v>
      </c>
      <c r="B14594" t="n" s="0">
        <f>(-5-((((-5*(-5/((-5/(((-5*(45.93--5))-(-5+((-5*45.93)*(((-5--5)+(45.93--5))+45.93))))-(-5+-5)))*-5)))/-5)--5)+(-5*(((45.93*(45.93-(-5/-5)))*(45.93-(45.93/(-5*45.93))))-(-5/-5)))))</f>
        <v>480363.239485</v>
      </c>
      <c r="C14594" t="n" s="0">
        <v>480363.23948499997</v>
      </c>
    </row>
    <row r="14595">
      <c r="A14595" t="n" s="0">
        <v>45.94</v>
      </c>
      <c r="B14595" t="n" s="0">
        <f>(-5-((((-5*(-5/((-5/(((-5*(45.94--5))-(-5+((-5*45.94)*(((-5--5)+(45.94--5))+45.94))))-(-5+-5)))*-5)))/-5)--5)+(-5*(((45.94*(45.94-(-5/-5)))*(45.94-(45.94/(-5*45.94))))-(-5/-5)))))</f>
        <v>480677.93572</v>
      </c>
      <c r="C14595" t="n" s="0">
        <v>480677.93571999995</v>
      </c>
    </row>
    <row r="14596">
      <c r="A14596" t="n" s="0">
        <v>45.95</v>
      </c>
      <c r="B14596" t="n" s="0">
        <f>(-5-((((-5*(-5/((-5/(((-5*(45.95--5))-(-5+((-5*45.95)*(((-5--5)+(45.95--5))+45.95))))-(-5+-5)))*-5)))/-5)--5)+(-5*(((45.95*(45.95-(-5/-5)))*(45.95-(45.95/(-5*45.95))))-(-5/-5)))))</f>
        <v>480992.769375</v>
      </c>
      <c r="C14596" t="n" s="0">
        <v>480992.7693750001</v>
      </c>
    </row>
    <row r="14597">
      <c r="A14597" t="n" s="0">
        <v>45.96</v>
      </c>
      <c r="B14597" t="n" s="0">
        <f>(-5-((((-5*(-5/((-5/(((-5*(45.96--5))-(-5+((-5*45.96)*(((-5--5)+(45.96--5))+45.96))))-(-5+-5)))*-5)))/-5)--5)+(-5*(((45.96*(45.96-(-5/-5)))*(45.96-(45.96/(-5*45.96))))-(-5/-5)))))</f>
        <v>481307.74048000004</v>
      </c>
      <c r="C14597" t="n" s="0">
        <v>481307.74048000004</v>
      </c>
    </row>
    <row r="14598">
      <c r="A14598" t="n" s="0">
        <v>45.97</v>
      </c>
      <c r="B14598" t="n" s="0">
        <f>(-5-((((-5*(-5/((-5/(((-5*(45.97--5))-(-5+((-5*45.97)*(((-5--5)+(45.97--5))+45.97))))-(-5+-5)))*-5)))/-5)--5)+(-5*(((45.97*(45.97-(-5/-5)))*(45.97-(45.97/(-5*45.97))))-(-5/-5)))))</f>
        <v>481622.849065</v>
      </c>
      <c r="C14598" t="n" s="0">
        <v>481622.8490649999</v>
      </c>
    </row>
    <row r="14599">
      <c r="A14599" t="n" s="0">
        <v>45.98</v>
      </c>
      <c r="B14599" t="n" s="0">
        <f>(-5-((((-5*(-5/((-5/(((-5*(45.98--5))-(-5+((-5*45.98)*(((-5--5)+(45.98--5))+45.98))))-(-5+-5)))*-5)))/-5)--5)+(-5*(((45.98*(45.98-(-5/-5)))*(45.98-(45.98/(-5*45.98))))-(-5/-5)))))</f>
        <v>481938.09516</v>
      </c>
      <c r="C14599" t="n" s="0">
        <v>481938.0951599999</v>
      </c>
    </row>
    <row r="14600">
      <c r="A14600" t="n" s="0">
        <v>45.99</v>
      </c>
      <c r="B14600" t="n" s="0">
        <f>(-5-((((-5*(-5/((-5/(((-5*(45.99--5))-(-5+((-5*45.99)*(((-5--5)+(45.99--5))+45.99))))-(-5+-5)))*-5)))/-5)--5)+(-5*(((45.99*(45.99-(-5/-5)))*(45.99-(45.99/(-5*45.99))))-(-5/-5)))))</f>
        <v>482253.478795</v>
      </c>
      <c r="C14600" t="n" s="0">
        <v>482253.47879500006</v>
      </c>
    </row>
    <row r="14601">
      <c r="A14601" t="n" s="0">
        <v>46.0</v>
      </c>
      <c r="B14601" t="n" s="0">
        <f>(-5-((((-5*(-5/((-5/(((-5*(46--5))-(-5+((-5*46)*(((-5--5)+(46--5))+46))))-(-5+-5)))*-5)))/-5)--5)+(-5*(((46*(46-(-5/-5)))*(46-(46/(-5*46))))-(-5/-5)))))</f>
        <v>482569.0</v>
      </c>
      <c r="C14601" t="n" s="0">
        <v>482569.0</v>
      </c>
    </row>
    <row r="14602">
      <c r="A14602" t="n" s="0">
        <v>46.01</v>
      </c>
      <c r="B14602" t="n" s="0">
        <f>(-5-((((-5*(-5/((-5/(((-5*(46.01--5))-(-5+((-5*46.01)*(((-5--5)+(46.01--5))+46.01))))-(-5+-5)))*-5)))/-5)--5)+(-5*(((46.01*(46.01-(-5/-5)))*(46.01-(46.01/(-5*46.01))))-(-5/-5)))))</f>
        <v>482884.658805</v>
      </c>
      <c r="C14602" t="n" s="0">
        <v>482884.658805</v>
      </c>
    </row>
    <row r="14603">
      <c r="A14603" t="n" s="0">
        <v>46.02</v>
      </c>
      <c r="B14603" t="n" s="0">
        <f>(-5-((((-5*(-5/((-5/(((-5*(46.02--5))-(-5+((-5*46.02)*(((-5--5)+(46.02--5))+46.02))))-(-5+-5)))*-5)))/-5)--5)+(-5*(((46.02*(46.02-(-5/-5)))*(46.02-(46.02/(-5*46.02))))-(-5/-5)))))</f>
        <v>483200.45524</v>
      </c>
      <c r="C14603" t="n" s="0">
        <v>483200.45524000016</v>
      </c>
    </row>
    <row r="14604">
      <c r="A14604" t="n" s="0">
        <v>46.03</v>
      </c>
      <c r="B14604" t="n" s="0">
        <f>(-5-((((-5*(-5/((-5/(((-5*(46.03--5))-(-5+((-5*46.03)*(((-5--5)+(46.03--5))+46.03))))-(-5+-5)))*-5)))/-5)--5)+(-5*(((46.03*(46.03-(-5/-5)))*(46.03-(46.03/(-5*46.03))))-(-5/-5)))))</f>
        <v>483516.38933499996</v>
      </c>
      <c r="C14604" t="n" s="0">
        <v>483516.3893350001</v>
      </c>
    </row>
    <row r="14605">
      <c r="A14605" t="n" s="0">
        <v>46.04</v>
      </c>
      <c r="B14605" t="n" s="0">
        <f>(-5-((((-5*(-5/((-5/(((-5*(46.04--5))-(-5+((-5*46.04)*(((-5--5)+(46.04--5))+46.04))))-(-5+-5)))*-5)))/-5)--5)+(-5*(((46.04*(46.04-(-5/-5)))*(46.04-(46.04/(-5*46.04))))-(-5/-5)))))</f>
        <v>483832.46112</v>
      </c>
      <c r="C14605" t="n" s="0">
        <v>483832.46112</v>
      </c>
    </row>
    <row r="14606">
      <c r="A14606" t="n" s="0">
        <v>46.05</v>
      </c>
      <c r="B14606" t="n" s="0">
        <f>(-5-((((-5*(-5/((-5/(((-5*(46.05--5))-(-5+((-5*46.05)*(((-5--5)+(46.05--5))+46.05))))-(-5+-5)))*-5)))/-5)--5)+(-5*(((46.05*(46.05-(-5/-5)))*(46.05-(46.05/(-5*46.05))))-(-5/-5)))))</f>
        <v>484148.670625</v>
      </c>
      <c r="C14606" t="n" s="0">
        <v>484148.67062499997</v>
      </c>
    </row>
    <row r="14607">
      <c r="A14607" t="n" s="0">
        <v>46.06</v>
      </c>
      <c r="B14607" t="n" s="0">
        <f>(-5-((((-5*(-5/((-5/(((-5*(46.06--5))-(-5+((-5*46.06)*(((-5--5)+(46.06--5))+46.06))))-(-5+-5)))*-5)))/-5)--5)+(-5*(((46.06*(46.06-(-5/-5)))*(46.06-(46.06/(-5*46.06))))-(-5/-5)))))</f>
        <v>484465.01788</v>
      </c>
      <c r="C14607" t="n" s="0">
        <v>484465.01788000006</v>
      </c>
    </row>
    <row r="14608">
      <c r="A14608" t="n" s="0">
        <v>46.07</v>
      </c>
      <c r="B14608" t="n" s="0">
        <f>(-5-((((-5*(-5/((-5/(((-5*(46.07--5))-(-5+((-5*46.07)*(((-5--5)+(46.07--5))+46.07))))-(-5+-5)))*-5)))/-5)--5)+(-5*(((46.07*(46.07-(-5/-5)))*(46.07-(46.07/(-5*46.07))))-(-5/-5)))))</f>
        <v>484781.50291499996</v>
      </c>
      <c r="C14608" t="n" s="0">
        <v>484781.502915</v>
      </c>
    </row>
    <row r="14609">
      <c r="A14609" t="n" s="0">
        <v>46.08</v>
      </c>
      <c r="B14609" t="n" s="0">
        <f>(-5-((((-5*(-5/((-5/(((-5*(46.08--5))-(-5+((-5*46.08)*(((-5--5)+(46.08--5))+46.08))))-(-5+-5)))*-5)))/-5)--5)+(-5*(((46.08*(46.08-(-5/-5)))*(46.08-(46.08/(-5*46.08))))-(-5/-5)))))</f>
        <v>485098.12576</v>
      </c>
      <c r="C14609" t="n" s="0">
        <v>485098.12575999997</v>
      </c>
    </row>
    <row r="14610">
      <c r="A14610" t="n" s="0">
        <v>46.09</v>
      </c>
      <c r="B14610" t="n" s="0">
        <f>(-5-((((-5*(-5/((-5/(((-5*(46.09--5))-(-5+((-5*46.09)*(((-5--5)+(46.09--5))+46.09))))-(-5+-5)))*-5)))/-5)--5)+(-5*(((46.09*(46.09-(-5/-5)))*(46.09-(46.09/(-5*46.09))))-(-5/-5)))))</f>
        <v>485414.886445</v>
      </c>
      <c r="C14610" t="n" s="0">
        <v>485414.8864450001</v>
      </c>
    </row>
    <row r="14611">
      <c r="A14611" t="n" s="0">
        <v>46.1</v>
      </c>
      <c r="B14611" t="n" s="0">
        <f>(-5-((((-5*(-5/((-5/(((-5*(46.1--5))-(-5+((-5*46.1)*(((-5--5)+(46.1--5))+46.1))))-(-5+-5)))*-5)))/-5)--5)+(-5*(((46.1*(46.1-(-5/-5)))*(46.1-(46.1/(-5*46.1))))-(-5/-5)))))</f>
        <v>485731.78500000003</v>
      </c>
      <c r="C14611" t="n" s="0">
        <v>485731.78500000003</v>
      </c>
    </row>
    <row r="14612">
      <c r="A14612" t="n" s="0">
        <v>46.11</v>
      </c>
      <c r="B14612" t="n" s="0">
        <f>(-5-((((-5*(-5/((-5/(((-5*(46.11--5))-(-5+((-5*46.11)*(((-5--5)+(46.11--5))+46.11))))-(-5+-5)))*-5)))/-5)--5)+(-5*(((46.11*(46.11-(-5/-5)))*(46.11-(46.11/(-5*46.11))))-(-5/-5)))))</f>
        <v>486048.82145499997</v>
      </c>
      <c r="C14612" t="n" s="0">
        <v>486048.821455</v>
      </c>
    </row>
    <row r="14613">
      <c r="A14613" t="n" s="0">
        <v>46.12</v>
      </c>
      <c r="B14613" t="n" s="0">
        <f>(-5-((((-5*(-5/((-5/(((-5*(46.12--5))-(-5+((-5*46.12)*(((-5--5)+(46.12--5))+46.12))))-(-5+-5)))*-5)))/-5)--5)+(-5*(((46.12*(46.12-(-5/-5)))*(46.12-(46.12/(-5*46.12))))-(-5/-5)))))</f>
        <v>486365.99584000005</v>
      </c>
      <c r="C14613" t="n" s="0">
        <v>486365.99583999993</v>
      </c>
    </row>
    <row r="14614">
      <c r="A14614" t="n" s="0">
        <v>46.13</v>
      </c>
      <c r="B14614" t="n" s="0">
        <f>(-5-((((-5*(-5/((-5/(((-5*(46.13--5))-(-5+((-5*46.13)*(((-5--5)+(46.13--5))+46.13))))-(-5+-5)))*-5)))/-5)--5)+(-5*(((46.13*(46.13-(-5/-5)))*(46.13-(46.13/(-5*46.13))))-(-5/-5)))))</f>
        <v>486683.308185</v>
      </c>
      <c r="C14614" t="n" s="0">
        <v>486683.3081850001</v>
      </c>
    </row>
    <row r="14615">
      <c r="A14615" t="n" s="0">
        <v>46.14</v>
      </c>
      <c r="B14615" t="n" s="0">
        <f>(-5-((((-5*(-5/((-5/(((-5*(46.14--5))-(-5+((-5*46.14)*(((-5--5)+(46.14--5))+46.14))))-(-5+-5)))*-5)))/-5)--5)+(-5*(((46.14*(46.14-(-5/-5)))*(46.14-(46.14/(-5*46.14))))-(-5/-5)))))</f>
        <v>487000.75852000003</v>
      </c>
      <c r="C14615" t="n" s="0">
        <v>487000.75852</v>
      </c>
    </row>
    <row r="14616">
      <c r="A14616" t="n" s="0">
        <v>46.15</v>
      </c>
      <c r="B14616" t="n" s="0">
        <f>(-5-((((-5*(-5/((-5/(((-5*(46.15--5))-(-5+((-5*46.15)*(((-5--5)+(46.15--5))+46.15))))-(-5+-5)))*-5)))/-5)--5)+(-5*(((46.15*(46.15-(-5/-5)))*(46.15-(46.15/(-5*46.15))))-(-5/-5)))))</f>
        <v>487318.346875</v>
      </c>
      <c r="C14616" t="n" s="0">
        <v>487318.346875</v>
      </c>
    </row>
    <row r="14617">
      <c r="A14617" t="n" s="0">
        <v>46.16</v>
      </c>
      <c r="B14617" t="n" s="0">
        <f>(-5-((((-5*(-5/((-5/(((-5*(46.16--5))-(-5+((-5*46.16)*(((-5--5)+(46.16--5))+46.16))))-(-5+-5)))*-5)))/-5)--5)+(-5*(((46.16*(46.16-(-5/-5)))*(46.16-(46.16/(-5*46.16))))-(-5/-5)))))</f>
        <v>487636.07327999995</v>
      </c>
      <c r="C14617" t="n" s="0">
        <v>487636.0732799999</v>
      </c>
    </row>
    <row r="14618">
      <c r="A14618" t="n" s="0">
        <v>46.17</v>
      </c>
      <c r="B14618" t="n" s="0">
        <f>(-5-((((-5*(-5/((-5/(((-5*(46.17--5))-(-5+((-5*46.17)*(((-5--5)+(46.17--5))+46.17))))-(-5+-5)))*-5)))/-5)--5)+(-5*(((46.17*(46.17-(-5/-5)))*(46.17-(46.17/(-5*46.17))))-(-5/-5)))))</f>
        <v>487953.937765</v>
      </c>
      <c r="C14618" t="n" s="0">
        <v>487953.93776500004</v>
      </c>
    </row>
    <row r="14619">
      <c r="A14619" t="n" s="0">
        <v>46.18</v>
      </c>
      <c r="B14619" t="n" s="0">
        <f>(-5-((((-5*(-5/((-5/(((-5*(46.18--5))-(-5+((-5*46.18)*(((-5--5)+(46.18--5))+46.18))))-(-5+-5)))*-5)))/-5)--5)+(-5*(((46.18*(46.18-(-5/-5)))*(46.18-(46.18/(-5*46.18))))-(-5/-5)))))</f>
        <v>488271.94036</v>
      </c>
      <c r="C14619" t="n" s="0">
        <v>488271.94035999995</v>
      </c>
    </row>
    <row r="14620">
      <c r="A14620" t="n" s="0">
        <v>46.19</v>
      </c>
      <c r="B14620" t="n" s="0">
        <f>(-5-((((-5*(-5/((-5/(((-5*(46.19--5))-(-5+((-5*46.19)*(((-5--5)+(46.19--5))+46.19))))-(-5+-5)))*-5)))/-5)--5)+(-5*(((46.19*(46.19-(-5/-5)))*(46.19-(46.19/(-5*46.19))))-(-5/-5)))))</f>
        <v>488590.081095</v>
      </c>
      <c r="C14620" t="n" s="0">
        <v>488590.081095</v>
      </c>
    </row>
    <row r="14621">
      <c r="A14621" t="n" s="0">
        <v>46.2</v>
      </c>
      <c r="B14621" t="n" s="0">
        <f>(-5-((((-5*(-5/((-5/(((-5*(46.2--5))-(-5+((-5*46.2)*(((-5--5)+(46.2--5))+46.2))))-(-5+-5)))*-5)))/-5)--5)+(-5*(((46.2*(46.2-(-5/-5)))*(46.2-(46.2/(-5*46.2))))-(-5/-5)))))</f>
        <v>488908.36</v>
      </c>
      <c r="C14621" t="n" s="0">
        <v>488908.36000000004</v>
      </c>
    </row>
    <row r="14622">
      <c r="A14622" t="n" s="0">
        <v>46.21</v>
      </c>
      <c r="B14622" t="n" s="0">
        <f>(-5-((((-5*(-5/((-5/(((-5*(46.21--5))-(-5+((-5*46.21)*(((-5--5)+(46.21--5))+46.21))))-(-5+-5)))*-5)))/-5)--5)+(-5*(((46.21*(46.21-(-5/-5)))*(46.21-(46.21/(-5*46.21))))-(-5/-5)))))</f>
        <v>489226.77710500004</v>
      </c>
      <c r="C14622" t="n" s="0">
        <v>489226.777105</v>
      </c>
    </row>
    <row r="14623">
      <c r="A14623" t="n" s="0">
        <v>46.22</v>
      </c>
      <c r="B14623" t="n" s="0">
        <f>(-5-((((-5*(-5/((-5/(((-5*(46.22--5))-(-5+((-5*46.22)*(((-5--5)+(46.22--5))+46.22))))-(-5+-5)))*-5)))/-5)--5)+(-5*(((46.22*(46.22-(-5/-5)))*(46.22-(46.22/(-5*46.22))))-(-5/-5)))))</f>
        <v>489545.33243999997</v>
      </c>
      <c r="C14623" t="n" s="0">
        <v>489545.33243999997</v>
      </c>
    </row>
    <row r="14624">
      <c r="A14624" t="n" s="0">
        <v>46.23</v>
      </c>
      <c r="B14624" t="n" s="0">
        <f>(-5-((((-5*(-5/((-5/(((-5*(46.23--5))-(-5+((-5*46.23)*(((-5--5)+(46.23--5))+46.23))))-(-5+-5)))*-5)))/-5)--5)+(-5*(((46.23*(46.23-(-5/-5)))*(46.23-(46.23/(-5*46.23))))-(-5/-5)))))</f>
        <v>489864.026035</v>
      </c>
      <c r="C14624" t="n" s="0">
        <v>489864.0260349999</v>
      </c>
    </row>
    <row r="14625">
      <c r="A14625" t="n" s="0">
        <v>46.24</v>
      </c>
      <c r="B14625" t="n" s="0">
        <f>(-5-((((-5*(-5/((-5/(((-5*(46.24--5))-(-5+((-5*46.24)*(((-5--5)+(46.24--5))+46.24))))-(-5+-5)))*-5)))/-5)--5)+(-5*(((46.24*(46.24-(-5/-5)))*(46.24-(46.24/(-5*46.24))))-(-5/-5)))))</f>
        <v>490182.85792</v>
      </c>
      <c r="C14625" t="n" s="0">
        <v>490182.85792000004</v>
      </c>
    </row>
    <row r="14626">
      <c r="A14626" t="n" s="0">
        <v>46.25</v>
      </c>
      <c r="B14626" t="n" s="0">
        <f>(-5-((((-5*(-5/((-5/(((-5*(46.25--5))-(-5+((-5*46.25)*(((-5--5)+(46.25--5))+46.25))))-(-5+-5)))*-5)))/-5)--5)+(-5*(((46.25*(46.25-(-5/-5)))*(46.25-(46.25/(-5*46.25))))-(-5/-5)))))</f>
        <v>490501.828125</v>
      </c>
      <c r="C14626" t="n" s="0">
        <v>490501.828125</v>
      </c>
    </row>
    <row r="14627">
      <c r="A14627" t="n" s="0">
        <v>46.26</v>
      </c>
      <c r="B14627" t="n" s="0">
        <f>(-5-((((-5*(-5/((-5/(((-5*(46.26--5))-(-5+((-5*46.26)*(((-5--5)+(46.26--5))+46.26))))-(-5+-5)))*-5)))/-5)--5)+(-5*(((46.26*(46.26-(-5/-5)))*(46.26-(46.26/(-5*46.26))))-(-5/-5)))))</f>
        <v>490820.93668</v>
      </c>
      <c r="C14627" t="n" s="0">
        <v>490820.9366799999</v>
      </c>
    </row>
    <row r="14628">
      <c r="A14628" t="n" s="0">
        <v>46.27</v>
      </c>
      <c r="B14628" t="n" s="0">
        <f>(-5-((((-5*(-5/((-5/(((-5*(46.27--5))-(-5+((-5*46.27)*(((-5--5)+(46.27--5))+46.27))))-(-5+-5)))*-5)))/-5)--5)+(-5*(((46.27*(46.27-(-5/-5)))*(46.27-(46.27/(-5*46.27))))-(-5/-5)))))</f>
        <v>491140.183615</v>
      </c>
      <c r="C14628" t="n" s="0">
        <v>491140.1836150001</v>
      </c>
    </row>
    <row r="14629">
      <c r="A14629" t="n" s="0">
        <v>46.28</v>
      </c>
      <c r="B14629" t="n" s="0">
        <f>(-5-((((-5*(-5/((-5/(((-5*(46.28--5))-(-5+((-5*46.28)*(((-5--5)+(46.28--5))+46.28))))-(-5+-5)))*-5)))/-5)--5)+(-5*(((46.28*(46.28-(-5/-5)))*(46.28-(46.28/(-5*46.28))))-(-5/-5)))))</f>
        <v>491459.56895999995</v>
      </c>
      <c r="C14629" t="n" s="0">
        <v>491459.56896000006</v>
      </c>
    </row>
    <row r="14630">
      <c r="A14630" t="n" s="0">
        <v>46.29</v>
      </c>
      <c r="B14630" t="n" s="0">
        <f>(-5-((((-5*(-5/((-5/(((-5*(46.29--5))-(-5+((-5*46.29)*(((-5--5)+(46.29--5))+46.29))))-(-5+-5)))*-5)))/-5)--5)+(-5*(((46.29*(46.29-(-5/-5)))*(46.29-(46.29/(-5*46.29))))-(-5/-5)))))</f>
        <v>491779.092745</v>
      </c>
      <c r="C14630" t="n" s="0">
        <v>491779.092745</v>
      </c>
    </row>
    <row r="14631">
      <c r="A14631" t="n" s="0">
        <v>46.3</v>
      </c>
      <c r="B14631" t="n" s="0">
        <f>(-5-((((-5*(-5/((-5/(((-5*(46.3--5))-(-5+((-5*46.3)*(((-5--5)+(46.3--5))+46.3))))-(-5+-5)))*-5)))/-5)--5)+(-5*(((46.3*(46.3-(-5/-5)))*(46.3-(46.3/(-5*46.3))))-(-5/-5)))))</f>
        <v>492098.755</v>
      </c>
      <c r="C14631" t="n" s="0">
        <v>492098.7549999999</v>
      </c>
    </row>
    <row r="14632">
      <c r="A14632" t="n" s="0">
        <v>46.31</v>
      </c>
      <c r="B14632" t="n" s="0">
        <f>(-5-((((-5*(-5/((-5/(((-5*(46.31--5))-(-5+((-5*46.31)*(((-5--5)+(46.31--5))+46.31))))-(-5+-5)))*-5)))/-5)--5)+(-5*(((46.31*(46.31-(-5/-5)))*(46.31-(46.31/(-5*46.31))))-(-5/-5)))))</f>
        <v>492418.55575500004</v>
      </c>
      <c r="C14632" t="n" s="0">
        <v>492418.5557550001</v>
      </c>
    </row>
    <row r="14633">
      <c r="A14633" t="n" s="0">
        <v>46.32</v>
      </c>
      <c r="B14633" t="n" s="0">
        <f>(-5-((((-5*(-5/((-5/(((-5*(46.32--5))-(-5+((-5*46.32)*(((-5--5)+(46.32--5))+46.32))))-(-5+-5)))*-5)))/-5)--5)+(-5*(((46.32*(46.32-(-5/-5)))*(46.32-(46.32/(-5*46.32))))-(-5/-5)))))</f>
        <v>492738.49504</v>
      </c>
      <c r="C14633" t="n" s="0">
        <v>492738.49504000007</v>
      </c>
    </row>
    <row r="14634">
      <c r="A14634" t="n" s="0">
        <v>46.33</v>
      </c>
      <c r="B14634" t="n" s="0">
        <f>(-5-((((-5*(-5/((-5/(((-5*(46.33--5))-(-5+((-5*46.33)*(((-5--5)+(46.33--5))+46.33))))-(-5+-5)))*-5)))/-5)--5)+(-5*(((46.33*(46.33-(-5/-5)))*(46.33-(46.33/(-5*46.33))))-(-5/-5)))))</f>
        <v>493058.57288500003</v>
      </c>
      <c r="C14634" t="n" s="0">
        <v>493058.5728849999</v>
      </c>
    </row>
    <row r="14635">
      <c r="A14635" t="n" s="0">
        <v>46.34</v>
      </c>
      <c r="B14635" t="n" s="0">
        <f>(-5-((((-5*(-5/((-5/(((-5*(46.34--5))-(-5+((-5*46.34)*(((-5--5)+(46.34--5))+46.34))))-(-5+-5)))*-5)))/-5)--5)+(-5*(((46.34*(46.34-(-5/-5)))*(46.34-(46.34/(-5*46.34))))-(-5/-5)))))</f>
        <v>493378.78932000004</v>
      </c>
      <c r="C14635" t="n" s="0">
        <v>493378.78932000016</v>
      </c>
    </row>
    <row r="14636">
      <c r="A14636" t="n" s="0">
        <v>46.35</v>
      </c>
      <c r="B14636" t="n" s="0">
        <f>(-5-((((-5*(-5/((-5/(((-5*(46.35--5))-(-5+((-5*46.35)*(((-5--5)+(46.35--5))+46.35))))-(-5+-5)))*-5)))/-5)--5)+(-5*(((46.35*(46.35-(-5/-5)))*(46.35-(46.35/(-5*46.35))))-(-5/-5)))))</f>
        <v>493699.144375</v>
      </c>
      <c r="C14636" t="n" s="0">
        <v>493699.14437500003</v>
      </c>
    </row>
    <row r="14637">
      <c r="A14637" t="n" s="0">
        <v>46.36</v>
      </c>
      <c r="B14637" t="n" s="0">
        <f>(-5-((((-5*(-5/((-5/(((-5*(46.36--5))-(-5+((-5*46.36)*(((-5--5)+(46.36--5))+46.36))))-(-5+-5)))*-5)))/-5)--5)+(-5*(((46.36*(46.36-(-5/-5)))*(46.36-(46.36/(-5*46.36))))-(-5/-5)))))</f>
        <v>494019.63808</v>
      </c>
      <c r="C14637" t="n" s="0">
        <v>494019.63807999995</v>
      </c>
    </row>
    <row r="14638">
      <c r="A14638" t="n" s="0">
        <v>46.37</v>
      </c>
      <c r="B14638" t="n" s="0">
        <f>(-5-((((-5*(-5/((-5/(((-5*(46.37--5))-(-5+((-5*46.37)*(((-5--5)+(46.37--5))+46.37))))-(-5+-5)))*-5)))/-5)--5)+(-5*(((46.37*(46.37-(-5/-5)))*(46.37-(46.37/(-5*46.37))))-(-5/-5)))))</f>
        <v>494340.270465</v>
      </c>
      <c r="C14638" t="n" s="0">
        <v>494340.2704649999</v>
      </c>
    </row>
    <row r="14639">
      <c r="A14639" t="n" s="0">
        <v>46.38</v>
      </c>
      <c r="B14639" t="n" s="0">
        <f>(-5-((((-5*(-5/((-5/(((-5*(46.38--5))-(-5+((-5*46.38)*(((-5--5)+(46.38--5))+46.38))))-(-5+-5)))*-5)))/-5)--5)+(-5*(((46.38*(46.38-(-5/-5)))*(46.38-(46.38/(-5*46.38))))-(-5/-5)))))</f>
        <v>494661.04156</v>
      </c>
      <c r="C14639" t="n" s="0">
        <v>494661.0415600001</v>
      </c>
    </row>
    <row r="14640">
      <c r="A14640" t="n" s="0">
        <v>46.39</v>
      </c>
      <c r="B14640" t="n" s="0">
        <f>(-5-((((-5*(-5/((-5/(((-5*(46.39--5))-(-5+((-5*46.39)*(((-5--5)+(46.39--5))+46.39))))-(-5+-5)))*-5)))/-5)--5)+(-5*(((46.39*(46.39-(-5/-5)))*(46.39-(46.39/(-5*46.39))))-(-5/-5)))))</f>
        <v>494981.95139500004</v>
      </c>
      <c r="C14640" t="n" s="0">
        <v>494981.951395</v>
      </c>
    </row>
    <row r="14641">
      <c r="A14641" t="n" s="0">
        <v>46.4</v>
      </c>
      <c r="B14641" t="n" s="0">
        <f>(-5-((((-5*(-5/((-5/(((-5*(46.4--5))-(-5+((-5*46.4)*(((-5--5)+(46.4--5))+46.4))))-(-5+-5)))*-5)))/-5)--5)+(-5*(((46.4*(46.4-(-5/-5)))*(46.4-(46.4/(-5*46.4))))-(-5/-5)))))</f>
        <v>495303.0</v>
      </c>
      <c r="C14641" t="n" s="0">
        <v>495303.0</v>
      </c>
    </row>
    <row r="14642">
      <c r="A14642" t="n" s="0">
        <v>46.41</v>
      </c>
      <c r="B14642" t="n" s="0">
        <f>(-5-((((-5*(-5/((-5/(((-5*(46.41--5))-(-5+((-5*46.41)*(((-5--5)+(46.41--5))+46.41))))-(-5+-5)))*-5)))/-5)--5)+(-5*(((46.41*(46.41-(-5/-5)))*(46.41-(46.41/(-5*46.41))))-(-5/-5)))))</f>
        <v>495624.187405</v>
      </c>
      <c r="C14642" t="n" s="0">
        <v>495624.1874049998</v>
      </c>
    </row>
    <row r="14643">
      <c r="A14643" t="n" s="0">
        <v>46.42</v>
      </c>
      <c r="B14643" t="n" s="0">
        <f>(-5-((((-5*(-5/((-5/(((-5*(46.42--5))-(-5+((-5*46.42)*(((-5--5)+(46.42--5))+46.42))))-(-5+-5)))*-5)))/-5)--5)+(-5*(((46.42*(46.42-(-5/-5)))*(46.42-(46.42/(-5*46.42))))-(-5/-5)))))</f>
        <v>495945.51364</v>
      </c>
      <c r="C14643" t="n" s="0">
        <v>495945.5136400001</v>
      </c>
    </row>
    <row r="14644">
      <c r="A14644" t="n" s="0">
        <v>46.43</v>
      </c>
      <c r="B14644" t="n" s="0">
        <f>(-5-((((-5*(-5/((-5/(((-5*(46.43--5))-(-5+((-5*46.43)*(((-5--5)+(46.43--5))+46.43))))-(-5+-5)))*-5)))/-5)--5)+(-5*(((46.43*(46.43-(-5/-5)))*(46.43-(46.43/(-5*46.43))))-(-5/-5)))))</f>
        <v>496266.97873499995</v>
      </c>
      <c r="C14644" t="n" s="0">
        <v>496266.978735</v>
      </c>
    </row>
    <row r="14645">
      <c r="A14645" t="n" s="0">
        <v>46.44</v>
      </c>
      <c r="B14645" t="n" s="0">
        <f>(-5-((((-5*(-5/((-5/(((-5*(46.44--5))-(-5+((-5*46.44)*(((-5--5)+(46.44--5))+46.44))))-(-5+-5)))*-5)))/-5)--5)+(-5*(((46.44*(46.44-(-5/-5)))*(46.44-(46.44/(-5*46.44))))-(-5/-5)))))</f>
        <v>496588.58271999995</v>
      </c>
      <c r="C14645" t="n" s="0">
        <v>496588.58271999995</v>
      </c>
    </row>
    <row r="14646">
      <c r="A14646" t="n" s="0">
        <v>46.45</v>
      </c>
      <c r="B14646" t="n" s="0">
        <f>(-5-((((-5*(-5/((-5/(((-5*(46.45--5))-(-5+((-5*46.45)*(((-5--5)+(46.45--5))+46.45))))-(-5+-5)))*-5)))/-5)--5)+(-5*(((46.45*(46.45-(-5/-5)))*(46.45-(46.45/(-5*46.45))))-(-5/-5)))))</f>
        <v>496910.325625</v>
      </c>
      <c r="C14646" t="n" s="0">
        <v>496910.32562500006</v>
      </c>
    </row>
    <row r="14647">
      <c r="A14647" t="n" s="0">
        <v>46.46</v>
      </c>
      <c r="B14647" t="n" s="0">
        <f>(-5-((((-5*(-5/((-5/(((-5*(46.46--5))-(-5+((-5*46.46)*(((-5--5)+(46.46--5))+46.46))))-(-5+-5)))*-5)))/-5)--5)+(-5*(((46.46*(46.46-(-5/-5)))*(46.46-(46.46/(-5*46.46))))-(-5/-5)))))</f>
        <v>497232.20748</v>
      </c>
      <c r="C14647" t="n" s="0">
        <v>497232.20748000004</v>
      </c>
    </row>
    <row r="14648">
      <c r="A14648" t="n" s="0">
        <v>46.47</v>
      </c>
      <c r="B14648" t="n" s="0">
        <f>(-5-((((-5*(-5/((-5/(((-5*(46.47--5))-(-5+((-5*46.47)*(((-5--5)+(46.47--5))+46.47))))-(-5+-5)))*-5)))/-5)--5)+(-5*(((46.47*(46.47-(-5/-5)))*(46.47-(46.47/(-5*46.47))))-(-5/-5)))))</f>
        <v>497554.228315</v>
      </c>
      <c r="C14648" t="n" s="0">
        <v>497554.2283149999</v>
      </c>
    </row>
    <row r="14649">
      <c r="A14649" t="n" s="0">
        <v>46.48</v>
      </c>
      <c r="B14649" t="n" s="0">
        <f>(-5-((((-5*(-5/((-5/(((-5*(46.48--5))-(-5+((-5*46.48)*(((-5--5)+(46.48--5))+46.48))))-(-5+-5)))*-5)))/-5)--5)+(-5*(((46.48*(46.48-(-5/-5)))*(46.48-(46.48/(-5*46.48))))-(-5/-5)))))</f>
        <v>497876.38816</v>
      </c>
      <c r="C14649" t="n" s="0">
        <v>497876.3881599999</v>
      </c>
    </row>
    <row r="14650">
      <c r="A14650" t="n" s="0">
        <v>46.49</v>
      </c>
      <c r="B14650" t="n" s="0">
        <f>(-5-((((-5*(-5/((-5/(((-5*(46.49--5))-(-5+((-5*46.49)*(((-5--5)+(46.49--5))+46.49))))-(-5+-5)))*-5)))/-5)--5)+(-5*(((46.49*(46.49-(-5/-5)))*(46.49-(46.49/(-5*46.49))))-(-5/-5)))))</f>
        <v>498198.687045</v>
      </c>
      <c r="C14650" t="n" s="0">
        <v>498198.68704499997</v>
      </c>
    </row>
    <row r="14651">
      <c r="A14651" t="n" s="0">
        <v>46.5</v>
      </c>
      <c r="B14651" t="n" s="0">
        <f>(-5-((((-5*(-5/((-5/(((-5*(46.5--5))-(-5+((-5*46.5)*(((-5--5)+(46.5--5))+46.5))))-(-5+-5)))*-5)))/-5)--5)+(-5*(((46.5*(46.5-(-5/-5)))*(46.5-(46.5/(-5*46.5))))-(-5/-5)))))</f>
        <v>498521.125</v>
      </c>
      <c r="C14651" t="n" s="0">
        <v>498521.125</v>
      </c>
    </row>
    <row r="14652">
      <c r="A14652" t="n" s="0">
        <v>46.51</v>
      </c>
      <c r="B14652" t="n" s="0">
        <f>(-5-((((-5*(-5/((-5/(((-5*(46.51--5))-(-5+((-5*46.51)*(((-5--5)+(46.51--5))+46.51))))-(-5+-5)))*-5)))/-5)--5)+(-5*(((46.51*(46.51-(-5/-5)))*(46.51-(46.51/(-5*46.51))))-(-5/-5)))))</f>
        <v>498843.702055</v>
      </c>
      <c r="C14652" t="n" s="0">
        <v>498843.702055</v>
      </c>
    </row>
    <row r="14653">
      <c r="A14653" t="n" s="0">
        <v>46.52</v>
      </c>
      <c r="B14653" t="n" s="0">
        <f>(-5-((((-5*(-5/((-5/(((-5*(46.52--5))-(-5+((-5*46.52)*(((-5--5)+(46.52--5))+46.52))))-(-5+-5)))*-5)))/-5)--5)+(-5*(((46.52*(46.52-(-5/-5)))*(46.52-(46.52/(-5*46.52))))-(-5/-5)))))</f>
        <v>499166.41823999997</v>
      </c>
      <c r="C14653" t="n" s="0">
        <v>499166.4182400001</v>
      </c>
    </row>
    <row r="14654">
      <c r="A14654" t="n" s="0">
        <v>46.53</v>
      </c>
      <c r="B14654" t="n" s="0">
        <f>(-5-((((-5*(-5/((-5/(((-5*(46.53--5))-(-5+((-5*46.53)*(((-5--5)+(46.53--5))+46.53))))-(-5+-5)))*-5)))/-5)--5)+(-5*(((46.53*(46.53-(-5/-5)))*(46.53-(46.53/(-5*46.53))))-(-5/-5)))))</f>
        <v>499489.27358499996</v>
      </c>
      <c r="C14654" t="n" s="0">
        <v>499489.2735850001</v>
      </c>
    </row>
    <row r="14655">
      <c r="A14655" t="n" s="0">
        <v>46.54</v>
      </c>
      <c r="B14655" t="n" s="0">
        <f>(-5-((((-5*(-5/((-5/(((-5*(46.54--5))-(-5+((-5*46.54)*(((-5--5)+(46.54--5))+46.54))))-(-5+-5)))*-5)))/-5)--5)+(-5*(((46.54*(46.54-(-5/-5)))*(46.54-(46.54/(-5*46.54))))-(-5/-5)))))</f>
        <v>499812.26811999996</v>
      </c>
      <c r="C14655" t="n" s="0">
        <v>499812.26812</v>
      </c>
    </row>
    <row r="14656">
      <c r="A14656" t="n" s="0">
        <v>46.55</v>
      </c>
      <c r="B14656" t="n" s="0">
        <f>(-5-((((-5*(-5/((-5/(((-5*(46.55--5))-(-5+((-5*46.55)*(((-5--5)+(46.55--5))+46.55))))-(-5+-5)))*-5)))/-5)--5)+(-5*(((46.55*(46.55-(-5/-5)))*(46.55-(46.55/(-5*46.55))))-(-5/-5)))))</f>
        <v>500135.401875</v>
      </c>
      <c r="C14656" t="n" s="0">
        <v>500135.4018749999</v>
      </c>
    </row>
    <row r="14657">
      <c r="A14657" t="n" s="0">
        <v>46.56</v>
      </c>
      <c r="B14657" t="n" s="0">
        <f>(-5-((((-5*(-5/((-5/(((-5*(46.56--5))-(-5+((-5*46.56)*(((-5--5)+(46.56--5))+46.56))))-(-5+-5)))*-5)))/-5)--5)+(-5*(((46.56*(46.56-(-5/-5)))*(46.56-(46.56/(-5*46.56))))-(-5/-5)))))</f>
        <v>500458.67487999995</v>
      </c>
      <c r="C14657" t="n" s="0">
        <v>500458.67488000006</v>
      </c>
    </row>
    <row r="14658">
      <c r="A14658" t="n" s="0">
        <v>46.57</v>
      </c>
      <c r="B14658" t="n" s="0">
        <f>(-5-((((-5*(-5/((-5/(((-5*(46.57--5))-(-5+((-5*46.57)*(((-5--5)+(46.57--5))+46.57))))-(-5+-5)))*-5)))/-5)--5)+(-5*(((46.57*(46.57-(-5/-5)))*(46.57-(46.57/(-5*46.57))))-(-5/-5)))))</f>
        <v>500782.08716500003</v>
      </c>
      <c r="C14658" t="n" s="0">
        <v>500782.08716500003</v>
      </c>
    </row>
    <row r="14659">
      <c r="A14659" t="n" s="0">
        <v>46.58</v>
      </c>
      <c r="B14659" t="n" s="0">
        <f>(-5-((((-5*(-5/((-5/(((-5*(46.58--5))-(-5+((-5*46.58)*(((-5--5)+(46.58--5))+46.58))))-(-5+-5)))*-5)))/-5)--5)+(-5*(((46.58*(46.58-(-5/-5)))*(46.58-(46.58/(-5*46.58))))-(-5/-5)))))</f>
        <v>501105.63876</v>
      </c>
      <c r="C14659" t="n" s="0">
        <v>501105.63875999994</v>
      </c>
    </row>
    <row r="14660">
      <c r="A14660" t="n" s="0">
        <v>46.59</v>
      </c>
      <c r="B14660" t="n" s="0">
        <f>(-5-((((-5*(-5/((-5/(((-5*(46.59--5))-(-5+((-5*46.59)*(((-5--5)+(46.59--5))+46.59))))-(-5+-5)))*-5)))/-5)--5)+(-5*(((46.59*(46.59-(-5/-5)))*(46.59-(46.59/(-5*46.59))))-(-5/-5)))))</f>
        <v>501429.32969499996</v>
      </c>
      <c r="C14660" t="n" s="0">
        <v>501429.32969500014</v>
      </c>
    </row>
    <row r="14661">
      <c r="A14661" t="n" s="0">
        <v>46.6</v>
      </c>
      <c r="B14661" t="n" s="0">
        <f>(-5-((((-5*(-5/((-5/(((-5*(46.6--5))-(-5+((-5*46.6)*(((-5--5)+(46.6--5))+46.6))))-(-5+-5)))*-5)))/-5)--5)+(-5*(((46.6*(46.6-(-5/-5)))*(46.6-(46.6/(-5*46.6))))-(-5/-5)))))</f>
        <v>501753.16000000003</v>
      </c>
      <c r="C14661" t="n" s="0">
        <v>501753.16000000003</v>
      </c>
    </row>
    <row r="14662">
      <c r="A14662" t="n" s="0">
        <v>46.61</v>
      </c>
      <c r="B14662" t="n" s="0">
        <f>(-5-((((-5*(-5/((-5/(((-5*(46.61--5))-(-5+((-5*46.61)*(((-5--5)+(46.61--5))+46.61))))-(-5+-5)))*-5)))/-5)--5)+(-5*(((46.61*(46.61-(-5/-5)))*(46.61-(46.61/(-5*46.61))))-(-5/-5)))))</f>
        <v>502077.129705</v>
      </c>
      <c r="C14662" t="n" s="0">
        <v>502077.12970499997</v>
      </c>
    </row>
    <row r="14663">
      <c r="A14663" t="n" s="0">
        <v>46.62</v>
      </c>
      <c r="B14663" t="n" s="0">
        <f>(-5-((((-5*(-5/((-5/(((-5*(46.62--5))-(-5+((-5*46.62)*(((-5--5)+(46.62--5))+46.62))))-(-5+-5)))*-5)))/-5)--5)+(-5*(((46.62*(46.62-(-5/-5)))*(46.62-(46.62/(-5*46.62))))-(-5/-5)))))</f>
        <v>502401.23884</v>
      </c>
      <c r="C14663" t="n" s="0">
        <v>502401.23883999995</v>
      </c>
    </row>
    <row r="14664">
      <c r="A14664" t="n" s="0">
        <v>46.63</v>
      </c>
      <c r="B14664" t="n" s="0">
        <f>(-5-((((-5*(-5/((-5/(((-5*(46.63--5))-(-5+((-5*46.63)*(((-5--5)+(46.63--5))+46.63))))-(-5+-5)))*-5)))/-5)--5)+(-5*(((46.63*(46.63-(-5/-5)))*(46.63-(46.63/(-5*46.63))))-(-5/-5)))))</f>
        <v>502725.48743499996</v>
      </c>
      <c r="C14664" t="n" s="0">
        <v>502725.4874350001</v>
      </c>
    </row>
    <row r="14665">
      <c r="A14665" t="n" s="0">
        <v>46.64</v>
      </c>
      <c r="B14665" t="n" s="0">
        <f>(-5-((((-5*(-5/((-5/(((-5*(46.64--5))-(-5+((-5*46.64)*(((-5--5)+(46.64--5))+46.64))))-(-5+-5)))*-5)))/-5)--5)+(-5*(((46.64*(46.64-(-5/-5)))*(46.64-(46.64/(-5*46.64))))-(-5/-5)))))</f>
        <v>503049.87552</v>
      </c>
      <c r="C14665" t="n" s="0">
        <v>503049.87552000006</v>
      </c>
    </row>
    <row r="14666">
      <c r="A14666" t="n" s="0">
        <v>46.65</v>
      </c>
      <c r="B14666" t="n" s="0">
        <f>(-5-((((-5*(-5/((-5/(((-5*(46.65--5))-(-5+((-5*46.65)*(((-5--5)+(46.65--5))+46.65))))-(-5+-5)))*-5)))/-5)--5)+(-5*(((46.65*(46.65-(-5/-5)))*(46.65-(46.65/(-5*46.65))))-(-5/-5)))))</f>
        <v>503374.403125</v>
      </c>
      <c r="C14666" t="n" s="0">
        <v>503374.40312499995</v>
      </c>
    </row>
    <row r="14667">
      <c r="A14667" t="n" s="0">
        <v>46.66</v>
      </c>
      <c r="B14667" t="n" s="0">
        <f>(-5-((((-5*(-5/((-5/(((-5*(46.66--5))-(-5+((-5*46.66)*(((-5--5)+(46.66--5))+46.66))))-(-5+-5)))*-5)))/-5)--5)+(-5*(((46.66*(46.66-(-5/-5)))*(46.66-(46.66/(-5*46.66))))-(-5/-5)))))</f>
        <v>503699.07028</v>
      </c>
      <c r="C14667" t="n" s="0">
        <v>503699.07027999987</v>
      </c>
    </row>
    <row r="14668">
      <c r="A14668" t="n" s="0">
        <v>46.67</v>
      </c>
      <c r="B14668" t="n" s="0">
        <f>(-5-((((-5*(-5/((-5/(((-5*(46.67--5))-(-5+((-5*46.67)*(((-5--5)+(46.67--5))+46.67))))-(-5+-5)))*-5)))/-5)--5)+(-5*(((46.67*(46.67-(-5/-5)))*(46.67-(46.67/(-5*46.67))))-(-5/-5)))))</f>
        <v>504023.877015</v>
      </c>
      <c r="C14668" t="n" s="0">
        <v>504023.87701500003</v>
      </c>
    </row>
    <row r="14669">
      <c r="A14669" t="n" s="0">
        <v>46.68</v>
      </c>
      <c r="B14669" t="n" s="0">
        <f>(-5-((((-5*(-5/((-5/(((-5*(46.68--5))-(-5+((-5*46.68)*(((-5--5)+(46.68--5))+46.68))))-(-5+-5)))*-5)))/-5)--5)+(-5*(((46.68*(46.68-(-5/-5)))*(46.68-(46.68/(-5*46.68))))-(-5/-5)))))</f>
        <v>504348.82336</v>
      </c>
      <c r="C14669" t="n" s="0">
        <v>504348.82336</v>
      </c>
    </row>
    <row r="14670">
      <c r="A14670" t="n" s="0">
        <v>46.69</v>
      </c>
      <c r="B14670" t="n" s="0">
        <f>(-5-((((-5*(-5/((-5/(((-5*(46.69--5))-(-5+((-5*46.69)*(((-5--5)+(46.69--5))+46.69))))-(-5+-5)))*-5)))/-5)--5)+(-5*(((46.69*(46.69-(-5/-5)))*(46.69-(46.69/(-5*46.69))))-(-5/-5)))))</f>
        <v>504673.909345</v>
      </c>
      <c r="C14670" t="n" s="0">
        <v>504673.90934499993</v>
      </c>
    </row>
    <row r="14671">
      <c r="A14671" t="n" s="0">
        <v>46.7</v>
      </c>
      <c r="B14671" t="n" s="0">
        <f>(-5-((((-5*(-5/((-5/(((-5*(46.7--5))-(-5+((-5*46.7)*(((-5--5)+(46.7--5))+46.7))))-(-5+-5)))*-5)))/-5)--5)+(-5*(((46.7*(46.7-(-5/-5)))*(46.7-(46.7/(-5*46.7))))-(-5/-5)))))</f>
        <v>504999.135</v>
      </c>
      <c r="C14671" t="n" s="0">
        <v>504999.13500000007</v>
      </c>
    </row>
    <row r="14672">
      <c r="A14672" t="n" s="0">
        <v>46.71</v>
      </c>
      <c r="B14672" t="n" s="0">
        <f>(-5-((((-5*(-5/((-5/(((-5*(46.71--5))-(-5+((-5*46.71)*(((-5--5)+(46.71--5))+46.71))))-(-5+-5)))*-5)))/-5)--5)+(-5*(((46.71*(46.71-(-5/-5)))*(46.71-(46.71/(-5*46.71))))-(-5/-5)))))</f>
        <v>505324.500355</v>
      </c>
      <c r="C14672" t="n" s="0">
        <v>505324.5003550001</v>
      </c>
    </row>
    <row r="14673">
      <c r="A14673" t="n" s="0">
        <v>46.72</v>
      </c>
      <c r="B14673" t="n" s="0">
        <f>(-5-((((-5*(-5/((-5/(((-5*(46.72--5))-(-5+((-5*46.72)*(((-5--5)+(46.72--5))+46.72))))-(-5+-5)))*-5)))/-5)--5)+(-5*(((46.72*(46.72-(-5/-5)))*(46.72-(46.72/(-5*46.72))))-(-5/-5)))))</f>
        <v>505650.00544</v>
      </c>
      <c r="C14673" t="n" s="0">
        <v>505650.0054399999</v>
      </c>
    </row>
    <row r="14674">
      <c r="A14674" t="n" s="0">
        <v>46.73</v>
      </c>
      <c r="B14674" t="n" s="0">
        <f>(-5-((((-5*(-5/((-5/(((-5*(46.73--5))-(-5+((-5*46.73)*(((-5--5)+(46.73--5))+46.73))))-(-5+-5)))*-5)))/-5)--5)+(-5*(((46.73*(46.73-(-5/-5)))*(46.73-(46.73/(-5*46.73))))-(-5/-5)))))</f>
        <v>505975.650285</v>
      </c>
      <c r="C14674" t="n" s="0">
        <v>505975.65028499987</v>
      </c>
    </row>
    <row r="14675">
      <c r="A14675" t="n" s="0">
        <v>46.74</v>
      </c>
      <c r="B14675" t="n" s="0">
        <f>(-5-((((-5*(-5/((-5/(((-5*(46.74--5))-(-5+((-5*46.74)*(((-5--5)+(46.74--5))+46.74))))-(-5+-5)))*-5)))/-5)--5)+(-5*(((46.74*(46.74-(-5/-5)))*(46.74-(46.74/(-5*46.74))))-(-5/-5)))))</f>
        <v>506301.43491999997</v>
      </c>
      <c r="C14675" t="n" s="0">
        <v>506301.43492</v>
      </c>
    </row>
    <row r="14676">
      <c r="A14676" t="n" s="0">
        <v>46.75</v>
      </c>
      <c r="B14676" t="n" s="0">
        <f>(-5-((((-5*(-5/((-5/(((-5*(46.75--5))-(-5+((-5*46.75)*(((-5--5)+(46.75--5))+46.75))))-(-5+-5)))*-5)))/-5)--5)+(-5*(((46.75*(46.75-(-5/-5)))*(46.75-(46.75/(-5*46.75))))-(-5/-5)))))</f>
        <v>506627.359375</v>
      </c>
      <c r="C14676" t="n" s="0">
        <v>506627.359375</v>
      </c>
    </row>
    <row r="14677">
      <c r="A14677" t="n" s="0">
        <v>46.76</v>
      </c>
      <c r="B14677" t="n" s="0">
        <f>(-5-((((-5*(-5/((-5/(((-5*(46.76--5))-(-5+((-5*46.76)*(((-5--5)+(46.76--5))+46.76))))-(-5+-5)))*-5)))/-5)--5)+(-5*(((46.76*(46.76-(-5/-5)))*(46.76-(46.76/(-5*46.76))))-(-5/-5)))))</f>
        <v>506953.42368</v>
      </c>
      <c r="C14677" t="n" s="0">
        <v>506953.42368</v>
      </c>
    </row>
    <row r="14678">
      <c r="A14678" t="n" s="0">
        <v>46.77</v>
      </c>
      <c r="B14678" t="n" s="0">
        <f>(-5-((((-5*(-5/((-5/(((-5*(46.77--5))-(-5+((-5*46.77)*(((-5--5)+(46.77--5))+46.77))))-(-5+-5)))*-5)))/-5)--5)+(-5*(((46.77*(46.77-(-5/-5)))*(46.77-(46.77/(-5*46.77))))-(-5/-5)))))</f>
        <v>507279.627865</v>
      </c>
      <c r="C14678" t="n" s="0">
        <v>507279.6278650001</v>
      </c>
    </row>
    <row r="14679">
      <c r="A14679" t="n" s="0">
        <v>46.78</v>
      </c>
      <c r="B14679" t="n" s="0">
        <f>(-5-((((-5*(-5/((-5/(((-5*(46.78--5))-(-5+((-5*46.78)*(((-5--5)+(46.78--5))+46.78))))-(-5+-5)))*-5)))/-5)--5)+(-5*(((46.78*(46.78-(-5/-5)))*(46.78-(46.78/(-5*46.78))))-(-5/-5)))))</f>
        <v>507605.97196</v>
      </c>
      <c r="C14679" t="n" s="0">
        <v>507605.9719600001</v>
      </c>
    </row>
    <row r="14680">
      <c r="A14680" t="n" s="0">
        <v>46.79</v>
      </c>
      <c r="B14680" t="n" s="0">
        <f>(-5-((((-5*(-5/((-5/(((-5*(46.79--5))-(-5+((-5*46.79)*(((-5--5)+(46.79--5))+46.79))))-(-5+-5)))*-5)))/-5)--5)+(-5*(((46.79*(46.79-(-5/-5)))*(46.79-(46.79/(-5*46.79))))-(-5/-5)))))</f>
        <v>507932.45599499997</v>
      </c>
      <c r="C14680" t="n" s="0">
        <v>507932.45599499997</v>
      </c>
    </row>
    <row r="14681">
      <c r="A14681" t="n" s="0">
        <v>46.8</v>
      </c>
      <c r="B14681" t="n" s="0">
        <f>(-5-((((-5*(-5/((-5/(((-5*(46.8--5))-(-5+((-5*46.8)*(((-5--5)+(46.8--5))+46.8))))-(-5+-5)))*-5)))/-5)--5)+(-5*(((46.8*(46.8-(-5/-5)))*(46.8-(46.8/(-5*46.8))))-(-5/-5)))))</f>
        <v>508259.07999999996</v>
      </c>
      <c r="C14681" t="n" s="0">
        <v>508259.0799999999</v>
      </c>
    </row>
    <row r="14682">
      <c r="A14682" t="n" s="0">
        <v>46.81</v>
      </c>
      <c r="B14682" t="n" s="0">
        <f>(-5-((((-5*(-5/((-5/(((-5*(46.81--5))-(-5+((-5*46.81)*(((-5--5)+(46.81--5))+46.81))))-(-5+-5)))*-5)))/-5)--5)+(-5*(((46.81*(46.81-(-5/-5)))*(46.81-(46.81/(-5*46.81))))-(-5/-5)))))</f>
        <v>508585.84400499996</v>
      </c>
      <c r="C14682" t="n" s="0">
        <v>508585.844005</v>
      </c>
    </row>
    <row r="14683">
      <c r="A14683" t="n" s="0">
        <v>46.82</v>
      </c>
      <c r="B14683" t="n" s="0">
        <f>(-5-((((-5*(-5/((-5/(((-5*(46.82--5))-(-5+((-5*46.82)*(((-5--5)+(46.82--5))+46.82))))-(-5+-5)))*-5)))/-5)--5)+(-5*(((46.82*(46.82-(-5/-5)))*(46.82-(46.82/(-5*46.82))))-(-5/-5)))))</f>
        <v>508912.74804</v>
      </c>
      <c r="C14683" t="n" s="0">
        <v>508912.74804000003</v>
      </c>
    </row>
    <row r="14684">
      <c r="A14684" t="n" s="0">
        <v>46.83</v>
      </c>
      <c r="B14684" t="n" s="0">
        <f>(-5-((((-5*(-5/((-5/(((-5*(46.83--5))-(-5+((-5*46.83)*(((-5--5)+(46.83--5))+46.83))))-(-5+-5)))*-5)))/-5)--5)+(-5*(((46.83*(46.83-(-5/-5)))*(46.83-(46.83/(-5*46.83))))-(-5/-5)))))</f>
        <v>509239.792135</v>
      </c>
      <c r="C14684" t="n" s="0">
        <v>509239.79213499994</v>
      </c>
    </row>
    <row r="14685">
      <c r="A14685" t="n" s="0">
        <v>46.84</v>
      </c>
      <c r="B14685" t="n" s="0">
        <f>(-5-((((-5*(-5/((-5/(((-5*(46.84--5))-(-5+((-5*46.84)*(((-5--5)+(46.84--5))+46.84))))-(-5+-5)))*-5)))/-5)--5)+(-5*(((46.84*(46.84-(-5/-5)))*(46.84-(46.84/(-5*46.84))))-(-5/-5)))))</f>
        <v>509566.97632</v>
      </c>
      <c r="C14685" t="n" s="0">
        <v>509566.97632000013</v>
      </c>
    </row>
    <row r="14686">
      <c r="A14686" t="n" s="0">
        <v>46.85</v>
      </c>
      <c r="B14686" t="n" s="0">
        <f>(-5-((((-5*(-5/((-5/(((-5*(46.85--5))-(-5+((-5*46.85)*(((-5--5)+(46.85--5))+46.85))))-(-5+-5)))*-5)))/-5)--5)+(-5*(((46.85*(46.85-(-5/-5)))*(46.85-(46.85/(-5*46.85))))-(-5/-5)))))</f>
        <v>509894.300625</v>
      </c>
      <c r="C14686" t="n" s="0">
        <v>509894.3006250001</v>
      </c>
    </row>
    <row r="14687">
      <c r="A14687" t="n" s="0">
        <v>46.86</v>
      </c>
      <c r="B14687" t="n" s="0">
        <f>(-5-((((-5*(-5/((-5/(((-5*(46.86--5))-(-5+((-5*46.86)*(((-5--5)+(46.86--5))+46.86))))-(-5+-5)))*-5)))/-5)--5)+(-5*(((46.86*(46.86-(-5/-5)))*(46.86-(46.86/(-5*46.86))))-(-5/-5)))))</f>
        <v>510221.76508</v>
      </c>
      <c r="C14687" t="n" s="0">
        <v>510221.76508</v>
      </c>
    </row>
    <row r="14688">
      <c r="A14688" t="n" s="0">
        <v>46.87</v>
      </c>
      <c r="B14688" t="n" s="0">
        <f>(-5-((((-5*(-5/((-5/(((-5*(46.87--5))-(-5+((-5*46.87)*(((-5--5)+(46.87--5))+46.87))))-(-5+-5)))*-5)))/-5)--5)+(-5*(((46.87*(46.87-(-5/-5)))*(46.87-(46.87/(-5*46.87))))-(-5/-5)))))</f>
        <v>510549.36971500004</v>
      </c>
      <c r="C14688" t="n" s="0">
        <v>510549.3697149999</v>
      </c>
    </row>
    <row r="14689">
      <c r="A14689" t="n" s="0">
        <v>46.88</v>
      </c>
      <c r="B14689" t="n" s="0">
        <f>(-5-((((-5*(-5/((-5/(((-5*(46.88--5))-(-5+((-5*46.88)*(((-5--5)+(46.88--5))+46.88))))-(-5+-5)))*-5)))/-5)--5)+(-5*(((46.88*(46.88-(-5/-5)))*(46.88-(46.88/(-5*46.88))))-(-5/-5)))))</f>
        <v>510877.11456</v>
      </c>
      <c r="C14689" t="n" s="0">
        <v>510877.1145600001</v>
      </c>
    </row>
    <row r="14690">
      <c r="A14690" t="n" s="0">
        <v>46.89</v>
      </c>
      <c r="B14690" t="n" s="0">
        <f>(-5-((((-5*(-5/((-5/(((-5*(46.89--5))-(-5+((-5*46.89)*(((-5--5)+(46.89--5))+46.89))))-(-5+-5)))*-5)))/-5)--5)+(-5*(((46.89*(46.89-(-5/-5)))*(46.89-(46.89/(-5*46.89))))-(-5/-5)))))</f>
        <v>511204.999645</v>
      </c>
      <c r="C14690" t="n" s="0">
        <v>511204.999645</v>
      </c>
    </row>
    <row r="14691">
      <c r="A14691" t="n" s="0">
        <v>46.9</v>
      </c>
      <c r="B14691" t="n" s="0">
        <f>(-5-((((-5*(-5/((-5/(((-5*(46.9--5))-(-5+((-5*46.9)*(((-5--5)+(46.9--5))+46.9))))-(-5+-5)))*-5)))/-5)--5)+(-5*(((46.9*(46.9-(-5/-5)))*(46.9-(46.9/(-5*46.9))))-(-5/-5)))))</f>
        <v>511533.025</v>
      </c>
      <c r="C14691" t="n" s="0">
        <v>511533.02499999997</v>
      </c>
    </row>
    <row r="14692">
      <c r="A14692" t="n" s="0">
        <v>46.91</v>
      </c>
      <c r="B14692" t="n" s="0">
        <f>(-5-((((-5*(-5/((-5/(((-5*(46.91--5))-(-5+((-5*46.91)*(((-5--5)+(46.91--5))+46.91))))-(-5+-5)))*-5)))/-5)--5)+(-5*(((46.91*(46.91-(-5/-5)))*(46.91-(46.91/(-5*46.91))))-(-5/-5)))))</f>
        <v>511861.190655</v>
      </c>
      <c r="C14692" t="n" s="0">
        <v>511861.1906549999</v>
      </c>
    </row>
    <row r="14693">
      <c r="A14693" t="n" s="0">
        <v>46.92</v>
      </c>
      <c r="B14693" t="n" s="0">
        <f>(-5-((((-5*(-5/((-5/(((-5*(46.92--5))-(-5+((-5*46.92)*(((-5--5)+(46.92--5))+46.92))))-(-5+-5)))*-5)))/-5)--5)+(-5*(((46.92*(46.92-(-5/-5)))*(46.92-(46.92/(-5*46.92))))-(-5/-5)))))</f>
        <v>512189.49663999997</v>
      </c>
      <c r="C14693" t="n" s="0">
        <v>512189.49664</v>
      </c>
    </row>
    <row r="14694">
      <c r="A14694" t="n" s="0">
        <v>46.93</v>
      </c>
      <c r="B14694" t="n" s="0">
        <f>(-5-((((-5*(-5/((-5/(((-5*(46.93--5))-(-5+((-5*46.93)*(((-5--5)+(46.93--5))+46.93))))-(-5+-5)))*-5)))/-5)--5)+(-5*(((46.93*(46.93-(-5/-5)))*(46.93-(46.93/(-5*46.93))))-(-5/-5)))))</f>
        <v>512517.942985</v>
      </c>
      <c r="C14694" t="n" s="0">
        <v>512517.9429849999</v>
      </c>
    </row>
    <row r="14695">
      <c r="A14695" t="n" s="0">
        <v>46.94</v>
      </c>
      <c r="B14695" t="n" s="0">
        <f>(-5-((((-5*(-5/((-5/(((-5*(46.94--5))-(-5+((-5*46.94)*(((-5--5)+(46.94--5))+46.94))))-(-5+-5)))*-5)))/-5)--5)+(-5*(((46.94*(46.94-(-5/-5)))*(46.94-(46.94/(-5*46.94))))-(-5/-5)))))</f>
        <v>512846.52972</v>
      </c>
      <c r="C14695" t="n" s="0">
        <v>512846.52971999993</v>
      </c>
    </row>
    <row r="14696">
      <c r="A14696" t="n" s="0">
        <v>46.95</v>
      </c>
      <c r="B14696" t="n" s="0">
        <f>(-5-((((-5*(-5/((-5/(((-5*(46.95--5))-(-5+((-5*46.95)*(((-5--5)+(46.95--5))+46.95))))-(-5+-5)))*-5)))/-5)--5)+(-5*(((46.95*(46.95-(-5/-5)))*(46.95-(46.95/(-5*46.95))))-(-5/-5)))))</f>
        <v>513175.256875</v>
      </c>
      <c r="C14696" t="n" s="0">
        <v>513175.25687500014</v>
      </c>
    </row>
    <row r="14697">
      <c r="A14697" t="n" s="0">
        <v>46.96</v>
      </c>
      <c r="B14697" t="n" s="0">
        <f>(-5-((((-5*(-5/((-5/(((-5*(46.96--5))-(-5+((-5*46.96)*(((-5--5)+(46.96--5))+46.96))))-(-5+-5)))*-5)))/-5)--5)+(-5*(((46.96*(46.96-(-5/-5)))*(46.96-(46.96/(-5*46.96))))-(-5/-5)))))</f>
        <v>513504.12448</v>
      </c>
      <c r="C14697" t="n" s="0">
        <v>513504.12448000006</v>
      </c>
    </row>
    <row r="14698">
      <c r="A14698" t="n" s="0">
        <v>46.97</v>
      </c>
      <c r="B14698" t="n" s="0">
        <f>(-5-((((-5*(-5/((-5/(((-5*(46.97--5))-(-5+((-5*46.97)*(((-5--5)+(46.97--5))+46.97))))-(-5+-5)))*-5)))/-5)--5)+(-5*(((46.97*(46.97-(-5/-5)))*(46.97-(46.97/(-5*46.97))))-(-5/-5)))))</f>
        <v>513833.13256500004</v>
      </c>
      <c r="C14698" t="n" s="0">
        <v>513833.1325649999</v>
      </c>
    </row>
    <row r="14699">
      <c r="A14699" t="n" s="0">
        <v>46.98</v>
      </c>
      <c r="B14699" t="n" s="0">
        <f>(-5-((((-5*(-5/((-5/(((-5*(46.98--5))-(-5+((-5*46.98)*(((-5--5)+(46.98--5))+46.98))))-(-5+-5)))*-5)))/-5)--5)+(-5*(((46.98*(46.98-(-5/-5)))*(46.98-(46.98/(-5*46.98))))-(-5/-5)))))</f>
        <v>514162.28115999995</v>
      </c>
      <c r="C14699" t="n" s="0">
        <v>514162.28115999984</v>
      </c>
    </row>
    <row r="14700">
      <c r="A14700" t="n" s="0">
        <v>46.99</v>
      </c>
      <c r="B14700" t="n" s="0">
        <f>(-5-((((-5*(-5/((-5/(((-5*(46.99--5))-(-5+((-5*46.99)*(((-5--5)+(46.99--5))+46.99))))-(-5+-5)))*-5)))/-5)--5)+(-5*(((46.99*(46.99-(-5/-5)))*(46.99-(46.99/(-5*46.99))))-(-5/-5)))))</f>
        <v>514491.57029500004</v>
      </c>
      <c r="C14700" t="n" s="0">
        <v>514491.57029500004</v>
      </c>
    </row>
    <row r="14701">
      <c r="A14701" t="n" s="0">
        <v>47.0</v>
      </c>
      <c r="B14701" t="n" s="0">
        <f>(-5-((((-5*(-5/((-5/(((-5*(47--5))-(-5+((-5*47)*(((-5--5)+(47--5))+47))))-(-5+-5)))*-5)))/-5)--5)+(-5*(((47*(47-(-5/-5)))*(47-(47/(-5*47))))-(-5/-5)))))</f>
        <v>514821.0</v>
      </c>
      <c r="C14701" t="n" s="0">
        <v>514821.0</v>
      </c>
    </row>
    <row r="14702">
      <c r="A14702" t="n" s="0">
        <v>47.01</v>
      </c>
      <c r="B14702" t="n" s="0">
        <f>(-5-((((-5*(-5/((-5/(((-5*(47.01--5))-(-5+((-5*47.01)*(((-5--5)+(47.01--5))+47.01))))-(-5+-5)))*-5)))/-5)--5)+(-5*(((47.01*(47.01-(-5/-5)))*(47.01-(47.01/(-5*47.01))))-(-5/-5)))))</f>
        <v>515150.570305</v>
      </c>
      <c r="C14702" t="n" s="0">
        <v>515150.57030499994</v>
      </c>
    </row>
    <row r="14703">
      <c r="A14703" t="n" s="0">
        <v>47.02</v>
      </c>
      <c r="B14703" t="n" s="0">
        <f>(-5-((((-5*(-5/((-5/(((-5*(47.02--5))-(-5+((-5*47.02)*(((-5--5)+(47.02--5))+47.02))))-(-5+-5)))*-5)))/-5)--5)+(-5*(((47.02*(47.02-(-5/-5)))*(47.02-(47.02/(-5*47.02))))-(-5/-5)))))</f>
        <v>515480.28124</v>
      </c>
      <c r="C14703" t="n" s="0">
        <v>515480.28124000016</v>
      </c>
    </row>
    <row r="14704">
      <c r="A14704" t="n" s="0">
        <v>47.03</v>
      </c>
      <c r="B14704" t="n" s="0">
        <f>(-5-((((-5*(-5/((-5/(((-5*(47.03--5))-(-5+((-5*47.03)*(((-5--5)+(47.03--5))+47.03))))-(-5+-5)))*-5)))/-5)--5)+(-5*(((47.03*(47.03-(-5/-5)))*(47.03-(47.03/(-5*47.03))))-(-5/-5)))))</f>
        <v>515810.132835</v>
      </c>
      <c r="C14704" t="n" s="0">
        <v>515810.13283500005</v>
      </c>
    </row>
    <row r="14705">
      <c r="A14705" t="n" s="0">
        <v>47.04</v>
      </c>
      <c r="B14705" t="n" s="0">
        <f>(-5-((((-5*(-5/((-5/(((-5*(47.04--5))-(-5+((-5*47.04)*(((-5--5)+(47.04--5))+47.04))))-(-5+-5)))*-5)))/-5)--5)+(-5*(((47.04*(47.04-(-5/-5)))*(47.04-(47.04/(-5*47.04))))-(-5/-5)))))</f>
        <v>516140.12512000004</v>
      </c>
      <c r="C14705" t="n" s="0">
        <v>516140.12512</v>
      </c>
    </row>
    <row r="14706">
      <c r="A14706" t="n" s="0">
        <v>47.05</v>
      </c>
      <c r="B14706" t="n" s="0">
        <f>(-5-((((-5*(-5/((-5/(((-5*(47.05--5))-(-5+((-5*47.05)*(((-5--5)+(47.05--5))+47.05))))-(-5+-5)))*-5)))/-5)--5)+(-5*(((47.05*(47.05-(-5/-5)))*(47.05-(47.05/(-5*47.05))))-(-5/-5)))))</f>
        <v>516470.258125</v>
      </c>
      <c r="C14706" t="n" s="0">
        <v>516470.2581249999</v>
      </c>
    </row>
    <row r="14707">
      <c r="A14707" t="n" s="0">
        <v>47.06</v>
      </c>
      <c r="B14707" t="n" s="0">
        <f>(-5-((((-5*(-5/((-5/(((-5*(47.06--5))-(-5+((-5*47.06)*(((-5--5)+(47.06--5))+47.06))))-(-5+-5)))*-5)))/-5)--5)+(-5*(((47.06*(47.06-(-5/-5)))*(47.06-(47.06/(-5*47.06))))-(-5/-5)))))</f>
        <v>516800.53188</v>
      </c>
      <c r="C14707" t="n" s="0">
        <v>516800.5318800001</v>
      </c>
    </row>
    <row r="14708">
      <c r="A14708" t="n" s="0">
        <v>47.07</v>
      </c>
      <c r="B14708" t="n" s="0">
        <f>(-5-((((-5*(-5/((-5/(((-5*(47.07--5))-(-5+((-5*47.07)*(((-5--5)+(47.07--5))+47.07))))-(-5+-5)))*-5)))/-5)--5)+(-5*(((47.07*(47.07-(-5/-5)))*(47.07-(47.07/(-5*47.07))))-(-5/-5)))))</f>
        <v>517130.946415</v>
      </c>
      <c r="C14708" t="n" s="0">
        <v>517130.9464150001</v>
      </c>
    </row>
    <row r="14709">
      <c r="A14709" t="n" s="0">
        <v>47.08</v>
      </c>
      <c r="B14709" t="n" s="0">
        <f>(-5-((((-5*(-5/((-5/(((-5*(47.08--5))-(-5+((-5*47.08)*(((-5--5)+(47.08--5))+47.08))))-(-5+-5)))*-5)))/-5)--5)+(-5*(((47.08*(47.08-(-5/-5)))*(47.08-(47.08/(-5*47.08))))-(-5/-5)))))</f>
        <v>517461.50175999996</v>
      </c>
      <c r="C14709" t="n" s="0">
        <v>517461.50175999996</v>
      </c>
    </row>
    <row r="14710">
      <c r="A14710" t="n" s="0">
        <v>47.09</v>
      </c>
      <c r="B14710" t="n" s="0">
        <f>(-5-((((-5*(-5/((-5/(((-5*(47.09--5))-(-5+((-5*47.09)*(((-5--5)+(47.09--5))+47.09))))-(-5+-5)))*-5)))/-5)--5)+(-5*(((47.09*(47.09-(-5/-5)))*(47.09-(47.09/(-5*47.09))))-(-5/-5)))))</f>
        <v>517792.19794499996</v>
      </c>
      <c r="C14710" t="n" s="0">
        <v>517792.19794500014</v>
      </c>
    </row>
    <row r="14711">
      <c r="A14711" t="n" s="0">
        <v>47.1</v>
      </c>
      <c r="B14711" t="n" s="0">
        <f>(-5-((((-5*(-5/((-5/(((-5*(47.1--5))-(-5+((-5*47.1)*(((-5--5)+(47.1--5))+47.1))))-(-5+-5)))*-5)))/-5)--5)+(-5*(((47.1*(47.1-(-5/-5)))*(47.1-(47.1/(-5*47.1))))-(-5/-5)))))</f>
        <v>518123.035</v>
      </c>
      <c r="C14711" t="n" s="0">
        <v>518123.03500000003</v>
      </c>
    </row>
    <row r="14712">
      <c r="A14712" t="n" s="0">
        <v>47.11</v>
      </c>
      <c r="B14712" t="n" s="0">
        <f>(-5-((((-5*(-5/((-5/(((-5*(47.11--5))-(-5+((-5*47.11)*(((-5--5)+(47.11--5))+47.11))))-(-5+-5)))*-5)))/-5)--5)+(-5*(((47.11*(47.11-(-5/-5)))*(47.11-(47.11/(-5*47.11))))-(-5/-5)))))</f>
        <v>518454.012955</v>
      </c>
      <c r="C14712" t="n" s="0">
        <v>518454.012955</v>
      </c>
    </row>
    <row r="14713">
      <c r="A14713" t="n" s="0">
        <v>47.12</v>
      </c>
      <c r="B14713" t="n" s="0">
        <f>(-5-((((-5*(-5/((-5/(((-5*(47.12--5))-(-5+((-5*47.12)*(((-5--5)+(47.12--5))+47.12))))-(-5+-5)))*-5)))/-5)--5)+(-5*(((47.12*(47.12-(-5/-5)))*(47.12-(47.12/(-5*47.12))))-(-5/-5)))))</f>
        <v>518785.13184</v>
      </c>
      <c r="C14713" t="n" s="0">
        <v>518785.13183999987</v>
      </c>
    </row>
    <row r="14714">
      <c r="A14714" t="n" s="0">
        <v>47.13</v>
      </c>
      <c r="B14714" t="n" s="0">
        <f>(-5-((((-5*(-5/((-5/(((-5*(47.13--5))-(-5+((-5*47.13)*(((-5--5)+(47.13--5))+47.13))))-(-5+-5)))*-5)))/-5)--5)+(-5*(((47.13*(47.13-(-5/-5)))*(47.13-(47.13/(-5*47.13))))-(-5/-5)))))</f>
        <v>519116.391685</v>
      </c>
      <c r="C14714" t="n" s="0">
        <v>519116.3916850001</v>
      </c>
    </row>
    <row r="14715">
      <c r="A14715" t="n" s="0">
        <v>47.14</v>
      </c>
      <c r="B14715" t="n" s="0">
        <f>(-5-((((-5*(-5/((-5/(((-5*(47.14--5))-(-5+((-5*47.14)*(((-5--5)+(47.14--5))+47.14))))-(-5+-5)))*-5)))/-5)--5)+(-5*(((47.14*(47.14-(-5/-5)))*(47.14-(47.14/(-5*47.14))))-(-5/-5)))))</f>
        <v>519447.79252</v>
      </c>
      <c r="C14715" t="n" s="0">
        <v>519447.79252</v>
      </c>
    </row>
    <row r="14716">
      <c r="A14716" t="n" s="0">
        <v>47.15</v>
      </c>
      <c r="B14716" t="n" s="0">
        <f>(-5-((((-5*(-5/((-5/(((-5*(47.15--5))-(-5+((-5*47.15)*(((-5--5)+(47.15--5))+47.15))))-(-5+-5)))*-5)))/-5)--5)+(-5*(((47.15*(47.15-(-5/-5)))*(47.15-(47.15/(-5*47.15))))-(-5/-5)))))</f>
        <v>519779.334375</v>
      </c>
      <c r="C14716" t="n" s="0">
        <v>519779.334375</v>
      </c>
    </row>
    <row r="14717">
      <c r="A14717" t="n" s="0">
        <v>47.16</v>
      </c>
      <c r="B14717" t="n" s="0">
        <f>(-5-((((-5*(-5/((-5/(((-5*(47.16--5))-(-5+((-5*47.16)*(((-5--5)+(47.16--5))+47.16))))-(-5+-5)))*-5)))/-5)--5)+(-5*(((47.16*(47.16-(-5/-5)))*(47.16-(47.16/(-5*47.16))))-(-5/-5)))))</f>
        <v>520111.01728</v>
      </c>
      <c r="C14717" t="n" s="0">
        <v>520111.01727999985</v>
      </c>
    </row>
    <row r="14718">
      <c r="A14718" t="n" s="0">
        <v>47.17</v>
      </c>
      <c r="B14718" t="n" s="0">
        <f>(-5-((((-5*(-5/((-5/(((-5*(47.17--5))-(-5+((-5*47.17)*(((-5--5)+(47.17--5))+47.17))))-(-5+-5)))*-5)))/-5)--5)+(-5*(((47.17*(47.17-(-5/-5)))*(47.17-(47.17/(-5*47.17))))-(-5/-5)))))</f>
        <v>520442.841265</v>
      </c>
      <c r="C14718" t="n" s="0">
        <v>520442.8412650001</v>
      </c>
    </row>
    <row r="14719">
      <c r="A14719" t="n" s="0">
        <v>47.18</v>
      </c>
      <c r="B14719" t="n" s="0">
        <f>(-5-((((-5*(-5/((-5/(((-5*(47.18--5))-(-5+((-5*47.18)*(((-5--5)+(47.18--5))+47.18))))-(-5+-5)))*-5)))/-5)--5)+(-5*(((47.18*(47.18-(-5/-5)))*(47.18-(47.18/(-5*47.18))))-(-5/-5)))))</f>
        <v>520774.80636</v>
      </c>
      <c r="C14719" t="n" s="0">
        <v>520774.80636</v>
      </c>
    </row>
    <row r="14720">
      <c r="A14720" t="n" s="0">
        <v>47.19</v>
      </c>
      <c r="B14720" t="n" s="0">
        <f>(-5-((((-5*(-5/((-5/(((-5*(47.19--5))-(-5+((-5*47.19)*(((-5--5)+(47.19--5))+47.19))))-(-5+-5)))*-5)))/-5)--5)+(-5*(((47.19*(47.19-(-5/-5)))*(47.19-(47.19/(-5*47.19))))-(-5/-5)))))</f>
        <v>521106.912595</v>
      </c>
      <c r="C14720" t="n" s="0">
        <v>521106.9125949998</v>
      </c>
    </row>
    <row r="14721">
      <c r="A14721" t="n" s="0">
        <v>47.2</v>
      </c>
      <c r="B14721" t="n" s="0">
        <f>(-5-((((-5*(-5/((-5/(((-5*(47.2--5))-(-5+((-5*47.2)*(((-5--5)+(47.2--5))+47.2))))-(-5+-5)))*-5)))/-5)--5)+(-5*(((47.2*(47.2-(-5/-5)))*(47.2-(47.2/(-5*47.2))))-(-5/-5)))))</f>
        <v>521439.16000000003</v>
      </c>
      <c r="C14721" t="n" s="0">
        <v>521439.1600000001</v>
      </c>
    </row>
    <row r="14722">
      <c r="A14722" t="n" s="0">
        <v>47.21</v>
      </c>
      <c r="B14722" t="n" s="0">
        <f>(-5-((((-5*(-5/((-5/(((-5*(47.21--5))-(-5+((-5*47.21)*(((-5--5)+(47.21--5))+47.21))))-(-5+-5)))*-5)))/-5)--5)+(-5*(((47.21*(47.21-(-5/-5)))*(47.21-(47.21/(-5*47.21))))-(-5/-5)))))</f>
        <v>521771.548605</v>
      </c>
      <c r="C14722" t="n" s="0">
        <v>521771.54860500013</v>
      </c>
    </row>
    <row r="14723">
      <c r="A14723" t="n" s="0">
        <v>47.22</v>
      </c>
      <c r="B14723" t="n" s="0">
        <f>(-5-((((-5*(-5/((-5/(((-5*(47.22--5))-(-5+((-5*47.22)*(((-5--5)+(47.22--5))+47.22))))-(-5+-5)))*-5)))/-5)--5)+(-5*(((47.22*(47.22-(-5/-5)))*(47.22-(47.22/(-5*47.22))))-(-5/-5)))))</f>
        <v>522104.07844000007</v>
      </c>
      <c r="C14723" t="n" s="0">
        <v>522104.07843999995</v>
      </c>
    </row>
    <row r="14724">
      <c r="A14724" t="n" s="0">
        <v>47.23</v>
      </c>
      <c r="B14724" t="n" s="0">
        <f>(-5-((((-5*(-5/((-5/(((-5*(47.23--5))-(-5+((-5*47.23)*(((-5--5)+(47.23--5))+47.23))))-(-5+-5)))*-5)))/-5)--5)+(-5*(((47.23*(47.23-(-5/-5)))*(47.23-(47.23/(-5*47.23))))-(-5/-5)))))</f>
        <v>522436.749535</v>
      </c>
      <c r="C14724" t="n" s="0">
        <v>522436.7495349999</v>
      </c>
    </row>
    <row r="14725">
      <c r="A14725" t="n" s="0">
        <v>47.24</v>
      </c>
      <c r="B14725" t="n" s="0">
        <f>(-5-((((-5*(-5/((-5/(((-5*(47.24--5))-(-5+((-5*47.24)*(((-5--5)+(47.24--5))+47.24))))-(-5+-5)))*-5)))/-5)--5)+(-5*(((47.24*(47.24-(-5/-5)))*(47.24-(47.24/(-5*47.24))))-(-5/-5)))))</f>
        <v>522769.56192</v>
      </c>
      <c r="C14725" t="n" s="0">
        <v>522769.56192</v>
      </c>
    </row>
    <row r="14726">
      <c r="A14726" t="n" s="0">
        <v>47.25</v>
      </c>
      <c r="B14726" t="n" s="0">
        <f>(-5-((((-5*(-5/((-5/(((-5*(47.25--5))-(-5+((-5*47.25)*(((-5--5)+(47.25--5))+47.25))))-(-5+-5)))*-5)))/-5)--5)+(-5*(((47.25*(47.25-(-5/-5)))*(47.25-(47.25/(-5*47.25))))-(-5/-5)))))</f>
        <v>523102.515625</v>
      </c>
      <c r="C14726" t="n" s="0">
        <v>523102.515625</v>
      </c>
    </row>
    <row r="14727">
      <c r="A14727" t="n" s="0">
        <v>47.26</v>
      </c>
      <c r="B14727" t="n" s="0">
        <f>(-5-((((-5*(-5/((-5/(((-5*(47.26--5))-(-5+((-5*47.26)*(((-5--5)+(47.26--5))+47.26))))-(-5+-5)))*-5)))/-5)--5)+(-5*(((47.26*(47.26-(-5/-5)))*(47.26-(47.26/(-5*47.26))))-(-5/-5)))))</f>
        <v>523435.61068</v>
      </c>
      <c r="C14727" t="n" s="0">
        <v>523435.6106799999</v>
      </c>
    </row>
    <row r="14728">
      <c r="A14728" t="n" s="0">
        <v>47.27</v>
      </c>
      <c r="B14728" t="n" s="0">
        <f>(-5-((((-5*(-5/((-5/(((-5*(47.27--5))-(-5+((-5*47.27)*(((-5--5)+(47.27--5))+47.27))))-(-5+-5)))*-5)))/-5)--5)+(-5*(((47.27*(47.27-(-5/-5)))*(47.27-(47.27/(-5*47.27))))-(-5/-5)))))</f>
        <v>523768.84711499995</v>
      </c>
      <c r="C14728" t="n" s="0">
        <v>523768.8471150001</v>
      </c>
    </row>
    <row r="14729">
      <c r="A14729" t="n" s="0">
        <v>47.28</v>
      </c>
      <c r="B14729" t="n" s="0">
        <f>(-5-((((-5*(-5/((-5/(((-5*(47.28--5))-(-5+((-5*47.28)*(((-5--5)+(47.28--5))+47.28))))-(-5+-5)))*-5)))/-5)--5)+(-5*(((47.28*(47.28-(-5/-5)))*(47.28-(47.28/(-5*47.28))))-(-5/-5)))))</f>
        <v>524102.22496</v>
      </c>
      <c r="C14729" t="n" s="0">
        <v>524102.2249600001</v>
      </c>
    </row>
    <row r="14730">
      <c r="A14730" t="n" s="0">
        <v>47.29</v>
      </c>
      <c r="B14730" t="n" s="0">
        <f>(-5-((((-5*(-5/((-5/(((-5*(47.29--5))-(-5+((-5*47.29)*(((-5--5)+(47.29--5))+47.29))))-(-5+-5)))*-5)))/-5)--5)+(-5*(((47.29*(47.29-(-5/-5)))*(47.29-(47.29/(-5*47.29))))-(-5/-5)))))</f>
        <v>524435.744245</v>
      </c>
      <c r="C14730" t="n" s="0">
        <v>524435.7442450001</v>
      </c>
    </row>
    <row r="14731">
      <c r="A14731" t="n" s="0">
        <v>47.3</v>
      </c>
      <c r="B14731" t="n" s="0">
        <f>(-5-((((-5*(-5/((-5/(((-5*(47.3--5))-(-5+((-5*47.3)*(((-5--5)+(47.3--5))+47.3))))-(-5+-5)))*-5)))/-5)--5)+(-5*(((47.3*(47.3-(-5/-5)))*(47.3-(47.3/(-5*47.3))))-(-5/-5)))))</f>
        <v>524769.405</v>
      </c>
      <c r="C14731" t="n" s="0">
        <v>524769.405</v>
      </c>
    </row>
    <row r="14732">
      <c r="A14732" t="n" s="0">
        <v>47.31</v>
      </c>
      <c r="B14732" t="n" s="0">
        <f>(-5-((((-5*(-5/((-5/(((-5*(47.31--5))-(-5+((-5*47.31)*(((-5--5)+(47.31--5))+47.31))))-(-5+-5)))*-5)))/-5)--5)+(-5*(((47.31*(47.31-(-5/-5)))*(47.31-(47.31/(-5*47.31))))-(-5/-5)))))</f>
        <v>525103.207255</v>
      </c>
      <c r="C14732" t="n" s="0">
        <v>525103.2072550001</v>
      </c>
    </row>
    <row r="14733">
      <c r="A14733" t="n" s="0">
        <v>47.32</v>
      </c>
      <c r="B14733" t="n" s="0">
        <f>(-5-((((-5*(-5/((-5/(((-5*(47.32--5))-(-5+((-5*47.32)*(((-5--5)+(47.32--5))+47.32))))-(-5+-5)))*-5)))/-5)--5)+(-5*(((47.32*(47.32-(-5/-5)))*(47.32-(47.32/(-5*47.32))))-(-5/-5)))))</f>
        <v>525437.15104</v>
      </c>
      <c r="C14733" t="n" s="0">
        <v>525437.15104</v>
      </c>
    </row>
    <row r="14734">
      <c r="A14734" t="n" s="0">
        <v>47.33</v>
      </c>
      <c r="B14734" t="n" s="0">
        <f>(-5-((((-5*(-5/((-5/(((-5*(47.33--5))-(-5+((-5*47.33)*(((-5--5)+(47.33--5))+47.33))))-(-5+-5)))*-5)))/-5)--5)+(-5*(((47.33*(47.33-(-5/-5)))*(47.33-(47.33/(-5*47.33))))-(-5/-5)))))</f>
        <v>525771.236385</v>
      </c>
      <c r="C14734" t="n" s="0">
        <v>525771.2363849999</v>
      </c>
    </row>
    <row r="14735">
      <c r="A14735" t="n" s="0">
        <v>47.34</v>
      </c>
      <c r="B14735" t="n" s="0">
        <f>(-5-((((-5*(-5/((-5/(((-5*(47.34--5))-(-5+((-5*47.34)*(((-5--5)+(47.34--5))+47.34))))-(-5+-5)))*-5)))/-5)--5)+(-5*(((47.34*(47.34-(-5/-5)))*(47.34-(47.34/(-5*47.34))))-(-5/-5)))))</f>
        <v>526105.46332</v>
      </c>
      <c r="C14735" t="n" s="0">
        <v>526105.4633200002</v>
      </c>
    </row>
    <row r="14736">
      <c r="A14736" t="n" s="0">
        <v>47.35</v>
      </c>
      <c r="B14736" t="n" s="0">
        <f>(-5-((((-5*(-5/((-5/(((-5*(47.35--5))-(-5+((-5*47.35)*(((-5--5)+(47.35--5))+47.35))))-(-5+-5)))*-5)))/-5)--5)+(-5*(((47.35*(47.35-(-5/-5)))*(47.35-(47.35/(-5*47.35))))-(-5/-5)))))</f>
        <v>526439.831875</v>
      </c>
      <c r="C14736" t="n" s="0">
        <v>526439.831875</v>
      </c>
    </row>
    <row r="14737">
      <c r="A14737" t="n" s="0">
        <v>47.36</v>
      </c>
      <c r="B14737" t="n" s="0">
        <f>(-5-((((-5*(-5/((-5/(((-5*(47.36--5))-(-5+((-5*47.36)*(((-5--5)+(47.36--5))+47.36))))-(-5+-5)))*-5)))/-5)--5)+(-5*(((47.36*(47.36-(-5/-5)))*(47.36-(47.36/(-5*47.36))))-(-5/-5)))))</f>
        <v>526774.34208</v>
      </c>
      <c r="C14737" t="n" s="0">
        <v>526774.3420799999</v>
      </c>
    </row>
    <row r="14738">
      <c r="A14738" t="n" s="0">
        <v>47.37</v>
      </c>
      <c r="B14738" t="n" s="0">
        <f>(-5-((((-5*(-5/((-5/(((-5*(47.37--5))-(-5+((-5*47.37)*(((-5--5)+(47.37--5))+47.37))))-(-5+-5)))*-5)))/-5)--5)+(-5*(((47.37*(47.37-(-5/-5)))*(47.37-(47.37/(-5*47.37))))-(-5/-5)))))</f>
        <v>527108.993965</v>
      </c>
      <c r="C14738" t="n" s="0">
        <v>527108.9939649999</v>
      </c>
    </row>
    <row r="14739">
      <c r="A14739" t="n" s="0">
        <v>47.38</v>
      </c>
      <c r="B14739" t="n" s="0">
        <f>(-5-((((-5*(-5/((-5/(((-5*(47.38--5))-(-5+((-5*47.38)*(((-5--5)+(47.38--5))+47.38))))-(-5+-5)))*-5)))/-5)--5)+(-5*(((47.38*(47.38-(-5/-5)))*(47.38-(47.38/(-5*47.38))))-(-5/-5)))))</f>
        <v>527443.7875600001</v>
      </c>
      <c r="C14739" t="n" s="0">
        <v>527443.7875600001</v>
      </c>
    </row>
    <row r="14740">
      <c r="A14740" t="n" s="0">
        <v>47.39</v>
      </c>
      <c r="B14740" t="n" s="0">
        <f>(-5-((((-5*(-5/((-5/(((-5*(47.39--5))-(-5+((-5*47.39)*(((-5--5)+(47.39--5))+47.39))))-(-5+-5)))*-5)))/-5)--5)+(-5*(((47.39*(47.39-(-5/-5)))*(47.39-(47.39/(-5*47.39))))-(-5/-5)))))</f>
        <v>527778.722895</v>
      </c>
      <c r="C14740" t="n" s="0">
        <v>527778.7228950001</v>
      </c>
    </row>
    <row r="14741">
      <c r="A14741" t="n" s="0">
        <v>47.4</v>
      </c>
      <c r="B14741" t="n" s="0">
        <f>(-5-((((-5*(-5/((-5/(((-5*(47.4--5))-(-5+((-5*47.4)*(((-5--5)+(47.4--5))+47.4))))-(-5+-5)))*-5)))/-5)--5)+(-5*(((47.4*(47.4-(-5/-5)))*(47.4-(47.4/(-5*47.4))))-(-5/-5)))))</f>
        <v>528113.8</v>
      </c>
      <c r="C14741" t="n" s="0">
        <v>528113.7999999998</v>
      </c>
    </row>
    <row r="14742">
      <c r="A14742" t="n" s="0">
        <v>47.41</v>
      </c>
      <c r="B14742" t="n" s="0">
        <f>(-5-((((-5*(-5/((-5/(((-5*(47.41--5))-(-5+((-5*47.41)*(((-5--5)+(47.41--5))+47.41))))-(-5+-5)))*-5)))/-5)--5)+(-5*(((47.41*(47.41-(-5/-5)))*(47.41-(47.41/(-5*47.41))))-(-5/-5)))))</f>
        <v>528449.0189050001</v>
      </c>
      <c r="C14742" t="n" s="0">
        <v>528449.0189049998</v>
      </c>
    </row>
    <row r="14743">
      <c r="A14743" t="n" s="0">
        <v>47.42</v>
      </c>
      <c r="B14743" t="n" s="0">
        <f>(-5-((((-5*(-5/((-5/(((-5*(47.42--5))-(-5+((-5*47.42)*(((-5--5)+(47.42--5))+47.42))))-(-5+-5)))*-5)))/-5)--5)+(-5*(((47.42*(47.42-(-5/-5)))*(47.42-(47.42/(-5*47.42))))-(-5/-5)))))</f>
        <v>528784.3796399999</v>
      </c>
      <c r="C14743" t="n" s="0">
        <v>528784.3796400002</v>
      </c>
    </row>
    <row r="14744">
      <c r="A14744" t="n" s="0">
        <v>47.43</v>
      </c>
      <c r="B14744" t="n" s="0">
        <f>(-5-((((-5*(-5/((-5/(((-5*(47.43--5))-(-5+((-5*47.43)*(((-5--5)+(47.43--5))+47.43))))-(-5+-5)))*-5)))/-5)--5)+(-5*(((47.43*(47.43-(-5/-5)))*(47.43-(47.43/(-5*47.43))))-(-5/-5)))))</f>
        <v>529119.882235</v>
      </c>
      <c r="C14744" t="n" s="0">
        <v>529119.882235</v>
      </c>
    </row>
    <row r="14745">
      <c r="A14745" t="n" s="0">
        <v>47.44</v>
      </c>
      <c r="B14745" t="n" s="0">
        <f>(-5-((((-5*(-5/((-5/(((-5*(47.44--5))-(-5+((-5*47.44)*(((-5--5)+(47.44--5))+47.44))))-(-5+-5)))*-5)))/-5)--5)+(-5*(((47.44*(47.44-(-5/-5)))*(47.44-(47.44/(-5*47.44))))-(-5/-5)))))</f>
        <v>529455.52672</v>
      </c>
      <c r="C14745" t="n" s="0">
        <v>529455.52672</v>
      </c>
    </row>
    <row r="14746">
      <c r="A14746" t="n" s="0">
        <v>47.45</v>
      </c>
      <c r="B14746" t="n" s="0">
        <f>(-5-((((-5*(-5/((-5/(((-5*(47.45--5))-(-5+((-5*47.45)*(((-5--5)+(47.45--5))+47.45))))-(-5+-5)))*-5)))/-5)--5)+(-5*(((47.45*(47.45-(-5/-5)))*(47.45-(47.45/(-5*47.45))))-(-5/-5)))))</f>
        <v>529791.3131250001</v>
      </c>
      <c r="C14746" t="n" s="0">
        <v>529791.3131250001</v>
      </c>
    </row>
    <row r="14747">
      <c r="A14747" t="n" s="0">
        <v>47.46</v>
      </c>
      <c r="B14747" t="n" s="0">
        <f>(-5-((((-5*(-5/((-5/(((-5*(47.46--5))-(-5+((-5*47.46)*(((-5--5)+(47.46--5))+47.46))))-(-5+-5)))*-5)))/-5)--5)+(-5*(((47.46*(47.46-(-5/-5)))*(47.46-(47.46/(-5*47.46))))-(-5/-5)))))</f>
        <v>530127.2414800001</v>
      </c>
      <c r="C14747" t="n" s="0">
        <v>530127.2414800001</v>
      </c>
    </row>
    <row r="14748">
      <c r="A14748" t="n" s="0">
        <v>47.47</v>
      </c>
      <c r="B14748" t="n" s="0">
        <f>(-5-((((-5*(-5/((-5/(((-5*(47.47--5))-(-5+((-5*47.47)*(((-5--5)+(47.47--5))+47.47))))-(-5+-5)))*-5)))/-5)--5)+(-5*(((47.47*(47.47-(-5/-5)))*(47.47-(47.47/(-5*47.47))))-(-5/-5)))))</f>
        <v>530463.311815</v>
      </c>
      <c r="C14748" t="n" s="0">
        <v>530463.311815</v>
      </c>
    </row>
    <row r="14749">
      <c r="A14749" t="n" s="0">
        <v>47.48</v>
      </c>
      <c r="B14749" t="n" s="0">
        <f>(-5-((((-5*(-5/((-5/(((-5*(47.48--5))-(-5+((-5*47.48)*(((-5--5)+(47.48--5))+47.48))))-(-5+-5)))*-5)))/-5)--5)+(-5*(((47.48*(47.48-(-5/-5)))*(47.48-(47.48/(-5*47.48))))-(-5/-5)))))</f>
        <v>530799.52416</v>
      </c>
      <c r="C14749" t="n" s="0">
        <v>530799.5241599999</v>
      </c>
    </row>
    <row r="14750">
      <c r="A14750" t="n" s="0">
        <v>47.49</v>
      </c>
      <c r="B14750" t="n" s="0">
        <f>(-5-((((-5*(-5/((-5/(((-5*(47.49--5))-(-5+((-5*47.49)*(((-5--5)+(47.49--5))+47.49))))-(-5+-5)))*-5)))/-5)--5)+(-5*(((47.49*(47.49-(-5/-5)))*(47.49-(47.49/(-5*47.49))))-(-5/-5)))))</f>
        <v>531135.878545</v>
      </c>
      <c r="C14750" t="n" s="0">
        <v>531135.8785450001</v>
      </c>
    </row>
    <row r="14751">
      <c r="A14751" t="n" s="0">
        <v>47.5</v>
      </c>
      <c r="B14751" t="n" s="0">
        <f>(-5-((((-5*(-5/((-5/(((-5*(47.5--5))-(-5+((-5*47.5)*(((-5--5)+(47.5--5))+47.5))))-(-5+-5)))*-5)))/-5)--5)+(-5*(((47.5*(47.5-(-5/-5)))*(47.5-(47.5/(-5*47.5))))-(-5/-5)))))</f>
        <v>531472.375</v>
      </c>
      <c r="C14751" t="n" s="0">
        <v>531472.375</v>
      </c>
    </row>
    <row r="14752">
      <c r="A14752" t="n" s="0">
        <v>47.51</v>
      </c>
      <c r="B14752" t="n" s="0">
        <f>(-5-((((-5*(-5/((-5/(((-5*(47.51--5))-(-5+((-5*47.51)*(((-5--5)+(47.51--5))+47.51))))-(-5+-5)))*-5)))/-5)--5)+(-5*(((47.51*(47.51-(-5/-5)))*(47.51-(47.51/(-5*47.51))))-(-5/-5)))))</f>
        <v>531809.013555</v>
      </c>
      <c r="C14752" t="n" s="0">
        <v>531809.013555</v>
      </c>
    </row>
    <row r="14753">
      <c r="A14753" t="n" s="0">
        <v>47.52</v>
      </c>
      <c r="B14753" t="n" s="0">
        <f>(-5-((((-5*(-5/((-5/(((-5*(47.52--5))-(-5+((-5*47.52)*(((-5--5)+(47.52--5))+47.52))))-(-5+-5)))*-5)))/-5)--5)+(-5*(((47.52*(47.52-(-5/-5)))*(47.52-(47.52/(-5*47.52))))-(-5/-5)))))</f>
        <v>532145.7942400001</v>
      </c>
      <c r="C14753" t="n" s="0">
        <v>532145.7942400002</v>
      </c>
    </row>
    <row r="14754">
      <c r="A14754" t="n" s="0">
        <v>47.53</v>
      </c>
      <c r="B14754" t="n" s="0">
        <f>(-5-((((-5*(-5/((-5/(((-5*(47.53--5))-(-5+((-5*47.53)*(((-5--5)+(47.53--5))+47.53))))-(-5+-5)))*-5)))/-5)--5)+(-5*(((47.53*(47.53-(-5/-5)))*(47.53-(47.53/(-5*47.53))))-(-5/-5)))))</f>
        <v>532482.717085</v>
      </c>
      <c r="C14754" t="n" s="0">
        <v>532482.717085</v>
      </c>
    </row>
    <row r="14755">
      <c r="A14755" t="n" s="0">
        <v>47.54</v>
      </c>
      <c r="B14755" t="n" s="0">
        <f>(-5-((((-5*(-5/((-5/(((-5*(47.54--5))-(-5+((-5*47.54)*(((-5--5)+(47.54--5))+47.54))))-(-5+-5)))*-5)))/-5)--5)+(-5*(((47.54*(47.54-(-5/-5)))*(47.54-(47.54/(-5*47.54))))-(-5/-5)))))</f>
        <v>532819.7821199999</v>
      </c>
      <c r="C14755" t="n" s="0">
        <v>532819.78212</v>
      </c>
    </row>
    <row r="14756">
      <c r="A14756" t="n" s="0">
        <v>47.55</v>
      </c>
      <c r="B14756" t="n" s="0">
        <f>(-5-((((-5*(-5/((-5/(((-5*(47.55--5))-(-5+((-5*47.55)*(((-5--5)+(47.55--5))+47.55))))-(-5+-5)))*-5)))/-5)--5)+(-5*(((47.55*(47.55-(-5/-5)))*(47.55-(47.55/(-5*47.55))))-(-5/-5)))))</f>
        <v>533156.9893750001</v>
      </c>
      <c r="C14756" t="n" s="0">
        <v>533156.9893749999</v>
      </c>
    </row>
    <row r="14757">
      <c r="A14757" t="n" s="0">
        <v>47.56</v>
      </c>
      <c r="B14757" t="n" s="0">
        <f>(-5-((((-5*(-5/((-5/(((-5*(47.56--5))-(-5+((-5*47.56)*(((-5--5)+(47.56--5))+47.56))))-(-5+-5)))*-5)))/-5)--5)+(-5*(((47.56*(47.56-(-5/-5)))*(47.56-(47.56/(-5*47.56))))-(-5/-5)))))</f>
        <v>533494.33888</v>
      </c>
      <c r="C14757" t="n" s="0">
        <v>533494.3388800002</v>
      </c>
    </row>
    <row r="14758">
      <c r="A14758" t="n" s="0">
        <v>47.57</v>
      </c>
      <c r="B14758" t="n" s="0">
        <f>(-5-((((-5*(-5/((-5/(((-5*(47.57--5))-(-5+((-5*47.57)*(((-5--5)+(47.57--5))+47.57))))-(-5+-5)))*-5)))/-5)--5)+(-5*(((47.57*(47.57-(-5/-5)))*(47.57-(47.57/(-5*47.57))))-(-5/-5)))))</f>
        <v>533831.830665</v>
      </c>
      <c r="C14758" t="n" s="0">
        <v>533831.8306649999</v>
      </c>
    </row>
    <row r="14759">
      <c r="A14759" t="n" s="0">
        <v>47.58</v>
      </c>
      <c r="B14759" t="n" s="0">
        <f>(-5-((((-5*(-5/((-5/(((-5*(47.58--5))-(-5+((-5*47.58)*(((-5--5)+(47.58--5))+47.58))))-(-5+-5)))*-5)))/-5)--5)+(-5*(((47.58*(47.58-(-5/-5)))*(47.58-(47.58/(-5*47.58))))-(-5/-5)))))</f>
        <v>534169.46476</v>
      </c>
      <c r="C14759" t="n" s="0">
        <v>534169.46476</v>
      </c>
    </row>
    <row r="14760">
      <c r="A14760" t="n" s="0">
        <v>47.59</v>
      </c>
      <c r="B14760" t="n" s="0">
        <f>(-5-((((-5*(-5/((-5/(((-5*(47.59--5))-(-5+((-5*47.59)*(((-5--5)+(47.59--5))+47.59))))-(-5+-5)))*-5)))/-5)--5)+(-5*(((47.59*(47.59-(-5/-5)))*(47.59-(47.59/(-5*47.59))))-(-5/-5)))))</f>
        <v>534507.241195</v>
      </c>
      <c r="C14760" t="n" s="0">
        <v>534507.2411950001</v>
      </c>
    </row>
    <row r="14761">
      <c r="A14761" t="n" s="0">
        <v>47.6</v>
      </c>
      <c r="B14761" t="n" s="0">
        <f>(-5-((((-5*(-5/((-5/(((-5*(47.6--5))-(-5+((-5*47.6)*(((-5--5)+(47.6--5))+47.6))))-(-5+-5)))*-5)))/-5)--5)+(-5*(((47.6*(47.6-(-5/-5)))*(47.6-(47.6/(-5*47.6))))-(-5/-5)))))</f>
        <v>534845.16</v>
      </c>
      <c r="C14761" t="n" s="0">
        <v>534845.16</v>
      </c>
    </row>
    <row r="14762">
      <c r="A14762" t="n" s="0">
        <v>47.61</v>
      </c>
      <c r="B14762" t="n" s="0">
        <f>(-5-((((-5*(-5/((-5/(((-5*(47.61--5))-(-5+((-5*47.61)*(((-5--5)+(47.61--5))+47.61))))-(-5+-5)))*-5)))/-5)--5)+(-5*(((47.61*(47.61-(-5/-5)))*(47.61-(47.61/(-5*47.61))))-(-5/-5)))))</f>
        <v>535183.221205</v>
      </c>
      <c r="C14762" t="n" s="0">
        <v>535183.221205</v>
      </c>
    </row>
    <row r="14763">
      <c r="A14763" t="n" s="0">
        <v>47.62</v>
      </c>
      <c r="B14763" t="n" s="0">
        <f>(-5-((((-5*(-5/((-5/(((-5*(47.62--5))-(-5+((-5*47.62)*(((-5--5)+(47.62--5))+47.62))))-(-5+-5)))*-5)))/-5)--5)+(-5*(((47.62*(47.62-(-5/-5)))*(47.62-(47.62/(-5*47.62))))-(-5/-5)))))</f>
        <v>535521.42484</v>
      </c>
      <c r="C14763" t="n" s="0">
        <v>535521.4248399999</v>
      </c>
    </row>
    <row r="14764">
      <c r="A14764" t="n" s="0">
        <v>47.63</v>
      </c>
      <c r="B14764" t="n" s="0">
        <f>(-5-((((-5*(-5/((-5/(((-5*(47.63--5))-(-5+((-5*47.63)*(((-5--5)+(47.63--5))+47.63))))-(-5+-5)))*-5)))/-5)--5)+(-5*(((47.63*(47.63-(-5/-5)))*(47.63-(47.63/(-5*47.63))))-(-5/-5)))))</f>
        <v>535859.7709349999</v>
      </c>
      <c r="C14764" t="n" s="0">
        <v>535859.770935</v>
      </c>
    </row>
    <row r="14765">
      <c r="A14765" t="n" s="0">
        <v>47.64</v>
      </c>
      <c r="B14765" t="n" s="0">
        <f>(-5-((((-5*(-5/((-5/(((-5*(47.64--5))-(-5+((-5*47.64)*(((-5--5)+(47.64--5))+47.64))))-(-5+-5)))*-5)))/-5)--5)+(-5*(((47.64*(47.64-(-5/-5)))*(47.64-(47.64/(-5*47.64))))-(-5/-5)))))</f>
        <v>536198.2595200001</v>
      </c>
      <c r="C14765" t="n" s="0">
        <v>536198.2595200001</v>
      </c>
    </row>
    <row r="14766">
      <c r="A14766" t="n" s="0">
        <v>47.65</v>
      </c>
      <c r="B14766" t="n" s="0">
        <f>(-5-((((-5*(-5/((-5/(((-5*(47.65--5))-(-5+((-5*47.65)*(((-5--5)+(47.65--5))+47.65))))-(-5+-5)))*-5)))/-5)--5)+(-5*(((47.65*(47.65-(-5/-5)))*(47.65-(47.65/(-5*47.65))))-(-5/-5)))))</f>
        <v>536536.890625</v>
      </c>
      <c r="C14766" t="n" s="0">
        <v>536536.8906249999</v>
      </c>
    </row>
    <row r="14767">
      <c r="A14767" t="n" s="0">
        <v>47.66</v>
      </c>
      <c r="B14767" t="n" s="0">
        <f>(-5-((((-5*(-5/((-5/(((-5*(47.66--5))-(-5+((-5*47.66)*(((-5--5)+(47.66--5))+47.66))))-(-5+-5)))*-5)))/-5)--5)+(-5*(((47.66*(47.66-(-5/-5)))*(47.66-(47.66/(-5*47.66))))-(-5/-5)))))</f>
        <v>536875.66428</v>
      </c>
      <c r="C14767" t="n" s="0">
        <v>536875.6642799999</v>
      </c>
    </row>
    <row r="14768">
      <c r="A14768" t="n" s="0">
        <v>47.67</v>
      </c>
      <c r="B14768" t="n" s="0">
        <f>(-5-((((-5*(-5/((-5/(((-5*(47.67--5))-(-5+((-5*47.67)*(((-5--5)+(47.67--5))+47.67))))-(-5+-5)))*-5)))/-5)--5)+(-5*(((47.67*(47.67-(-5/-5)))*(47.67-(47.67/(-5*47.67))))-(-5/-5)))))</f>
        <v>537214.5805149999</v>
      </c>
      <c r="C14768" t="n" s="0">
        <v>537214.580515</v>
      </c>
    </row>
    <row r="14769">
      <c r="A14769" t="n" s="0">
        <v>47.68</v>
      </c>
      <c r="B14769" t="n" s="0">
        <f>(-5-((((-5*(-5/((-5/(((-5*(47.68--5))-(-5+((-5*47.68)*(((-5--5)+(47.68--5))+47.68))))-(-5+-5)))*-5)))/-5)--5)+(-5*(((47.68*(47.68-(-5/-5)))*(47.68-(47.68/(-5*47.68))))-(-5/-5)))))</f>
        <v>537553.63936</v>
      </c>
      <c r="C14769" t="n" s="0">
        <v>537553.63936</v>
      </c>
    </row>
    <row r="14770">
      <c r="A14770" t="n" s="0">
        <v>47.69</v>
      </c>
      <c r="B14770" t="n" s="0">
        <f>(-5-((((-5*(-5/((-5/(((-5*(47.69--5))-(-5+((-5*47.69)*(((-5--5)+(47.69--5))+47.69))))-(-5+-5)))*-5)))/-5)--5)+(-5*(((47.69*(47.69-(-5/-5)))*(47.69-(47.69/(-5*47.69))))-(-5/-5)))))</f>
        <v>537892.840845</v>
      </c>
      <c r="C14770" t="n" s="0">
        <v>537892.8408449999</v>
      </c>
    </row>
    <row r="14771">
      <c r="A14771" t="n" s="0">
        <v>47.7</v>
      </c>
      <c r="B14771" t="n" s="0">
        <f>(-5-((((-5*(-5/((-5/(((-5*(47.7--5))-(-5+((-5*47.7)*(((-5--5)+(47.7--5))+47.7))))-(-5+-5)))*-5)))/-5)--5)+(-5*(((47.7*(47.7-(-5/-5)))*(47.7-(47.7/(-5*47.7))))-(-5/-5)))))</f>
        <v>538232.185</v>
      </c>
      <c r="C14771" t="n" s="0">
        <v>538232.185</v>
      </c>
    </row>
    <row r="14772">
      <c r="A14772" t="n" s="0">
        <v>47.71</v>
      </c>
      <c r="B14772" t="n" s="0">
        <f>(-5-((((-5*(-5/((-5/(((-5*(47.71--5))-(-5+((-5*47.71)*(((-5--5)+(47.71--5))+47.71))))-(-5+-5)))*-5)))/-5)--5)+(-5*(((47.71*(47.71-(-5/-5)))*(47.71-(47.71/(-5*47.71))))-(-5/-5)))))</f>
        <v>538571.671855</v>
      </c>
      <c r="C14772" t="n" s="0">
        <v>538571.6718550001</v>
      </c>
    </row>
    <row r="14773">
      <c r="A14773" t="n" s="0">
        <v>47.72</v>
      </c>
      <c r="B14773" t="n" s="0">
        <f>(-5-((((-5*(-5/((-5/(((-5*(47.72--5))-(-5+((-5*47.72)*(((-5--5)+(47.72--5))+47.72))))-(-5+-5)))*-5)))/-5)--5)+(-5*(((47.72*(47.72-(-5/-5)))*(47.72-(47.72/(-5*47.72))))-(-5/-5)))))</f>
        <v>538911.30144</v>
      </c>
      <c r="C14773" t="n" s="0">
        <v>538911.30144</v>
      </c>
    </row>
    <row r="14774">
      <c r="A14774" t="n" s="0">
        <v>47.73</v>
      </c>
      <c r="B14774" t="n" s="0">
        <f>(-5-((((-5*(-5/((-5/(((-5*(47.73--5))-(-5+((-5*47.73)*(((-5--5)+(47.73--5))+47.73))))-(-5+-5)))*-5)))/-5)--5)+(-5*(((47.73*(47.73-(-5/-5)))*(47.73-(47.73/(-5*47.73))))-(-5/-5)))))</f>
        <v>539251.073785</v>
      </c>
      <c r="C14774" t="n" s="0">
        <v>539251.0737849999</v>
      </c>
    </row>
    <row r="14775">
      <c r="A14775" t="n" s="0">
        <v>47.74</v>
      </c>
      <c r="B14775" t="n" s="0">
        <f>(-5-((((-5*(-5/((-5/(((-5*(47.74--5))-(-5+((-5*47.74)*(((-5--5)+(47.74--5))+47.74))))-(-5+-5)))*-5)))/-5)--5)+(-5*(((47.74*(47.74-(-5/-5)))*(47.74-(47.74/(-5*47.74))))-(-5/-5)))))</f>
        <v>539590.9889199999</v>
      </c>
      <c r="C14775" t="n" s="0">
        <v>539590.98892</v>
      </c>
    </row>
    <row r="14776">
      <c r="A14776" t="n" s="0">
        <v>47.75</v>
      </c>
      <c r="B14776" t="n" s="0">
        <f>(-5-((((-5*(-5/((-5/(((-5*(47.75--5))-(-5+((-5*47.75)*(((-5--5)+(47.75--5))+47.75))))-(-5+-5)))*-5)))/-5)--5)+(-5*(((47.75*(47.75-(-5/-5)))*(47.75-(47.75/(-5*47.75))))-(-5/-5)))))</f>
        <v>539931.046875</v>
      </c>
      <c r="C14776" t="n" s="0">
        <v>539931.046875</v>
      </c>
    </row>
    <row r="14777">
      <c r="A14777" t="n" s="0">
        <v>47.76</v>
      </c>
      <c r="B14777" t="n" s="0">
        <f>(-5-((((-5*(-5/((-5/(((-5*(47.76--5))-(-5+((-5*47.76)*(((-5--5)+(47.76--5))+47.76))))-(-5+-5)))*-5)))/-5)--5)+(-5*(((47.76*(47.76-(-5/-5)))*(47.76-(47.76/(-5*47.76))))-(-5/-5)))))</f>
        <v>540271.2476799999</v>
      </c>
      <c r="C14777" t="n" s="0">
        <v>540271.2476799999</v>
      </c>
    </row>
    <row r="14778">
      <c r="A14778" t="n" s="0">
        <v>47.77</v>
      </c>
      <c r="B14778" t="n" s="0">
        <f>(-5-((((-5*(-5/((-5/(((-5*(47.77--5))-(-5+((-5*47.77)*(((-5--5)+(47.77--5))+47.77))))-(-5+-5)))*-5)))/-5)--5)+(-5*(((47.77*(47.77-(-5/-5)))*(47.77-(47.77/(-5*47.77))))-(-5/-5)))))</f>
        <v>540611.5913650001</v>
      </c>
      <c r="C14778" t="n" s="0">
        <v>540611.5913650002</v>
      </c>
    </row>
    <row r="14779">
      <c r="A14779" t="n" s="0">
        <v>47.78</v>
      </c>
      <c r="B14779" t="n" s="0">
        <f>(-5-((((-5*(-5/((-5/(((-5*(47.78--5))-(-5+((-5*47.78)*(((-5--5)+(47.78--5))+47.78))))-(-5+-5)))*-5)))/-5)--5)+(-5*(((47.78*(47.78-(-5/-5)))*(47.78-(47.78/(-5*47.78))))-(-5/-5)))))</f>
        <v>540952.07796</v>
      </c>
      <c r="C14779" t="n" s="0">
        <v>540952.07796</v>
      </c>
    </row>
    <row r="14780">
      <c r="A14780" t="n" s="0">
        <v>47.79</v>
      </c>
      <c r="B14780" t="n" s="0">
        <f>(-5-((((-5*(-5/((-5/(((-5*(47.79--5))-(-5+((-5*47.79)*(((-5--5)+(47.79--5))+47.79))))-(-5+-5)))*-5)))/-5)--5)+(-5*(((47.79*(47.79-(-5/-5)))*(47.79-(47.79/(-5*47.79))))-(-5/-5)))))</f>
        <v>541292.707495</v>
      </c>
      <c r="C14780" t="n" s="0">
        <v>541292.7074949999</v>
      </c>
    </row>
    <row r="14781">
      <c r="A14781" t="n" s="0">
        <v>47.8</v>
      </c>
      <c r="B14781" t="n" s="0">
        <f>(-5-((((-5*(-5/((-5/(((-5*(47.8--5))-(-5+((-5*47.8)*(((-5--5)+(47.8--5))+47.8))))-(-5+-5)))*-5)))/-5)--5)+(-5*(((47.8*(47.8-(-5/-5)))*(47.8-(47.8/(-5*47.8))))-(-5/-5)))))</f>
        <v>541633.48</v>
      </c>
      <c r="C14781" t="n" s="0">
        <v>541633.4799999999</v>
      </c>
    </row>
    <row r="14782">
      <c r="A14782" t="n" s="0">
        <v>47.81</v>
      </c>
      <c r="B14782" t="n" s="0">
        <f>(-5-((((-5*(-5/((-5/(((-5*(47.81--5))-(-5+((-5*47.81)*(((-5--5)+(47.81--5))+47.81))))-(-5+-5)))*-5)))/-5)--5)+(-5*(((47.81*(47.81-(-5/-5)))*(47.81-(47.81/(-5*47.81))))-(-5/-5)))))</f>
        <v>541974.3955049999</v>
      </c>
      <c r="C14782" t="n" s="0">
        <v>541974.3955050001</v>
      </c>
    </row>
    <row r="14783">
      <c r="A14783" t="n" s="0">
        <v>47.82</v>
      </c>
      <c r="B14783" t="n" s="0">
        <f>(-5-((((-5*(-5/((-5/(((-5*(47.82--5))-(-5+((-5*47.82)*(((-5--5)+(47.82--5))+47.82))))-(-5+-5)))*-5)))/-5)--5)+(-5*(((47.82*(47.82-(-5/-5)))*(47.82-(47.82/(-5*47.82))))-(-5/-5)))))</f>
        <v>542315.45404</v>
      </c>
      <c r="C14783" t="n" s="0">
        <v>542315.45404</v>
      </c>
    </row>
    <row r="14784">
      <c r="A14784" t="n" s="0">
        <v>47.83</v>
      </c>
      <c r="B14784" t="n" s="0">
        <f>(-5-((((-5*(-5/((-5/(((-5*(47.83--5))-(-5+((-5*47.83)*(((-5--5)+(47.83--5))+47.83))))-(-5+-5)))*-5)))/-5)--5)+(-5*(((47.83*(47.83-(-5/-5)))*(47.83-(47.83/(-5*47.83))))-(-5/-5)))))</f>
        <v>542656.655635</v>
      </c>
      <c r="C14784" t="n" s="0">
        <v>542656.6556349999</v>
      </c>
    </row>
    <row r="14785">
      <c r="A14785" t="n" s="0">
        <v>47.84</v>
      </c>
      <c r="B14785" t="n" s="0">
        <f>(-5-((((-5*(-5/((-5/(((-5*(47.84--5))-(-5+((-5*47.84)*(((-5--5)+(47.84--5))+47.84))))-(-5+-5)))*-5)))/-5)--5)+(-5*(((47.84*(47.84-(-5/-5)))*(47.84-(47.84/(-5*47.84))))-(-5/-5)))))</f>
        <v>542998.00032</v>
      </c>
      <c r="C14785" t="n" s="0">
        <v>542998.0003200001</v>
      </c>
    </row>
    <row r="14786">
      <c r="A14786" t="n" s="0">
        <v>47.85</v>
      </c>
      <c r="B14786" t="n" s="0">
        <f>(-5-((((-5*(-5/((-5/(((-5*(47.85--5))-(-5+((-5*47.85)*(((-5--5)+(47.85--5))+47.85))))-(-5+-5)))*-5)))/-5)--5)+(-5*(((47.85*(47.85-(-5/-5)))*(47.85-(47.85/(-5*47.85))))-(-5/-5)))))</f>
        <v>543339.488125</v>
      </c>
      <c r="C14786" t="n" s="0">
        <v>543339.4881250001</v>
      </c>
    </row>
    <row r="14787">
      <c r="A14787" t="n" s="0">
        <v>47.86</v>
      </c>
      <c r="B14787" t="n" s="0">
        <f>(-5-((((-5*(-5/((-5/(((-5*(47.86--5))-(-5+((-5*47.86)*(((-5--5)+(47.86--5))+47.86))))-(-5+-5)))*-5)))/-5)--5)+(-5*(((47.86*(47.86-(-5/-5)))*(47.86-(47.86/(-5*47.86))))-(-5/-5)))))</f>
        <v>543681.1190800001</v>
      </c>
      <c r="C14787" t="n" s="0">
        <v>543681.11908</v>
      </c>
    </row>
    <row r="14788">
      <c r="A14788" t="n" s="0">
        <v>47.87</v>
      </c>
      <c r="B14788" t="n" s="0">
        <f>(-5-((((-5*(-5/((-5/(((-5*(47.87--5))-(-5+((-5*47.87)*(((-5--5)+(47.87--5))+47.87))))-(-5+-5)))*-5)))/-5)--5)+(-5*(((47.87*(47.87-(-5/-5)))*(47.87-(47.87/(-5*47.87))))-(-5/-5)))))</f>
        <v>544022.893215</v>
      </c>
      <c r="C14788" t="n" s="0">
        <v>544022.8932149999</v>
      </c>
    </row>
    <row r="14789">
      <c r="A14789" t="n" s="0">
        <v>47.88</v>
      </c>
      <c r="B14789" t="n" s="0">
        <f>(-5-((((-5*(-5/((-5/(((-5*(47.88--5))-(-5+((-5*47.88)*(((-5--5)+(47.88--5))+47.88))))-(-5+-5)))*-5)))/-5)--5)+(-5*(((47.88*(47.88-(-5/-5)))*(47.88-(47.88/(-5*47.88))))-(-5/-5)))))</f>
        <v>544364.8105599999</v>
      </c>
      <c r="C14789" t="n" s="0">
        <v>544364.81056</v>
      </c>
    </row>
    <row r="14790">
      <c r="A14790" t="n" s="0">
        <v>47.89</v>
      </c>
      <c r="B14790" t="n" s="0">
        <f>(-5-((((-5*(-5/((-5/(((-5*(47.89--5))-(-5+((-5*47.89)*(((-5--5)+(47.89--5))+47.89))))-(-5+-5)))*-5)))/-5)--5)+(-5*(((47.89*(47.89-(-5/-5)))*(47.89-(47.89/(-5*47.89))))-(-5/-5)))))</f>
        <v>544706.8711450001</v>
      </c>
      <c r="C14790" t="n" s="0">
        <v>544706.8711450001</v>
      </c>
    </row>
    <row r="14791">
      <c r="A14791" t="n" s="0">
        <v>47.9</v>
      </c>
      <c r="B14791" t="n" s="0">
        <f>(-5-((((-5*(-5/((-5/(((-5*(47.9--5))-(-5+((-5*47.9)*(((-5--5)+(47.9--5))+47.9))))-(-5+-5)))*-5)))/-5)--5)+(-5*(((47.9*(47.9-(-5/-5)))*(47.9-(47.9/(-5*47.9))))-(-5/-5)))))</f>
        <v>545049.0750000001</v>
      </c>
      <c r="C14791" t="n" s="0">
        <v>545049.075</v>
      </c>
    </row>
    <row r="14792">
      <c r="A14792" t="n" s="0">
        <v>47.91</v>
      </c>
      <c r="B14792" t="n" s="0">
        <f>(-5-((((-5*(-5/((-5/(((-5*(47.91--5))-(-5+((-5*47.91)*(((-5--5)+(47.91--5))+47.91))))-(-5+-5)))*-5)))/-5)--5)+(-5*(((47.91*(47.91-(-5/-5)))*(47.91-(47.91/(-5*47.91))))-(-5/-5)))))</f>
        <v>545391.422155</v>
      </c>
      <c r="C14792" t="n" s="0">
        <v>545391.4221549998</v>
      </c>
    </row>
    <row r="14793">
      <c r="A14793" t="n" s="0">
        <v>47.92</v>
      </c>
      <c r="B14793" t="n" s="0">
        <f>(-5-((((-5*(-5/((-5/(((-5*(47.92--5))-(-5+((-5*47.92)*(((-5--5)+(47.92--5))+47.92))))-(-5+-5)))*-5)))/-5)--5)+(-5*(((47.92*(47.92-(-5/-5)))*(47.92-(47.92/(-5*47.92))))-(-5/-5)))))</f>
        <v>545733.91264</v>
      </c>
      <c r="C14793" t="n" s="0">
        <v>545733.91264</v>
      </c>
    </row>
    <row r="14794">
      <c r="A14794" t="n" s="0">
        <v>47.93</v>
      </c>
      <c r="B14794" t="n" s="0">
        <f>(-5-((((-5*(-5/((-5/(((-5*(47.93--5))-(-5+((-5*47.93)*(((-5--5)+(47.93--5))+47.93))))-(-5+-5)))*-5)))/-5)--5)+(-5*(((47.93*(47.93-(-5/-5)))*(47.93-(47.93/(-5*47.93))))-(-5/-5)))))</f>
        <v>546076.546485</v>
      </c>
      <c r="C14794" t="n" s="0">
        <v>546076.5464849999</v>
      </c>
    </row>
    <row r="14795">
      <c r="A14795" t="n" s="0">
        <v>47.94</v>
      </c>
      <c r="B14795" t="n" s="0">
        <f>(-5-((((-5*(-5/((-5/(((-5*(47.94--5))-(-5+((-5*47.94)*(((-5--5)+(47.94--5))+47.94))))-(-5+-5)))*-5)))/-5)--5)+(-5*(((47.94*(47.94-(-5/-5)))*(47.94-(47.94/(-5*47.94))))-(-5/-5)))))</f>
        <v>546419.32372</v>
      </c>
      <c r="C14795" t="n" s="0">
        <v>546419.3237199999</v>
      </c>
    </row>
    <row r="14796">
      <c r="A14796" t="n" s="0">
        <v>47.95</v>
      </c>
      <c r="B14796" t="n" s="0">
        <f>(-5-((((-5*(-5/((-5/(((-5*(47.95--5))-(-5+((-5*47.95)*(((-5--5)+(47.95--5))+47.95))))-(-5+-5)))*-5)))/-5)--5)+(-5*(((47.95*(47.95-(-5/-5)))*(47.95-(47.95/(-5*47.95))))-(-5/-5)))))</f>
        <v>546762.244375</v>
      </c>
      <c r="C14796" t="n" s="0">
        <v>546762.244375</v>
      </c>
    </row>
    <row r="14797">
      <c r="A14797" t="n" s="0">
        <v>47.96</v>
      </c>
      <c r="B14797" t="n" s="0">
        <f>(-5-((((-5*(-5/((-5/(((-5*(47.96--5))-(-5+((-5*47.96)*(((-5--5)+(47.96--5))+47.96))))-(-5+-5)))*-5)))/-5)--5)+(-5*(((47.96*(47.96-(-5/-5)))*(47.96-(47.96/(-5*47.96))))-(-5/-5)))))</f>
        <v>547105.30848</v>
      </c>
      <c r="C14797" t="n" s="0">
        <v>547105.3084800001</v>
      </c>
    </row>
    <row r="14798">
      <c r="A14798" t="n" s="0">
        <v>47.97</v>
      </c>
      <c r="B14798" t="n" s="0">
        <f>(-5-((((-5*(-5/((-5/(((-5*(47.97--5))-(-5+((-5*47.97)*(((-5--5)+(47.97--5))+47.97))))-(-5+-5)))*-5)))/-5)--5)+(-5*(((47.97*(47.97-(-5/-5)))*(47.97-(47.97/(-5*47.97))))-(-5/-5)))))</f>
        <v>547448.516065</v>
      </c>
      <c r="C14798" t="n" s="0">
        <v>547448.5160650001</v>
      </c>
    </row>
    <row r="14799">
      <c r="A14799" t="n" s="0">
        <v>47.98</v>
      </c>
      <c r="B14799" t="n" s="0">
        <f>(-5-((((-5*(-5/((-5/(((-5*(47.98--5))-(-5+((-5*47.98)*(((-5--5)+(47.98--5))+47.98))))-(-5+-5)))*-5)))/-5)--5)+(-5*(((47.98*(47.98-(-5/-5)))*(47.98-(47.98/(-5*47.98))))-(-5/-5)))))</f>
        <v>547791.86716</v>
      </c>
      <c r="C14799" t="n" s="0">
        <v>547791.8671599999</v>
      </c>
    </row>
    <row r="14800">
      <c r="A14800" t="n" s="0">
        <v>47.99</v>
      </c>
      <c r="B14800" t="n" s="0">
        <f>(-5-((((-5*(-5/((-5/(((-5*(47.99--5))-(-5+((-5*47.99)*(((-5--5)+(47.99--5))+47.99))))-(-5+-5)))*-5)))/-5)--5)+(-5*(((47.99*(47.99-(-5/-5)))*(47.99-(47.99/(-5*47.99))))-(-5/-5)))))</f>
        <v>548135.361795</v>
      </c>
      <c r="C14800" t="n" s="0">
        <v>548135.361795</v>
      </c>
    </row>
    <row r="14801">
      <c r="A14801" t="n" s="0">
        <v>48.0</v>
      </c>
      <c r="B14801" t="n" s="0">
        <f>(-5-((((-5*(-5/((-5/(((-5*(48--5))-(-5+((-5*48)*(((-5--5)+(48--5))+48))))-(-5+-5)))*-5)))/-5)--5)+(-5*(((48*(48-(-5/-5)))*(48-(48/(-5*48))))-(-5/-5)))))</f>
        <v>548479.0</v>
      </c>
      <c r="C14801" t="n" s="0">
        <v>548479.0</v>
      </c>
    </row>
    <row r="14802">
      <c r="A14802" t="n" s="0">
        <v>48.01</v>
      </c>
      <c r="B14802" t="n" s="0">
        <f>(-5-((((-5*(-5/((-5/(((-5*(48.01--5))-(-5+((-5*48.01)*(((-5--5)+(48.01--5))+48.01))))-(-5+-5)))*-5)))/-5)--5)+(-5*(((48.01*(48.01-(-5/-5)))*(48.01-(48.01/(-5*48.01))))-(-5/-5)))))</f>
        <v>548822.7818049999</v>
      </c>
      <c r="C14802" t="n" s="0">
        <v>548822.7818049999</v>
      </c>
    </row>
    <row r="14803">
      <c r="A14803" t="n" s="0">
        <v>48.02</v>
      </c>
      <c r="B14803" t="n" s="0">
        <f>(-5-((((-5*(-5/((-5/(((-5*(48.02--5))-(-5+((-5*48.02)*(((-5--5)+(48.02--5))+48.02))))-(-5+-5)))*-5)))/-5)--5)+(-5*(((48.02*(48.02-(-5/-5)))*(48.02-(48.02/(-5*48.02))))-(-5/-5)))))</f>
        <v>549166.70724</v>
      </c>
      <c r="C14803" t="n" s="0">
        <v>549166.7072400001</v>
      </c>
    </row>
    <row r="14804">
      <c r="A14804" t="n" s="0">
        <v>48.03</v>
      </c>
      <c r="B14804" t="n" s="0">
        <f>(-5-((((-5*(-5/((-5/(((-5*(48.03--5))-(-5+((-5*48.03)*(((-5--5)+(48.03--5))+48.03))))-(-5+-5)))*-5)))/-5)--5)+(-5*(((48.03*(48.03-(-5/-5)))*(48.03-(48.03/(-5*48.03))))-(-5/-5)))))</f>
        <v>549510.776335</v>
      </c>
      <c r="C14804" t="n" s="0">
        <v>549510.776335</v>
      </c>
    </row>
    <row r="14805">
      <c r="A14805" t="n" s="0">
        <v>48.04</v>
      </c>
      <c r="B14805" t="n" s="0">
        <f>(-5-((((-5*(-5/((-5/(((-5*(48.04--5))-(-5+((-5*48.04)*(((-5--5)+(48.04--5))+48.04))))-(-5+-5)))*-5)))/-5)--5)+(-5*(((48.04*(48.04-(-5/-5)))*(48.04-(48.04/(-5*48.04))))-(-5/-5)))))</f>
        <v>549854.98912</v>
      </c>
      <c r="C14805" t="n" s="0">
        <v>549854.9891199999</v>
      </c>
    </row>
    <row r="14806">
      <c r="A14806" t="n" s="0">
        <v>48.05</v>
      </c>
      <c r="B14806" t="n" s="0">
        <f>(-5-((((-5*(-5/((-5/(((-5*(48.05--5))-(-5+((-5*48.05)*(((-5--5)+(48.05--5))+48.05))))-(-5+-5)))*-5)))/-5)--5)+(-5*(((48.05*(48.05-(-5/-5)))*(48.05-(48.05/(-5*48.05))))-(-5/-5)))))</f>
        <v>550199.3456250001</v>
      </c>
      <c r="C14806" t="n" s="0">
        <v>550199.345625</v>
      </c>
    </row>
    <row r="14807">
      <c r="A14807" t="n" s="0">
        <v>48.06</v>
      </c>
      <c r="B14807" t="n" s="0">
        <f>(-5-((((-5*(-5/((-5/(((-5*(48.06--5))-(-5+((-5*48.06)*(((-5--5)+(48.06--5))+48.06))))-(-5+-5)))*-5)))/-5)--5)+(-5*(((48.06*(48.06-(-5/-5)))*(48.06-(48.06/(-5*48.06))))-(-5/-5)))))</f>
        <v>550543.84588</v>
      </c>
      <c r="C14807" t="n" s="0">
        <v>550543.8458800002</v>
      </c>
    </row>
    <row r="14808">
      <c r="A14808" t="n" s="0">
        <v>48.07</v>
      </c>
      <c r="B14808" t="n" s="0">
        <f>(-5-((((-5*(-5/((-5/(((-5*(48.07--5))-(-5+((-5*48.07)*(((-5--5)+(48.07--5))+48.07))))-(-5+-5)))*-5)))/-5)--5)+(-5*(((48.07*(48.07-(-5/-5)))*(48.07-(48.07/(-5*48.07))))-(-5/-5)))))</f>
        <v>550888.4899149999</v>
      </c>
      <c r="C14808" t="n" s="0">
        <v>550888.489915</v>
      </c>
    </row>
    <row r="14809">
      <c r="A14809" t="n" s="0">
        <v>48.08</v>
      </c>
      <c r="B14809" t="n" s="0">
        <f>(-5-((((-5*(-5/((-5/(((-5*(48.08--5))-(-5+((-5*48.08)*(((-5--5)+(48.08--5))+48.08))))-(-5+-5)))*-5)))/-5)--5)+(-5*(((48.08*(48.08-(-5/-5)))*(48.08-(48.08/(-5*48.08))))-(-5/-5)))))</f>
        <v>551233.2777600001</v>
      </c>
      <c r="C14809" t="n" s="0">
        <v>551233.27776</v>
      </c>
    </row>
    <row r="14810">
      <c r="A14810" t="n" s="0">
        <v>48.09</v>
      </c>
      <c r="B14810" t="n" s="0">
        <f>(-5-((((-5*(-5/((-5/(((-5*(48.09--5))-(-5+((-5*48.09)*(((-5--5)+(48.09--5))+48.09))))-(-5+-5)))*-5)))/-5)--5)+(-5*(((48.09*(48.09-(-5/-5)))*(48.09-(48.09/(-5*48.09))))-(-5/-5)))))</f>
        <v>551578.2094449999</v>
      </c>
      <c r="C14810" t="n" s="0">
        <v>551578.2094450002</v>
      </c>
    </row>
    <row r="14811">
      <c r="A14811" t="n" s="0">
        <v>48.1</v>
      </c>
      <c r="B14811" t="n" s="0">
        <f>(-5-((((-5*(-5/((-5/(((-5*(48.1--5))-(-5+((-5*48.1)*(((-5--5)+(48.1--5))+48.1))))-(-5+-5)))*-5)))/-5)--5)+(-5*(((48.1*(48.1-(-5/-5)))*(48.1-(48.1/(-5*48.1))))-(-5/-5)))))</f>
        <v>551923.285</v>
      </c>
      <c r="C14811" t="n" s="0">
        <v>551923.2850000001</v>
      </c>
    </row>
    <row r="14812">
      <c r="A14812" t="n" s="0">
        <v>48.11</v>
      </c>
      <c r="B14812" t="n" s="0">
        <f>(-5-((((-5*(-5/((-5/(((-5*(48.11--5))-(-5+((-5*48.11)*(((-5--5)+(48.11--5))+48.11))))-(-5+-5)))*-5)))/-5)--5)+(-5*(((48.11*(48.11-(-5/-5)))*(48.11-(48.11/(-5*48.11))))-(-5/-5)))))</f>
        <v>552268.504455</v>
      </c>
      <c r="C14812" t="n" s="0">
        <v>552268.504455</v>
      </c>
    </row>
    <row r="14813">
      <c r="A14813" t="n" s="0">
        <v>48.12</v>
      </c>
      <c r="B14813" t="n" s="0">
        <f>(-5-((((-5*(-5/((-5/(((-5*(48.12--5))-(-5+((-5*48.12)*(((-5--5)+(48.12--5))+48.12))))-(-5+-5)))*-5)))/-5)--5)+(-5*(((48.12*(48.12-(-5/-5)))*(48.12-(48.12/(-5*48.12))))-(-5/-5)))))</f>
        <v>552613.86784</v>
      </c>
      <c r="C14813" t="n" s="0">
        <v>552613.8678399998</v>
      </c>
    </row>
    <row r="14814">
      <c r="A14814" t="n" s="0">
        <v>48.13</v>
      </c>
      <c r="B14814" t="n" s="0">
        <f>(-5-((((-5*(-5/((-5/(((-5*(48.13--5))-(-5+((-5*48.13)*(((-5--5)+(48.13--5))+48.13))))-(-5+-5)))*-5)))/-5)--5)+(-5*(((48.13*(48.13-(-5/-5)))*(48.13-(48.13/(-5*48.13))))-(-5/-5)))))</f>
        <v>552959.3751850001</v>
      </c>
      <c r="C14814" t="n" s="0">
        <v>552959.375185</v>
      </c>
    </row>
    <row r="14815">
      <c r="A14815" t="n" s="0">
        <v>48.14</v>
      </c>
      <c r="B14815" t="n" s="0">
        <f>(-5-((((-5*(-5/((-5/(((-5*(48.14--5))-(-5+((-5*48.14)*(((-5--5)+(48.14--5))+48.14))))-(-5+-5)))*-5)))/-5)--5)+(-5*(((48.14*(48.14-(-5/-5)))*(48.14-(48.14/(-5*48.14))))-(-5/-5)))))</f>
        <v>553305.0265200001</v>
      </c>
      <c r="C14815" t="n" s="0">
        <v>553305.0265200001</v>
      </c>
    </row>
    <row r="14816">
      <c r="A14816" t="n" s="0">
        <v>48.15</v>
      </c>
      <c r="B14816" t="n" s="0">
        <f>(-5-((((-5*(-5/((-5/(((-5*(48.15--5))-(-5+((-5*48.15)*(((-5--5)+(48.15--5))+48.15))))-(-5+-5)))*-5)))/-5)--5)+(-5*(((48.15*(48.15-(-5/-5)))*(48.15-(48.15/(-5*48.15))))-(-5/-5)))))</f>
        <v>553650.821875</v>
      </c>
      <c r="C14816" t="n" s="0">
        <v>553650.8218749999</v>
      </c>
    </row>
    <row r="14817">
      <c r="A14817" t="n" s="0">
        <v>48.16</v>
      </c>
      <c r="B14817" t="n" s="0">
        <f>(-5-((((-5*(-5/((-5/(((-5*(48.16--5))-(-5+((-5*48.16)*(((-5--5)+(48.16--5))+48.16))))-(-5+-5)))*-5)))/-5)--5)+(-5*(((48.16*(48.16-(-5/-5)))*(48.16-(48.16/(-5*48.16))))-(-5/-5)))))</f>
        <v>553996.76128</v>
      </c>
      <c r="C14817" t="n" s="0">
        <v>553996.7612799999</v>
      </c>
    </row>
    <row r="14818">
      <c r="A14818" t="n" s="0">
        <v>48.17</v>
      </c>
      <c r="B14818" t="n" s="0">
        <f>(-5-((((-5*(-5/((-5/(((-5*(48.17--5))-(-5+((-5*48.17)*(((-5--5)+(48.17--5))+48.17))))-(-5+-5)))*-5)))/-5)--5)+(-5*(((48.17*(48.17-(-5/-5)))*(48.17-(48.17/(-5*48.17))))-(-5/-5)))))</f>
        <v>554342.844765</v>
      </c>
      <c r="C14818" t="n" s="0">
        <v>554342.844765</v>
      </c>
    </row>
    <row r="14819">
      <c r="A14819" t="n" s="0">
        <v>48.18</v>
      </c>
      <c r="B14819" t="n" s="0">
        <f>(-5-((((-5*(-5/((-5/(((-5*(48.18--5))-(-5+((-5*48.18)*(((-5--5)+(48.18--5))+48.18))))-(-5+-5)))*-5)))/-5)--5)+(-5*(((48.18*(48.18-(-5/-5)))*(48.18-(48.18/(-5*48.18))))-(-5/-5)))))</f>
        <v>554689.07236</v>
      </c>
      <c r="C14819" t="n" s="0">
        <v>554689.07236</v>
      </c>
    </row>
    <row r="14820">
      <c r="A14820" t="n" s="0">
        <v>48.19</v>
      </c>
      <c r="B14820" t="n" s="0">
        <f>(-5-((((-5*(-5/((-5/(((-5*(48.19--5))-(-5+((-5*48.19)*(((-5--5)+(48.19--5))+48.19))))-(-5+-5)))*-5)))/-5)--5)+(-5*(((48.19*(48.19-(-5/-5)))*(48.19-(48.19/(-5*48.19))))-(-5/-5)))))</f>
        <v>555035.4440949999</v>
      </c>
      <c r="C14820" t="n" s="0">
        <v>555035.4440949998</v>
      </c>
    </row>
    <row r="14821">
      <c r="A14821" t="n" s="0">
        <v>48.2</v>
      </c>
      <c r="B14821" t="n" s="0">
        <f>(-5-((((-5*(-5/((-5/(((-5*(48.2--5))-(-5+((-5*48.2)*(((-5--5)+(48.2--5))+48.2))))-(-5+-5)))*-5)))/-5)--5)+(-5*(((48.2*(48.2-(-5/-5)))*(48.2-(48.2/(-5*48.2))))-(-5/-5)))))</f>
        <v>555381.9600000001</v>
      </c>
      <c r="C14821" t="n" s="0">
        <v>555381.9600000001</v>
      </c>
    </row>
    <row r="14822">
      <c r="A14822" t="n" s="0">
        <v>48.21</v>
      </c>
      <c r="B14822" t="n" s="0">
        <f>(-5-((((-5*(-5/((-5/(((-5*(48.21--5))-(-5+((-5*48.21)*(((-5--5)+(48.21--5))+48.21))))-(-5+-5)))*-5)))/-5)--5)+(-5*(((48.21*(48.21-(-5/-5)))*(48.21-(48.21/(-5*48.21))))-(-5/-5)))))</f>
        <v>555728.620105</v>
      </c>
      <c r="C14822" t="n" s="0">
        <v>555728.6201050001</v>
      </c>
    </row>
    <row r="14823">
      <c r="A14823" t="n" s="0">
        <v>48.22</v>
      </c>
      <c r="B14823" t="n" s="0">
        <f>(-5-((((-5*(-5/((-5/(((-5*(48.22--5))-(-5+((-5*48.22)*(((-5--5)+(48.22--5))+48.22))))-(-5+-5)))*-5)))/-5)--5)+(-5*(((48.22*(48.22-(-5/-5)))*(48.22-(48.22/(-5*48.22))))-(-5/-5)))))</f>
        <v>556075.4244400001</v>
      </c>
      <c r="C14823" t="n" s="0">
        <v>556075.42444</v>
      </c>
    </row>
    <row r="14824">
      <c r="A14824" t="n" s="0">
        <v>48.23</v>
      </c>
      <c r="B14824" t="n" s="0">
        <f>(-5-((((-5*(-5/((-5/(((-5*(48.23--5))-(-5+((-5*48.23)*(((-5--5)+(48.23--5))+48.23))))-(-5+-5)))*-5)))/-5)--5)+(-5*(((48.23*(48.23-(-5/-5)))*(48.23-(48.23/(-5*48.23))))-(-5/-5)))))</f>
        <v>556422.3730349999</v>
      </c>
      <c r="C14824" t="n" s="0">
        <v>556422.3730349997</v>
      </c>
    </row>
    <row r="14825">
      <c r="A14825" t="n" s="0">
        <v>48.24</v>
      </c>
      <c r="B14825" t="n" s="0">
        <f>(-5-((((-5*(-5/((-5/(((-5*(48.24--5))-(-5+((-5*48.24)*(((-5--5)+(48.24--5))+48.24))))-(-5+-5)))*-5)))/-5)--5)+(-5*(((48.24*(48.24-(-5/-5)))*(48.24-(48.24/(-5*48.24))))-(-5/-5)))))</f>
        <v>556769.46592</v>
      </c>
      <c r="C14825" t="n" s="0">
        <v>556769.4659200001</v>
      </c>
    </row>
    <row r="14826">
      <c r="A14826" t="n" s="0">
        <v>48.25</v>
      </c>
      <c r="B14826" t="n" s="0">
        <f>(-5-((((-5*(-5/((-5/(((-5*(48.25--5))-(-5+((-5*48.25)*(((-5--5)+(48.25--5))+48.25))))-(-5+-5)))*-5)))/-5)--5)+(-5*(((48.25*(48.25-(-5/-5)))*(48.25-(48.25/(-5*48.25))))-(-5/-5)))))</f>
        <v>557116.703125</v>
      </c>
      <c r="C14826" t="n" s="0">
        <v>557116.703125</v>
      </c>
    </row>
    <row r="14827">
      <c r="A14827" t="n" s="0">
        <v>48.26</v>
      </c>
      <c r="B14827" t="n" s="0">
        <f>(-5-((((-5*(-5/((-5/(((-5*(48.26--5))-(-5+((-5*48.26)*(((-5--5)+(48.26--5))+48.26))))-(-5+-5)))*-5)))/-5)--5)+(-5*(((48.26*(48.26-(-5/-5)))*(48.26-(48.26/(-5*48.26))))-(-5/-5)))))</f>
        <v>557464.08468</v>
      </c>
      <c r="C14827" t="n" s="0">
        <v>557464.08468</v>
      </c>
    </row>
    <row r="14828">
      <c r="A14828" t="n" s="0">
        <v>48.27</v>
      </c>
      <c r="B14828" t="n" s="0">
        <f>(-5-((((-5*(-5/((-5/(((-5*(48.27--5))-(-5+((-5*48.27)*(((-5--5)+(48.27--5))+48.27))))-(-5+-5)))*-5)))/-5)--5)+(-5*(((48.27*(48.27-(-5/-5)))*(48.27-(48.27/(-5*48.27))))-(-5/-5)))))</f>
        <v>557811.610615</v>
      </c>
      <c r="C14828" t="n" s="0">
        <v>557811.6106150001</v>
      </c>
    </row>
    <row r="14829">
      <c r="A14829" t="n" s="0">
        <v>48.28</v>
      </c>
      <c r="B14829" t="n" s="0">
        <f>(-5-((((-5*(-5/((-5/(((-5*(48.28--5))-(-5+((-5*48.28)*(((-5--5)+(48.28--5))+48.28))))-(-5+-5)))*-5)))/-5)--5)+(-5*(((48.28*(48.28-(-5/-5)))*(48.28-(48.28/(-5*48.28))))-(-5/-5)))))</f>
        <v>558159.28096</v>
      </c>
      <c r="C14829" t="n" s="0">
        <v>558159.28096</v>
      </c>
    </row>
    <row r="14830">
      <c r="A14830" t="n" s="0">
        <v>48.29</v>
      </c>
      <c r="B14830" t="n" s="0">
        <f>(-5-((((-5*(-5/((-5/(((-5*(48.29--5))-(-5+((-5*48.29)*(((-5--5)+(48.29--5))+48.29))))-(-5+-5)))*-5)))/-5)--5)+(-5*(((48.29*(48.29-(-5/-5)))*(48.29-(48.29/(-5*48.29))))-(-5/-5)))))</f>
        <v>558507.0957449999</v>
      </c>
      <c r="C14830" t="n" s="0">
        <v>558507.0957449999</v>
      </c>
    </row>
    <row r="14831">
      <c r="A14831" t="n" s="0">
        <v>48.3</v>
      </c>
      <c r="B14831" t="n" s="0">
        <f>(-5-((((-5*(-5/((-5/(((-5*(48.3--5))-(-5+((-5*48.3)*(((-5--5)+(48.3--5))+48.3))))-(-5+-5)))*-5)))/-5)--5)+(-5*(((48.3*(48.3-(-5/-5)))*(48.3-(48.3/(-5*48.3))))-(-5/-5)))))</f>
        <v>558855.0549999999</v>
      </c>
      <c r="C14831" t="n" s="0">
        <v>558855.0549999999</v>
      </c>
    </row>
    <row r="14832">
      <c r="A14832" t="n" s="0">
        <v>48.31</v>
      </c>
      <c r="B14832" t="n" s="0">
        <f>(-5-((((-5*(-5/((-5/(((-5*(48.31--5))-(-5+((-5*48.31)*(((-5--5)+(48.31--5))+48.31))))-(-5+-5)))*-5)))/-5)--5)+(-5*(((48.31*(48.31-(-5/-5)))*(48.31-(48.31/(-5*48.31))))-(-5/-5)))))</f>
        <v>559203.158755</v>
      </c>
      <c r="C14832" t="n" s="0">
        <v>559203.1587550002</v>
      </c>
    </row>
    <row r="14833">
      <c r="A14833" t="n" s="0">
        <v>48.32</v>
      </c>
      <c r="B14833" t="n" s="0">
        <f>(-5-((((-5*(-5/((-5/(((-5*(48.32--5))-(-5+((-5*48.32)*(((-5--5)+(48.32--5))+48.32))))-(-5+-5)))*-5)))/-5)--5)+(-5*(((48.32*(48.32-(-5/-5)))*(48.32-(48.32/(-5*48.32))))-(-5/-5)))))</f>
        <v>559551.4070400001</v>
      </c>
      <c r="C14833" t="n" s="0">
        <v>559551.40704</v>
      </c>
    </row>
    <row r="14834">
      <c r="A14834" t="n" s="0">
        <v>48.33</v>
      </c>
      <c r="B14834" t="n" s="0">
        <f>(-5-((((-5*(-5/((-5/(((-5*(48.33--5))-(-5+((-5*48.33)*(((-5--5)+(48.33--5))+48.33))))-(-5+-5)))*-5)))/-5)--5)+(-5*(((48.33*(48.33-(-5/-5)))*(48.33-(48.33/(-5*48.33))))-(-5/-5)))))</f>
        <v>559899.799885</v>
      </c>
      <c r="C14834" t="n" s="0">
        <v>559899.799885</v>
      </c>
    </row>
    <row r="14835">
      <c r="A14835" t="n" s="0">
        <v>48.34</v>
      </c>
      <c r="B14835" t="n" s="0">
        <f>(-5-((((-5*(-5/((-5/(((-5*(48.34--5))-(-5+((-5*48.34)*(((-5--5)+(48.34--5))+48.34))))-(-5+-5)))*-5)))/-5)--5)+(-5*(((48.34*(48.34-(-5/-5)))*(48.34-(48.34/(-5*48.34))))-(-5/-5)))))</f>
        <v>560248.33732</v>
      </c>
      <c r="C14835" t="n" s="0">
        <v>560248.3373200002</v>
      </c>
    </row>
    <row r="14836">
      <c r="A14836" t="n" s="0">
        <v>48.35</v>
      </c>
      <c r="B14836" t="n" s="0">
        <f>(-5-((((-5*(-5/((-5/(((-5*(48.35--5))-(-5+((-5*48.35)*(((-5--5)+(48.35--5))+48.35))))-(-5+-5)))*-5)))/-5)--5)+(-5*(((48.35*(48.35-(-5/-5)))*(48.35-(48.35/(-5*48.35))))-(-5/-5)))))</f>
        <v>560597.0193749999</v>
      </c>
      <c r="C14836" t="n" s="0">
        <v>560597.0193750001</v>
      </c>
    </row>
    <row r="14837">
      <c r="A14837" t="n" s="0">
        <v>48.36</v>
      </c>
      <c r="B14837" t="n" s="0">
        <f>(-5-((((-5*(-5/((-5/(((-5*(48.36--5))-(-5+((-5*48.36)*(((-5--5)+(48.36--5))+48.36))))-(-5+-5)))*-5)))/-5)--5)+(-5*(((48.36*(48.36-(-5/-5)))*(48.36-(48.36/(-5*48.36))))-(-5/-5)))))</f>
        <v>560945.84608</v>
      </c>
      <c r="C14837" t="n" s="0">
        <v>560945.84608</v>
      </c>
    </row>
    <row r="14838">
      <c r="A14838" t="n" s="0">
        <v>48.37</v>
      </c>
      <c r="B14838" t="n" s="0">
        <f>(-5-((((-5*(-5/((-5/(((-5*(48.37--5))-(-5+((-5*48.37)*(((-5--5)+(48.37--5))+48.37))))-(-5+-5)))*-5)))/-5)--5)+(-5*(((48.37*(48.37-(-5/-5)))*(48.37-(48.37/(-5*48.37))))-(-5/-5)))))</f>
        <v>561294.817465</v>
      </c>
      <c r="C14838" t="n" s="0">
        <v>561294.817465</v>
      </c>
    </row>
    <row r="14839">
      <c r="A14839" t="n" s="0">
        <v>48.38</v>
      </c>
      <c r="B14839" t="n" s="0">
        <f>(-5-((((-5*(-5/((-5/(((-5*(48.38--5))-(-5+((-5*48.38)*(((-5--5)+(48.38--5))+48.38))))-(-5+-5)))*-5)))/-5)--5)+(-5*(((48.38*(48.38-(-5/-5)))*(48.38-(48.38/(-5*48.38))))-(-5/-5)))))</f>
        <v>561643.9335599999</v>
      </c>
      <c r="C14839" t="n" s="0">
        <v>561643.9335600002</v>
      </c>
    </row>
    <row r="14840">
      <c r="A14840" t="n" s="0">
        <v>48.39</v>
      </c>
      <c r="B14840" t="n" s="0">
        <f>(-5-((((-5*(-5/((-5/(((-5*(48.39--5))-(-5+((-5*48.39)*(((-5--5)+(48.39--5))+48.39))))-(-5+-5)))*-5)))/-5)--5)+(-5*(((48.39*(48.39-(-5/-5)))*(48.39-(48.39/(-5*48.39))))-(-5/-5)))))</f>
        <v>561993.194395</v>
      </c>
      <c r="C14840" t="n" s="0">
        <v>561993.194395</v>
      </c>
    </row>
    <row r="14841">
      <c r="A14841" t="n" s="0">
        <v>48.4</v>
      </c>
      <c r="B14841" t="n" s="0">
        <f>(-5-((((-5*(-5/((-5/(((-5*(48.4--5))-(-5+((-5*48.4)*(((-5--5)+(48.4--5))+48.4))))-(-5+-5)))*-5)))/-5)--5)+(-5*(((48.4*(48.4-(-5/-5)))*(48.4-(48.4/(-5*48.4))))-(-5/-5)))))</f>
        <v>562342.6000000001</v>
      </c>
      <c r="C14841" t="n" s="0">
        <v>562342.6</v>
      </c>
    </row>
    <row r="14842">
      <c r="A14842" t="n" s="0">
        <v>48.41</v>
      </c>
      <c r="B14842" t="n" s="0">
        <f>(-5-((((-5*(-5/((-5/(((-5*(48.41--5))-(-5+((-5*48.41)*(((-5--5)+(48.41--5))+48.41))))-(-5+-5)))*-5)))/-5)--5)+(-5*(((48.41*(48.41-(-5/-5)))*(48.41-(48.41/(-5*48.41))))-(-5/-5)))))</f>
        <v>562692.150405</v>
      </c>
      <c r="C14842" t="n" s="0">
        <v>562692.1504049998</v>
      </c>
    </row>
    <row r="14843">
      <c r="A14843" t="n" s="0">
        <v>48.42</v>
      </c>
      <c r="B14843" t="n" s="0">
        <f>(-5-((((-5*(-5/((-5/(((-5*(48.42--5))-(-5+((-5*48.42)*(((-5--5)+(48.42--5))+48.42))))-(-5+-5)))*-5)))/-5)--5)+(-5*(((48.42*(48.42-(-5/-5)))*(48.42-(48.42/(-5*48.42))))-(-5/-5)))))</f>
        <v>563041.84564</v>
      </c>
      <c r="C14843" t="n" s="0">
        <v>563041.8456400001</v>
      </c>
    </row>
    <row r="14844">
      <c r="A14844" t="n" s="0">
        <v>48.43</v>
      </c>
      <c r="B14844" t="n" s="0">
        <f>(-5-((((-5*(-5/((-5/(((-5*(48.43--5))-(-5+((-5*48.43)*(((-5--5)+(48.43--5))+48.43))))-(-5+-5)))*-5)))/-5)--5)+(-5*(((48.43*(48.43-(-5/-5)))*(48.43-(48.43/(-5*48.43))))-(-5/-5)))))</f>
        <v>563391.6857350001</v>
      </c>
      <c r="C14844" t="n" s="0">
        <v>563391.6857350001</v>
      </c>
    </row>
    <row r="14845">
      <c r="A14845" t="n" s="0">
        <v>48.44</v>
      </c>
      <c r="B14845" t="n" s="0">
        <f>(-5-((((-5*(-5/((-5/(((-5*(48.44--5))-(-5+((-5*48.44)*(((-5--5)+(48.44--5))+48.44))))-(-5+-5)))*-5)))/-5)--5)+(-5*(((48.44*(48.44-(-5/-5)))*(48.44-(48.44/(-5*48.44))))-(-5/-5)))))</f>
        <v>563741.6707199999</v>
      </c>
      <c r="C14845" t="n" s="0">
        <v>563741.6707199999</v>
      </c>
    </row>
    <row r="14846">
      <c r="A14846" t="n" s="0">
        <v>48.45</v>
      </c>
      <c r="B14846" t="n" s="0">
        <f>(-5-((((-5*(-5/((-5/(((-5*(48.45--5))-(-5+((-5*48.45)*(((-5--5)+(48.45--5))+48.45))))-(-5+-5)))*-5)))/-5)--5)+(-5*(((48.45*(48.45-(-5/-5)))*(48.45-(48.45/(-5*48.45))))-(-5/-5)))))</f>
        <v>564091.8006250001</v>
      </c>
      <c r="C14846" t="n" s="0">
        <v>564091.800625</v>
      </c>
    </row>
    <row r="14847">
      <c r="A14847" t="n" s="0">
        <v>48.46</v>
      </c>
      <c r="B14847" t="n" s="0">
        <f>(-5-((((-5*(-5/((-5/(((-5*(48.46--5))-(-5+((-5*48.46)*(((-5--5)+(48.46--5))+48.46))))-(-5+-5)))*-5)))/-5)--5)+(-5*(((48.46*(48.46-(-5/-5)))*(48.46-(48.46/(-5*48.46))))-(-5/-5)))))</f>
        <v>564442.07548</v>
      </c>
      <c r="C14847" t="n" s="0">
        <v>564442.07548</v>
      </c>
    </row>
    <row r="14848">
      <c r="A14848" t="n" s="0">
        <v>48.47</v>
      </c>
      <c r="B14848" t="n" s="0">
        <f>(-5-((((-5*(-5/((-5/(((-5*(48.47--5))-(-5+((-5*48.47)*(((-5--5)+(48.47--5))+48.47))))-(-5+-5)))*-5)))/-5)--5)+(-5*(((48.47*(48.47-(-5/-5)))*(48.47-(48.47/(-5*48.47))))-(-5/-5)))))</f>
        <v>564792.4953150001</v>
      </c>
      <c r="C14848" t="n" s="0">
        <v>564792.495315</v>
      </c>
    </row>
    <row r="14849">
      <c r="A14849" t="n" s="0">
        <v>48.48</v>
      </c>
      <c r="B14849" t="n" s="0">
        <f>(-5-((((-5*(-5/((-5/(((-5*(48.48--5))-(-5+((-5*48.48)*(((-5--5)+(48.48--5))+48.48))))-(-5+-5)))*-5)))/-5)--5)+(-5*(((48.48*(48.48-(-5/-5)))*(48.48-(48.48/(-5*48.48))))-(-5/-5)))))</f>
        <v>565143.06016</v>
      </c>
      <c r="C14849" t="n" s="0">
        <v>565143.0601599998</v>
      </c>
    </row>
    <row r="14850">
      <c r="A14850" t="n" s="0">
        <v>48.49</v>
      </c>
      <c r="B14850" t="n" s="0">
        <f>(-5-((((-5*(-5/((-5/(((-5*(48.49--5))-(-5+((-5*48.49)*(((-5--5)+(48.49--5))+48.49))))-(-5+-5)))*-5)))/-5)--5)+(-5*(((48.49*(48.49-(-5/-5)))*(48.49-(48.49/(-5*48.49))))-(-5/-5)))))</f>
        <v>565493.770045</v>
      </c>
      <c r="C14850" t="n" s="0">
        <v>565493.7700450001</v>
      </c>
    </row>
    <row r="14851">
      <c r="A14851" t="n" s="0">
        <v>48.5</v>
      </c>
      <c r="B14851" t="n" s="0">
        <f>(-5-((((-5*(-5/((-5/(((-5*(48.5--5))-(-5+((-5*48.5)*(((-5--5)+(48.5--5))+48.5))))-(-5+-5)))*-5)))/-5)--5)+(-5*(((48.5*(48.5-(-5/-5)))*(48.5-(48.5/(-5*48.5))))-(-5/-5)))))</f>
        <v>565844.625</v>
      </c>
      <c r="C14851" t="n" s="0">
        <v>565844.625</v>
      </c>
    </row>
    <row r="14852">
      <c r="A14852" t="n" s="0">
        <v>48.51</v>
      </c>
      <c r="B14852" t="n" s="0">
        <f>(-5-((((-5*(-5/((-5/(((-5*(48.51--5))-(-5+((-5*48.51)*(((-5--5)+(48.51--5))+48.51))))-(-5+-5)))*-5)))/-5)--5)+(-5*(((48.51*(48.51-(-5/-5)))*(48.51-(48.51/(-5*48.51))))-(-5/-5)))))</f>
        <v>566195.625055</v>
      </c>
      <c r="C14852" t="n" s="0">
        <v>566195.6250550001</v>
      </c>
    </row>
    <row r="14853">
      <c r="A14853" t="n" s="0">
        <v>48.52</v>
      </c>
      <c r="B14853" t="n" s="0">
        <f>(-5-((((-5*(-5/((-5/(((-5*(48.52--5))-(-5+((-5*48.52)*(((-5--5)+(48.52--5))+48.52))))-(-5+-5)))*-5)))/-5)--5)+(-5*(((48.52*(48.52-(-5/-5)))*(48.52-(48.52/(-5*48.52))))-(-5/-5)))))</f>
        <v>566546.77024</v>
      </c>
      <c r="C14853" t="n" s="0">
        <v>566546.7702400001</v>
      </c>
    </row>
    <row r="14854">
      <c r="A14854" t="n" s="0">
        <v>48.53</v>
      </c>
      <c r="B14854" t="n" s="0">
        <f>(-5-((((-5*(-5/((-5/(((-5*(48.53--5))-(-5+((-5*48.53)*(((-5--5)+(48.53--5))+48.53))))-(-5+-5)))*-5)))/-5)--5)+(-5*(((48.53*(48.53-(-5/-5)))*(48.53-(48.53/(-5*48.53))))-(-5/-5)))))</f>
        <v>566898.0605850001</v>
      </c>
      <c r="C14854" t="n" s="0">
        <v>566898.060585</v>
      </c>
    </row>
    <row r="14855">
      <c r="A14855" t="n" s="0">
        <v>48.54</v>
      </c>
      <c r="B14855" t="n" s="0">
        <f>(-5-((((-5*(-5/((-5/(((-5*(48.54--5))-(-5+((-5*48.54)*(((-5--5)+(48.54--5))+48.54))))-(-5+-5)))*-5)))/-5)--5)+(-5*(((48.54*(48.54-(-5/-5)))*(48.54-(48.54/(-5*48.54))))-(-5/-5)))))</f>
        <v>567249.4961199999</v>
      </c>
      <c r="C14855" t="n" s="0">
        <v>567249.4961199999</v>
      </c>
    </row>
    <row r="14856">
      <c r="A14856" t="n" s="0">
        <v>48.55</v>
      </c>
      <c r="B14856" t="n" s="0">
        <f>(-5-((((-5*(-5/((-5/(((-5*(48.55--5))-(-5+((-5*48.55)*(((-5--5)+(48.55--5))+48.55))))-(-5+-5)))*-5)))/-5)--5)+(-5*(((48.55*(48.55-(-5/-5)))*(48.55-(48.55/(-5*48.55))))-(-5/-5)))))</f>
        <v>567601.076875</v>
      </c>
      <c r="C14856" t="n" s="0">
        <v>567601.0768749999</v>
      </c>
    </row>
    <row r="14857">
      <c r="A14857" t="n" s="0">
        <v>48.56</v>
      </c>
      <c r="B14857" t="n" s="0">
        <f>(-5-((((-5*(-5/((-5/(((-5*(48.56--5))-(-5+((-5*48.56)*(((-5--5)+(48.56--5))+48.56))))-(-5+-5)))*-5)))/-5)--5)+(-5*(((48.56*(48.56-(-5/-5)))*(48.56-(48.56/(-5*48.56))))-(-5/-5)))))</f>
        <v>567952.80288</v>
      </c>
      <c r="C14857" t="n" s="0">
        <v>567952.8028800001</v>
      </c>
    </row>
    <row r="14858">
      <c r="A14858" t="n" s="0">
        <v>48.57</v>
      </c>
      <c r="B14858" t="n" s="0">
        <f>(-5-((((-5*(-5/((-5/(((-5*(48.57--5))-(-5+((-5*48.57)*(((-5--5)+(48.57--5))+48.57))))-(-5+-5)))*-5)))/-5)--5)+(-5*(((48.57*(48.57-(-5/-5)))*(48.57-(48.57/(-5*48.57))))-(-5/-5)))))</f>
        <v>568304.674165</v>
      </c>
      <c r="C14858" t="n" s="0">
        <v>568304.674165</v>
      </c>
    </row>
    <row r="14859">
      <c r="A14859" t="n" s="0">
        <v>48.58</v>
      </c>
      <c r="B14859" t="n" s="0">
        <f>(-5-((((-5*(-5/((-5/(((-5*(48.58--5))-(-5+((-5*48.58)*(((-5--5)+(48.58--5))+48.58))))-(-5+-5)))*-5)))/-5)--5)+(-5*(((48.58*(48.58-(-5/-5)))*(48.58-(48.58/(-5*48.58))))-(-5/-5)))))</f>
        <v>568656.69076</v>
      </c>
      <c r="C14859" t="n" s="0">
        <v>568656.6907599999</v>
      </c>
    </row>
    <row r="14860">
      <c r="A14860" t="n" s="0">
        <v>48.59</v>
      </c>
      <c r="B14860" t="n" s="0">
        <f>(-5-((((-5*(-5/((-5/(((-5*(48.59--5))-(-5+((-5*48.59)*(((-5--5)+(48.59--5))+48.59))))-(-5+-5)))*-5)))/-5)--5)+(-5*(((48.59*(48.59-(-5/-5)))*(48.59-(48.59/(-5*48.59))))-(-5/-5)))))</f>
        <v>569008.852695</v>
      </c>
      <c r="C14860" t="n" s="0">
        <v>569008.8526950001</v>
      </c>
    </row>
    <row r="14861">
      <c r="A14861" t="n" s="0">
        <v>48.6</v>
      </c>
      <c r="B14861" t="n" s="0">
        <f>(-5-((((-5*(-5/((-5/(((-5*(48.6--5))-(-5+((-5*48.6)*(((-5--5)+(48.6--5))+48.6))))-(-5+-5)))*-5)))/-5)--5)+(-5*(((48.6*(48.6-(-5/-5)))*(48.6-(48.6/(-5*48.6))))-(-5/-5)))))</f>
        <v>569361.16</v>
      </c>
      <c r="C14861" t="n" s="0">
        <v>569361.16</v>
      </c>
    </row>
    <row r="14862">
      <c r="A14862" t="n" s="0">
        <v>48.61</v>
      </c>
      <c r="B14862" t="n" s="0">
        <f>(-5-((((-5*(-5/((-5/(((-5*(48.61--5))-(-5+((-5*48.61)*(((-5--5)+(48.61--5))+48.61))))-(-5+-5)))*-5)))/-5)--5)+(-5*(((48.61*(48.61-(-5/-5)))*(48.61-(48.61/(-5*48.61))))-(-5/-5)))))</f>
        <v>569713.612705</v>
      </c>
      <c r="C14862" t="n" s="0">
        <v>569713.612705</v>
      </c>
    </row>
    <row r="14863">
      <c r="A14863" t="n" s="0">
        <v>48.62</v>
      </c>
      <c r="B14863" t="n" s="0">
        <f>(-5-((((-5*(-5/((-5/(((-5*(48.62--5))-(-5+((-5*48.62)*(((-5--5)+(48.62--5))+48.62))))-(-5+-5)))*-5)))/-5)--5)+(-5*(((48.62*(48.62-(-5/-5)))*(48.62-(48.62/(-5*48.62))))-(-5/-5)))))</f>
        <v>570066.21084</v>
      </c>
      <c r="C14863" t="n" s="0">
        <v>570066.21084</v>
      </c>
    </row>
    <row r="14864">
      <c r="A14864" t="n" s="0">
        <v>48.63</v>
      </c>
      <c r="B14864" t="n" s="0">
        <f>(-5-((((-5*(-5/((-5/(((-5*(48.63--5))-(-5+((-5*48.63)*(((-5--5)+(48.63--5))+48.63))))-(-5+-5)))*-5)))/-5)--5)+(-5*(((48.63*(48.63-(-5/-5)))*(48.63-(48.63/(-5*48.63))))-(-5/-5)))))</f>
        <v>570418.954435</v>
      </c>
      <c r="C14864" t="n" s="0">
        <v>570418.9544350001</v>
      </c>
    </row>
    <row r="14865">
      <c r="A14865" t="n" s="0">
        <v>48.64</v>
      </c>
      <c r="B14865" t="n" s="0">
        <f>(-5-((((-5*(-5/((-5/(((-5*(48.64--5))-(-5+((-5*48.64)*(((-5--5)+(48.64--5))+48.64))))-(-5+-5)))*-5)))/-5)--5)+(-5*(((48.64*(48.64-(-5/-5)))*(48.64-(48.64/(-5*48.64))))-(-5/-5)))))</f>
        <v>570771.84352</v>
      </c>
      <c r="C14865" t="n" s="0">
        <v>570771.8435200001</v>
      </c>
    </row>
    <row r="14866">
      <c r="A14866" t="n" s="0">
        <v>48.65</v>
      </c>
      <c r="B14866" t="n" s="0">
        <f>(-5-((((-5*(-5/((-5/(((-5*(48.65--5))-(-5+((-5*48.65)*(((-5--5)+(48.65--5))+48.65))))-(-5+-5)))*-5)))/-5)--5)+(-5*(((48.65*(48.65-(-5/-5)))*(48.65-(48.65/(-5*48.65))))-(-5/-5)))))</f>
        <v>571124.878125</v>
      </c>
      <c r="C14866" t="n" s="0">
        <v>571124.8781249999</v>
      </c>
    </row>
    <row r="14867">
      <c r="A14867" t="n" s="0">
        <v>48.66</v>
      </c>
      <c r="B14867" t="n" s="0">
        <f>(-5-((((-5*(-5/((-5/(((-5*(48.66--5))-(-5+((-5*48.66)*(((-5--5)+(48.66--5))+48.66))))-(-5+-5)))*-5)))/-5)--5)+(-5*(((48.66*(48.66-(-5/-5)))*(48.66-(48.66/(-5*48.66))))-(-5/-5)))))</f>
        <v>571478.05828</v>
      </c>
      <c r="C14867" t="n" s="0">
        <v>571478.0582799999</v>
      </c>
    </row>
    <row r="14868">
      <c r="A14868" t="n" s="0">
        <v>48.67</v>
      </c>
      <c r="B14868" t="n" s="0">
        <f>(-5-((((-5*(-5/((-5/(((-5*(48.67--5))-(-5+((-5*48.67)*(((-5--5)+(48.67--5))+48.67))))-(-5+-5)))*-5)))/-5)--5)+(-5*(((48.67*(48.67-(-5/-5)))*(48.67-(48.67/(-5*48.67))))-(-5/-5)))))</f>
        <v>571831.384015</v>
      </c>
      <c r="C14868" t="n" s="0">
        <v>571831.3840150001</v>
      </c>
    </row>
    <row r="14869">
      <c r="A14869" t="n" s="0">
        <v>48.68</v>
      </c>
      <c r="B14869" t="n" s="0">
        <f>(-5-((((-5*(-5/((-5/(((-5*(48.68--5))-(-5+((-5*48.68)*(((-5--5)+(48.68--5))+48.68))))-(-5+-5)))*-5)))/-5)--5)+(-5*(((48.68*(48.68-(-5/-5)))*(48.68-(48.68/(-5*48.68))))-(-5/-5)))))</f>
        <v>572184.8553599999</v>
      </c>
      <c r="C14869" t="n" s="0">
        <v>572184.85536</v>
      </c>
    </row>
    <row r="14870">
      <c r="A14870" t="n" s="0">
        <v>48.69</v>
      </c>
      <c r="B14870" t="n" s="0">
        <f>(-5-((((-5*(-5/((-5/(((-5*(48.69--5))-(-5+((-5*48.69)*(((-5--5)+(48.69--5))+48.69))))-(-5+-5)))*-5)))/-5)--5)+(-5*(((48.69*(48.69-(-5/-5)))*(48.69-(48.69/(-5*48.69))))-(-5/-5)))))</f>
        <v>572538.472345</v>
      </c>
      <c r="C14870" t="n" s="0">
        <v>572538.4723449998</v>
      </c>
    </row>
    <row r="14871">
      <c r="A14871" t="n" s="0">
        <v>48.7</v>
      </c>
      <c r="B14871" t="n" s="0">
        <f>(-5-((((-5*(-5/((-5/(((-5*(48.7--5))-(-5+((-5*48.7)*(((-5--5)+(48.7--5))+48.7))))-(-5+-5)))*-5)))/-5)--5)+(-5*(((48.7*(48.7-(-5/-5)))*(48.7-(48.7/(-5*48.7))))-(-5/-5)))))</f>
        <v>572892.2350000001</v>
      </c>
      <c r="C14871" t="n" s="0">
        <v>572892.2350000001</v>
      </c>
    </row>
    <row r="14872">
      <c r="A14872" t="n" s="0">
        <v>48.71</v>
      </c>
      <c r="B14872" t="n" s="0">
        <f>(-5-((((-5*(-5/((-5/(((-5*(48.71--5))-(-5+((-5*48.71)*(((-5--5)+(48.71--5))+48.71))))-(-5+-5)))*-5)))/-5)--5)+(-5*(((48.71*(48.71-(-5/-5)))*(48.71-(48.71/(-5*48.71))))-(-5/-5)))))</f>
        <v>573246.1433550001</v>
      </c>
      <c r="C14872" t="n" s="0">
        <v>573246.1433550001</v>
      </c>
    </row>
    <row r="14873">
      <c r="A14873" t="n" s="0">
        <v>48.72</v>
      </c>
      <c r="B14873" t="n" s="0">
        <f>(-5-((((-5*(-5/((-5/(((-5*(48.72--5))-(-5+((-5*48.72)*(((-5--5)+(48.72--5))+48.72))))-(-5+-5)))*-5)))/-5)--5)+(-5*(((48.72*(48.72-(-5/-5)))*(48.72-(48.72/(-5*48.72))))-(-5/-5)))))</f>
        <v>573600.19744</v>
      </c>
      <c r="C14873" t="n" s="0">
        <v>573600.19744</v>
      </c>
    </row>
    <row r="14874">
      <c r="A14874" t="n" s="0">
        <v>48.73</v>
      </c>
      <c r="B14874" t="n" s="0">
        <f>(-5-((((-5*(-5/((-5/(((-5*(48.73--5))-(-5+((-5*48.73)*(((-5--5)+(48.73--5))+48.73))))-(-5+-5)))*-5)))/-5)--5)+(-5*(((48.73*(48.73-(-5/-5)))*(48.73-(48.73/(-5*48.73))))-(-5/-5)))))</f>
        <v>573954.3972850001</v>
      </c>
      <c r="C14874" t="n" s="0">
        <v>573954.3972849998</v>
      </c>
    </row>
    <row r="14875">
      <c r="A14875" t="n" s="0">
        <v>48.74</v>
      </c>
      <c r="B14875" t="n" s="0">
        <f>(-5-((((-5*(-5/((-5/(((-5*(48.74--5))-(-5+((-5*48.74)*(((-5--5)+(48.74--5))+48.74))))-(-5+-5)))*-5)))/-5)--5)+(-5*(((48.74*(48.74-(-5/-5)))*(48.74-(48.74/(-5*48.74))))-(-5/-5)))))</f>
        <v>574308.74292</v>
      </c>
      <c r="C14875" t="n" s="0">
        <v>574308.74292</v>
      </c>
    </row>
    <row r="14876">
      <c r="A14876" t="n" s="0">
        <v>48.75</v>
      </c>
      <c r="B14876" t="n" s="0">
        <f>(-5-((((-5*(-5/((-5/(((-5*(48.75--5))-(-5+((-5*48.75)*(((-5--5)+(48.75--5))+48.75))))-(-5+-5)))*-5)))/-5)--5)+(-5*(((48.75*(48.75-(-5/-5)))*(48.75-(48.75/(-5*48.75))))-(-5/-5)))))</f>
        <v>574663.234375</v>
      </c>
      <c r="C14876" t="n" s="0">
        <v>574663.234375</v>
      </c>
    </row>
    <row r="14877">
      <c r="A14877" t="n" s="0">
        <v>48.76</v>
      </c>
      <c r="B14877" t="n" s="0">
        <f>(-5-((((-5*(-5/((-5/(((-5*(48.76--5))-(-5+((-5*48.76)*(((-5--5)+(48.76--5))+48.76))))-(-5+-5)))*-5)))/-5)--5)+(-5*(((48.76*(48.76-(-5/-5)))*(48.76-(48.76/(-5*48.76))))-(-5/-5)))))</f>
        <v>575017.87168</v>
      </c>
      <c r="C14877" t="n" s="0">
        <v>575017.87168</v>
      </c>
    </row>
    <row r="14878">
      <c r="A14878" t="n" s="0">
        <v>48.77</v>
      </c>
      <c r="B14878" t="n" s="0">
        <f>(-5-((((-5*(-5/((-5/(((-5*(48.77--5))-(-5+((-5*48.77)*(((-5--5)+(48.77--5))+48.77))))-(-5+-5)))*-5)))/-5)--5)+(-5*(((48.77*(48.77-(-5/-5)))*(48.77-(48.77/(-5*48.77))))-(-5/-5)))))</f>
        <v>575372.654865</v>
      </c>
      <c r="C14878" t="n" s="0">
        <v>575372.6548650002</v>
      </c>
    </row>
    <row r="14879">
      <c r="A14879" t="n" s="0">
        <v>48.78</v>
      </c>
      <c r="B14879" t="n" s="0">
        <f>(-5-((((-5*(-5/((-5/(((-5*(48.78--5))-(-5+((-5*48.78)*(((-5--5)+(48.78--5))+48.78))))-(-5+-5)))*-5)))/-5)--5)+(-5*(((48.78*(48.78-(-5/-5)))*(48.78-(48.78/(-5*48.78))))-(-5/-5)))))</f>
        <v>575727.5839600001</v>
      </c>
      <c r="C14879" t="n" s="0">
        <v>575727.5839600001</v>
      </c>
    </row>
    <row r="14880">
      <c r="A14880" t="n" s="0">
        <v>48.79</v>
      </c>
      <c r="B14880" t="n" s="0">
        <f>(-5-((((-5*(-5/((-5/(((-5*(48.79--5))-(-5+((-5*48.79)*(((-5--5)+(48.79--5))+48.79))))-(-5+-5)))*-5)))/-5)--5)+(-5*(((48.79*(48.79-(-5/-5)))*(48.79-(48.79/(-5*48.79))))-(-5/-5)))))</f>
        <v>576082.658995</v>
      </c>
      <c r="C14880" t="n" s="0">
        <v>576082.658995</v>
      </c>
    </row>
    <row r="14881">
      <c r="A14881" t="n" s="0">
        <v>48.8</v>
      </c>
      <c r="B14881" t="n" s="0">
        <f>(-5-((((-5*(-5/((-5/(((-5*(48.8--5))-(-5+((-5*48.8)*(((-5--5)+(48.8--5))+48.8))))-(-5+-5)))*-5)))/-5)--5)+(-5*(((48.8*(48.8-(-5/-5)))*(48.8-(48.8/(-5*48.8))))-(-5/-5)))))</f>
        <v>576437.88</v>
      </c>
      <c r="C14881" t="n" s="0">
        <v>576437.8799999999</v>
      </c>
    </row>
    <row r="14882">
      <c r="A14882" t="n" s="0">
        <v>48.81</v>
      </c>
      <c r="B14882" t="n" s="0">
        <f>(-5-((((-5*(-5/((-5/(((-5*(48.81--5))-(-5+((-5*48.81)*(((-5--5)+(48.81--5))+48.81))))-(-5+-5)))*-5)))/-5)--5)+(-5*(((48.81*(48.81-(-5/-5)))*(48.81-(48.81/(-5*48.81))))-(-5/-5)))))</f>
        <v>576793.247005</v>
      </c>
      <c r="C14882" t="n" s="0">
        <v>576793.2470050002</v>
      </c>
    </row>
    <row r="14883">
      <c r="A14883" t="n" s="0">
        <v>48.82</v>
      </c>
      <c r="B14883" t="n" s="0">
        <f>(-5-((((-5*(-5/((-5/(((-5*(48.82--5))-(-5+((-5*48.82)*(((-5--5)+(48.82--5))+48.82))))-(-5+-5)))*-5)))/-5)--5)+(-5*(((48.82*(48.82-(-5/-5)))*(48.82-(48.82/(-5*48.82))))-(-5/-5)))))</f>
        <v>577148.76004</v>
      </c>
      <c r="C14883" t="n" s="0">
        <v>577148.76004</v>
      </c>
    </row>
    <row r="14884">
      <c r="A14884" t="n" s="0">
        <v>48.83</v>
      </c>
      <c r="B14884" t="n" s="0">
        <f>(-5-((((-5*(-5/((-5/(((-5*(48.83--5))-(-5+((-5*48.83)*(((-5--5)+(48.83--5))+48.83))))-(-5+-5)))*-5)))/-5)--5)+(-5*(((48.83*(48.83-(-5/-5)))*(48.83-(48.83/(-5*48.83))))-(-5/-5)))))</f>
        <v>577504.419135</v>
      </c>
      <c r="C14884" t="n" s="0">
        <v>577504.4191349999</v>
      </c>
    </row>
    <row r="14885">
      <c r="A14885" t="n" s="0">
        <v>48.84</v>
      </c>
      <c r="B14885" t="n" s="0">
        <f>(-5-((((-5*(-5/((-5/(((-5*(48.84--5))-(-5+((-5*48.84)*(((-5--5)+(48.84--5))+48.84))))-(-5+-5)))*-5)))/-5)--5)+(-5*(((48.84*(48.84-(-5/-5)))*(48.84-(48.84/(-5*48.84))))-(-5/-5)))))</f>
        <v>577860.22432</v>
      </c>
      <c r="C14885" t="n" s="0">
        <v>577860.2243200002</v>
      </c>
    </row>
    <row r="14886">
      <c r="A14886" t="n" s="0">
        <v>48.85</v>
      </c>
      <c r="B14886" t="n" s="0">
        <f>(-5-((((-5*(-5/((-5/(((-5*(48.85--5))-(-5+((-5*48.85)*(((-5--5)+(48.85--5))+48.85))))-(-5+-5)))*-5)))/-5)--5)+(-5*(((48.85*(48.85-(-5/-5)))*(48.85-(48.85/(-5*48.85))))-(-5/-5)))))</f>
        <v>578216.175625</v>
      </c>
      <c r="C14886" t="n" s="0">
        <v>578216.1756250001</v>
      </c>
    </row>
    <row r="14887">
      <c r="A14887" t="n" s="0">
        <v>48.86</v>
      </c>
      <c r="B14887" t="n" s="0">
        <f>(-5-((((-5*(-5/((-5/(((-5*(48.86--5))-(-5+((-5*48.86)*(((-5--5)+(48.86--5))+48.86))))-(-5+-5)))*-5)))/-5)--5)+(-5*(((48.86*(48.86-(-5/-5)))*(48.86-(48.86/(-5*48.86))))-(-5/-5)))))</f>
        <v>578572.27308</v>
      </c>
      <c r="C14887" t="n" s="0">
        <v>578572.2730799998</v>
      </c>
    </row>
    <row r="14888">
      <c r="A14888" t="n" s="0">
        <v>48.87</v>
      </c>
      <c r="B14888" t="n" s="0">
        <f>(-5-((((-5*(-5/((-5/(((-5*(48.87--5))-(-5+((-5*48.87)*(((-5--5)+(48.87--5))+48.87))))-(-5+-5)))*-5)))/-5)--5)+(-5*(((48.87*(48.87-(-5/-5)))*(48.87-(48.87/(-5*48.87))))-(-5/-5)))))</f>
        <v>578928.5167149999</v>
      </c>
      <c r="C14888" t="n" s="0">
        <v>578928.5167149999</v>
      </c>
    </row>
    <row r="14889">
      <c r="A14889" t="n" s="0">
        <v>48.88</v>
      </c>
      <c r="B14889" t="n" s="0">
        <f>(-5-((((-5*(-5/((-5/(((-5*(48.88--5))-(-5+((-5*48.88)*(((-5--5)+(48.88--5))+48.88))))-(-5+-5)))*-5)))/-5)--5)+(-5*(((48.88*(48.88-(-5/-5)))*(48.88-(48.88/(-5*48.88))))-(-5/-5)))))</f>
        <v>579284.9065599999</v>
      </c>
      <c r="C14889" t="n" s="0">
        <v>579284.9065600001</v>
      </c>
    </row>
    <row r="14890">
      <c r="A14890" t="n" s="0">
        <v>48.89</v>
      </c>
      <c r="B14890" t="n" s="0">
        <f>(-5-((((-5*(-5/((-5/(((-5*(48.89--5))-(-5+((-5*48.89)*(((-5--5)+(48.89--5))+48.89))))-(-5+-5)))*-5)))/-5)--5)+(-5*(((48.89*(48.89-(-5/-5)))*(48.89-(48.89/(-5*48.89))))-(-5/-5)))))</f>
        <v>579641.442645</v>
      </c>
      <c r="C14890" t="n" s="0">
        <v>579641.442645</v>
      </c>
    </row>
    <row r="14891">
      <c r="A14891" t="n" s="0">
        <v>48.9</v>
      </c>
      <c r="B14891" t="n" s="0">
        <f>(-5-((((-5*(-5/((-5/(((-5*(48.9--5))-(-5+((-5*48.9)*(((-5--5)+(48.9--5))+48.9))))-(-5+-5)))*-5)))/-5)--5)+(-5*(((48.9*(48.9-(-5/-5)))*(48.9-(48.9/(-5*48.9))))-(-5/-5)))))</f>
        <v>579998.125</v>
      </c>
      <c r="C14891" t="n" s="0">
        <v>579998.1249999999</v>
      </c>
    </row>
    <row r="14892">
      <c r="A14892" t="n" s="0">
        <v>48.91</v>
      </c>
      <c r="B14892" t="n" s="0">
        <f>(-5-((((-5*(-5/((-5/(((-5*(48.91--5))-(-5+((-5*48.91)*(((-5--5)+(48.91--5))+48.91))))-(-5+-5)))*-5)))/-5)--5)+(-5*(((48.91*(48.91-(-5/-5)))*(48.91-(48.91/(-5*48.91))))-(-5/-5)))))</f>
        <v>580354.9536550001</v>
      </c>
      <c r="C14892" t="n" s="0">
        <v>580354.9536549998</v>
      </c>
    </row>
    <row r="14893">
      <c r="A14893" t="n" s="0">
        <v>48.92</v>
      </c>
      <c r="B14893" t="n" s="0">
        <f>(-5-((((-5*(-5/((-5/(((-5*(48.92--5))-(-5+((-5*48.92)*(((-5--5)+(48.92--5))+48.92))))-(-5+-5)))*-5)))/-5)--5)+(-5*(((48.92*(48.92-(-5/-5)))*(48.92-(48.92/(-5*48.92))))-(-5/-5)))))</f>
        <v>580711.92864</v>
      </c>
      <c r="C14893" t="n" s="0">
        <v>580711.92864</v>
      </c>
    </row>
    <row r="14894">
      <c r="A14894" t="n" s="0">
        <v>48.93</v>
      </c>
      <c r="B14894" t="n" s="0">
        <f>(-5-((((-5*(-5/((-5/(((-5*(48.93--5))-(-5+((-5*48.93)*(((-5--5)+(48.93--5))+48.93))))-(-5+-5)))*-5)))/-5)--5)+(-5*(((48.93*(48.93-(-5/-5)))*(48.93-(48.93/(-5*48.93))))-(-5/-5)))))</f>
        <v>581069.049985</v>
      </c>
      <c r="C14894" t="n" s="0">
        <v>581069.049985</v>
      </c>
    </row>
    <row r="14895">
      <c r="A14895" t="n" s="0">
        <v>48.94</v>
      </c>
      <c r="B14895" t="n" s="0">
        <f>(-5-((((-5*(-5/((-5/(((-5*(48.94--5))-(-5+((-5*48.94)*(((-5--5)+(48.94--5))+48.94))))-(-5+-5)))*-5)))/-5)--5)+(-5*(((48.94*(48.94-(-5/-5)))*(48.94-(48.94/(-5*48.94))))-(-5/-5)))))</f>
        <v>581426.31772</v>
      </c>
      <c r="C14895" t="n" s="0">
        <v>581426.3177199999</v>
      </c>
    </row>
    <row r="14896">
      <c r="A14896" t="n" s="0">
        <v>48.95</v>
      </c>
      <c r="B14896" t="n" s="0">
        <f>(-5-((((-5*(-5/((-5/(((-5*(48.95--5))-(-5+((-5*48.95)*(((-5--5)+(48.95--5))+48.95))))-(-5+-5)))*-5)))/-5)--5)+(-5*(((48.95*(48.95-(-5/-5)))*(48.95-(48.95/(-5*48.95))))-(-5/-5)))))</f>
        <v>581783.731875</v>
      </c>
      <c r="C14896" t="n" s="0">
        <v>581783.7318750002</v>
      </c>
    </row>
    <row r="14897">
      <c r="A14897" t="n" s="0">
        <v>48.96</v>
      </c>
      <c r="B14897" t="n" s="0">
        <f>(-5-((((-5*(-5/((-5/(((-5*(48.96--5))-(-5+((-5*48.96)*(((-5--5)+(48.96--5))+48.96))))-(-5+-5)))*-5)))/-5)--5)+(-5*(((48.96*(48.96-(-5/-5)))*(48.96-(48.96/(-5*48.96))))-(-5/-5)))))</f>
        <v>582141.2924800001</v>
      </c>
      <c r="C14897" t="n" s="0">
        <v>582141.2924800001</v>
      </c>
    </row>
    <row r="14898">
      <c r="A14898" t="n" s="0">
        <v>48.97</v>
      </c>
      <c r="B14898" t="n" s="0">
        <f>(-5-((((-5*(-5/((-5/(((-5*(48.97--5))-(-5+((-5*48.97)*(((-5--5)+(48.97--5))+48.97))))-(-5+-5)))*-5)))/-5)--5)+(-5*(((48.97*(48.97-(-5/-5)))*(48.97-(48.97/(-5*48.97))))-(-5/-5)))))</f>
        <v>582498.999565</v>
      </c>
      <c r="C14898" t="n" s="0">
        <v>582498.999565</v>
      </c>
    </row>
    <row r="14899">
      <c r="A14899" t="n" s="0">
        <v>48.98</v>
      </c>
      <c r="B14899" t="n" s="0">
        <f>(-5-((((-5*(-5/((-5/(((-5*(48.98--5))-(-5+((-5*48.98)*(((-5--5)+(48.98--5))+48.98))))-(-5+-5)))*-5)))/-5)--5)+(-5*(((48.98*(48.98-(-5/-5)))*(48.98-(48.98/(-5*48.98))))-(-5/-5)))))</f>
        <v>582856.8531599999</v>
      </c>
      <c r="C14899" t="n" s="0">
        <v>582856.8531599998</v>
      </c>
    </row>
    <row r="14900">
      <c r="A14900" t="n" s="0">
        <v>48.99</v>
      </c>
      <c r="B14900" t="n" s="0">
        <f>(-5-((((-5*(-5/((-5/(((-5*(48.99--5))-(-5+((-5*48.99)*(((-5--5)+(48.99--5))+48.99))))-(-5+-5)))*-5)))/-5)--5)+(-5*(((48.99*(48.99-(-5/-5)))*(48.99-(48.99/(-5*48.99))))-(-5/-5)))))</f>
        <v>583214.853295</v>
      </c>
      <c r="C14900" t="n" s="0">
        <v>583214.8532949999</v>
      </c>
    </row>
    <row r="14901">
      <c r="A14901" t="n" s="0">
        <v>49.0</v>
      </c>
      <c r="B14901" t="n" s="0">
        <f>(-5-((((-5*(-5/((-5/(((-5*(49--5))-(-5+((-5*49)*(((-5--5)+(49--5))+49))))-(-5+-5)))*-5)))/-5)--5)+(-5*(((49*(49-(-5/-5)))*(49-(49/(-5*49))))-(-5/-5)))))</f>
        <v>583573.0</v>
      </c>
      <c r="C14901" t="n" s="0">
        <v>583573.0</v>
      </c>
    </row>
    <row r="14902">
      <c r="A14902" t="n" s="0">
        <v>49.01</v>
      </c>
      <c r="B14902" t="n" s="0">
        <f>(-5-((((-5*(-5/((-5/(((-5*(49.01--5))-(-5+((-5*49.01)*(((-5--5)+(49.01--5))+49.01))))-(-5+-5)))*-5)))/-5)--5)+(-5*(((49.01*(49.01-(-5/-5)))*(49.01-(49.01/(-5*49.01))))-(-5/-5)))))</f>
        <v>583931.293305</v>
      </c>
      <c r="C14902" t="n" s="0">
        <v>583931.293305</v>
      </c>
    </row>
    <row r="14903">
      <c r="A14903" t="n" s="0">
        <v>49.02</v>
      </c>
      <c r="B14903" t="n" s="0">
        <f>(-5-((((-5*(-5/((-5/(((-5*(49.02--5))-(-5+((-5*49.02)*(((-5--5)+(49.02--5))+49.02))))-(-5+-5)))*-5)))/-5)--5)+(-5*(((49.02*(49.02-(-5/-5)))*(49.02-(49.02/(-5*49.02))))-(-5/-5)))))</f>
        <v>584289.7332400001</v>
      </c>
      <c r="C14903" t="n" s="0">
        <v>584289.7332400002</v>
      </c>
    </row>
    <row r="14904">
      <c r="A14904" t="n" s="0">
        <v>49.03</v>
      </c>
      <c r="B14904" t="n" s="0">
        <f>(-5-((((-5*(-5/((-5/(((-5*(49.03--5))-(-5+((-5*49.03)*(((-5--5)+(49.03--5))+49.03))))-(-5+-5)))*-5)))/-5)--5)+(-5*(((49.03*(49.03-(-5/-5)))*(49.03-(49.03/(-5*49.03))))-(-5/-5)))))</f>
        <v>584648.319835</v>
      </c>
      <c r="C14904" t="n" s="0">
        <v>584648.3198350001</v>
      </c>
    </row>
    <row r="14905">
      <c r="A14905" t="n" s="0">
        <v>49.04</v>
      </c>
      <c r="B14905" t="n" s="0">
        <f>(-5-((((-5*(-5/((-5/(((-5*(49.04--5))-(-5+((-5*49.04)*(((-5--5)+(49.04--5))+49.04))))-(-5+-5)))*-5)))/-5)--5)+(-5*(((49.04*(49.04-(-5/-5)))*(49.04-(49.04/(-5*49.04))))-(-5/-5)))))</f>
        <v>585007.05312</v>
      </c>
      <c r="C14905" t="n" s="0">
        <v>585007.0531199999</v>
      </c>
    </row>
    <row r="14906">
      <c r="A14906" t="n" s="0">
        <v>49.05</v>
      </c>
      <c r="B14906" t="n" s="0">
        <f>(-5-((((-5*(-5/((-5/(((-5*(49.05--5))-(-5+((-5*49.05)*(((-5--5)+(49.05--5))+49.05))))-(-5+-5)))*-5)))/-5)--5)+(-5*(((49.05*(49.05-(-5/-5)))*(49.05-(49.05/(-5*49.05))))-(-5/-5)))))</f>
        <v>585365.933125</v>
      </c>
      <c r="C14906" t="n" s="0">
        <v>585365.9331249999</v>
      </c>
    </row>
    <row r="14907">
      <c r="A14907" t="n" s="0">
        <v>49.06</v>
      </c>
      <c r="B14907" t="n" s="0">
        <f>(-5-((((-5*(-5/((-5/(((-5*(49.06--5))-(-5+((-5*49.06)*(((-5--5)+(49.06--5))+49.06))))-(-5+-5)))*-5)))/-5)--5)+(-5*(((49.06*(49.06-(-5/-5)))*(49.06-(49.06/(-5*49.06))))-(-5/-5)))))</f>
        <v>585724.95988</v>
      </c>
      <c r="C14907" t="n" s="0">
        <v>585724.9598800001</v>
      </c>
    </row>
    <row r="14908">
      <c r="A14908" t="n" s="0">
        <v>49.07</v>
      </c>
      <c r="B14908" t="n" s="0">
        <f>(-5-((((-5*(-5/((-5/(((-5*(49.07--5))-(-5+((-5*49.07)*(((-5--5)+(49.07--5))+49.07))))-(-5+-5)))*-5)))/-5)--5)+(-5*(((49.07*(49.07-(-5/-5)))*(49.07-(49.07/(-5*49.07))))-(-5/-5)))))</f>
        <v>586084.133415</v>
      </c>
      <c r="C14908" t="n" s="0">
        <v>586084.1334149999</v>
      </c>
    </row>
    <row r="14909">
      <c r="A14909" t="n" s="0">
        <v>49.08</v>
      </c>
      <c r="B14909" t="n" s="0">
        <f>(-5-((((-5*(-5/((-5/(((-5*(49.08--5))-(-5+((-5*49.08)*(((-5--5)+(49.08--5))+49.08))))-(-5+-5)))*-5)))/-5)--5)+(-5*(((49.08*(49.08-(-5/-5)))*(49.08-(49.08/(-5*49.08))))-(-5/-5)))))</f>
        <v>586443.4537600001</v>
      </c>
      <c r="C14909" t="n" s="0">
        <v>586443.45376</v>
      </c>
    </row>
    <row r="14910">
      <c r="A14910" t="n" s="0">
        <v>49.09</v>
      </c>
      <c r="B14910" t="n" s="0">
        <f>(-5-((((-5*(-5/((-5/(((-5*(49.09--5))-(-5+((-5*49.09)*(((-5--5)+(49.09--5))+49.09))))-(-5+-5)))*-5)))/-5)--5)+(-5*(((49.09*(49.09-(-5/-5)))*(49.09-(49.09/(-5*49.09))))-(-5/-5)))))</f>
        <v>586802.9209449999</v>
      </c>
      <c r="C14910" t="n" s="0">
        <v>586802.9209450003</v>
      </c>
    </row>
    <row r="14911">
      <c r="A14911" t="n" s="0">
        <v>49.1</v>
      </c>
      <c r="B14911" t="n" s="0">
        <f>(-5-((((-5*(-5/((-5/(((-5*(49.1--5))-(-5+((-5*49.1)*(((-5--5)+(49.1--5))+49.1))))-(-5+-5)))*-5)))/-5)--5)+(-5*(((49.1*(49.1-(-5/-5)))*(49.1-(49.1/(-5*49.1))))-(-5/-5)))))</f>
        <v>587162.535</v>
      </c>
      <c r="C14911" t="n" s="0">
        <v>587162.535</v>
      </c>
    </row>
    <row r="14912">
      <c r="A14912" t="n" s="0">
        <v>49.11</v>
      </c>
      <c r="B14912" t="n" s="0">
        <f>(-5-((((-5*(-5/((-5/(((-5*(49.11--5))-(-5+((-5*49.11)*(((-5--5)+(49.11--5))+49.11))))-(-5+-5)))*-5)))/-5)--5)+(-5*(((49.11*(49.11-(-5/-5)))*(49.11-(49.11/(-5*49.11))))-(-5/-5)))))</f>
        <v>587522.295955</v>
      </c>
      <c r="C14912" t="n" s="0">
        <v>587522.2959549999</v>
      </c>
    </row>
    <row r="14913">
      <c r="A14913" t="n" s="0">
        <v>49.12</v>
      </c>
      <c r="B14913" t="n" s="0">
        <f>(-5-((((-5*(-5/((-5/(((-5*(49.12--5))-(-5+((-5*49.12)*(((-5--5)+(49.12--5))+49.12))))-(-5+-5)))*-5)))/-5)--5)+(-5*(((49.12*(49.12-(-5/-5)))*(49.12-(49.12/(-5*49.12))))-(-5/-5)))))</f>
        <v>587882.20384</v>
      </c>
      <c r="C14913" t="n" s="0">
        <v>587882.2038399999</v>
      </c>
    </row>
    <row r="14914">
      <c r="A14914" t="n" s="0">
        <v>49.13</v>
      </c>
      <c r="B14914" t="n" s="0">
        <f>(-5-((((-5*(-5/((-5/(((-5*(49.13--5))-(-5+((-5*49.13)*(((-5--5)+(49.13--5))+49.13))))-(-5+-5)))*-5)))/-5)--5)+(-5*(((49.13*(49.13-(-5/-5)))*(49.13-(49.13/(-5*49.13))))-(-5/-5)))))</f>
        <v>588242.258685</v>
      </c>
      <c r="C14914" t="n" s="0">
        <v>588242.2586850001</v>
      </c>
    </row>
    <row r="14915">
      <c r="A14915" t="n" s="0">
        <v>49.14</v>
      </c>
      <c r="B14915" t="n" s="0">
        <f>(-5-((((-5*(-5/((-5/(((-5*(49.14--5))-(-5+((-5*49.14)*(((-5--5)+(49.14--5))+49.14))))-(-5+-5)))*-5)))/-5)--5)+(-5*(((49.14*(49.14-(-5/-5)))*(49.14-(49.14/(-5*49.14))))-(-5/-5)))))</f>
        <v>588602.46052</v>
      </c>
      <c r="C14915" t="n" s="0">
        <v>588602.4605200001</v>
      </c>
    </row>
    <row r="14916">
      <c r="A14916" t="n" s="0">
        <v>49.15</v>
      </c>
      <c r="B14916" t="n" s="0">
        <f>(-5-((((-5*(-5/((-5/(((-5*(49.15--5))-(-5+((-5*49.15)*(((-5--5)+(49.15--5))+49.15))))-(-5+-5)))*-5)))/-5)--5)+(-5*(((49.15*(49.15-(-5/-5)))*(49.15-(49.15/(-5*49.15))))-(-5/-5)))))</f>
        <v>588962.8093750001</v>
      </c>
      <c r="C14916" t="n" s="0">
        <v>588962.809375</v>
      </c>
    </row>
    <row r="14917">
      <c r="A14917" t="n" s="0">
        <v>49.16</v>
      </c>
      <c r="B14917" t="n" s="0">
        <f>(-5-((((-5*(-5/((-5/(((-5*(49.16--5))-(-5+((-5*49.16)*(((-5--5)+(49.16--5))+49.16))))-(-5+-5)))*-5)))/-5)--5)+(-5*(((49.16*(49.16-(-5/-5)))*(49.16-(49.16/(-5*49.16))))-(-5/-5)))))</f>
        <v>589323.30528</v>
      </c>
      <c r="C14917" t="n" s="0">
        <v>589323.3052799999</v>
      </c>
    </row>
    <row r="14918">
      <c r="A14918" t="n" s="0">
        <v>49.17</v>
      </c>
      <c r="B14918" t="n" s="0">
        <f>(-5-((((-5*(-5/((-5/(((-5*(49.17--5))-(-5+((-5*49.17)*(((-5--5)+(49.17--5))+49.17))))-(-5+-5)))*-5)))/-5)--5)+(-5*(((49.17*(49.17-(-5/-5)))*(49.17-(49.17/(-5*49.17))))-(-5/-5)))))</f>
        <v>589683.9482649999</v>
      </c>
      <c r="C14918" t="n" s="0">
        <v>589683.948265</v>
      </c>
    </row>
    <row r="14919">
      <c r="A14919" t="n" s="0">
        <v>49.18</v>
      </c>
      <c r="B14919" t="n" s="0">
        <f>(-5-((((-5*(-5/((-5/(((-5*(49.18--5))-(-5+((-5*49.18)*(((-5--5)+(49.18--5))+49.18))))-(-5+-5)))*-5)))/-5)--5)+(-5*(((49.18*(49.18-(-5/-5)))*(49.18-(49.18/(-5*49.18))))-(-5/-5)))))</f>
        <v>590044.7383600001</v>
      </c>
      <c r="C14919" t="n" s="0">
        <v>590044.7383600001</v>
      </c>
    </row>
    <row r="14920">
      <c r="A14920" t="n" s="0">
        <v>49.19</v>
      </c>
      <c r="B14920" t="n" s="0">
        <f>(-5-((((-5*(-5/((-5/(((-5*(49.19--5))-(-5+((-5*49.19)*(((-5--5)+(49.19--5))+49.19))))-(-5+-5)))*-5)))/-5)--5)+(-5*(((49.19*(49.19-(-5/-5)))*(49.19-(49.19/(-5*49.19))))-(-5/-5)))))</f>
        <v>590405.675595</v>
      </c>
      <c r="C14920" t="n" s="0">
        <v>590405.6755949998</v>
      </c>
    </row>
    <row r="14921">
      <c r="A14921" t="n" s="0">
        <v>49.2</v>
      </c>
      <c r="B14921" t="n" s="0">
        <f>(-5-((((-5*(-5/((-5/(((-5*(49.2--5))-(-5+((-5*49.2)*(((-5--5)+(49.2--5))+49.2))))-(-5+-5)))*-5)))/-5)--5)+(-5*(((49.2*(49.2-(-5/-5)))*(49.2-(49.2/(-5*49.2))))-(-5/-5)))))</f>
        <v>590766.76</v>
      </c>
      <c r="C14921" t="n" s="0">
        <v>590766.7600000001</v>
      </c>
    </row>
    <row r="14922">
      <c r="A14922" t="n" s="0">
        <v>49.21</v>
      </c>
      <c r="B14922" t="n" s="0">
        <f>(-5-((((-5*(-5/((-5/(((-5*(49.21--5))-(-5+((-5*49.21)*(((-5--5)+(49.21--5))+49.21))))-(-5+-5)))*-5)))/-5)--5)+(-5*(((49.21*(49.21-(-5/-5)))*(49.21-(49.21/(-5*49.21))))-(-5/-5)))))</f>
        <v>591127.991605</v>
      </c>
      <c r="C14922" t="n" s="0">
        <v>591127.991605</v>
      </c>
    </row>
    <row r="14923">
      <c r="A14923" t="n" s="0">
        <v>49.22</v>
      </c>
      <c r="B14923" t="n" s="0">
        <f>(-5-((((-5*(-5/((-5/(((-5*(49.22--5))-(-5+((-5*49.22)*(((-5--5)+(49.22--5))+49.22))))-(-5+-5)))*-5)))/-5)--5)+(-5*(((49.22*(49.22-(-5/-5)))*(49.22-(49.22/(-5*49.22))))-(-5/-5)))))</f>
        <v>591489.37044</v>
      </c>
      <c r="C14923" t="n" s="0">
        <v>591489.37044</v>
      </c>
    </row>
    <row r="14924">
      <c r="A14924" t="n" s="0">
        <v>49.23</v>
      </c>
      <c r="B14924" t="n" s="0">
        <f>(-5-((((-5*(-5/((-5/(((-5*(49.23--5))-(-5+((-5*49.23)*(((-5--5)+(49.23--5))+49.23))))-(-5+-5)))*-5)))/-5)--5)+(-5*(((49.23*(49.23-(-5/-5)))*(49.23-(49.23/(-5*49.23))))-(-5/-5)))))</f>
        <v>591850.8965350001</v>
      </c>
      <c r="C14924" t="n" s="0">
        <v>591850.8965349998</v>
      </c>
    </row>
    <row r="14925">
      <c r="A14925" t="n" s="0">
        <v>49.24</v>
      </c>
      <c r="B14925" t="n" s="0">
        <f>(-5-((((-5*(-5/((-5/(((-5*(49.24--5))-(-5+((-5*49.24)*(((-5--5)+(49.24--5))+49.24))))-(-5+-5)))*-5)))/-5)--5)+(-5*(((49.24*(49.24-(-5/-5)))*(49.24-(49.24/(-5*49.24))))-(-5/-5)))))</f>
        <v>592212.56992</v>
      </c>
      <c r="C14925" t="n" s="0">
        <v>592212.56992</v>
      </c>
    </row>
    <row r="14926">
      <c r="A14926" t="n" s="0">
        <v>49.25</v>
      </c>
      <c r="B14926" t="n" s="0">
        <f>(-5-((((-5*(-5/((-5/(((-5*(49.25--5))-(-5+((-5*49.25)*(((-5--5)+(49.25--5))+49.25))))-(-5+-5)))*-5)))/-5)--5)+(-5*(((49.25*(49.25-(-5/-5)))*(49.25-(49.25/(-5*49.25))))-(-5/-5)))))</f>
        <v>592574.390625</v>
      </c>
      <c r="C14926" t="n" s="0">
        <v>592574.390625</v>
      </c>
    </row>
    <row r="14927">
      <c r="A14927" t="n" s="0">
        <v>49.26</v>
      </c>
      <c r="B14927" t="n" s="0">
        <f>(-5-((((-5*(-5/((-5/(((-5*(49.26--5))-(-5+((-5*49.26)*(((-5--5)+(49.26--5))+49.26))))-(-5+-5)))*-5)))/-5)--5)+(-5*(((49.26*(49.26-(-5/-5)))*(49.26-(49.26/(-5*49.26))))-(-5/-5)))))</f>
        <v>592936.3586800001</v>
      </c>
      <c r="C14927" t="n" s="0">
        <v>592936.35868</v>
      </c>
    </row>
    <row r="14928">
      <c r="A14928" t="n" s="0">
        <v>49.27</v>
      </c>
      <c r="B14928" t="n" s="0">
        <f>(-5-((((-5*(-5/((-5/(((-5*(49.27--5))-(-5+((-5*49.27)*(((-5--5)+(49.27--5))+49.27))))-(-5+-5)))*-5)))/-5)--5)+(-5*(((49.27*(49.27-(-5/-5)))*(49.27-(49.27/(-5*49.27))))-(-5/-5)))))</f>
        <v>593298.474115</v>
      </c>
      <c r="C14928" t="n" s="0">
        <v>593298.4741150001</v>
      </c>
    </row>
    <row r="14929">
      <c r="A14929" t="n" s="0">
        <v>49.28</v>
      </c>
      <c r="B14929" t="n" s="0">
        <f>(-5-((((-5*(-5/((-5/(((-5*(49.28--5))-(-5+((-5*49.28)*(((-5--5)+(49.28--5))+49.28))))-(-5+-5)))*-5)))/-5)--5)+(-5*(((49.28*(49.28-(-5/-5)))*(49.28-(49.28/(-5*49.28))))-(-5/-5)))))</f>
        <v>593660.73696</v>
      </c>
      <c r="C14929" t="n" s="0">
        <v>593660.73696</v>
      </c>
    </row>
    <row r="14930">
      <c r="A14930" t="n" s="0">
        <v>49.29</v>
      </c>
      <c r="B14930" t="n" s="0">
        <f>(-5-((((-5*(-5/((-5/(((-5*(49.29--5))-(-5+((-5*49.29)*(((-5--5)+(49.29--5))+49.29))))-(-5+-5)))*-5)))/-5)--5)+(-5*(((49.29*(49.29-(-5/-5)))*(49.29-(49.29/(-5*49.29))))-(-5/-5)))))</f>
        <v>594023.1472450001</v>
      </c>
      <c r="C14930" t="n" s="0">
        <v>594023.1472449999</v>
      </c>
    </row>
    <row r="14931">
      <c r="A14931" t="n" s="0">
        <v>49.3</v>
      </c>
      <c r="B14931" t="n" s="0">
        <f>(-5-((((-5*(-5/((-5/(((-5*(49.3--5))-(-5+((-5*49.3)*(((-5--5)+(49.3--5))+49.3))))-(-5+-5)))*-5)))/-5)--5)+(-5*(((49.3*(49.3-(-5/-5)))*(49.3-(49.3/(-5*49.3))))-(-5/-5)))))</f>
        <v>594385.7050000001</v>
      </c>
      <c r="C14931" t="n" s="0">
        <v>594385.705</v>
      </c>
    </row>
    <row r="14932">
      <c r="A14932" t="n" s="0">
        <v>49.31</v>
      </c>
      <c r="B14932" t="n" s="0">
        <f>(-5-((((-5*(-5/((-5/(((-5*(49.31--5))-(-5+((-5*49.31)*(((-5--5)+(49.31--5))+49.31))))-(-5+-5)))*-5)))/-5)--5)+(-5*(((49.31*(49.31-(-5/-5)))*(49.31-(49.31/(-5*49.31))))-(-5/-5)))))</f>
        <v>594748.4102549999</v>
      </c>
      <c r="C14932" t="n" s="0">
        <v>594748.4102550001</v>
      </c>
    </row>
    <row r="14933">
      <c r="A14933" t="n" s="0">
        <v>49.32</v>
      </c>
      <c r="B14933" t="n" s="0">
        <f>(-5-((((-5*(-5/((-5/(((-5*(49.32--5))-(-5+((-5*49.32)*(((-5--5)+(49.32--5))+49.32))))-(-5+-5)))*-5)))/-5)--5)+(-5*(((49.32*(49.32-(-5/-5)))*(49.32-(49.32/(-5*49.32))))-(-5/-5)))))</f>
        <v>595111.26304</v>
      </c>
      <c r="C14933" t="n" s="0">
        <v>595111.26304</v>
      </c>
    </row>
    <row r="14934">
      <c r="A14934" t="n" s="0">
        <v>49.33</v>
      </c>
      <c r="B14934" t="n" s="0">
        <f>(-5-((((-5*(-5/((-5/(((-5*(49.33--5))-(-5+((-5*49.33)*(((-5--5)+(49.33--5))+49.33))))-(-5+-5)))*-5)))/-5)--5)+(-5*(((49.33*(49.33-(-5/-5)))*(49.33-(49.33/(-5*49.33))))-(-5/-5)))))</f>
        <v>595474.2633849999</v>
      </c>
      <c r="C14934" t="n" s="0">
        <v>595474.2633849998</v>
      </c>
    </row>
    <row r="14935">
      <c r="A14935" t="n" s="0">
        <v>49.34</v>
      </c>
      <c r="B14935" t="n" s="0">
        <f>(-5-((((-5*(-5/((-5/(((-5*(49.34--5))-(-5+((-5*49.34)*(((-5--5)+(49.34--5))+49.34))))-(-5+-5)))*-5)))/-5)--5)+(-5*(((49.34*(49.34-(-5/-5)))*(49.34-(49.34/(-5*49.34))))-(-5/-5)))))</f>
        <v>595837.4113200001</v>
      </c>
      <c r="C14935" t="n" s="0">
        <v>595837.4113200001</v>
      </c>
    </row>
    <row r="14936">
      <c r="A14936" t="n" s="0">
        <v>49.35</v>
      </c>
      <c r="B14936" t="n" s="0">
        <f>(-5-((((-5*(-5/((-5/(((-5*(49.35--5))-(-5+((-5*49.35)*(((-5--5)+(49.35--5))+49.35))))-(-5+-5)))*-5)))/-5)--5)+(-5*(((49.35*(49.35-(-5/-5)))*(49.35-(49.35/(-5*49.35))))-(-5/-5)))))</f>
        <v>596200.706875</v>
      </c>
      <c r="C14936" t="n" s="0">
        <v>596200.7068750001</v>
      </c>
    </row>
    <row r="14937">
      <c r="A14937" t="n" s="0">
        <v>49.36</v>
      </c>
      <c r="B14937" t="n" s="0">
        <f>(-5-((((-5*(-5/((-5/(((-5*(49.36--5))-(-5+((-5*49.36)*(((-5--5)+(49.36--5))+49.36))))-(-5+-5)))*-5)))/-5)--5)+(-5*(((49.36*(49.36-(-5/-5)))*(49.36-(49.36/(-5*49.36))))-(-5/-5)))))</f>
        <v>596564.1500799999</v>
      </c>
      <c r="C14937" t="n" s="0">
        <v>596564.1500799999</v>
      </c>
    </row>
    <row r="14938">
      <c r="A14938" t="n" s="0">
        <v>49.37</v>
      </c>
      <c r="B14938" t="n" s="0">
        <f>(-5-((((-5*(-5/((-5/(((-5*(49.37--5))-(-5+((-5*49.37)*(((-5--5)+(49.37--5))+49.37))))-(-5+-5)))*-5)))/-5)--5)+(-5*(((49.37*(49.37-(-5/-5)))*(49.37-(49.37/(-5*49.37))))-(-5/-5)))))</f>
        <v>596927.740965</v>
      </c>
      <c r="C14938" t="n" s="0">
        <v>596927.7409649999</v>
      </c>
    </row>
    <row r="14939">
      <c r="A14939" t="n" s="0">
        <v>49.38</v>
      </c>
      <c r="B14939" t="n" s="0">
        <f>(-5-((((-5*(-5/((-5/(((-5*(49.38--5))-(-5+((-5*49.38)*(((-5--5)+(49.38--5))+49.38))))-(-5+-5)))*-5)))/-5)--5)+(-5*(((49.38*(49.38-(-5/-5)))*(49.38-(49.38/(-5*49.38))))-(-5/-5)))))</f>
        <v>597291.47956</v>
      </c>
      <c r="C14939" t="n" s="0">
        <v>597291.4795600002</v>
      </c>
    </row>
    <row r="14940">
      <c r="A14940" t="n" s="0">
        <v>49.39</v>
      </c>
      <c r="B14940" t="n" s="0">
        <f>(-5-((((-5*(-5/((-5/(((-5*(49.39--5))-(-5+((-5*49.39)*(((-5--5)+(49.39--5))+49.39))))-(-5+-5)))*-5)))/-5)--5)+(-5*(((49.39*(49.39-(-5/-5)))*(49.39-(49.39/(-5*49.39))))-(-5/-5)))))</f>
        <v>597655.365895</v>
      </c>
      <c r="C14940" t="n" s="0">
        <v>597655.365895</v>
      </c>
    </row>
    <row r="14941">
      <c r="A14941" t="n" s="0">
        <v>49.4</v>
      </c>
      <c r="B14941" t="n" s="0">
        <f>(-5-((((-5*(-5/((-5/(((-5*(49.4--5))-(-5+((-5*49.4)*(((-5--5)+(49.4--5))+49.4))))-(-5+-5)))*-5)))/-5)--5)+(-5*(((49.4*(49.4-(-5/-5)))*(49.4-(49.4/(-5*49.4))))-(-5/-5)))))</f>
        <v>598019.3999999999</v>
      </c>
      <c r="C14941" t="n" s="0">
        <v>598019.3999999999</v>
      </c>
    </row>
    <row r="14942">
      <c r="A14942" t="n" s="0">
        <v>49.41</v>
      </c>
      <c r="B14942" t="n" s="0">
        <f>(-5-((((-5*(-5/((-5/(((-5*(49.41--5))-(-5+((-5*49.41)*(((-5--5)+(49.41--5))+49.41))))-(-5+-5)))*-5)))/-5)--5)+(-5*(((49.41*(49.41-(-5/-5)))*(49.41-(49.41/(-5*49.41))))-(-5/-5)))))</f>
        <v>598383.581905</v>
      </c>
      <c r="C14942" t="n" s="0">
        <v>598383.5819049998</v>
      </c>
    </row>
    <row r="14943">
      <c r="A14943" t="n" s="0">
        <v>49.42</v>
      </c>
      <c r="B14943" t="n" s="0">
        <f>(-5-((((-5*(-5/((-5/(((-5*(49.42--5))-(-5+((-5*49.42)*(((-5--5)+(49.42--5))+49.42))))-(-5+-5)))*-5)))/-5)--5)+(-5*(((49.42*(49.42-(-5/-5)))*(49.42-(49.42/(-5*49.42))))-(-5/-5)))))</f>
        <v>598747.91164</v>
      </c>
      <c r="C14943" t="n" s="0">
        <v>598747.9116400001</v>
      </c>
    </row>
    <row r="14944">
      <c r="A14944" t="n" s="0">
        <v>49.43</v>
      </c>
      <c r="B14944" t="n" s="0">
        <f>(-5-((((-5*(-5/((-5/(((-5*(49.43--5))-(-5+((-5*49.43)*(((-5--5)+(49.43--5))+49.43))))-(-5+-5)))*-5)))/-5)--5)+(-5*(((49.43*(49.43-(-5/-5)))*(49.43-(49.43/(-5*49.43))))-(-5/-5)))))</f>
        <v>599112.389235</v>
      </c>
      <c r="C14944" t="n" s="0">
        <v>599112.389235</v>
      </c>
    </row>
    <row r="14945">
      <c r="A14945" t="n" s="0">
        <v>49.44</v>
      </c>
      <c r="B14945" t="n" s="0">
        <f>(-5-((((-5*(-5/((-5/(((-5*(49.44--5))-(-5+((-5*49.44)*(((-5--5)+(49.44--5))+49.44))))-(-5+-5)))*-5)))/-5)--5)+(-5*(((49.44*(49.44-(-5/-5)))*(49.44-(49.44/(-5*49.44))))-(-5/-5)))))</f>
        <v>599477.01472</v>
      </c>
      <c r="C14945" t="n" s="0">
        <v>599477.0147199999</v>
      </c>
    </row>
    <row r="14946">
      <c r="A14946" t="n" s="0">
        <v>49.45</v>
      </c>
      <c r="B14946" t="n" s="0">
        <f>(-5-((((-5*(-5/((-5/(((-5*(49.45--5))-(-5+((-5*49.45)*(((-5--5)+(49.45--5))+49.45))))-(-5+-5)))*-5)))/-5)--5)+(-5*(((49.45*(49.45-(-5/-5)))*(49.45-(49.45/(-5*49.45))))-(-5/-5)))))</f>
        <v>599841.7881250001</v>
      </c>
      <c r="C14946" t="n" s="0">
        <v>599841.7881250001</v>
      </c>
    </row>
    <row r="14947">
      <c r="A14947" t="n" s="0">
        <v>49.46</v>
      </c>
      <c r="B14947" t="n" s="0">
        <f>(-5-((((-5*(-5/((-5/(((-5*(49.46--5))-(-5+((-5*49.46)*(((-5--5)+(49.46--5))+49.46))))-(-5+-5)))*-5)))/-5)--5)+(-5*(((49.46*(49.46-(-5/-5)))*(49.46-(49.46/(-5*49.46))))-(-5/-5)))))</f>
        <v>600206.70948</v>
      </c>
      <c r="C14947" t="n" s="0">
        <v>600206.7094800001</v>
      </c>
    </row>
    <row r="14948">
      <c r="A14948" t="n" s="0">
        <v>49.47</v>
      </c>
      <c r="B14948" t="n" s="0">
        <f>(-5-((((-5*(-5/((-5/(((-5*(49.47--5))-(-5+((-5*49.47)*(((-5--5)+(49.47--5))+49.47))))-(-5+-5)))*-5)))/-5)--5)+(-5*(((49.47*(49.47-(-5/-5)))*(49.47-(49.47/(-5*49.47))))-(-5/-5)))))</f>
        <v>600571.7788150001</v>
      </c>
      <c r="C14948" t="n" s="0">
        <v>600571.778815</v>
      </c>
    </row>
    <row r="14949">
      <c r="A14949" t="n" s="0">
        <v>49.48</v>
      </c>
      <c r="B14949" t="n" s="0">
        <f>(-5-((((-5*(-5/((-5/(((-5*(49.48--5))-(-5+((-5*49.48)*(((-5--5)+(49.48--5))+49.48))))-(-5+-5)))*-5)))/-5)--5)+(-5*(((49.48*(49.48-(-5/-5)))*(49.48-(49.48/(-5*49.48))))-(-5/-5)))))</f>
        <v>600936.99616</v>
      </c>
      <c r="C14949" t="n" s="0">
        <v>600936.9961599999</v>
      </c>
    </row>
    <row r="14950">
      <c r="A14950" t="n" s="0">
        <v>49.49</v>
      </c>
      <c r="B14950" t="n" s="0">
        <f>(-5-((((-5*(-5/((-5/(((-5*(49.49--5))-(-5+((-5*49.49)*(((-5--5)+(49.49--5))+49.49))))-(-5+-5)))*-5)))/-5)--5)+(-5*(((49.49*(49.49-(-5/-5)))*(49.49-(49.49/(-5*49.49))))-(-5/-5)))))</f>
        <v>601302.361545</v>
      </c>
      <c r="C14950" t="n" s="0">
        <v>601302.3615450001</v>
      </c>
    </row>
    <row r="14951">
      <c r="A14951" t="n" s="0">
        <v>49.5</v>
      </c>
      <c r="B14951" t="n" s="0">
        <f>(-5-((((-5*(-5/((-5/(((-5*(49.5--5))-(-5+((-5*49.5)*(((-5--5)+(49.5--5))+49.5))))-(-5+-5)))*-5)))/-5)--5)+(-5*(((49.5*(49.5-(-5/-5)))*(49.5-(49.5/(-5*49.5))))-(-5/-5)))))</f>
        <v>601667.875</v>
      </c>
      <c r="C14951" t="n" s="0">
        <v>601667.875</v>
      </c>
    </row>
    <row r="14952">
      <c r="A14952" t="n" s="0">
        <v>49.51</v>
      </c>
      <c r="B14952" t="n" s="0">
        <f>(-5-((((-5*(-5/((-5/(((-5*(49.51--5))-(-5+((-5*49.51)*(((-5--5)+(49.51--5))+49.51))))-(-5+-5)))*-5)))/-5)--5)+(-5*(((49.51*(49.51-(-5/-5)))*(49.51-(49.51/(-5*49.51))))-(-5/-5)))))</f>
        <v>602033.536555</v>
      </c>
      <c r="C14952" t="n" s="0">
        <v>602033.536555</v>
      </c>
    </row>
    <row r="14953">
      <c r="A14953" t="n" s="0">
        <v>49.52</v>
      </c>
      <c r="B14953" t="n" s="0">
        <f>(-5-((((-5*(-5/((-5/(((-5*(49.52--5))-(-5+((-5*49.52)*(((-5--5)+(49.52--5))+49.52))))-(-5+-5)))*-5)))/-5)--5)+(-5*(((49.52*(49.52-(-5/-5)))*(49.52-(49.52/(-5*49.52))))-(-5/-5)))))</f>
        <v>602399.34624</v>
      </c>
      <c r="C14953" t="n" s="0">
        <v>602399.3462400002</v>
      </c>
    </row>
    <row r="14954">
      <c r="A14954" t="n" s="0">
        <v>49.53</v>
      </c>
      <c r="B14954" t="n" s="0">
        <f>(-5-((((-5*(-5/((-5/(((-5*(49.53--5))-(-5+((-5*49.53)*(((-5--5)+(49.53--5))+49.53))))-(-5+-5)))*-5)))/-5)--5)+(-5*(((49.53*(49.53-(-5/-5)))*(49.53-(49.53/(-5*49.53))))-(-5/-5)))))</f>
        <v>602765.3040850001</v>
      </c>
      <c r="C14954" t="n" s="0">
        <v>602765.304085</v>
      </c>
    </row>
    <row r="14955">
      <c r="A14955" t="n" s="0">
        <v>49.54</v>
      </c>
      <c r="B14955" t="n" s="0">
        <f>(-5-((((-5*(-5/((-5/(((-5*(49.54--5))-(-5+((-5*49.54)*(((-5--5)+(49.54--5))+49.54))))-(-5+-5)))*-5)))/-5)--5)+(-5*(((49.54*(49.54-(-5/-5)))*(49.54-(49.54/(-5*49.54))))-(-5/-5)))))</f>
        <v>603131.41012</v>
      </c>
      <c r="C14955" t="n" s="0">
        <v>603131.41012</v>
      </c>
    </row>
    <row r="14956">
      <c r="A14956" t="n" s="0">
        <v>49.55</v>
      </c>
      <c r="B14956" t="n" s="0">
        <f>(-5-((((-5*(-5/((-5/(((-5*(49.55--5))-(-5+((-5*49.55)*(((-5--5)+(49.55--5))+49.55))))-(-5+-5)))*-5)))/-5)--5)+(-5*(((49.55*(49.55-(-5/-5)))*(49.55-(49.55/(-5*49.55))))-(-5/-5)))))</f>
        <v>603497.6643749999</v>
      </c>
      <c r="C14956" t="n" s="0">
        <v>603497.6643749999</v>
      </c>
    </row>
    <row r="14957">
      <c r="A14957" t="n" s="0">
        <v>49.56</v>
      </c>
      <c r="B14957" t="n" s="0">
        <f>(-5-((((-5*(-5/((-5/(((-5*(49.56--5))-(-5+((-5*49.56)*(((-5--5)+(49.56--5))+49.56))))-(-5+-5)))*-5)))/-5)--5)+(-5*(((49.56*(49.56-(-5/-5)))*(49.56-(49.56/(-5*49.56))))-(-5/-5)))))</f>
        <v>603864.0668799999</v>
      </c>
      <c r="C14957" t="n" s="0">
        <v>603864.0668800002</v>
      </c>
    </row>
    <row r="14958">
      <c r="A14958" t="n" s="0">
        <v>49.57</v>
      </c>
      <c r="B14958" t="n" s="0">
        <f>(-5-((((-5*(-5/((-5/(((-5*(49.57--5))-(-5+((-5*49.57)*(((-5--5)+(49.57--5))+49.57))))-(-5+-5)))*-5)))/-5)--5)+(-5*(((49.57*(49.57-(-5/-5)))*(49.57-(49.57/(-5*49.57))))-(-5/-5)))))</f>
        <v>604230.617665</v>
      </c>
      <c r="C14958" t="n" s="0">
        <v>604230.617665</v>
      </c>
    </row>
    <row r="14959">
      <c r="A14959" t="n" s="0">
        <v>49.58</v>
      </c>
      <c r="B14959" t="n" s="0">
        <f>(-5-((((-5*(-5/((-5/(((-5*(49.58--5))-(-5+((-5*49.58)*(((-5--5)+(49.58--5))+49.58))))-(-5+-5)))*-5)))/-5)--5)+(-5*(((49.58*(49.58-(-5/-5)))*(49.58-(49.58/(-5*49.58))))-(-5/-5)))))</f>
        <v>604597.3167600001</v>
      </c>
      <c r="C14959" t="n" s="0">
        <v>604597.31676</v>
      </c>
    </row>
    <row r="14960">
      <c r="A14960" t="n" s="0">
        <v>49.59</v>
      </c>
      <c r="B14960" t="n" s="0">
        <f>(-5-((((-5*(-5/((-5/(((-5*(49.59--5))-(-5+((-5*49.59)*(((-5--5)+(49.59--5))+49.59))))-(-5+-5)))*-5)))/-5)--5)+(-5*(((49.59*(49.59-(-5/-5)))*(49.59-(49.59/(-5*49.59))))-(-5/-5)))))</f>
        <v>604964.164195</v>
      </c>
      <c r="C14960" t="n" s="0">
        <v>604964.1641950002</v>
      </c>
    </row>
    <row r="14961">
      <c r="A14961" t="n" s="0">
        <v>49.6</v>
      </c>
      <c r="B14961" t="n" s="0">
        <f>(-5-((((-5*(-5/((-5/(((-5*(49.6--5))-(-5+((-5*49.6)*(((-5--5)+(49.6--5))+49.6))))-(-5+-5)))*-5)))/-5)--5)+(-5*(((49.6*(49.6-(-5/-5)))*(49.6-(49.6/(-5*49.6))))-(-5/-5)))))</f>
        <v>605331.1599999999</v>
      </c>
      <c r="C14961" t="n" s="0">
        <v>605331.1600000001</v>
      </c>
    </row>
    <row r="14962">
      <c r="A14962" t="n" s="0">
        <v>49.61</v>
      </c>
      <c r="B14962" t="n" s="0">
        <f>(-5-((((-5*(-5/((-5/(((-5*(49.61--5))-(-5+((-5*49.61)*(((-5--5)+(49.61--5))+49.61))))-(-5+-5)))*-5)))/-5)--5)+(-5*(((49.61*(49.61-(-5/-5)))*(49.61-(49.61/(-5*49.61))))-(-5/-5)))))</f>
        <v>605698.3042049999</v>
      </c>
      <c r="C14962" t="n" s="0">
        <v>605698.3042049999</v>
      </c>
    </row>
    <row r="14963">
      <c r="A14963" t="n" s="0">
        <v>49.62</v>
      </c>
      <c r="B14963" t="n" s="0">
        <f>(-5-((((-5*(-5/((-5/(((-5*(49.62--5))-(-5+((-5*49.62)*(((-5--5)+(49.62--5))+49.62))))-(-5+-5)))*-5)))/-5)--5)+(-5*(((49.62*(49.62-(-5/-5)))*(49.62-(49.62/(-5*49.62))))-(-5/-5)))))</f>
        <v>606065.59684</v>
      </c>
      <c r="C14963" t="n" s="0">
        <v>606065.5968399999</v>
      </c>
    </row>
    <row r="14964">
      <c r="A14964" t="n" s="0">
        <v>49.63</v>
      </c>
      <c r="B14964" t="n" s="0">
        <f>(-5-((((-5*(-5/((-5/(((-5*(49.63--5))-(-5+((-5*49.63)*(((-5--5)+(49.63--5))+49.63))))-(-5+-5)))*-5)))/-5)--5)+(-5*(((49.63*(49.63-(-5/-5)))*(49.63-(49.63/(-5*49.63))))-(-5/-5)))))</f>
        <v>606433.037935</v>
      </c>
      <c r="C14964" t="n" s="0">
        <v>606433.0379350001</v>
      </c>
    </row>
    <row r="14965">
      <c r="A14965" t="n" s="0">
        <v>49.64</v>
      </c>
      <c r="B14965" t="n" s="0">
        <f>(-5-((((-5*(-5/((-5/(((-5*(49.64--5))-(-5+((-5*49.64)*(((-5--5)+(49.64--5))+49.64))))-(-5+-5)))*-5)))/-5)--5)+(-5*(((49.64*(49.64-(-5/-5)))*(49.64-(49.64/(-5*49.64))))-(-5/-5)))))</f>
        <v>606800.62752</v>
      </c>
      <c r="C14965" t="n" s="0">
        <v>606800.6275200001</v>
      </c>
    </row>
    <row r="14966">
      <c r="A14966" t="n" s="0">
        <v>49.65</v>
      </c>
      <c r="B14966" t="n" s="0">
        <f>(-5-((((-5*(-5/((-5/(((-5*(49.65--5))-(-5+((-5*49.65)*(((-5--5)+(49.65--5))+49.65))))-(-5+-5)))*-5)))/-5)--5)+(-5*(((49.65*(49.65-(-5/-5)))*(49.65-(49.65/(-5*49.65))))-(-5/-5)))))</f>
        <v>607168.365625</v>
      </c>
      <c r="C14966" t="n" s="0">
        <v>607168.3656249999</v>
      </c>
    </row>
    <row r="14967">
      <c r="A14967" t="n" s="0">
        <v>49.66</v>
      </c>
      <c r="B14967" t="n" s="0">
        <f>(-5-((((-5*(-5/((-5/(((-5*(49.66--5))-(-5+((-5*49.66)*(((-5--5)+(49.66--5))+49.66))))-(-5+-5)))*-5)))/-5)--5)+(-5*(((49.66*(49.66-(-5/-5)))*(49.66-(49.66/(-5*49.66))))-(-5/-5)))))</f>
        <v>607536.25228</v>
      </c>
      <c r="C14967" t="n" s="0">
        <v>607536.2522799998</v>
      </c>
    </row>
    <row r="14968">
      <c r="A14968" t="n" s="0">
        <v>49.67</v>
      </c>
      <c r="B14968" t="n" s="0">
        <f>(-5-((((-5*(-5/((-5/(((-5*(49.67--5))-(-5+((-5*49.67)*(((-5--5)+(49.67--5))+49.67))))-(-5+-5)))*-5)))/-5)--5)+(-5*(((49.67*(49.67-(-5/-5)))*(49.67-(49.67/(-5*49.67))))-(-5/-5)))))</f>
        <v>607904.2875150001</v>
      </c>
      <c r="C14968" t="n" s="0">
        <v>607904.2875150001</v>
      </c>
    </row>
    <row r="14969">
      <c r="A14969" t="n" s="0">
        <v>49.68</v>
      </c>
      <c r="B14969" t="n" s="0">
        <f>(-5-((((-5*(-5/((-5/(((-5*(49.68--5))-(-5+((-5*49.68)*(((-5--5)+(49.68--5))+49.68))))-(-5+-5)))*-5)))/-5)--5)+(-5*(((49.68*(49.68-(-5/-5)))*(49.68-(49.68/(-5*49.68))))-(-5/-5)))))</f>
        <v>608272.4713600001</v>
      </c>
      <c r="C14969" t="n" s="0">
        <v>608272.4713600001</v>
      </c>
    </row>
    <row r="14970">
      <c r="A14970" t="n" s="0">
        <v>49.69</v>
      </c>
      <c r="B14970" t="n" s="0">
        <f>(-5-((((-5*(-5/((-5/(((-5*(49.69--5))-(-5+((-5*49.69)*(((-5--5)+(49.69--5))+49.69))))-(-5+-5)))*-5)))/-5)--5)+(-5*(((49.69*(49.69-(-5/-5)))*(49.69-(49.69/(-5*49.69))))-(-5/-5)))))</f>
        <v>608640.803845</v>
      </c>
      <c r="C14970" t="n" s="0">
        <v>608640.8038449999</v>
      </c>
    </row>
    <row r="14971">
      <c r="A14971" t="n" s="0">
        <v>49.7</v>
      </c>
      <c r="B14971" t="n" s="0">
        <f>(-5-((((-5*(-5/((-5/(((-5*(49.7--5))-(-5+((-5*49.7)*(((-5--5)+(49.7--5))+49.7))))-(-5+-5)))*-5)))/-5)--5)+(-5*(((49.7*(49.7-(-5/-5)))*(49.7-(49.7/(-5*49.7))))-(-5/-5)))))</f>
        <v>609009.285</v>
      </c>
      <c r="C14971" t="n" s="0">
        <v>609009.285</v>
      </c>
    </row>
    <row r="14972">
      <c r="A14972" t="n" s="0">
        <v>49.71</v>
      </c>
      <c r="B14972" t="n" s="0">
        <f>(-5-((((-5*(-5/((-5/(((-5*(49.71--5))-(-5+((-5*49.71)*(((-5--5)+(49.71--5))+49.71))))-(-5+-5)))*-5)))/-5)--5)+(-5*(((49.71*(49.71-(-5/-5)))*(49.71-(49.71/(-5*49.71))))-(-5/-5)))))</f>
        <v>609377.9148550001</v>
      </c>
      <c r="C14972" t="n" s="0">
        <v>609377.9148550001</v>
      </c>
    </row>
    <row r="14973">
      <c r="A14973" t="n" s="0">
        <v>49.72</v>
      </c>
      <c r="B14973" t="n" s="0">
        <f>(-5-((((-5*(-5/((-5/(((-5*(49.72--5))-(-5+((-5*49.72)*(((-5--5)+(49.72--5))+49.72))))-(-5+-5)))*-5)))/-5)--5)+(-5*(((49.72*(49.72-(-5/-5)))*(49.72-(49.72/(-5*49.72))))-(-5/-5)))))</f>
        <v>609746.69344</v>
      </c>
      <c r="C14973" t="n" s="0">
        <v>609746.69344</v>
      </c>
    </row>
    <row r="14974">
      <c r="A14974" t="n" s="0">
        <v>49.73</v>
      </c>
      <c r="B14974" t="n" s="0">
        <f>(-5-((((-5*(-5/((-5/(((-5*(49.73--5))-(-5+((-5*49.73)*(((-5--5)+(49.73--5))+49.73))))-(-5+-5)))*-5)))/-5)--5)+(-5*(((49.73*(49.73-(-5/-5)))*(49.73-(49.73/(-5*49.73))))-(-5/-5)))))</f>
        <v>610115.620785</v>
      </c>
      <c r="C14974" t="n" s="0">
        <v>610115.6207849998</v>
      </c>
    </row>
    <row r="14975">
      <c r="A14975" t="n" s="0">
        <v>49.74</v>
      </c>
      <c r="B14975" t="n" s="0">
        <f>(-5-((((-5*(-5/((-5/(((-5*(49.74--5))-(-5+((-5*49.74)*(((-5--5)+(49.74--5))+49.74))))-(-5+-5)))*-5)))/-5)--5)+(-5*(((49.74*(49.74-(-5/-5)))*(49.74-(49.74/(-5*49.74))))-(-5/-5)))))</f>
        <v>610484.69692</v>
      </c>
      <c r="C14975" t="n" s="0">
        <v>610484.69692</v>
      </c>
    </row>
    <row r="14976">
      <c r="A14976" t="n" s="0">
        <v>49.75</v>
      </c>
      <c r="B14976" t="n" s="0">
        <f>(-5-((((-5*(-5/((-5/(((-5*(49.75--5))-(-5+((-5*49.75)*(((-5--5)+(49.75--5))+49.75))))-(-5+-5)))*-5)))/-5)--5)+(-5*(((49.75*(49.75-(-5/-5)))*(49.75-(49.75/(-5*49.75))))-(-5/-5)))))</f>
        <v>610853.921875</v>
      </c>
      <c r="C14976" t="n" s="0">
        <v>610853.921875</v>
      </c>
    </row>
    <row r="14977">
      <c r="A14977" t="n" s="0">
        <v>49.76</v>
      </c>
      <c r="B14977" t="n" s="0">
        <f>(-5-((((-5*(-5/((-5/(((-5*(49.76--5))-(-5+((-5*49.76)*(((-5--5)+(49.76--5))+49.76))))-(-5+-5)))*-5)))/-5)--5)+(-5*(((49.76*(49.76-(-5/-5)))*(49.76-(49.76/(-5*49.76))))-(-5/-5)))))</f>
        <v>611223.29568</v>
      </c>
      <c r="C14977" t="n" s="0">
        <v>611223.29568</v>
      </c>
    </row>
    <row r="14978">
      <c r="A14978" t="n" s="0">
        <v>49.77</v>
      </c>
      <c r="B14978" t="n" s="0">
        <f>(-5-((((-5*(-5/((-5/(((-5*(49.77--5))-(-5+((-5*49.77)*(((-5--5)+(49.77--5))+49.77))))-(-5+-5)))*-5)))/-5)--5)+(-5*(((49.77*(49.77-(-5/-5)))*(49.77-(49.77/(-5*49.77))))-(-5/-5)))))</f>
        <v>611592.818365</v>
      </c>
      <c r="C14978" t="n" s="0">
        <v>611592.8183650002</v>
      </c>
    </row>
    <row r="14979">
      <c r="A14979" t="n" s="0">
        <v>49.78</v>
      </c>
      <c r="B14979" t="n" s="0">
        <f>(-5-((((-5*(-5/((-5/(((-5*(49.78--5))-(-5+((-5*49.78)*(((-5--5)+(49.78--5))+49.78))))-(-5+-5)))*-5)))/-5)--5)+(-5*(((49.78*(49.78-(-5/-5)))*(49.78-(49.78/(-5*49.78))))-(-5/-5)))))</f>
        <v>611962.48996</v>
      </c>
      <c r="C14979" t="n" s="0">
        <v>611962.4899599999</v>
      </c>
    </row>
    <row r="14980">
      <c r="A14980" t="n" s="0">
        <v>49.79</v>
      </c>
      <c r="B14980" t="n" s="0">
        <f>(-5-((((-5*(-5/((-5/(((-5*(49.79--5))-(-5+((-5*49.79)*(((-5--5)+(49.79--5))+49.79))))-(-5+-5)))*-5)))/-5)--5)+(-5*(((49.79*(49.79-(-5/-5)))*(49.79-(49.79/(-5*49.79))))-(-5/-5)))))</f>
        <v>612332.310495</v>
      </c>
      <c r="C14980" t="n" s="0">
        <v>612332.310495</v>
      </c>
    </row>
    <row r="14981">
      <c r="A14981" t="n" s="0">
        <v>49.8</v>
      </c>
      <c r="B14981" t="n" s="0">
        <f>(-5-((((-5*(-5/((-5/(((-5*(49.8--5))-(-5+((-5*49.8)*(((-5--5)+(49.8--5))+49.8))))-(-5+-5)))*-5)))/-5)--5)+(-5*(((49.8*(49.8-(-5/-5)))*(49.8-(49.8/(-5*49.8))))-(-5/-5)))))</f>
        <v>612702.28</v>
      </c>
      <c r="C14981" t="n" s="0">
        <v>612702.28</v>
      </c>
    </row>
    <row r="14982">
      <c r="A14982" t="n" s="0">
        <v>49.81</v>
      </c>
      <c r="B14982" t="n" s="0">
        <f>(-5-((((-5*(-5/((-5/(((-5*(49.81--5))-(-5+((-5*49.81)*(((-5--5)+(49.81--5))+49.81))))-(-5+-5)))*-5)))/-5)--5)+(-5*(((49.81*(49.81-(-5/-5)))*(49.81-(49.81/(-5*49.81))))-(-5/-5)))))</f>
        <v>613072.398505</v>
      </c>
      <c r="C14982" t="n" s="0">
        <v>613072.398505</v>
      </c>
    </row>
    <row r="14983">
      <c r="A14983" t="n" s="0">
        <v>49.82</v>
      </c>
      <c r="B14983" t="n" s="0">
        <f>(-5-((((-5*(-5/((-5/(((-5*(49.82--5))-(-5+((-5*49.82)*(((-5--5)+(49.82--5))+49.82))))-(-5+-5)))*-5)))/-5)--5)+(-5*(((49.82*(49.82-(-5/-5)))*(49.82-(49.82/(-5*49.82))))-(-5/-5)))))</f>
        <v>613442.6660399999</v>
      </c>
      <c r="C14983" t="n" s="0">
        <v>613442.6660399999</v>
      </c>
    </row>
    <row r="14984">
      <c r="A14984" t="n" s="0">
        <v>49.83</v>
      </c>
      <c r="B14984" t="n" s="0">
        <f>(-5-((((-5*(-5/((-5/(((-5*(49.83--5))-(-5+((-5*49.83)*(((-5--5)+(49.83--5))+49.83))))-(-5+-5)))*-5)))/-5)--5)+(-5*(((49.83*(49.83-(-5/-5)))*(49.83-(49.83/(-5*49.83))))-(-5/-5)))))</f>
        <v>613813.082635</v>
      </c>
      <c r="C14984" t="n" s="0">
        <v>613813.082635</v>
      </c>
    </row>
    <row r="14985">
      <c r="A14985" t="n" s="0">
        <v>49.84</v>
      </c>
      <c r="B14985" t="n" s="0">
        <f>(-5-((((-5*(-5/((-5/(((-5*(49.84--5))-(-5+((-5*49.84)*(((-5--5)+(49.84--5))+49.84))))-(-5+-5)))*-5)))/-5)--5)+(-5*(((49.84*(49.84-(-5/-5)))*(49.84-(49.84/(-5*49.84))))-(-5/-5)))))</f>
        <v>614183.6483199999</v>
      </c>
      <c r="C14985" t="n" s="0">
        <v>614183.6483200002</v>
      </c>
    </row>
    <row r="14986">
      <c r="A14986" t="n" s="0">
        <v>49.85</v>
      </c>
      <c r="B14986" t="n" s="0">
        <f>(-5-((((-5*(-5/((-5/(((-5*(49.85--5))-(-5+((-5*49.85)*(((-5--5)+(49.85--5))+49.85))))-(-5+-5)))*-5)))/-5)--5)+(-5*(((49.85*(49.85-(-5/-5)))*(49.85-(49.85/(-5*49.85))))-(-5/-5)))))</f>
        <v>614554.3631249999</v>
      </c>
      <c r="C14986" t="n" s="0">
        <v>614554.363125</v>
      </c>
    </row>
    <row r="14987">
      <c r="A14987" t="n" s="0">
        <v>49.86</v>
      </c>
      <c r="B14987" t="n" s="0">
        <f>(-5-((((-5*(-5/((-5/(((-5*(49.86--5))-(-5+((-5*49.86)*(((-5--5)+(49.86--5))+49.86))))-(-5+-5)))*-5)))/-5)--5)+(-5*(((49.86*(49.86-(-5/-5)))*(49.86-(49.86/(-5*49.86))))-(-5/-5)))))</f>
        <v>614925.2270800001</v>
      </c>
      <c r="C14987" t="n" s="0">
        <v>614925.2270799999</v>
      </c>
    </row>
    <row r="14988">
      <c r="A14988" t="n" s="0">
        <v>49.87</v>
      </c>
      <c r="B14988" t="n" s="0">
        <f>(-5-((((-5*(-5/((-5/(((-5*(49.87--5))-(-5+((-5*49.87)*(((-5--5)+(49.87--5))+49.87))))-(-5+-5)))*-5)))/-5)--5)+(-5*(((49.87*(49.87-(-5/-5)))*(49.87-(49.87/(-5*49.87))))-(-5/-5)))))</f>
        <v>615296.2402150001</v>
      </c>
      <c r="C14988" t="n" s="0">
        <v>615296.2402149999</v>
      </c>
    </row>
    <row r="14989">
      <c r="A14989" t="n" s="0">
        <v>49.88</v>
      </c>
      <c r="B14989" t="n" s="0">
        <f>(-5-((((-5*(-5/((-5/(((-5*(49.88--5))-(-5+((-5*49.88)*(((-5--5)+(49.88--5))+49.88))))-(-5+-5)))*-5)))/-5)--5)+(-5*(((49.88*(49.88-(-5/-5)))*(49.88-(49.88/(-5*49.88))))-(-5/-5)))))</f>
        <v>615667.40256</v>
      </c>
      <c r="C14989" t="n" s="0">
        <v>615667.4025600001</v>
      </c>
    </row>
    <row r="14990">
      <c r="A14990" t="n" s="0">
        <v>49.89</v>
      </c>
      <c r="B14990" t="n" s="0">
        <f>(-5-((((-5*(-5/((-5/(((-5*(49.89--5))-(-5+((-5*49.89)*(((-5--5)+(49.89--5))+49.89))))-(-5+-5)))*-5)))/-5)--5)+(-5*(((49.89*(49.89-(-5/-5)))*(49.89-(49.89/(-5*49.89))))-(-5/-5)))))</f>
        <v>616038.7141450001</v>
      </c>
      <c r="C14990" t="n" s="0">
        <v>616038.7141450001</v>
      </c>
    </row>
    <row r="14991">
      <c r="A14991" t="n" s="0">
        <v>49.9</v>
      </c>
      <c r="B14991" t="n" s="0">
        <f>(-5-((((-5*(-5/((-5/(((-5*(49.9--5))-(-5+((-5*49.9)*(((-5--5)+(49.9--5))+49.9))))-(-5+-5)))*-5)))/-5)--5)+(-5*(((49.9*(49.9-(-5/-5)))*(49.9-(49.9/(-5*49.9))))-(-5/-5)))))</f>
        <v>616410.175</v>
      </c>
      <c r="C14991" t="n" s="0">
        <v>616410.1749999999</v>
      </c>
    </row>
    <row r="14992">
      <c r="A14992" t="n" s="0">
        <v>49.91</v>
      </c>
      <c r="B14992" t="n" s="0">
        <f>(-5-((((-5*(-5/((-5/(((-5*(49.91--5))-(-5+((-5*49.91)*(((-5--5)+(49.91--5))+49.91))))-(-5+-5)))*-5)))/-5)--5)+(-5*(((49.91*(49.91-(-5/-5)))*(49.91-(49.91/(-5*49.91))))-(-5/-5)))))</f>
        <v>616781.7851549999</v>
      </c>
      <c r="C14992" t="n" s="0">
        <v>616781.7851549999</v>
      </c>
    </row>
    <row r="14993">
      <c r="A14993" t="n" s="0">
        <v>49.92</v>
      </c>
      <c r="B14993" t="n" s="0">
        <f>(-5-((((-5*(-5/((-5/(((-5*(49.92--5))-(-5+((-5*49.92)*(((-5--5)+(49.92--5))+49.92))))-(-5+-5)))*-5)))/-5)--5)+(-5*(((49.92*(49.92-(-5/-5)))*(49.92-(49.92/(-5*49.92))))-(-5/-5)))))</f>
        <v>617153.5446400001</v>
      </c>
      <c r="C14993" t="n" s="0">
        <v>617153.54464</v>
      </c>
    </row>
    <row r="14994">
      <c r="A14994" t="n" s="0">
        <v>49.93</v>
      </c>
      <c r="B14994" t="n" s="0">
        <f>(-5-((((-5*(-5/((-5/(((-5*(49.93--5))-(-5+((-5*49.93)*(((-5--5)+(49.93--5))+49.93))))-(-5+-5)))*-5)))/-5)--5)+(-5*(((49.93*(49.93-(-5/-5)))*(49.93-(49.93/(-5*49.93))))-(-5/-5)))))</f>
        <v>617525.453485</v>
      </c>
      <c r="C14994" t="n" s="0">
        <v>617525.4534850001</v>
      </c>
    </row>
    <row r="14995">
      <c r="A14995" t="n" s="0">
        <v>49.94</v>
      </c>
      <c r="B14995" t="n" s="0">
        <f>(-5-((((-5*(-5/((-5/(((-5*(49.94--5))-(-5+((-5*49.94)*(((-5--5)+(49.94--5))+49.94))))-(-5+-5)))*-5)))/-5)--5)+(-5*(((49.94*(49.94-(-5/-5)))*(49.94-(49.94/(-5*49.94))))-(-5/-5)))))</f>
        <v>617897.51172</v>
      </c>
      <c r="C14995" t="n" s="0">
        <v>617897.5117199998</v>
      </c>
    </row>
    <row r="14996">
      <c r="A14996" t="n" s="0">
        <v>49.95</v>
      </c>
      <c r="B14996" t="n" s="0">
        <f>(-5-((((-5*(-5/((-5/(((-5*(49.95--5))-(-5+((-5*49.95)*(((-5--5)+(49.95--5))+49.95))))-(-5+-5)))*-5)))/-5)--5)+(-5*(((49.95*(49.95-(-5/-5)))*(49.95-(49.95/(-5*49.95))))-(-5/-5)))))</f>
        <v>618269.7193750001</v>
      </c>
      <c r="C14996" t="n" s="0">
        <v>618269.7193750001</v>
      </c>
    </row>
    <row r="14997">
      <c r="A14997" t="n" s="0">
        <v>49.96</v>
      </c>
      <c r="B14997" t="n" s="0">
        <f>(-5-((((-5*(-5/((-5/(((-5*(49.96--5))-(-5+((-5*49.96)*(((-5--5)+(49.96--5))+49.96))))-(-5+-5)))*-5)))/-5)--5)+(-5*(((49.96*(49.96-(-5/-5)))*(49.96-(49.96/(-5*49.96))))-(-5/-5)))))</f>
        <v>618642.07648</v>
      </c>
      <c r="C14997" t="n" s="0">
        <v>618642.07648</v>
      </c>
    </row>
    <row r="14998">
      <c r="A14998" t="n" s="0">
        <v>49.97</v>
      </c>
      <c r="B14998" t="n" s="0">
        <f>(-5-((((-5*(-5/((-5/(((-5*(49.97--5))-(-5+((-5*49.97)*(((-5--5)+(49.97--5))+49.97))))-(-5+-5)))*-5)))/-5)--5)+(-5*(((49.97*(49.97-(-5/-5)))*(49.97-(49.97/(-5*49.97))))-(-5/-5)))))</f>
        <v>619014.583065</v>
      </c>
      <c r="C14998" t="n" s="0">
        <v>619014.583065</v>
      </c>
    </row>
    <row r="14999">
      <c r="A14999" t="n" s="0">
        <v>49.98</v>
      </c>
      <c r="B14999" t="n" s="0">
        <f>(-5-((((-5*(-5/((-5/(((-5*(49.98--5))-(-5+((-5*49.98)*(((-5--5)+(49.98--5))+49.98))))-(-5+-5)))*-5)))/-5)--5)+(-5*(((49.98*(49.98-(-5/-5)))*(49.98-(49.98/(-5*49.98))))-(-5/-5)))))</f>
        <v>619387.23916</v>
      </c>
      <c r="C14999" t="n" s="0">
        <v>619387.2391599998</v>
      </c>
    </row>
    <row r="15000">
      <c r="A15000" t="n" s="0">
        <v>49.99</v>
      </c>
      <c r="B15000" t="n" s="0">
        <f>(-5-((((-5*(-5/((-5/(((-5*(49.99--5))-(-5+((-5*49.99)*(((-5--5)+(49.99--5))+49.99))))-(-5+-5)))*-5)))/-5)--5)+(-5*(((49.99*(49.99-(-5/-5)))*(49.99-(49.99/(-5*49.99))))-(-5/-5)))))</f>
        <v>619760.044795</v>
      </c>
      <c r="C15000" t="n" s="0">
        <v>619760.0447950001</v>
      </c>
    </row>
    <row r="15001">
      <c r="A15001" t="n" s="0">
        <v>50.0</v>
      </c>
      <c r="B15001" t="n" s="0">
        <f>(-5-((((-5*(-5/((-5/(((-5*(50--5))-(-5+((-5*50)*(((-5--5)+(50--5))+50))))-(-5+-5)))*-5)))/-5)--5)+(-5*(((50*(50-(-5/-5)))*(50-(50/(-5*50))))-(-5/-5)))))</f>
        <v>620133.0</v>
      </c>
      <c r="C15001" t="n" s="0">
        <v>620133.0</v>
      </c>
    </row>
    <row r="15002">
      <c r="A15002" t="n" s="0">
        <v>50.01</v>
      </c>
      <c r="B15002" t="n" s="0">
        <f>(-5-((((-5*(-5/((-5/(((-5*(50.01--5))-(-5+((-5*50.01)*(((-5--5)+(50.01--5))+50.01))))-(-5+-5)))*-5)))/-5)--5)+(-5*(((50.01*(50.01-(-5/-5)))*(50.01-(50.01/(-5*50.01))))-(-5/-5)))))</f>
        <v>620506.104805</v>
      </c>
      <c r="C15002" t="n" s="0">
        <v>620506.1048049999</v>
      </c>
    </row>
    <row r="15003">
      <c r="A15003" t="n" s="0">
        <v>50.02</v>
      </c>
      <c r="B15003" t="n" s="0">
        <f>(-5-((((-5*(-5/((-5/(((-5*(50.02--5))-(-5+((-5*50.02)*(((-5--5)+(50.02--5))+50.02))))-(-5+-5)))*-5)))/-5)--5)+(-5*(((50.02*(50.02-(-5/-5)))*(50.02-(50.02/(-5*50.02))))-(-5/-5)))))</f>
        <v>620879.35924</v>
      </c>
      <c r="C15003" t="n" s="0">
        <v>620879.3592400001</v>
      </c>
    </row>
    <row r="15004">
      <c r="A15004" t="n" s="0">
        <v>50.03</v>
      </c>
      <c r="B15004" t="n" s="0">
        <f>(-5-((((-5*(-5/((-5/(((-5*(50.03--5))-(-5+((-5*50.03)*(((-5--5)+(50.03--5))+50.03))))-(-5+-5)))*-5)))/-5)--5)+(-5*(((50.03*(50.03-(-5/-5)))*(50.03-(50.03/(-5*50.03))))-(-5/-5)))))</f>
        <v>621252.7633349999</v>
      </c>
      <c r="C15004" t="n" s="0">
        <v>621252.763335</v>
      </c>
    </row>
    <row r="15005">
      <c r="A15005" t="n" s="0">
        <v>50.04</v>
      </c>
      <c r="B15005" t="n" s="0">
        <f>(-5-((((-5*(-5/((-5/(((-5*(50.04--5))-(-5+((-5*50.04)*(((-5--5)+(50.04--5))+50.04))))-(-5+-5)))*-5)))/-5)--5)+(-5*(((50.04*(50.04-(-5/-5)))*(50.04-(50.04/(-5*50.04))))-(-5/-5)))))</f>
        <v>621626.3171199999</v>
      </c>
      <c r="C15005" t="n" s="0">
        <v>621626.3171199999</v>
      </c>
    </row>
    <row r="15006">
      <c r="A15006" t="n" s="0">
        <v>50.05</v>
      </c>
      <c r="B15006" t="n" s="0">
        <f>(-5-((((-5*(-5/((-5/(((-5*(50.05--5))-(-5+((-5*50.05)*(((-5--5)+(50.05--5))+50.05))))-(-5+-5)))*-5)))/-5)--5)+(-5*(((50.05*(50.05-(-5/-5)))*(50.05-(50.05/(-5*50.05))))-(-5/-5)))))</f>
        <v>622000.020625</v>
      </c>
      <c r="C15006" t="n" s="0">
        <v>622000.0206249999</v>
      </c>
    </row>
    <row r="15007">
      <c r="A15007" t="n" s="0">
        <v>50.06</v>
      </c>
      <c r="B15007" t="n" s="0">
        <f>(-5-((((-5*(-5/((-5/(((-5*(50.06--5))-(-5+((-5*50.06)*(((-5--5)+(50.06--5))+50.06))))-(-5+-5)))*-5)))/-5)--5)+(-5*(((50.06*(50.06-(-5/-5)))*(50.06-(50.06/(-5*50.06))))-(-5/-5)))))</f>
        <v>622373.87388</v>
      </c>
      <c r="C15007" t="n" s="0">
        <v>622373.8738800002</v>
      </c>
    </row>
    <row r="15008">
      <c r="A15008" t="n" s="0">
        <v>50.07</v>
      </c>
      <c r="B15008" t="n" s="0">
        <f>(-5-((((-5*(-5/((-5/(((-5*(50.07--5))-(-5+((-5*50.07)*(((-5--5)+(50.07--5))+50.07))))-(-5+-5)))*-5)))/-5)--5)+(-5*(((50.07*(50.07-(-5/-5)))*(50.07-(50.07/(-5*50.07))))-(-5/-5)))))</f>
        <v>622747.876915</v>
      </c>
      <c r="C15008" t="n" s="0">
        <v>622747.876915</v>
      </c>
    </row>
    <row r="15009">
      <c r="A15009" t="n" s="0">
        <v>50.08</v>
      </c>
      <c r="B15009" t="n" s="0">
        <f>(-5-((((-5*(-5/((-5/(((-5*(50.08--5))-(-5+((-5*50.08)*(((-5--5)+(50.08--5))+50.08))))-(-5+-5)))*-5)))/-5)--5)+(-5*(((50.08*(50.08-(-5/-5)))*(50.08-(50.08/(-5*50.08))))-(-5/-5)))))</f>
        <v>623122.02976</v>
      </c>
      <c r="C15009" t="n" s="0">
        <v>623122.02976</v>
      </c>
    </row>
    <row r="15010">
      <c r="A15010" t="n" s="0">
        <v>50.09</v>
      </c>
      <c r="B15010" t="n" s="0">
        <f>(-5-((((-5*(-5/((-5/(((-5*(50.09--5))-(-5+((-5*50.09)*(((-5--5)+(50.09--5))+50.09))))-(-5+-5)))*-5)))/-5)--5)+(-5*(((50.09*(50.09-(-5/-5)))*(50.09-(50.09/(-5*50.09))))-(-5/-5)))))</f>
        <v>623496.3324450001</v>
      </c>
      <c r="C15010" t="n" s="0">
        <v>623496.3324450002</v>
      </c>
    </row>
    <row r="15011">
      <c r="A15011" t="n" s="0">
        <v>50.1</v>
      </c>
      <c r="B15011" t="n" s="0">
        <f>(-5-((((-5*(-5/((-5/(((-5*(50.1--5))-(-5+((-5*50.1)*(((-5--5)+(50.1--5))+50.1))))-(-5+-5)))*-5)))/-5)--5)+(-5*(((50.1*(50.1-(-5/-5)))*(50.1-(50.1/(-5*50.1))))-(-5/-5)))))</f>
        <v>623870.785</v>
      </c>
      <c r="C15011" t="n" s="0">
        <v>623870.785</v>
      </c>
    </row>
    <row r="15012">
      <c r="A15012" t="n" s="0">
        <v>50.11</v>
      </c>
      <c r="B15012" t="n" s="0">
        <f>(-5-((((-5*(-5/((-5/(((-5*(50.11--5))-(-5+((-5*50.11)*(((-5--5)+(50.11--5))+50.11))))-(-5+-5)))*-5)))/-5)--5)+(-5*(((50.11*(50.11-(-5/-5)))*(50.11-(50.11/(-5*50.11))))-(-5/-5)))))</f>
        <v>624245.3874550001</v>
      </c>
      <c r="C15012" t="n" s="0">
        <v>624245.387455</v>
      </c>
    </row>
    <row r="15013">
      <c r="A15013" t="n" s="0">
        <v>50.12</v>
      </c>
      <c r="B15013" t="n" s="0">
        <f>(-5-((((-5*(-5/((-5/(((-5*(50.12--5))-(-5+((-5*50.12)*(((-5--5)+(50.12--5))+50.12))))-(-5+-5)))*-5)))/-5)--5)+(-5*(((50.12*(50.12-(-5/-5)))*(50.12-(50.12/(-5*50.12))))-(-5/-5)))))</f>
        <v>624620.13984</v>
      </c>
      <c r="C15013" t="n" s="0">
        <v>624620.13984</v>
      </c>
    </row>
    <row r="15014">
      <c r="A15014" t="n" s="0">
        <v>50.13</v>
      </c>
      <c r="B15014" t="n" s="0">
        <f>(-5-((((-5*(-5/((-5/(((-5*(50.13--5))-(-5+((-5*50.13)*(((-5--5)+(50.13--5))+50.13))))-(-5+-5)))*-5)))/-5)--5)+(-5*(((50.13*(50.13-(-5/-5)))*(50.13-(50.13/(-5*50.13))))-(-5/-5)))))</f>
        <v>624995.042185</v>
      </c>
      <c r="C15014" t="n" s="0">
        <v>624995.0421850001</v>
      </c>
    </row>
    <row r="15015">
      <c r="A15015" t="n" s="0">
        <v>50.14</v>
      </c>
      <c r="B15015" t="n" s="0">
        <f>(-5-((((-5*(-5/((-5/(((-5*(50.14--5))-(-5+((-5*50.14)*(((-5--5)+(50.14--5))+50.14))))-(-5+-5)))*-5)))/-5)--5)+(-5*(((50.14*(50.14-(-5/-5)))*(50.14-(50.14/(-5*50.14))))-(-5/-5)))))</f>
        <v>625370.09452</v>
      </c>
      <c r="C15015" t="n" s="0">
        <v>625370.09452</v>
      </c>
    </row>
    <row r="15016">
      <c r="A15016" t="n" s="0">
        <v>50.15</v>
      </c>
      <c r="B15016" t="n" s="0">
        <f>(-5-((((-5*(-5/((-5/(((-5*(50.15--5))-(-5+((-5*50.15)*(((-5--5)+(50.15--5))+50.15))))-(-5+-5)))*-5)))/-5)--5)+(-5*(((50.15*(50.15-(-5/-5)))*(50.15-(50.15/(-5*50.15))))-(-5/-5)))))</f>
        <v>625745.296875</v>
      </c>
      <c r="C15016" t="n" s="0">
        <v>625745.2968749999</v>
      </c>
    </row>
    <row r="15017">
      <c r="A15017" t="n" s="0">
        <v>50.16</v>
      </c>
      <c r="B15017" t="n" s="0">
        <f>(-5-((((-5*(-5/((-5/(((-5*(50.16--5))-(-5+((-5*50.16)*(((-5--5)+(50.16--5))+50.16))))-(-5+-5)))*-5)))/-5)--5)+(-5*(((50.16*(50.16-(-5/-5)))*(50.16-(50.16/(-5*50.16))))-(-5/-5)))))</f>
        <v>626120.64928</v>
      </c>
      <c r="C15017" t="n" s="0">
        <v>626120.6492799999</v>
      </c>
    </row>
    <row r="15018">
      <c r="A15018" t="n" s="0">
        <v>50.17</v>
      </c>
      <c r="B15018" t="n" s="0">
        <f>(-5-((((-5*(-5/((-5/(((-5*(50.17--5))-(-5+((-5*50.17)*(((-5--5)+(50.17--5))+50.17))))-(-5+-5)))*-5)))/-5)--5)+(-5*(((50.17*(50.17-(-5/-5)))*(50.17-(50.17/(-5*50.17))))-(-5/-5)))))</f>
        <v>626496.151765</v>
      </c>
      <c r="C15018" t="n" s="0">
        <v>626496.1517650002</v>
      </c>
    </row>
    <row r="15019">
      <c r="A15019" t="n" s="0">
        <v>50.18</v>
      </c>
      <c r="B15019" t="n" s="0">
        <f>(-5-((((-5*(-5/((-5/(((-5*(50.18--5))-(-5+((-5*50.18)*(((-5--5)+(50.18--5))+50.18))))-(-5+-5)))*-5)))/-5)--5)+(-5*(((50.18*(50.18-(-5/-5)))*(50.18-(50.18/(-5*50.18))))-(-5/-5)))))</f>
        <v>626871.8043600001</v>
      </c>
      <c r="C15019" t="n" s="0">
        <v>626871.80436</v>
      </c>
    </row>
    <row r="15020">
      <c r="A15020" t="n" s="0">
        <v>50.19</v>
      </c>
      <c r="B15020" t="n" s="0">
        <f>(-5-((((-5*(-5/((-5/(((-5*(50.19--5))-(-5+((-5*50.19)*(((-5--5)+(50.19--5))+50.19))))-(-5+-5)))*-5)))/-5)--5)+(-5*(((50.19*(50.19-(-5/-5)))*(50.19-(50.19/(-5*50.19))))-(-5/-5)))))</f>
        <v>627247.6070950001</v>
      </c>
      <c r="C15020" t="n" s="0">
        <v>627247.6070949998</v>
      </c>
    </row>
    <row r="15021">
      <c r="A15021" t="n" s="0">
        <v>50.2</v>
      </c>
      <c r="B15021" t="n" s="0">
        <f>(-5-((((-5*(-5/((-5/(((-5*(50.2--5))-(-5+((-5*50.2)*(((-5--5)+(50.2--5))+50.2))))-(-5+-5)))*-5)))/-5)--5)+(-5*(((50.2*(50.2-(-5/-5)))*(50.2-(50.2/(-5*50.2))))-(-5/-5)))))</f>
        <v>627623.56</v>
      </c>
      <c r="C15021" t="n" s="0">
        <v>627623.56</v>
      </c>
    </row>
    <row r="15022">
      <c r="A15022" t="n" s="0">
        <v>50.21</v>
      </c>
      <c r="B15022" t="n" s="0">
        <f>(-5-((((-5*(-5/((-5/(((-5*(50.21--5))-(-5+((-5*50.21)*(((-5--5)+(50.21--5))+50.21))))-(-5+-5)))*-5)))/-5)--5)+(-5*(((50.21*(50.21-(-5/-5)))*(50.21-(50.21/(-5*50.21))))-(-5/-5)))))</f>
        <v>627999.6631049999</v>
      </c>
      <c r="C15022" t="n" s="0">
        <v>627999.663105</v>
      </c>
    </row>
    <row r="15023">
      <c r="A15023" t="n" s="0">
        <v>50.22</v>
      </c>
      <c r="B15023" t="n" s="0">
        <f>(-5-((((-5*(-5/((-5/(((-5*(50.22--5))-(-5+((-5*50.22)*(((-5--5)+(50.22--5))+50.22))))-(-5+-5)))*-5)))/-5)--5)+(-5*(((50.22*(50.22-(-5/-5)))*(50.22-(50.22/(-5*50.22))))-(-5/-5)))))</f>
        <v>628375.91644</v>
      </c>
      <c r="C15023" t="n" s="0">
        <v>628375.91644</v>
      </c>
    </row>
    <row r="15024">
      <c r="A15024" t="n" s="0">
        <v>50.23</v>
      </c>
      <c r="B15024" t="n" s="0">
        <f>(-5-((((-5*(-5/((-5/(((-5*(50.23--5))-(-5+((-5*50.23)*(((-5--5)+(50.23--5))+50.23))))-(-5+-5)))*-5)))/-5)--5)+(-5*(((50.23*(50.23-(-5/-5)))*(50.23-(50.23/(-5*50.23))))-(-5/-5)))))</f>
        <v>628752.3200350001</v>
      </c>
      <c r="C15024" t="n" s="0">
        <v>628752.3200349999</v>
      </c>
    </row>
    <row r="15025">
      <c r="A15025" t="n" s="0">
        <v>50.24</v>
      </c>
      <c r="B15025" t="n" s="0">
        <f>(-5-((((-5*(-5/((-5/(((-5*(50.24--5))-(-5+((-5*50.24)*(((-5--5)+(50.24--5))+50.24))))-(-5+-5)))*-5)))/-5)--5)+(-5*(((50.24*(50.24-(-5/-5)))*(50.24-(50.24/(-5*50.24))))-(-5/-5)))))</f>
        <v>629128.8739199999</v>
      </c>
      <c r="C15025" t="n" s="0">
        <v>629128.87392</v>
      </c>
    </row>
    <row r="15026">
      <c r="A15026" t="n" s="0">
        <v>50.25</v>
      </c>
      <c r="B15026" t="n" s="0">
        <f>(-5-((((-5*(-5/((-5/(((-5*(50.25--5))-(-5+((-5*50.25)*(((-5--5)+(50.25--5))+50.25))))-(-5+-5)))*-5)))/-5)--5)+(-5*(((50.25*(50.25-(-5/-5)))*(50.25-(50.25/(-5*50.25))))-(-5/-5)))))</f>
        <v>629505.578125</v>
      </c>
      <c r="C15026" t="n" s="0">
        <v>629505.578125</v>
      </c>
    </row>
    <row r="15027">
      <c r="A15027" t="n" s="0">
        <v>50.26</v>
      </c>
      <c r="B15027" t="n" s="0">
        <f>(-5-((((-5*(-5/((-5/(((-5*(50.26--5))-(-5+((-5*50.26)*(((-5--5)+(50.26--5))+50.26))))-(-5+-5)))*-5)))/-5)--5)+(-5*(((50.26*(50.26-(-5/-5)))*(50.26-(50.26/(-5*50.26))))-(-5/-5)))))</f>
        <v>629882.43268</v>
      </c>
      <c r="C15027" t="n" s="0">
        <v>629882.43268</v>
      </c>
    </row>
    <row r="15028">
      <c r="A15028" t="n" s="0">
        <v>50.27</v>
      </c>
      <c r="B15028" t="n" s="0">
        <f>(-5-((((-5*(-5/((-5/(((-5*(50.27--5))-(-5+((-5*50.27)*(((-5--5)+(50.27--5))+50.27))))-(-5+-5)))*-5)))/-5)--5)+(-5*(((50.27*(50.27-(-5/-5)))*(50.27-(50.27/(-5*50.27))))-(-5/-5)))))</f>
        <v>630259.4376150001</v>
      </c>
      <c r="C15028" t="n" s="0">
        <v>630259.4376150001</v>
      </c>
    </row>
    <row r="15029">
      <c r="A15029" t="n" s="0">
        <v>50.28</v>
      </c>
      <c r="B15029" t="n" s="0">
        <f>(-5-((((-5*(-5/((-5/(((-5*(50.28--5))-(-5+((-5*50.28)*(((-5--5)+(50.28--5))+50.28))))-(-5+-5)))*-5)))/-5)--5)+(-5*(((50.28*(50.28-(-5/-5)))*(50.28-(50.28/(-5*50.28))))-(-5/-5)))))</f>
        <v>630636.59296</v>
      </c>
      <c r="C15029" t="n" s="0">
        <v>630636.59296</v>
      </c>
    </row>
    <row r="15030">
      <c r="A15030" t="n" s="0">
        <v>50.29</v>
      </c>
      <c r="B15030" t="n" s="0">
        <f>(-5-((((-5*(-5/((-5/(((-5*(50.29--5))-(-5+((-5*50.29)*(((-5--5)+(50.29--5))+50.29))))-(-5+-5)))*-5)))/-5)--5)+(-5*(((50.29*(50.29-(-5/-5)))*(50.29-(50.29/(-5*50.29))))-(-5/-5)))))</f>
        <v>631013.898745</v>
      </c>
      <c r="C15030" t="n" s="0">
        <v>631013.898745</v>
      </c>
    </row>
    <row r="15031">
      <c r="A15031" t="n" s="0">
        <v>50.3</v>
      </c>
      <c r="B15031" t="n" s="0">
        <f>(-5-((((-5*(-5/((-5/(((-5*(50.3--5))-(-5+((-5*50.3)*(((-5--5)+(50.3--5))+50.3))))-(-5+-5)))*-5)))/-5)--5)+(-5*(((50.3*(50.3-(-5/-5)))*(50.3-(50.3/(-5*50.3))))-(-5/-5)))))</f>
        <v>631391.355</v>
      </c>
      <c r="C15031" t="n" s="0">
        <v>631391.3549999999</v>
      </c>
    </row>
    <row r="15032">
      <c r="A15032" t="n" s="0">
        <v>50.31</v>
      </c>
      <c r="B15032" t="n" s="0">
        <f>(-5-((((-5*(-5/((-5/(((-5*(50.31--5))-(-5+((-5*50.31)*(((-5--5)+(50.31--5))+50.31))))-(-5+-5)))*-5)))/-5)--5)+(-5*(((50.31*(50.31-(-5/-5)))*(50.31-(50.31/(-5*50.31))))-(-5/-5)))))</f>
        <v>631768.9617549999</v>
      </c>
      <c r="C15032" t="n" s="0">
        <v>631768.961755</v>
      </c>
    </row>
    <row r="15033">
      <c r="A15033" t="n" s="0">
        <v>50.32</v>
      </c>
      <c r="B15033" t="n" s="0">
        <f>(-5-((((-5*(-5/((-5/(((-5*(50.32--5))-(-5+((-5*50.32)*(((-5--5)+(50.32--5))+50.32))))-(-5+-5)))*-5)))/-5)--5)+(-5*(((50.32*(50.32-(-5/-5)))*(50.32-(50.32/(-5*50.32))))-(-5/-5)))))</f>
        <v>632146.71904</v>
      </c>
      <c r="C15033" t="n" s="0">
        <v>632146.71904</v>
      </c>
    </row>
    <row r="15034">
      <c r="A15034" t="n" s="0">
        <v>50.33</v>
      </c>
      <c r="B15034" t="n" s="0">
        <f>(-5-((((-5*(-5/((-5/(((-5*(50.33--5))-(-5+((-5*50.33)*(((-5--5)+(50.33--5))+50.33))))-(-5+-5)))*-5)))/-5)--5)+(-5*(((50.33*(50.33-(-5/-5)))*(50.33-(50.33/(-5*50.33))))-(-5/-5)))))</f>
        <v>632524.626885</v>
      </c>
      <c r="C15034" t="n" s="0">
        <v>632524.6268849999</v>
      </c>
    </row>
    <row r="15035">
      <c r="A15035" t="n" s="0">
        <v>50.34</v>
      </c>
      <c r="B15035" t="n" s="0">
        <f>(-5-((((-5*(-5/((-5/(((-5*(50.34--5))-(-5+((-5*50.34)*(((-5--5)+(50.34--5))+50.34))))-(-5+-5)))*-5)))/-5)--5)+(-5*(((50.34*(50.34-(-5/-5)))*(50.34-(50.34/(-5*50.34))))-(-5/-5)))))</f>
        <v>632902.68532</v>
      </c>
      <c r="C15035" t="n" s="0">
        <v>632902.6853200002</v>
      </c>
    </row>
    <row r="15036">
      <c r="A15036" t="n" s="0">
        <v>50.35</v>
      </c>
      <c r="B15036" t="n" s="0">
        <f>(-5-((((-5*(-5/((-5/(((-5*(50.35--5))-(-5+((-5*50.35)*(((-5--5)+(50.35--5))+50.35))))-(-5+-5)))*-5)))/-5)--5)+(-5*(((50.35*(50.35-(-5/-5)))*(50.35-(50.35/(-5*50.35))))-(-5/-5)))))</f>
        <v>633280.894375</v>
      </c>
      <c r="C15036" t="n" s="0">
        <v>633280.8943750001</v>
      </c>
    </row>
    <row r="15037">
      <c r="A15037" t="n" s="0">
        <v>50.36</v>
      </c>
      <c r="B15037" t="n" s="0">
        <f>(-5-((((-5*(-5/((-5/(((-5*(50.36--5))-(-5+((-5*50.36)*(((-5--5)+(50.36--5))+50.36))))-(-5+-5)))*-5)))/-5)--5)+(-5*(((50.36*(50.36-(-5/-5)))*(50.36-(50.36/(-5*50.36))))-(-5/-5)))))</f>
        <v>633659.25408</v>
      </c>
      <c r="C15037" t="n" s="0">
        <v>633659.25408</v>
      </c>
    </row>
    <row r="15038">
      <c r="A15038" t="n" s="0">
        <v>50.37</v>
      </c>
      <c r="B15038" t="n" s="0">
        <f>(-5-((((-5*(-5/((-5/(((-5*(50.37--5))-(-5+((-5*50.37)*(((-5--5)+(50.37--5))+50.37))))-(-5+-5)))*-5)))/-5)--5)+(-5*(((50.37*(50.37-(-5/-5)))*(50.37-(50.37/(-5*50.37))))-(-5/-5)))))</f>
        <v>634037.7644649999</v>
      </c>
      <c r="C15038" t="n" s="0">
        <v>634037.764465</v>
      </c>
    </row>
    <row r="15039">
      <c r="A15039" t="n" s="0">
        <v>50.38</v>
      </c>
      <c r="B15039" t="n" s="0">
        <f>(-5-((((-5*(-5/((-5/(((-5*(50.38--5))-(-5+((-5*50.38)*(((-5--5)+(50.38--5))+50.38))))-(-5+-5)))*-5)))/-5)--5)+(-5*(((50.38*(50.38-(-5/-5)))*(50.38-(50.38/(-5*50.38))))-(-5/-5)))))</f>
        <v>634416.42556</v>
      </c>
      <c r="C15039" t="n" s="0">
        <v>634416.4255600001</v>
      </c>
    </row>
    <row r="15040">
      <c r="A15040" t="n" s="0">
        <v>50.39</v>
      </c>
      <c r="B15040" t="n" s="0">
        <f>(-5-((((-5*(-5/((-5/(((-5*(50.39--5))-(-5+((-5*50.39)*(((-5--5)+(50.39--5))+50.39))))-(-5+-5)))*-5)))/-5)--5)+(-5*(((50.39*(50.39-(-5/-5)))*(50.39-(50.39/(-5*50.39))))-(-5/-5)))))</f>
        <v>634795.237395</v>
      </c>
      <c r="C15040" t="n" s="0">
        <v>634795.2373950001</v>
      </c>
    </row>
    <row r="15041">
      <c r="A15041" t="n" s="0">
        <v>50.4</v>
      </c>
      <c r="B15041" t="n" s="0">
        <f>(-5-((((-5*(-5/((-5/(((-5*(50.4--5))-(-5+((-5*50.4)*(((-5--5)+(50.4--5))+50.4))))-(-5+-5)))*-5)))/-5)--5)+(-5*(((50.4*(50.4-(-5/-5)))*(50.4-(50.4/(-5*50.4))))-(-5/-5)))))</f>
        <v>635174.2000000001</v>
      </c>
      <c r="C15041" t="n" s="0">
        <v>635174.2</v>
      </c>
    </row>
    <row r="15042">
      <c r="A15042" t="n" s="0">
        <v>50.41</v>
      </c>
      <c r="B15042" t="n" s="0">
        <f>(-5-((((-5*(-5/((-5/(((-5*(50.41--5))-(-5+((-5*50.41)*(((-5--5)+(50.41--5))+50.41))))-(-5+-5)))*-5)))/-5)--5)+(-5*(((50.41*(50.41-(-5/-5)))*(50.41-(50.41/(-5*50.41))))-(-5/-5)))))</f>
        <v>635553.313405</v>
      </c>
      <c r="C15042" t="n" s="0">
        <v>635553.3134049999</v>
      </c>
    </row>
    <row r="15043">
      <c r="A15043" t="n" s="0">
        <v>50.42</v>
      </c>
      <c r="B15043" t="n" s="0">
        <f>(-5-((((-5*(-5/((-5/(((-5*(50.42--5))-(-5+((-5*50.42)*(((-5--5)+(50.42--5))+50.42))))-(-5+-5)))*-5)))/-5)--5)+(-5*(((50.42*(50.42-(-5/-5)))*(50.42-(50.42/(-5*50.42))))-(-5/-5)))))</f>
        <v>635932.57764</v>
      </c>
      <c r="C15043" t="n" s="0">
        <v>635932.57764</v>
      </c>
    </row>
    <row r="15044">
      <c r="A15044" t="n" s="0">
        <v>50.43</v>
      </c>
      <c r="B15044" t="n" s="0">
        <f>(-5-((((-5*(-5/((-5/(((-5*(50.43--5))-(-5+((-5*50.43)*(((-5--5)+(50.43--5))+50.43))))-(-5+-5)))*-5)))/-5)--5)+(-5*(((50.43*(50.43-(-5/-5)))*(50.43-(50.43/(-5*50.43))))-(-5/-5)))))</f>
        <v>636311.992735</v>
      </c>
      <c r="C15044" t="n" s="0">
        <v>636311.9927350001</v>
      </c>
    </row>
    <row r="15045">
      <c r="A15045" t="n" s="0">
        <v>50.44</v>
      </c>
      <c r="B15045" t="n" s="0">
        <f>(-5-((((-5*(-5/((-5/(((-5*(50.44--5))-(-5+((-5*50.44)*(((-5--5)+(50.44--5))+50.44))))-(-5+-5)))*-5)))/-5)--5)+(-5*(((50.44*(50.44-(-5/-5)))*(50.44-(50.44/(-5*50.44))))-(-5/-5)))))</f>
        <v>636691.55872</v>
      </c>
      <c r="C15045" t="n" s="0">
        <v>636691.5587199999</v>
      </c>
    </row>
    <row r="15046">
      <c r="A15046" t="n" s="0">
        <v>50.45</v>
      </c>
      <c r="B15046" t="n" s="0">
        <f>(-5-((((-5*(-5/((-5/(((-5*(50.45--5))-(-5+((-5*50.45)*(((-5--5)+(50.45--5))+50.45))))-(-5+-5)))*-5)))/-5)--5)+(-5*(((50.45*(50.45-(-5/-5)))*(50.45-(50.45/(-5*50.45))))-(-5/-5)))))</f>
        <v>637071.275625</v>
      </c>
      <c r="C15046" t="n" s="0">
        <v>637071.275625</v>
      </c>
    </row>
    <row r="15047">
      <c r="A15047" t="n" s="0">
        <v>50.46</v>
      </c>
      <c r="B15047" t="n" s="0">
        <f>(-5-((((-5*(-5/((-5/(((-5*(50.46--5))-(-5+((-5*50.46)*(((-5--5)+(50.46--5))+50.46))))-(-5+-5)))*-5)))/-5)--5)+(-5*(((50.46*(50.46-(-5/-5)))*(50.46-(50.46/(-5*50.46))))-(-5/-5)))))</f>
        <v>637451.1434800001</v>
      </c>
      <c r="C15047" t="n" s="0">
        <v>637451.1434800001</v>
      </c>
    </row>
    <row r="15048">
      <c r="A15048" t="n" s="0">
        <v>50.47</v>
      </c>
      <c r="B15048" t="n" s="0">
        <f>(-5-((((-5*(-5/((-5/(((-5*(50.47--5))-(-5+((-5*50.47)*(((-5--5)+(50.47--5))+50.47))))-(-5+-5)))*-5)))/-5)--5)+(-5*(((50.47*(50.47-(-5/-5)))*(50.47-(50.47/(-5*50.47))))-(-5/-5)))))</f>
        <v>637831.1623150001</v>
      </c>
      <c r="C15048" t="n" s="0">
        <v>637831.162315</v>
      </c>
    </row>
    <row r="15049">
      <c r="A15049" t="n" s="0">
        <v>50.48</v>
      </c>
      <c r="B15049" t="n" s="0">
        <f>(-5-((((-5*(-5/((-5/(((-5*(50.48--5))-(-5+((-5*50.48)*(((-5--5)+(50.48--5))+50.48))))-(-5+-5)))*-5)))/-5)--5)+(-5*(((50.48*(50.48-(-5/-5)))*(50.48-(50.48/(-5*50.48))))-(-5/-5)))))</f>
        <v>638211.33216</v>
      </c>
      <c r="C15049" t="n" s="0">
        <v>638211.3321599999</v>
      </c>
    </row>
    <row r="15050">
      <c r="A15050" t="n" s="0">
        <v>50.49</v>
      </c>
      <c r="B15050" t="n" s="0">
        <f>(-5-((((-5*(-5/((-5/(((-5*(50.49--5))-(-5+((-5*50.49)*(((-5--5)+(50.49--5))+50.49))))-(-5+-5)))*-5)))/-5)--5)+(-5*(((50.49*(50.49-(-5/-5)))*(50.49-(50.49/(-5*50.49))))-(-5/-5)))))</f>
        <v>638591.6530449999</v>
      </c>
      <c r="C15050" t="n" s="0">
        <v>638591.653045</v>
      </c>
    </row>
    <row r="15051">
      <c r="A15051" t="n" s="0">
        <v>50.5</v>
      </c>
      <c r="B15051" t="n" s="0">
        <f>(-5-((((-5*(-5/((-5/(((-5*(50.5--5))-(-5+((-5*50.5)*(((-5--5)+(50.5--5))+50.5))))-(-5+-5)))*-5)))/-5)--5)+(-5*(((50.5*(50.5-(-5/-5)))*(50.5-(50.5/(-5*50.5))))-(-5/-5)))))</f>
        <v>638972.125</v>
      </c>
      <c r="C15051" t="n" s="0">
        <v>638972.125</v>
      </c>
    </row>
    <row r="15052">
      <c r="A15052" t="n" s="0">
        <v>50.51</v>
      </c>
      <c r="B15052" t="n" s="0">
        <f>(-5-((((-5*(-5/((-5/(((-5*(50.51--5))-(-5+((-5*50.51)*(((-5--5)+(50.51--5))+50.51))))-(-5+-5)))*-5)))/-5)--5)+(-5*(((50.51*(50.51-(-5/-5)))*(50.51-(50.51/(-5*50.51))))-(-5/-5)))))</f>
        <v>639352.7480550001</v>
      </c>
      <c r="C15052" t="n" s="0">
        <v>639352.7480549999</v>
      </c>
    </row>
    <row r="15053">
      <c r="A15053" t="n" s="0">
        <v>50.52</v>
      </c>
      <c r="B15053" t="n" s="0">
        <f>(-5-((((-5*(-5/((-5/(((-5*(50.52--5))-(-5+((-5*50.52)*(((-5--5)+(50.52--5))+50.52))))-(-5+-5)))*-5)))/-5)--5)+(-5*(((50.52*(50.52-(-5/-5)))*(50.52-(50.52/(-5*50.52))))-(-5/-5)))))</f>
        <v>639733.5222400001</v>
      </c>
      <c r="C15053" t="n" s="0">
        <v>639733.5222400002</v>
      </c>
    </row>
    <row r="15054">
      <c r="A15054" t="n" s="0">
        <v>50.53</v>
      </c>
      <c r="B15054" t="n" s="0">
        <f>(-5-((((-5*(-5/((-5/(((-5*(50.53--5))-(-5+((-5*50.53)*(((-5--5)+(50.53--5))+50.53))))-(-5+-5)))*-5)))/-5)--5)+(-5*(((50.53*(50.53-(-5/-5)))*(50.53-(50.53/(-5*50.53))))-(-5/-5)))))</f>
        <v>640114.4475850001</v>
      </c>
      <c r="C15054" t="n" s="0">
        <v>640114.447585</v>
      </c>
    </row>
    <row r="15055">
      <c r="A15055" t="n" s="0">
        <v>50.54</v>
      </c>
      <c r="B15055" t="n" s="0">
        <f>(-5-((((-5*(-5/((-5/(((-5*(50.54--5))-(-5+((-5*50.54)*(((-5--5)+(50.54--5))+50.54))))-(-5+-5)))*-5)))/-5)--5)+(-5*(((50.54*(50.54-(-5/-5)))*(50.54-(50.54/(-5*50.54))))-(-5/-5)))))</f>
        <v>640495.5241200001</v>
      </c>
      <c r="C15055" t="n" s="0">
        <v>640495.52412</v>
      </c>
    </row>
    <row r="15056">
      <c r="A15056" t="n" s="0">
        <v>50.55</v>
      </c>
      <c r="B15056" t="n" s="0">
        <f>(-5-((((-5*(-5/((-5/(((-5*(50.55--5))-(-5+((-5*50.55)*(((-5--5)+(50.55--5))+50.55))))-(-5+-5)))*-5)))/-5)--5)+(-5*(((50.55*(50.55-(-5/-5)))*(50.55-(50.55/(-5*50.55))))-(-5/-5)))))</f>
        <v>640876.7518750001</v>
      </c>
      <c r="C15056" t="n" s="0">
        <v>640876.751875</v>
      </c>
    </row>
    <row r="15057">
      <c r="A15057" t="n" s="0">
        <v>50.56</v>
      </c>
      <c r="B15057" t="n" s="0">
        <f>(-5-((((-5*(-5/((-5/(((-5*(50.56--5))-(-5+((-5*50.56)*(((-5--5)+(50.56--5))+50.56))))-(-5+-5)))*-5)))/-5)--5)+(-5*(((50.56*(50.56-(-5/-5)))*(50.56-(50.56/(-5*50.56))))-(-5/-5)))))</f>
        <v>641258.13088</v>
      </c>
      <c r="C15057" t="n" s="0">
        <v>641258.1308800002</v>
      </c>
    </row>
    <row r="15058">
      <c r="A15058" t="n" s="0">
        <v>50.57</v>
      </c>
      <c r="B15058" t="n" s="0">
        <f>(-5-((((-5*(-5/((-5/(((-5*(50.57--5))-(-5+((-5*50.57)*(((-5--5)+(50.57--5))+50.57))))-(-5+-5)))*-5)))/-5)--5)+(-5*(((50.57*(50.57-(-5/-5)))*(50.57-(50.57/(-5*50.57))))-(-5/-5)))))</f>
        <v>641639.661165</v>
      </c>
      <c r="C15058" t="n" s="0">
        <v>641639.6611649999</v>
      </c>
    </row>
    <row r="15059">
      <c r="A15059" t="n" s="0">
        <v>50.58</v>
      </c>
      <c r="B15059" t="n" s="0">
        <f>(-5-((((-5*(-5/((-5/(((-5*(50.58--5))-(-5+((-5*50.58)*(((-5--5)+(50.58--5))+50.58))))-(-5+-5)))*-5)))/-5)--5)+(-5*(((50.58*(50.58-(-5/-5)))*(50.58-(50.58/(-5*50.58))))-(-5/-5)))))</f>
        <v>642021.34276</v>
      </c>
      <c r="C15059" t="n" s="0">
        <v>642021.34276</v>
      </c>
    </row>
    <row r="15060">
      <c r="A15060" t="n" s="0">
        <v>50.59</v>
      </c>
      <c r="B15060" t="n" s="0">
        <f>(-5-((((-5*(-5/((-5/(((-5*(50.59--5))-(-5+((-5*50.59)*(((-5--5)+(50.59--5))+50.59))))-(-5+-5)))*-5)))/-5)--5)+(-5*(((50.59*(50.59-(-5/-5)))*(50.59-(50.59/(-5*50.59))))-(-5/-5)))))</f>
        <v>642403.175695</v>
      </c>
      <c r="C15060" t="n" s="0">
        <v>642403.1756950002</v>
      </c>
    </row>
    <row r="15061">
      <c r="A15061" t="n" s="0">
        <v>50.6</v>
      </c>
      <c r="B15061" t="n" s="0">
        <f>(-5-((((-5*(-5/((-5/(((-5*(50.6--5))-(-5+((-5*50.6)*(((-5--5)+(50.6--5))+50.6))))-(-5+-5)))*-5)))/-5)--5)+(-5*(((50.6*(50.6-(-5/-5)))*(50.6-(50.6/(-5*50.6))))-(-5/-5)))))</f>
        <v>642785.16</v>
      </c>
      <c r="C15061" t="n" s="0">
        <v>642785.1600000001</v>
      </c>
    </row>
    <row r="15062">
      <c r="A15062" t="n" s="0">
        <v>50.61</v>
      </c>
      <c r="B15062" t="n" s="0">
        <f>(-5-((((-5*(-5/((-5/(((-5*(50.61--5))-(-5+((-5*50.61)*(((-5--5)+(50.61--5))+50.61))))-(-5+-5)))*-5)))/-5)--5)+(-5*(((50.61*(50.61-(-5/-5)))*(50.61-(50.61/(-5*50.61))))-(-5/-5)))))</f>
        <v>643167.295705</v>
      </c>
      <c r="C15062" t="n" s="0">
        <v>643167.295705</v>
      </c>
    </row>
    <row r="15063">
      <c r="A15063" t="n" s="0">
        <v>50.62</v>
      </c>
      <c r="B15063" t="n" s="0">
        <f>(-5-((((-5*(-5/((-5/(((-5*(50.62--5))-(-5+((-5*50.62)*(((-5--5)+(50.62--5))+50.62))))-(-5+-5)))*-5)))/-5)--5)+(-5*(((50.62*(50.62-(-5/-5)))*(50.62-(50.62/(-5*50.62))))-(-5/-5)))))</f>
        <v>643549.5828399999</v>
      </c>
      <c r="C15063" t="n" s="0">
        <v>643549.5828399999</v>
      </c>
    </row>
    <row r="15064">
      <c r="A15064" t="n" s="0">
        <v>50.63</v>
      </c>
      <c r="B15064" t="n" s="0">
        <f>(-5-((((-5*(-5/((-5/(((-5*(50.63--5))-(-5+((-5*50.63)*(((-5--5)+(50.63--5))+50.63))))-(-5+-5)))*-5)))/-5)--5)+(-5*(((50.63*(50.63-(-5/-5)))*(50.63-(50.63/(-5*50.63))))-(-5/-5)))))</f>
        <v>643932.021435</v>
      </c>
      <c r="C15064" t="n" s="0">
        <v>643932.0214350001</v>
      </c>
    </row>
    <row r="15065">
      <c r="A15065" t="n" s="0">
        <v>50.64</v>
      </c>
      <c r="B15065" t="n" s="0">
        <f>(-5-((((-5*(-5/((-5/(((-5*(50.64--5))-(-5+((-5*50.64)*(((-5--5)+(50.64--5))+50.64))))-(-5+-5)))*-5)))/-5)--5)+(-5*(((50.64*(50.64-(-5/-5)))*(50.64-(50.64/(-5*50.64))))-(-5/-5)))))</f>
        <v>644314.6115199999</v>
      </c>
      <c r="C15065" t="n" s="0">
        <v>644314.61152</v>
      </c>
    </row>
    <row r="15066">
      <c r="A15066" t="n" s="0">
        <v>50.65</v>
      </c>
      <c r="B15066" t="n" s="0">
        <f>(-5-((((-5*(-5/((-5/(((-5*(50.65--5))-(-5+((-5*50.65)*(((-5--5)+(50.65--5))+50.65))))-(-5+-5)))*-5)))/-5)--5)+(-5*(((50.65*(50.65-(-5/-5)))*(50.65-(50.65/(-5*50.65))))-(-5/-5)))))</f>
        <v>644697.3531249999</v>
      </c>
      <c r="C15066" t="n" s="0">
        <v>644697.3531249999</v>
      </c>
    </row>
    <row r="15067">
      <c r="A15067" t="n" s="0">
        <v>50.66</v>
      </c>
      <c r="B15067" t="n" s="0">
        <f>(-5-((((-5*(-5/((-5/(((-5*(50.66--5))-(-5+((-5*50.66)*(((-5--5)+(50.66--5))+50.66))))-(-5+-5)))*-5)))/-5)--5)+(-5*(((50.66*(50.66-(-5/-5)))*(50.66-(50.66/(-5*50.66))))-(-5/-5)))))</f>
        <v>645080.24628</v>
      </c>
      <c r="C15067" t="n" s="0">
        <v>645080.2462799997</v>
      </c>
    </row>
    <row r="15068">
      <c r="A15068" t="n" s="0">
        <v>50.67</v>
      </c>
      <c r="B15068" t="n" s="0">
        <f>(-5-((((-5*(-5/((-5/(((-5*(50.67--5))-(-5+((-5*50.67)*(((-5--5)+(50.67--5))+50.67))))-(-5+-5)))*-5)))/-5)--5)+(-5*(((50.67*(50.67-(-5/-5)))*(50.67-(50.67/(-5*50.67))))-(-5/-5)))))</f>
        <v>645463.291015</v>
      </c>
      <c r="C15068" t="n" s="0">
        <v>645463.2910150001</v>
      </c>
    </row>
    <row r="15069">
      <c r="A15069" t="n" s="0">
        <v>50.68</v>
      </c>
      <c r="B15069" t="n" s="0">
        <f>(-5-((((-5*(-5/((-5/(((-5*(50.68--5))-(-5+((-5*50.68)*(((-5--5)+(50.68--5))+50.68))))-(-5+-5)))*-5)))/-5)--5)+(-5*(((50.68*(50.68-(-5/-5)))*(50.68-(50.68/(-5*50.68))))-(-5/-5)))))</f>
        <v>645846.48736</v>
      </c>
      <c r="C15069" t="n" s="0">
        <v>645846.48736</v>
      </c>
    </row>
    <row r="15070">
      <c r="A15070" t="n" s="0">
        <v>50.69</v>
      </c>
      <c r="B15070" t="n" s="0">
        <f>(-5-((((-5*(-5/((-5/(((-5*(50.69--5))-(-5+((-5*50.69)*(((-5--5)+(50.69--5))+50.69))))-(-5+-5)))*-5)))/-5)--5)+(-5*(((50.69*(50.69-(-5/-5)))*(50.69-(50.69/(-5*50.69))))-(-5/-5)))))</f>
        <v>646229.8353449999</v>
      </c>
      <c r="C15070" t="n" s="0">
        <v>646229.8353449999</v>
      </c>
    </row>
    <row r="15071">
      <c r="A15071" t="n" s="0">
        <v>50.7</v>
      </c>
      <c r="B15071" t="n" s="0">
        <f>(-5-((((-5*(-5/((-5/(((-5*(50.7--5))-(-5+((-5*50.7)*(((-5--5)+(50.7--5))+50.7))))-(-5+-5)))*-5)))/-5)--5)+(-5*(((50.7*(50.7-(-5/-5)))*(50.7-(50.7/(-5*50.7))))-(-5/-5)))))</f>
        <v>646613.3350000001</v>
      </c>
      <c r="C15071" t="n" s="0">
        <v>646613.3350000001</v>
      </c>
    </row>
    <row r="15072">
      <c r="A15072" t="n" s="0">
        <v>50.71</v>
      </c>
      <c r="B15072" t="n" s="0">
        <f>(-5-((((-5*(-5/((-5/(((-5*(50.71--5))-(-5+((-5*50.71)*(((-5--5)+(50.71--5))+50.71))))-(-5+-5)))*-5)))/-5)--5)+(-5*(((50.71*(50.71-(-5/-5)))*(50.71-(50.71/(-5*50.71))))-(-5/-5)))))</f>
        <v>646996.9863550001</v>
      </c>
      <c r="C15072" t="n" s="0">
        <v>646996.986355</v>
      </c>
    </row>
    <row r="15073">
      <c r="A15073" t="n" s="0">
        <v>50.72</v>
      </c>
      <c r="B15073" t="n" s="0">
        <f>(-5-((((-5*(-5/((-5/(((-5*(50.72--5))-(-5+((-5*50.72)*(((-5--5)+(50.72--5))+50.72))))-(-5+-5)))*-5)))/-5)--5)+(-5*(((50.72*(50.72-(-5/-5)))*(50.72-(50.72/(-5*50.72))))-(-5/-5)))))</f>
        <v>647380.78944</v>
      </c>
      <c r="C15073" t="n" s="0">
        <v>647380.78944</v>
      </c>
    </row>
    <row r="15074">
      <c r="A15074" t="n" s="0">
        <v>50.73</v>
      </c>
      <c r="B15074" t="n" s="0">
        <f>(-5-((((-5*(-5/((-5/(((-5*(50.73--5))-(-5+((-5*50.73)*(((-5--5)+(50.73--5))+50.73))))-(-5+-5)))*-5)))/-5)--5)+(-5*(((50.73*(50.73-(-5/-5)))*(50.73-(50.73/(-5*50.73))))-(-5/-5)))))</f>
        <v>647764.744285</v>
      </c>
      <c r="C15074" t="n" s="0">
        <v>647764.7442849998</v>
      </c>
    </row>
    <row r="15075">
      <c r="A15075" t="n" s="0">
        <v>50.74</v>
      </c>
      <c r="B15075" t="n" s="0">
        <f>(-5-((((-5*(-5/((-5/(((-5*(50.74--5))-(-5+((-5*50.74)*(((-5--5)+(50.74--5))+50.74))))-(-5+-5)))*-5)))/-5)--5)+(-5*(((50.74*(50.74-(-5/-5)))*(50.74-(50.74/(-5*50.74))))-(-5/-5)))))</f>
        <v>648148.85092</v>
      </c>
      <c r="C15075" t="n" s="0">
        <v>648148.8509200001</v>
      </c>
    </row>
    <row r="15076">
      <c r="A15076" t="n" s="0">
        <v>50.75</v>
      </c>
      <c r="B15076" t="n" s="0">
        <f>(-5-((((-5*(-5/((-5/(((-5*(50.75--5))-(-5+((-5*50.75)*(((-5--5)+(50.75--5))+50.75))))-(-5+-5)))*-5)))/-5)--5)+(-5*(((50.75*(50.75-(-5/-5)))*(50.75-(50.75/(-5*50.75))))-(-5/-5)))))</f>
        <v>648533.109375</v>
      </c>
      <c r="C15076" t="n" s="0">
        <v>648533.109375</v>
      </c>
    </row>
    <row r="15077">
      <c r="A15077" t="n" s="0">
        <v>50.76</v>
      </c>
      <c r="B15077" t="n" s="0">
        <f>(-5-((((-5*(-5/((-5/(((-5*(50.76--5))-(-5+((-5*50.76)*(((-5--5)+(50.76--5))+50.76))))-(-5+-5)))*-5)))/-5)--5)+(-5*(((50.76*(50.76-(-5/-5)))*(50.76-(50.76/(-5*50.76))))-(-5/-5)))))</f>
        <v>648917.5196799999</v>
      </c>
      <c r="C15077" t="n" s="0">
        <v>648917.5196799999</v>
      </c>
    </row>
    <row r="15078">
      <c r="A15078" t="n" s="0">
        <v>50.77</v>
      </c>
      <c r="B15078" t="n" s="0">
        <f>(-5-((((-5*(-5/((-5/(((-5*(50.77--5))-(-5+((-5*50.77)*(((-5--5)+(50.77--5))+50.77))))-(-5+-5)))*-5)))/-5)--5)+(-5*(((50.77*(50.77-(-5/-5)))*(50.77-(50.77/(-5*50.77))))-(-5/-5)))))</f>
        <v>649302.0818650001</v>
      </c>
      <c r="C15078" t="n" s="0">
        <v>649302.0818650002</v>
      </c>
    </row>
    <row r="15079">
      <c r="A15079" t="n" s="0">
        <v>50.78</v>
      </c>
      <c r="B15079" t="n" s="0">
        <f>(-5-((((-5*(-5/((-5/(((-5*(50.78--5))-(-5+((-5*50.78)*(((-5--5)+(50.78--5))+50.78))))-(-5+-5)))*-5)))/-5)--5)+(-5*(((50.78*(50.78-(-5/-5)))*(50.78-(50.78/(-5*50.78))))-(-5/-5)))))</f>
        <v>649686.79596</v>
      </c>
      <c r="C15079" t="n" s="0">
        <v>649686.7959599999</v>
      </c>
    </row>
    <row r="15080">
      <c r="A15080" t="n" s="0">
        <v>50.79</v>
      </c>
      <c r="B15080" t="n" s="0">
        <f>(-5-((((-5*(-5/((-5/(((-5*(50.79--5))-(-5+((-5*50.79)*(((-5--5)+(50.79--5))+50.79))))-(-5+-5)))*-5)))/-5)--5)+(-5*(((50.79*(50.79-(-5/-5)))*(50.79-(50.79/(-5*50.79))))-(-5/-5)))))</f>
        <v>650071.661995</v>
      </c>
      <c r="C15080" t="n" s="0">
        <v>650071.661995</v>
      </c>
    </row>
    <row r="15081">
      <c r="A15081" t="n" s="0">
        <v>50.8</v>
      </c>
      <c r="B15081" t="n" s="0">
        <f>(-5-((((-5*(-5/((-5/(((-5*(50.8--5))-(-5+((-5*50.8)*(((-5--5)+(50.8--5))+50.8))))-(-5+-5)))*-5)))/-5)--5)+(-5*(((50.8*(50.8-(-5/-5)))*(50.8-(50.8/(-5*50.8))))-(-5/-5)))))</f>
        <v>650456.6799999999</v>
      </c>
      <c r="C15081" t="n" s="0">
        <v>650456.6799999999</v>
      </c>
    </row>
    <row r="15082">
      <c r="A15082" t="n" s="0">
        <v>50.81</v>
      </c>
      <c r="B15082" t="n" s="0">
        <f>(-5-((((-5*(-5/((-5/(((-5*(50.81--5))-(-5+((-5*50.81)*(((-5--5)+(50.81--5))+50.81))))-(-5+-5)))*-5)))/-5)--5)+(-5*(((50.81*(50.81-(-5/-5)))*(50.81-(50.81/(-5*50.81))))-(-5/-5)))))</f>
        <v>650841.850005</v>
      </c>
      <c r="C15082" t="n" s="0">
        <v>650841.850005</v>
      </c>
    </row>
    <row r="15083">
      <c r="A15083" t="n" s="0">
        <v>50.82</v>
      </c>
      <c r="B15083" t="n" s="0">
        <f>(-5-((((-5*(-5/((-5/(((-5*(50.82--5))-(-5+((-5*50.82)*(((-5--5)+(50.82--5))+50.82))))-(-5+-5)))*-5)))/-5)--5)+(-5*(((50.82*(50.82-(-5/-5)))*(50.82-(50.82/(-5*50.82))))-(-5/-5)))))</f>
        <v>651227.17204</v>
      </c>
      <c r="C15083" t="n" s="0">
        <v>651227.17204</v>
      </c>
    </row>
    <row r="15084">
      <c r="A15084" t="n" s="0">
        <v>50.83</v>
      </c>
      <c r="B15084" t="n" s="0">
        <f>(-5-((((-5*(-5/((-5/(((-5*(50.83--5))-(-5+((-5*50.83)*(((-5--5)+(50.83--5))+50.83))))-(-5+-5)))*-5)))/-5)--5)+(-5*(((50.83*(50.83-(-5/-5)))*(50.83-(50.83/(-5*50.83))))-(-5/-5)))))</f>
        <v>651612.6461349999</v>
      </c>
      <c r="C15084" t="n" s="0">
        <v>651612.6461349999</v>
      </c>
    </row>
    <row r="15085">
      <c r="A15085" t="n" s="0">
        <v>50.84</v>
      </c>
      <c r="B15085" t="n" s="0">
        <f>(-5-((((-5*(-5/((-5/(((-5*(50.84--5))-(-5+((-5*50.84)*(((-5--5)+(50.84--5))+50.84))))-(-5+-5)))*-5)))/-5)--5)+(-5*(((50.84*(50.84-(-5/-5)))*(50.84-(50.84/(-5*50.84))))-(-5/-5)))))</f>
        <v>651998.2723200001</v>
      </c>
      <c r="C15085" t="n" s="0">
        <v>651998.2723200002</v>
      </c>
    </row>
    <row r="15086">
      <c r="A15086" t="n" s="0">
        <v>50.85</v>
      </c>
      <c r="B15086" t="n" s="0">
        <f>(-5-((((-5*(-5/((-5/(((-5*(50.85--5))-(-5+((-5*50.85)*(((-5--5)+(50.85--5))+50.85))))-(-5+-5)))*-5)))/-5)--5)+(-5*(((50.85*(50.85-(-5/-5)))*(50.85-(50.85/(-5*50.85))))-(-5/-5)))))</f>
        <v>652384.0506249999</v>
      </c>
      <c r="C15086" t="n" s="0">
        <v>652384.0506250003</v>
      </c>
    </row>
    <row r="15087">
      <c r="A15087" t="n" s="0">
        <v>50.86</v>
      </c>
      <c r="B15087" t="n" s="0">
        <f>(-5-((((-5*(-5/((-5/(((-5*(50.86--5))-(-5+((-5*50.86)*(((-5--5)+(50.86--5))+50.86))))-(-5+-5)))*-5)))/-5)--5)+(-5*(((50.86*(50.86-(-5/-5)))*(50.86-(50.86/(-5*50.86))))-(-5/-5)))))</f>
        <v>652769.98108</v>
      </c>
      <c r="C15087" t="n" s="0">
        <v>652769.9810799999</v>
      </c>
    </row>
    <row r="15088">
      <c r="A15088" t="n" s="0">
        <v>50.87</v>
      </c>
      <c r="B15088" t="n" s="0">
        <f>(-5-((((-5*(-5/((-5/(((-5*(50.87--5))-(-5+((-5*50.87)*(((-5--5)+(50.87--5))+50.87))))-(-5+-5)))*-5)))/-5)--5)+(-5*(((50.87*(50.87-(-5/-5)))*(50.87-(50.87/(-5*50.87))))-(-5/-5)))))</f>
        <v>653156.063715</v>
      </c>
      <c r="C15088" t="n" s="0">
        <v>653156.0637149999</v>
      </c>
    </row>
    <row r="15089">
      <c r="A15089" t="n" s="0">
        <v>50.88</v>
      </c>
      <c r="B15089" t="n" s="0">
        <f>(-5-((((-5*(-5/((-5/(((-5*(50.88--5))-(-5+((-5*50.88)*(((-5--5)+(50.88--5))+50.88))))-(-5+-5)))*-5)))/-5)--5)+(-5*(((50.88*(50.88-(-5/-5)))*(50.88-(50.88/(-5*50.88))))-(-5/-5)))))</f>
        <v>653542.29856</v>
      </c>
      <c r="C15089" t="n" s="0">
        <v>653542.2985600001</v>
      </c>
    </row>
    <row r="15090">
      <c r="A15090" t="n" s="0">
        <v>50.89</v>
      </c>
      <c r="B15090" t="n" s="0">
        <f>(-5-((((-5*(-5/((-5/(((-5*(50.89--5))-(-5+((-5*50.89)*(((-5--5)+(50.89--5))+50.89))))-(-5+-5)))*-5)))/-5)--5)+(-5*(((50.89*(50.89-(-5/-5)))*(50.89-(50.89/(-5*50.89))))-(-5/-5)))))</f>
        <v>653928.685645</v>
      </c>
      <c r="C15090" t="n" s="0">
        <v>653928.6856450001</v>
      </c>
    </row>
    <row r="15091">
      <c r="A15091" t="n" s="0">
        <v>50.9</v>
      </c>
      <c r="B15091" t="n" s="0">
        <f>(-5-((((-5*(-5/((-5/(((-5*(50.9--5))-(-5+((-5*50.9)*(((-5--5)+(50.9--5))+50.9))))-(-5+-5)))*-5)))/-5)--5)+(-5*(((50.9*(50.9-(-5/-5)))*(50.9-(50.9/(-5*50.9))))-(-5/-5)))))</f>
        <v>654315.225</v>
      </c>
      <c r="C15091" t="n" s="0">
        <v>654315.225</v>
      </c>
    </row>
    <row r="15092">
      <c r="A15092" t="n" s="0">
        <v>50.91</v>
      </c>
      <c r="B15092" t="n" s="0">
        <f>(-5-((((-5*(-5/((-5/(((-5*(50.91--5))-(-5+((-5*50.91)*(((-5--5)+(50.91--5))+50.91))))-(-5+-5)))*-5)))/-5)--5)+(-5*(((50.91*(50.91-(-5/-5)))*(50.91-(50.91/(-5*50.91))))-(-5/-5)))))</f>
        <v>654701.916655</v>
      </c>
      <c r="C15092" t="n" s="0">
        <v>654701.916655</v>
      </c>
    </row>
    <row r="15093">
      <c r="A15093" t="n" s="0">
        <v>50.92</v>
      </c>
      <c r="B15093" t="n" s="0">
        <f>(-5-((((-5*(-5/((-5/(((-5*(50.92--5))-(-5+((-5*50.92)*(((-5--5)+(50.92--5))+50.92))))-(-5+-5)))*-5)))/-5)--5)+(-5*(((50.92*(50.92-(-5/-5)))*(50.92-(50.92/(-5*50.92))))-(-5/-5)))))</f>
        <v>655088.76064</v>
      </c>
      <c r="C15093" t="n" s="0">
        <v>655088.7606400001</v>
      </c>
    </row>
    <row r="15094">
      <c r="A15094" t="n" s="0">
        <v>50.93</v>
      </c>
      <c r="B15094" t="n" s="0">
        <f>(-5-((((-5*(-5/((-5/(((-5*(50.93--5))-(-5+((-5*50.93)*(((-5--5)+(50.93--5))+50.93))))-(-5+-5)))*-5)))/-5)--5)+(-5*(((50.93*(50.93-(-5/-5)))*(50.93-(50.93/(-5*50.93))))-(-5/-5)))))</f>
        <v>655475.756985</v>
      </c>
      <c r="C15094" t="n" s="0">
        <v>655475.7569850001</v>
      </c>
    </row>
    <row r="15095">
      <c r="A15095" t="n" s="0">
        <v>50.94</v>
      </c>
      <c r="B15095" t="n" s="0">
        <f>(-5-((((-5*(-5/((-5/(((-5*(50.94--5))-(-5+((-5*50.94)*(((-5--5)+(50.94--5))+50.94))))-(-5+-5)))*-5)))/-5)--5)+(-5*(((50.94*(50.94-(-5/-5)))*(50.94-(50.94/(-5*50.94))))-(-5/-5)))))</f>
        <v>655862.90572</v>
      </c>
      <c r="C15095" t="n" s="0">
        <v>655862.9057199999</v>
      </c>
    </row>
    <row r="15096">
      <c r="A15096" t="n" s="0">
        <v>50.95</v>
      </c>
      <c r="B15096" t="n" s="0">
        <f>(-5-((((-5*(-5/((-5/(((-5*(50.95--5))-(-5+((-5*50.95)*(((-5--5)+(50.95--5))+50.95))))-(-5+-5)))*-5)))/-5)--5)+(-5*(((50.95*(50.95-(-5/-5)))*(50.95-(50.95/(-5*50.95))))-(-5/-5)))))</f>
        <v>656250.206875</v>
      </c>
      <c r="C15096" t="n" s="0">
        <v>656250.206875</v>
      </c>
    </row>
    <row r="15097">
      <c r="A15097" t="n" s="0">
        <v>50.96</v>
      </c>
      <c r="B15097" t="n" s="0">
        <f>(-5-((((-5*(-5/((-5/(((-5*(50.96--5))-(-5+((-5*50.96)*(((-5--5)+(50.96--5))+50.96))))-(-5+-5)))*-5)))/-5)--5)+(-5*(((50.96*(50.96-(-5/-5)))*(50.96-(50.96/(-5*50.96))))-(-5/-5)))))</f>
        <v>656637.66048</v>
      </c>
      <c r="C15097" t="n" s="0">
        <v>656637.66048</v>
      </c>
    </row>
    <row r="15098">
      <c r="A15098" t="n" s="0">
        <v>50.97</v>
      </c>
      <c r="B15098" t="n" s="0">
        <f>(-5-((((-5*(-5/((-5/(((-5*(50.97--5))-(-5+((-5*50.97)*(((-5--5)+(50.97--5))+50.97))))-(-5+-5)))*-5)))/-5)--5)+(-5*(((50.97*(50.97-(-5/-5)))*(50.97-(50.97/(-5*50.97))))-(-5/-5)))))</f>
        <v>657025.2665649999</v>
      </c>
      <c r="C15098" t="n" s="0">
        <v>657025.266565</v>
      </c>
    </row>
    <row r="15099">
      <c r="A15099" t="n" s="0">
        <v>50.98</v>
      </c>
      <c r="B15099" t="n" s="0">
        <f>(-5-((((-5*(-5/((-5/(((-5*(50.98--5))-(-5+((-5*50.98)*(((-5--5)+(50.98--5))+50.98))))-(-5+-5)))*-5)))/-5)--5)+(-5*(((50.98*(50.98-(-5/-5)))*(50.98-(50.98/(-5*50.98))))-(-5/-5)))))</f>
        <v>657413.02516</v>
      </c>
      <c r="C15099" t="n" s="0">
        <v>657413.0251599998</v>
      </c>
    </row>
    <row r="15100">
      <c r="A15100" t="n" s="0">
        <v>50.99</v>
      </c>
      <c r="B15100" t="n" s="0">
        <f>(-5-((((-5*(-5/((-5/(((-5*(50.99--5))-(-5+((-5*50.99)*(((-5--5)+(50.99--5))+50.99))))-(-5+-5)))*-5)))/-5)--5)+(-5*(((50.99*(50.99-(-5/-5)))*(50.99-(50.99/(-5*50.99))))-(-5/-5)))))</f>
        <v>657800.936295</v>
      </c>
      <c r="C15100" t="n" s="0">
        <v>657800.9362950001</v>
      </c>
    </row>
    <row r="15101">
      <c r="A15101" t="n" s="0">
        <v>51.0</v>
      </c>
      <c r="B15101" t="n" s="0">
        <f>(-5-((((-5*(-5/((-5/(((-5*(51--5))-(-5+((-5*51)*(((-5--5)+(51--5))+51))))-(-5+-5)))*-5)))/-5)--5)+(-5*(((51*(51-(-5/-5)))*(51-(51/(-5*51))))-(-5/-5)))))</f>
        <v>658189.0</v>
      </c>
      <c r="C15101" t="n" s="0">
        <v>658189.0</v>
      </c>
    </row>
    <row r="15102">
      <c r="A15102" t="n" s="0">
        <v>51.01</v>
      </c>
      <c r="B15102" t="n" s="0">
        <f>(-5-((((-5*(-5/((-5/(((-5*(51.01--5))-(-5+((-5*51.01)*(((-5--5)+(51.01--5))+51.01))))-(-5+-5)))*-5)))/-5)--5)+(-5*(((51.01*(51.01-(-5/-5)))*(51.01-(51.01/(-5*51.01))))-(-5/-5)))))</f>
        <v>658577.216305</v>
      </c>
      <c r="C15102" t="n" s="0">
        <v>658577.2163049999</v>
      </c>
    </row>
    <row r="15103">
      <c r="A15103" t="n" s="0">
        <v>51.02</v>
      </c>
      <c r="B15103" t="n" s="0">
        <f>(-5-((((-5*(-5/((-5/(((-5*(51.02--5))-(-5+((-5*51.02)*(((-5--5)+(51.02--5))+51.02))))-(-5+-5)))*-5)))/-5)--5)+(-5*(((51.02*(51.02-(-5/-5)))*(51.02-(51.02/(-5*51.02))))-(-5/-5)))))</f>
        <v>658965.5852399999</v>
      </c>
      <c r="C15103" t="n" s="0">
        <v>658965.5852400002</v>
      </c>
    </row>
    <row r="15104">
      <c r="A15104" t="n" s="0">
        <v>51.03</v>
      </c>
      <c r="B15104" t="n" s="0">
        <f>(-5-((((-5*(-5/((-5/(((-5*(51.03--5))-(-5+((-5*51.03)*(((-5--5)+(51.03--5))+51.03))))-(-5+-5)))*-5)))/-5)--5)+(-5*(((51.03*(51.03-(-5/-5)))*(51.03-(51.03/(-5*51.03))))-(-5/-5)))))</f>
        <v>659354.106835</v>
      </c>
      <c r="C15104" t="n" s="0">
        <v>659354.1068350001</v>
      </c>
    </row>
    <row r="15105">
      <c r="A15105" t="n" s="0">
        <v>51.04</v>
      </c>
      <c r="B15105" t="n" s="0">
        <f>(-5-((((-5*(-5/((-5/(((-5*(51.04--5))-(-5+((-5*51.04)*(((-5--5)+(51.04--5))+51.04))))-(-5+-5)))*-5)))/-5)--5)+(-5*(((51.04*(51.04-(-5/-5)))*(51.04-(51.04/(-5*51.04))))-(-5/-5)))))</f>
        <v>659742.7811199999</v>
      </c>
      <c r="C15105" t="n" s="0">
        <v>659742.78112</v>
      </c>
    </row>
    <row r="15106">
      <c r="A15106" t="n" s="0">
        <v>51.05</v>
      </c>
      <c r="B15106" t="n" s="0">
        <f>(-5-((((-5*(-5/((-5/(((-5*(51.05--5))-(-5+((-5*51.05)*(((-5--5)+(51.05--5))+51.05))))-(-5+-5)))*-5)))/-5)--5)+(-5*(((51.05*(51.05-(-5/-5)))*(51.05-(51.05/(-5*51.05))))-(-5/-5)))))</f>
        <v>660131.608125</v>
      </c>
      <c r="C15106" t="n" s="0">
        <v>660131.6081249999</v>
      </c>
    </row>
    <row r="15107">
      <c r="A15107" t="n" s="0">
        <v>51.06</v>
      </c>
      <c r="B15107" t="n" s="0">
        <f>(-5-((((-5*(-5/((-5/(((-5*(51.06--5))-(-5+((-5*51.06)*(((-5--5)+(51.06--5))+51.06))))-(-5+-5)))*-5)))/-5)--5)+(-5*(((51.06*(51.06-(-5/-5)))*(51.06-(51.06/(-5*51.06))))-(-5/-5)))))</f>
        <v>660520.58788</v>
      </c>
      <c r="C15107" t="n" s="0">
        <v>660520.5878800001</v>
      </c>
    </row>
    <row r="15108">
      <c r="A15108" t="n" s="0">
        <v>51.07</v>
      </c>
      <c r="B15108" t="n" s="0">
        <f>(-5-((((-5*(-5/((-5/(((-5*(51.07--5))-(-5+((-5*51.07)*(((-5--5)+(51.07--5))+51.07))))-(-5+-5)))*-5)))/-5)--5)+(-5*(((51.07*(51.07-(-5/-5)))*(51.07-(51.07/(-5*51.07))))-(-5/-5)))))</f>
        <v>660909.7204150001</v>
      </c>
      <c r="C15108" t="n" s="0">
        <v>660909.720415</v>
      </c>
    </row>
    <row r="15109">
      <c r="A15109" t="n" s="0">
        <v>51.08</v>
      </c>
      <c r="B15109" t="n" s="0">
        <f>(-5-((((-5*(-5/((-5/(((-5*(51.08--5))-(-5+((-5*51.08)*(((-5--5)+(51.08--5))+51.08))))-(-5+-5)))*-5)))/-5)--5)+(-5*(((51.08*(51.08-(-5/-5)))*(51.08-(51.08/(-5*51.08))))-(-5/-5)))))</f>
        <v>661299.0057600001</v>
      </c>
      <c r="C15109" t="n" s="0">
        <v>661299.00576</v>
      </c>
    </row>
    <row r="15110">
      <c r="A15110" t="n" s="0">
        <v>51.09</v>
      </c>
      <c r="B15110" t="n" s="0">
        <f>(-5-((((-5*(-5/((-5/(((-5*(51.09--5))-(-5+((-5*51.09)*(((-5--5)+(51.09--5))+51.09))))-(-5+-5)))*-5)))/-5)--5)+(-5*(((51.09*(51.09-(-5/-5)))*(51.09-(51.09/(-5*51.09))))-(-5/-5)))))</f>
        <v>661688.4439450001</v>
      </c>
      <c r="C15110" t="n" s="0">
        <v>661688.4439450001</v>
      </c>
    </row>
    <row r="15111">
      <c r="A15111" t="n" s="0">
        <v>51.1</v>
      </c>
      <c r="B15111" t="n" s="0">
        <f>(-5-((((-5*(-5/((-5/(((-5*(51.1--5))-(-5+((-5*51.1)*(((-5--5)+(51.1--5))+51.1))))-(-5+-5)))*-5)))/-5)--5)+(-5*(((51.1*(51.1-(-5/-5)))*(51.1-(51.1/(-5*51.1))))-(-5/-5)))))</f>
        <v>662078.0349999999</v>
      </c>
      <c r="C15111" t="n" s="0">
        <v>662078.035</v>
      </c>
    </row>
    <row r="15112">
      <c r="A15112" t="n" s="0">
        <v>51.11</v>
      </c>
      <c r="B15112" t="n" s="0">
        <f>(-5-((((-5*(-5/((-5/(((-5*(51.11--5))-(-5+((-5*51.11)*(((-5--5)+(51.11--5))+51.11))))-(-5+-5)))*-5)))/-5)--5)+(-5*(((51.11*(51.11-(-5/-5)))*(51.11-(51.11/(-5*51.11))))-(-5/-5)))))</f>
        <v>662467.778955</v>
      </c>
      <c r="C15112" t="n" s="0">
        <v>662467.7789549999</v>
      </c>
    </row>
    <row r="15113">
      <c r="A15113" t="n" s="0">
        <v>51.12</v>
      </c>
      <c r="B15113" t="n" s="0">
        <f>(-5-((((-5*(-5/((-5/(((-5*(51.12--5))-(-5+((-5*51.12)*(((-5--5)+(51.12--5))+51.12))))-(-5+-5)))*-5)))/-5)--5)+(-5*(((51.12*(51.12-(-5/-5)))*(51.12-(51.12/(-5*51.12))))-(-5/-5)))))</f>
        <v>662857.67584</v>
      </c>
      <c r="C15113" t="n" s="0">
        <v>662857.6758399999</v>
      </c>
    </row>
    <row r="15114">
      <c r="A15114" t="n" s="0">
        <v>51.13</v>
      </c>
      <c r="B15114" t="n" s="0">
        <f>(-5-((((-5*(-5/((-5/(((-5*(51.13--5))-(-5+((-5*51.13)*(((-5--5)+(51.13--5))+51.13))))-(-5+-5)))*-5)))/-5)--5)+(-5*(((51.13*(51.13-(-5/-5)))*(51.13-(51.13/(-5*51.13))))-(-5/-5)))))</f>
        <v>663247.7256850001</v>
      </c>
      <c r="C15114" t="n" s="0">
        <v>663247.7256850002</v>
      </c>
    </row>
    <row r="15115">
      <c r="A15115" t="n" s="0">
        <v>51.14</v>
      </c>
      <c r="B15115" t="n" s="0">
        <f>(-5-((((-5*(-5/((-5/(((-5*(51.14--5))-(-5+((-5*51.14)*(((-5--5)+(51.14--5))+51.14))))-(-5+-5)))*-5)))/-5)--5)+(-5*(((51.14*(51.14-(-5/-5)))*(51.14-(51.14/(-5*51.14))))-(-5/-5)))))</f>
        <v>663637.92852</v>
      </c>
      <c r="C15115" t="n" s="0">
        <v>663637.9285200001</v>
      </c>
    </row>
    <row r="15116">
      <c r="A15116" t="n" s="0">
        <v>51.15</v>
      </c>
      <c r="B15116" t="n" s="0">
        <f>(-5-((((-5*(-5/((-5/(((-5*(51.15--5))-(-5+((-5*51.15)*(((-5--5)+(51.15--5))+51.15))))-(-5+-5)))*-5)))/-5)--5)+(-5*(((51.15*(51.15-(-5/-5)))*(51.15-(51.15/(-5*51.15))))-(-5/-5)))))</f>
        <v>664028.284375</v>
      </c>
      <c r="C15116" t="n" s="0">
        <v>664028.2843749998</v>
      </c>
    </row>
    <row r="15117">
      <c r="A15117" t="n" s="0">
        <v>51.16</v>
      </c>
      <c r="B15117" t="n" s="0">
        <f>(-5-((((-5*(-5/((-5/(((-5*(51.16--5))-(-5+((-5*51.16)*(((-5--5)+(51.16--5))+51.16))))-(-5+-5)))*-5)))/-5)--5)+(-5*(((51.16*(51.16-(-5/-5)))*(51.16-(51.16/(-5*51.16))))-(-5/-5)))))</f>
        <v>664418.79328</v>
      </c>
      <c r="C15117" t="n" s="0">
        <v>664418.7932799999</v>
      </c>
    </row>
    <row r="15118">
      <c r="A15118" t="n" s="0">
        <v>51.17</v>
      </c>
      <c r="B15118" t="n" s="0">
        <f>(-5-((((-5*(-5/((-5/(((-5*(51.17--5))-(-5+((-5*51.17)*(((-5--5)+(51.17--5))+51.17))))-(-5+-5)))*-5)))/-5)--5)+(-5*(((51.17*(51.17-(-5/-5)))*(51.17-(51.17/(-5*51.17))))-(-5/-5)))))</f>
        <v>664809.455265</v>
      </c>
      <c r="C15118" t="n" s="0">
        <v>664809.4552650001</v>
      </c>
    </row>
    <row r="15119">
      <c r="A15119" t="n" s="0">
        <v>51.18</v>
      </c>
      <c r="B15119" t="n" s="0">
        <f>(-5-((((-5*(-5/((-5/(((-5*(51.18--5))-(-5+((-5*51.18)*(((-5--5)+(51.18--5))+51.18))))-(-5+-5)))*-5)))/-5)--5)+(-5*(((51.18*(51.18-(-5/-5)))*(51.18-(51.18/(-5*51.18))))-(-5/-5)))))</f>
        <v>665200.27036</v>
      </c>
      <c r="C15119" t="n" s="0">
        <v>665200.2703600001</v>
      </c>
    </row>
    <row r="15120">
      <c r="A15120" t="n" s="0">
        <v>51.19</v>
      </c>
      <c r="B15120" t="n" s="0">
        <f>(-5-((((-5*(-5/((-5/(((-5*(51.19--5))-(-5+((-5*51.19)*(((-5--5)+(51.19--5))+51.19))))-(-5+-5)))*-5)))/-5)--5)+(-5*(((51.19*(51.19-(-5/-5)))*(51.19-(51.19/(-5*51.19))))-(-5/-5)))))</f>
        <v>665591.238595</v>
      </c>
      <c r="C15120" t="n" s="0">
        <v>665591.238595</v>
      </c>
    </row>
    <row r="15121">
      <c r="A15121" t="n" s="0">
        <v>51.2</v>
      </c>
      <c r="B15121" t="n" s="0">
        <f>(-5-((((-5*(-5/((-5/(((-5*(51.2--5))-(-5+((-5*51.2)*(((-5--5)+(51.2--5))+51.2))))-(-5+-5)))*-5)))/-5)--5)+(-5*(((51.2*(51.2-(-5/-5)))*(51.2-(51.2/(-5*51.2))))-(-5/-5)))))</f>
        <v>665982.3600000001</v>
      </c>
      <c r="C15121" t="n" s="0">
        <v>665982.3600000001</v>
      </c>
    </row>
    <row r="15122">
      <c r="A15122" t="n" s="0">
        <v>51.21</v>
      </c>
      <c r="B15122" t="n" s="0">
        <f>(-5-((((-5*(-5/((-5/(((-5*(51.21--5))-(-5+((-5*51.21)*(((-5--5)+(51.21--5))+51.21))))-(-5+-5)))*-5)))/-5)--5)+(-5*(((51.21*(51.21-(-5/-5)))*(51.21-(51.21/(-5*51.21))))-(-5/-5)))))</f>
        <v>666373.634605</v>
      </c>
      <c r="C15122" t="n" s="0">
        <v>666373.6346050001</v>
      </c>
    </row>
    <row r="15123">
      <c r="A15123" t="n" s="0">
        <v>51.22</v>
      </c>
      <c r="B15123" t="n" s="0">
        <f>(-5-((((-5*(-5/((-5/(((-5*(51.22--5))-(-5+((-5*51.22)*(((-5--5)+(51.22--5))+51.22))))-(-5+-5)))*-5)))/-5)--5)+(-5*(((51.22*(51.22-(-5/-5)))*(51.22-(51.22/(-5*51.22))))-(-5/-5)))))</f>
        <v>666765.06244</v>
      </c>
      <c r="C15123" t="n" s="0">
        <v>666765.06244</v>
      </c>
    </row>
    <row r="15124">
      <c r="A15124" t="n" s="0">
        <v>51.23</v>
      </c>
      <c r="B15124" t="n" s="0">
        <f>(-5-((((-5*(-5/((-5/(((-5*(51.23--5))-(-5+((-5*51.23)*(((-5--5)+(51.23--5))+51.23))))-(-5+-5)))*-5)))/-5)--5)+(-5*(((51.23*(51.23-(-5/-5)))*(51.23-(51.23/(-5*51.23))))-(-5/-5)))))</f>
        <v>667156.643535</v>
      </c>
      <c r="C15124" t="n" s="0">
        <v>667156.6435349999</v>
      </c>
    </row>
    <row r="15125">
      <c r="A15125" t="n" s="0">
        <v>51.24</v>
      </c>
      <c r="B15125" t="n" s="0">
        <f>(-5-((((-5*(-5/((-5/(((-5*(51.24--5))-(-5+((-5*51.24)*(((-5--5)+(51.24--5))+51.24))))-(-5+-5)))*-5)))/-5)--5)+(-5*(((51.24*(51.24-(-5/-5)))*(51.24-(51.24/(-5*51.24))))-(-5/-5)))))</f>
        <v>667548.3779199999</v>
      </c>
      <c r="C15125" t="n" s="0">
        <v>667548.37792</v>
      </c>
    </row>
    <row r="15126">
      <c r="A15126" t="n" s="0">
        <v>51.25</v>
      </c>
      <c r="B15126" t="n" s="0">
        <f>(-5-((((-5*(-5/((-5/(((-5*(51.25--5))-(-5+((-5*51.25)*(((-5--5)+(51.25--5))+51.25))))-(-5+-5)))*-5)))/-5)--5)+(-5*(((51.25*(51.25-(-5/-5)))*(51.25-(51.25/(-5*51.25))))-(-5/-5)))))</f>
        <v>667940.265625</v>
      </c>
      <c r="C15126" t="n" s="0">
        <v>667940.265625</v>
      </c>
    </row>
    <row r="15127">
      <c r="A15127" t="n" s="0">
        <v>51.26</v>
      </c>
      <c r="B15127" t="n" s="0">
        <f>(-5-((((-5*(-5/((-5/(((-5*(51.26--5))-(-5+((-5*51.26)*(((-5--5)+(51.26--5))+51.26))))-(-5+-5)))*-5)))/-5)--5)+(-5*(((51.26*(51.26-(-5/-5)))*(51.26-(51.26/(-5*51.26))))-(-5/-5)))))</f>
        <v>668332.3066799999</v>
      </c>
      <c r="C15127" t="n" s="0">
        <v>668332.3066799999</v>
      </c>
    </row>
    <row r="15128">
      <c r="A15128" t="n" s="0">
        <v>51.27</v>
      </c>
      <c r="B15128" t="n" s="0">
        <f>(-5-((((-5*(-5/((-5/(((-5*(51.27--5))-(-5+((-5*51.27)*(((-5--5)+(51.27--5))+51.27))))-(-5+-5)))*-5)))/-5)--5)+(-5*(((51.27*(51.27-(-5/-5)))*(51.27-(51.27/(-5*51.27))))-(-5/-5)))))</f>
        <v>668724.501115</v>
      </c>
      <c r="C15128" t="n" s="0">
        <v>668724.5011150001</v>
      </c>
    </row>
    <row r="15129">
      <c r="A15129" t="n" s="0">
        <v>51.28</v>
      </c>
      <c r="B15129" t="n" s="0">
        <f>(-5-((((-5*(-5/((-5/(((-5*(51.28--5))-(-5+((-5*51.28)*(((-5--5)+(51.28--5))+51.28))))-(-5+-5)))*-5)))/-5)--5)+(-5*(((51.28*(51.28-(-5/-5)))*(51.28-(51.28/(-5*51.28))))-(-5/-5)))))</f>
        <v>669116.84896</v>
      </c>
      <c r="C15129" t="n" s="0">
        <v>669116.8489600001</v>
      </c>
    </row>
    <row r="15130">
      <c r="A15130" t="n" s="0">
        <v>51.29</v>
      </c>
      <c r="B15130" t="n" s="0">
        <f>(-5-((((-5*(-5/((-5/(((-5*(51.29--5))-(-5+((-5*51.29)*(((-5--5)+(51.29--5))+51.29))))-(-5+-5)))*-5)))/-5)--5)+(-5*(((51.29*(51.29-(-5/-5)))*(51.29-(51.29/(-5*51.29))))-(-5/-5)))))</f>
        <v>669509.350245</v>
      </c>
      <c r="C15130" t="n" s="0">
        <v>669509.3502450001</v>
      </c>
    </row>
    <row r="15131">
      <c r="A15131" t="n" s="0">
        <v>51.3</v>
      </c>
      <c r="B15131" t="n" s="0">
        <f>(-5-((((-5*(-5/((-5/(((-5*(51.3--5))-(-5+((-5*51.3)*(((-5--5)+(51.3--5))+51.3))))-(-5+-5)))*-5)))/-5)--5)+(-5*(((51.3*(51.3-(-5/-5)))*(51.3-(51.3/(-5*51.3))))-(-5/-5)))))</f>
        <v>669902.005</v>
      </c>
      <c r="C15131" t="n" s="0">
        <v>669902.0049999999</v>
      </c>
    </row>
    <row r="15132">
      <c r="A15132" t="n" s="0">
        <v>51.31</v>
      </c>
      <c r="B15132" t="n" s="0">
        <f>(-5-((((-5*(-5/((-5/(((-5*(51.31--5))-(-5+((-5*51.31)*(((-5--5)+(51.31--5))+51.31))))-(-5+-5)))*-5)))/-5)--5)+(-5*(((51.31*(51.31-(-5/-5)))*(51.31-(51.31/(-5*51.31))))-(-5/-5)))))</f>
        <v>670294.813255</v>
      </c>
      <c r="C15132" t="n" s="0">
        <v>670294.8132550002</v>
      </c>
    </row>
    <row r="15133">
      <c r="A15133" t="n" s="0">
        <v>51.32</v>
      </c>
      <c r="B15133" t="n" s="0">
        <f>(-5-((((-5*(-5/((-5/(((-5*(51.32--5))-(-5+((-5*51.32)*(((-5--5)+(51.32--5))+51.32))))-(-5+-5)))*-5)))/-5)--5)+(-5*(((51.32*(51.32-(-5/-5)))*(51.32-(51.32/(-5*51.32))))-(-5/-5)))))</f>
        <v>670687.77504</v>
      </c>
      <c r="C15133" t="n" s="0">
        <v>670687.77504</v>
      </c>
    </row>
    <row r="15134">
      <c r="A15134" t="n" s="0">
        <v>51.33</v>
      </c>
      <c r="B15134" t="n" s="0">
        <f>(-5-((((-5*(-5/((-5/(((-5*(51.33--5))-(-5+((-5*51.33)*(((-5--5)+(51.33--5))+51.33))))-(-5+-5)))*-5)))/-5)--5)+(-5*(((51.33*(51.33-(-5/-5)))*(51.33-(51.33/(-5*51.33))))-(-5/-5)))))</f>
        <v>671080.890385</v>
      </c>
      <c r="C15134" t="n" s="0">
        <v>671080.8903849999</v>
      </c>
    </row>
    <row r="15135">
      <c r="A15135" t="n" s="0">
        <v>51.34</v>
      </c>
      <c r="B15135" t="n" s="0">
        <f>(-5-((((-5*(-5/((-5/(((-5*(51.34--5))-(-5+((-5*51.34)*(((-5--5)+(51.34--5))+51.34))))-(-5+-5)))*-5)))/-5)--5)+(-5*(((51.34*(51.34-(-5/-5)))*(51.34-(51.34/(-5*51.34))))-(-5/-5)))))</f>
        <v>671474.15932</v>
      </c>
      <c r="C15135" t="n" s="0">
        <v>671474.1593200001</v>
      </c>
    </row>
    <row r="15136">
      <c r="A15136" t="n" s="0">
        <v>51.35</v>
      </c>
      <c r="B15136" t="n" s="0">
        <f>(-5-((((-5*(-5/((-5/(((-5*(51.35--5))-(-5+((-5*51.35)*(((-5--5)+(51.35--5))+51.35))))-(-5+-5)))*-5)))/-5)--5)+(-5*(((51.35*(51.35-(-5/-5)))*(51.35-(51.35/(-5*51.35))))-(-5/-5)))))</f>
        <v>671867.581875</v>
      </c>
      <c r="C15136" t="n" s="0">
        <v>671867.5818750001</v>
      </c>
    </row>
    <row r="15137">
      <c r="A15137" t="n" s="0">
        <v>51.36</v>
      </c>
      <c r="B15137" t="n" s="0">
        <f>(-5-((((-5*(-5/((-5/(((-5*(51.36--5))-(-5+((-5*51.36)*(((-5--5)+(51.36--5))+51.36))))-(-5+-5)))*-5)))/-5)--5)+(-5*(((51.36*(51.36-(-5/-5)))*(51.36-(51.36/(-5*51.36))))-(-5/-5)))))</f>
        <v>672261.15808</v>
      </c>
      <c r="C15137" t="n" s="0">
        <v>672261.15808</v>
      </c>
    </row>
    <row r="15138">
      <c r="A15138" t="n" s="0">
        <v>51.37</v>
      </c>
      <c r="B15138" t="n" s="0">
        <f>(-5-((((-5*(-5/((-5/(((-5*(51.37--5))-(-5+((-5*51.37)*(((-5--5)+(51.37--5))+51.37))))-(-5+-5)))*-5)))/-5)--5)+(-5*(((51.37*(51.37-(-5/-5)))*(51.37-(51.37/(-5*51.37))))-(-5/-5)))))</f>
        <v>672654.887965</v>
      </c>
      <c r="C15138" t="n" s="0">
        <v>672654.887965</v>
      </c>
    </row>
    <row r="15139">
      <c r="A15139" t="n" s="0">
        <v>51.38</v>
      </c>
      <c r="B15139" t="n" s="0">
        <f>(-5-((((-5*(-5/((-5/(((-5*(51.38--5))-(-5+((-5*51.38)*(((-5--5)+(51.38--5))+51.38))))-(-5+-5)))*-5)))/-5)--5)+(-5*(((51.38*(51.38-(-5/-5)))*(51.38-(51.38/(-5*51.38))))-(-5/-5)))))</f>
        <v>673048.77156</v>
      </c>
      <c r="C15139" t="n" s="0">
        <v>673048.7715600001</v>
      </c>
    </row>
    <row r="15140">
      <c r="A15140" t="n" s="0">
        <v>51.39</v>
      </c>
      <c r="B15140" t="n" s="0">
        <f>(-5-((((-5*(-5/((-5/(((-5*(51.39--5))-(-5+((-5*51.39)*(((-5--5)+(51.39--5))+51.39))))-(-5+-5)))*-5)))/-5)--5)+(-5*(((51.39*(51.39-(-5/-5)))*(51.39-(51.39/(-5*51.39))))-(-5/-5)))))</f>
        <v>673442.808895</v>
      </c>
      <c r="C15140" t="n" s="0">
        <v>673442.8088950001</v>
      </c>
    </row>
    <row r="15141">
      <c r="A15141" t="n" s="0">
        <v>51.4</v>
      </c>
      <c r="B15141" t="n" s="0">
        <f>(-5-((((-5*(-5/((-5/(((-5*(51.4--5))-(-5+((-5*51.4)*(((-5--5)+(51.4--5))+51.4))))-(-5+-5)))*-5)))/-5)--5)+(-5*(((51.4*(51.4-(-5/-5)))*(51.4-(51.4/(-5*51.4))))-(-5/-5)))))</f>
        <v>673837.0</v>
      </c>
      <c r="C15141" t="n" s="0">
        <v>673836.9999999998</v>
      </c>
    </row>
    <row r="15142">
      <c r="A15142" t="n" s="0">
        <v>51.41</v>
      </c>
      <c r="B15142" t="n" s="0">
        <f>(-5-((((-5*(-5/((-5/(((-5*(51.41--5))-(-5+((-5*51.41)*(((-5--5)+(51.41--5))+51.41))))-(-5+-5)))*-5)))/-5)--5)+(-5*(((51.41*(51.41-(-5/-5)))*(51.41-(51.41/(-5*51.41))))-(-5/-5)))))</f>
        <v>674231.3449050001</v>
      </c>
      <c r="C15142" t="n" s="0">
        <v>674231.3449049998</v>
      </c>
    </row>
    <row r="15143">
      <c r="A15143" t="n" s="0">
        <v>51.42</v>
      </c>
      <c r="B15143" t="n" s="0">
        <f>(-5-((((-5*(-5/((-5/(((-5*(51.42--5))-(-5+((-5*51.42)*(((-5--5)+(51.42--5))+51.42))))-(-5+-5)))*-5)))/-5)--5)+(-5*(((51.42*(51.42-(-5/-5)))*(51.42-(51.42/(-5*51.42))))-(-5/-5)))))</f>
        <v>674625.84364</v>
      </c>
      <c r="C15143" t="n" s="0">
        <v>674625.84364</v>
      </c>
    </row>
    <row r="15144">
      <c r="A15144" t="n" s="0">
        <v>51.43</v>
      </c>
      <c r="B15144" t="n" s="0">
        <f>(-5-((((-5*(-5/((-5/(((-5*(51.43--5))-(-5+((-5*51.43)*(((-5--5)+(51.43--5))+51.43))))-(-5+-5)))*-5)))/-5)--5)+(-5*(((51.43*(51.43-(-5/-5)))*(51.43-(51.43/(-5*51.43))))-(-5/-5)))))</f>
        <v>675020.4962350001</v>
      </c>
      <c r="C15144" t="n" s="0">
        <v>675020.496235</v>
      </c>
    </row>
    <row r="15145">
      <c r="A15145" t="n" s="0">
        <v>51.44</v>
      </c>
      <c r="B15145" t="n" s="0">
        <f>(-5-((((-5*(-5/((-5/(((-5*(51.44--5))-(-5+((-5*51.44)*(((-5--5)+(51.44--5))+51.44))))-(-5+-5)))*-5)))/-5)--5)+(-5*(((51.44*(51.44-(-5/-5)))*(51.44-(51.44/(-5*51.44))))-(-5/-5)))))</f>
        <v>675415.30272</v>
      </c>
      <c r="C15145" t="n" s="0">
        <v>675415.3027199998</v>
      </c>
    </row>
    <row r="15146">
      <c r="A15146" t="n" s="0">
        <v>51.45</v>
      </c>
      <c r="B15146" t="n" s="0">
        <f>(-5-((((-5*(-5/((-5/(((-5*(51.45--5))-(-5+((-5*51.45)*(((-5--5)+(51.45--5))+51.45))))-(-5+-5)))*-5)))/-5)--5)+(-5*(((51.45*(51.45-(-5/-5)))*(51.45-(51.45/(-5*51.45))))-(-5/-5)))))</f>
        <v>675810.263125</v>
      </c>
      <c r="C15146" t="n" s="0">
        <v>675810.2631250002</v>
      </c>
    </row>
    <row r="15147">
      <c r="A15147" t="n" s="0">
        <v>51.46</v>
      </c>
      <c r="B15147" t="n" s="0">
        <f>(-5-((((-5*(-5/((-5/(((-5*(51.46--5))-(-5+((-5*51.46)*(((-5--5)+(51.46--5))+51.46))))-(-5+-5)))*-5)))/-5)--5)+(-5*(((51.46*(51.46-(-5/-5)))*(51.46-(51.46/(-5*51.46))))-(-5/-5)))))</f>
        <v>676205.37748</v>
      </c>
      <c r="C15147" t="n" s="0">
        <v>676205.37748</v>
      </c>
    </row>
    <row r="15148">
      <c r="A15148" t="n" s="0">
        <v>51.47</v>
      </c>
      <c r="B15148" t="n" s="0">
        <f>(-5-((((-5*(-5/((-5/(((-5*(51.47--5))-(-5+((-5*51.47)*(((-5--5)+(51.47--5))+51.47))))-(-5+-5)))*-5)))/-5)--5)+(-5*(((51.47*(51.47-(-5/-5)))*(51.47-(51.47/(-5*51.47))))-(-5/-5)))))</f>
        <v>676600.645815</v>
      </c>
      <c r="C15148" t="n" s="0">
        <v>676600.6458149999</v>
      </c>
    </row>
    <row r="15149">
      <c r="A15149" t="n" s="0">
        <v>51.48</v>
      </c>
      <c r="B15149" t="n" s="0">
        <f>(-5-((((-5*(-5/((-5/(((-5*(51.48--5))-(-5+((-5*51.48)*(((-5--5)+(51.48--5))+51.48))))-(-5+-5)))*-5)))/-5)--5)+(-5*(((51.48*(51.48-(-5/-5)))*(51.48-(51.48/(-5*51.48))))-(-5/-5)))))</f>
        <v>676996.06816</v>
      </c>
      <c r="C15149" t="n" s="0">
        <v>676996.0681599998</v>
      </c>
    </row>
    <row r="15150">
      <c r="A15150" t="n" s="0">
        <v>51.49</v>
      </c>
      <c r="B15150" t="n" s="0">
        <f>(-5-((((-5*(-5/((-5/(((-5*(51.49--5))-(-5+((-5*51.49)*(((-5--5)+(51.49--5))+51.49))))-(-5+-5)))*-5)))/-5)--5)+(-5*(((51.49*(51.49-(-5/-5)))*(51.49-(51.49/(-5*51.49))))-(-5/-5)))))</f>
        <v>677391.644545</v>
      </c>
      <c r="C15150" t="n" s="0">
        <v>677391.6445450002</v>
      </c>
    </row>
    <row r="15151">
      <c r="A15151" t="n" s="0">
        <v>51.5</v>
      </c>
      <c r="B15151" t="n" s="0">
        <f>(-5-((((-5*(-5/((-5/(((-5*(51.5--5))-(-5+((-5*51.5)*(((-5--5)+(51.5--5))+51.5))))-(-5+-5)))*-5)))/-5)--5)+(-5*(((51.5*(51.5-(-5/-5)))*(51.5-(51.5/(-5*51.5))))-(-5/-5)))))</f>
        <v>677787.375</v>
      </c>
      <c r="C15151" t="n" s="0">
        <v>677787.375</v>
      </c>
    </row>
    <row r="15152">
      <c r="A15152" t="n" s="0">
        <v>51.51</v>
      </c>
      <c r="B15152" t="n" s="0">
        <f>(-5-((((-5*(-5/((-5/(((-5*(51.51--5))-(-5+((-5*51.51)*(((-5--5)+(51.51--5))+51.51))))-(-5+-5)))*-5)))/-5)--5)+(-5*(((51.51*(51.51-(-5/-5)))*(51.51-(51.51/(-5*51.51))))-(-5/-5)))))</f>
        <v>678183.259555</v>
      </c>
      <c r="C15152" t="n" s="0">
        <v>678183.259555</v>
      </c>
    </row>
    <row r="15153">
      <c r="A15153" t="n" s="0">
        <v>51.52</v>
      </c>
      <c r="B15153" t="n" s="0">
        <f>(-5-((((-5*(-5/((-5/(((-5*(51.52--5))-(-5+((-5*51.52)*(((-5--5)+(51.52--5))+51.52))))-(-5+-5)))*-5)))/-5)--5)+(-5*(((51.52*(51.52-(-5/-5)))*(51.52-(51.52/(-5*51.52))))-(-5/-5)))))</f>
        <v>678579.29824</v>
      </c>
      <c r="C15153" t="n" s="0">
        <v>678579.2982400003</v>
      </c>
    </row>
    <row r="15154">
      <c r="A15154" t="n" s="0">
        <v>51.53</v>
      </c>
      <c r="B15154" t="n" s="0">
        <f>(-5-((((-5*(-5/((-5/(((-5*(51.53--5))-(-5+((-5*51.53)*(((-5--5)+(51.53--5))+51.53))))-(-5+-5)))*-5)))/-5)--5)+(-5*(((51.53*(51.53-(-5/-5)))*(51.53-(51.53/(-5*51.53))))-(-5/-5)))))</f>
        <v>678975.491085</v>
      </c>
      <c r="C15154" t="n" s="0">
        <v>678975.491085</v>
      </c>
    </row>
    <row r="15155">
      <c r="A15155" t="n" s="0">
        <v>51.54</v>
      </c>
      <c r="B15155" t="n" s="0">
        <f>(-5-((((-5*(-5/((-5/(((-5*(51.54--5))-(-5+((-5*51.54)*(((-5--5)+(51.54--5))+51.54))))-(-5+-5)))*-5)))/-5)--5)+(-5*(((51.54*(51.54-(-5/-5)))*(51.54-(51.54/(-5*51.54))))-(-5/-5)))))</f>
        <v>679371.83812</v>
      </c>
      <c r="C15155" t="n" s="0">
        <v>679371.83812</v>
      </c>
    </row>
    <row r="15156">
      <c r="A15156" t="n" s="0">
        <v>51.55</v>
      </c>
      <c r="B15156" t="n" s="0">
        <f>(-5-((((-5*(-5/((-5/(((-5*(51.55--5))-(-5+((-5*51.55)*(((-5--5)+(51.55--5))+51.55))))-(-5+-5)))*-5)))/-5)--5)+(-5*(((51.55*(51.55-(-5/-5)))*(51.55-(51.55/(-5*51.55))))-(-5/-5)))))</f>
        <v>679768.339375</v>
      </c>
      <c r="C15156" t="n" s="0">
        <v>679768.3393749997</v>
      </c>
    </row>
    <row r="15157">
      <c r="A15157" t="n" s="0">
        <v>51.56</v>
      </c>
      <c r="B15157" t="n" s="0">
        <f>(-5-((((-5*(-5/((-5/(((-5*(51.56--5))-(-5+((-5*51.56)*(((-5--5)+(51.56--5))+51.56))))-(-5+-5)))*-5)))/-5)--5)+(-5*(((51.56*(51.56-(-5/-5)))*(51.56-(51.56/(-5*51.56))))-(-5/-5)))))</f>
        <v>680164.99488</v>
      </c>
      <c r="C15157" t="n" s="0">
        <v>680164.9948800001</v>
      </c>
    </row>
    <row r="15158">
      <c r="A15158" t="n" s="0">
        <v>51.57</v>
      </c>
      <c r="B15158" t="n" s="0">
        <f>(-5-((((-5*(-5/((-5/(((-5*(51.57--5))-(-5+((-5*51.57)*(((-5--5)+(51.57--5))+51.57))))-(-5+-5)))*-5)))/-5)--5)+(-5*(((51.57*(51.57-(-5/-5)))*(51.57-(51.57/(-5*51.57))))-(-5/-5)))))</f>
        <v>680561.804665</v>
      </c>
      <c r="C15158" t="n" s="0">
        <v>680561.804665</v>
      </c>
    </row>
    <row r="15159">
      <c r="A15159" t="n" s="0">
        <v>51.58</v>
      </c>
      <c r="B15159" t="n" s="0">
        <f>(-5-((((-5*(-5/((-5/(((-5*(51.58--5))-(-5+((-5*51.58)*(((-5--5)+(51.58--5))+51.58))))-(-5+-5)))*-5)))/-5)--5)+(-5*(((51.58*(51.58-(-5/-5)))*(51.58-(51.58/(-5*51.58))))-(-5/-5)))))</f>
        <v>680958.76876</v>
      </c>
      <c r="C15159" t="n" s="0">
        <v>680958.76876</v>
      </c>
    </row>
    <row r="15160">
      <c r="A15160" t="n" s="0">
        <v>51.59</v>
      </c>
      <c r="B15160" t="n" s="0">
        <f>(-5-((((-5*(-5/((-5/(((-5*(51.59--5))-(-5+((-5*51.59)*(((-5--5)+(51.59--5))+51.59))))-(-5+-5)))*-5)))/-5)--5)+(-5*(((51.59*(51.59-(-5/-5)))*(51.59-(51.59/(-5*51.59))))-(-5/-5)))))</f>
        <v>681355.887195</v>
      </c>
      <c r="C15160" t="n" s="0">
        <v>681355.8871950001</v>
      </c>
    </row>
    <row r="15161">
      <c r="A15161" t="n" s="0">
        <v>51.6</v>
      </c>
      <c r="B15161" t="n" s="0">
        <f>(-5-((((-5*(-5/((-5/(((-5*(51.6--5))-(-5+((-5*51.6)*(((-5--5)+(51.6--5))+51.6))))-(-5+-5)))*-5)))/-5)--5)+(-5*(((51.6*(51.6-(-5/-5)))*(51.6-(51.6/(-5*51.6))))-(-5/-5)))))</f>
        <v>681753.16</v>
      </c>
      <c r="C15161" t="n" s="0">
        <v>681753.1600000001</v>
      </c>
    </row>
    <row r="15162">
      <c r="A15162" t="n" s="0">
        <v>51.61</v>
      </c>
      <c r="B15162" t="n" s="0">
        <f>(-5-((((-5*(-5/((-5/(((-5*(51.61--5))-(-5+((-5*51.61)*(((-5--5)+(51.61--5))+51.61))))-(-5+-5)))*-5)))/-5)--5)+(-5*(((51.61*(51.61-(-5/-5)))*(51.61-(51.61/(-5*51.61))))-(-5/-5)))))</f>
        <v>682150.587205</v>
      </c>
      <c r="C15162" t="n" s="0">
        <v>682150.5872049999</v>
      </c>
    </row>
    <row r="15163">
      <c r="A15163" t="n" s="0">
        <v>51.62</v>
      </c>
      <c r="B15163" t="n" s="0">
        <f>(-5-((((-5*(-5/((-5/(((-5*(51.62--5))-(-5+((-5*51.62)*(((-5--5)+(51.62--5))+51.62))))-(-5+-5)))*-5)))/-5)--5)+(-5*(((51.62*(51.62-(-5/-5)))*(51.62-(51.62/(-5*51.62))))-(-5/-5)))))</f>
        <v>682548.16884</v>
      </c>
      <c r="C15163" t="n" s="0">
        <v>682548.1688399998</v>
      </c>
    </row>
    <row r="15164">
      <c r="A15164" t="n" s="0">
        <v>51.63</v>
      </c>
      <c r="B15164" t="n" s="0">
        <f>(-5-((((-5*(-5/((-5/(((-5*(51.63--5))-(-5+((-5*51.63)*(((-5--5)+(51.63--5))+51.63))))-(-5+-5)))*-5)))/-5)--5)+(-5*(((51.63*(51.63-(-5/-5)))*(51.63-(51.63/(-5*51.63))))-(-5/-5)))))</f>
        <v>682945.904935</v>
      </c>
      <c r="C15164" t="n" s="0">
        <v>682945.9049350002</v>
      </c>
    </row>
    <row r="15165">
      <c r="A15165" t="n" s="0">
        <v>51.64</v>
      </c>
      <c r="B15165" t="n" s="0">
        <f>(-5-((((-5*(-5/((-5/(((-5*(51.64--5))-(-5+((-5*51.64)*(((-5--5)+(51.64--5))+51.64))))-(-5+-5)))*-5)))/-5)--5)+(-5*(((51.64*(51.64-(-5/-5)))*(51.64-(51.64/(-5*51.64))))-(-5/-5)))))</f>
        <v>683343.79552</v>
      </c>
      <c r="C15165" t="n" s="0">
        <v>683343.7955200002</v>
      </c>
    </row>
    <row r="15166">
      <c r="A15166" t="n" s="0">
        <v>51.65</v>
      </c>
      <c r="B15166" t="n" s="0">
        <f>(-5-((((-5*(-5/((-5/(((-5*(51.65--5))-(-5+((-5*51.65)*(((-5--5)+(51.65--5))+51.65))))-(-5+-5)))*-5)))/-5)--5)+(-5*(((51.65*(51.65-(-5/-5)))*(51.65-(51.65/(-5*51.65))))-(-5/-5)))))</f>
        <v>683741.8406250001</v>
      </c>
      <c r="C15166" t="n" s="0">
        <v>683741.840625</v>
      </c>
    </row>
    <row r="15167">
      <c r="A15167" t="n" s="0">
        <v>51.66</v>
      </c>
      <c r="B15167" t="n" s="0">
        <f>(-5-((((-5*(-5/((-5/(((-5*(51.66--5))-(-5+((-5*51.66)*(((-5--5)+(51.66--5))+51.66))))-(-5+-5)))*-5)))/-5)--5)+(-5*(((51.66*(51.66-(-5/-5)))*(51.66-(51.66/(-5*51.66))))-(-5/-5)))))</f>
        <v>684140.04028</v>
      </c>
      <c r="C15167" t="n" s="0">
        <v>684140.04028</v>
      </c>
    </row>
    <row r="15168">
      <c r="A15168" t="n" s="0">
        <v>51.67</v>
      </c>
      <c r="B15168" t="n" s="0">
        <f>(-5-((((-5*(-5/((-5/(((-5*(51.67--5))-(-5+((-5*51.67)*(((-5--5)+(51.67--5))+51.67))))-(-5+-5)))*-5)))/-5)--5)+(-5*(((51.67*(51.67-(-5/-5)))*(51.67-(51.67/(-5*51.67))))-(-5/-5)))))</f>
        <v>684538.394515</v>
      </c>
      <c r="C15168" t="n" s="0">
        <v>684538.394515</v>
      </c>
    </row>
    <row r="15169">
      <c r="A15169" t="n" s="0">
        <v>51.68</v>
      </c>
      <c r="B15169" t="n" s="0">
        <f>(-5-((((-5*(-5/((-5/(((-5*(51.68--5))-(-5+((-5*51.68)*(((-5--5)+(51.68--5))+51.68))))-(-5+-5)))*-5)))/-5)--5)+(-5*(((51.68*(51.68-(-5/-5)))*(51.68-(51.68/(-5*51.68))))-(-5/-5)))))</f>
        <v>684936.90336</v>
      </c>
      <c r="C15169" t="n" s="0">
        <v>684936.90336</v>
      </c>
    </row>
    <row r="15170">
      <c r="A15170" t="n" s="0">
        <v>51.69</v>
      </c>
      <c r="B15170" t="n" s="0">
        <f>(-5-((((-5*(-5/((-5/(((-5*(51.69--5))-(-5+((-5*51.69)*(((-5--5)+(51.69--5))+51.69))))-(-5+-5)))*-5)))/-5)--5)+(-5*(((51.69*(51.69-(-5/-5)))*(51.69-(51.69/(-5*51.69))))-(-5/-5)))))</f>
        <v>685335.5668449999</v>
      </c>
      <c r="C15170" t="n" s="0">
        <v>685335.5668449999</v>
      </c>
    </row>
    <row r="15171">
      <c r="A15171" t="n" s="0">
        <v>51.7</v>
      </c>
      <c r="B15171" t="n" s="0">
        <f>(-5-((((-5*(-5/((-5/(((-5*(51.7--5))-(-5+((-5*51.7)*(((-5--5)+(51.7--5))+51.7))))-(-5+-5)))*-5)))/-5)--5)+(-5*(((51.7*(51.7-(-5/-5)))*(51.7-(51.7/(-5*51.7))))-(-5/-5)))))</f>
        <v>685734.385</v>
      </c>
      <c r="C15171" t="n" s="0">
        <v>685734.3850000001</v>
      </c>
    </row>
    <row r="15172">
      <c r="A15172" t="n" s="0">
        <v>51.71</v>
      </c>
      <c r="B15172" t="n" s="0">
        <f>(-5-((((-5*(-5/((-5/(((-5*(51.71--5))-(-5+((-5*51.71)*(((-5--5)+(51.71--5))+51.71))))-(-5+-5)))*-5)))/-5)--5)+(-5*(((51.71*(51.71-(-5/-5)))*(51.71-(51.71/(-5*51.71))))-(-5/-5)))))</f>
        <v>686133.357855</v>
      </c>
      <c r="C15172" t="n" s="0">
        <v>686133.357855</v>
      </c>
    </row>
    <row r="15173">
      <c r="A15173" t="n" s="0">
        <v>51.72</v>
      </c>
      <c r="B15173" t="n" s="0">
        <f>(-5-((((-5*(-5/((-5/(((-5*(51.72--5))-(-5+((-5*51.72)*(((-5--5)+(51.72--5))+51.72))))-(-5+-5)))*-5)))/-5)--5)+(-5*(((51.72*(51.72-(-5/-5)))*(51.72-(51.72/(-5*51.72))))-(-5/-5)))))</f>
        <v>686532.48544</v>
      </c>
      <c r="C15173" t="n" s="0">
        <v>686532.4854400001</v>
      </c>
    </row>
    <row r="15174">
      <c r="A15174" t="n" s="0">
        <v>51.73</v>
      </c>
      <c r="B15174" t="n" s="0">
        <f>(-5-((((-5*(-5/((-5/(((-5*(51.73--5))-(-5+((-5*51.73)*(((-5--5)+(51.73--5))+51.73))))-(-5+-5)))*-5)))/-5)--5)+(-5*(((51.73*(51.73-(-5/-5)))*(51.73-(51.73/(-5*51.73))))-(-5/-5)))))</f>
        <v>686931.7677849999</v>
      </c>
      <c r="C15174" t="n" s="0">
        <v>686931.7677849998</v>
      </c>
    </row>
    <row r="15175">
      <c r="A15175" t="n" s="0">
        <v>51.74</v>
      </c>
      <c r="B15175" t="n" s="0">
        <f>(-5-((((-5*(-5/((-5/(((-5*(51.74--5))-(-5+((-5*51.74)*(((-5--5)+(51.74--5))+51.74))))-(-5+-5)))*-5)))/-5)--5)+(-5*(((51.74*(51.74-(-5/-5)))*(51.74-(51.74/(-5*51.74))))-(-5/-5)))))</f>
        <v>687331.20492</v>
      </c>
      <c r="C15175" t="n" s="0">
        <v>687331.20492</v>
      </c>
    </row>
    <row r="15176">
      <c r="A15176" t="n" s="0">
        <v>51.75</v>
      </c>
      <c r="B15176" t="n" s="0">
        <f>(-5-((((-5*(-5/((-5/(((-5*(51.75--5))-(-5+((-5*51.75)*(((-5--5)+(51.75--5))+51.75))))-(-5+-5)))*-5)))/-5)--5)+(-5*(((51.75*(51.75-(-5/-5)))*(51.75-(51.75/(-5*51.75))))-(-5/-5)))))</f>
        <v>687730.796875</v>
      </c>
      <c r="C15176" t="n" s="0">
        <v>687730.796875</v>
      </c>
    </row>
    <row r="15177">
      <c r="A15177" t="n" s="0">
        <v>51.76</v>
      </c>
      <c r="B15177" t="n" s="0">
        <f>(-5-((((-5*(-5/((-5/(((-5*(51.76--5))-(-5+((-5*51.76)*(((-5--5)+(51.76--5))+51.76))))-(-5+-5)))*-5)))/-5)--5)+(-5*(((51.76*(51.76-(-5/-5)))*(51.76-(51.76/(-5*51.76))))-(-5/-5)))))</f>
        <v>688130.54368</v>
      </c>
      <c r="C15177" t="n" s="0">
        <v>688130.54368</v>
      </c>
    </row>
    <row r="15178">
      <c r="A15178" t="n" s="0">
        <v>51.77</v>
      </c>
      <c r="B15178" t="n" s="0">
        <f>(-5-((((-5*(-5/((-5/(((-5*(51.77--5))-(-5+((-5*51.77)*(((-5--5)+(51.77--5))+51.77))))-(-5+-5)))*-5)))/-5)--5)+(-5*(((51.77*(51.77-(-5/-5)))*(51.77-(51.77/(-5*51.77))))-(-5/-5)))))</f>
        <v>688530.445365</v>
      </c>
      <c r="C15178" t="n" s="0">
        <v>688530.4453650002</v>
      </c>
    </row>
    <row r="15179">
      <c r="A15179" t="n" s="0">
        <v>51.78</v>
      </c>
      <c r="B15179" t="n" s="0">
        <f>(-5-((((-5*(-5/((-5/(((-5*(51.78--5))-(-5+((-5*51.78)*(((-5--5)+(51.78--5))+51.78))))-(-5+-5)))*-5)))/-5)--5)+(-5*(((51.78*(51.78-(-5/-5)))*(51.78-(51.78/(-5*51.78))))-(-5/-5)))))</f>
        <v>688930.50196</v>
      </c>
      <c r="C15179" t="n" s="0">
        <v>688930.5019599999</v>
      </c>
    </row>
    <row r="15180">
      <c r="A15180" t="n" s="0">
        <v>51.79</v>
      </c>
      <c r="B15180" t="n" s="0">
        <f>(-5-((((-5*(-5/((-5/(((-5*(51.79--5))-(-5+((-5*51.79)*(((-5--5)+(51.79--5))+51.79))))-(-5+-5)))*-5)))/-5)--5)+(-5*(((51.79*(51.79-(-5/-5)))*(51.79-(51.79/(-5*51.79))))-(-5/-5)))))</f>
        <v>689330.713495</v>
      </c>
      <c r="C15180" t="n" s="0">
        <v>689330.713495</v>
      </c>
    </row>
    <row r="15181">
      <c r="A15181" t="n" s="0">
        <v>51.8</v>
      </c>
      <c r="B15181" t="n" s="0">
        <f>(-5-((((-5*(-5/((-5/(((-5*(51.8--5))-(-5+((-5*51.8)*(((-5--5)+(51.8--5))+51.8))))-(-5+-5)))*-5)))/-5)--5)+(-5*(((51.8*(51.8-(-5/-5)))*(51.8-(51.8/(-5*51.8))))-(-5/-5)))))</f>
        <v>689731.0800000001</v>
      </c>
      <c r="C15181" t="n" s="0">
        <v>689731.0799999998</v>
      </c>
    </row>
    <row r="15182">
      <c r="A15182" t="n" s="0">
        <v>51.81</v>
      </c>
      <c r="B15182" t="n" s="0">
        <f>(-5-((((-5*(-5/((-5/(((-5*(51.81--5))-(-5+((-5*51.81)*(((-5--5)+(51.81--5))+51.81))))-(-5+-5)))*-5)))/-5)--5)+(-5*(((51.81*(51.81-(-5/-5)))*(51.81-(51.81/(-5*51.81))))-(-5/-5)))))</f>
        <v>690131.601505</v>
      </c>
      <c r="C15182" t="n" s="0">
        <v>690131.601505</v>
      </c>
    </row>
    <row r="15183">
      <c r="A15183" t="n" s="0">
        <v>51.82</v>
      </c>
      <c r="B15183" t="n" s="0">
        <f>(-5-((((-5*(-5/((-5/(((-5*(51.82--5))-(-5+((-5*51.82)*(((-5--5)+(51.82--5))+51.82))))-(-5+-5)))*-5)))/-5)--5)+(-5*(((51.82*(51.82-(-5/-5)))*(51.82-(51.82/(-5*51.82))))-(-5/-5)))))</f>
        <v>690532.27804</v>
      </c>
      <c r="C15183" t="n" s="0">
        <v>690532.2780399999</v>
      </c>
    </row>
    <row r="15184">
      <c r="A15184" t="n" s="0">
        <v>51.83</v>
      </c>
      <c r="B15184" t="n" s="0">
        <f>(-5-((((-5*(-5/((-5/(((-5*(51.83--5))-(-5+((-5*51.83)*(((-5--5)+(51.83--5))+51.83))))-(-5+-5)))*-5)))/-5)--5)+(-5*(((51.83*(51.83-(-5/-5)))*(51.83-(51.83/(-5*51.83))))-(-5/-5)))))</f>
        <v>690933.109635</v>
      </c>
      <c r="C15184" t="n" s="0">
        <v>690933.1096349999</v>
      </c>
    </row>
    <row r="15185">
      <c r="A15185" t="n" s="0">
        <v>51.84</v>
      </c>
      <c r="B15185" t="n" s="0">
        <f>(-5-((((-5*(-5/((-5/(((-5*(51.84--5))-(-5+((-5*51.84)*(((-5--5)+(51.84--5))+51.84))))-(-5+-5)))*-5)))/-5)--5)+(-5*(((51.84*(51.84-(-5/-5)))*(51.84-(51.84/(-5*51.84))))-(-5/-5)))))</f>
        <v>691334.0963199999</v>
      </c>
      <c r="C15185" t="n" s="0">
        <v>691334.0963200001</v>
      </c>
    </row>
    <row r="15186">
      <c r="A15186" t="n" s="0">
        <v>51.85</v>
      </c>
      <c r="B15186" t="n" s="0">
        <f>(-5-((((-5*(-5/((-5/(((-5*(51.85--5))-(-5+((-5*51.85)*(((-5--5)+(51.85--5))+51.85))))-(-5+-5)))*-5)))/-5)--5)+(-5*(((51.85*(51.85-(-5/-5)))*(51.85-(51.85/(-5*51.85))))-(-5/-5)))))</f>
        <v>691735.238125</v>
      </c>
      <c r="C15186" t="n" s="0">
        <v>691735.2381250001</v>
      </c>
    </row>
    <row r="15187">
      <c r="A15187" t="n" s="0">
        <v>51.86</v>
      </c>
      <c r="B15187" t="n" s="0">
        <f>(-5-((((-5*(-5/((-5/(((-5*(51.86--5))-(-5+((-5*51.86)*(((-5--5)+(51.86--5))+51.86))))-(-5+-5)))*-5)))/-5)--5)+(-5*(((51.86*(51.86-(-5/-5)))*(51.86-(51.86/(-5*51.86))))-(-5/-5)))))</f>
        <v>692136.53508</v>
      </c>
      <c r="C15187" t="n" s="0">
        <v>692136.5350800001</v>
      </c>
    </row>
    <row r="15188">
      <c r="A15188" t="n" s="0">
        <v>51.87</v>
      </c>
      <c r="B15188" t="n" s="0">
        <f>(-5-((((-5*(-5/((-5/(((-5*(51.87--5))-(-5+((-5*51.87)*(((-5--5)+(51.87--5))+51.87))))-(-5+-5)))*-5)))/-5)--5)+(-5*(((51.87*(51.87-(-5/-5)))*(51.87-(51.87/(-5*51.87))))-(-5/-5)))))</f>
        <v>692537.9872150001</v>
      </c>
      <c r="C15188" t="n" s="0">
        <v>692537.9872149997</v>
      </c>
    </row>
    <row r="15189">
      <c r="A15189" t="n" s="0">
        <v>51.88</v>
      </c>
      <c r="B15189" t="n" s="0">
        <f>(-5-((((-5*(-5/((-5/(((-5*(51.88--5))-(-5+((-5*51.88)*(((-5--5)+(51.88--5))+51.88))))-(-5+-5)))*-5)))/-5)--5)+(-5*(((51.88*(51.88-(-5/-5)))*(51.88-(51.88/(-5*51.88))))-(-5/-5)))))</f>
        <v>692939.59456</v>
      </c>
      <c r="C15189" t="n" s="0">
        <v>692939.5945600001</v>
      </c>
    </row>
    <row r="15190">
      <c r="A15190" t="n" s="0">
        <v>51.89</v>
      </c>
      <c r="B15190" t="n" s="0">
        <f>(-5-((((-5*(-5/((-5/(((-5*(51.89--5))-(-5+((-5*51.89)*(((-5--5)+(51.89--5))+51.89))))-(-5+-5)))*-5)))/-5)--5)+(-5*(((51.89*(51.89-(-5/-5)))*(51.89-(51.89/(-5*51.89))))-(-5/-5)))))</f>
        <v>693341.357145</v>
      </c>
      <c r="C15190" t="n" s="0">
        <v>693341.3571450001</v>
      </c>
    </row>
    <row r="15191">
      <c r="A15191" t="n" s="0">
        <v>51.9</v>
      </c>
      <c r="B15191" t="n" s="0">
        <f>(-5-((((-5*(-5/((-5/(((-5*(51.9--5))-(-5+((-5*51.9)*(((-5--5)+(51.9--5))+51.9))))-(-5+-5)))*-5)))/-5)--5)+(-5*(((51.9*(51.9-(-5/-5)))*(51.9-(51.9/(-5*51.9))))-(-5/-5)))))</f>
        <v>693743.2749999999</v>
      </c>
      <c r="C15191" t="n" s="0">
        <v>693743.2749999999</v>
      </c>
    </row>
    <row r="15192">
      <c r="A15192" t="n" s="0">
        <v>51.91</v>
      </c>
      <c r="B15192" t="n" s="0">
        <f>(-5-((((-5*(-5/((-5/(((-5*(51.91--5))-(-5+((-5*51.91)*(((-5--5)+(51.91--5))+51.91))))-(-5+-5)))*-5)))/-5)--5)+(-5*(((51.91*(51.91-(-5/-5)))*(51.91-(51.91/(-5*51.91))))-(-5/-5)))))</f>
        <v>694145.348155</v>
      </c>
      <c r="C15192" t="n" s="0">
        <v>694145.3481549998</v>
      </c>
    </row>
    <row r="15193">
      <c r="A15193" t="n" s="0">
        <v>51.92</v>
      </c>
      <c r="B15193" t="n" s="0">
        <f>(-5-((((-5*(-5/((-5/(((-5*(51.92--5))-(-5+((-5*51.92)*(((-5--5)+(51.92--5))+51.92))))-(-5+-5)))*-5)))/-5)--5)+(-5*(((51.92*(51.92-(-5/-5)))*(51.92-(51.92/(-5*51.92))))-(-5/-5)))))</f>
        <v>694547.57664</v>
      </c>
      <c r="C15193" t="n" s="0">
        <v>694547.5766400001</v>
      </c>
    </row>
    <row r="15194">
      <c r="A15194" t="n" s="0">
        <v>51.93</v>
      </c>
      <c r="B15194" t="n" s="0">
        <f>(-5-((((-5*(-5/((-5/(((-5*(51.93--5))-(-5+((-5*51.93)*(((-5--5)+(51.93--5))+51.93))))-(-5+-5)))*-5)))/-5)--5)+(-5*(((51.93*(51.93-(-5/-5)))*(51.93-(51.93/(-5*51.93))))-(-5/-5)))))</f>
        <v>694949.960485</v>
      </c>
      <c r="C15194" t="n" s="0">
        <v>694949.960485</v>
      </c>
    </row>
    <row r="15195">
      <c r="A15195" t="n" s="0">
        <v>51.94</v>
      </c>
      <c r="B15195" t="n" s="0">
        <f>(-5-((((-5*(-5/((-5/(((-5*(51.94--5))-(-5+((-5*51.94)*(((-5--5)+(51.94--5))+51.94))))-(-5+-5)))*-5)))/-5)--5)+(-5*(((51.94*(51.94-(-5/-5)))*(51.94-(51.94/(-5*51.94))))-(-5/-5)))))</f>
        <v>695352.49972</v>
      </c>
      <c r="C15195" t="n" s="0">
        <v>695352.4997199997</v>
      </c>
    </row>
    <row r="15196">
      <c r="A15196" t="n" s="0">
        <v>51.95</v>
      </c>
      <c r="B15196" t="n" s="0">
        <f>(-5-((((-5*(-5/((-5/(((-5*(51.95--5))-(-5+((-5*51.95)*(((-5--5)+(51.95--5))+51.95))))-(-5+-5)))*-5)))/-5)--5)+(-5*(((51.95*(51.95-(-5/-5)))*(51.95-(51.95/(-5*51.95))))-(-5/-5)))))</f>
        <v>695755.1943750001</v>
      </c>
      <c r="C15196" t="n" s="0">
        <v>695755.1943750001</v>
      </c>
    </row>
    <row r="15197">
      <c r="A15197" t="n" s="0">
        <v>51.96</v>
      </c>
      <c r="B15197" t="n" s="0">
        <f>(-5-((((-5*(-5/((-5/(((-5*(51.96--5))-(-5+((-5*51.96)*(((-5--5)+(51.96--5))+51.96))))-(-5+-5)))*-5)))/-5)--5)+(-5*(((51.96*(51.96-(-5/-5)))*(51.96-(51.96/(-5*51.96))))-(-5/-5)))))</f>
        <v>696158.04448</v>
      </c>
      <c r="C15197" t="n" s="0">
        <v>696158.04448</v>
      </c>
    </row>
    <row r="15198">
      <c r="A15198" t="n" s="0">
        <v>51.97</v>
      </c>
      <c r="B15198" t="n" s="0">
        <f>(-5-((((-5*(-5/((-5/(((-5*(51.97--5))-(-5+((-5*51.97)*(((-5--5)+(51.97--5))+51.97))))-(-5+-5)))*-5)))/-5)--5)+(-5*(((51.97*(51.97-(-5/-5)))*(51.97-(51.97/(-5*51.97))))-(-5/-5)))))</f>
        <v>696561.050065</v>
      </c>
      <c r="C15198" t="n" s="0">
        <v>696561.050065</v>
      </c>
    </row>
    <row r="15199">
      <c r="A15199" t="n" s="0">
        <v>51.98</v>
      </c>
      <c r="B15199" t="n" s="0">
        <f>(-5-((((-5*(-5/((-5/(((-5*(51.98--5))-(-5+((-5*51.98)*(((-5--5)+(51.98--5))+51.98))))-(-5+-5)))*-5)))/-5)--5)+(-5*(((51.98*(51.98-(-5/-5)))*(51.98-(51.98/(-5*51.98))))-(-5/-5)))))</f>
        <v>696964.2111600001</v>
      </c>
      <c r="C15199" t="n" s="0">
        <v>696964.2111599998</v>
      </c>
    </row>
    <row r="15200">
      <c r="A15200" t="n" s="0">
        <v>51.99</v>
      </c>
      <c r="B15200" t="n" s="0">
        <f>(-5-((((-5*(-5/((-5/(((-5*(51.99--5))-(-5+((-5*51.99)*(((-5--5)+(51.99--5))+51.99))))-(-5+-5)))*-5)))/-5)--5)+(-5*(((51.99*(51.99-(-5/-5)))*(51.99-(51.99/(-5*51.99))))-(-5/-5)))))</f>
        <v>697367.527795</v>
      </c>
      <c r="C15200" t="n" s="0">
        <v>697367.527795</v>
      </c>
    </row>
    <row r="15201">
      <c r="A15201" t="n" s="0">
        <v>52.0</v>
      </c>
      <c r="B15201" t="n" s="0">
        <f>(-5-((((-5*(-5/((-5/(((-5*(52--5))-(-5+((-5*52)*(((-5--5)+(52--5))+52))))-(-5+-5)))*-5)))/-5)--5)+(-5*(((52*(52-(-5/-5)))*(52-(52/(-5*52))))-(-5/-5)))))</f>
        <v>697771.0</v>
      </c>
      <c r="C15201" t="n" s="0">
        <v>697771.0</v>
      </c>
    </row>
    <row r="15202">
      <c r="A15202" t="n" s="0">
        <v>52.01</v>
      </c>
      <c r="B15202" t="n" s="0">
        <f>(-5-((((-5*(-5/((-5/(((-5*(52.01--5))-(-5+((-5*52.01)*(((-5--5)+(52.01--5))+52.01))))-(-5+-5)))*-5)))/-5)--5)+(-5*(((52.01*(52.01-(-5/-5)))*(52.01-(52.01/(-5*52.01))))-(-5/-5)))))</f>
        <v>698174.627805</v>
      </c>
      <c r="C15202" t="n" s="0">
        <v>698174.6278049999</v>
      </c>
    </row>
    <row r="15203">
      <c r="A15203" t="n" s="0">
        <v>52.02</v>
      </c>
      <c r="B15203" t="n" s="0">
        <f>(-5-((((-5*(-5/((-5/(((-5*(52.02--5))-(-5+((-5*52.02)*(((-5--5)+(52.02--5))+52.02))))-(-5+-5)))*-5)))/-5)--5)+(-5*(((52.02*(52.02-(-5/-5)))*(52.02-(52.02/(-5*52.02))))-(-5/-5)))))</f>
        <v>698578.41124</v>
      </c>
      <c r="C15203" t="n" s="0">
        <v>698578.4112400002</v>
      </c>
    </row>
    <row r="15204">
      <c r="A15204" t="n" s="0">
        <v>52.03</v>
      </c>
      <c r="B15204" t="n" s="0">
        <f>(-5-((((-5*(-5/((-5/(((-5*(52.03--5))-(-5+((-5*52.03)*(((-5--5)+(52.03--5))+52.03))))-(-5+-5)))*-5)))/-5)--5)+(-5*(((52.03*(52.03-(-5/-5)))*(52.03-(52.03/(-5*52.03))))-(-5/-5)))))</f>
        <v>698982.350335</v>
      </c>
      <c r="C15204" t="n" s="0">
        <v>698982.3503350001</v>
      </c>
    </row>
    <row r="15205">
      <c r="A15205" t="n" s="0">
        <v>52.04</v>
      </c>
      <c r="B15205" t="n" s="0">
        <f>(-5-((((-5*(-5/((-5/(((-5*(52.04--5))-(-5+((-5*52.04)*(((-5--5)+(52.04--5))+52.04))))-(-5+-5)))*-5)))/-5)--5)+(-5*(((52.04*(52.04-(-5/-5)))*(52.04-(52.04/(-5*52.04))))-(-5/-5)))))</f>
        <v>699386.44512</v>
      </c>
      <c r="C15205" t="n" s="0">
        <v>699386.4451199999</v>
      </c>
    </row>
    <row r="15206">
      <c r="A15206" t="n" s="0">
        <v>52.05</v>
      </c>
      <c r="B15206" t="n" s="0">
        <f>(-5-((((-5*(-5/((-5/(((-5*(52.05--5))-(-5+((-5*52.05)*(((-5--5)+(52.05--5))+52.05))))-(-5+-5)))*-5)))/-5)--5)+(-5*(((52.05*(52.05-(-5/-5)))*(52.05-(52.05/(-5*52.05))))-(-5/-5)))))</f>
        <v>699790.6956249999</v>
      </c>
      <c r="C15206" t="n" s="0">
        <v>699790.6956249999</v>
      </c>
    </row>
    <row r="15207">
      <c r="A15207" t="n" s="0">
        <v>52.06</v>
      </c>
      <c r="B15207" t="n" s="0">
        <f>(-5-((((-5*(-5/((-5/(((-5*(52.06--5))-(-5+((-5*52.06)*(((-5--5)+(52.06--5))+52.06))))-(-5+-5)))*-5)))/-5)--5)+(-5*(((52.06*(52.06-(-5/-5)))*(52.06-(52.06/(-5*52.06))))-(-5/-5)))))</f>
        <v>700195.10188</v>
      </c>
      <c r="C15207" t="n" s="0">
        <v>700195.1018800002</v>
      </c>
    </row>
    <row r="15208">
      <c r="A15208" t="n" s="0">
        <v>52.07</v>
      </c>
      <c r="B15208" t="n" s="0">
        <f>(-5-((((-5*(-5/((-5/(((-5*(52.07--5))-(-5+((-5*52.07)*(((-5--5)+(52.07--5))+52.07))))-(-5+-5)))*-5)))/-5)--5)+(-5*(((52.07*(52.07-(-5/-5)))*(52.07-(52.07/(-5*52.07))))-(-5/-5)))))</f>
        <v>700599.6639149999</v>
      </c>
      <c r="C15208" t="n" s="0">
        <v>700599.6639149999</v>
      </c>
    </row>
    <row r="15209">
      <c r="A15209" t="n" s="0">
        <v>52.08</v>
      </c>
      <c r="B15209" t="n" s="0">
        <f>(-5-((((-5*(-5/((-5/(((-5*(52.08--5))-(-5+((-5*52.08)*(((-5--5)+(52.08--5))+52.08))))-(-5+-5)))*-5)))/-5)--5)+(-5*(((52.08*(52.08-(-5/-5)))*(52.08-(52.08/(-5*52.08))))-(-5/-5)))))</f>
        <v>701004.38176</v>
      </c>
      <c r="C15209" t="n" s="0">
        <v>701004.3817599998</v>
      </c>
    </row>
    <row r="15210">
      <c r="A15210" t="n" s="0">
        <v>52.09</v>
      </c>
      <c r="B15210" t="n" s="0">
        <f>(-5-((((-5*(-5/((-5/(((-5*(52.09--5))-(-5+((-5*52.09)*(((-5--5)+(52.09--5))+52.09))))-(-5+-5)))*-5)))/-5)--5)+(-5*(((52.09*(52.09-(-5/-5)))*(52.09-(52.09/(-5*52.09))))-(-5/-5)))))</f>
        <v>701409.255445</v>
      </c>
      <c r="C15210" t="n" s="0">
        <v>701409.255445</v>
      </c>
    </row>
    <row r="15211">
      <c r="A15211" t="n" s="0">
        <v>52.1</v>
      </c>
      <c r="B15211" t="n" s="0">
        <f>(-5-((((-5*(-5/((-5/(((-5*(52.1--5))-(-5+((-5*52.1)*(((-5--5)+(52.1--5))+52.1))))-(-5+-5)))*-5)))/-5)--5)+(-5*(((52.1*(52.1-(-5/-5)))*(52.1-(52.1/(-5*52.1))))-(-5/-5)))))</f>
        <v>701814.2849999999</v>
      </c>
      <c r="C15211" t="n" s="0">
        <v>701814.285</v>
      </c>
    </row>
    <row r="15212">
      <c r="A15212" t="n" s="0">
        <v>52.11</v>
      </c>
      <c r="B15212" t="n" s="0">
        <f>(-5-((((-5*(-5/((-5/(((-5*(52.11--5))-(-5+((-5*52.11)*(((-5--5)+(52.11--5))+52.11))))-(-5+-5)))*-5)))/-5)--5)+(-5*(((52.11*(52.11-(-5/-5)))*(52.11-(52.11/(-5*52.11))))-(-5/-5)))))</f>
        <v>702219.4704550001</v>
      </c>
      <c r="C15212" t="n" s="0">
        <v>702219.470455</v>
      </c>
    </row>
    <row r="15213">
      <c r="A15213" t="n" s="0">
        <v>52.12</v>
      </c>
      <c r="B15213" t="n" s="0">
        <f>(-5-((((-5*(-5/((-5/(((-5*(52.12--5))-(-5+((-5*52.12)*(((-5--5)+(52.12--5))+52.12))))-(-5+-5)))*-5)))/-5)--5)+(-5*(((52.12*(52.12-(-5/-5)))*(52.12-(52.12/(-5*52.12))))-(-5/-5)))))</f>
        <v>702624.81184</v>
      </c>
      <c r="C15213" t="n" s="0">
        <v>702624.8118399999</v>
      </c>
    </row>
    <row r="15214">
      <c r="A15214" t="n" s="0">
        <v>52.13</v>
      </c>
      <c r="B15214" t="n" s="0">
        <f>(-5-((((-5*(-5/((-5/(((-5*(52.13--5))-(-5+((-5*52.13)*(((-5--5)+(52.13--5))+52.13))))-(-5+-5)))*-5)))/-5)--5)+(-5*(((52.13*(52.13-(-5/-5)))*(52.13-(52.13/(-5*52.13))))-(-5/-5)))))</f>
        <v>703030.309185</v>
      </c>
      <c r="C15214" t="n" s="0">
        <v>703030.309185</v>
      </c>
    </row>
    <row r="15215">
      <c r="A15215" t="n" s="0">
        <v>52.14</v>
      </c>
      <c r="B15215" t="n" s="0">
        <f>(-5-((((-5*(-5/((-5/(((-5*(52.14--5))-(-5+((-5*52.14)*(((-5--5)+(52.14--5))+52.14))))-(-5+-5)))*-5)))/-5)--5)+(-5*(((52.14*(52.14-(-5/-5)))*(52.14-(52.14/(-5*52.14))))-(-5/-5)))))</f>
        <v>703435.9625200001</v>
      </c>
      <c r="C15215" t="n" s="0">
        <v>703435.9625200001</v>
      </c>
    </row>
    <row r="15216">
      <c r="A15216" t="n" s="0">
        <v>52.15</v>
      </c>
      <c r="B15216" t="n" s="0">
        <f>(-5-((((-5*(-5/((-5/(((-5*(52.15--5))-(-5+((-5*52.15)*(((-5--5)+(52.15--5))+52.15))))-(-5+-5)))*-5)))/-5)--5)+(-5*(((52.15*(52.15-(-5/-5)))*(52.15-(52.15/(-5*52.15))))-(-5/-5)))))</f>
        <v>703841.771875</v>
      </c>
      <c r="C15216" t="n" s="0">
        <v>703841.771875</v>
      </c>
    </row>
    <row r="15217">
      <c r="A15217" t="n" s="0">
        <v>52.16</v>
      </c>
      <c r="B15217" t="n" s="0">
        <f>(-5-((((-5*(-5/((-5/(((-5*(52.16--5))-(-5+((-5*52.16)*(((-5--5)+(52.16--5))+52.16))))-(-5+-5)))*-5)))/-5)--5)+(-5*(((52.16*(52.16-(-5/-5)))*(52.16-(52.16/(-5*52.16))))-(-5/-5)))))</f>
        <v>704247.73728</v>
      </c>
      <c r="C15217" t="n" s="0">
        <v>704247.7372799998</v>
      </c>
    </row>
    <row r="15218">
      <c r="A15218" t="n" s="0">
        <v>52.17</v>
      </c>
      <c r="B15218" t="n" s="0">
        <f>(-5-((((-5*(-5/((-5/(((-5*(52.17--5))-(-5+((-5*52.17)*(((-5--5)+(52.17--5))+52.17))))-(-5+-5)))*-5)))/-5)--5)+(-5*(((52.17*(52.17-(-5/-5)))*(52.17-(52.17/(-5*52.17))))-(-5/-5)))))</f>
        <v>704653.858765</v>
      </c>
      <c r="C15218" t="n" s="0">
        <v>704653.858765</v>
      </c>
    </row>
    <row r="15219">
      <c r="A15219" t="n" s="0">
        <v>52.18</v>
      </c>
      <c r="B15219" t="n" s="0">
        <f>(-5-((((-5*(-5/((-5/(((-5*(52.18--5))-(-5+((-5*52.18)*(((-5--5)+(52.18--5))+52.18))))-(-5+-5)))*-5)))/-5)--5)+(-5*(((52.18*(52.18-(-5/-5)))*(52.18-(52.18/(-5*52.18))))-(-5/-5)))))</f>
        <v>705060.13636</v>
      </c>
      <c r="C15219" t="n" s="0">
        <v>705060.13636</v>
      </c>
    </row>
    <row r="15220">
      <c r="A15220" t="n" s="0">
        <v>52.19</v>
      </c>
      <c r="B15220" t="n" s="0">
        <f>(-5-((((-5*(-5/((-5/(((-5*(52.19--5))-(-5+((-5*52.19)*(((-5--5)+(52.19--5))+52.19))))-(-5+-5)))*-5)))/-5)--5)+(-5*(((52.19*(52.19-(-5/-5)))*(52.19-(52.19/(-5*52.19))))-(-5/-5)))))</f>
        <v>705466.570095</v>
      </c>
      <c r="C15220" t="n" s="0">
        <v>705466.5700949999</v>
      </c>
    </row>
    <row r="15221">
      <c r="A15221" t="n" s="0">
        <v>52.2</v>
      </c>
      <c r="B15221" t="n" s="0">
        <f>(-5-((((-5*(-5/((-5/(((-5*(52.2--5))-(-5+((-5*52.2)*(((-5--5)+(52.2--5))+52.2))))-(-5+-5)))*-5)))/-5)--5)+(-5*(((52.2*(52.2-(-5/-5)))*(52.2-(52.2/(-5*52.2))))-(-5/-5)))))</f>
        <v>705873.16</v>
      </c>
      <c r="C15221" t="n" s="0">
        <v>705873.16</v>
      </c>
    </row>
    <row r="15222">
      <c r="A15222" t="n" s="0">
        <v>52.21</v>
      </c>
      <c r="B15222" t="n" s="0">
        <f>(-5-((((-5*(-5/((-5/(((-5*(52.21--5))-(-5+((-5*52.21)*(((-5--5)+(52.21--5))+52.21))))-(-5+-5)))*-5)))/-5)--5)+(-5*(((52.21*(52.21-(-5/-5)))*(52.21-(52.21/(-5*52.21))))-(-5/-5)))))</f>
        <v>706279.9061050001</v>
      </c>
      <c r="C15222" t="n" s="0">
        <v>706279.906105</v>
      </c>
    </row>
    <row r="15223">
      <c r="A15223" t="n" s="0">
        <v>52.22</v>
      </c>
      <c r="B15223" t="n" s="0">
        <f>(-5-((((-5*(-5/((-5/(((-5*(52.22--5))-(-5+((-5*52.22)*(((-5--5)+(52.22--5))+52.22))))-(-5+-5)))*-5)))/-5)--5)+(-5*(((52.22*(52.22-(-5/-5)))*(52.22-(52.22/(-5*52.22))))-(-5/-5)))))</f>
        <v>706686.8084399999</v>
      </c>
      <c r="C15223" t="n" s="0">
        <v>706686.80844</v>
      </c>
    </row>
    <row r="15224">
      <c r="A15224" t="n" s="0">
        <v>52.23</v>
      </c>
      <c r="B15224" t="n" s="0">
        <f>(-5-((((-5*(-5/((-5/(((-5*(52.23--5))-(-5+((-5*52.23)*(((-5--5)+(52.23--5))+52.23))))-(-5+-5)))*-5)))/-5)--5)+(-5*(((52.23*(52.23-(-5/-5)))*(52.23-(52.23/(-5*52.23))))-(-5/-5)))))</f>
        <v>707093.867035</v>
      </c>
      <c r="C15224" t="n" s="0">
        <v>707093.8670349999</v>
      </c>
    </row>
    <row r="15225">
      <c r="A15225" t="n" s="0">
        <v>52.24</v>
      </c>
      <c r="B15225" t="n" s="0">
        <f>(-5-((((-5*(-5/((-5/(((-5*(52.24--5))-(-5+((-5*52.24)*(((-5--5)+(52.24--5))+52.24))))-(-5+-5)))*-5)))/-5)--5)+(-5*(((52.24*(52.24-(-5/-5)))*(52.24-(52.24/(-5*52.24))))-(-5/-5)))))</f>
        <v>707501.08192</v>
      </c>
      <c r="C15225" t="n" s="0">
        <v>707501.08192</v>
      </c>
    </row>
    <row r="15226">
      <c r="A15226" t="n" s="0">
        <v>52.25</v>
      </c>
      <c r="B15226" t="n" s="0">
        <f>(-5-((((-5*(-5/((-5/(((-5*(52.25--5))-(-5+((-5*52.25)*(((-5--5)+(52.25--5))+52.25))))-(-5+-5)))*-5)))/-5)--5)+(-5*(((52.25*(52.25-(-5/-5)))*(52.25-(52.25/(-5*52.25))))-(-5/-5)))))</f>
        <v>707908.453125</v>
      </c>
      <c r="C15226" t="n" s="0">
        <v>707908.453125</v>
      </c>
    </row>
    <row r="15227">
      <c r="A15227" t="n" s="0">
        <v>52.26</v>
      </c>
      <c r="B15227" t="n" s="0">
        <f>(-5-((((-5*(-5/((-5/(((-5*(52.26--5))-(-5+((-5*52.26)*(((-5--5)+(52.26--5))+52.26))))-(-5+-5)))*-5)))/-5)--5)+(-5*(((52.26*(52.26-(-5/-5)))*(52.26-(52.26/(-5*52.26))))-(-5/-5)))))</f>
        <v>708315.98068</v>
      </c>
      <c r="C15227" t="n" s="0">
        <v>708315.98068</v>
      </c>
    </row>
    <row r="15228">
      <c r="A15228" t="n" s="0">
        <v>52.27</v>
      </c>
      <c r="B15228" t="n" s="0">
        <f>(-5-((((-5*(-5/((-5/(((-5*(52.27--5))-(-5+((-5*52.27)*(((-5--5)+(52.27--5))+52.27))))-(-5+-5)))*-5)))/-5)--5)+(-5*(((52.27*(52.27-(-5/-5)))*(52.27-(52.27/(-5*52.27))))-(-5/-5)))))</f>
        <v>708723.664615</v>
      </c>
      <c r="C15228" t="n" s="0">
        <v>708723.6646150002</v>
      </c>
    </row>
    <row r="15229">
      <c r="A15229" t="n" s="0">
        <v>52.28</v>
      </c>
      <c r="B15229" t="n" s="0">
        <f>(-5-((((-5*(-5/((-5/(((-5*(52.28--5))-(-5+((-5*52.28)*(((-5--5)+(52.28--5))+52.28))))-(-5+-5)))*-5)))/-5)--5)+(-5*(((52.28*(52.28-(-5/-5)))*(52.28-(52.28/(-5*52.28))))-(-5/-5)))))</f>
        <v>709131.5049599999</v>
      </c>
      <c r="C15229" t="n" s="0">
        <v>709131.5049599999</v>
      </c>
    </row>
    <row r="15230">
      <c r="A15230" t="n" s="0">
        <v>52.29</v>
      </c>
      <c r="B15230" t="n" s="0">
        <f>(-5-((((-5*(-5/((-5/(((-5*(52.29--5))-(-5+((-5*52.29)*(((-5--5)+(52.29--5))+52.29))))-(-5+-5)))*-5)))/-5)--5)+(-5*(((52.29*(52.29-(-5/-5)))*(52.29-(52.29/(-5*52.29))))-(-5/-5)))))</f>
        <v>709539.501745</v>
      </c>
      <c r="C15230" t="n" s="0">
        <v>709539.5017449999</v>
      </c>
    </row>
    <row r="15231">
      <c r="A15231" t="n" s="0">
        <v>52.3</v>
      </c>
      <c r="B15231" t="n" s="0">
        <f>(-5-((((-5*(-5/((-5/(((-5*(52.3--5))-(-5+((-5*52.3)*(((-5--5)+(52.3--5))+52.3))))-(-5+-5)))*-5)))/-5)--5)+(-5*(((52.3*(52.3-(-5/-5)))*(52.3-(52.3/(-5*52.3))))-(-5/-5)))))</f>
        <v>709947.655</v>
      </c>
      <c r="C15231" t="n" s="0">
        <v>709947.655</v>
      </c>
    </row>
    <row r="15232">
      <c r="A15232" t="n" s="0">
        <v>52.31</v>
      </c>
      <c r="B15232" t="n" s="0">
        <f>(-5-((((-5*(-5/((-5/(((-5*(52.31--5))-(-5+((-5*52.31)*(((-5--5)+(52.31--5))+52.31))))-(-5+-5)))*-5)))/-5)--5)+(-5*(((52.31*(52.31-(-5/-5)))*(52.31-(52.31/(-5*52.31))))-(-5/-5)))))</f>
        <v>710355.964755</v>
      </c>
      <c r="C15232" t="n" s="0">
        <v>710355.9647550001</v>
      </c>
    </row>
    <row r="15233">
      <c r="A15233" t="n" s="0">
        <v>52.32</v>
      </c>
      <c r="B15233" t="n" s="0">
        <f>(-5-((((-5*(-5/((-5/(((-5*(52.32--5))-(-5+((-5*52.32)*(((-5--5)+(52.32--5))+52.32))))-(-5+-5)))*-5)))/-5)--5)+(-5*(((52.32*(52.32-(-5/-5)))*(52.32-(52.32/(-5*52.32))))-(-5/-5)))))</f>
        <v>710764.43104</v>
      </c>
      <c r="C15233" t="n" s="0">
        <v>710764.4310399999</v>
      </c>
    </row>
    <row r="15234">
      <c r="A15234" t="n" s="0">
        <v>52.33</v>
      </c>
      <c r="B15234" t="n" s="0">
        <f>(-5-((((-5*(-5/((-5/(((-5*(52.33--5))-(-5+((-5*52.33)*(((-5--5)+(52.33--5))+52.33))))-(-5+-5)))*-5)))/-5)--5)+(-5*(((52.33*(52.33-(-5/-5)))*(52.33-(52.33/(-5*52.33))))-(-5/-5)))))</f>
        <v>711173.053885</v>
      </c>
      <c r="C15234" t="n" s="0">
        <v>711173.0538849998</v>
      </c>
    </row>
    <row r="15235">
      <c r="A15235" t="n" s="0">
        <v>52.34</v>
      </c>
      <c r="B15235" t="n" s="0">
        <f>(-5-((((-5*(-5/((-5/(((-5*(52.34--5))-(-5+((-5*52.34)*(((-5--5)+(52.34--5))+52.34))))-(-5+-5)))*-5)))/-5)--5)+(-5*(((52.34*(52.34-(-5/-5)))*(52.34-(52.34/(-5*52.34))))-(-5/-5)))))</f>
        <v>711581.83332</v>
      </c>
      <c r="C15235" t="n" s="0">
        <v>711581.8333200001</v>
      </c>
    </row>
    <row r="15236">
      <c r="A15236" t="n" s="0">
        <v>52.35</v>
      </c>
      <c r="B15236" t="n" s="0">
        <f>(-5-((((-5*(-5/((-5/(((-5*(52.35--5))-(-5+((-5*52.35)*(((-5--5)+(52.35--5))+52.35))))-(-5+-5)))*-5)))/-5)--5)+(-5*(((52.35*(52.35-(-5/-5)))*(52.35-(52.35/(-5*52.35))))-(-5/-5)))))</f>
        <v>711990.7693749999</v>
      </c>
      <c r="C15236" t="n" s="0">
        <v>711990.769375</v>
      </c>
    </row>
    <row r="15237">
      <c r="A15237" t="n" s="0">
        <v>52.36</v>
      </c>
      <c r="B15237" t="n" s="0">
        <f>(-5-((((-5*(-5/((-5/(((-5*(52.36--5))-(-5+((-5*52.36)*(((-5--5)+(52.36--5))+52.36))))-(-5+-5)))*-5)))/-5)--5)+(-5*(((52.36*(52.36-(-5/-5)))*(52.36-(52.36/(-5*52.36))))-(-5/-5)))))</f>
        <v>712399.86208</v>
      </c>
      <c r="C15237" t="n" s="0">
        <v>712399.86208</v>
      </c>
    </row>
    <row r="15238">
      <c r="A15238" t="n" s="0">
        <v>52.37</v>
      </c>
      <c r="B15238" t="n" s="0">
        <f>(-5-((((-5*(-5/((-5/(((-5*(52.37--5))-(-5+((-5*52.37)*(((-5--5)+(52.37--5))+52.37))))-(-5+-5)))*-5)))/-5)--5)+(-5*(((52.37*(52.37-(-5/-5)))*(52.37-(52.37/(-5*52.37))))-(-5/-5)))))</f>
        <v>712809.1114650001</v>
      </c>
      <c r="C15238" t="n" s="0">
        <v>712809.1114649998</v>
      </c>
    </row>
    <row r="15239">
      <c r="A15239" t="n" s="0">
        <v>52.38</v>
      </c>
      <c r="B15239" t="n" s="0">
        <f>(-5-((((-5*(-5/((-5/(((-5*(52.38--5))-(-5+((-5*52.38)*(((-5--5)+(52.38--5))+52.38))))-(-5+-5)))*-5)))/-5)--5)+(-5*(((52.38*(52.38-(-5/-5)))*(52.38-(52.38/(-5*52.38))))-(-5/-5)))))</f>
        <v>713218.5175600001</v>
      </c>
      <c r="C15239" t="n" s="0">
        <v>713218.5175600001</v>
      </c>
    </row>
    <row r="15240">
      <c r="A15240" t="n" s="0">
        <v>52.39</v>
      </c>
      <c r="B15240" t="n" s="0">
        <f>(-5-((((-5*(-5/((-5/(((-5*(52.39--5))-(-5+((-5*52.39)*(((-5--5)+(52.39--5))+52.39))))-(-5+-5)))*-5)))/-5)--5)+(-5*(((52.39*(52.39-(-5/-5)))*(52.39-(52.39/(-5*52.39))))-(-5/-5)))))</f>
        <v>713628.0803949999</v>
      </c>
      <c r="C15240" t="n" s="0">
        <v>713628.080395</v>
      </c>
    </row>
    <row r="15241">
      <c r="A15241" t="n" s="0">
        <v>52.4</v>
      </c>
      <c r="B15241" t="n" s="0">
        <f>(-5-((((-5*(-5/((-5/(((-5*(52.4--5))-(-5+((-5*52.4)*(((-5--5)+(52.4--5))+52.4))))-(-5+-5)))*-5)))/-5)--5)+(-5*(((52.4*(52.4-(-5/-5)))*(52.4-(52.4/(-5*52.4))))-(-5/-5)))))</f>
        <v>714037.8</v>
      </c>
      <c r="C15241" t="n" s="0">
        <v>714037.7999999999</v>
      </c>
    </row>
    <row r="15242">
      <c r="A15242" t="n" s="0">
        <v>52.41</v>
      </c>
      <c r="B15242" t="n" s="0">
        <f>(-5-((((-5*(-5/((-5/(((-5*(52.41--5))-(-5+((-5*52.41)*(((-5--5)+(52.41--5))+52.41))))-(-5+-5)))*-5)))/-5)--5)+(-5*(((52.41*(52.41-(-5/-5)))*(52.41-(52.41/(-5*52.41))))-(-5/-5)))))</f>
        <v>714447.6764049999</v>
      </c>
      <c r="C15242" t="n" s="0">
        <v>714447.6764049998</v>
      </c>
    </row>
    <row r="15243">
      <c r="A15243" t="n" s="0">
        <v>52.42</v>
      </c>
      <c r="B15243" t="n" s="0">
        <f>(-5-((((-5*(-5/((-5/(((-5*(52.42--5))-(-5+((-5*52.42)*(((-5--5)+(52.42--5))+52.42))))-(-5+-5)))*-5)))/-5)--5)+(-5*(((52.42*(52.42-(-5/-5)))*(52.42-(52.42/(-5*52.42))))-(-5/-5)))))</f>
        <v>714857.70964</v>
      </c>
      <c r="C15243" t="n" s="0">
        <v>714857.70964</v>
      </c>
    </row>
    <row r="15244">
      <c r="A15244" t="n" s="0">
        <v>52.43</v>
      </c>
      <c r="B15244" t="n" s="0">
        <f>(-5-((((-5*(-5/((-5/(((-5*(52.43--5))-(-5+((-5*52.43)*(((-5--5)+(52.43--5))+52.43))))-(-5+-5)))*-5)))/-5)--5)+(-5*(((52.43*(52.43-(-5/-5)))*(52.43-(52.43/(-5*52.43))))-(-5/-5)))))</f>
        <v>715267.899735</v>
      </c>
      <c r="C15244" t="n" s="0">
        <v>715267.899735</v>
      </c>
    </row>
    <row r="15245">
      <c r="A15245" t="n" s="0">
        <v>52.44</v>
      </c>
      <c r="B15245" t="n" s="0">
        <f>(-5-((((-5*(-5/((-5/(((-5*(52.44--5))-(-5+((-5*52.44)*(((-5--5)+(52.44--5))+52.44))))-(-5+-5)))*-5)))/-5)--5)+(-5*(((52.44*(52.44-(-5/-5)))*(52.44-(52.44/(-5*52.44))))-(-5/-5)))))</f>
        <v>715678.24672</v>
      </c>
      <c r="C15245" t="n" s="0">
        <v>715678.2467199999</v>
      </c>
    </row>
    <row r="15246">
      <c r="A15246" t="n" s="0">
        <v>52.45</v>
      </c>
      <c r="B15246" t="n" s="0">
        <f>(-5-((((-5*(-5/((-5/(((-5*(52.45--5))-(-5+((-5*52.45)*(((-5--5)+(52.45--5))+52.45))))-(-5+-5)))*-5)))/-5)--5)+(-5*(((52.45*(52.45-(-5/-5)))*(52.45-(52.45/(-5*52.45))))-(-5/-5)))))</f>
        <v>716088.7506250001</v>
      </c>
      <c r="C15246" t="n" s="0">
        <v>716088.7506250001</v>
      </c>
    </row>
    <row r="15247">
      <c r="A15247" t="n" s="0">
        <v>52.46</v>
      </c>
      <c r="B15247" t="n" s="0">
        <f>(-5-((((-5*(-5/((-5/(((-5*(52.46--5))-(-5+((-5*52.46)*(((-5--5)+(52.46--5))+52.46))))-(-5+-5)))*-5)))/-5)--5)+(-5*(((52.46*(52.46-(-5/-5)))*(52.46-(52.46/(-5*52.46))))-(-5/-5)))))</f>
        <v>716499.41148</v>
      </c>
      <c r="C15247" t="n" s="0">
        <v>716499.4114800001</v>
      </c>
    </row>
    <row r="15248">
      <c r="A15248" t="n" s="0">
        <v>52.47</v>
      </c>
      <c r="B15248" t="n" s="0">
        <f>(-5-((((-5*(-5/((-5/(((-5*(52.47--5))-(-5+((-5*52.47)*(((-5--5)+(52.47--5))+52.47))))-(-5+-5)))*-5)))/-5)--5)+(-5*(((52.47*(52.47-(-5/-5)))*(52.47-(52.47/(-5*52.47))))-(-5/-5)))))</f>
        <v>716910.229315</v>
      </c>
      <c r="C15248" t="n" s="0">
        <v>716910.2293149999</v>
      </c>
    </row>
    <row r="15249">
      <c r="A15249" t="n" s="0">
        <v>52.48</v>
      </c>
      <c r="B15249" t="n" s="0">
        <f>(-5-((((-5*(-5/((-5/(((-5*(52.48--5))-(-5+((-5*52.48)*(((-5--5)+(52.48--5))+52.48))))-(-5+-5)))*-5)))/-5)--5)+(-5*(((52.48*(52.48-(-5/-5)))*(52.48-(52.48/(-5*52.48))))-(-5/-5)))))</f>
        <v>717321.20416</v>
      </c>
      <c r="C15249" t="n" s="0">
        <v>717321.2041599998</v>
      </c>
    </row>
    <row r="15250">
      <c r="A15250" t="n" s="0">
        <v>52.49</v>
      </c>
      <c r="B15250" t="n" s="0">
        <f>(-5-((((-5*(-5/((-5/(((-5*(52.49--5))-(-5+((-5*52.49)*(((-5--5)+(52.49--5))+52.49))))-(-5+-5)))*-5)))/-5)--5)+(-5*(((52.49*(52.49-(-5/-5)))*(52.49-(52.49/(-5*52.49))))-(-5/-5)))))</f>
        <v>717732.336045</v>
      </c>
      <c r="C15250" t="n" s="0">
        <v>717732.336045</v>
      </c>
    </row>
    <row r="15251">
      <c r="A15251" t="n" s="0">
        <v>52.5</v>
      </c>
      <c r="B15251" t="n" s="0">
        <f>(-5-((((-5*(-5/((-5/(((-5*(52.5--5))-(-5+((-5*52.5)*(((-5--5)+(52.5--5))+52.5))))-(-5+-5)))*-5)))/-5)--5)+(-5*(((52.5*(52.5-(-5/-5)))*(52.5-(52.5/(-5*52.5))))-(-5/-5)))))</f>
        <v>718143.625</v>
      </c>
      <c r="C15251" t="n" s="0">
        <v>718143.625</v>
      </c>
    </row>
    <row r="15252">
      <c r="A15252" t="n" s="0">
        <v>52.51</v>
      </c>
      <c r="B15252" t="n" s="0">
        <f>(-5-((((-5*(-5/((-5/(((-5*(52.51--5))-(-5+((-5*52.51)*(((-5--5)+(52.51--5))+52.51))))-(-5+-5)))*-5)))/-5)--5)+(-5*(((52.51*(52.51-(-5/-5)))*(52.51-(52.51/(-5*52.51))))-(-5/-5)))))</f>
        <v>718555.0710550001</v>
      </c>
      <c r="C15252" t="n" s="0">
        <v>718555.071055</v>
      </c>
    </row>
    <row r="15253">
      <c r="A15253" t="n" s="0">
        <v>52.52</v>
      </c>
      <c r="B15253" t="n" s="0">
        <f>(-5-((((-5*(-5/((-5/(((-5*(52.52--5))-(-5+((-5*52.52)*(((-5--5)+(52.52--5))+52.52))))-(-5+-5)))*-5)))/-5)--5)+(-5*(((52.52*(52.52-(-5/-5)))*(52.52-(52.52/(-5*52.52))))-(-5/-5)))))</f>
        <v>718966.67424</v>
      </c>
      <c r="C15253" t="n" s="0">
        <v>718966.6742400002</v>
      </c>
    </row>
    <row r="15254">
      <c r="A15254" t="n" s="0">
        <v>52.53</v>
      </c>
      <c r="B15254" t="n" s="0">
        <f>(-5-((((-5*(-5/((-5/(((-5*(52.53--5))-(-5+((-5*52.53)*(((-5--5)+(52.53--5))+52.53))))-(-5+-5)))*-5)))/-5)--5)+(-5*(((52.53*(52.53-(-5/-5)))*(52.53-(52.53/(-5*52.53))))-(-5/-5)))))</f>
        <v>719378.434585</v>
      </c>
      <c r="C15254" t="n" s="0">
        <v>719378.434585</v>
      </c>
    </row>
    <row r="15255">
      <c r="A15255" t="n" s="0">
        <v>52.54</v>
      </c>
      <c r="B15255" t="n" s="0">
        <f>(-5-((((-5*(-5/((-5/(((-5*(52.54--5))-(-5+((-5*52.54)*(((-5--5)+(52.54--5))+52.54))))-(-5+-5)))*-5)))/-5)--5)+(-5*(((52.54*(52.54-(-5/-5)))*(52.54-(52.54/(-5*52.54))))-(-5/-5)))))</f>
        <v>719790.3521199999</v>
      </c>
      <c r="C15255" t="n" s="0">
        <v>719790.35212</v>
      </c>
    </row>
    <row r="15256">
      <c r="A15256" t="n" s="0">
        <v>52.55</v>
      </c>
      <c r="B15256" t="n" s="0">
        <f>(-5-((((-5*(-5/((-5/(((-5*(52.55--5))-(-5+((-5*52.55)*(((-5--5)+(52.55--5))+52.55))))-(-5+-5)))*-5)))/-5)--5)+(-5*(((52.55*(52.55-(-5/-5)))*(52.55-(52.55/(-5*52.55))))-(-5/-5)))))</f>
        <v>720202.426875</v>
      </c>
      <c r="C15256" t="n" s="0">
        <v>720202.4268749999</v>
      </c>
    </row>
    <row r="15257">
      <c r="A15257" t="n" s="0">
        <v>52.56</v>
      </c>
      <c r="B15257" t="n" s="0">
        <f>(-5-((((-5*(-5/((-5/(((-5*(52.56--5))-(-5+((-5*52.56)*(((-5--5)+(52.56--5))+52.56))))-(-5+-5)))*-5)))/-5)--5)+(-5*(((52.56*(52.56-(-5/-5)))*(52.56-(52.56/(-5*52.56))))-(-5/-5)))))</f>
        <v>720614.65888</v>
      </c>
      <c r="C15257" t="n" s="0">
        <v>720614.6588800002</v>
      </c>
    </row>
    <row r="15258">
      <c r="A15258" t="n" s="0">
        <v>52.57</v>
      </c>
      <c r="B15258" t="n" s="0">
        <f>(-5-((((-5*(-5/((-5/(((-5*(52.57--5))-(-5+((-5*52.57)*(((-5--5)+(52.57--5))+52.57))))-(-5+-5)))*-5)))/-5)--5)+(-5*(((52.57*(52.57-(-5/-5)))*(52.57-(52.57/(-5*52.57))))-(-5/-5)))))</f>
        <v>721027.0481649999</v>
      </c>
      <c r="C15258" t="n" s="0">
        <v>721027.048165</v>
      </c>
    </row>
    <row r="15259">
      <c r="A15259" t="n" s="0">
        <v>52.58</v>
      </c>
      <c r="B15259" t="n" s="0">
        <f>(-5-((((-5*(-5/((-5/(((-5*(52.58--5))-(-5+((-5*52.58)*(((-5--5)+(52.58--5))+52.58))))-(-5+-5)))*-5)))/-5)--5)+(-5*(((52.58*(52.58-(-5/-5)))*(52.58-(52.58/(-5*52.58))))-(-5/-5)))))</f>
        <v>721439.59476</v>
      </c>
      <c r="C15259" t="n" s="0">
        <v>721439.59476</v>
      </c>
    </row>
    <row r="15260">
      <c r="A15260" t="n" s="0">
        <v>52.59</v>
      </c>
      <c r="B15260" t="n" s="0">
        <f>(-5-((((-5*(-5/((-5/(((-5*(52.59--5))-(-5+((-5*52.59)*(((-5--5)+(52.59--5))+52.59))))-(-5+-5)))*-5)))/-5)--5)+(-5*(((52.59*(52.59-(-5/-5)))*(52.59-(52.59/(-5*52.59))))-(-5/-5)))))</f>
        <v>721852.298695</v>
      </c>
      <c r="C15260" t="n" s="0">
        <v>721852.2986950001</v>
      </c>
    </row>
    <row r="15261">
      <c r="A15261" t="n" s="0">
        <v>52.6</v>
      </c>
      <c r="B15261" t="n" s="0">
        <f>(-5-((((-5*(-5/((-5/(((-5*(52.6--5))-(-5+((-5*52.6)*(((-5--5)+(52.6--5))+52.6))))-(-5+-5)))*-5)))/-5)--5)+(-5*(((52.6*(52.6-(-5/-5)))*(52.6-(52.6/(-5*52.6))))-(-5/-5)))))</f>
        <v>722265.16</v>
      </c>
      <c r="C15261" t="n" s="0">
        <v>722265.16</v>
      </c>
    </row>
    <row r="15262">
      <c r="A15262" t="n" s="0">
        <v>52.61</v>
      </c>
      <c r="B15262" t="n" s="0">
        <f>(-5-((((-5*(-5/((-5/(((-5*(52.61--5))-(-5+((-5*52.61)*(((-5--5)+(52.61--5))+52.61))))-(-5+-5)))*-5)))/-5)--5)+(-5*(((52.61*(52.61-(-5/-5)))*(52.61-(52.61/(-5*52.61))))-(-5/-5)))))</f>
        <v>722678.178705</v>
      </c>
      <c r="C15262" t="n" s="0">
        <v>722678.178705</v>
      </c>
    </row>
    <row r="15263">
      <c r="A15263" t="n" s="0">
        <v>52.62</v>
      </c>
      <c r="B15263" t="n" s="0">
        <f>(-5-((((-5*(-5/((-5/(((-5*(52.62--5))-(-5+((-5*52.62)*(((-5--5)+(52.62--5))+52.62))))-(-5+-5)))*-5)))/-5)--5)+(-5*(((52.62*(52.62-(-5/-5)))*(52.62-(52.62/(-5*52.62))))-(-5/-5)))))</f>
        <v>723091.35484</v>
      </c>
      <c r="C15263" t="n" s="0">
        <v>723091.3548399999</v>
      </c>
    </row>
    <row r="15264">
      <c r="A15264" t="n" s="0">
        <v>52.63</v>
      </c>
      <c r="B15264" t="n" s="0">
        <f>(-5-((((-5*(-5/((-5/(((-5*(52.63--5))-(-5+((-5*52.63)*(((-5--5)+(52.63--5))+52.63))))-(-5+-5)))*-5)))/-5)--5)+(-5*(((52.63*(52.63-(-5/-5)))*(52.63-(52.63/(-5*52.63))))-(-5/-5)))))</f>
        <v>723504.6884349999</v>
      </c>
      <c r="C15264" t="n" s="0">
        <v>723504.6884350001</v>
      </c>
    </row>
    <row r="15265">
      <c r="A15265" t="n" s="0">
        <v>52.64</v>
      </c>
      <c r="B15265" t="n" s="0">
        <f>(-5-((((-5*(-5/((-5/(((-5*(52.64--5))-(-5+((-5*52.64)*(((-5--5)+(52.64--5))+52.64))))-(-5+-5)))*-5)))/-5)--5)+(-5*(((52.64*(52.64-(-5/-5)))*(52.64-(52.64/(-5*52.64))))-(-5/-5)))))</f>
        <v>723918.17952</v>
      </c>
      <c r="C15265" t="n" s="0">
        <v>723918.17952</v>
      </c>
    </row>
    <row r="15266">
      <c r="A15266" t="n" s="0">
        <v>52.65</v>
      </c>
      <c r="B15266" t="n" s="0">
        <f>(-5-((((-5*(-5/((-5/(((-5*(52.65--5))-(-5+((-5*52.65)*(((-5--5)+(52.65--5))+52.65))))-(-5+-5)))*-5)))/-5)--5)+(-5*(((52.65*(52.65-(-5/-5)))*(52.65-(52.65/(-5*52.65))))-(-5/-5)))))</f>
        <v>724331.828125</v>
      </c>
      <c r="C15266" t="n" s="0">
        <v>724331.8281249999</v>
      </c>
    </row>
    <row r="15267">
      <c r="A15267" t="n" s="0">
        <v>52.66</v>
      </c>
      <c r="B15267" t="n" s="0">
        <f>(-5-((((-5*(-5/((-5/(((-5*(52.66--5))-(-5+((-5*52.66)*(((-5--5)+(52.66--5))+52.66))))-(-5+-5)))*-5)))/-5)--5)+(-5*(((52.66*(52.66-(-5/-5)))*(52.66-(52.66/(-5*52.66))))-(-5/-5)))))</f>
        <v>724745.63428</v>
      </c>
      <c r="C15267" t="n" s="0">
        <v>724745.6342799999</v>
      </c>
    </row>
    <row r="15268">
      <c r="A15268" t="n" s="0">
        <v>52.67</v>
      </c>
      <c r="B15268" t="n" s="0">
        <f>(-5-((((-5*(-5/((-5/(((-5*(52.67--5))-(-5+((-5*52.67)*(((-5--5)+(52.67--5))+52.67))))-(-5+-5)))*-5)))/-5)--5)+(-5*(((52.67*(52.67-(-5/-5)))*(52.67-(52.67/(-5*52.67))))-(-5/-5)))))</f>
        <v>725159.598015</v>
      </c>
      <c r="C15268" t="n" s="0">
        <v>725159.5980150001</v>
      </c>
    </row>
    <row r="15269">
      <c r="A15269" t="n" s="0">
        <v>52.68</v>
      </c>
      <c r="B15269" t="n" s="0">
        <f>(-5-((((-5*(-5/((-5/(((-5*(52.68--5))-(-5+((-5*52.68)*(((-5--5)+(52.68--5))+52.68))))-(-5+-5)))*-5)))/-5)--5)+(-5*(((52.68*(52.68-(-5/-5)))*(52.68-(52.68/(-5*52.68))))-(-5/-5)))))</f>
        <v>725573.7193600001</v>
      </c>
      <c r="C15269" t="n" s="0">
        <v>725573.7193600001</v>
      </c>
    </row>
    <row r="15270">
      <c r="A15270" t="n" s="0">
        <v>52.69</v>
      </c>
      <c r="B15270" t="n" s="0">
        <f>(-5-((((-5*(-5/((-5/(((-5*(52.69--5))-(-5+((-5*52.69)*(((-5--5)+(52.69--5))+52.69))))-(-5+-5)))*-5)))/-5)--5)+(-5*(((52.69*(52.69-(-5/-5)))*(52.69-(52.69/(-5*52.69))))-(-5/-5)))))</f>
        <v>725987.998345</v>
      </c>
      <c r="C15270" t="n" s="0">
        <v>725987.998345</v>
      </c>
    </row>
    <row r="15271">
      <c r="A15271" t="n" s="0">
        <v>52.7</v>
      </c>
      <c r="B15271" t="n" s="0">
        <f>(-5-((((-5*(-5/((-5/(((-5*(52.7--5))-(-5+((-5*52.7)*(((-5--5)+(52.7--5))+52.7))))-(-5+-5)))*-5)))/-5)--5)+(-5*(((52.7*(52.7-(-5/-5)))*(52.7-(52.7/(-5*52.7))))-(-5/-5)))))</f>
        <v>726402.435</v>
      </c>
      <c r="C15271" t="n" s="0">
        <v>726402.435</v>
      </c>
    </row>
    <row r="15272">
      <c r="A15272" t="n" s="0">
        <v>52.71</v>
      </c>
      <c r="B15272" t="n" s="0">
        <f>(-5-((((-5*(-5/((-5/(((-5*(52.71--5))-(-5+((-5*52.71)*(((-5--5)+(52.71--5))+52.71))))-(-5+-5)))*-5)))/-5)--5)+(-5*(((52.71*(52.71-(-5/-5)))*(52.71-(52.71/(-5*52.71))))-(-5/-5)))))</f>
        <v>726817.0293549999</v>
      </c>
      <c r="C15272" t="n" s="0">
        <v>726817.0293550001</v>
      </c>
    </row>
    <row r="15273">
      <c r="A15273" t="n" s="0">
        <v>52.72</v>
      </c>
      <c r="B15273" t="n" s="0">
        <f>(-5-((((-5*(-5/((-5/(((-5*(52.72--5))-(-5+((-5*52.72)*(((-5--5)+(52.72--5))+52.72))))-(-5+-5)))*-5)))/-5)--5)+(-5*(((52.72*(52.72-(-5/-5)))*(52.72-(52.72/(-5*52.72))))-(-5/-5)))))</f>
        <v>727231.78144</v>
      </c>
      <c r="C15273" t="n" s="0">
        <v>727231.7814399999</v>
      </c>
    </row>
    <row r="15274">
      <c r="A15274" t="n" s="0">
        <v>52.73</v>
      </c>
      <c r="B15274" t="n" s="0">
        <f>(-5-((((-5*(-5/((-5/(((-5*(52.73--5))-(-5+((-5*52.73)*(((-5--5)+(52.73--5))+52.73))))-(-5+-5)))*-5)))/-5)--5)+(-5*(((52.73*(52.73-(-5/-5)))*(52.73-(52.73/(-5*52.73))))-(-5/-5)))))</f>
        <v>727646.691285</v>
      </c>
      <c r="C15274" t="n" s="0">
        <v>727646.6912849998</v>
      </c>
    </row>
    <row r="15275">
      <c r="A15275" t="n" s="0">
        <v>52.74</v>
      </c>
      <c r="B15275" t="n" s="0">
        <f>(-5-((((-5*(-5/((-5/(((-5*(52.74--5))-(-5+((-5*52.74)*(((-5--5)+(52.74--5))+52.74))))-(-5+-5)))*-5)))/-5)--5)+(-5*(((52.74*(52.74-(-5/-5)))*(52.74-(52.74/(-5*52.74))))-(-5/-5)))))</f>
        <v>728061.7589199999</v>
      </c>
      <c r="C15275" t="n" s="0">
        <v>728061.7589199999</v>
      </c>
    </row>
    <row r="15276">
      <c r="A15276" t="n" s="0">
        <v>52.75</v>
      </c>
      <c r="B15276" t="n" s="0">
        <f>(-5-((((-5*(-5/((-5/(((-5*(52.75--5))-(-5+((-5*52.75)*(((-5--5)+(52.75--5))+52.75))))-(-5+-5)))*-5)))/-5)--5)+(-5*(((52.75*(52.75-(-5/-5)))*(52.75-(52.75/(-5*52.75))))-(-5/-5)))))</f>
        <v>728476.984375</v>
      </c>
      <c r="C15276" t="n" s="0">
        <v>728476.984375</v>
      </c>
    </row>
    <row r="15277">
      <c r="A15277" t="n" s="0">
        <v>52.76</v>
      </c>
      <c r="B15277" t="n" s="0">
        <f>(-5-((((-5*(-5/((-5/(((-5*(52.76--5))-(-5+((-5*52.76)*(((-5--5)+(52.76--5))+52.76))))-(-5+-5)))*-5)))/-5)--5)+(-5*(((52.76*(52.76-(-5/-5)))*(52.76-(52.76/(-5*52.76))))-(-5/-5)))))</f>
        <v>728892.36768</v>
      </c>
      <c r="C15277" t="n" s="0">
        <v>728892.3676799999</v>
      </c>
    </row>
    <row r="15278">
      <c r="A15278" t="n" s="0">
        <v>52.77</v>
      </c>
      <c r="B15278" t="n" s="0">
        <f>(-5-((((-5*(-5/((-5/(((-5*(52.77--5))-(-5+((-5*52.77)*(((-5--5)+(52.77--5))+52.77))))-(-5+-5)))*-5)))/-5)--5)+(-5*(((52.77*(52.77-(-5/-5)))*(52.77-(52.77/(-5*52.77))))-(-5/-5)))))</f>
        <v>729307.908865</v>
      </c>
      <c r="C15278" t="n" s="0">
        <v>729307.9088650001</v>
      </c>
    </row>
    <row r="15279">
      <c r="A15279" t="n" s="0">
        <v>52.78</v>
      </c>
      <c r="B15279" t="n" s="0">
        <f>(-5-((((-5*(-5/((-5/(((-5*(52.78--5))-(-5+((-5*52.78)*(((-5--5)+(52.78--5))+52.78))))-(-5+-5)))*-5)))/-5)--5)+(-5*(((52.78*(52.78-(-5/-5)))*(52.78-(52.78/(-5*52.78))))-(-5/-5)))))</f>
        <v>729723.60796</v>
      </c>
      <c r="C15279" t="n" s="0">
        <v>729723.6079599999</v>
      </c>
    </row>
    <row r="15280">
      <c r="A15280" t="n" s="0">
        <v>52.79</v>
      </c>
      <c r="B15280" t="n" s="0">
        <f>(-5-((((-5*(-5/((-5/(((-5*(52.79--5))-(-5+((-5*52.79)*(((-5--5)+(52.79--5))+52.79))))-(-5+-5)))*-5)))/-5)--5)+(-5*(((52.79*(52.79-(-5/-5)))*(52.79-(52.79/(-5*52.79))))-(-5/-5)))))</f>
        <v>730139.464995</v>
      </c>
      <c r="C15280" t="n" s="0">
        <v>730139.464995</v>
      </c>
    </row>
    <row r="15281">
      <c r="A15281" t="n" s="0">
        <v>52.8</v>
      </c>
      <c r="B15281" t="n" s="0">
        <f>(-5-((((-5*(-5/((-5/(((-5*(52.8--5))-(-5+((-5*52.8)*(((-5--5)+(52.8--5))+52.8))))-(-5+-5)))*-5)))/-5)--5)+(-5*(((52.8*(52.8-(-5/-5)))*(52.8-(52.8/(-5*52.8))))-(-5/-5)))))</f>
        <v>730555.48</v>
      </c>
      <c r="C15281" t="n" s="0">
        <v>730555.48</v>
      </c>
    </row>
    <row r="15282">
      <c r="A15282" t="n" s="0">
        <v>52.81</v>
      </c>
      <c r="B15282" t="n" s="0">
        <f>(-5-((((-5*(-5/((-5/(((-5*(52.81--5))-(-5+((-5*52.81)*(((-5--5)+(52.81--5))+52.81))))-(-5+-5)))*-5)))/-5)--5)+(-5*(((52.81*(52.81-(-5/-5)))*(52.81-(52.81/(-5*52.81))))-(-5/-5)))))</f>
        <v>730971.653005</v>
      </c>
      <c r="C15282" t="n" s="0">
        <v>730971.6530050001</v>
      </c>
    </row>
    <row r="15283">
      <c r="A15283" t="n" s="0">
        <v>52.82</v>
      </c>
      <c r="B15283" t="n" s="0">
        <f>(-5-((((-5*(-5/((-5/(((-5*(52.82--5))-(-5+((-5*52.82)*(((-5--5)+(52.82--5))+52.82))))-(-5+-5)))*-5)))/-5)--5)+(-5*(((52.82*(52.82-(-5/-5)))*(52.82-(52.82/(-5*52.82))))-(-5/-5)))))</f>
        <v>731387.98404</v>
      </c>
      <c r="C15283" t="n" s="0">
        <v>731387.9840399999</v>
      </c>
    </row>
    <row r="15284">
      <c r="A15284" t="n" s="0">
        <v>52.83</v>
      </c>
      <c r="B15284" t="n" s="0">
        <f>(-5-((((-5*(-5/((-5/(((-5*(52.83--5))-(-5+((-5*52.83)*(((-5--5)+(52.83--5))+52.83))))-(-5+-5)))*-5)))/-5)--5)+(-5*(((52.83*(52.83-(-5/-5)))*(52.83-(52.83/(-5*52.83))))-(-5/-5)))))</f>
        <v>731804.473135</v>
      </c>
      <c r="C15284" t="n" s="0">
        <v>731804.473135</v>
      </c>
    </row>
    <row r="15285">
      <c r="A15285" t="n" s="0">
        <v>52.84</v>
      </c>
      <c r="B15285" t="n" s="0">
        <f>(-5-((((-5*(-5/((-5/(((-5*(52.84--5))-(-5+((-5*52.84)*(((-5--5)+(52.84--5))+52.84))))-(-5+-5)))*-5)))/-5)--5)+(-5*(((52.84*(52.84-(-5/-5)))*(52.84-(52.84/(-5*52.84))))-(-5/-5)))))</f>
        <v>732221.1203200001</v>
      </c>
      <c r="C15285" t="n" s="0">
        <v>732221.1203200002</v>
      </c>
    </row>
    <row r="15286">
      <c r="A15286" t="n" s="0">
        <v>52.85</v>
      </c>
      <c r="B15286" t="n" s="0">
        <f>(-5-((((-5*(-5/((-5/(((-5*(52.85--5))-(-5+((-5*52.85)*(((-5--5)+(52.85--5))+52.85))))-(-5+-5)))*-5)))/-5)--5)+(-5*(((52.85*(52.85-(-5/-5)))*(52.85-(52.85/(-5*52.85))))-(-5/-5)))))</f>
        <v>732637.925625</v>
      </c>
      <c r="C15286" t="n" s="0">
        <v>732637.9256250001</v>
      </c>
    </row>
    <row r="15287">
      <c r="A15287" t="n" s="0">
        <v>52.86</v>
      </c>
      <c r="B15287" t="n" s="0">
        <f>(-5-((((-5*(-5/((-5/(((-5*(52.86--5))-(-5+((-5*52.86)*(((-5--5)+(52.86--5))+52.86))))-(-5+-5)))*-5)))/-5)--5)+(-5*(((52.86*(52.86-(-5/-5)))*(52.86-(52.86/(-5*52.86))))-(-5/-5)))))</f>
        <v>733054.88908</v>
      </c>
      <c r="C15287" t="n" s="0">
        <v>733054.88908</v>
      </c>
    </row>
    <row r="15288">
      <c r="A15288" t="n" s="0">
        <v>52.87</v>
      </c>
      <c r="B15288" t="n" s="0">
        <f>(-5-((((-5*(-5/((-5/(((-5*(52.87--5))-(-5+((-5*52.87)*(((-5--5)+(52.87--5))+52.87))))-(-5+-5)))*-5)))/-5)--5)+(-5*(((52.87*(52.87-(-5/-5)))*(52.87-(52.87/(-5*52.87))))-(-5/-5)))))</f>
        <v>733472.010715</v>
      </c>
      <c r="C15288" t="n" s="0">
        <v>733472.0107149999</v>
      </c>
    </row>
    <row r="15289">
      <c r="A15289" t="n" s="0">
        <v>52.88</v>
      </c>
      <c r="B15289" t="n" s="0">
        <f>(-5-((((-5*(-5/((-5/(((-5*(52.88--5))-(-5+((-5*52.88)*(((-5--5)+(52.88--5))+52.88))))-(-5+-5)))*-5)))/-5)--5)+(-5*(((52.88*(52.88-(-5/-5)))*(52.88-(52.88/(-5*52.88))))-(-5/-5)))))</f>
        <v>733889.2905599999</v>
      </c>
      <c r="C15289" t="n" s="0">
        <v>733889.2905600001</v>
      </c>
    </row>
    <row r="15290">
      <c r="A15290" t="n" s="0">
        <v>52.89</v>
      </c>
      <c r="B15290" t="n" s="0">
        <f>(-5-((((-5*(-5/((-5/(((-5*(52.89--5))-(-5+((-5*52.89)*(((-5--5)+(52.89--5))+52.89))))-(-5+-5)))*-5)))/-5)--5)+(-5*(((52.89*(52.89-(-5/-5)))*(52.89-(52.89/(-5*52.89))))-(-5/-5)))))</f>
        <v>734306.728645</v>
      </c>
      <c r="C15290" t="n" s="0">
        <v>734306.728645</v>
      </c>
    </row>
    <row r="15291">
      <c r="A15291" t="n" s="0">
        <v>52.9</v>
      </c>
      <c r="B15291" t="n" s="0">
        <f>(-5-((((-5*(-5/((-5/(((-5*(52.9--5))-(-5+((-5*52.9)*(((-5--5)+(52.9--5))+52.9))))-(-5+-5)))*-5)))/-5)--5)+(-5*(((52.9*(52.9-(-5/-5)))*(52.9-(52.9/(-5*52.9))))-(-5/-5)))))</f>
        <v>734724.3250000001</v>
      </c>
      <c r="C15291" t="n" s="0">
        <v>734724.325</v>
      </c>
    </row>
    <row r="15292">
      <c r="A15292" t="n" s="0">
        <v>52.91</v>
      </c>
      <c r="B15292" t="n" s="0">
        <f>(-5-((((-5*(-5/((-5/(((-5*(52.91--5))-(-5+((-5*52.91)*(((-5--5)+(52.91--5))+52.91))))-(-5+-5)))*-5)))/-5)--5)+(-5*(((52.91*(52.91-(-5/-5)))*(52.91-(52.91/(-5*52.91))))-(-5/-5)))))</f>
        <v>735142.079655</v>
      </c>
      <c r="C15292" t="n" s="0">
        <v>735142.0796549999</v>
      </c>
    </row>
    <row r="15293">
      <c r="A15293" t="n" s="0">
        <v>52.92</v>
      </c>
      <c r="B15293" t="n" s="0">
        <f>(-5-((((-5*(-5/((-5/(((-5*(52.92--5))-(-5+((-5*52.92)*(((-5--5)+(52.92--5))+52.92))))-(-5+-5)))*-5)))/-5)--5)+(-5*(((52.92*(52.92-(-5/-5)))*(52.92-(52.92/(-5*52.92))))-(-5/-5)))))</f>
        <v>735559.99264</v>
      </c>
      <c r="C15293" t="n" s="0">
        <v>735559.9926400002</v>
      </c>
    </row>
    <row r="15294">
      <c r="A15294" t="n" s="0">
        <v>52.93</v>
      </c>
      <c r="B15294" t="n" s="0">
        <f>(-5-((((-5*(-5/((-5/(((-5*(52.93--5))-(-5+((-5*52.93)*(((-5--5)+(52.93--5))+52.93))))-(-5+-5)))*-5)))/-5)--5)+(-5*(((52.93*(52.93-(-5/-5)))*(52.93-(52.93/(-5*52.93))))-(-5/-5)))))</f>
        <v>735978.063985</v>
      </c>
      <c r="C15294" t="n" s="0">
        <v>735978.063985</v>
      </c>
    </row>
    <row r="15295">
      <c r="A15295" t="n" s="0">
        <v>52.94</v>
      </c>
      <c r="B15295" t="n" s="0">
        <f>(-5-((((-5*(-5/((-5/(((-5*(52.94--5))-(-5+((-5*52.94)*(((-5--5)+(52.94--5))+52.94))))-(-5+-5)))*-5)))/-5)--5)+(-5*(((52.94*(52.94-(-5/-5)))*(52.94-(52.94/(-5*52.94))))-(-5/-5)))))</f>
        <v>736396.2937200001</v>
      </c>
      <c r="C15295" t="n" s="0">
        <v>736396.29372</v>
      </c>
    </row>
    <row r="15296">
      <c r="A15296" t="n" s="0">
        <v>52.95</v>
      </c>
      <c r="B15296" t="n" s="0">
        <f>(-5-((((-5*(-5/((-5/(((-5*(52.95--5))-(-5+((-5*52.95)*(((-5--5)+(52.95--5))+52.95))))-(-5+-5)))*-5)))/-5)--5)+(-5*(((52.95*(52.95-(-5/-5)))*(52.95-(52.95/(-5*52.95))))-(-5/-5)))))</f>
        <v>736814.681875</v>
      </c>
      <c r="C15296" t="n" s="0">
        <v>736814.6818750001</v>
      </c>
    </row>
    <row r="15297">
      <c r="A15297" t="n" s="0">
        <v>52.96</v>
      </c>
      <c r="B15297" t="n" s="0">
        <f>(-5-((((-5*(-5/((-5/(((-5*(52.96--5))-(-5+((-5*52.96)*(((-5--5)+(52.96--5))+52.96))))-(-5+-5)))*-5)))/-5)--5)+(-5*(((52.96*(52.96-(-5/-5)))*(52.96-(52.96/(-5*52.96))))-(-5/-5)))))</f>
        <v>737233.22848</v>
      </c>
      <c r="C15297" t="n" s="0">
        <v>737233.2284799999</v>
      </c>
    </row>
    <row r="15298">
      <c r="A15298" t="n" s="0">
        <v>52.97</v>
      </c>
      <c r="B15298" t="n" s="0">
        <f>(-5-((((-5*(-5/((-5/(((-5*(52.97--5))-(-5+((-5*52.97)*(((-5--5)+(52.97--5))+52.97))))-(-5+-5)))*-5)))/-5)--5)+(-5*(((52.97*(52.97-(-5/-5)))*(52.97-(52.97/(-5*52.97))))-(-5/-5)))))</f>
        <v>737651.933565</v>
      </c>
      <c r="C15298" t="n" s="0">
        <v>737651.933565</v>
      </c>
    </row>
    <row r="15299">
      <c r="A15299" t="n" s="0">
        <v>52.98</v>
      </c>
      <c r="B15299" t="n" s="0">
        <f>(-5-((((-5*(-5/((-5/(((-5*(52.98--5))-(-5+((-5*52.98)*(((-5--5)+(52.98--5))+52.98))))-(-5+-5)))*-5)))/-5)--5)+(-5*(((52.98*(52.98-(-5/-5)))*(52.98-(52.98/(-5*52.98))))-(-5/-5)))))</f>
        <v>738070.79716</v>
      </c>
      <c r="C15299" t="n" s="0">
        <v>738070.7971599998</v>
      </c>
    </row>
    <row r="15300">
      <c r="A15300" t="n" s="0">
        <v>52.99</v>
      </c>
      <c r="B15300" t="n" s="0">
        <f>(-5-((((-5*(-5/((-5/(((-5*(52.99--5))-(-5+((-5*52.99)*(((-5--5)+(52.99--5))+52.99))))-(-5+-5)))*-5)))/-5)--5)+(-5*(((52.99*(52.99-(-5/-5)))*(52.99-(52.99/(-5*52.99))))-(-5/-5)))))</f>
        <v>738489.8192949999</v>
      </c>
      <c r="C15300" t="n" s="0">
        <v>738489.819295</v>
      </c>
    </row>
    <row r="15301">
      <c r="A15301" t="n" s="0">
        <v>53.0</v>
      </c>
      <c r="B15301" t="n" s="0">
        <f>(-5-((((-5*(-5/((-5/(((-5*(53--5))-(-5+((-5*53)*(((-5--5)+(53--5))+53))))-(-5+-5)))*-5)))/-5)--5)+(-5*(((53*(53-(-5/-5)))*(53-(53/(-5*53))))-(-5/-5)))))</f>
        <v>738909.0</v>
      </c>
      <c r="C15301" t="n" s="0">
        <v>738909.0</v>
      </c>
    </row>
    <row r="15302">
      <c r="A15302" t="n" s="0">
        <v>53.01</v>
      </c>
      <c r="B15302" t="n" s="0">
        <f>(-5-((((-5*(-5/((-5/(((-5*(53.01--5))-(-5+((-5*53.01)*(((-5--5)+(53.01--5))+53.01))))-(-5+-5)))*-5)))/-5)--5)+(-5*(((53.01*(53.01-(-5/-5)))*(53.01-(53.01/(-5*53.01))))-(-5/-5)))))</f>
        <v>739328.3393049999</v>
      </c>
      <c r="C15302" t="n" s="0">
        <v>739328.339305</v>
      </c>
    </row>
    <row r="15303">
      <c r="A15303" t="n" s="0">
        <v>53.02</v>
      </c>
      <c r="B15303" t="n" s="0">
        <f>(-5-((((-5*(-5/((-5/(((-5*(53.02--5))-(-5+((-5*53.02)*(((-5--5)+(53.02--5))+53.02))))-(-5+-5)))*-5)))/-5)--5)+(-5*(((53.02*(53.02-(-5/-5)))*(53.02-(53.02/(-5*53.02))))-(-5/-5)))))</f>
        <v>739747.83724</v>
      </c>
      <c r="C15303" t="n" s="0">
        <v>739747.8372400003</v>
      </c>
    </row>
    <row r="15304">
      <c r="A15304" t="n" s="0">
        <v>53.03</v>
      </c>
      <c r="B15304" t="n" s="0">
        <f>(-5-((((-5*(-5/((-5/(((-5*(53.03--5))-(-5+((-5*53.03)*(((-5--5)+(53.03--5))+53.03))))-(-5+-5)))*-5)))/-5)--5)+(-5*(((53.03*(53.03-(-5/-5)))*(53.03-(53.03/(-5*53.03))))-(-5/-5)))))</f>
        <v>740167.4938350001</v>
      </c>
      <c r="C15304" t="n" s="0">
        <v>740167.4938350001</v>
      </c>
    </row>
    <row r="15305">
      <c r="A15305" t="n" s="0">
        <v>53.04</v>
      </c>
      <c r="B15305" t="n" s="0">
        <f>(-5-((((-5*(-5/((-5/(((-5*(53.04--5))-(-5+((-5*53.04)*(((-5--5)+(53.04--5))+53.04))))-(-5+-5)))*-5)))/-5)--5)+(-5*(((53.04*(53.04-(-5/-5)))*(53.04-(53.04/(-5*53.04))))-(-5/-5)))))</f>
        <v>740587.3091200001</v>
      </c>
      <c r="C15305" t="n" s="0">
        <v>740587.3091199999</v>
      </c>
    </row>
    <row r="15306">
      <c r="A15306" t="n" s="0">
        <v>53.05</v>
      </c>
      <c r="B15306" t="n" s="0">
        <f>(-5-((((-5*(-5/((-5/(((-5*(53.05--5))-(-5+((-5*53.05)*(((-5--5)+(53.05--5))+53.05))))-(-5+-5)))*-5)))/-5)--5)+(-5*(((53.05*(53.05-(-5/-5)))*(53.05-(53.05/(-5*53.05))))-(-5/-5)))))</f>
        <v>741007.2831250001</v>
      </c>
      <c r="C15306" t="n" s="0">
        <v>741007.283125</v>
      </c>
    </row>
    <row r="15307">
      <c r="A15307" t="n" s="0">
        <v>53.06</v>
      </c>
      <c r="B15307" t="n" s="0">
        <f>(-5-((((-5*(-5/((-5/(((-5*(53.06--5))-(-5+((-5*53.06)*(((-5--5)+(53.06--5))+53.06))))-(-5+-5)))*-5)))/-5)--5)+(-5*(((53.06*(53.06-(-5/-5)))*(53.06-(53.06/(-5*53.06))))-(-5/-5)))))</f>
        <v>741427.41588</v>
      </c>
      <c r="C15307" t="n" s="0">
        <v>741427.4158800002</v>
      </c>
    </row>
    <row r="15308">
      <c r="A15308" t="n" s="0">
        <v>53.07</v>
      </c>
      <c r="B15308" t="n" s="0">
        <f>(-5-((((-5*(-5/((-5/(((-5*(53.07--5))-(-5+((-5*53.07)*(((-5--5)+(53.07--5))+53.07))))-(-5+-5)))*-5)))/-5)--5)+(-5*(((53.07*(53.07-(-5/-5)))*(53.07-(53.07/(-5*53.07))))-(-5/-5)))))</f>
        <v>741847.707415</v>
      </c>
      <c r="C15308" t="n" s="0">
        <v>741847.707415</v>
      </c>
    </row>
    <row r="15309">
      <c r="A15309" t="n" s="0">
        <v>53.08</v>
      </c>
      <c r="B15309" t="n" s="0">
        <f>(-5-((((-5*(-5/((-5/(((-5*(53.08--5))-(-5+((-5*53.08)*(((-5--5)+(53.08--5))+53.08))))-(-5+-5)))*-5)))/-5)--5)+(-5*(((53.08*(53.08-(-5/-5)))*(53.08-(53.08/(-5*53.08))))-(-5/-5)))))</f>
        <v>742268.1577600001</v>
      </c>
      <c r="C15309" t="n" s="0">
        <v>742268.15776</v>
      </c>
    </row>
    <row r="15310">
      <c r="A15310" t="n" s="0">
        <v>53.09</v>
      </c>
      <c r="B15310" t="n" s="0">
        <f>(-5-((((-5*(-5/((-5/(((-5*(53.09--5))-(-5+((-5*53.09)*(((-5--5)+(53.09--5))+53.09))))-(-5+-5)))*-5)))/-5)--5)+(-5*(((53.09*(53.09-(-5/-5)))*(53.09-(53.09/(-5*53.09))))-(-5/-5)))))</f>
        <v>742688.766945</v>
      </c>
      <c r="C15310" t="n" s="0">
        <v>742688.7669450002</v>
      </c>
    </row>
    <row r="15311">
      <c r="A15311" t="n" s="0">
        <v>53.1</v>
      </c>
      <c r="B15311" t="n" s="0">
        <f>(-5-((((-5*(-5/((-5/(((-5*(53.1--5))-(-5+((-5*53.1)*(((-5--5)+(53.1--5))+53.1))))-(-5+-5)))*-5)))/-5)--5)+(-5*(((53.1*(53.1-(-5/-5)))*(53.1-(53.1/(-5*53.1))))-(-5/-5)))))</f>
        <v>743109.535</v>
      </c>
      <c r="C15311" t="n" s="0">
        <v>743109.5350000001</v>
      </c>
    </row>
    <row r="15312">
      <c r="A15312" t="n" s="0">
        <v>53.11</v>
      </c>
      <c r="B15312" t="n" s="0">
        <f>(-5-((((-5*(-5/((-5/(((-5*(53.11--5))-(-5+((-5*53.11)*(((-5--5)+(53.11--5))+53.11))))-(-5+-5)))*-5)))/-5)--5)+(-5*(((53.11*(53.11-(-5/-5)))*(53.11-(53.11/(-5*53.11))))-(-5/-5)))))</f>
        <v>743530.461955</v>
      </c>
      <c r="C15312" t="n" s="0">
        <v>743530.461955</v>
      </c>
    </row>
    <row r="15313">
      <c r="A15313" t="n" s="0">
        <v>53.12</v>
      </c>
      <c r="B15313" t="n" s="0">
        <f>(-5-((((-5*(-5/((-5/(((-5*(53.12--5))-(-5+((-5*53.12)*(((-5--5)+(53.12--5))+53.12))))-(-5+-5)))*-5)))/-5)--5)+(-5*(((53.12*(53.12-(-5/-5)))*(53.12-(53.12/(-5*53.12))))-(-5/-5)))))</f>
        <v>743951.54784</v>
      </c>
      <c r="C15313" t="n" s="0">
        <v>743951.5478399999</v>
      </c>
    </row>
    <row r="15314">
      <c r="A15314" t="n" s="0">
        <v>53.13</v>
      </c>
      <c r="B15314" t="n" s="0">
        <f>(-5-((((-5*(-5/((-5/(((-5*(53.13--5))-(-5+((-5*53.13)*(((-5--5)+(53.13--5))+53.13))))-(-5+-5)))*-5)))/-5)--5)+(-5*(((53.13*(53.13-(-5/-5)))*(53.13-(53.13/(-5*53.13))))-(-5/-5)))))</f>
        <v>744372.792685</v>
      </c>
      <c r="C15314" t="n" s="0">
        <v>744372.792685</v>
      </c>
    </row>
    <row r="15315">
      <c r="A15315" t="n" s="0">
        <v>53.14</v>
      </c>
      <c r="B15315" t="n" s="0">
        <f>(-5-((((-5*(-5/((-5/(((-5*(53.14--5))-(-5+((-5*53.14)*(((-5--5)+(53.14--5))+53.14))))-(-5+-5)))*-5)))/-5)--5)+(-5*(((53.14*(53.14-(-5/-5)))*(53.14-(53.14/(-5*53.14))))-(-5/-5)))))</f>
        <v>744794.19652</v>
      </c>
      <c r="C15315" t="n" s="0">
        <v>744794.19652</v>
      </c>
    </row>
    <row r="15316">
      <c r="A15316" t="n" s="0">
        <v>53.15</v>
      </c>
      <c r="B15316" t="n" s="0">
        <f>(-5-((((-5*(-5/((-5/(((-5*(53.15--5))-(-5+((-5*53.15)*(((-5--5)+(53.15--5))+53.15))))-(-5+-5)))*-5)))/-5)--5)+(-5*(((53.15*(53.15-(-5/-5)))*(53.15-(53.15/(-5*53.15))))-(-5/-5)))))</f>
        <v>745215.7593749999</v>
      </c>
      <c r="C15316" t="n" s="0">
        <v>745215.7593749999</v>
      </c>
    </row>
    <row r="15317">
      <c r="A15317" t="n" s="0">
        <v>53.16</v>
      </c>
      <c r="B15317" t="n" s="0">
        <f>(-5-((((-5*(-5/((-5/(((-5*(53.16--5))-(-5+((-5*53.16)*(((-5--5)+(53.16--5))+53.16))))-(-5+-5)))*-5)))/-5)--5)+(-5*(((53.16*(53.16-(-5/-5)))*(53.16-(53.16/(-5*53.16))))-(-5/-5)))))</f>
        <v>745637.4812800001</v>
      </c>
      <c r="C15317" t="n" s="0">
        <v>745637.4812799997</v>
      </c>
    </row>
    <row r="15318">
      <c r="A15318" t="n" s="0">
        <v>53.17</v>
      </c>
      <c r="B15318" t="n" s="0">
        <f>(-5-((((-5*(-5/((-5/(((-5*(53.17--5))-(-5+((-5*53.17)*(((-5--5)+(53.17--5))+53.17))))-(-5+-5)))*-5)))/-5)--5)+(-5*(((53.17*(53.17-(-5/-5)))*(53.17-(53.17/(-5*53.17))))-(-5/-5)))))</f>
        <v>746059.362265</v>
      </c>
      <c r="C15318" t="n" s="0">
        <v>746059.3622650001</v>
      </c>
    </row>
    <row r="15319">
      <c r="A15319" t="n" s="0">
        <v>53.18</v>
      </c>
      <c r="B15319" t="n" s="0">
        <f>(-5-((((-5*(-5/((-5/(((-5*(53.18--5))-(-5+((-5*53.18)*(((-5--5)+(53.18--5))+53.18))))-(-5+-5)))*-5)))/-5)--5)+(-5*(((53.18*(53.18-(-5/-5)))*(53.18-(53.18/(-5*53.18))))-(-5/-5)))))</f>
        <v>746481.4023600001</v>
      </c>
      <c r="C15319" t="n" s="0">
        <v>746481.4023600001</v>
      </c>
    </row>
    <row r="15320">
      <c r="A15320" t="n" s="0">
        <v>53.19</v>
      </c>
      <c r="B15320" t="n" s="0">
        <f>(-5-((((-5*(-5/((-5/(((-5*(53.19--5))-(-5+((-5*53.19)*(((-5--5)+(53.19--5))+53.19))))-(-5+-5)))*-5)))/-5)--5)+(-5*(((53.19*(53.19-(-5/-5)))*(53.19-(53.19/(-5*53.19))))-(-5/-5)))))</f>
        <v>746903.601595</v>
      </c>
      <c r="C15320" t="n" s="0">
        <v>746903.6015949999</v>
      </c>
    </row>
    <row r="15321">
      <c r="A15321" t="n" s="0">
        <v>53.2</v>
      </c>
      <c r="B15321" t="n" s="0">
        <f>(-5-((((-5*(-5/((-5/(((-5*(53.2--5))-(-5+((-5*53.2)*(((-5--5)+(53.2--5))+53.2))))-(-5+-5)))*-5)))/-5)--5)+(-5*(((53.2*(53.2-(-5/-5)))*(53.2-(53.2/(-5*53.2))))-(-5/-5)))))</f>
        <v>747325.9600000001</v>
      </c>
      <c r="C15321" t="n" s="0">
        <v>747325.9600000001</v>
      </c>
    </row>
    <row r="15322">
      <c r="A15322" t="n" s="0">
        <v>53.21</v>
      </c>
      <c r="B15322" t="n" s="0">
        <f>(-5-((((-5*(-5/((-5/(((-5*(53.21--5))-(-5+((-5*53.21)*(((-5--5)+(53.21--5))+53.21))))-(-5+-5)))*-5)))/-5)--5)+(-5*(((53.21*(53.21-(-5/-5)))*(53.21-(53.21/(-5*53.21))))-(-5/-5)))))</f>
        <v>747748.477605</v>
      </c>
      <c r="C15322" t="n" s="0">
        <v>747748.4776049999</v>
      </c>
    </row>
    <row r="15323">
      <c r="A15323" t="n" s="0">
        <v>53.22</v>
      </c>
      <c r="B15323" t="n" s="0">
        <f>(-5-((((-5*(-5/((-5/(((-5*(53.22--5))-(-5+((-5*53.22)*(((-5--5)+(53.22--5))+53.22))))-(-5+-5)))*-5)))/-5)--5)+(-5*(((53.22*(53.22-(-5/-5)))*(53.22-(53.22/(-5*53.22))))-(-5/-5)))))</f>
        <v>748171.15444</v>
      </c>
      <c r="C15323" t="n" s="0">
        <v>748171.1544400001</v>
      </c>
    </row>
    <row r="15324">
      <c r="A15324" t="n" s="0">
        <v>53.23</v>
      </c>
      <c r="B15324" t="n" s="0">
        <f>(-5-((((-5*(-5/((-5/(((-5*(53.23--5))-(-5+((-5*53.23)*(((-5--5)+(53.23--5))+53.23))))-(-5+-5)))*-5)))/-5)--5)+(-5*(((53.23*(53.23-(-5/-5)))*(53.23-(53.23/(-5*53.23))))-(-5/-5)))))</f>
        <v>748593.990535</v>
      </c>
      <c r="C15324" t="n" s="0">
        <v>748593.9905349998</v>
      </c>
    </row>
    <row r="15325">
      <c r="A15325" t="n" s="0">
        <v>53.24</v>
      </c>
      <c r="B15325" t="n" s="0">
        <f>(-5-((((-5*(-5/((-5/(((-5*(53.24--5))-(-5+((-5*53.24)*(((-5--5)+(53.24--5))+53.24))))-(-5+-5)))*-5)))/-5)--5)+(-5*(((53.24*(53.24-(-5/-5)))*(53.24-(53.24/(-5*53.24))))-(-5/-5)))))</f>
        <v>749016.98592</v>
      </c>
      <c r="C15325" t="n" s="0">
        <v>749016.9859200001</v>
      </c>
    </row>
    <row r="15326">
      <c r="A15326" t="n" s="0">
        <v>53.25</v>
      </c>
      <c r="B15326" t="n" s="0">
        <f>(-5-((((-5*(-5/((-5/(((-5*(53.25--5))-(-5+((-5*53.25)*(((-5--5)+(53.25--5))+53.25))))-(-5+-5)))*-5)))/-5)--5)+(-5*(((53.25*(53.25-(-5/-5)))*(53.25-(53.25/(-5*53.25))))-(-5/-5)))))</f>
        <v>749440.140625</v>
      </c>
      <c r="C15326" t="n" s="0">
        <v>749440.140625</v>
      </c>
    </row>
    <row r="15327">
      <c r="A15327" t="n" s="0">
        <v>53.26</v>
      </c>
      <c r="B15327" t="n" s="0">
        <f>(-5-((((-5*(-5/((-5/(((-5*(53.26--5))-(-5+((-5*53.26)*(((-5--5)+(53.26--5))+53.26))))-(-5+-5)))*-5)))/-5)--5)+(-5*(((53.26*(53.26-(-5/-5)))*(53.26-(53.26/(-5*53.26))))-(-5/-5)))))</f>
        <v>749863.4546800001</v>
      </c>
      <c r="C15327" t="n" s="0">
        <v>749863.45468</v>
      </c>
    </row>
    <row r="15328">
      <c r="A15328" t="n" s="0">
        <v>53.27</v>
      </c>
      <c r="B15328" t="n" s="0">
        <f>(-5-((((-5*(-5/((-5/(((-5*(53.27--5))-(-5+((-5*53.27)*(((-5--5)+(53.27--5))+53.27))))-(-5+-5)))*-5)))/-5)--5)+(-5*(((53.27*(53.27-(-5/-5)))*(53.27-(53.27/(-5*53.27))))-(-5/-5)))))</f>
        <v>750286.928115</v>
      </c>
      <c r="C15328" t="n" s="0">
        <v>750286.9281150001</v>
      </c>
    </row>
    <row r="15329">
      <c r="A15329" t="n" s="0">
        <v>53.28</v>
      </c>
      <c r="B15329" t="n" s="0">
        <f>(-5-((((-5*(-5/((-5/(((-5*(53.28--5))-(-5+((-5*53.28)*(((-5--5)+(53.28--5))+53.28))))-(-5+-5)))*-5)))/-5)--5)+(-5*(((53.28*(53.28-(-5/-5)))*(53.28-(53.28/(-5*53.28))))-(-5/-5)))))</f>
        <v>750710.56096</v>
      </c>
      <c r="C15329" t="n" s="0">
        <v>750710.56096</v>
      </c>
    </row>
    <row r="15330">
      <c r="A15330" t="n" s="0">
        <v>53.29</v>
      </c>
      <c r="B15330" t="n" s="0">
        <f>(-5-((((-5*(-5/((-5/(((-5*(53.29--5))-(-5+((-5*53.29)*(((-5--5)+(53.29--5))+53.29))))-(-5+-5)))*-5)))/-5)--5)+(-5*(((53.29*(53.29-(-5/-5)))*(53.29-(53.29/(-5*53.29))))-(-5/-5)))))</f>
        <v>751134.353245</v>
      </c>
      <c r="C15330" t="n" s="0">
        <v>751134.3532449999</v>
      </c>
    </row>
    <row r="15331">
      <c r="A15331" t="n" s="0">
        <v>53.3</v>
      </c>
      <c r="B15331" t="n" s="0">
        <f>(-5-((((-5*(-5/((-5/(((-5*(53.3--5))-(-5+((-5*53.3)*(((-5--5)+(53.3--5))+53.3))))-(-5+-5)))*-5)))/-5)--5)+(-5*(((53.3*(53.3-(-5/-5)))*(53.3-(53.3/(-5*53.3))))-(-5/-5)))))</f>
        <v>751558.3049999999</v>
      </c>
      <c r="C15331" t="n" s="0">
        <v>751558.3049999998</v>
      </c>
    </row>
    <row r="15332">
      <c r="A15332" t="n" s="0">
        <v>53.31</v>
      </c>
      <c r="B15332" t="n" s="0">
        <f>(-5-((((-5*(-5/((-5/(((-5*(53.31--5))-(-5+((-5*53.31)*(((-5--5)+(53.31--5))+53.31))))-(-5+-5)))*-5)))/-5)--5)+(-5*(((53.31*(53.31-(-5/-5)))*(53.31-(53.31/(-5*53.31))))-(-5/-5)))))</f>
        <v>751982.416255</v>
      </c>
      <c r="C15332" t="n" s="0">
        <v>751982.4162550002</v>
      </c>
    </row>
    <row r="15333">
      <c r="A15333" t="n" s="0">
        <v>53.32</v>
      </c>
      <c r="B15333" t="n" s="0">
        <f>(-5-((((-5*(-5/((-5/(((-5*(53.32--5))-(-5+((-5*53.32)*(((-5--5)+(53.32--5))+53.32))))-(-5+-5)))*-5)))/-5)--5)+(-5*(((53.32*(53.32-(-5/-5)))*(53.32-(53.32/(-5*53.32))))-(-5/-5)))))</f>
        <v>752406.6870400001</v>
      </c>
      <c r="C15333" t="n" s="0">
        <v>752406.68704</v>
      </c>
    </row>
    <row r="15334">
      <c r="A15334" t="n" s="0">
        <v>53.33</v>
      </c>
      <c r="B15334" t="n" s="0">
        <f>(-5-((((-5*(-5/((-5/(((-5*(53.33--5))-(-5+((-5*53.33)*(((-5--5)+(53.33--5))+53.33))))-(-5+-5)))*-5)))/-5)--5)+(-5*(((53.33*(53.33-(-5/-5)))*(53.33-(53.33/(-5*53.33))))-(-5/-5)))))</f>
        <v>752831.117385</v>
      </c>
      <c r="C15334" t="n" s="0">
        <v>752831.117385</v>
      </c>
    </row>
    <row r="15335">
      <c r="A15335" t="n" s="0">
        <v>53.34</v>
      </c>
      <c r="B15335" t="n" s="0">
        <f>(-5-((((-5*(-5/((-5/(((-5*(53.34--5))-(-5+((-5*53.34)*(((-5--5)+(53.34--5))+53.34))))-(-5+-5)))*-5)))/-5)--5)+(-5*(((53.34*(53.34-(-5/-5)))*(53.34-(53.34/(-5*53.34))))-(-5/-5)))))</f>
        <v>753255.7073199999</v>
      </c>
      <c r="C15335" t="n" s="0">
        <v>753255.7073200002</v>
      </c>
    </row>
    <row r="15336">
      <c r="A15336" t="n" s="0">
        <v>53.35</v>
      </c>
      <c r="B15336" t="n" s="0">
        <f>(-5-((((-5*(-5/((-5/(((-5*(53.35--5))-(-5+((-5*53.35)*(((-5--5)+(53.35--5))+53.35))))-(-5+-5)))*-5)))/-5)--5)+(-5*(((53.35*(53.35-(-5/-5)))*(53.35-(53.35/(-5*53.35))))-(-5/-5)))))</f>
        <v>753680.4568749999</v>
      </c>
      <c r="C15336" t="n" s="0">
        <v>753680.4568750001</v>
      </c>
    </row>
    <row r="15337">
      <c r="A15337" t="n" s="0">
        <v>53.36</v>
      </c>
      <c r="B15337" t="n" s="0">
        <f>(-5-((((-5*(-5/((-5/(((-5*(53.36--5))-(-5+((-5*53.36)*(((-5--5)+(53.36--5))+53.36))))-(-5+-5)))*-5)))/-5)--5)+(-5*(((53.36*(53.36-(-5/-5)))*(53.36-(53.36/(-5*53.36))))-(-5/-5)))))</f>
        <v>754105.36608</v>
      </c>
      <c r="C15337" t="n" s="0">
        <v>754105.3660799998</v>
      </c>
    </row>
    <row r="15338">
      <c r="A15338" t="n" s="0">
        <v>53.37</v>
      </c>
      <c r="B15338" t="n" s="0">
        <f>(-5-((((-5*(-5/((-5/(((-5*(53.37--5))-(-5+((-5*53.37)*(((-5--5)+(53.37--5))+53.37))))-(-5+-5)))*-5)))/-5)--5)+(-5*(((53.37*(53.37-(-5/-5)))*(53.37-(53.37/(-5*53.37))))-(-5/-5)))))</f>
        <v>754530.434965</v>
      </c>
      <c r="C15338" t="n" s="0">
        <v>754530.4349649998</v>
      </c>
    </row>
    <row r="15339">
      <c r="A15339" t="n" s="0">
        <v>53.38</v>
      </c>
      <c r="B15339" t="n" s="0">
        <f>(-5-((((-5*(-5/((-5/(((-5*(53.38--5))-(-5+((-5*53.38)*(((-5--5)+(53.38--5))+53.38))))-(-5+-5)))*-5)))/-5)--5)+(-5*(((53.38*(53.38-(-5/-5)))*(53.38-(53.38/(-5*53.38))))-(-5/-5)))))</f>
        <v>754955.66356</v>
      </c>
      <c r="C15339" t="n" s="0">
        <v>754955.6635600001</v>
      </c>
    </row>
    <row r="15340">
      <c r="A15340" t="n" s="0">
        <v>53.39</v>
      </c>
      <c r="B15340" t="n" s="0">
        <f>(-5-((((-5*(-5/((-5/(((-5*(53.39--5))-(-5+((-5*53.39)*(((-5--5)+(53.39--5))+53.39))))-(-5+-5)))*-5)))/-5)--5)+(-5*(((53.39*(53.39-(-5/-5)))*(53.39-(53.39/(-5*53.39))))-(-5/-5)))))</f>
        <v>755381.051895</v>
      </c>
      <c r="C15340" t="n" s="0">
        <v>755381.051895</v>
      </c>
    </row>
    <row r="15341">
      <c r="A15341" t="n" s="0">
        <v>53.4</v>
      </c>
      <c r="B15341" t="n" s="0">
        <f>(-5-((((-5*(-5/((-5/(((-5*(53.4--5))-(-5+((-5*53.4)*(((-5--5)+(53.4--5))+53.4))))-(-5+-5)))*-5)))/-5)--5)+(-5*(((53.4*(53.4-(-5/-5)))*(53.4-(53.4/(-5*53.4))))-(-5/-5)))))</f>
        <v>755806.6</v>
      </c>
      <c r="C15341" t="n" s="0">
        <v>755806.5999999999</v>
      </c>
    </row>
    <row r="15342">
      <c r="A15342" t="n" s="0">
        <v>53.41</v>
      </c>
      <c r="B15342" t="n" s="0">
        <f>(-5-((((-5*(-5/((-5/(((-5*(53.41--5))-(-5+((-5*53.41)*(((-5--5)+(53.41--5))+53.41))))-(-5+-5)))*-5)))/-5)--5)+(-5*(((53.41*(53.41-(-5/-5)))*(53.41-(53.41/(-5*53.41))))-(-5/-5)))))</f>
        <v>756232.307905</v>
      </c>
      <c r="C15342" t="n" s="0">
        <v>756232.3079049999</v>
      </c>
    </row>
    <row r="15343">
      <c r="A15343" t="n" s="0">
        <v>53.42</v>
      </c>
      <c r="B15343" t="n" s="0">
        <f>(-5-((((-5*(-5/((-5/(((-5*(53.42--5))-(-5+((-5*53.42)*(((-5--5)+(53.42--5))+53.42))))-(-5+-5)))*-5)))/-5)--5)+(-5*(((53.42*(53.42-(-5/-5)))*(53.42-(53.42/(-5*53.42))))-(-5/-5)))))</f>
        <v>756658.1756399999</v>
      </c>
      <c r="C15343" t="n" s="0">
        <v>756658.17564</v>
      </c>
    </row>
    <row r="15344">
      <c r="A15344" t="n" s="0">
        <v>53.43</v>
      </c>
      <c r="B15344" t="n" s="0">
        <f>(-5-((((-5*(-5/((-5/(((-5*(53.43--5))-(-5+((-5*53.43)*(((-5--5)+(53.43--5))+53.43))))-(-5+-5)))*-5)))/-5)--5)+(-5*(((53.43*(53.43-(-5/-5)))*(53.43-(53.43/(-5*53.43))))-(-5/-5)))))</f>
        <v>757084.203235</v>
      </c>
      <c r="C15344" t="n" s="0">
        <v>757084.2032349999</v>
      </c>
    </row>
    <row r="15345">
      <c r="A15345" t="n" s="0">
        <v>53.44</v>
      </c>
      <c r="B15345" t="n" s="0">
        <f>(-5-((((-5*(-5/((-5/(((-5*(53.44--5))-(-5+((-5*53.44)*(((-5--5)+(53.44--5))+53.44))))-(-5+-5)))*-5)))/-5)--5)+(-5*(((53.44*(53.44-(-5/-5)))*(53.44-(53.44/(-5*53.44))))-(-5/-5)))))</f>
        <v>757510.39072</v>
      </c>
      <c r="C15345" t="n" s="0">
        <v>757510.3907199998</v>
      </c>
    </row>
    <row r="15346">
      <c r="A15346" t="n" s="0">
        <v>53.45</v>
      </c>
      <c r="B15346" t="n" s="0">
        <f>(-5-((((-5*(-5/((-5/(((-5*(53.45--5))-(-5+((-5*53.45)*(((-5--5)+(53.45--5))+53.45))))-(-5+-5)))*-5)))/-5)--5)+(-5*(((53.45*(53.45-(-5/-5)))*(53.45-(53.45/(-5*53.45))))-(-5/-5)))))</f>
        <v>757936.738125</v>
      </c>
      <c r="C15346" t="n" s="0">
        <v>757936.7381249999</v>
      </c>
    </row>
    <row r="15347">
      <c r="A15347" t="n" s="0">
        <v>53.46</v>
      </c>
      <c r="B15347" t="n" s="0">
        <f>(-5-((((-5*(-5/((-5/(((-5*(53.46--5))-(-5+((-5*53.46)*(((-5--5)+(53.46--5))+53.46))))-(-5+-5)))*-5)))/-5)--5)+(-5*(((53.46*(53.46-(-5/-5)))*(53.46-(53.46/(-5*53.46))))-(-5/-5)))))</f>
        <v>758363.2454799999</v>
      </c>
      <c r="C15347" t="n" s="0">
        <v>758363.24548</v>
      </c>
    </row>
    <row r="15348">
      <c r="A15348" t="n" s="0">
        <v>53.47</v>
      </c>
      <c r="B15348" t="n" s="0">
        <f>(-5-((((-5*(-5/((-5/(((-5*(53.47--5))-(-5+((-5*53.47)*(((-5--5)+(53.47--5))+53.47))))-(-5+-5)))*-5)))/-5)--5)+(-5*(((53.47*(53.47-(-5/-5)))*(53.47-(53.47/(-5*53.47))))-(-5/-5)))))</f>
        <v>758789.912815</v>
      </c>
      <c r="C15348" t="n" s="0">
        <v>758789.9128149999</v>
      </c>
    </row>
    <row r="15349">
      <c r="A15349" t="n" s="0">
        <v>53.48</v>
      </c>
      <c r="B15349" t="n" s="0">
        <f>(-5-((((-5*(-5/((-5/(((-5*(53.48--5))-(-5+((-5*53.48)*(((-5--5)+(53.48--5))+53.48))))-(-5+-5)))*-5)))/-5)--5)+(-5*(((53.48*(53.48-(-5/-5)))*(53.48-(53.48/(-5*53.48))))-(-5/-5)))))</f>
        <v>759216.74016</v>
      </c>
      <c r="C15349" t="n" s="0">
        <v>759216.7401599998</v>
      </c>
    </row>
    <row r="15350">
      <c r="A15350" t="n" s="0">
        <v>53.49</v>
      </c>
      <c r="B15350" t="n" s="0">
        <f>(-5-((((-5*(-5/((-5/(((-5*(53.49--5))-(-5+((-5*53.49)*(((-5--5)+(53.49--5))+53.49))))-(-5+-5)))*-5)))/-5)--5)+(-5*(((53.49*(53.49-(-5/-5)))*(53.49-(53.49/(-5*53.49))))-(-5/-5)))))</f>
        <v>759643.7275449999</v>
      </c>
      <c r="C15350" t="n" s="0">
        <v>759643.727545</v>
      </c>
    </row>
    <row r="15351">
      <c r="A15351" t="n" s="0">
        <v>53.5</v>
      </c>
      <c r="B15351" t="n" s="0">
        <f>(-5-((((-5*(-5/((-5/(((-5*(53.5--5))-(-5+((-5*53.5)*(((-5--5)+(53.5--5))+53.5))))-(-5+-5)))*-5)))/-5)--5)+(-5*(((53.5*(53.5-(-5/-5)))*(53.5-(53.5/(-5*53.5))))-(-5/-5)))))</f>
        <v>760070.875</v>
      </c>
      <c r="C15351" t="n" s="0">
        <v>760070.875</v>
      </c>
    </row>
    <row r="15352">
      <c r="A15352" t="n" s="0">
        <v>53.51</v>
      </c>
      <c r="B15352" t="n" s="0">
        <f>(-5-((((-5*(-5/((-5/(((-5*(53.51--5))-(-5+((-5*53.51)*(((-5--5)+(53.51--5))+53.51))))-(-5+-5)))*-5)))/-5)--5)+(-5*(((53.51*(53.51-(-5/-5)))*(53.51-(53.51/(-5*53.51))))-(-5/-5)))))</f>
        <v>760498.182555</v>
      </c>
      <c r="C15352" t="n" s="0">
        <v>760498.1825549998</v>
      </c>
    </row>
    <row r="15353">
      <c r="A15353" t="n" s="0">
        <v>53.52</v>
      </c>
      <c r="B15353" t="n" s="0">
        <f>(-5-((((-5*(-5/((-5/(((-5*(53.52--5))-(-5+((-5*53.52)*(((-5--5)+(53.52--5))+53.52))))-(-5+-5)))*-5)))/-5)--5)+(-5*(((53.52*(53.52-(-5/-5)))*(53.52-(53.52/(-5*53.52))))-(-5/-5)))))</f>
        <v>760925.65024</v>
      </c>
      <c r="C15353" t="n" s="0">
        <v>760925.6502400003</v>
      </c>
    </row>
    <row r="15354">
      <c r="A15354" t="n" s="0">
        <v>53.53</v>
      </c>
      <c r="B15354" t="n" s="0">
        <f>(-5-((((-5*(-5/((-5/(((-5*(53.53--5))-(-5+((-5*53.53)*(((-5--5)+(53.53--5))+53.53))))-(-5+-5)))*-5)))/-5)--5)+(-5*(((53.53*(53.53-(-5/-5)))*(53.53-(53.53/(-5*53.53))))-(-5/-5)))))</f>
        <v>761353.278085</v>
      </c>
      <c r="C15354" t="n" s="0">
        <v>761353.278085</v>
      </c>
    </row>
    <row r="15355">
      <c r="A15355" t="n" s="0">
        <v>53.54</v>
      </c>
      <c r="B15355" t="n" s="0">
        <f>(-5-((((-5*(-5/((-5/(((-5*(53.54--5))-(-5+((-5*53.54)*(((-5--5)+(53.54--5))+53.54))))-(-5+-5)))*-5)))/-5)--5)+(-5*(((53.54*(53.54-(-5/-5)))*(53.54-(53.54/(-5*53.54))))-(-5/-5)))))</f>
        <v>761781.06612</v>
      </c>
      <c r="C15355" t="n" s="0">
        <v>761781.06612</v>
      </c>
    </row>
    <row r="15356">
      <c r="A15356" t="n" s="0">
        <v>53.55</v>
      </c>
      <c r="B15356" t="n" s="0">
        <f>(-5-((((-5*(-5/((-5/(((-5*(53.55--5))-(-5+((-5*53.55)*(((-5--5)+(53.55--5))+53.55))))-(-5+-5)))*-5)))/-5)--5)+(-5*(((53.55*(53.55-(-5/-5)))*(53.55-(53.55/(-5*53.55))))-(-5/-5)))))</f>
        <v>762209.014375</v>
      </c>
      <c r="C15356" t="n" s="0">
        <v>762209.014375</v>
      </c>
    </row>
    <row r="15357">
      <c r="A15357" t="n" s="0">
        <v>53.56</v>
      </c>
      <c r="B15357" t="n" s="0">
        <f>(-5-((((-5*(-5/((-5/(((-5*(53.56--5))-(-5+((-5*53.56)*(((-5--5)+(53.56--5))+53.56))))-(-5+-5)))*-5)))/-5)--5)+(-5*(((53.56*(53.56-(-5/-5)))*(53.56-(53.56/(-5*53.56))))-(-5/-5)))))</f>
        <v>762637.1228799999</v>
      </c>
      <c r="C15357" t="n" s="0">
        <v>762637.1228800003</v>
      </c>
    </row>
    <row r="15358">
      <c r="A15358" t="n" s="0">
        <v>53.57</v>
      </c>
      <c r="B15358" t="n" s="0">
        <f>(-5-((((-5*(-5/((-5/(((-5*(53.57--5))-(-5+((-5*53.57)*(((-5--5)+(53.57--5))+53.57))))-(-5+-5)))*-5)))/-5)--5)+(-5*(((53.57*(53.57-(-5/-5)))*(53.57-(53.57/(-5*53.57))))-(-5/-5)))))</f>
        <v>763065.391665</v>
      </c>
      <c r="C15358" t="n" s="0">
        <v>763065.3916650001</v>
      </c>
    </row>
    <row r="15359">
      <c r="A15359" t="n" s="0">
        <v>53.58</v>
      </c>
      <c r="B15359" t="n" s="0">
        <f>(-5-((((-5*(-5/((-5/(((-5*(53.58--5))-(-5+((-5*53.58)*(((-5--5)+(53.58--5))+53.58))))-(-5+-5)))*-5)))/-5)--5)+(-5*(((53.58*(53.58-(-5/-5)))*(53.58-(53.58/(-5*53.58))))-(-5/-5)))))</f>
        <v>763493.8207599999</v>
      </c>
      <c r="C15359" t="n" s="0">
        <v>763493.8207599999</v>
      </c>
    </row>
    <row r="15360">
      <c r="A15360" t="n" s="0">
        <v>53.59</v>
      </c>
      <c r="B15360" t="n" s="0">
        <f>(-5-((((-5*(-5/((-5/(((-5*(53.59--5))-(-5+((-5*53.59)*(((-5--5)+(53.59--5))+53.59))))-(-5+-5)))*-5)))/-5)--5)+(-5*(((53.59*(53.59-(-5/-5)))*(53.59-(53.59/(-5*53.59))))-(-5/-5)))))</f>
        <v>763922.410195</v>
      </c>
      <c r="C15360" t="n" s="0">
        <v>763922.4101950002</v>
      </c>
    </row>
    <row r="15361">
      <c r="A15361" t="n" s="0">
        <v>53.6</v>
      </c>
      <c r="B15361" t="n" s="0">
        <f>(-5-((((-5*(-5/((-5/(((-5*(53.6--5))-(-5+((-5*53.6)*(((-5--5)+(53.6--5))+53.6))))-(-5+-5)))*-5)))/-5)--5)+(-5*(((53.6*(53.6-(-5/-5)))*(53.6-(53.6/(-5*53.6))))-(-5/-5)))))</f>
        <v>764351.1599999999</v>
      </c>
      <c r="C15361" t="n" s="0">
        <v>764351.16</v>
      </c>
    </row>
    <row r="15362">
      <c r="A15362" t="n" s="0">
        <v>53.61</v>
      </c>
      <c r="B15362" t="n" s="0">
        <f>(-5-((((-5*(-5/((-5/(((-5*(53.61--5))-(-5+((-5*53.61)*(((-5--5)+(53.61--5))+53.61))))-(-5+-5)))*-5)))/-5)--5)+(-5*(((53.61*(53.61-(-5/-5)))*(53.61-(53.61/(-5*53.61))))-(-5/-5)))))</f>
        <v>764780.070205</v>
      </c>
      <c r="C15362" t="n" s="0">
        <v>764780.070205</v>
      </c>
    </row>
    <row r="15363">
      <c r="A15363" t="n" s="0">
        <v>53.62</v>
      </c>
      <c r="B15363" t="n" s="0">
        <f>(-5-((((-5*(-5/((-5/(((-5*(53.62--5))-(-5+((-5*53.62)*(((-5--5)+(53.62--5))+53.62))))-(-5+-5)))*-5)))/-5)--5)+(-5*(((53.62*(53.62-(-5/-5)))*(53.62-(53.62/(-5*53.62))))-(-5/-5)))))</f>
        <v>765209.14084</v>
      </c>
      <c r="C15363" t="n" s="0">
        <v>765209.1408399998</v>
      </c>
    </row>
    <row r="15364">
      <c r="A15364" t="n" s="0">
        <v>53.63</v>
      </c>
      <c r="B15364" t="n" s="0">
        <f>(-5-((((-5*(-5/((-5/(((-5*(53.63--5))-(-5+((-5*53.63)*(((-5--5)+(53.63--5))+53.63))))-(-5+-5)))*-5)))/-5)--5)+(-5*(((53.63*(53.63-(-5/-5)))*(53.63-(53.63/(-5*53.63))))-(-5/-5)))))</f>
        <v>765638.371935</v>
      </c>
      <c r="C15364" t="n" s="0">
        <v>765638.3719350001</v>
      </c>
    </row>
    <row r="15365">
      <c r="A15365" t="n" s="0">
        <v>53.64</v>
      </c>
      <c r="B15365" t="n" s="0">
        <f>(-5-((((-5*(-5/((-5/(((-5*(53.64--5))-(-5+((-5*53.64)*(((-5--5)+(53.64--5))+53.64))))-(-5+-5)))*-5)))/-5)--5)+(-5*(((53.64*(53.64-(-5/-5)))*(53.64-(53.64/(-5*53.64))))-(-5/-5)))))</f>
        <v>766067.76352</v>
      </c>
      <c r="C15365" t="n" s="0">
        <v>766067.7635200002</v>
      </c>
    </row>
    <row r="15366">
      <c r="A15366" t="n" s="0">
        <v>53.65</v>
      </c>
      <c r="B15366" t="n" s="0">
        <f>(-5-((((-5*(-5/((-5/(((-5*(53.65--5))-(-5+((-5*53.65)*(((-5--5)+(53.65--5))+53.65))))-(-5+-5)))*-5)))/-5)--5)+(-5*(((53.65*(53.65-(-5/-5)))*(53.65-(53.65/(-5*53.65))))-(-5/-5)))))</f>
        <v>766497.315625</v>
      </c>
      <c r="C15366" t="n" s="0">
        <v>766497.3156249999</v>
      </c>
    </row>
    <row r="15367">
      <c r="A15367" t="n" s="0">
        <v>53.66</v>
      </c>
      <c r="B15367" t="n" s="0">
        <f>(-5-((((-5*(-5/((-5/(((-5*(53.66--5))-(-5+((-5*53.66)*(((-5--5)+(53.66--5))+53.66))))-(-5+-5)))*-5)))/-5)--5)+(-5*(((53.66*(53.66-(-5/-5)))*(53.66-(53.66/(-5*53.66))))-(-5/-5)))))</f>
        <v>766927.02828</v>
      </c>
      <c r="C15367" t="n" s="0">
        <v>766927.0282799999</v>
      </c>
    </row>
    <row r="15368">
      <c r="A15368" t="n" s="0">
        <v>53.67</v>
      </c>
      <c r="B15368" t="n" s="0">
        <f>(-5-((((-5*(-5/((-5/(((-5*(53.67--5))-(-5+((-5*53.67)*(((-5--5)+(53.67--5))+53.67))))-(-5+-5)))*-5)))/-5)--5)+(-5*(((53.67*(53.67-(-5/-5)))*(53.67-(53.67/(-5*53.67))))-(-5/-5)))))</f>
        <v>767356.901515</v>
      </c>
      <c r="C15368" t="n" s="0">
        <v>767356.901515</v>
      </c>
    </row>
    <row r="15369">
      <c r="A15369" t="n" s="0">
        <v>53.68</v>
      </c>
      <c r="B15369" t="n" s="0">
        <f>(-5-((((-5*(-5/((-5/(((-5*(53.68--5))-(-5+((-5*53.68)*(((-5--5)+(53.68--5))+53.68))))-(-5+-5)))*-5)))/-5)--5)+(-5*(((53.68*(53.68-(-5/-5)))*(53.68-(53.68/(-5*53.68))))-(-5/-5)))))</f>
        <v>767786.93536</v>
      </c>
      <c r="C15369" t="n" s="0">
        <v>767786.9353600001</v>
      </c>
    </row>
    <row r="15370">
      <c r="A15370" t="n" s="0">
        <v>53.69</v>
      </c>
      <c r="B15370" t="n" s="0">
        <f>(-5-((((-5*(-5/((-5/(((-5*(53.69--5))-(-5+((-5*53.69)*(((-5--5)+(53.69--5))+53.69))))-(-5+-5)))*-5)))/-5)--5)+(-5*(((53.69*(53.69-(-5/-5)))*(53.69-(53.69/(-5*53.69))))-(-5/-5)))))</f>
        <v>768217.129845</v>
      </c>
      <c r="C15370" t="n" s="0">
        <v>768217.1298449998</v>
      </c>
    </row>
    <row r="15371">
      <c r="A15371" t="n" s="0">
        <v>53.7</v>
      </c>
      <c r="B15371" t="n" s="0">
        <f>(-5-((((-5*(-5/((-5/(((-5*(53.7--5))-(-5+((-5*53.7)*(((-5--5)+(53.7--5))+53.7))))-(-5+-5)))*-5)))/-5)--5)+(-5*(((53.7*(53.7-(-5/-5)))*(53.7-(53.7/(-5*53.7))))-(-5/-5)))))</f>
        <v>768647.4850000001</v>
      </c>
      <c r="C15371" t="n" s="0">
        <v>768647.4850000001</v>
      </c>
    </row>
    <row r="15372">
      <c r="A15372" t="n" s="0">
        <v>53.71</v>
      </c>
      <c r="B15372" t="n" s="0">
        <f>(-5-((((-5*(-5/((-5/(((-5*(53.71--5))-(-5+((-5*53.71)*(((-5--5)+(53.71--5))+53.71))))-(-5+-5)))*-5)))/-5)--5)+(-5*(((53.71*(53.71-(-5/-5)))*(53.71-(53.71/(-5*53.71))))-(-5/-5)))))</f>
        <v>769078.000855</v>
      </c>
      <c r="C15372" t="n" s="0">
        <v>769078.0008550001</v>
      </c>
    </row>
    <row r="15373">
      <c r="A15373" t="n" s="0">
        <v>53.72</v>
      </c>
      <c r="B15373" t="n" s="0">
        <f>(-5-((((-5*(-5/((-5/(((-5*(53.72--5))-(-5+((-5*53.72)*(((-5--5)+(53.72--5))+53.72))))-(-5+-5)))*-5)))/-5)--5)+(-5*(((53.72*(53.72-(-5/-5)))*(53.72-(53.72/(-5*53.72))))-(-5/-5)))))</f>
        <v>769508.67744</v>
      </c>
      <c r="C15373" t="n" s="0">
        <v>769508.6774399999</v>
      </c>
    </row>
    <row r="15374">
      <c r="A15374" t="n" s="0">
        <v>53.73</v>
      </c>
      <c r="B15374" t="n" s="0">
        <f>(-5-((((-5*(-5/((-5/(((-5*(53.73--5))-(-5+((-5*53.73)*(((-5--5)+(53.73--5))+53.73))))-(-5+-5)))*-5)))/-5)--5)+(-5*(((53.73*(53.73-(-5/-5)))*(53.73-(53.73/(-5*53.73))))-(-5/-5)))))</f>
        <v>769939.514785</v>
      </c>
      <c r="C15374" t="n" s="0">
        <v>769939.5147849999</v>
      </c>
    </row>
    <row r="15375">
      <c r="A15375" t="n" s="0">
        <v>53.74</v>
      </c>
      <c r="B15375" t="n" s="0">
        <f>(-5-((((-5*(-5/((-5/(((-5*(53.74--5))-(-5+((-5*53.74)*(((-5--5)+(53.74--5))+53.74))))-(-5+-5)))*-5)))/-5)--5)+(-5*(((53.74*(53.74-(-5/-5)))*(53.74-(53.74/(-5*53.74))))-(-5/-5)))))</f>
        <v>770370.5129199999</v>
      </c>
      <c r="C15375" t="n" s="0">
        <v>770370.5129200001</v>
      </c>
    </row>
    <row r="15376">
      <c r="A15376" t="n" s="0">
        <v>53.75</v>
      </c>
      <c r="B15376" t="n" s="0">
        <f>(-5-((((-5*(-5/((-5/(((-5*(53.75--5))-(-5+((-5*53.75)*(((-5--5)+(53.75--5))+53.75))))-(-5+-5)))*-5)))/-5)--5)+(-5*(((53.75*(53.75-(-5/-5)))*(53.75-(53.75/(-5*53.75))))-(-5/-5)))))</f>
        <v>770801.671875</v>
      </c>
      <c r="C15376" t="n" s="0">
        <v>770801.671875</v>
      </c>
    </row>
    <row r="15377">
      <c r="A15377" t="n" s="0">
        <v>53.76</v>
      </c>
      <c r="B15377" t="n" s="0">
        <f>(-5-((((-5*(-5/((-5/(((-5*(53.76--5))-(-5+((-5*53.76)*(((-5--5)+(53.76--5))+53.76))))-(-5+-5)))*-5)))/-5)--5)+(-5*(((53.76*(53.76-(-5/-5)))*(53.76-(53.76/(-5*53.76))))-(-5/-5)))))</f>
        <v>771232.99168</v>
      </c>
      <c r="C15377" t="n" s="0">
        <v>771232.9916799999</v>
      </c>
    </row>
    <row r="15378">
      <c r="A15378" t="n" s="0">
        <v>53.77</v>
      </c>
      <c r="B15378" t="n" s="0">
        <f>(-5-((((-5*(-5/((-5/(((-5*(53.77--5))-(-5+((-5*53.77)*(((-5--5)+(53.77--5))+53.77))))-(-5+-5)))*-5)))/-5)--5)+(-5*(((53.77*(53.77-(-5/-5)))*(53.77-(53.77/(-5*53.77))))-(-5/-5)))))</f>
        <v>771664.472365</v>
      </c>
      <c r="C15378" t="n" s="0">
        <v>771664.4723650003</v>
      </c>
    </row>
    <row r="15379">
      <c r="A15379" t="n" s="0">
        <v>53.78</v>
      </c>
      <c r="B15379" t="n" s="0">
        <f>(-5-((((-5*(-5/((-5/(((-5*(53.78--5))-(-5+((-5*53.78)*(((-5--5)+(53.78--5))+53.78))))-(-5+-5)))*-5)))/-5)--5)+(-5*(((53.78*(53.78-(-5/-5)))*(53.78-(53.78/(-5*53.78))))-(-5/-5)))))</f>
        <v>772096.11396</v>
      </c>
      <c r="C15379" t="n" s="0">
        <v>772096.11396</v>
      </c>
    </row>
    <row r="15380">
      <c r="A15380" t="n" s="0">
        <v>53.79</v>
      </c>
      <c r="B15380" t="n" s="0">
        <f>(-5-((((-5*(-5/((-5/(((-5*(53.79--5))-(-5+((-5*53.79)*(((-5--5)+(53.79--5))+53.79))))-(-5+-5)))*-5)))/-5)--5)+(-5*(((53.79*(53.79-(-5/-5)))*(53.79-(53.79/(-5*53.79))))-(-5/-5)))))</f>
        <v>772527.916495</v>
      </c>
      <c r="C15380" t="n" s="0">
        <v>772527.9164949999</v>
      </c>
    </row>
    <row r="15381">
      <c r="A15381" t="n" s="0">
        <v>53.8</v>
      </c>
      <c r="B15381" t="n" s="0">
        <f>(-5-((((-5*(-5/((-5/(((-5*(53.8--5))-(-5+((-5*53.8)*(((-5--5)+(53.8--5))+53.8))))-(-5+-5)))*-5)))/-5)--5)+(-5*(((53.8*(53.8-(-5/-5)))*(53.8-(53.8/(-5*53.8))))-(-5/-5)))))</f>
        <v>772959.88</v>
      </c>
      <c r="C15381" t="n" s="0">
        <v>772959.8799999999</v>
      </c>
    </row>
    <row r="15382">
      <c r="A15382" t="n" s="0">
        <v>53.81</v>
      </c>
      <c r="B15382" t="n" s="0">
        <f>(-5-((((-5*(-5/((-5/(((-5*(53.81--5))-(-5+((-5*53.81)*(((-5--5)+(53.81--5))+53.81))))-(-5+-5)))*-5)))/-5)--5)+(-5*(((53.81*(53.81-(-5/-5)))*(53.81-(53.81/(-5*53.81))))-(-5/-5)))))</f>
        <v>773392.004505</v>
      </c>
      <c r="C15382" t="n" s="0">
        <v>773392.0045050002</v>
      </c>
    </row>
    <row r="15383">
      <c r="A15383" t="n" s="0">
        <v>53.82</v>
      </c>
      <c r="B15383" t="n" s="0">
        <f>(-5-((((-5*(-5/((-5/(((-5*(53.82--5))-(-5+((-5*53.82)*(((-5--5)+(53.82--5))+53.82))))-(-5+-5)))*-5)))/-5)--5)+(-5*(((53.82*(53.82-(-5/-5)))*(53.82-(53.82/(-5*53.82))))-(-5/-5)))))</f>
        <v>773824.29004</v>
      </c>
      <c r="C15383" t="n" s="0">
        <v>773824.2900399999</v>
      </c>
    </row>
    <row r="15384">
      <c r="A15384" t="n" s="0">
        <v>53.83</v>
      </c>
      <c r="B15384" t="n" s="0">
        <f>(-5-((((-5*(-5/((-5/(((-5*(53.83--5))-(-5+((-5*53.83)*(((-5--5)+(53.83--5))+53.83))))-(-5+-5)))*-5)))/-5)--5)+(-5*(((53.83*(53.83-(-5/-5)))*(53.83-(53.83/(-5*53.83))))-(-5/-5)))))</f>
        <v>774256.7366350001</v>
      </c>
      <c r="C15384" t="n" s="0">
        <v>774256.7366349999</v>
      </c>
    </row>
    <row r="15385">
      <c r="A15385" t="n" s="0">
        <v>53.84</v>
      </c>
      <c r="B15385" t="n" s="0">
        <f>(-5-((((-5*(-5/((-5/(((-5*(53.84--5))-(-5+((-5*53.84)*(((-5--5)+(53.84--5))+53.84))))-(-5+-5)))*-5)))/-5)--5)+(-5*(((53.84*(53.84-(-5/-5)))*(53.84-(53.84/(-5*53.84))))-(-5/-5)))))</f>
        <v>774689.34432</v>
      </c>
      <c r="C15385" t="n" s="0">
        <v>774689.3443200001</v>
      </c>
    </row>
    <row r="15386">
      <c r="A15386" t="n" s="0">
        <v>53.85</v>
      </c>
      <c r="B15386" t="n" s="0">
        <f>(-5-((((-5*(-5/((-5/(((-5*(53.85--5))-(-5+((-5*53.85)*(((-5--5)+(53.85--5))+53.85))))-(-5+-5)))*-5)))/-5)--5)+(-5*(((53.85*(53.85-(-5/-5)))*(53.85-(53.85/(-5*53.85))))-(-5/-5)))))</f>
        <v>775122.113125</v>
      </c>
      <c r="C15386" t="n" s="0">
        <v>775122.113125</v>
      </c>
    </row>
    <row r="15387">
      <c r="A15387" t="n" s="0">
        <v>53.86</v>
      </c>
      <c r="B15387" t="n" s="0">
        <f>(-5-((((-5*(-5/((-5/(((-5*(53.86--5))-(-5+((-5*53.86)*(((-5--5)+(53.86--5))+53.86))))-(-5+-5)))*-5)))/-5)--5)+(-5*(((53.86*(53.86-(-5/-5)))*(53.86-(53.86/(-5*53.86))))-(-5/-5)))))</f>
        <v>775555.0430800001</v>
      </c>
      <c r="C15387" t="n" s="0">
        <v>775555.04308</v>
      </c>
    </row>
    <row r="15388">
      <c r="A15388" t="n" s="0">
        <v>53.87</v>
      </c>
      <c r="B15388" t="n" s="0">
        <f>(-5-((((-5*(-5/((-5/(((-5*(53.87--5))-(-5+((-5*53.87)*(((-5--5)+(53.87--5))+53.87))))-(-5+-5)))*-5)))/-5)--5)+(-5*(((53.87*(53.87-(-5/-5)))*(53.87-(53.87/(-5*53.87))))-(-5/-5)))))</f>
        <v>775988.134215</v>
      </c>
      <c r="C15388" t="n" s="0">
        <v>775988.134215</v>
      </c>
    </row>
    <row r="15389">
      <c r="A15389" t="n" s="0">
        <v>53.88</v>
      </c>
      <c r="B15389" t="n" s="0">
        <f>(-5-((((-5*(-5/((-5/(((-5*(53.88--5))-(-5+((-5*53.88)*(((-5--5)+(53.88--5))+53.88))))-(-5+-5)))*-5)))/-5)--5)+(-5*(((53.88*(53.88-(-5/-5)))*(53.88-(53.88/(-5*53.88))))-(-5/-5)))))</f>
        <v>776421.38656</v>
      </c>
      <c r="C15389" t="n" s="0">
        <v>776421.3865600001</v>
      </c>
    </row>
    <row r="15390">
      <c r="A15390" t="n" s="0">
        <v>53.89</v>
      </c>
      <c r="B15390" t="n" s="0">
        <f>(-5-((((-5*(-5/((-5/(((-5*(53.89--5))-(-5+((-5*53.89)*(((-5--5)+(53.89--5))+53.89))))-(-5+-5)))*-5)))/-5)--5)+(-5*(((53.89*(53.89-(-5/-5)))*(53.89-(53.89/(-5*53.89))))-(-5/-5)))))</f>
        <v>776854.800145</v>
      </c>
      <c r="C15390" t="n" s="0">
        <v>776854.800145</v>
      </c>
    </row>
    <row r="15391">
      <c r="A15391" t="n" s="0">
        <v>53.9</v>
      </c>
      <c r="B15391" t="n" s="0">
        <f>(-5-((((-5*(-5/((-5/(((-5*(53.9--5))-(-5+((-5*53.9)*(((-5--5)+(53.9--5))+53.9))))-(-5+-5)))*-5)))/-5)--5)+(-5*(((53.9*(53.9-(-5/-5)))*(53.9-(53.9/(-5*53.9))))-(-5/-5)))))</f>
        <v>777288.375</v>
      </c>
      <c r="C15391" t="n" s="0">
        <v>777288.3749999999</v>
      </c>
    </row>
    <row r="15392">
      <c r="A15392" t="n" s="0">
        <v>53.91</v>
      </c>
      <c r="B15392" t="n" s="0">
        <f>(-5-((((-5*(-5/((-5/(((-5*(53.91--5))-(-5+((-5*53.91)*(((-5--5)+(53.91--5))+53.91))))-(-5+-5)))*-5)))/-5)--5)+(-5*(((53.91*(53.91-(-5/-5)))*(53.91-(53.91/(-5*53.91))))-(-5/-5)))))</f>
        <v>777722.111155</v>
      </c>
      <c r="C15392" t="n" s="0">
        <v>777722.1111549998</v>
      </c>
    </row>
    <row r="15393">
      <c r="A15393" t="n" s="0">
        <v>53.92</v>
      </c>
      <c r="B15393" t="n" s="0">
        <f>(-5-((((-5*(-5/((-5/(((-5*(53.92--5))-(-5+((-5*53.92)*(((-5--5)+(53.92--5))+53.92))))-(-5+-5)))*-5)))/-5)--5)+(-5*(((53.92*(53.92-(-5/-5)))*(53.92-(53.92/(-5*53.92))))-(-5/-5)))))</f>
        <v>778156.00864</v>
      </c>
      <c r="C15393" t="n" s="0">
        <v>778156.00864</v>
      </c>
    </row>
    <row r="15394">
      <c r="A15394" t="n" s="0">
        <v>53.93</v>
      </c>
      <c r="B15394" t="n" s="0">
        <f>(-5-((((-5*(-5/((-5/(((-5*(53.93--5))-(-5+((-5*53.93)*(((-5--5)+(53.93--5))+53.93))))-(-5+-5)))*-5)))/-5)--5)+(-5*(((53.93*(53.93-(-5/-5)))*(53.93-(53.93/(-5*53.93))))-(-5/-5)))))</f>
        <v>778590.067485</v>
      </c>
      <c r="C15394" t="n" s="0">
        <v>778590.067485</v>
      </c>
    </row>
    <row r="15395">
      <c r="A15395" t="n" s="0">
        <v>53.94</v>
      </c>
      <c r="B15395" t="n" s="0">
        <f>(-5-((((-5*(-5/((-5/(((-5*(53.94--5))-(-5+((-5*53.94)*(((-5--5)+(53.94--5))+53.94))))-(-5+-5)))*-5)))/-5)--5)+(-5*(((53.94*(53.94-(-5/-5)))*(53.94-(53.94/(-5*53.94))))-(-5/-5)))))</f>
        <v>779024.28772</v>
      </c>
      <c r="C15395" t="n" s="0">
        <v>779024.2877199998</v>
      </c>
    </row>
    <row r="15396">
      <c r="A15396" t="n" s="0">
        <v>53.95</v>
      </c>
      <c r="B15396" t="n" s="0">
        <f>(-5-((((-5*(-5/((-5/(((-5*(53.95--5))-(-5+((-5*53.95)*(((-5--5)+(53.95--5))+53.95))))-(-5+-5)))*-5)))/-5)--5)+(-5*(((53.95*(53.95-(-5/-5)))*(53.95-(53.95/(-5*53.95))))-(-5/-5)))))</f>
        <v>779458.669375</v>
      </c>
      <c r="C15396" t="n" s="0">
        <v>779458.669375</v>
      </c>
    </row>
    <row r="15397">
      <c r="A15397" t="n" s="0">
        <v>53.96</v>
      </c>
      <c r="B15397" t="n" s="0">
        <f>(-5-((((-5*(-5/((-5/(((-5*(53.96--5))-(-5+((-5*53.96)*(((-5--5)+(53.96--5))+53.96))))-(-5+-5)))*-5)))/-5)--5)+(-5*(((53.96*(53.96-(-5/-5)))*(53.96-(53.96/(-5*53.96))))-(-5/-5)))))</f>
        <v>779893.21248</v>
      </c>
      <c r="C15397" t="n" s="0">
        <v>779893.21248</v>
      </c>
    </row>
    <row r="15398">
      <c r="A15398" t="n" s="0">
        <v>53.97</v>
      </c>
      <c r="B15398" t="n" s="0">
        <f>(-5-((((-5*(-5/((-5/(((-5*(53.97--5))-(-5+((-5*53.97)*(((-5--5)+(53.97--5))+53.97))))-(-5+-5)))*-5)))/-5)--5)+(-5*(((53.97*(53.97-(-5/-5)))*(53.97-(53.97/(-5*53.97))))-(-5/-5)))))</f>
        <v>780327.917065</v>
      </c>
      <c r="C15398" t="n" s="0">
        <v>780327.917065</v>
      </c>
    </row>
    <row r="15399">
      <c r="A15399" t="n" s="0">
        <v>53.98</v>
      </c>
      <c r="B15399" t="n" s="0">
        <f>(-5-((((-5*(-5/((-5/(((-5*(53.98--5))-(-5+((-5*53.98)*(((-5--5)+(53.98--5))+53.98))))-(-5+-5)))*-5)))/-5)--5)+(-5*(((53.98*(53.98-(-5/-5)))*(53.98-(53.98/(-5*53.98))))-(-5/-5)))))</f>
        <v>780762.78316</v>
      </c>
      <c r="C15399" t="n" s="0">
        <v>780762.7831599999</v>
      </c>
    </row>
    <row r="15400">
      <c r="A15400" t="n" s="0">
        <v>53.99</v>
      </c>
      <c r="B15400" t="n" s="0">
        <f>(-5-((((-5*(-5/((-5/(((-5*(53.99--5))-(-5+((-5*53.99)*(((-5--5)+(53.99--5))+53.99))))-(-5+-5)))*-5)))/-5)--5)+(-5*(((53.99*(53.99-(-5/-5)))*(53.99-(53.99/(-5*53.99))))-(-5/-5)))))</f>
        <v>781197.810795</v>
      </c>
      <c r="C15400" t="n" s="0">
        <v>781197.810795</v>
      </c>
    </row>
    <row r="15401">
      <c r="A15401" t="n" s="0">
        <v>54.0</v>
      </c>
      <c r="B15401" t="n" s="0">
        <f>(-5-((((-5*(-5/((-5/(((-5*(54--5))-(-5+((-5*54)*(((-5--5)+(54--5))+54))))-(-5+-5)))*-5)))/-5)--5)+(-5*(((54*(54-(-5/-5)))*(54-(54/(-5*54))))-(-5/-5)))))</f>
        <v>781633.0</v>
      </c>
      <c r="C15401" t="n" s="0">
        <v>781633.0</v>
      </c>
    </row>
    <row r="15402">
      <c r="A15402" t="n" s="0">
        <v>54.01</v>
      </c>
      <c r="B15402" t="n" s="0">
        <f>(-5-((((-5*(-5/((-5/(((-5*(54.01--5))-(-5+((-5*54.01)*(((-5--5)+(54.01--5))+54.01))))-(-5+-5)))*-5)))/-5)--5)+(-5*(((54.01*(54.01-(-5/-5)))*(54.01-(54.01/(-5*54.01))))-(-5/-5)))))</f>
        <v>782068.3508049999</v>
      </c>
      <c r="C15402" t="n" s="0">
        <v>782068.3508049998</v>
      </c>
    </row>
    <row r="15403">
      <c r="A15403" t="n" s="0">
        <v>54.02</v>
      </c>
      <c r="B15403" t="n" s="0">
        <f>(-5-((((-5*(-5/((-5/(((-5*(54.02--5))-(-5+((-5*54.02)*(((-5--5)+(54.02--5))+54.02))))-(-5+-5)))*-5)))/-5)--5)+(-5*(((54.02*(54.02-(-5/-5)))*(54.02-(54.02/(-5*54.02))))-(-5/-5)))))</f>
        <v>782503.8632400001</v>
      </c>
      <c r="C15403" t="n" s="0">
        <v>782503.8632400002</v>
      </c>
    </row>
    <row r="15404">
      <c r="A15404" t="n" s="0">
        <v>54.03</v>
      </c>
      <c r="B15404" t="n" s="0">
        <f>(-5-((((-5*(-5/((-5/(((-5*(54.03--5))-(-5+((-5*54.03)*(((-5--5)+(54.03--5))+54.03))))-(-5+-5)))*-5)))/-5)--5)+(-5*(((54.03*(54.03-(-5/-5)))*(54.03-(54.03/(-5*54.03))))-(-5/-5)))))</f>
        <v>782939.537335</v>
      </c>
      <c r="C15404" t="n" s="0">
        <v>782939.537335</v>
      </c>
    </row>
    <row r="15405">
      <c r="A15405" t="n" s="0">
        <v>54.04</v>
      </c>
      <c r="B15405" t="n" s="0">
        <f>(-5-((((-5*(-5/((-5/(((-5*(54.04--5))-(-5+((-5*54.04)*(((-5--5)+(54.04--5))+54.04))))-(-5+-5)))*-5)))/-5)--5)+(-5*(((54.04*(54.04-(-5/-5)))*(54.04-(54.04/(-5*54.04))))-(-5/-5)))))</f>
        <v>783375.37312</v>
      </c>
      <c r="C15405" t="n" s="0">
        <v>783375.37312</v>
      </c>
    </row>
    <row r="15406">
      <c r="A15406" t="n" s="0">
        <v>54.05</v>
      </c>
      <c r="B15406" t="n" s="0">
        <f>(-5-((((-5*(-5/((-5/(((-5*(54.05--5))-(-5+((-5*54.05)*(((-5--5)+(54.05--5))+54.05))))-(-5+-5)))*-5)))/-5)--5)+(-5*(((54.05*(54.05-(-5/-5)))*(54.05-(54.05/(-5*54.05))))-(-5/-5)))))</f>
        <v>783811.370625</v>
      </c>
      <c r="C15406" t="n" s="0">
        <v>783811.3706249999</v>
      </c>
    </row>
    <row r="15407">
      <c r="A15407" t="n" s="0">
        <v>54.06</v>
      </c>
      <c r="B15407" t="n" s="0">
        <f>(-5-((((-5*(-5/((-5/(((-5*(54.06--5))-(-5+((-5*54.06)*(((-5--5)+(54.06--5))+54.06))))-(-5+-5)))*-5)))/-5)--5)+(-5*(((54.06*(54.06-(-5/-5)))*(54.06-(54.06/(-5*54.06))))-(-5/-5)))))</f>
        <v>784247.5298799999</v>
      </c>
      <c r="C15407" t="n" s="0">
        <v>784247.5298800002</v>
      </c>
    </row>
    <row r="15408">
      <c r="A15408" t="n" s="0">
        <v>54.07</v>
      </c>
      <c r="B15408" t="n" s="0">
        <f>(-5-((((-5*(-5/((-5/(((-5*(54.07--5))-(-5+((-5*54.07)*(((-5--5)+(54.07--5))+54.07))))-(-5+-5)))*-5)))/-5)--5)+(-5*(((54.07*(54.07-(-5/-5)))*(54.07-(54.07/(-5*54.07))))-(-5/-5)))))</f>
        <v>784683.8509150001</v>
      </c>
      <c r="C15408" t="n" s="0">
        <v>784683.850915</v>
      </c>
    </row>
    <row r="15409">
      <c r="A15409" t="n" s="0">
        <v>54.08</v>
      </c>
      <c r="B15409" t="n" s="0">
        <f>(-5-((((-5*(-5/((-5/(((-5*(54.08--5))-(-5+((-5*54.08)*(((-5--5)+(54.08--5))+54.08))))-(-5+-5)))*-5)))/-5)--5)+(-5*(((54.08*(54.08-(-5/-5)))*(54.08-(54.08/(-5*54.08))))-(-5/-5)))))</f>
        <v>785120.33376</v>
      </c>
      <c r="C15409" t="n" s="0">
        <v>785120.33376</v>
      </c>
    </row>
    <row r="15410">
      <c r="A15410" t="n" s="0">
        <v>54.09</v>
      </c>
      <c r="B15410" t="n" s="0">
        <f>(-5-((((-5*(-5/((-5/(((-5*(54.09--5))-(-5+((-5*54.09)*(((-5--5)+(54.09--5))+54.09))))-(-5+-5)))*-5)))/-5)--5)+(-5*(((54.09*(54.09-(-5/-5)))*(54.09-(54.09/(-5*54.09))))-(-5/-5)))))</f>
        <v>785556.978445</v>
      </c>
      <c r="C15410" t="n" s="0">
        <v>785556.9784450002</v>
      </c>
    </row>
    <row r="15411">
      <c r="A15411" t="n" s="0">
        <v>54.1</v>
      </c>
      <c r="B15411" t="n" s="0">
        <f>(-5-((((-5*(-5/((-5/(((-5*(54.1--5))-(-5+((-5*54.1)*(((-5--5)+(54.1--5))+54.1))))-(-5+-5)))*-5)))/-5)--5)+(-5*(((54.1*(54.1-(-5/-5)))*(54.1-(54.1/(-5*54.1))))-(-5/-5)))))</f>
        <v>785993.785</v>
      </c>
      <c r="C15411" t="n" s="0">
        <v>785993.785</v>
      </c>
    </row>
    <row r="15412">
      <c r="A15412" t="n" s="0">
        <v>54.11</v>
      </c>
      <c r="B15412" t="n" s="0">
        <f>(-5-((((-5*(-5/((-5/(((-5*(54.11--5))-(-5+((-5*54.11)*(((-5--5)+(54.11--5))+54.11))))-(-5+-5)))*-5)))/-5)--5)+(-5*(((54.11*(54.11-(-5/-5)))*(54.11-(54.11/(-5*54.11))))-(-5/-5)))))</f>
        <v>786430.7534549999</v>
      </c>
      <c r="C15412" t="n" s="0">
        <v>786430.753455</v>
      </c>
    </row>
    <row r="15413">
      <c r="A15413" t="n" s="0">
        <v>54.12</v>
      </c>
      <c r="B15413" t="n" s="0">
        <f>(-5-((((-5*(-5/((-5/(((-5*(54.12--5))-(-5+((-5*54.12)*(((-5--5)+(54.12--5))+54.12))))-(-5+-5)))*-5)))/-5)--5)+(-5*(((54.12*(54.12-(-5/-5)))*(54.12-(54.12/(-5*54.12))))-(-5/-5)))))</f>
        <v>786867.88384</v>
      </c>
      <c r="C15413" t="n" s="0">
        <v>786867.8838399999</v>
      </c>
    </row>
    <row r="15414">
      <c r="A15414" t="n" s="0">
        <v>54.13</v>
      </c>
      <c r="B15414" t="n" s="0">
        <f>(-5-((((-5*(-5/((-5/(((-5*(54.13--5))-(-5+((-5*54.13)*(((-5--5)+(54.13--5))+54.13))))-(-5+-5)))*-5)))/-5)--5)+(-5*(((54.13*(54.13-(-5/-5)))*(54.13-(54.13/(-5*54.13))))-(-5/-5)))))</f>
        <v>787305.176185</v>
      </c>
      <c r="C15414" t="n" s="0">
        <v>787305.176185</v>
      </c>
    </row>
    <row r="15415">
      <c r="A15415" t="n" s="0">
        <v>54.14</v>
      </c>
      <c r="B15415" t="n" s="0">
        <f>(-5-((((-5*(-5/((-5/(((-5*(54.14--5))-(-5+((-5*54.14)*(((-5--5)+(54.14--5))+54.14))))-(-5+-5)))*-5)))/-5)--5)+(-5*(((54.14*(54.14-(-5/-5)))*(54.14-(54.14/(-5*54.14))))-(-5/-5)))))</f>
        <v>787742.63052</v>
      </c>
      <c r="C15415" t="n" s="0">
        <v>787742.63052</v>
      </c>
    </row>
    <row r="15416">
      <c r="A15416" t="n" s="0">
        <v>54.15</v>
      </c>
      <c r="B15416" t="n" s="0">
        <f>(-5-((((-5*(-5/((-5/(((-5*(54.15--5))-(-5+((-5*54.15)*(((-5--5)+(54.15--5))+54.15))))-(-5+-5)))*-5)))/-5)--5)+(-5*(((54.15*(54.15-(-5/-5)))*(54.15-(54.15/(-5*54.15))))-(-5/-5)))))</f>
        <v>788180.2468750001</v>
      </c>
      <c r="C15416" t="n" s="0">
        <v>788180.2468750001</v>
      </c>
    </row>
    <row r="15417">
      <c r="A15417" t="n" s="0">
        <v>54.16</v>
      </c>
      <c r="B15417" t="n" s="0">
        <f>(-5-((((-5*(-5/((-5/(((-5*(54.16--5))-(-5+((-5*54.16)*(((-5--5)+(54.16--5))+54.16))))-(-5+-5)))*-5)))/-5)--5)+(-5*(((54.16*(54.16-(-5/-5)))*(54.16-(54.16/(-5*54.16))))-(-5/-5)))))</f>
        <v>788618.0252800001</v>
      </c>
      <c r="C15417" t="n" s="0">
        <v>788618.0252799997</v>
      </c>
    </row>
    <row r="15418">
      <c r="A15418" t="n" s="0">
        <v>54.17</v>
      </c>
      <c r="B15418" t="n" s="0">
        <f>(-5-((((-5*(-5/((-5/(((-5*(54.17--5))-(-5+((-5*54.17)*(((-5--5)+(54.17--5))+54.17))))-(-5+-5)))*-5)))/-5)--5)+(-5*(((54.17*(54.17-(-5/-5)))*(54.17-(54.17/(-5*54.17))))-(-5/-5)))))</f>
        <v>789055.965765</v>
      </c>
      <c r="C15418" t="n" s="0">
        <v>789055.965765</v>
      </c>
    </row>
    <row r="15419">
      <c r="A15419" t="n" s="0">
        <v>54.18</v>
      </c>
      <c r="B15419" t="n" s="0">
        <f>(-5-((((-5*(-5/((-5/(((-5*(54.18--5))-(-5+((-5*54.18)*(((-5--5)+(54.18--5))+54.18))))-(-5+-5)))*-5)))/-5)--5)+(-5*(((54.18*(54.18-(-5/-5)))*(54.18-(54.18/(-5*54.18))))-(-5/-5)))))</f>
        <v>789494.06836</v>
      </c>
      <c r="C15419" t="n" s="0">
        <v>789494.06836</v>
      </c>
    </row>
    <row r="15420">
      <c r="A15420" t="n" s="0">
        <v>54.19</v>
      </c>
      <c r="B15420" t="n" s="0">
        <f>(-5-((((-5*(-5/((-5/(((-5*(54.19--5))-(-5+((-5*54.19)*(((-5--5)+(54.19--5))+54.19))))-(-5+-5)))*-5)))/-5)--5)+(-5*(((54.19*(54.19-(-5/-5)))*(54.19-(54.19/(-5*54.19))))-(-5/-5)))))</f>
        <v>789932.333095</v>
      </c>
      <c r="C15420" t="n" s="0">
        <v>789932.3330949999</v>
      </c>
    </row>
    <row r="15421">
      <c r="A15421" t="n" s="0">
        <v>54.2</v>
      </c>
      <c r="B15421" t="n" s="0">
        <f>(-5-((((-5*(-5/((-5/(((-5*(54.2--5))-(-5+((-5*54.2)*(((-5--5)+(54.2--5))+54.2))))-(-5+-5)))*-5)))/-5)--5)+(-5*(((54.2*(54.2-(-5/-5)))*(54.2-(54.2/(-5*54.2))))-(-5/-5)))))</f>
        <v>790370.76</v>
      </c>
      <c r="C15421" t="n" s="0">
        <v>790370.76</v>
      </c>
    </row>
    <row r="15422">
      <c r="A15422" t="n" s="0">
        <v>54.21</v>
      </c>
      <c r="B15422" t="n" s="0">
        <f>(-5-((((-5*(-5/((-5/(((-5*(54.21--5))-(-5+((-5*54.21)*(((-5--5)+(54.21--5))+54.21))))-(-5+-5)))*-5)))/-5)--5)+(-5*(((54.21*(54.21-(-5/-5)))*(54.21-(54.21/(-5*54.21))))-(-5/-5)))))</f>
        <v>790809.3491049999</v>
      </c>
      <c r="C15422" t="n" s="0">
        <v>790809.349105</v>
      </c>
    </row>
    <row r="15423">
      <c r="A15423" t="n" s="0">
        <v>54.22</v>
      </c>
      <c r="B15423" t="n" s="0">
        <f>(-5-((((-5*(-5/((-5/(((-5*(54.22--5))-(-5+((-5*54.22)*(((-5--5)+(54.22--5))+54.22))))-(-5+-5)))*-5)))/-5)--5)+(-5*(((54.22*(54.22-(-5/-5)))*(54.22-(54.22/(-5*54.22))))-(-5/-5)))))</f>
        <v>791248.10044</v>
      </c>
      <c r="C15423" t="n" s="0">
        <v>791248.1004400001</v>
      </c>
    </row>
    <row r="15424">
      <c r="A15424" t="n" s="0">
        <v>54.23</v>
      </c>
      <c r="B15424" t="n" s="0">
        <f>(-5-((((-5*(-5/((-5/(((-5*(54.23--5))-(-5+((-5*54.23)*(((-5--5)+(54.23--5))+54.23))))-(-5+-5)))*-5)))/-5)--5)+(-5*(((54.23*(54.23-(-5/-5)))*(54.23-(54.23/(-5*54.23))))-(-5/-5)))))</f>
        <v>791687.014035</v>
      </c>
      <c r="C15424" t="n" s="0">
        <v>791687.0140349999</v>
      </c>
    </row>
    <row r="15425">
      <c r="A15425" t="n" s="0">
        <v>54.24</v>
      </c>
      <c r="B15425" t="n" s="0">
        <f>(-5-((((-5*(-5/((-5/(((-5*(54.24--5))-(-5+((-5*54.24)*(((-5--5)+(54.24--5))+54.24))))-(-5+-5)))*-5)))/-5)--5)+(-5*(((54.24*(54.24-(-5/-5)))*(54.24-(54.24/(-5*54.24))))-(-5/-5)))))</f>
        <v>792126.0899199999</v>
      </c>
      <c r="C15425" t="n" s="0">
        <v>792126.0899200002</v>
      </c>
    </row>
    <row r="15426">
      <c r="A15426" t="n" s="0">
        <v>54.25</v>
      </c>
      <c r="B15426" t="n" s="0">
        <f>(-5-((((-5*(-5/((-5/(((-5*(54.25--5))-(-5+((-5*54.25)*(((-5--5)+(54.25--5))+54.25))))-(-5+-5)))*-5)))/-5)--5)+(-5*(((54.25*(54.25-(-5/-5)))*(54.25-(54.25/(-5*54.25))))-(-5/-5)))))</f>
        <v>792565.328125</v>
      </c>
      <c r="C15426" t="n" s="0">
        <v>792565.328125</v>
      </c>
    </row>
    <row r="15427">
      <c r="A15427" t="n" s="0">
        <v>54.26</v>
      </c>
      <c r="B15427" t="n" s="0">
        <f>(-5-((((-5*(-5/((-5/(((-5*(54.26--5))-(-5+((-5*54.26)*(((-5--5)+(54.26--5))+54.26))))-(-5+-5)))*-5)))/-5)--5)+(-5*(((54.26*(54.26-(-5/-5)))*(54.26-(54.26/(-5*54.26))))-(-5/-5)))))</f>
        <v>793004.72868</v>
      </c>
      <c r="C15427" t="n" s="0">
        <v>793004.7286799998</v>
      </c>
    </row>
    <row r="15428">
      <c r="A15428" t="n" s="0">
        <v>54.27</v>
      </c>
      <c r="B15428" t="n" s="0">
        <f>(-5-((((-5*(-5/((-5/(((-5*(54.27--5))-(-5+((-5*54.27)*(((-5--5)+(54.27--5))+54.27))))-(-5+-5)))*-5)))/-5)--5)+(-5*(((54.27*(54.27-(-5/-5)))*(54.27-(54.27/(-5*54.27))))-(-5/-5)))))</f>
        <v>793444.291615</v>
      </c>
      <c r="C15428" t="n" s="0">
        <v>793444.2916150002</v>
      </c>
    </row>
    <row r="15429">
      <c r="A15429" t="n" s="0">
        <v>54.28</v>
      </c>
      <c r="B15429" t="n" s="0">
        <f>(-5-((((-5*(-5/((-5/(((-5*(54.28--5))-(-5+((-5*54.28)*(((-5--5)+(54.28--5))+54.28))))-(-5+-5)))*-5)))/-5)--5)+(-5*(((54.28*(54.28-(-5/-5)))*(54.28-(54.28/(-5*54.28))))-(-5/-5)))))</f>
        <v>793884.0169599999</v>
      </c>
      <c r="C15429" t="n" s="0">
        <v>793884.01696</v>
      </c>
    </row>
    <row r="15430">
      <c r="A15430" t="n" s="0">
        <v>54.29</v>
      </c>
      <c r="B15430" t="n" s="0">
        <f>(-5-((((-5*(-5/((-5/(((-5*(54.29--5))-(-5+((-5*54.29)*(((-5--5)+(54.29--5))+54.29))))-(-5+-5)))*-5)))/-5)--5)+(-5*(((54.29*(54.29-(-5/-5)))*(54.29-(54.29/(-5*54.29))))-(-5/-5)))))</f>
        <v>794323.904745</v>
      </c>
      <c r="C15430" t="n" s="0">
        <v>794323.9047450001</v>
      </c>
    </row>
    <row r="15431">
      <c r="A15431" t="n" s="0">
        <v>54.3</v>
      </c>
      <c r="B15431" t="n" s="0">
        <f>(-5-((((-5*(-5/((-5/(((-5*(54.3--5))-(-5+((-5*54.3)*(((-5--5)+(54.3--5))+54.3))))-(-5+-5)))*-5)))/-5)--5)+(-5*(((54.3*(54.3-(-5/-5)))*(54.3-(54.3/(-5*54.3))))-(-5/-5)))))</f>
        <v>794763.9550000001</v>
      </c>
      <c r="C15431" t="n" s="0">
        <v>794763.955</v>
      </c>
    </row>
    <row r="15432">
      <c r="A15432" t="n" s="0">
        <v>54.31</v>
      </c>
      <c r="B15432" t="n" s="0">
        <f>(-5-((((-5*(-5/((-5/(((-5*(54.31--5))-(-5+((-5*54.31)*(((-5--5)+(54.31--5))+54.31))))-(-5+-5)))*-5)))/-5)--5)+(-5*(((54.31*(54.31-(-5/-5)))*(54.31-(54.31/(-5*54.31))))-(-5/-5)))))</f>
        <v>795204.167755</v>
      </c>
      <c r="C15432" t="n" s="0">
        <v>795204.1677550002</v>
      </c>
    </row>
    <row r="15433">
      <c r="A15433" t="n" s="0">
        <v>54.32</v>
      </c>
      <c r="B15433" t="n" s="0">
        <f>(-5-((((-5*(-5/((-5/(((-5*(54.32--5))-(-5+((-5*54.32)*(((-5--5)+(54.32--5))+54.32))))-(-5+-5)))*-5)))/-5)--5)+(-5*(((54.32*(54.32-(-5/-5)))*(54.32-(54.32/(-5*54.32))))-(-5/-5)))))</f>
        <v>795644.54304</v>
      </c>
      <c r="C15433" t="n" s="0">
        <v>795644.54304</v>
      </c>
    </row>
    <row r="15434">
      <c r="A15434" t="n" s="0">
        <v>54.33</v>
      </c>
      <c r="B15434" t="n" s="0">
        <f>(-5-((((-5*(-5/((-5/(((-5*(54.33--5))-(-5+((-5*54.33)*(((-5--5)+(54.33--5))+54.33))))-(-5+-5)))*-5)))/-5)--5)+(-5*(((54.33*(54.33-(-5/-5)))*(54.33-(54.33/(-5*54.33))))-(-5/-5)))))</f>
        <v>796085.080885</v>
      </c>
      <c r="C15434" t="n" s="0">
        <v>796085.080885</v>
      </c>
    </row>
    <row r="15435">
      <c r="A15435" t="n" s="0">
        <v>54.34</v>
      </c>
      <c r="B15435" t="n" s="0">
        <f>(-5-((((-5*(-5/((-5/(((-5*(54.34--5))-(-5+((-5*54.34)*(((-5--5)+(54.34--5))+54.34))))-(-5+-5)))*-5)))/-5)--5)+(-5*(((54.34*(54.34-(-5/-5)))*(54.34-(54.34/(-5*54.34))))-(-5/-5)))))</f>
        <v>796525.78132</v>
      </c>
      <c r="C15435" t="n" s="0">
        <v>796525.7813200002</v>
      </c>
    </row>
    <row r="15436">
      <c r="A15436" t="n" s="0">
        <v>54.35</v>
      </c>
      <c r="B15436" t="n" s="0">
        <f>(-5-((((-5*(-5/((-5/(((-5*(54.35--5))-(-5+((-5*54.35)*(((-5--5)+(54.35--5))+54.35))))-(-5+-5)))*-5)))/-5)--5)+(-5*(((54.35*(54.35-(-5/-5)))*(54.35-(54.35/(-5*54.35))))-(-5/-5)))))</f>
        <v>796966.644375</v>
      </c>
      <c r="C15436" t="n" s="0">
        <v>796966.6443750001</v>
      </c>
    </row>
    <row r="15437">
      <c r="A15437" t="n" s="0">
        <v>54.36</v>
      </c>
      <c r="B15437" t="n" s="0">
        <f>(-5-((((-5*(-5/((-5/(((-5*(54.36--5))-(-5+((-5*54.36)*(((-5--5)+(54.36--5))+54.36))))-(-5+-5)))*-5)))/-5)--5)+(-5*(((54.36*(54.36-(-5/-5)))*(54.36-(54.36/(-5*54.36))))-(-5/-5)))))</f>
        <v>797407.6700800001</v>
      </c>
      <c r="C15437" t="n" s="0">
        <v>797407.67008</v>
      </c>
    </row>
    <row r="15438">
      <c r="A15438" t="n" s="0">
        <v>54.37</v>
      </c>
      <c r="B15438" t="n" s="0">
        <f>(-5-((((-5*(-5/((-5/(((-5*(54.37--5))-(-5+((-5*54.37)*(((-5--5)+(54.37--5))+54.37))))-(-5+-5)))*-5)))/-5)--5)+(-5*(((54.37*(54.37-(-5/-5)))*(54.37-(54.37/(-5*54.37))))-(-5/-5)))))</f>
        <v>797848.8584649999</v>
      </c>
      <c r="C15438" t="n" s="0">
        <v>797848.8584649998</v>
      </c>
    </row>
    <row r="15439">
      <c r="A15439" t="n" s="0">
        <v>54.38</v>
      </c>
      <c r="B15439" t="n" s="0">
        <f>(-5-((((-5*(-5/((-5/(((-5*(54.38--5))-(-5+((-5*54.38)*(((-5--5)+(54.38--5))+54.38))))-(-5+-5)))*-5)))/-5)--5)+(-5*(((54.38*(54.38-(-5/-5)))*(54.38-(54.38/(-5*54.38))))-(-5/-5)))))</f>
        <v>798290.20956</v>
      </c>
      <c r="C15439" t="n" s="0">
        <v>798290.2095600001</v>
      </c>
    </row>
    <row r="15440">
      <c r="A15440" t="n" s="0">
        <v>54.39</v>
      </c>
      <c r="B15440" t="n" s="0">
        <f>(-5-((((-5*(-5/((-5/(((-5*(54.39--5))-(-5+((-5*54.39)*(((-5--5)+(54.39--5))+54.39))))-(-5+-5)))*-5)))/-5)--5)+(-5*(((54.39*(54.39-(-5/-5)))*(54.39-(54.39/(-5*54.39))))-(-5/-5)))))</f>
        <v>798731.723395</v>
      </c>
      <c r="C15440" t="n" s="0">
        <v>798731.7233950001</v>
      </c>
    </row>
    <row r="15441">
      <c r="A15441" t="n" s="0">
        <v>54.4</v>
      </c>
      <c r="B15441" t="n" s="0">
        <f>(-5-((((-5*(-5/((-5/(((-5*(54.4--5))-(-5+((-5*54.4)*(((-5--5)+(54.4--5))+54.4))))-(-5+-5)))*-5)))/-5)--5)+(-5*(((54.4*(54.4-(-5/-5)))*(54.4-(54.4/(-5*54.4))))-(-5/-5)))))</f>
        <v>799173.4</v>
      </c>
      <c r="C15441" t="n" s="0">
        <v>799173.3999999999</v>
      </c>
    </row>
    <row r="15442">
      <c r="A15442" t="n" s="0">
        <v>54.41</v>
      </c>
      <c r="B15442" t="n" s="0">
        <f>(-5-((((-5*(-5/((-5/(((-5*(54.41--5))-(-5+((-5*54.41)*(((-5--5)+(54.41--5))+54.41))))-(-5+-5)))*-5)))/-5)--5)+(-5*(((54.41*(54.41-(-5/-5)))*(54.41-(54.41/(-5*54.41))))-(-5/-5)))))</f>
        <v>799615.239405</v>
      </c>
      <c r="C15442" t="n" s="0">
        <v>799615.2394049998</v>
      </c>
    </row>
    <row r="15443">
      <c r="A15443" t="n" s="0">
        <v>54.42</v>
      </c>
      <c r="B15443" t="n" s="0">
        <f>(-5-((((-5*(-5/((-5/(((-5*(54.42--5))-(-5+((-5*54.42)*(((-5--5)+(54.42--5))+54.42))))-(-5+-5)))*-5)))/-5)--5)+(-5*(((54.42*(54.42-(-5/-5)))*(54.42-(54.42/(-5*54.42))))-(-5/-5)))))</f>
        <v>800057.24164</v>
      </c>
      <c r="C15443" t="n" s="0">
        <v>800057.2416400001</v>
      </c>
    </row>
    <row r="15444">
      <c r="A15444" t="n" s="0">
        <v>54.43</v>
      </c>
      <c r="B15444" t="n" s="0">
        <f>(-5-((((-5*(-5/((-5/(((-5*(54.43--5))-(-5+((-5*54.43)*(((-5--5)+(54.43--5))+54.43))))-(-5+-5)))*-5)))/-5)--5)+(-5*(((54.43*(54.43-(-5/-5)))*(54.43-(54.43/(-5*54.43))))-(-5/-5)))))</f>
        <v>800499.406735</v>
      </c>
      <c r="C15444" t="n" s="0">
        <v>800499.406735</v>
      </c>
    </row>
    <row r="15445">
      <c r="A15445" t="n" s="0">
        <v>54.44</v>
      </c>
      <c r="B15445" t="n" s="0">
        <f>(-5-((((-5*(-5/((-5/(((-5*(54.44--5))-(-5+((-5*54.44)*(((-5--5)+(54.44--5))+54.44))))-(-5+-5)))*-5)))/-5)--5)+(-5*(((54.44*(54.44-(-5/-5)))*(54.44-(54.44/(-5*54.44))))-(-5/-5)))))</f>
        <v>800941.7347200001</v>
      </c>
      <c r="C15445" t="n" s="0">
        <v>800941.7347199998</v>
      </c>
    </row>
    <row r="15446">
      <c r="A15446" t="n" s="0">
        <v>54.45</v>
      </c>
      <c r="B15446" t="n" s="0">
        <f>(-5-((((-5*(-5/((-5/(((-5*(54.45--5))-(-5+((-5*54.45)*(((-5--5)+(54.45--5))+54.45))))-(-5+-5)))*-5)))/-5)--5)+(-5*(((54.45*(54.45-(-5/-5)))*(54.45-(54.45/(-5*54.45))))-(-5/-5)))))</f>
        <v>801384.2256250001</v>
      </c>
      <c r="C15446" t="n" s="0">
        <v>801384.2256250002</v>
      </c>
    </row>
    <row r="15447">
      <c r="A15447" t="n" s="0">
        <v>54.46</v>
      </c>
      <c r="B15447" t="n" s="0">
        <f>(-5-((((-5*(-5/((-5/(((-5*(54.46--5))-(-5+((-5*54.46)*(((-5--5)+(54.46--5))+54.46))))-(-5+-5)))*-5)))/-5)--5)+(-5*(((54.46*(54.46-(-5/-5)))*(54.46-(54.46/(-5*54.46))))-(-5/-5)))))</f>
        <v>801826.87948</v>
      </c>
      <c r="C15447" t="n" s="0">
        <v>801826.8794800001</v>
      </c>
    </row>
    <row r="15448">
      <c r="A15448" t="n" s="0">
        <v>54.47</v>
      </c>
      <c r="B15448" t="n" s="0">
        <f>(-5-((((-5*(-5/((-5/(((-5*(54.47--5))-(-5+((-5*54.47)*(((-5--5)+(54.47--5))+54.47))))-(-5+-5)))*-5)))/-5)--5)+(-5*(((54.47*(54.47-(-5/-5)))*(54.47-(54.47/(-5*54.47))))-(-5/-5)))))</f>
        <v>802269.6963150001</v>
      </c>
      <c r="C15448" t="n" s="0">
        <v>802269.696315</v>
      </c>
    </row>
    <row r="15449">
      <c r="A15449" t="n" s="0">
        <v>54.48</v>
      </c>
      <c r="B15449" t="n" s="0">
        <f>(-5-((((-5*(-5/((-5/(((-5*(54.48--5))-(-5+((-5*54.48)*(((-5--5)+(54.48--5))+54.48))))-(-5+-5)))*-5)))/-5)--5)+(-5*(((54.48*(54.48-(-5/-5)))*(54.48-(54.48/(-5*54.48))))-(-5/-5)))))</f>
        <v>802712.67616</v>
      </c>
      <c r="C15449" t="n" s="0">
        <v>802712.6761599997</v>
      </c>
    </row>
    <row r="15450">
      <c r="A15450" t="n" s="0">
        <v>54.49</v>
      </c>
      <c r="B15450" t="n" s="0">
        <f>(-5-((((-5*(-5/((-5/(((-5*(54.49--5))-(-5+((-5*54.49)*(((-5--5)+(54.49--5))+54.49))))-(-5+-5)))*-5)))/-5)--5)+(-5*(((54.49*(54.49-(-5/-5)))*(54.49-(54.49/(-5*54.49))))-(-5/-5)))))</f>
        <v>803155.819045</v>
      </c>
      <c r="C15450" t="n" s="0">
        <v>803155.8190450001</v>
      </c>
    </row>
    <row r="15451">
      <c r="A15451" t="n" s="0">
        <v>54.5</v>
      </c>
      <c r="B15451" t="n" s="0">
        <f>(-5-((((-5*(-5/((-5/(((-5*(54.5--5))-(-5+((-5*54.5)*(((-5--5)+(54.5--5))+54.5))))-(-5+-5)))*-5)))/-5)--5)+(-5*(((54.5*(54.5-(-5/-5)))*(54.5-(54.5/(-5*54.5))))-(-5/-5)))))</f>
        <v>803599.125</v>
      </c>
      <c r="C15451" t="n" s="0">
        <v>803599.125</v>
      </c>
    </row>
    <row r="15452">
      <c r="A15452" t="n" s="0">
        <v>54.51</v>
      </c>
      <c r="B15452" t="n" s="0">
        <f>(-5-((((-5*(-5/((-5/(((-5*(54.51--5))-(-5+((-5*54.51)*(((-5--5)+(54.51--5))+54.51))))-(-5+-5)))*-5)))/-5)--5)+(-5*(((54.51*(54.51-(-5/-5)))*(54.51-(54.51/(-5*54.51))))-(-5/-5)))))</f>
        <v>804042.594055</v>
      </c>
      <c r="C15452" t="n" s="0">
        <v>804042.594055</v>
      </c>
    </row>
    <row r="15453">
      <c r="A15453" t="n" s="0">
        <v>54.52</v>
      </c>
      <c r="B15453" t="n" s="0">
        <f>(-5-((((-5*(-5/((-5/(((-5*(54.52--5))-(-5+((-5*54.52)*(((-5--5)+(54.52--5))+54.52))))-(-5+-5)))*-5)))/-5)--5)+(-5*(((54.52*(54.52-(-5/-5)))*(54.52-(54.52/(-5*54.52))))-(-5/-5)))))</f>
        <v>804486.22624</v>
      </c>
      <c r="C15453" t="n" s="0">
        <v>804486.2262400001</v>
      </c>
    </row>
    <row r="15454">
      <c r="A15454" t="n" s="0">
        <v>54.53</v>
      </c>
      <c r="B15454" t="n" s="0">
        <f>(-5-((((-5*(-5/((-5/(((-5*(54.53--5))-(-5+((-5*54.53)*(((-5--5)+(54.53--5))+54.53))))-(-5+-5)))*-5)))/-5)--5)+(-5*(((54.53*(54.53-(-5/-5)))*(54.53-(54.53/(-5*54.53))))-(-5/-5)))))</f>
        <v>804930.021585</v>
      </c>
      <c r="C15454" t="n" s="0">
        <v>804930.0215850001</v>
      </c>
    </row>
    <row r="15455">
      <c r="A15455" t="n" s="0">
        <v>54.54</v>
      </c>
      <c r="B15455" t="n" s="0">
        <f>(-5-((((-5*(-5/((-5/(((-5*(54.54--5))-(-5+((-5*54.54)*(((-5--5)+(54.54--5))+54.54))))-(-5+-5)))*-5)))/-5)--5)+(-5*(((54.54*(54.54-(-5/-5)))*(54.54-(54.54/(-5*54.54))))-(-5/-5)))))</f>
        <v>805373.9801200001</v>
      </c>
      <c r="C15455" t="n" s="0">
        <v>805373.98012</v>
      </c>
    </row>
    <row r="15456">
      <c r="A15456" t="n" s="0">
        <v>54.55</v>
      </c>
      <c r="B15456" t="n" s="0">
        <f>(-5-((((-5*(-5/((-5/(((-5*(54.55--5))-(-5+((-5*54.55)*(((-5--5)+(54.55--5))+54.55))))-(-5+-5)))*-5)))/-5)--5)+(-5*(((54.55*(54.55-(-5/-5)))*(54.55-(54.55/(-5*54.55))))-(-5/-5)))))</f>
        <v>805818.1018749999</v>
      </c>
      <c r="C15456" t="n" s="0">
        <v>805818.1018749998</v>
      </c>
    </row>
    <row r="15457">
      <c r="A15457" t="n" s="0">
        <v>54.56</v>
      </c>
      <c r="B15457" t="n" s="0">
        <f>(-5-((((-5*(-5/((-5/(((-5*(54.56--5))-(-5+((-5*54.56)*(((-5--5)+(54.56--5))+54.56))))-(-5+-5)))*-5)))/-5)--5)+(-5*(((54.56*(54.56-(-5/-5)))*(54.56-(54.56/(-5*54.56))))-(-5/-5)))))</f>
        <v>806262.3868799999</v>
      </c>
      <c r="C15457" t="n" s="0">
        <v>806262.3868800002</v>
      </c>
    </row>
    <row r="15458">
      <c r="A15458" t="n" s="0">
        <v>54.57</v>
      </c>
      <c r="B15458" t="n" s="0">
        <f>(-5-((((-5*(-5/((-5/(((-5*(54.57--5))-(-5+((-5*54.57)*(((-5--5)+(54.57--5))+54.57))))-(-5+-5)))*-5)))/-5)--5)+(-5*(((54.57*(54.57-(-5/-5)))*(54.57-(54.57/(-5*54.57))))-(-5/-5)))))</f>
        <v>806706.835165</v>
      </c>
      <c r="C15458" t="n" s="0">
        <v>806706.8351649999</v>
      </c>
    </row>
    <row r="15459">
      <c r="A15459" t="n" s="0">
        <v>54.58</v>
      </c>
      <c r="B15459" t="n" s="0">
        <f>(-5-((((-5*(-5/((-5/(((-5*(54.58--5))-(-5+((-5*54.58)*(((-5--5)+(54.58--5))+54.58))))-(-5+-5)))*-5)))/-5)--5)+(-5*(((54.58*(54.58-(-5/-5)))*(54.58-(54.58/(-5*54.58))))-(-5/-5)))))</f>
        <v>807151.4467600001</v>
      </c>
      <c r="C15459" t="n" s="0">
        <v>807151.4467599998</v>
      </c>
    </row>
    <row r="15460">
      <c r="A15460" t="n" s="0">
        <v>54.59</v>
      </c>
      <c r="B15460" t="n" s="0">
        <f>(-5-((((-5*(-5/((-5/(((-5*(54.59--5))-(-5+((-5*54.59)*(((-5--5)+(54.59--5))+54.59))))-(-5+-5)))*-5)))/-5)--5)+(-5*(((54.59*(54.59-(-5/-5)))*(54.59-(54.59/(-5*54.59))))-(-5/-5)))))</f>
        <v>807596.2216950001</v>
      </c>
      <c r="C15460" t="n" s="0">
        <v>807596.2216950002</v>
      </c>
    </row>
    <row r="15461">
      <c r="A15461" t="n" s="0">
        <v>54.6</v>
      </c>
      <c r="B15461" t="n" s="0">
        <f>(-5-((((-5*(-5/((-5/(((-5*(54.6--5))-(-5+((-5*54.6)*(((-5--5)+(54.6--5))+54.6))))-(-5+-5)))*-5)))/-5)--5)+(-5*(((54.6*(54.6-(-5/-5)))*(54.6-(54.6/(-5*54.6))))-(-5/-5)))))</f>
        <v>808041.1599999999</v>
      </c>
      <c r="C15461" t="n" s="0">
        <v>808041.1600000001</v>
      </c>
    </row>
    <row r="15462">
      <c r="A15462" t="n" s="0">
        <v>54.61</v>
      </c>
      <c r="B15462" t="n" s="0">
        <f>(-5-((((-5*(-5/((-5/(((-5*(54.61--5))-(-5+((-5*54.61)*(((-5--5)+(54.61--5))+54.61))))-(-5+-5)))*-5)))/-5)--5)+(-5*(((54.61*(54.61-(-5/-5)))*(54.61-(54.61/(-5*54.61))))-(-5/-5)))))</f>
        <v>808486.2617050001</v>
      </c>
      <c r="C15462" t="n" s="0">
        <v>808486.261705</v>
      </c>
    </row>
    <row r="15463">
      <c r="A15463" t="n" s="0">
        <v>54.62</v>
      </c>
      <c r="B15463" t="n" s="0">
        <f>(-5-((((-5*(-5/((-5/(((-5*(54.62--5))-(-5+((-5*54.62)*(((-5--5)+(54.62--5))+54.62))))-(-5+-5)))*-5)))/-5)--5)+(-5*(((54.62*(54.62-(-5/-5)))*(54.62-(54.62/(-5*54.62))))-(-5/-5)))))</f>
        <v>808931.52684</v>
      </c>
      <c r="C15463" t="n" s="0">
        <v>808931.5268399998</v>
      </c>
    </row>
    <row r="15464">
      <c r="A15464" t="n" s="0">
        <v>54.63</v>
      </c>
      <c r="B15464" t="n" s="0">
        <f>(-5-((((-5*(-5/((-5/(((-5*(54.63--5))-(-5+((-5*54.63)*(((-5--5)+(54.63--5))+54.63))))-(-5+-5)))*-5)))/-5)--5)+(-5*(((54.63*(54.63-(-5/-5)))*(54.63-(54.63/(-5*54.63))))-(-5/-5)))))</f>
        <v>809376.955435</v>
      </c>
      <c r="C15464" t="n" s="0">
        <v>809376.9554350002</v>
      </c>
    </row>
    <row r="15465">
      <c r="A15465" t="n" s="0">
        <v>54.64</v>
      </c>
      <c r="B15465" t="n" s="0">
        <f>(-5-((((-5*(-5/((-5/(((-5*(54.64--5))-(-5+((-5*54.64)*(((-5--5)+(54.64--5))+54.64))))-(-5+-5)))*-5)))/-5)--5)+(-5*(((54.64*(54.64-(-5/-5)))*(54.64-(54.64/(-5*54.64))))-(-5/-5)))))</f>
        <v>809822.5475199999</v>
      </c>
      <c r="C15465" t="n" s="0">
        <v>809822.54752</v>
      </c>
    </row>
    <row r="15466">
      <c r="A15466" t="n" s="0">
        <v>54.65</v>
      </c>
      <c r="B15466" t="n" s="0">
        <f>(-5-((((-5*(-5/((-5/(((-5*(54.65--5))-(-5+((-5*54.65)*(((-5--5)+(54.65--5))+54.65))))-(-5+-5)))*-5)))/-5)--5)+(-5*(((54.65*(54.65-(-5/-5)))*(54.65-(54.65/(-5*54.65))))-(-5/-5)))))</f>
        <v>810268.303125</v>
      </c>
      <c r="C15466" t="n" s="0">
        <v>810268.3031249999</v>
      </c>
    </row>
    <row r="15467">
      <c r="A15467" t="n" s="0">
        <v>54.66</v>
      </c>
      <c r="B15467" t="n" s="0">
        <f>(-5-((((-5*(-5/((-5/(((-5*(54.66--5))-(-5+((-5*54.66)*(((-5--5)+(54.66--5))+54.66))))-(-5+-5)))*-5)))/-5)--5)+(-5*(((54.66*(54.66-(-5/-5)))*(54.66-(54.66/(-5*54.66))))-(-5/-5)))))</f>
        <v>810714.22228</v>
      </c>
      <c r="C15467" t="n" s="0">
        <v>810714.2222799998</v>
      </c>
    </row>
    <row r="15468">
      <c r="A15468" t="n" s="0">
        <v>54.67</v>
      </c>
      <c r="B15468" t="n" s="0">
        <f>(-5-((((-5*(-5/((-5/(((-5*(54.67--5))-(-5+((-5*54.67)*(((-5--5)+(54.67--5))+54.67))))-(-5+-5)))*-5)))/-5)--5)+(-5*(((54.67*(54.67-(-5/-5)))*(54.67-(54.67/(-5*54.67))))-(-5/-5)))))</f>
        <v>811160.3050149999</v>
      </c>
      <c r="C15468" t="n" s="0">
        <v>811160.305015</v>
      </c>
    </row>
    <row r="15469">
      <c r="A15469" t="n" s="0">
        <v>54.68</v>
      </c>
      <c r="B15469" t="n" s="0">
        <f>(-5-((((-5*(-5/((-5/(((-5*(54.68--5))-(-5+((-5*54.68)*(((-5--5)+(54.68--5))+54.68))))-(-5+-5)))*-5)))/-5)--5)+(-5*(((54.68*(54.68-(-5/-5)))*(54.68-(54.68/(-5*54.68))))-(-5/-5)))))</f>
        <v>811606.55136</v>
      </c>
      <c r="C15469" t="n" s="0">
        <v>811606.55136</v>
      </c>
    </row>
    <row r="15470">
      <c r="A15470" t="n" s="0">
        <v>54.69</v>
      </c>
      <c r="B15470" t="n" s="0">
        <f>(-5-((((-5*(-5/((-5/(((-5*(54.69--5))-(-5+((-5*54.69)*(((-5--5)+(54.69--5))+54.69))))-(-5+-5)))*-5)))/-5)--5)+(-5*(((54.69*(54.69-(-5/-5)))*(54.69-(54.69/(-5*54.69))))-(-5/-5)))))</f>
        <v>812052.961345</v>
      </c>
      <c r="C15470" t="n" s="0">
        <v>812052.9613449998</v>
      </c>
    </row>
    <row r="15471">
      <c r="A15471" t="n" s="0">
        <v>54.7</v>
      </c>
      <c r="B15471" t="n" s="0">
        <f>(-5-((((-5*(-5/((-5/(((-5*(54.7--5))-(-5+((-5*54.7)*(((-5--5)+(54.7--5))+54.7))))-(-5+-5)))*-5)))/-5)--5)+(-5*(((54.7*(54.7-(-5/-5)))*(54.7-(54.7/(-5*54.7))))-(-5/-5)))))</f>
        <v>812499.535</v>
      </c>
      <c r="C15471" t="n" s="0">
        <v>812499.5350000001</v>
      </c>
    </row>
    <row r="15472">
      <c r="A15472" t="n" s="0">
        <v>54.71</v>
      </c>
      <c r="B15472" t="n" s="0">
        <f>(-5-((((-5*(-5/((-5/(((-5*(54.71--5))-(-5+((-5*54.71)*(((-5--5)+(54.71--5))+54.71))))-(-5+-5)))*-5)))/-5)--5)+(-5*(((54.71*(54.71-(-5/-5)))*(54.71-(54.71/(-5*54.71))))-(-5/-5)))))</f>
        <v>812946.272355</v>
      </c>
      <c r="C15472" t="n" s="0">
        <v>812946.272355</v>
      </c>
    </row>
    <row r="15473">
      <c r="A15473" t="n" s="0">
        <v>54.72</v>
      </c>
      <c r="B15473" t="n" s="0">
        <f>(-5-((((-5*(-5/((-5/(((-5*(54.72--5))-(-5+((-5*54.72)*(((-5--5)+(54.72--5))+54.72))))-(-5+-5)))*-5)))/-5)--5)+(-5*(((54.72*(54.72-(-5/-5)))*(54.72-(54.72/(-5*54.72))))-(-5/-5)))))</f>
        <v>813393.17344</v>
      </c>
      <c r="C15473" t="n" s="0">
        <v>813393.1734399999</v>
      </c>
    </row>
    <row r="15474">
      <c r="A15474" t="n" s="0">
        <v>54.73</v>
      </c>
      <c r="B15474" t="n" s="0">
        <f>(-5-((((-5*(-5/((-5/(((-5*(54.73--5))-(-5+((-5*54.73)*(((-5--5)+(54.73--5))+54.73))))-(-5+-5)))*-5)))/-5)--5)+(-5*(((54.73*(54.73-(-5/-5)))*(54.73-(54.73/(-5*54.73))))-(-5/-5)))))</f>
        <v>813840.238285</v>
      </c>
      <c r="C15474" t="n" s="0">
        <v>813840.2382849997</v>
      </c>
    </row>
    <row r="15475">
      <c r="A15475" t="n" s="0">
        <v>54.74</v>
      </c>
      <c r="B15475" t="n" s="0">
        <f>(-5-((((-5*(-5/((-5/(((-5*(54.74--5))-(-5+((-5*54.74)*(((-5--5)+(54.74--5))+54.74))))-(-5+-5)))*-5)))/-5)--5)+(-5*(((54.74*(54.74-(-5/-5)))*(54.74-(54.74/(-5*54.74))))-(-5/-5)))))</f>
        <v>814287.46692</v>
      </c>
      <c r="C15475" t="n" s="0">
        <v>814287.4669200002</v>
      </c>
    </row>
    <row r="15476">
      <c r="A15476" t="n" s="0">
        <v>54.75</v>
      </c>
      <c r="B15476" t="n" s="0">
        <f>(-5-((((-5*(-5/((-5/(((-5*(54.75--5))-(-5+((-5*54.75)*(((-5--5)+(54.75--5))+54.75))))-(-5+-5)))*-5)))/-5)--5)+(-5*(((54.75*(54.75-(-5/-5)))*(54.75-(54.75/(-5*54.75))))-(-5/-5)))))</f>
        <v>814734.859375</v>
      </c>
      <c r="C15476" t="n" s="0">
        <v>814734.859375</v>
      </c>
    </row>
    <row r="15477">
      <c r="A15477" t="n" s="0">
        <v>54.76</v>
      </c>
      <c r="B15477" t="n" s="0">
        <f>(-5-((((-5*(-5/((-5/(((-5*(54.76--5))-(-5+((-5*54.76)*(((-5--5)+(54.76--5))+54.76))))-(-5+-5)))*-5)))/-5)--5)+(-5*(((54.76*(54.76-(-5/-5)))*(54.76-(54.76/(-5*54.76))))-(-5/-5)))))</f>
        <v>815182.41568</v>
      </c>
      <c r="C15477" t="n" s="0">
        <v>815182.41568</v>
      </c>
    </row>
    <row r="15478">
      <c r="A15478" t="n" s="0">
        <v>54.77</v>
      </c>
      <c r="B15478" t="n" s="0">
        <f>(-5-((((-5*(-5/((-5/(((-5*(54.77--5))-(-5+((-5*54.77)*(((-5--5)+(54.77--5))+54.77))))-(-5+-5)))*-5)))/-5)--5)+(-5*(((54.77*(54.77-(-5/-5)))*(54.77-(54.77/(-5*54.77))))-(-5/-5)))))</f>
        <v>815630.135865</v>
      </c>
      <c r="C15478" t="n" s="0">
        <v>815630.1358650001</v>
      </c>
    </row>
    <row r="15479">
      <c r="A15479" t="n" s="0">
        <v>54.78</v>
      </c>
      <c r="B15479" t="n" s="0">
        <f>(-5-((((-5*(-5/((-5/(((-5*(54.78--5))-(-5+((-5*54.78)*(((-5--5)+(54.78--5))+54.78))))-(-5+-5)))*-5)))/-5)--5)+(-5*(((54.78*(54.78-(-5/-5)))*(54.78-(54.78/(-5*54.78))))-(-5/-5)))))</f>
        <v>816078.0199600001</v>
      </c>
      <c r="C15479" t="n" s="0">
        <v>816078.01996</v>
      </c>
    </row>
    <row r="15480">
      <c r="A15480" t="n" s="0">
        <v>54.79</v>
      </c>
      <c r="B15480" t="n" s="0">
        <f>(-5-((((-5*(-5/((-5/(((-5*(54.79--5))-(-5+((-5*54.79)*(((-5--5)+(54.79--5))+54.79))))-(-5+-5)))*-5)))/-5)--5)+(-5*(((54.79*(54.79-(-5/-5)))*(54.79-(54.79/(-5*54.79))))-(-5/-5)))))</f>
        <v>816526.0679949999</v>
      </c>
      <c r="C15480" t="n" s="0">
        <v>816526.0679949998</v>
      </c>
    </row>
    <row r="15481">
      <c r="A15481" t="n" s="0">
        <v>54.8</v>
      </c>
      <c r="B15481" t="n" s="0">
        <f>(-5-((((-5*(-5/((-5/(((-5*(54.8--5))-(-5+((-5*54.8)*(((-5--5)+(54.8--5))+54.8))))-(-5+-5)))*-5)))/-5)--5)+(-5*(((54.8*(54.8-(-5/-5)))*(54.8-(54.8/(-5*54.8))))-(-5/-5)))))</f>
        <v>816974.28</v>
      </c>
      <c r="C15481" t="n" s="0">
        <v>816974.2799999999</v>
      </c>
    </row>
    <row r="15482">
      <c r="A15482" t="n" s="0">
        <v>54.81</v>
      </c>
      <c r="B15482" t="n" s="0">
        <f>(-5-((((-5*(-5/((-5/(((-5*(54.81--5))-(-5+((-5*54.81)*(((-5--5)+(54.81--5))+54.81))))-(-5+-5)))*-5)))/-5)--5)+(-5*(((54.81*(54.81-(-5/-5)))*(54.81-(54.81/(-5*54.81))))-(-5/-5)))))</f>
        <v>817422.656005</v>
      </c>
      <c r="C15482" t="n" s="0">
        <v>817422.6560050001</v>
      </c>
    </row>
    <row r="15483">
      <c r="A15483" t="n" s="0">
        <v>54.82</v>
      </c>
      <c r="B15483" t="n" s="0">
        <f>(-5-((((-5*(-5/((-5/(((-5*(54.82--5))-(-5+((-5*54.82)*(((-5--5)+(54.82--5))+54.82))))-(-5+-5)))*-5)))/-5)--5)+(-5*(((54.82*(54.82-(-5/-5)))*(54.82-(54.82/(-5*54.82))))-(-5/-5)))))</f>
        <v>817871.19604</v>
      </c>
      <c r="C15483" t="n" s="0">
        <v>817871.19604</v>
      </c>
    </row>
    <row r="15484">
      <c r="A15484" t="n" s="0">
        <v>54.83</v>
      </c>
      <c r="B15484" t="n" s="0">
        <f>(-5-((((-5*(-5/((-5/(((-5*(54.83--5))-(-5+((-5*54.83)*(((-5--5)+(54.83--5))+54.83))))-(-5+-5)))*-5)))/-5)--5)+(-5*(((54.83*(54.83-(-5/-5)))*(54.83-(54.83/(-5*54.83))))-(-5/-5)))))</f>
        <v>818319.900135</v>
      </c>
      <c r="C15484" t="n" s="0">
        <v>818319.9001349999</v>
      </c>
    </row>
    <row r="15485">
      <c r="A15485" t="n" s="0">
        <v>54.84</v>
      </c>
      <c r="B15485" t="n" s="0">
        <f>(-5-((((-5*(-5/((-5/(((-5*(54.84--5))-(-5+((-5*54.84)*(((-5--5)+(54.84--5))+54.84))))-(-5+-5)))*-5)))/-5)--5)+(-5*(((54.84*(54.84-(-5/-5)))*(54.84-(54.84/(-5*54.84))))-(-5/-5)))))</f>
        <v>818768.76832</v>
      </c>
      <c r="C15485" t="n" s="0">
        <v>818768.7683200001</v>
      </c>
    </row>
    <row r="15486">
      <c r="A15486" t="n" s="0">
        <v>54.85</v>
      </c>
      <c r="B15486" t="n" s="0">
        <f>(-5-((((-5*(-5/((-5/(((-5*(54.85--5))-(-5+((-5*54.85)*(((-5--5)+(54.85--5))+54.85))))-(-5+-5)))*-5)))/-5)--5)+(-5*(((54.85*(54.85-(-5/-5)))*(54.85-(54.85/(-5*54.85))))-(-5/-5)))))</f>
        <v>819217.8006249999</v>
      </c>
      <c r="C15486" t="n" s="0">
        <v>819217.8006250001</v>
      </c>
    </row>
    <row r="15487">
      <c r="A15487" t="n" s="0">
        <v>54.86</v>
      </c>
      <c r="B15487" t="n" s="0">
        <f>(-5-((((-5*(-5/((-5/(((-5*(54.86--5))-(-5+((-5*54.86)*(((-5--5)+(54.86--5))+54.86))))-(-5+-5)))*-5)))/-5)--5)+(-5*(((54.86*(54.86-(-5/-5)))*(54.86-(54.86/(-5*54.86))))-(-5/-5)))))</f>
        <v>819666.99708</v>
      </c>
      <c r="C15487" t="n" s="0">
        <v>819666.99708</v>
      </c>
    </row>
    <row r="15488">
      <c r="A15488" t="n" s="0">
        <v>54.87</v>
      </c>
      <c r="B15488" t="n" s="0">
        <f>(-5-((((-5*(-5/((-5/(((-5*(54.87--5))-(-5+((-5*54.87)*(((-5--5)+(54.87--5))+54.87))))-(-5+-5)))*-5)))/-5)--5)+(-5*(((54.87*(54.87-(-5/-5)))*(54.87-(54.87/(-5*54.87))))-(-5/-5)))))</f>
        <v>820116.3577149999</v>
      </c>
      <c r="C15488" t="n" s="0">
        <v>820116.3577149998</v>
      </c>
    </row>
    <row r="15489">
      <c r="A15489" t="n" s="0">
        <v>54.88</v>
      </c>
      <c r="B15489" t="n" s="0">
        <f>(-5-((((-5*(-5/((-5/(((-5*(54.88--5))-(-5+((-5*54.88)*(((-5--5)+(54.88--5))+54.88))))-(-5+-5)))*-5)))/-5)--5)+(-5*(((54.88*(54.88-(-5/-5)))*(54.88-(54.88/(-5*54.88))))-(-5/-5)))))</f>
        <v>820565.8825599999</v>
      </c>
      <c r="C15489" t="n" s="0">
        <v>820565.8825600002</v>
      </c>
    </row>
    <row r="15490">
      <c r="A15490" t="n" s="0">
        <v>54.89</v>
      </c>
      <c r="B15490" t="n" s="0">
        <f>(-5-((((-5*(-5/((-5/(((-5*(54.89--5))-(-5+((-5*54.89)*(((-5--5)+(54.89--5))+54.89))))-(-5+-5)))*-5)))/-5)--5)+(-5*(((54.89*(54.89-(-5/-5)))*(54.89-(54.89/(-5*54.89))))-(-5/-5)))))</f>
        <v>821015.571645</v>
      </c>
      <c r="C15490" t="n" s="0">
        <v>821015.571645</v>
      </c>
    </row>
    <row r="15491">
      <c r="A15491" t="n" s="0">
        <v>54.9</v>
      </c>
      <c r="B15491" t="n" s="0">
        <f>(-5-((((-5*(-5/((-5/(((-5*(54.9--5))-(-5+((-5*54.9)*(((-5--5)+(54.9--5))+54.9))))-(-5+-5)))*-5)))/-5)--5)+(-5*(((54.9*(54.9-(-5/-5)))*(54.9-(54.9/(-5*54.9))))-(-5/-5)))))</f>
        <v>821465.425</v>
      </c>
      <c r="C15491" t="n" s="0">
        <v>821465.4249999998</v>
      </c>
    </row>
    <row r="15492">
      <c r="A15492" t="n" s="0">
        <v>54.91</v>
      </c>
      <c r="B15492" t="n" s="0">
        <f>(-5-((((-5*(-5/((-5/(((-5*(54.91--5))-(-5+((-5*54.91)*(((-5--5)+(54.91--5))+54.91))))-(-5+-5)))*-5)))/-5)--5)+(-5*(((54.91*(54.91-(-5/-5)))*(54.91-(54.91/(-5*54.91))))-(-5/-5)))))</f>
        <v>821915.442655</v>
      </c>
      <c r="C15492" t="n" s="0">
        <v>821915.4426549999</v>
      </c>
    </row>
    <row r="15493">
      <c r="A15493" t="n" s="0">
        <v>54.92</v>
      </c>
      <c r="B15493" t="n" s="0">
        <f>(-5-((((-5*(-5/((-5/(((-5*(54.92--5))-(-5+((-5*54.92)*(((-5--5)+(54.92--5))+54.92))))-(-5+-5)))*-5)))/-5)--5)+(-5*(((54.92*(54.92-(-5/-5)))*(54.92-(54.92/(-5*54.92))))-(-5/-5)))))</f>
        <v>822365.6246399999</v>
      </c>
      <c r="C15493" t="n" s="0">
        <v>822365.62464</v>
      </c>
    </row>
    <row r="15494">
      <c r="A15494" t="n" s="0">
        <v>54.93</v>
      </c>
      <c r="B15494" t="n" s="0">
        <f>(-5-((((-5*(-5/((-5/(((-5*(54.93--5))-(-5+((-5*54.93)*(((-5--5)+(54.93--5))+54.93))))-(-5+-5)))*-5)))/-5)--5)+(-5*(((54.93*(54.93-(-5/-5)))*(54.93-(54.93/(-5*54.93))))-(-5/-5)))))</f>
        <v>822815.970985</v>
      </c>
      <c r="C15494" t="n" s="0">
        <v>822815.970985</v>
      </c>
    </row>
    <row r="15495">
      <c r="A15495" t="n" s="0">
        <v>54.94</v>
      </c>
      <c r="B15495" t="n" s="0">
        <f>(-5-((((-5*(-5/((-5/(((-5*(54.94--5))-(-5+((-5*54.94)*(((-5--5)+(54.94--5))+54.94))))-(-5+-5)))*-5)))/-5)--5)+(-5*(((54.94*(54.94-(-5/-5)))*(54.94-(54.94/(-5*54.94))))-(-5/-5)))))</f>
        <v>823266.48172</v>
      </c>
      <c r="C15495" t="n" s="0">
        <v>823266.4817199998</v>
      </c>
    </row>
    <row r="15496">
      <c r="A15496" t="n" s="0">
        <v>54.95</v>
      </c>
      <c r="B15496" t="n" s="0">
        <f>(-5-((((-5*(-5/((-5/(((-5*(54.95--5))-(-5+((-5*54.95)*(((-5--5)+(54.95--5))+54.95))))-(-5+-5)))*-5)))/-5)--5)+(-5*(((54.95*(54.95-(-5/-5)))*(54.95-(54.95/(-5*54.95))))-(-5/-5)))))</f>
        <v>823717.1568750001</v>
      </c>
      <c r="C15496" t="n" s="0">
        <v>823717.1568750001</v>
      </c>
    </row>
    <row r="15497">
      <c r="A15497" t="n" s="0">
        <v>54.96</v>
      </c>
      <c r="B15497" t="n" s="0">
        <f>(-5-((((-5*(-5/((-5/(((-5*(54.96--5))-(-5+((-5*54.96)*(((-5--5)+(54.96--5))+54.96))))-(-5+-5)))*-5)))/-5)--5)+(-5*(((54.96*(54.96-(-5/-5)))*(54.96-(54.96/(-5*54.96))))-(-5/-5)))))</f>
        <v>824167.99648</v>
      </c>
      <c r="C15497" t="n" s="0">
        <v>824167.99648</v>
      </c>
    </row>
    <row r="15498">
      <c r="A15498" t="n" s="0">
        <v>54.97</v>
      </c>
      <c r="B15498" t="n" s="0">
        <f>(-5-((((-5*(-5/((-5/(((-5*(54.97--5))-(-5+((-5*54.97)*(((-5--5)+(54.97--5))+54.97))))-(-5+-5)))*-5)))/-5)--5)+(-5*(((54.97*(54.97-(-5/-5)))*(54.97-(54.97/(-5*54.97))))-(-5/-5)))))</f>
        <v>824619.000565</v>
      </c>
      <c r="C15498" t="n" s="0">
        <v>824619.0005649999</v>
      </c>
    </row>
    <row r="15499">
      <c r="A15499" t="n" s="0">
        <v>54.98</v>
      </c>
      <c r="B15499" t="n" s="0">
        <f>(-5-((((-5*(-5/((-5/(((-5*(54.98--5))-(-5+((-5*54.98)*(((-5--5)+(54.98--5))+54.98))))-(-5+-5)))*-5)))/-5)--5)+(-5*(((54.98*(54.98-(-5/-5)))*(54.98-(54.98/(-5*54.98))))-(-5/-5)))))</f>
        <v>825070.1691599999</v>
      </c>
      <c r="C15499" t="n" s="0">
        <v>825070.1691599997</v>
      </c>
    </row>
    <row r="15500">
      <c r="A15500" t="n" s="0">
        <v>54.99</v>
      </c>
      <c r="B15500" t="n" s="0">
        <f>(-5-((((-5*(-5/((-5/(((-5*(54.99--5))-(-5+((-5*54.99)*(((-5--5)+(54.99--5))+54.99))))-(-5+-5)))*-5)))/-5)--5)+(-5*(((54.99*(54.99-(-5/-5)))*(54.99-(54.99/(-5*54.99))))-(-5/-5)))))</f>
        <v>825521.502295</v>
      </c>
      <c r="C15500" t="n" s="0">
        <v>825521.502295</v>
      </c>
    </row>
    <row r="15501">
      <c r="A15501" t="n" s="0">
        <v>55.0</v>
      </c>
      <c r="B15501" t="n" s="0">
        <f>(-5-((((-5*(-5/((-5/(((-5*(55--5))-(-5+((-5*55)*(((-5--5)+(55--5))+55))))-(-5+-5)))*-5)))/-5)--5)+(-5*(((55*(55-(-5/-5)))*(55-(55/(-5*55))))-(-5/-5)))))</f>
        <v>825973.0</v>
      </c>
      <c r="C15501" t="n" s="0">
        <v>825973.0</v>
      </c>
    </row>
    <row r="15502">
      <c r="A15502" t="n" s="0">
        <v>55.01</v>
      </c>
      <c r="B15502" t="n" s="0">
        <f>(-5-((((-5*(-5/((-5/(((-5*(55.01--5))-(-5+((-5*55.01)*(((-5--5)+(55.01--5))+55.01))))-(-5+-5)))*-5)))/-5)--5)+(-5*(((55.01*(55.01-(-5/-5)))*(55.01-(55.01/(-5*55.01))))-(-5/-5)))))</f>
        <v>826424.662305</v>
      </c>
      <c r="C15502" t="n" s="0">
        <v>826424.6623049999</v>
      </c>
    </row>
    <row r="15503">
      <c r="A15503" t="n" s="0">
        <v>55.02</v>
      </c>
      <c r="B15503" t="n" s="0">
        <f>(-5-((((-5*(-5/((-5/(((-5*(55.02--5))-(-5+((-5*55.02)*(((-5--5)+(55.02--5))+55.02))))-(-5+-5)))*-5)))/-5)--5)+(-5*(((55.02*(55.02-(-5/-5)))*(55.02-(55.02/(-5*55.02))))-(-5/-5)))))</f>
        <v>826876.48924</v>
      </c>
      <c r="C15503" t="n" s="0">
        <v>826876.4892400003</v>
      </c>
    </row>
    <row r="15504">
      <c r="A15504" t="n" s="0">
        <v>55.03</v>
      </c>
      <c r="B15504" t="n" s="0">
        <f>(-5-((((-5*(-5/((-5/(((-5*(55.03--5))-(-5+((-5*55.03)*(((-5--5)+(55.03--5))+55.03))))-(-5+-5)))*-5)))/-5)--5)+(-5*(((55.03*(55.03-(-5/-5)))*(55.03-(55.03/(-5*55.03))))-(-5/-5)))))</f>
        <v>827328.4808349999</v>
      </c>
      <c r="C15504" t="n" s="0">
        <v>827328.480835</v>
      </c>
    </row>
    <row r="15505">
      <c r="A15505" t="n" s="0">
        <v>55.04</v>
      </c>
      <c r="B15505" t="n" s="0">
        <f>(-5-((((-5*(-5/((-5/(((-5*(55.04--5))-(-5+((-5*55.04)*(((-5--5)+(55.04--5))+55.04))))-(-5+-5)))*-5)))/-5)--5)+(-5*(((55.04*(55.04-(-5/-5)))*(55.04-(55.04/(-5*55.04))))-(-5/-5)))))</f>
        <v>827780.63712</v>
      </c>
      <c r="C15505" t="n" s="0">
        <v>827780.63712</v>
      </c>
    </row>
    <row r="15506">
      <c r="A15506" t="n" s="0">
        <v>55.05</v>
      </c>
      <c r="B15506" t="n" s="0">
        <f>(-5-((((-5*(-5/((-5/(((-5*(55.05--5))-(-5+((-5*55.05)*(((-5--5)+(55.05--5))+55.05))))-(-5+-5)))*-5)))/-5)--5)+(-5*(((55.05*(55.05-(-5/-5)))*(55.05-(55.05/(-5*55.05))))-(-5/-5)))))</f>
        <v>828232.958125</v>
      </c>
      <c r="C15506" t="n" s="0">
        <v>828232.9581249999</v>
      </c>
    </row>
    <row r="15507">
      <c r="A15507" t="n" s="0">
        <v>55.06</v>
      </c>
      <c r="B15507" t="n" s="0">
        <f>(-5-((((-5*(-5/((-5/(((-5*(55.06--5))-(-5+((-5*55.06)*(((-5--5)+(55.06--5))+55.06))))-(-5+-5)))*-5)))/-5)--5)+(-5*(((55.06*(55.06-(-5/-5)))*(55.06-(55.06/(-5*55.06))))-(-5/-5)))))</f>
        <v>828685.44388</v>
      </c>
      <c r="C15507" t="n" s="0">
        <v>828685.4438800003</v>
      </c>
    </row>
    <row r="15508">
      <c r="A15508" t="n" s="0">
        <v>55.07</v>
      </c>
      <c r="B15508" t="n" s="0">
        <f>(-5-((((-5*(-5/((-5/(((-5*(55.07--5))-(-5+((-5*55.07)*(((-5--5)+(55.07--5))+55.07))))-(-5+-5)))*-5)))/-5)--5)+(-5*(((55.07*(55.07-(-5/-5)))*(55.07-(55.07/(-5*55.07))))-(-5/-5)))))</f>
        <v>829138.094415</v>
      </c>
      <c r="C15508" t="n" s="0">
        <v>829138.0944149999</v>
      </c>
    </row>
    <row r="15509">
      <c r="A15509" t="n" s="0">
        <v>55.08</v>
      </c>
      <c r="B15509" t="n" s="0">
        <f>(-5-((((-5*(-5/((-5/(((-5*(55.08--5))-(-5+((-5*55.08)*(((-5--5)+(55.08--5))+55.08))))-(-5+-5)))*-5)))/-5)--5)+(-5*(((55.08*(55.08-(-5/-5)))*(55.08-(55.08/(-5*55.08))))-(-5/-5)))))</f>
        <v>829590.90976</v>
      </c>
      <c r="C15509" t="n" s="0">
        <v>829590.90976</v>
      </c>
    </row>
    <row r="15510">
      <c r="A15510" t="n" s="0">
        <v>55.09</v>
      </c>
      <c r="B15510" t="n" s="0">
        <f>(-5-((((-5*(-5/((-5/(((-5*(55.09--5))-(-5+((-5*55.09)*(((-5--5)+(55.09--5))+55.09))))-(-5+-5)))*-5)))/-5)--5)+(-5*(((55.09*(55.09-(-5/-5)))*(55.09-(55.09/(-5*55.09))))-(-5/-5)))))</f>
        <v>830043.889945</v>
      </c>
      <c r="C15510" t="n" s="0">
        <v>830043.8899450002</v>
      </c>
    </row>
    <row r="15511">
      <c r="A15511" t="n" s="0">
        <v>55.1</v>
      </c>
      <c r="B15511" t="n" s="0">
        <f>(-5-((((-5*(-5/((-5/(((-5*(55.1--5))-(-5+((-5*55.1)*(((-5--5)+(55.1--5))+55.1))))-(-5+-5)))*-5)))/-5)--5)+(-5*(((55.1*(55.1-(-5/-5)))*(55.1-(55.1/(-5*55.1))))-(-5/-5)))))</f>
        <v>830497.0349999999</v>
      </c>
      <c r="C15511" t="n" s="0">
        <v>830497.0350000001</v>
      </c>
    </row>
    <row r="15512">
      <c r="A15512" t="n" s="0">
        <v>55.11</v>
      </c>
      <c r="B15512" t="n" s="0">
        <f>(-5-((((-5*(-5/((-5/(((-5*(55.11--5))-(-5+((-5*55.11)*(((-5--5)+(55.11--5))+55.11))))-(-5+-5)))*-5)))/-5)--5)+(-5*(((55.11*(55.11-(-5/-5)))*(55.11-(55.11/(-5*55.11))))-(-5/-5)))))</f>
        <v>830950.344955</v>
      </c>
      <c r="C15512" t="n" s="0">
        <v>830950.3449549999</v>
      </c>
    </row>
    <row r="15513">
      <c r="A15513" t="n" s="0">
        <v>55.12</v>
      </c>
      <c r="B15513" t="n" s="0">
        <f>(-5-((((-5*(-5/((-5/(((-5*(55.12--5))-(-5+((-5*55.12)*(((-5--5)+(55.12--5))+55.12))))-(-5+-5)))*-5)))/-5)--5)+(-5*(((55.12*(55.12-(-5/-5)))*(55.12-(55.12/(-5*55.12))))-(-5/-5)))))</f>
        <v>831403.81984</v>
      </c>
      <c r="C15513" t="n" s="0">
        <v>831403.8198399998</v>
      </c>
    </row>
    <row r="15514">
      <c r="A15514" t="n" s="0">
        <v>55.13</v>
      </c>
      <c r="B15514" t="n" s="0">
        <f>(-5-((((-5*(-5/((-5/(((-5*(55.13--5))-(-5+((-5*55.13)*(((-5--5)+(55.13--5))+55.13))))-(-5+-5)))*-5)))/-5)--5)+(-5*(((55.13*(55.13-(-5/-5)))*(55.13-(55.13/(-5*55.13))))-(-5/-5)))))</f>
        <v>831857.459685</v>
      </c>
      <c r="C15514" t="n" s="0">
        <v>831857.4596850001</v>
      </c>
    </row>
    <row r="15515">
      <c r="A15515" t="n" s="0">
        <v>55.14</v>
      </c>
      <c r="B15515" t="n" s="0">
        <f>(-5-((((-5*(-5/((-5/(((-5*(55.14--5))-(-5+((-5*55.14)*(((-5--5)+(55.14--5))+55.14))))-(-5+-5)))*-5)))/-5)--5)+(-5*(((55.14*(55.14-(-5/-5)))*(55.14-(55.14/(-5*55.14))))-(-5/-5)))))</f>
        <v>832311.26452</v>
      </c>
      <c r="C15515" t="n" s="0">
        <v>832311.26452</v>
      </c>
    </row>
    <row r="15516">
      <c r="A15516" t="n" s="0">
        <v>55.15</v>
      </c>
      <c r="B15516" t="n" s="0">
        <f>(-5-((((-5*(-5/((-5/(((-5*(55.15--5))-(-5+((-5*55.15)*(((-5--5)+(55.15--5))+55.15))))-(-5+-5)))*-5)))/-5)--5)+(-5*(((55.15*(55.15-(-5/-5)))*(55.15-(55.15/(-5*55.15))))-(-5/-5)))))</f>
        <v>832765.234375</v>
      </c>
      <c r="C15516" t="n" s="0">
        <v>832765.2343749999</v>
      </c>
    </row>
    <row r="15517">
      <c r="A15517" t="n" s="0">
        <v>55.16</v>
      </c>
      <c r="B15517" t="n" s="0">
        <f>(-5-((((-5*(-5/((-5/(((-5*(55.16--5))-(-5+((-5*55.16)*(((-5--5)+(55.16--5))+55.16))))-(-5+-5)))*-5)))/-5)--5)+(-5*(((55.16*(55.16-(-5/-5)))*(55.16-(55.16/(-5*55.16))))-(-5/-5)))))</f>
        <v>833219.36928</v>
      </c>
      <c r="C15517" t="n" s="0">
        <v>833219.3692799998</v>
      </c>
    </row>
    <row r="15518">
      <c r="A15518" t="n" s="0">
        <v>55.17</v>
      </c>
      <c r="B15518" t="n" s="0">
        <f>(-5-((((-5*(-5/((-5/(((-5*(55.17--5))-(-5+((-5*55.17)*(((-5--5)+(55.17--5))+55.17))))-(-5+-5)))*-5)))/-5)--5)+(-5*(((55.17*(55.17-(-5/-5)))*(55.17-(55.17/(-5*55.17))))-(-5/-5)))))</f>
        <v>833673.669265</v>
      </c>
      <c r="C15518" t="n" s="0">
        <v>833673.6692650001</v>
      </c>
    </row>
    <row r="15519">
      <c r="A15519" t="n" s="0">
        <v>55.18</v>
      </c>
      <c r="B15519" t="n" s="0">
        <f>(-5-((((-5*(-5/((-5/(((-5*(55.18--5))-(-5+((-5*55.18)*(((-5--5)+(55.18--5))+55.18))))-(-5+-5)))*-5)))/-5)--5)+(-5*(((55.18*(55.18-(-5/-5)))*(55.18-(55.18/(-5*55.18))))-(-5/-5)))))</f>
        <v>834128.13436</v>
      </c>
      <c r="C15519" t="n" s="0">
        <v>834128.1343599999</v>
      </c>
    </row>
    <row r="15520">
      <c r="A15520" t="n" s="0">
        <v>55.19</v>
      </c>
      <c r="B15520" t="n" s="0">
        <f>(-5-((((-5*(-5/((-5/(((-5*(55.19--5))-(-5+((-5*55.19)*(((-5--5)+(55.19--5))+55.19))))-(-5+-5)))*-5)))/-5)--5)+(-5*(((55.19*(55.19-(-5/-5)))*(55.19-(55.19/(-5*55.19))))-(-5/-5)))))</f>
        <v>834582.764595</v>
      </c>
      <c r="C15520" t="n" s="0">
        <v>834582.7645949998</v>
      </c>
    </row>
    <row r="15521">
      <c r="A15521" t="n" s="0">
        <v>55.2</v>
      </c>
      <c r="B15521" t="n" s="0">
        <f>(-5-((((-5*(-5/((-5/(((-5*(55.2--5))-(-5+((-5*55.2)*(((-5--5)+(55.2--5))+55.2))))-(-5+-5)))*-5)))/-5)--5)+(-5*(((55.2*(55.2-(-5/-5)))*(55.2-(55.2/(-5*55.2))))-(-5/-5)))))</f>
        <v>835037.56</v>
      </c>
      <c r="C15521" t="n" s="0">
        <v>835037.5600000002</v>
      </c>
    </row>
    <row r="15522">
      <c r="A15522" t="n" s="0">
        <v>55.21</v>
      </c>
      <c r="B15522" t="n" s="0">
        <f>(-5-((((-5*(-5/((-5/(((-5*(55.21--5))-(-5+((-5*55.21)*(((-5--5)+(55.21--5))+55.21))))-(-5+-5)))*-5)))/-5)--5)+(-5*(((55.21*(55.21-(-5/-5)))*(55.21-(55.21/(-5*55.21))))-(-5/-5)))))</f>
        <v>835492.5206050001</v>
      </c>
      <c r="C15522" t="n" s="0">
        <v>835492.5206050001</v>
      </c>
    </row>
    <row r="15523">
      <c r="A15523" t="n" s="0">
        <v>55.22</v>
      </c>
      <c r="B15523" t="n" s="0">
        <f>(-5-((((-5*(-5/((-5/(((-5*(55.22--5))-(-5+((-5*55.22)*(((-5--5)+(55.22--5))+55.22))))-(-5+-5)))*-5)))/-5)--5)+(-5*(((55.22*(55.22-(-5/-5)))*(55.22-(55.22/(-5*55.22))))-(-5/-5)))))</f>
        <v>835947.6464399999</v>
      </c>
      <c r="C15523" t="n" s="0">
        <v>835947.64644</v>
      </c>
    </row>
    <row r="15524">
      <c r="A15524" t="n" s="0">
        <v>55.23</v>
      </c>
      <c r="B15524" t="n" s="0">
        <f>(-5-((((-5*(-5/((-5/(((-5*(55.23--5))-(-5+((-5*55.23)*(((-5--5)+(55.23--5))+55.23))))-(-5+-5)))*-5)))/-5)--5)+(-5*(((55.23*(55.23-(-5/-5)))*(55.23-(55.23/(-5*55.23))))-(-5/-5)))))</f>
        <v>836402.937535</v>
      </c>
      <c r="C15524" t="n" s="0">
        <v>836402.9375349998</v>
      </c>
    </row>
    <row r="15525">
      <c r="A15525" t="n" s="0">
        <v>55.24</v>
      </c>
      <c r="B15525" t="n" s="0">
        <f>(-5-((((-5*(-5/((-5/(((-5*(55.24--5))-(-5+((-5*55.24)*(((-5--5)+(55.24--5))+55.24))))-(-5+-5)))*-5)))/-5)--5)+(-5*(((55.24*(55.24-(-5/-5)))*(55.24-(55.24/(-5*55.24))))-(-5/-5)))))</f>
        <v>836858.3939200001</v>
      </c>
      <c r="C15525" t="n" s="0">
        <v>836858.39392</v>
      </c>
    </row>
    <row r="15526">
      <c r="A15526" t="n" s="0">
        <v>55.25</v>
      </c>
      <c r="B15526" t="n" s="0">
        <f>(-5-((((-5*(-5/((-5/(((-5*(55.25--5))-(-5+((-5*55.25)*(((-5--5)+(55.25--5))+55.25))))-(-5+-5)))*-5)))/-5)--5)+(-5*(((55.25*(55.25-(-5/-5)))*(55.25-(55.25/(-5*55.25))))-(-5/-5)))))</f>
        <v>837314.015625</v>
      </c>
      <c r="C15526" t="n" s="0">
        <v>837314.015625</v>
      </c>
    </row>
    <row r="15527">
      <c r="A15527" t="n" s="0">
        <v>55.26</v>
      </c>
      <c r="B15527" t="n" s="0">
        <f>(-5-((((-5*(-5/((-5/(((-5*(55.26--5))-(-5+((-5*55.26)*(((-5--5)+(55.26--5))+55.26))))-(-5+-5)))*-5)))/-5)--5)+(-5*(((55.26*(55.26-(-5/-5)))*(55.26-(55.26/(-5*55.26))))-(-5/-5)))))</f>
        <v>837769.80268</v>
      </c>
      <c r="C15527" t="n" s="0">
        <v>837769.8026800001</v>
      </c>
    </row>
    <row r="15528">
      <c r="A15528" t="n" s="0">
        <v>55.27</v>
      </c>
      <c r="B15528" t="n" s="0">
        <f>(-5-((((-5*(-5/((-5/(((-5*(55.27--5))-(-5+((-5*55.27)*(((-5--5)+(55.27--5))+55.27))))-(-5+-5)))*-5)))/-5)--5)+(-5*(((55.27*(55.27-(-5/-5)))*(55.27-(55.27/(-5*55.27))))-(-5/-5)))))</f>
        <v>838225.7551150001</v>
      </c>
      <c r="C15528" t="n" s="0">
        <v>838225.7551150003</v>
      </c>
    </row>
    <row r="15529">
      <c r="A15529" t="n" s="0">
        <v>55.28</v>
      </c>
      <c r="B15529" t="n" s="0">
        <f>(-5-((((-5*(-5/((-5/(((-5*(55.28--5))-(-5+((-5*55.28)*(((-5--5)+(55.28--5))+55.28))))-(-5+-5)))*-5)))/-5)--5)+(-5*(((55.28*(55.28-(-5/-5)))*(55.28-(55.28/(-5*55.28))))-(-5/-5)))))</f>
        <v>838681.87296</v>
      </c>
      <c r="C15529" t="n" s="0">
        <v>838681.87296</v>
      </c>
    </row>
    <row r="15530">
      <c r="A15530" t="n" s="0">
        <v>55.29</v>
      </c>
      <c r="B15530" t="n" s="0">
        <f>(-5-((((-5*(-5/((-5/(((-5*(55.29--5))-(-5+((-5*55.29)*(((-5--5)+(55.29--5))+55.29))))-(-5+-5)))*-5)))/-5)--5)+(-5*(((55.29*(55.29-(-5/-5)))*(55.29-(55.29/(-5*55.29))))-(-5/-5)))))</f>
        <v>839138.1562450001</v>
      </c>
      <c r="C15530" t="n" s="0">
        <v>839138.1562449998</v>
      </c>
    </row>
    <row r="15531">
      <c r="A15531" t="n" s="0">
        <v>55.3</v>
      </c>
      <c r="B15531" t="n" s="0">
        <f>(-5-((((-5*(-5/((-5/(((-5*(55.3--5))-(-5+((-5*55.3)*(((-5--5)+(55.3--5))+55.3))))-(-5+-5)))*-5)))/-5)--5)+(-5*(((55.3*(55.3-(-5/-5)))*(55.3-(55.3/(-5*55.3))))-(-5/-5)))))</f>
        <v>839594.605</v>
      </c>
      <c r="C15531" t="n" s="0">
        <v>839594.6049999999</v>
      </c>
    </row>
    <row r="15532">
      <c r="A15532" t="n" s="0">
        <v>55.31</v>
      </c>
      <c r="B15532" t="n" s="0">
        <f>(-5-((((-5*(-5/((-5/(((-5*(55.31--5))-(-5+((-5*55.31)*(((-5--5)+(55.31--5))+55.31))))-(-5+-5)))*-5)))/-5)--5)+(-5*(((55.31*(55.31-(-5/-5)))*(55.31-(55.31/(-5*55.31))))-(-5/-5)))))</f>
        <v>840051.219255</v>
      </c>
      <c r="C15532" t="n" s="0">
        <v>840051.2192550002</v>
      </c>
    </row>
    <row r="15533">
      <c r="A15533" t="n" s="0">
        <v>55.32</v>
      </c>
      <c r="B15533" t="n" s="0">
        <f>(-5-((((-5*(-5/((-5/(((-5*(55.32--5))-(-5+((-5*55.32)*(((-5--5)+(55.32--5))+55.32))))-(-5+-5)))*-5)))/-5)--5)+(-5*(((55.32*(55.32-(-5/-5)))*(55.32-(55.32/(-5*55.32))))-(-5/-5)))))</f>
        <v>840507.99904</v>
      </c>
      <c r="C15533" t="n" s="0">
        <v>840507.99904</v>
      </c>
    </row>
    <row r="15534">
      <c r="A15534" t="n" s="0">
        <v>55.33</v>
      </c>
      <c r="B15534" t="n" s="0">
        <f>(-5-((((-5*(-5/((-5/(((-5*(55.33--5))-(-5+((-5*55.33)*(((-5--5)+(55.33--5))+55.33))))-(-5+-5)))*-5)))/-5)--5)+(-5*(((55.33*(55.33-(-5/-5)))*(55.33-(55.33/(-5*55.33))))-(-5/-5)))))</f>
        <v>840964.944385</v>
      </c>
      <c r="C15534" t="n" s="0">
        <v>840964.944385</v>
      </c>
    </row>
    <row r="15535">
      <c r="A15535" t="n" s="0">
        <v>55.34</v>
      </c>
      <c r="B15535" t="n" s="0">
        <f>(-5-((((-5*(-5/((-5/(((-5*(55.34--5))-(-5+((-5*55.34)*(((-5--5)+(55.34--5))+55.34))))-(-5+-5)))*-5)))/-5)--5)+(-5*(((55.34*(55.34-(-5/-5)))*(55.34-(55.34/(-5*55.34))))-(-5/-5)))))</f>
        <v>841422.0553199999</v>
      </c>
      <c r="C15535" t="n" s="0">
        <v>841422.0553200002</v>
      </c>
    </row>
    <row r="15536">
      <c r="A15536" t="n" s="0">
        <v>55.35</v>
      </c>
      <c r="B15536" t="n" s="0">
        <f>(-5-((((-5*(-5/((-5/(((-5*(55.35--5))-(-5+((-5*55.35)*(((-5--5)+(55.35--5))+55.35))))-(-5+-5)))*-5)))/-5)--5)+(-5*(((55.35*(55.35-(-5/-5)))*(55.35-(55.35/(-5*55.35))))-(-5/-5)))))</f>
        <v>841879.331875</v>
      </c>
      <c r="C15536" t="n" s="0">
        <v>841879.331875</v>
      </c>
    </row>
    <row r="15537">
      <c r="A15537" t="n" s="0">
        <v>55.36</v>
      </c>
      <c r="B15537" t="n" s="0">
        <f>(-5-((((-5*(-5/((-5/(((-5*(55.36--5))-(-5+((-5*55.36)*(((-5--5)+(55.36--5))+55.36))))-(-5+-5)))*-5)))/-5)--5)+(-5*(((55.36*(55.36-(-5/-5)))*(55.36-(55.36/(-5*55.36))))-(-5/-5)))))</f>
        <v>842336.77408</v>
      </c>
      <c r="C15537" t="n" s="0">
        <v>842336.7740799999</v>
      </c>
    </row>
    <row r="15538">
      <c r="A15538" t="n" s="0">
        <v>55.37</v>
      </c>
      <c r="B15538" t="n" s="0">
        <f>(-5-((((-5*(-5/((-5/(((-5*(55.37--5))-(-5+((-5*55.37)*(((-5--5)+(55.37--5))+55.37))))-(-5+-5)))*-5)))/-5)--5)+(-5*(((55.37*(55.37-(-5/-5)))*(55.37-(55.37/(-5*55.37))))-(-5/-5)))))</f>
        <v>842794.381965</v>
      </c>
      <c r="C15538" t="n" s="0">
        <v>842794.3819649998</v>
      </c>
    </row>
    <row r="15539">
      <c r="A15539" t="n" s="0">
        <v>55.38</v>
      </c>
      <c r="B15539" t="n" s="0">
        <f>(-5-((((-5*(-5/((-5/(((-5*(55.38--5))-(-5+((-5*55.38)*(((-5--5)+(55.38--5))+55.38))))-(-5+-5)))*-5)))/-5)--5)+(-5*(((55.38*(55.38-(-5/-5)))*(55.38-(55.38/(-5*55.38))))-(-5/-5)))))</f>
        <v>843252.15556</v>
      </c>
      <c r="C15539" t="n" s="0">
        <v>843252.1555600002</v>
      </c>
    </row>
    <row r="15540">
      <c r="A15540" t="n" s="0">
        <v>55.39</v>
      </c>
      <c r="B15540" t="n" s="0">
        <f>(-5-((((-5*(-5/((-5/(((-5*(55.39--5))-(-5+((-5*55.39)*(((-5--5)+(55.39--5))+55.39))))-(-5+-5)))*-5)))/-5)--5)+(-5*(((55.39*(55.39-(-5/-5)))*(55.39-(55.39/(-5*55.39))))-(-5/-5)))))</f>
        <v>843710.094895</v>
      </c>
      <c r="C15540" t="n" s="0">
        <v>843710.0948950001</v>
      </c>
    </row>
    <row r="15541">
      <c r="A15541" t="n" s="0">
        <v>55.4</v>
      </c>
      <c r="B15541" t="n" s="0">
        <f>(-5-((((-5*(-5/((-5/(((-5*(55.4--5))-(-5+((-5*55.4)*(((-5--5)+(55.4--5))+55.4))))-(-5+-5)))*-5)))/-5)--5)+(-5*(((55.4*(55.4-(-5/-5)))*(55.4-(55.4/(-5*55.4))))-(-5/-5)))))</f>
        <v>844168.2000000001</v>
      </c>
      <c r="C15541" t="n" s="0">
        <v>844168.1999999998</v>
      </c>
    </row>
    <row r="15542">
      <c r="A15542" t="n" s="0">
        <v>55.41</v>
      </c>
      <c r="B15542" t="n" s="0">
        <f>(-5-((((-5*(-5/((-5/(((-5*(55.41--5))-(-5+((-5*55.41)*(((-5--5)+(55.41--5))+55.41))))-(-5+-5)))*-5)))/-5)--5)+(-5*(((55.41*(55.41-(-5/-5)))*(55.41-(55.41/(-5*55.41))))-(-5/-5)))))</f>
        <v>844626.470905</v>
      </c>
      <c r="C15542" t="n" s="0">
        <v>844626.4709049999</v>
      </c>
    </row>
    <row r="15543">
      <c r="A15543" t="n" s="0">
        <v>55.42</v>
      </c>
      <c r="B15543" t="n" s="0">
        <f>(-5-((((-5*(-5/((-5/(((-5*(55.42--5))-(-5+((-5*55.42)*(((-5--5)+(55.42--5))+55.42))))-(-5+-5)))*-5)))/-5)--5)+(-5*(((55.42*(55.42-(-5/-5)))*(55.42-(55.42/(-5*55.42))))-(-5/-5)))))</f>
        <v>845084.9076400001</v>
      </c>
      <c r="C15543" t="n" s="0">
        <v>845084.9076400001</v>
      </c>
    </row>
    <row r="15544">
      <c r="A15544" t="n" s="0">
        <v>55.43</v>
      </c>
      <c r="B15544" t="n" s="0">
        <f>(-5-((((-5*(-5/((-5/(((-5*(55.43--5))-(-5+((-5*55.43)*(((-5--5)+(55.43--5))+55.43))))-(-5+-5)))*-5)))/-5)--5)+(-5*(((55.43*(55.43-(-5/-5)))*(55.43-(55.43/(-5*55.43))))-(-5/-5)))))</f>
        <v>845543.510235</v>
      </c>
      <c r="C15544" t="n" s="0">
        <v>845543.510235</v>
      </c>
    </row>
    <row r="15545">
      <c r="A15545" t="n" s="0">
        <v>55.44</v>
      </c>
      <c r="B15545" t="n" s="0">
        <f>(-5-((((-5*(-5/((-5/(((-5*(55.44--5))-(-5+((-5*55.44)*(((-5--5)+(55.44--5))+55.44))))-(-5+-5)))*-5)))/-5)--5)+(-5*(((55.44*(55.44-(-5/-5)))*(55.44-(55.44/(-5*55.44))))-(-5/-5)))))</f>
        <v>846002.27872</v>
      </c>
      <c r="C15545" t="n" s="0">
        <v>846002.2787199998</v>
      </c>
    </row>
    <row r="15546">
      <c r="A15546" t="n" s="0">
        <v>55.45</v>
      </c>
      <c r="B15546" t="n" s="0">
        <f>(-5-((((-5*(-5/((-5/(((-5*(55.45--5))-(-5+((-5*55.45)*(((-5--5)+(55.45--5))+55.45))))-(-5+-5)))*-5)))/-5)--5)+(-5*(((55.45*(55.45-(-5/-5)))*(55.45-(55.45/(-5*55.45))))-(-5/-5)))))</f>
        <v>846461.213125</v>
      </c>
      <c r="C15546" t="n" s="0">
        <v>846461.213125</v>
      </c>
    </row>
    <row r="15547">
      <c r="A15547" t="n" s="0">
        <v>55.46</v>
      </c>
      <c r="B15547" t="n" s="0">
        <f>(-5-((((-5*(-5/((-5/(((-5*(55.46--5))-(-5+((-5*55.46)*(((-5--5)+(55.46--5))+55.46))))-(-5+-5)))*-5)))/-5)--5)+(-5*(((55.46*(55.46-(-5/-5)))*(55.46-(55.46/(-5*55.46))))-(-5/-5)))))</f>
        <v>846920.31348</v>
      </c>
      <c r="C15547" t="n" s="0">
        <v>846920.3134799999</v>
      </c>
    </row>
    <row r="15548">
      <c r="A15548" t="n" s="0">
        <v>55.47</v>
      </c>
      <c r="B15548" t="n" s="0">
        <f>(-5-((((-5*(-5/((-5/(((-5*(55.47--5))-(-5+((-5*55.47)*(((-5--5)+(55.47--5))+55.47))))-(-5+-5)))*-5)))/-5)--5)+(-5*(((55.47*(55.47-(-5/-5)))*(55.47-(55.47/(-5*55.47))))-(-5/-5)))))</f>
        <v>847379.5798150001</v>
      </c>
      <c r="C15548" t="n" s="0">
        <v>847379.579815</v>
      </c>
    </row>
    <row r="15549">
      <c r="A15549" t="n" s="0">
        <v>55.48</v>
      </c>
      <c r="B15549" t="n" s="0">
        <f>(-5-((((-5*(-5/((-5/(((-5*(55.48--5))-(-5+((-5*55.48)*(((-5--5)+(55.48--5))+55.48))))-(-5+-5)))*-5)))/-5)--5)+(-5*(((55.48*(55.48-(-5/-5)))*(55.48-(55.48/(-5*55.48))))-(-5/-5)))))</f>
        <v>847839.01216</v>
      </c>
      <c r="C15549" t="n" s="0">
        <v>847839.0121599998</v>
      </c>
    </row>
    <row r="15550">
      <c r="A15550" t="n" s="0">
        <v>55.49</v>
      </c>
      <c r="B15550" t="n" s="0">
        <f>(-5-((((-5*(-5/((-5/(((-5*(55.49--5))-(-5+((-5*55.49)*(((-5--5)+(55.49--5))+55.49))))-(-5+-5)))*-5)))/-5)--5)+(-5*(((55.49*(55.49-(-5/-5)))*(55.49-(55.49/(-5*55.49))))-(-5/-5)))))</f>
        <v>848298.610545</v>
      </c>
      <c r="C15550" t="n" s="0">
        <v>848298.6105450001</v>
      </c>
    </row>
    <row r="15551">
      <c r="A15551" t="n" s="0">
        <v>55.5</v>
      </c>
      <c r="B15551" t="n" s="0">
        <f>(-5-((((-5*(-5/((-5/(((-5*(55.5--5))-(-5+((-5*55.5)*(((-5--5)+(55.5--5))+55.5))))-(-5+-5)))*-5)))/-5)--5)+(-5*(((55.5*(55.5-(-5/-5)))*(55.5-(55.5/(-5*55.5))))-(-5/-5)))))</f>
        <v>848758.375</v>
      </c>
      <c r="C15551" t="n" s="0">
        <v>848758.375</v>
      </c>
    </row>
    <row r="15552">
      <c r="A15552" t="n" s="0">
        <v>55.51</v>
      </c>
      <c r="B15552" t="n" s="0">
        <f>(-5-((((-5*(-5/((-5/(((-5*(55.51--5))-(-5+((-5*55.51)*(((-5--5)+(55.51--5))+55.51))))-(-5+-5)))*-5)))/-5)--5)+(-5*(((55.51*(55.51-(-5/-5)))*(55.51-(55.51/(-5*55.51))))-(-5/-5)))))</f>
        <v>849218.305555</v>
      </c>
      <c r="C15552" t="n" s="0">
        <v>849218.305555</v>
      </c>
    </row>
    <row r="15553">
      <c r="A15553" t="n" s="0">
        <v>55.52</v>
      </c>
      <c r="B15553" t="n" s="0">
        <f>(-5-((((-5*(-5/((-5/(((-5*(55.52--5))-(-5+((-5*55.52)*(((-5--5)+(55.52--5))+55.52))))-(-5+-5)))*-5)))/-5)--5)+(-5*(((55.52*(55.52-(-5/-5)))*(55.52-(55.52/(-5*55.52))))-(-5/-5)))))</f>
        <v>849678.40224</v>
      </c>
      <c r="C15553" t="n" s="0">
        <v>849678.4022400002</v>
      </c>
    </row>
    <row r="15554">
      <c r="A15554" t="n" s="0">
        <v>55.53</v>
      </c>
      <c r="B15554" t="n" s="0">
        <f>(-5-((((-5*(-5/((-5/(((-5*(55.53--5))-(-5+((-5*55.53)*(((-5--5)+(55.53--5))+55.53))))-(-5+-5)))*-5)))/-5)--5)+(-5*(((55.53*(55.53-(-5/-5)))*(55.53-(55.53/(-5*55.53))))-(-5/-5)))))</f>
        <v>850138.665085</v>
      </c>
      <c r="C15554" t="n" s="0">
        <v>850138.6650850001</v>
      </c>
    </row>
    <row r="15555">
      <c r="A15555" t="n" s="0">
        <v>55.54</v>
      </c>
      <c r="B15555" t="n" s="0">
        <f>(-5-((((-5*(-5/((-5/(((-5*(55.54--5))-(-5+((-5*55.54)*(((-5--5)+(55.54--5))+55.54))))-(-5+-5)))*-5)))/-5)--5)+(-5*(((55.54*(55.54-(-5/-5)))*(55.54-(55.54/(-5*55.54))))-(-5/-5)))))</f>
        <v>850599.09412</v>
      </c>
      <c r="C15555" t="n" s="0">
        <v>850599.0941199999</v>
      </c>
    </row>
    <row r="15556">
      <c r="A15556" t="n" s="0">
        <v>55.55</v>
      </c>
      <c r="B15556" t="n" s="0">
        <f>(-5-((((-5*(-5/((-5/(((-5*(55.55--5))-(-5+((-5*55.55)*(((-5--5)+(55.55--5))+55.55))))-(-5+-5)))*-5)))/-5)--5)+(-5*(((55.55*(55.55-(-5/-5)))*(55.55-(55.55/(-5*55.55))))-(-5/-5)))))</f>
        <v>851059.689375</v>
      </c>
      <c r="C15556" t="n" s="0">
        <v>851059.689375</v>
      </c>
    </row>
    <row r="15557">
      <c r="A15557" t="n" s="0">
        <v>55.56</v>
      </c>
      <c r="B15557" t="n" s="0">
        <f>(-5-((((-5*(-5/((-5/(((-5*(55.56--5))-(-5+((-5*55.56)*(((-5--5)+(55.56--5))+55.56))))-(-5+-5)))*-5)))/-5)--5)+(-5*(((55.56*(55.56-(-5/-5)))*(55.56-(55.56/(-5*55.56))))-(-5/-5)))))</f>
        <v>851520.45088</v>
      </c>
      <c r="C15557" t="n" s="0">
        <v>851520.4508800001</v>
      </c>
    </row>
    <row r="15558">
      <c r="A15558" t="n" s="0">
        <v>55.57</v>
      </c>
      <c r="B15558" t="n" s="0">
        <f>(-5-((((-5*(-5/((-5/(((-5*(55.57--5))-(-5+((-5*55.57)*(((-5--5)+(55.57--5))+55.57))))-(-5+-5)))*-5)))/-5)--5)+(-5*(((55.57*(55.57-(-5/-5)))*(55.57-(55.57/(-5*55.57))))-(-5/-5)))))</f>
        <v>851981.3786650001</v>
      </c>
      <c r="C15558" t="n" s="0">
        <v>851981.378665</v>
      </c>
    </row>
    <row r="15559">
      <c r="A15559" t="n" s="0">
        <v>55.58</v>
      </c>
      <c r="B15559" t="n" s="0">
        <f>(-5-((((-5*(-5/((-5/(((-5*(55.58--5))-(-5+((-5*55.58)*(((-5--5)+(55.58--5))+55.58))))-(-5+-5)))*-5)))/-5)--5)+(-5*(((55.58*(55.58-(-5/-5)))*(55.58-(55.58/(-5*55.58))))-(-5/-5)))))</f>
        <v>852442.47276</v>
      </c>
      <c r="C15559" t="n" s="0">
        <v>852442.4727599999</v>
      </c>
    </row>
    <row r="15560">
      <c r="A15560" t="n" s="0">
        <v>55.59</v>
      </c>
      <c r="B15560" t="n" s="0">
        <f>(-5-((((-5*(-5/((-5/(((-5*(55.59--5))-(-5+((-5*55.59)*(((-5--5)+(55.59--5))+55.59))))-(-5+-5)))*-5)))/-5)--5)+(-5*(((55.59*(55.59-(-5/-5)))*(55.59-(55.59/(-5*55.59))))-(-5/-5)))))</f>
        <v>852903.7331950001</v>
      </c>
      <c r="C15560" t="n" s="0">
        <v>852903.7331950001</v>
      </c>
    </row>
    <row r="15561">
      <c r="A15561" t="n" s="0">
        <v>55.6</v>
      </c>
      <c r="B15561" t="n" s="0">
        <f>(-5-((((-5*(-5/((-5/(((-5*(55.6--5))-(-5+((-5*55.6)*(((-5--5)+(55.6--5))+55.6))))-(-5+-5)))*-5)))/-5)--5)+(-5*(((55.6*(55.6-(-5/-5)))*(55.6-(55.6/(-5*55.6))))-(-5/-5)))))</f>
        <v>853365.16</v>
      </c>
      <c r="C15561" t="n" s="0">
        <v>853365.1600000001</v>
      </c>
    </row>
    <row r="15562">
      <c r="A15562" t="n" s="0">
        <v>55.61</v>
      </c>
      <c r="B15562" t="n" s="0">
        <f>(-5-((((-5*(-5/((-5/(((-5*(55.61--5))-(-5+((-5*55.61)*(((-5--5)+(55.61--5))+55.61))))-(-5+-5)))*-5)))/-5)--5)+(-5*(((55.61*(55.61-(-5/-5)))*(55.61-(55.61/(-5*55.61))))-(-5/-5)))))</f>
        <v>853826.753205</v>
      </c>
      <c r="C15562" t="n" s="0">
        <v>853826.7532049998</v>
      </c>
    </row>
    <row r="15563">
      <c r="A15563" t="n" s="0">
        <v>55.62</v>
      </c>
      <c r="B15563" t="n" s="0">
        <f>(-5-((((-5*(-5/((-5/(((-5*(55.62--5))-(-5+((-5*55.62)*(((-5--5)+(55.62--5))+55.62))))-(-5+-5)))*-5)))/-5)--5)+(-5*(((55.62*(55.62-(-5/-5)))*(55.62-(55.62/(-5*55.62))))-(-5/-5)))))</f>
        <v>854288.51284</v>
      </c>
      <c r="C15563" t="n" s="0">
        <v>854288.51284</v>
      </c>
    </row>
    <row r="15564">
      <c r="A15564" t="n" s="0">
        <v>55.63</v>
      </c>
      <c r="B15564" t="n" s="0">
        <f>(-5-((((-5*(-5/((-5/(((-5*(55.63--5))-(-5+((-5*55.63)*(((-5--5)+(55.63--5))+55.63))))-(-5+-5)))*-5)))/-5)--5)+(-5*(((55.63*(55.63-(-5/-5)))*(55.63-(55.63/(-5*55.63))))-(-5/-5)))))</f>
        <v>854750.438935</v>
      </c>
      <c r="C15564" t="n" s="0">
        <v>854750.4389350001</v>
      </c>
    </row>
    <row r="15565">
      <c r="A15565" t="n" s="0">
        <v>55.64</v>
      </c>
      <c r="B15565" t="n" s="0">
        <f>(-5-((((-5*(-5/((-5/(((-5*(55.64--5))-(-5+((-5*55.64)*(((-5--5)+(55.64--5))+55.64))))-(-5+-5)))*-5)))/-5)--5)+(-5*(((55.64*(55.64-(-5/-5)))*(55.64-(55.64/(-5*55.64))))-(-5/-5)))))</f>
        <v>855212.53152</v>
      </c>
      <c r="C15565" t="n" s="0">
        <v>855212.5315200002</v>
      </c>
    </row>
    <row r="15566">
      <c r="A15566" t="n" s="0">
        <v>55.65</v>
      </c>
      <c r="B15566" t="n" s="0">
        <f>(-5-((((-5*(-5/((-5/(((-5*(55.65--5))-(-5+((-5*55.65)*(((-5--5)+(55.65--5))+55.65))))-(-5+-5)))*-5)))/-5)--5)+(-5*(((55.65*(55.65-(-5/-5)))*(55.65-(55.65/(-5*55.65))))-(-5/-5)))))</f>
        <v>855674.7906249999</v>
      </c>
      <c r="C15566" t="n" s="0">
        <v>855674.7906249999</v>
      </c>
    </row>
    <row r="15567">
      <c r="A15567" t="n" s="0">
        <v>55.66</v>
      </c>
      <c r="B15567" t="n" s="0">
        <f>(-5-((((-5*(-5/((-5/(((-5*(55.66--5))-(-5+((-5*55.66)*(((-5--5)+(55.66--5))+55.66))))-(-5+-5)))*-5)))/-5)--5)+(-5*(((55.66*(55.66-(-5/-5)))*(55.66-(55.66/(-5*55.66))))-(-5/-5)))))</f>
        <v>856137.21628</v>
      </c>
      <c r="C15567" t="n" s="0">
        <v>856137.2162799997</v>
      </c>
    </row>
    <row r="15568">
      <c r="A15568" t="n" s="0">
        <v>55.67</v>
      </c>
      <c r="B15568" t="n" s="0">
        <f>(-5-((((-5*(-5/((-5/(((-5*(55.67--5))-(-5+((-5*55.67)*(((-5--5)+(55.67--5))+55.67))))-(-5+-5)))*-5)))/-5)--5)+(-5*(((55.67*(55.67-(-5/-5)))*(55.67-(55.67/(-5*55.67))))-(-5/-5)))))</f>
        <v>856599.808515</v>
      </c>
      <c r="C15568" t="n" s="0">
        <v>856599.8085150002</v>
      </c>
    </row>
    <row r="15569">
      <c r="A15569" t="n" s="0">
        <v>55.68</v>
      </c>
      <c r="B15569" t="n" s="0">
        <f>(-5-((((-5*(-5/((-5/(((-5*(55.68--5))-(-5+((-5*55.68)*(((-5--5)+(55.68--5))+55.68))))-(-5+-5)))*-5)))/-5)--5)+(-5*(((55.68*(55.68-(-5/-5)))*(55.68-(55.68/(-5*55.68))))-(-5/-5)))))</f>
        <v>857062.56736</v>
      </c>
      <c r="C15569" t="n" s="0">
        <v>857062.56736</v>
      </c>
    </row>
    <row r="15570">
      <c r="A15570" t="n" s="0">
        <v>55.69</v>
      </c>
      <c r="B15570" t="n" s="0">
        <f>(-5-((((-5*(-5/((-5/(((-5*(55.69--5))-(-5+((-5*55.69)*(((-5--5)+(55.69--5))+55.69))))-(-5+-5)))*-5)))/-5)--5)+(-5*(((55.69*(55.69-(-5/-5)))*(55.69-(55.69/(-5*55.69))))-(-5/-5)))))</f>
        <v>857525.492845</v>
      </c>
      <c r="C15570" t="n" s="0">
        <v>857525.4928449999</v>
      </c>
    </row>
    <row r="15571">
      <c r="A15571" t="n" s="0">
        <v>55.7</v>
      </c>
      <c r="B15571" t="n" s="0">
        <f>(-5-((((-5*(-5/((-5/(((-5*(55.7--5))-(-5+((-5*55.7)*(((-5--5)+(55.7--5))+55.7))))-(-5+-5)))*-5)))/-5)--5)+(-5*(((55.7*(55.7-(-5/-5)))*(55.7-(55.7/(-5*55.7))))-(-5/-5)))))</f>
        <v>857988.5850000001</v>
      </c>
      <c r="C15571" t="n" s="0">
        <v>857988.5850000001</v>
      </c>
    </row>
    <row r="15572">
      <c r="A15572" t="n" s="0">
        <v>55.71</v>
      </c>
      <c r="B15572" t="n" s="0">
        <f>(-5-((((-5*(-5/((-5/(((-5*(55.71--5))-(-5+((-5*55.71)*(((-5--5)+(55.71--5))+55.71))))-(-5+-5)))*-5)))/-5)--5)+(-5*(((55.71*(55.71-(-5/-5)))*(55.71-(55.71/(-5*55.71))))-(-5/-5)))))</f>
        <v>858451.8438550001</v>
      </c>
      <c r="C15572" t="n" s="0">
        <v>858451.843855</v>
      </c>
    </row>
    <row r="15573">
      <c r="A15573" t="n" s="0">
        <v>55.72</v>
      </c>
      <c r="B15573" t="n" s="0">
        <f>(-5-((((-5*(-5/((-5/(((-5*(55.72--5))-(-5+((-5*55.72)*(((-5--5)+(55.72--5))+55.72))))-(-5+-5)))*-5)))/-5)--5)+(-5*(((55.72*(55.72-(-5/-5)))*(55.72-(55.72/(-5*55.72))))-(-5/-5)))))</f>
        <v>858915.2694400001</v>
      </c>
      <c r="C15573" t="n" s="0">
        <v>858915.26944</v>
      </c>
    </row>
    <row r="15574">
      <c r="A15574" t="n" s="0">
        <v>55.73</v>
      </c>
      <c r="B15574" t="n" s="0">
        <f>(-5-((((-5*(-5/((-5/(((-5*(55.73--5))-(-5+((-5*55.73)*(((-5--5)+(55.73--5))+55.73))))-(-5+-5)))*-5)))/-5)--5)+(-5*(((55.73*(55.73-(-5/-5)))*(55.73-(55.73/(-5*55.73))))-(-5/-5)))))</f>
        <v>859378.861785</v>
      </c>
      <c r="C15574" t="n" s="0">
        <v>859378.8617849998</v>
      </c>
    </row>
    <row r="15575">
      <c r="A15575" t="n" s="0">
        <v>55.74</v>
      </c>
      <c r="B15575" t="n" s="0">
        <f>(-5-((((-5*(-5/((-5/(((-5*(55.74--5))-(-5+((-5*55.74)*(((-5--5)+(55.74--5))+55.74))))-(-5+-5)))*-5)))/-5)--5)+(-5*(((55.74*(55.74-(-5/-5)))*(55.74-(55.74/(-5*55.74))))-(-5/-5)))))</f>
        <v>859842.62092</v>
      </c>
      <c r="C15575" t="n" s="0">
        <v>859842.62092</v>
      </c>
    </row>
    <row r="15576">
      <c r="A15576" t="n" s="0">
        <v>55.75</v>
      </c>
      <c r="B15576" t="n" s="0">
        <f>(-5-((((-5*(-5/((-5/(((-5*(55.75--5))-(-5+((-5*55.75)*(((-5--5)+(55.75--5))+55.75))))-(-5+-5)))*-5)))/-5)--5)+(-5*(((55.75*(55.75-(-5/-5)))*(55.75-(55.75/(-5*55.75))))-(-5/-5)))))</f>
        <v>860306.546875</v>
      </c>
      <c r="C15576" t="n" s="0">
        <v>860306.546875</v>
      </c>
    </row>
    <row r="15577">
      <c r="A15577" t="n" s="0">
        <v>55.76</v>
      </c>
      <c r="B15577" t="n" s="0">
        <f>(-5-((((-5*(-5/((-5/(((-5*(55.76--5))-(-5+((-5*55.76)*(((-5--5)+(55.76--5))+55.76))))-(-5+-5)))*-5)))/-5)--5)+(-5*(((55.76*(55.76-(-5/-5)))*(55.76-(55.76/(-5*55.76))))-(-5/-5)))))</f>
        <v>860770.63968</v>
      </c>
      <c r="C15577" t="n" s="0">
        <v>860770.6396799999</v>
      </c>
    </row>
    <row r="15578">
      <c r="A15578" t="n" s="0">
        <v>55.77</v>
      </c>
      <c r="B15578" t="n" s="0">
        <f>(-5-((((-5*(-5/((-5/(((-5*(55.77--5))-(-5+((-5*55.77)*(((-5--5)+(55.77--5))+55.77))))-(-5+-5)))*-5)))/-5)--5)+(-5*(((55.77*(55.77-(-5/-5)))*(55.77-(55.77/(-5*55.77))))-(-5/-5)))))</f>
        <v>861234.899365</v>
      </c>
      <c r="C15578" t="n" s="0">
        <v>861234.8993650002</v>
      </c>
    </row>
    <row r="15579">
      <c r="A15579" t="n" s="0">
        <v>55.78</v>
      </c>
      <c r="B15579" t="n" s="0">
        <f>(-5-((((-5*(-5/((-5/(((-5*(55.78--5))-(-5+((-5*55.78)*(((-5--5)+(55.78--5))+55.78))))-(-5+-5)))*-5)))/-5)--5)+(-5*(((55.78*(55.78-(-5/-5)))*(55.78-(55.78/(-5*55.78))))-(-5/-5)))))</f>
        <v>861699.32596</v>
      </c>
      <c r="C15579" t="n" s="0">
        <v>861699.3259599999</v>
      </c>
    </row>
    <row r="15580">
      <c r="A15580" t="n" s="0">
        <v>55.79</v>
      </c>
      <c r="B15580" t="n" s="0">
        <f>(-5-((((-5*(-5/((-5/(((-5*(55.79--5))-(-5+((-5*55.79)*(((-5--5)+(55.79--5))+55.79))))-(-5+-5)))*-5)))/-5)--5)+(-5*(((55.79*(55.79-(-5/-5)))*(55.79-(55.79/(-5*55.79))))-(-5/-5)))))</f>
        <v>862163.919495</v>
      </c>
      <c r="C15580" t="n" s="0">
        <v>862163.9194949999</v>
      </c>
    </row>
    <row r="15581">
      <c r="A15581" t="n" s="0">
        <v>55.8</v>
      </c>
      <c r="B15581" t="n" s="0">
        <f>(-5-((((-5*(-5/((-5/(((-5*(55.8--5))-(-5+((-5*55.8)*(((-5--5)+(55.8--5))+55.8))))-(-5+-5)))*-5)))/-5)--5)+(-5*(((55.8*(55.8-(-5/-5)))*(55.8-(55.8/(-5*55.8))))-(-5/-5)))))</f>
        <v>862628.6799999999</v>
      </c>
      <c r="C15581" t="n" s="0">
        <v>862628.6799999998</v>
      </c>
    </row>
    <row r="15582">
      <c r="A15582" t="n" s="0">
        <v>55.81</v>
      </c>
      <c r="B15582" t="n" s="0">
        <f>(-5-((((-5*(-5/((-5/(((-5*(55.81--5))-(-5+((-5*55.81)*(((-5--5)+(55.81--5))+55.81))))-(-5+-5)))*-5)))/-5)--5)+(-5*(((55.81*(55.81-(-5/-5)))*(55.81-(55.81/(-5*55.81))))-(-5/-5)))))</f>
        <v>863093.607505</v>
      </c>
      <c r="C15582" t="n" s="0">
        <v>863093.6075050001</v>
      </c>
    </row>
    <row r="15583">
      <c r="A15583" t="n" s="0">
        <v>55.82</v>
      </c>
      <c r="B15583" t="n" s="0">
        <f>(-5-((((-5*(-5/((-5/(((-5*(55.82--5))-(-5+((-5*55.82)*(((-5--5)+(55.82--5))+55.82))))-(-5+-5)))*-5)))/-5)--5)+(-5*(((55.82*(55.82-(-5/-5)))*(55.82-(55.82/(-5*55.82))))-(-5/-5)))))</f>
        <v>863558.70204</v>
      </c>
      <c r="C15583" t="n" s="0">
        <v>863558.70204</v>
      </c>
    </row>
    <row r="15584">
      <c r="A15584" t="n" s="0">
        <v>55.83</v>
      </c>
      <c r="B15584" t="n" s="0">
        <f>(-5-((((-5*(-5/((-5/(((-5*(55.83--5))-(-5+((-5*55.83)*(((-5--5)+(55.83--5))+55.83))))-(-5+-5)))*-5)))/-5)--5)+(-5*(((55.83*(55.83-(-5/-5)))*(55.83-(55.83/(-5*55.83))))-(-5/-5)))))</f>
        <v>864023.9636349999</v>
      </c>
      <c r="C15584" t="n" s="0">
        <v>864023.9636349999</v>
      </c>
    </row>
    <row r="15585">
      <c r="A15585" t="n" s="0">
        <v>55.84</v>
      </c>
      <c r="B15585" t="n" s="0">
        <f>(-5-((((-5*(-5/((-5/(((-5*(55.84--5))-(-5+((-5*55.84)*(((-5--5)+(55.84--5))+55.84))))-(-5+-5)))*-5)))/-5)--5)+(-5*(((55.84*(55.84-(-5/-5)))*(55.84-(55.84/(-5*55.84))))-(-5/-5)))))</f>
        <v>864489.39232</v>
      </c>
      <c r="C15585" t="n" s="0">
        <v>864489.3923200002</v>
      </c>
    </row>
    <row r="15586">
      <c r="A15586" t="n" s="0">
        <v>55.85</v>
      </c>
      <c r="B15586" t="n" s="0">
        <f>(-5-((((-5*(-5/((-5/(((-5*(55.85--5))-(-5+((-5*55.85)*(((-5--5)+(55.85--5))+55.85))))-(-5+-5)))*-5)))/-5)--5)+(-5*(((55.85*(55.85-(-5/-5)))*(55.85-(55.85/(-5*55.85))))-(-5/-5)))))</f>
        <v>864954.9881249999</v>
      </c>
      <c r="C15586" t="n" s="0">
        <v>864954.9881250001</v>
      </c>
    </row>
    <row r="15587">
      <c r="A15587" t="n" s="0">
        <v>55.86</v>
      </c>
      <c r="B15587" t="n" s="0">
        <f>(-5-((((-5*(-5/((-5/(((-5*(55.86--5))-(-5+((-5*55.86)*(((-5--5)+(55.86--5))+55.86))))-(-5+-5)))*-5)))/-5)--5)+(-5*(((55.86*(55.86-(-5/-5)))*(55.86-(55.86/(-5*55.86))))-(-5/-5)))))</f>
        <v>865420.7510800001</v>
      </c>
      <c r="C15587" t="n" s="0">
        <v>865420.75108</v>
      </c>
    </row>
    <row r="15588">
      <c r="A15588" t="n" s="0">
        <v>55.87</v>
      </c>
      <c r="B15588" t="n" s="0">
        <f>(-5-((((-5*(-5/((-5/(((-5*(55.87--5))-(-5+((-5*55.87)*(((-5--5)+(55.87--5))+55.87))))-(-5+-5)))*-5)))/-5)--5)+(-5*(((55.87*(55.87-(-5/-5)))*(55.87-(55.87/(-5*55.87))))-(-5/-5)))))</f>
        <v>865886.681215</v>
      </c>
      <c r="C15588" t="n" s="0">
        <v>865886.681215</v>
      </c>
    </row>
    <row r="15589">
      <c r="A15589" t="n" s="0">
        <v>55.88</v>
      </c>
      <c r="B15589" t="n" s="0">
        <f>(-5-((((-5*(-5/((-5/(((-5*(55.88--5))-(-5+((-5*55.88)*(((-5--5)+(55.88--5))+55.88))))-(-5+-5)))*-5)))/-5)--5)+(-5*(((55.88*(55.88-(-5/-5)))*(55.88-(55.88/(-5*55.88))))-(-5/-5)))))</f>
        <v>866352.77856</v>
      </c>
      <c r="C15589" t="n" s="0">
        <v>866352.7785600002</v>
      </c>
    </row>
    <row r="15590">
      <c r="A15590" t="n" s="0">
        <v>55.89</v>
      </c>
      <c r="B15590" t="n" s="0">
        <f>(-5-((((-5*(-5/((-5/(((-5*(55.89--5))-(-5+((-5*55.89)*(((-5--5)+(55.89--5))+55.89))))-(-5+-5)))*-5)))/-5)--5)+(-5*(((55.89*(55.89-(-5/-5)))*(55.89-(55.89/(-5*55.89))))-(-5/-5)))))</f>
        <v>866819.043145</v>
      </c>
      <c r="C15590" t="n" s="0">
        <v>866819.0431450001</v>
      </c>
    </row>
    <row r="15591">
      <c r="A15591" t="n" s="0">
        <v>55.9</v>
      </c>
      <c r="B15591" t="n" s="0">
        <f>(-5-((((-5*(-5/((-5/(((-5*(55.9--5))-(-5+((-5*55.9)*(((-5--5)+(55.9--5))+55.9))))-(-5+-5)))*-5)))/-5)--5)+(-5*(((55.9*(55.9-(-5/-5)))*(55.9-(55.9/(-5*55.9))))-(-5/-5)))))</f>
        <v>867285.475</v>
      </c>
      <c r="C15591" t="n" s="0">
        <v>867285.4749999999</v>
      </c>
    </row>
    <row r="15592">
      <c r="A15592" t="n" s="0">
        <v>55.91</v>
      </c>
      <c r="B15592" t="n" s="0">
        <f>(-5-((((-5*(-5/((-5/(((-5*(55.91--5))-(-5+((-5*55.91)*(((-5--5)+(55.91--5))+55.91))))-(-5+-5)))*-5)))/-5)--5)+(-5*(((55.91*(55.91-(-5/-5)))*(55.91-(55.91/(-5*55.91))))-(-5/-5)))))</f>
        <v>867752.0741549999</v>
      </c>
      <c r="C15592" t="n" s="0">
        <v>867752.0741549998</v>
      </c>
    </row>
    <row r="15593">
      <c r="A15593" t="n" s="0">
        <v>55.92</v>
      </c>
      <c r="B15593" t="n" s="0">
        <f>(-5-((((-5*(-5/((-5/(((-5*(55.92--5))-(-5+((-5*55.92)*(((-5--5)+(55.92--5))+55.92))))-(-5+-5)))*-5)))/-5)--5)+(-5*(((55.92*(55.92-(-5/-5)))*(55.92-(55.92/(-5*55.92))))-(-5/-5)))))</f>
        <v>868218.8406400001</v>
      </c>
      <c r="C15593" t="n" s="0">
        <v>868218.8406400001</v>
      </c>
    </row>
    <row r="15594">
      <c r="A15594" t="n" s="0">
        <v>55.93</v>
      </c>
      <c r="B15594" t="n" s="0">
        <f>(-5-((((-5*(-5/((-5/(((-5*(55.93--5))-(-5+((-5*55.93)*(((-5--5)+(55.93--5))+55.93))))-(-5+-5)))*-5)))/-5)--5)+(-5*(((55.93*(55.93-(-5/-5)))*(55.93-(55.93/(-5*55.93))))-(-5/-5)))))</f>
        <v>868685.7744850001</v>
      </c>
      <c r="C15594" t="n" s="0">
        <v>868685.7744850001</v>
      </c>
    </row>
    <row r="15595">
      <c r="A15595" t="n" s="0">
        <v>55.94</v>
      </c>
      <c r="B15595" t="n" s="0">
        <f>(-5-((((-5*(-5/((-5/(((-5*(55.94--5))-(-5+((-5*55.94)*(((-5--5)+(55.94--5))+55.94))))-(-5+-5)))*-5)))/-5)--5)+(-5*(((55.94*(55.94-(-5/-5)))*(55.94-(55.94/(-5*55.94))))-(-5/-5)))))</f>
        <v>869152.8757199999</v>
      </c>
      <c r="C15595" t="n" s="0">
        <v>869152.8757199998</v>
      </c>
    </row>
    <row r="15596">
      <c r="A15596" t="n" s="0">
        <v>55.95</v>
      </c>
      <c r="B15596" t="n" s="0">
        <f>(-5-((((-5*(-5/((-5/(((-5*(55.95--5))-(-5+((-5*55.95)*(((-5--5)+(55.95--5))+55.95))))-(-5+-5)))*-5)))/-5)--5)+(-5*(((55.95*(55.95-(-5/-5)))*(55.95-(55.95/(-5*55.95))))-(-5/-5)))))</f>
        <v>869620.144375</v>
      </c>
      <c r="C15596" t="n" s="0">
        <v>869620.144375</v>
      </c>
    </row>
    <row r="15597">
      <c r="A15597" t="n" s="0">
        <v>55.96</v>
      </c>
      <c r="B15597" t="n" s="0">
        <f>(-5-((((-5*(-5/((-5/(((-5*(55.96--5))-(-5+((-5*55.96)*(((-5--5)+(55.96--5))+55.96))))-(-5+-5)))*-5)))/-5)--5)+(-5*(((55.96*(55.96-(-5/-5)))*(55.96-(55.96/(-5*55.96))))-(-5/-5)))))</f>
        <v>870087.58048</v>
      </c>
      <c r="C15597" t="n" s="0">
        <v>870087.5804800001</v>
      </c>
    </row>
    <row r="15598">
      <c r="A15598" t="n" s="0">
        <v>55.97</v>
      </c>
      <c r="B15598" t="n" s="0">
        <f>(-5-((((-5*(-5/((-5/(((-5*(55.97--5))-(-5+((-5*55.97)*(((-5--5)+(55.97--5))+55.97))))-(-5+-5)))*-5)))/-5)--5)+(-5*(((55.97*(55.97-(-5/-5)))*(55.97-(55.97/(-5*55.97))))-(-5/-5)))))</f>
        <v>870555.184065</v>
      </c>
      <c r="C15598" t="n" s="0">
        <v>870555.184065</v>
      </c>
    </row>
    <row r="15599">
      <c r="A15599" t="n" s="0">
        <v>55.98</v>
      </c>
      <c r="B15599" t="n" s="0">
        <f>(-5-((((-5*(-5/((-5/(((-5*(55.98--5))-(-5+((-5*55.98)*(((-5--5)+(55.98--5))+55.98))))-(-5+-5)))*-5)))/-5)--5)+(-5*(((55.98*(55.98-(-5/-5)))*(55.98-(55.98/(-5*55.98))))-(-5/-5)))))</f>
        <v>871022.95516</v>
      </c>
      <c r="C15599" t="n" s="0">
        <v>871022.9551599998</v>
      </c>
    </row>
    <row r="15600">
      <c r="A15600" t="n" s="0">
        <v>55.99</v>
      </c>
      <c r="B15600" t="n" s="0">
        <f>(-5-((((-5*(-5/((-5/(((-5*(55.99--5))-(-5+((-5*55.99)*(((-5--5)+(55.99--5))+55.99))))-(-5+-5)))*-5)))/-5)--5)+(-5*(((55.99*(55.99-(-5/-5)))*(55.99-(55.99/(-5*55.99))))-(-5/-5)))))</f>
        <v>871490.8937949999</v>
      </c>
      <c r="C15600" t="n" s="0">
        <v>871490.893795</v>
      </c>
    </row>
    <row r="15601">
      <c r="A15601" t="n" s="0">
        <v>56.0</v>
      </c>
      <c r="B15601" t="n" s="0">
        <f>(-5-((((-5*(-5/((-5/(((-5*(56--5))-(-5+((-5*56)*(((-5--5)+(56--5))+56))))-(-5+-5)))*-5)))/-5)--5)+(-5*(((56*(56-(-5/-5)))*(56-(56/(-5*56))))-(-5/-5)))))</f>
        <v>871959.0</v>
      </c>
      <c r="C15601" t="n" s="0">
        <v>871959.0</v>
      </c>
    </row>
    <row r="15602">
      <c r="A15602" t="n" s="0">
        <v>56.01</v>
      </c>
      <c r="B15602" t="n" s="0">
        <f>(-5-((((-5*(-5/((-5/(((-5*(56.01--5))-(-5+((-5*56.01)*(((-5--5)+(56.01--5))+56.01))))-(-5+-5)))*-5)))/-5)--5)+(-5*(((56.01*(56.01-(-5/-5)))*(56.01-(56.01/(-5*56.01))))-(-5/-5)))))</f>
        <v>872427.273805</v>
      </c>
      <c r="C15602" t="n" s="0">
        <v>872427.2738049999</v>
      </c>
    </row>
    <row r="15603">
      <c r="A15603" t="n" s="0">
        <v>56.02</v>
      </c>
      <c r="B15603" t="n" s="0">
        <f>(-5-((((-5*(-5/((-5/(((-5*(56.02--5))-(-5+((-5*56.02)*(((-5--5)+(56.02--5))+56.02))))-(-5+-5)))*-5)))/-5)--5)+(-5*(((56.02*(56.02-(-5/-5)))*(56.02-(56.02/(-5*56.02))))-(-5/-5)))))</f>
        <v>872895.7152399999</v>
      </c>
      <c r="C15603" t="n" s="0">
        <v>872895.7152400002</v>
      </c>
    </row>
    <row r="15604">
      <c r="A15604" t="n" s="0">
        <v>56.03</v>
      </c>
      <c r="B15604" t="n" s="0">
        <f>(-5-((((-5*(-5/((-5/(((-5*(56.03--5))-(-5+((-5*56.03)*(((-5--5)+(56.03--5))+56.03))))-(-5+-5)))*-5)))/-5)--5)+(-5*(((56.03*(56.03-(-5/-5)))*(56.03-(56.03/(-5*56.03))))-(-5/-5)))))</f>
        <v>873364.324335</v>
      </c>
      <c r="C15604" t="n" s="0">
        <v>873364.324335</v>
      </c>
    </row>
    <row r="15605">
      <c r="A15605" t="n" s="0">
        <v>56.04</v>
      </c>
      <c r="B15605" t="n" s="0">
        <f>(-5-((((-5*(-5/((-5/(((-5*(56.04--5))-(-5+((-5*56.04)*(((-5--5)+(56.04--5))+56.04))))-(-5+-5)))*-5)))/-5)--5)+(-5*(((56.04*(56.04-(-5/-5)))*(56.04-(56.04/(-5*56.04))))-(-5/-5)))))</f>
        <v>873833.10112</v>
      </c>
      <c r="C15605" t="n" s="0">
        <v>873833.10112</v>
      </c>
    </row>
    <row r="15606">
      <c r="A15606" t="n" s="0">
        <v>56.05</v>
      </c>
      <c r="B15606" t="n" s="0">
        <f>(-5-((((-5*(-5/((-5/(((-5*(56.05--5))-(-5+((-5*56.05)*(((-5--5)+(56.05--5))+56.05))))-(-5+-5)))*-5)))/-5)--5)+(-5*(((56.05*(56.05-(-5/-5)))*(56.05-(56.05/(-5*56.05))))-(-5/-5)))))</f>
        <v>874302.045625</v>
      </c>
      <c r="C15606" t="n" s="0">
        <v>874302.0456249999</v>
      </c>
    </row>
    <row r="15607">
      <c r="A15607" t="n" s="0">
        <v>56.06</v>
      </c>
      <c r="B15607" t="n" s="0">
        <f>(-5-((((-5*(-5/((-5/(((-5*(56.06--5))-(-5+((-5*56.06)*(((-5--5)+(56.06--5))+56.06))))-(-5+-5)))*-5)))/-5)--5)+(-5*(((56.06*(56.06-(-5/-5)))*(56.06-(56.06/(-5*56.06))))-(-5/-5)))))</f>
        <v>874771.1578800001</v>
      </c>
      <c r="C15607" t="n" s="0">
        <v>874771.1578800002</v>
      </c>
    </row>
    <row r="15608">
      <c r="A15608" t="n" s="0">
        <v>56.07</v>
      </c>
      <c r="B15608" t="n" s="0">
        <f>(-5-((((-5*(-5/((-5/(((-5*(56.07--5))-(-5+((-5*56.07)*(((-5--5)+(56.07--5))+56.07))))-(-5+-5)))*-5)))/-5)--5)+(-5*(((56.07*(56.07-(-5/-5)))*(56.07-(56.07/(-5*56.07))))-(-5/-5)))))</f>
        <v>875240.437915</v>
      </c>
      <c r="C15608" t="n" s="0">
        <v>875240.4379149999</v>
      </c>
    </row>
    <row r="15609">
      <c r="A15609" t="n" s="0">
        <v>56.08</v>
      </c>
      <c r="B15609" t="n" s="0">
        <f>(-5-((((-5*(-5/((-5/(((-5*(56.08--5))-(-5+((-5*56.08)*(((-5--5)+(56.08--5))+56.08))))-(-5+-5)))*-5)))/-5)--5)+(-5*(((56.08*(56.08-(-5/-5)))*(56.08-(56.08/(-5*56.08))))-(-5/-5)))))</f>
        <v>875709.88576</v>
      </c>
      <c r="C15609" t="n" s="0">
        <v>875709.8857599999</v>
      </c>
    </row>
    <row r="15610">
      <c r="A15610" t="n" s="0">
        <v>56.09</v>
      </c>
      <c r="B15610" t="n" s="0">
        <f>(-5-((((-5*(-5/((-5/(((-5*(56.09--5))-(-5+((-5*56.09)*(((-5--5)+(56.09--5))+56.09))))-(-5+-5)))*-5)))/-5)--5)+(-5*(((56.09*(56.09-(-5/-5)))*(56.09-(56.09/(-5*56.09))))-(-5/-5)))))</f>
        <v>876179.501445</v>
      </c>
      <c r="C15610" t="n" s="0">
        <v>876179.5014450003</v>
      </c>
    </row>
    <row r="15611">
      <c r="A15611" t="n" s="0">
        <v>56.1</v>
      </c>
      <c r="B15611" t="n" s="0">
        <f>(-5-((((-5*(-5/((-5/(((-5*(56.1--5))-(-5+((-5*56.1)*(((-5--5)+(56.1--5))+56.1))))-(-5+-5)))*-5)))/-5)--5)+(-5*(((56.1*(56.1-(-5/-5)))*(56.1-(56.1/(-5*56.1))))-(-5/-5)))))</f>
        <v>876649.2849999999</v>
      </c>
      <c r="C15611" t="n" s="0">
        <v>876649.285</v>
      </c>
    </row>
    <row r="15612">
      <c r="A15612" t="n" s="0">
        <v>56.11</v>
      </c>
      <c r="B15612" t="n" s="0">
        <f>(-5-((((-5*(-5/((-5/(((-5*(56.11--5))-(-5+((-5*56.11)*(((-5--5)+(56.11--5))+56.11))))-(-5+-5)))*-5)))/-5)--5)+(-5*(((56.11*(56.11-(-5/-5)))*(56.11-(56.11/(-5*56.11))))-(-5/-5)))))</f>
        <v>877119.2364549999</v>
      </c>
      <c r="C15612" t="n" s="0">
        <v>877119.2364549999</v>
      </c>
    </row>
    <row r="15613">
      <c r="A15613" t="n" s="0">
        <v>56.12</v>
      </c>
      <c r="B15613" t="n" s="0">
        <f>(-5-((((-5*(-5/((-5/(((-5*(56.12--5))-(-5+((-5*56.12)*(((-5--5)+(56.12--5))+56.12))))-(-5+-5)))*-5)))/-5)--5)+(-5*(((56.12*(56.12-(-5/-5)))*(56.12-(56.12/(-5*56.12))))-(-5/-5)))))</f>
        <v>877589.3558400001</v>
      </c>
      <c r="C15613" t="n" s="0">
        <v>877589.3558399999</v>
      </c>
    </row>
    <row r="15614">
      <c r="A15614" t="n" s="0">
        <v>56.13</v>
      </c>
      <c r="B15614" t="n" s="0">
        <f>(-5-((((-5*(-5/((-5/(((-5*(56.13--5))-(-5+((-5*56.13)*(((-5--5)+(56.13--5))+56.13))))-(-5+-5)))*-5)))/-5)--5)+(-5*(((56.13*(56.13-(-5/-5)))*(56.13-(56.13/(-5*56.13))))-(-5/-5)))))</f>
        <v>878059.6431849999</v>
      </c>
      <c r="C15614" t="n" s="0">
        <v>878059.6431850002</v>
      </c>
    </row>
    <row r="15615">
      <c r="A15615" t="n" s="0">
        <v>56.14</v>
      </c>
      <c r="B15615" t="n" s="0">
        <f>(-5-((((-5*(-5/((-5/(((-5*(56.14--5))-(-5+((-5*56.14)*(((-5--5)+(56.14--5))+56.14))))-(-5+-5)))*-5)))/-5)--5)+(-5*(((56.14*(56.14-(-5/-5)))*(56.14-(56.14/(-5*56.14))))-(-5/-5)))))</f>
        <v>878530.09852</v>
      </c>
      <c r="C15615" t="n" s="0">
        <v>878530.0985200001</v>
      </c>
    </row>
    <row r="15616">
      <c r="A15616" t="n" s="0">
        <v>56.15</v>
      </c>
      <c r="B15616" t="n" s="0">
        <f>(-5-((((-5*(-5/((-5/(((-5*(56.15--5))-(-5+((-5*56.15)*(((-5--5)+(56.15--5))+56.15))))-(-5+-5)))*-5)))/-5)--5)+(-5*(((56.15*(56.15-(-5/-5)))*(56.15-(56.15/(-5*56.15))))-(-5/-5)))))</f>
        <v>879000.721875</v>
      </c>
      <c r="C15616" t="n" s="0">
        <v>879000.7218749998</v>
      </c>
    </row>
    <row r="15617">
      <c r="A15617" t="n" s="0">
        <v>56.16</v>
      </c>
      <c r="B15617" t="n" s="0">
        <f>(-5-((((-5*(-5/((-5/(((-5*(56.16--5))-(-5+((-5*56.16)*(((-5--5)+(56.16--5))+56.16))))-(-5+-5)))*-5)))/-5)--5)+(-5*(((56.16*(56.16-(-5/-5)))*(56.16-(56.16/(-5*56.16))))-(-5/-5)))))</f>
        <v>879471.51328</v>
      </c>
      <c r="C15617" t="n" s="0">
        <v>879471.5132799998</v>
      </c>
    </row>
    <row r="15618">
      <c r="A15618" t="n" s="0">
        <v>56.17</v>
      </c>
      <c r="B15618" t="n" s="0">
        <f>(-5-((((-5*(-5/((-5/(((-5*(56.17--5))-(-5+((-5*56.17)*(((-5--5)+(56.17--5))+56.17))))-(-5+-5)))*-5)))/-5)--5)+(-5*(((56.17*(56.17-(-5/-5)))*(56.17-(56.17/(-5*56.17))))-(-5/-5)))))</f>
        <v>879942.4727650001</v>
      </c>
      <c r="C15618" t="n" s="0">
        <v>879942.4727650001</v>
      </c>
    </row>
    <row r="15619">
      <c r="A15619" t="n" s="0">
        <v>56.18</v>
      </c>
      <c r="B15619" t="n" s="0">
        <f>(-5-((((-5*(-5/((-5/(((-5*(56.18--5))-(-5+((-5*56.18)*(((-5--5)+(56.18--5))+56.18))))-(-5+-5)))*-5)))/-5)--5)+(-5*(((56.18*(56.18-(-5/-5)))*(56.18-(56.18/(-5*56.18))))-(-5/-5)))))</f>
        <v>880413.6003599999</v>
      </c>
      <c r="C15619" t="n" s="0">
        <v>880413.60036</v>
      </c>
    </row>
    <row r="15620">
      <c r="A15620" t="n" s="0">
        <v>56.19</v>
      </c>
      <c r="B15620" t="n" s="0">
        <f>(-5-((((-5*(-5/((-5/(((-5*(56.19--5))-(-5+((-5*56.19)*(((-5--5)+(56.19--5))+56.19))))-(-5+-5)))*-5)))/-5)--5)+(-5*(((56.19*(56.19-(-5/-5)))*(56.19-(56.19/(-5*56.19))))-(-5/-5)))))</f>
        <v>880884.896095</v>
      </c>
      <c r="C15620" t="n" s="0">
        <v>880884.8960949997</v>
      </c>
    </row>
    <row r="15621">
      <c r="A15621" t="n" s="0">
        <v>56.2</v>
      </c>
      <c r="B15621" t="n" s="0">
        <f>(-5-((((-5*(-5/((-5/(((-5*(56.2--5))-(-5+((-5*56.2)*(((-5--5)+(56.2--5))+56.2))))-(-5+-5)))*-5)))/-5)--5)+(-5*(((56.2*(56.2-(-5/-5)))*(56.2-(56.2/(-5*56.2))))-(-5/-5)))))</f>
        <v>881356.36</v>
      </c>
      <c r="C15621" t="n" s="0">
        <v>881356.3600000001</v>
      </c>
    </row>
    <row r="15622">
      <c r="A15622" t="n" s="0">
        <v>56.21</v>
      </c>
      <c r="B15622" t="n" s="0">
        <f>(-5-((((-5*(-5/((-5/(((-5*(56.21--5))-(-5+((-5*56.21)*(((-5--5)+(56.21--5))+56.21))))-(-5+-5)))*-5)))/-5)--5)+(-5*(((56.21*(56.21-(-5/-5)))*(56.21-(56.21/(-5*56.21))))-(-5/-5)))))</f>
        <v>881827.992105</v>
      </c>
      <c r="C15622" t="n" s="0">
        <v>881827.992105</v>
      </c>
    </row>
    <row r="15623">
      <c r="A15623" t="n" s="0">
        <v>56.22</v>
      </c>
      <c r="B15623" t="n" s="0">
        <f>(-5-((((-5*(-5/((-5/(((-5*(56.22--5))-(-5+((-5*56.22)*(((-5--5)+(56.22--5))+56.22))))-(-5+-5)))*-5)))/-5)--5)+(-5*(((56.22*(56.22-(-5/-5)))*(56.22-(56.22/(-5*56.22))))-(-5/-5)))))</f>
        <v>882299.79244</v>
      </c>
      <c r="C15623" t="n" s="0">
        <v>882299.79244</v>
      </c>
    </row>
    <row r="15624">
      <c r="A15624" t="n" s="0">
        <v>56.23</v>
      </c>
      <c r="B15624" t="n" s="0">
        <f>(-5-((((-5*(-5/((-5/(((-5*(56.23--5))-(-5+((-5*56.23)*(((-5--5)+(56.23--5))+56.23))))-(-5+-5)))*-5)))/-5)--5)+(-5*(((56.23*(56.23-(-5/-5)))*(56.23-(56.23/(-5*56.23))))-(-5/-5)))))</f>
        <v>882771.761035</v>
      </c>
      <c r="C15624" t="n" s="0">
        <v>882771.7610349997</v>
      </c>
    </row>
    <row r="15625">
      <c r="A15625" t="n" s="0">
        <v>56.24</v>
      </c>
      <c r="B15625" t="n" s="0">
        <f>(-5-((((-5*(-5/((-5/(((-5*(56.24--5))-(-5+((-5*56.24)*(((-5--5)+(56.24--5))+56.24))))-(-5+-5)))*-5)))/-5)--5)+(-5*(((56.24*(56.24-(-5/-5)))*(56.24-(56.24/(-5*56.24))))-(-5/-5)))))</f>
        <v>883243.89792</v>
      </c>
      <c r="C15625" t="n" s="0">
        <v>883243.89792</v>
      </c>
    </row>
    <row r="15626">
      <c r="A15626" t="n" s="0">
        <v>56.25</v>
      </c>
      <c r="B15626" t="n" s="0">
        <f>(-5-((((-5*(-5/((-5/(((-5*(56.25--5))-(-5+((-5*56.25)*(((-5--5)+(56.25--5))+56.25))))-(-5+-5)))*-5)))/-5)--5)+(-5*(((56.25*(56.25-(-5/-5)))*(56.25-(56.25/(-5*56.25))))-(-5/-5)))))</f>
        <v>883716.203125</v>
      </c>
      <c r="C15626" t="n" s="0">
        <v>883716.203125</v>
      </c>
    </row>
    <row r="15627">
      <c r="A15627" t="n" s="0">
        <v>56.26</v>
      </c>
      <c r="B15627" t="n" s="0">
        <f>(-5-((((-5*(-5/((-5/(((-5*(56.26--5))-(-5+((-5*56.26)*(((-5--5)+(56.26--5))+56.26))))-(-5+-5)))*-5)))/-5)--5)+(-5*(((56.26*(56.26-(-5/-5)))*(56.26-(56.26/(-5*56.26))))-(-5/-5)))))</f>
        <v>884188.67668</v>
      </c>
      <c r="C15627" t="n" s="0">
        <v>884188.6766799999</v>
      </c>
    </row>
    <row r="15628">
      <c r="A15628" t="n" s="0">
        <v>56.27</v>
      </c>
      <c r="B15628" t="n" s="0">
        <f>(-5-((((-5*(-5/((-5/(((-5*(56.27--5))-(-5+((-5*56.27)*(((-5--5)+(56.27--5))+56.27))))-(-5+-5)))*-5)))/-5)--5)+(-5*(((56.27*(56.27-(-5/-5)))*(56.27-(56.27/(-5*56.27))))-(-5/-5)))))</f>
        <v>884661.318615</v>
      </c>
      <c r="C15628" t="n" s="0">
        <v>884661.3186150002</v>
      </c>
    </row>
    <row r="15629">
      <c r="A15629" t="n" s="0">
        <v>56.28</v>
      </c>
      <c r="B15629" t="n" s="0">
        <f>(-5-((((-5*(-5/((-5/(((-5*(56.28--5))-(-5+((-5*56.28)*(((-5--5)+(56.28--5))+56.28))))-(-5+-5)))*-5)))/-5)--5)+(-5*(((56.28*(56.28-(-5/-5)))*(56.28-(56.28/(-5*56.28))))-(-5/-5)))))</f>
        <v>885134.12896</v>
      </c>
      <c r="C15629" t="n" s="0">
        <v>885134.12896</v>
      </c>
    </row>
    <row r="15630">
      <c r="A15630" t="n" s="0">
        <v>56.29</v>
      </c>
      <c r="B15630" t="n" s="0">
        <f>(-5-((((-5*(-5/((-5/(((-5*(56.29--5))-(-5+((-5*56.29)*(((-5--5)+(56.29--5))+56.29))))-(-5+-5)))*-5)))/-5)--5)+(-5*(((56.29*(56.29-(-5/-5)))*(56.29-(56.29/(-5*56.29))))-(-5/-5)))))</f>
        <v>885607.107745</v>
      </c>
      <c r="C15630" t="n" s="0">
        <v>885607.1077449999</v>
      </c>
    </row>
    <row r="15631">
      <c r="A15631" t="n" s="0">
        <v>56.3</v>
      </c>
      <c r="B15631" t="n" s="0">
        <f>(-5-((((-5*(-5/((-5/(((-5*(56.3--5))-(-5+((-5*56.3)*(((-5--5)+(56.3--5))+56.3))))-(-5+-5)))*-5)))/-5)--5)+(-5*(((56.3*(56.3-(-5/-5)))*(56.3-(56.3/(-5*56.3))))-(-5/-5)))))</f>
        <v>886080.2550000001</v>
      </c>
      <c r="C15631" t="n" s="0">
        <v>886080.2549999999</v>
      </c>
    </row>
    <row r="15632">
      <c r="A15632" t="n" s="0">
        <v>56.31</v>
      </c>
      <c r="B15632" t="n" s="0">
        <f>(-5-((((-5*(-5/((-5/(((-5*(56.31--5))-(-5+((-5*56.31)*(((-5--5)+(56.31--5))+56.31))))-(-5+-5)))*-5)))/-5)--5)+(-5*(((56.31*(56.31-(-5/-5)))*(56.31-(56.31/(-5*56.31))))-(-5/-5)))))</f>
        <v>886553.570755</v>
      </c>
      <c r="C15632" t="n" s="0">
        <v>886553.5707550002</v>
      </c>
    </row>
    <row r="15633">
      <c r="A15633" t="n" s="0">
        <v>56.32</v>
      </c>
      <c r="B15633" t="n" s="0">
        <f>(-5-((((-5*(-5/((-5/(((-5*(56.32--5))-(-5+((-5*56.32)*(((-5--5)+(56.32--5))+56.32))))-(-5+-5)))*-5)))/-5)--5)+(-5*(((56.32*(56.32-(-5/-5)))*(56.32-(56.32/(-5*56.32))))-(-5/-5)))))</f>
        <v>887027.05504</v>
      </c>
      <c r="C15633" t="n" s="0">
        <v>887027.0550399999</v>
      </c>
    </row>
    <row r="15634">
      <c r="A15634" t="n" s="0">
        <v>56.33</v>
      </c>
      <c r="B15634" t="n" s="0">
        <f>(-5-((((-5*(-5/((-5/(((-5*(56.33--5))-(-5+((-5*56.33)*(((-5--5)+(56.33--5))+56.33))))-(-5+-5)))*-5)))/-5)--5)+(-5*(((56.33*(56.33-(-5/-5)))*(56.33-(56.33/(-5*56.33))))-(-5/-5)))))</f>
        <v>887500.7078849999</v>
      </c>
      <c r="C15634" t="n" s="0">
        <v>887500.7078849999</v>
      </c>
    </row>
    <row r="15635">
      <c r="A15635" t="n" s="0">
        <v>56.34</v>
      </c>
      <c r="B15635" t="n" s="0">
        <f>(-5-((((-5*(-5/((-5/(((-5*(56.34--5))-(-5+((-5*56.34)*(((-5--5)+(56.34--5))+56.34))))-(-5+-5)))*-5)))/-5)--5)+(-5*(((56.34*(56.34-(-5/-5)))*(56.34-(56.34/(-5*56.34))))-(-5/-5)))))</f>
        <v>887974.5293200001</v>
      </c>
      <c r="C15635" t="n" s="0">
        <v>887974.5293200002</v>
      </c>
    </row>
    <row r="15636">
      <c r="A15636" t="n" s="0">
        <v>56.35</v>
      </c>
      <c r="B15636" t="n" s="0">
        <f>(-5-((((-5*(-5/((-5/(((-5*(56.35--5))-(-5+((-5*56.35)*(((-5--5)+(56.35--5))+56.35))))-(-5+-5)))*-5)))/-5)--5)+(-5*(((56.35*(56.35-(-5/-5)))*(56.35-(56.35/(-5*56.35))))-(-5/-5)))))</f>
        <v>888448.519375</v>
      </c>
      <c r="C15636" t="n" s="0">
        <v>888448.5193750001</v>
      </c>
    </row>
    <row r="15637">
      <c r="A15637" t="n" s="0">
        <v>56.36</v>
      </c>
      <c r="B15637" t="n" s="0">
        <f>(-5-((((-5*(-5/((-5/(((-5*(56.36--5))-(-5+((-5*56.36)*(((-5--5)+(56.36--5))+56.36))))-(-5+-5)))*-5)))/-5)--5)+(-5*(((56.36*(56.36-(-5/-5)))*(56.36-(56.36/(-5*56.36))))-(-5/-5)))))</f>
        <v>888922.67808</v>
      </c>
      <c r="C15637" t="n" s="0">
        <v>888922.67808</v>
      </c>
    </row>
    <row r="15638">
      <c r="A15638" t="n" s="0">
        <v>56.37</v>
      </c>
      <c r="B15638" t="n" s="0">
        <f>(-5-((((-5*(-5/((-5/(((-5*(56.37--5))-(-5+((-5*56.37)*(((-5--5)+(56.37--5))+56.37))))-(-5+-5)))*-5)))/-5)--5)+(-5*(((56.37*(56.37-(-5/-5)))*(56.37-(56.37/(-5*56.37))))-(-5/-5)))))</f>
        <v>889397.0054649999</v>
      </c>
      <c r="C15638" t="n" s="0">
        <v>889397.0054649998</v>
      </c>
    </row>
    <row r="15639">
      <c r="A15639" t="n" s="0">
        <v>56.38</v>
      </c>
      <c r="B15639" t="n" s="0">
        <f>(-5-((((-5*(-5/((-5/(((-5*(56.38--5))-(-5+((-5*56.38)*(((-5--5)+(56.38--5))+56.38))))-(-5+-5)))*-5)))/-5)--5)+(-5*(((56.38*(56.38-(-5/-5)))*(56.38-(56.38/(-5*56.38))))-(-5/-5)))))</f>
        <v>889871.50156</v>
      </c>
      <c r="C15639" t="n" s="0">
        <v>889871.5015600001</v>
      </c>
    </row>
    <row r="15640">
      <c r="A15640" t="n" s="0">
        <v>56.39</v>
      </c>
      <c r="B15640" t="n" s="0">
        <f>(-5-((((-5*(-5/((-5/(((-5*(56.39--5))-(-5+((-5*56.39)*(((-5--5)+(56.39--5))+56.39))))-(-5+-5)))*-5)))/-5)--5)+(-5*(((56.39*(56.39-(-5/-5)))*(56.39-(56.39/(-5*56.39))))-(-5/-5)))))</f>
        <v>890346.166395</v>
      </c>
      <c r="C15640" t="n" s="0">
        <v>890346.1663950001</v>
      </c>
    </row>
    <row r="15641">
      <c r="A15641" t="n" s="0">
        <v>56.4</v>
      </c>
      <c r="B15641" t="n" s="0">
        <f>(-5-((((-5*(-5/((-5/(((-5*(56.4--5))-(-5+((-5*56.4)*(((-5--5)+(56.4--5))+56.4))))-(-5+-5)))*-5)))/-5)--5)+(-5*(((56.4*(56.4-(-5/-5)))*(56.4-(56.4/(-5*56.4))))-(-5/-5)))))</f>
        <v>890821.0</v>
      </c>
      <c r="C15641" t="n" s="0">
        <v>890820.9999999999</v>
      </c>
    </row>
    <row r="15642">
      <c r="A15642" t="n" s="0">
        <v>56.41</v>
      </c>
      <c r="B15642" t="n" s="0">
        <f>(-5-((((-5*(-5/((-5/(((-5*(56.41--5))-(-5+((-5*56.41)*(((-5--5)+(56.41--5))+56.41))))-(-5+-5)))*-5)))/-5)--5)+(-5*(((56.41*(56.41-(-5/-5)))*(56.41-(56.41/(-5*56.41))))-(-5/-5)))))</f>
        <v>891296.002405</v>
      </c>
      <c r="C15642" t="n" s="0">
        <v>891296.0024049998</v>
      </c>
    </row>
    <row r="15643">
      <c r="A15643" t="n" s="0">
        <v>56.42</v>
      </c>
      <c r="B15643" t="n" s="0">
        <f>(-5-((((-5*(-5/((-5/(((-5*(56.42--5))-(-5+((-5*56.42)*(((-5--5)+(56.42--5))+56.42))))-(-5+-5)))*-5)))/-5)--5)+(-5*(((56.42*(56.42-(-5/-5)))*(56.42-(56.42/(-5*56.42))))-(-5/-5)))))</f>
        <v>891771.17364</v>
      </c>
      <c r="C15643" t="n" s="0">
        <v>891771.1736400002</v>
      </c>
    </row>
    <row r="15644">
      <c r="A15644" t="n" s="0">
        <v>56.43</v>
      </c>
      <c r="B15644" t="n" s="0">
        <f>(-5-((((-5*(-5/((-5/(((-5*(56.43--5))-(-5+((-5*56.43)*(((-5--5)+(56.43--5))+56.43))))-(-5+-5)))*-5)))/-5)--5)+(-5*(((56.43*(56.43-(-5/-5)))*(56.43-(56.43/(-5*56.43))))-(-5/-5)))))</f>
        <v>892246.513735</v>
      </c>
      <c r="C15644" t="n" s="0">
        <v>892246.5137349999</v>
      </c>
    </row>
    <row r="15645">
      <c r="A15645" t="n" s="0">
        <v>56.44</v>
      </c>
      <c r="B15645" t="n" s="0">
        <f>(-5-((((-5*(-5/((-5/(((-5*(56.44--5))-(-5+((-5*56.44)*(((-5--5)+(56.44--5))+56.44))))-(-5+-5)))*-5)))/-5)--5)+(-5*(((56.44*(56.44-(-5/-5)))*(56.44-(56.44/(-5*56.44))))-(-5/-5)))))</f>
        <v>892722.02272</v>
      </c>
      <c r="C15645" t="n" s="0">
        <v>892722.0227199998</v>
      </c>
    </row>
    <row r="15646">
      <c r="A15646" t="n" s="0">
        <v>56.45</v>
      </c>
      <c r="B15646" t="n" s="0">
        <f>(-5-((((-5*(-5/((-5/(((-5*(56.45--5))-(-5+((-5*56.45)*(((-5--5)+(56.45--5))+56.45))))-(-5+-5)))*-5)))/-5)--5)+(-5*(((56.45*(56.45-(-5/-5)))*(56.45-(56.45/(-5*56.45))))-(-5/-5)))))</f>
        <v>893197.700625</v>
      </c>
      <c r="C15646" t="n" s="0">
        <v>893197.7006250002</v>
      </c>
    </row>
    <row r="15647">
      <c r="A15647" t="n" s="0">
        <v>56.46</v>
      </c>
      <c r="B15647" t="n" s="0">
        <f>(-5-((((-5*(-5/((-5/(((-5*(56.46--5))-(-5+((-5*56.46)*(((-5--5)+(56.46--5))+56.46))))-(-5+-5)))*-5)))/-5)--5)+(-5*(((56.46*(56.46-(-5/-5)))*(56.46-(56.46/(-5*56.46))))-(-5/-5)))))</f>
        <v>893673.54748</v>
      </c>
      <c r="C15647" t="n" s="0">
        <v>893673.5474800001</v>
      </c>
    </row>
    <row r="15648">
      <c r="A15648" t="n" s="0">
        <v>56.47</v>
      </c>
      <c r="B15648" t="n" s="0">
        <f>(-5-((((-5*(-5/((-5/(((-5*(56.47--5))-(-5+((-5*56.47)*(((-5--5)+(56.47--5))+56.47))))-(-5+-5)))*-5)))/-5)--5)+(-5*(((56.47*(56.47-(-5/-5)))*(56.47-(56.47/(-5*56.47))))-(-5/-5)))))</f>
        <v>894149.5633149999</v>
      </c>
      <c r="C15648" t="n" s="0">
        <v>894149.563315</v>
      </c>
    </row>
    <row r="15649">
      <c r="A15649" t="n" s="0">
        <v>56.48</v>
      </c>
      <c r="B15649" t="n" s="0">
        <f>(-5-((((-5*(-5/((-5/(((-5*(56.48--5))-(-5+((-5*56.48)*(((-5--5)+(56.48--5))+56.48))))-(-5+-5)))*-5)))/-5)--5)+(-5*(((56.48*(56.48-(-5/-5)))*(56.48-(56.48/(-5*56.48))))-(-5/-5)))))</f>
        <v>894625.74816</v>
      </c>
      <c r="C15649" t="n" s="0">
        <v>894625.7481599998</v>
      </c>
    </row>
    <row r="15650">
      <c r="A15650" t="n" s="0">
        <v>56.49</v>
      </c>
      <c r="B15650" t="n" s="0">
        <f>(-5-((((-5*(-5/((-5/(((-5*(56.49--5))-(-5+((-5*56.49)*(((-5--5)+(56.49--5))+56.49))))-(-5+-5)))*-5)))/-5)--5)+(-5*(((56.49*(56.49-(-5/-5)))*(56.49-(56.49/(-5*56.49))))-(-5/-5)))))</f>
        <v>895102.102045</v>
      </c>
      <c r="C15650" t="n" s="0">
        <v>895102.1020450001</v>
      </c>
    </row>
    <row r="15651">
      <c r="A15651" t="n" s="0">
        <v>56.5</v>
      </c>
      <c r="B15651" t="n" s="0">
        <f>(-5-((((-5*(-5/((-5/(((-5*(56.5--5))-(-5+((-5*56.5)*(((-5--5)+(56.5--5))+56.5))))-(-5+-5)))*-5)))/-5)--5)+(-5*(((56.5*(56.5-(-5/-5)))*(56.5-(56.5/(-5*56.5))))-(-5/-5)))))</f>
        <v>895578.625</v>
      </c>
      <c r="C15651" t="n" s="0">
        <v>895578.625</v>
      </c>
    </row>
    <row r="15652">
      <c r="A15652" t="n" s="0">
        <v>56.51</v>
      </c>
      <c r="B15652" t="n" s="0">
        <f>(-5-((((-5*(-5/((-5/(((-5*(56.51--5))-(-5+((-5*56.51)*(((-5--5)+(56.51--5))+56.51))))-(-5+-5)))*-5)))/-5)--5)+(-5*(((56.51*(56.51-(-5/-5)))*(56.51-(56.51/(-5*56.51))))-(-5/-5)))))</f>
        <v>896055.3170550001</v>
      </c>
      <c r="C15652" t="n" s="0">
        <v>896055.3170549999</v>
      </c>
    </row>
    <row r="15653">
      <c r="A15653" t="n" s="0">
        <v>56.52</v>
      </c>
      <c r="B15653" t="n" s="0">
        <f>(-5-((((-5*(-5/((-5/(((-5*(56.52--5))-(-5+((-5*56.52)*(((-5--5)+(56.52--5))+56.52))))-(-5+-5)))*-5)))/-5)--5)+(-5*(((56.52*(56.52-(-5/-5)))*(56.52-(56.52/(-5*56.52))))-(-5/-5)))))</f>
        <v>896532.17824</v>
      </c>
      <c r="C15653" t="n" s="0">
        <v>896532.1782400002</v>
      </c>
    </row>
    <row r="15654">
      <c r="A15654" t="n" s="0">
        <v>56.53</v>
      </c>
      <c r="B15654" t="n" s="0">
        <f>(-5-((((-5*(-5/((-5/(((-5*(56.53--5))-(-5+((-5*56.53)*(((-5--5)+(56.53--5))+56.53))))-(-5+-5)))*-5)))/-5)--5)+(-5*(((56.53*(56.53-(-5/-5)))*(56.53-(56.53/(-5*56.53))))-(-5/-5)))))</f>
        <v>897009.208585</v>
      </c>
      <c r="C15654" t="n" s="0">
        <v>897009.208585</v>
      </c>
    </row>
    <row r="15655">
      <c r="A15655" t="n" s="0">
        <v>56.54</v>
      </c>
      <c r="B15655" t="n" s="0">
        <f>(-5-((((-5*(-5/((-5/(((-5*(56.54--5))-(-5+((-5*56.54)*(((-5--5)+(56.54--5))+56.54))))-(-5+-5)))*-5)))/-5)--5)+(-5*(((56.54*(56.54-(-5/-5)))*(56.54-(56.54/(-5*56.54))))-(-5/-5)))))</f>
        <v>897486.40812</v>
      </c>
      <c r="C15655" t="n" s="0">
        <v>897486.4081199999</v>
      </c>
    </row>
    <row r="15656">
      <c r="A15656" t="n" s="0">
        <v>56.55</v>
      </c>
      <c r="B15656" t="n" s="0">
        <f>(-5-((((-5*(-5/((-5/(((-5*(56.55--5))-(-5+((-5*56.55)*(((-5--5)+(56.55--5))+56.55))))-(-5+-5)))*-5)))/-5)--5)+(-5*(((56.55*(56.55-(-5/-5)))*(56.55-(56.55/(-5*56.55))))-(-5/-5)))))</f>
        <v>897963.776875</v>
      </c>
      <c r="C15656" t="n" s="0">
        <v>897963.7768749999</v>
      </c>
    </row>
    <row r="15657">
      <c r="A15657" t="n" s="0">
        <v>56.56</v>
      </c>
      <c r="B15657" t="n" s="0">
        <f>(-5-((((-5*(-5/((-5/(((-5*(56.56--5))-(-5+((-5*56.56)*(((-5--5)+(56.56--5))+56.56))))-(-5+-5)))*-5)))/-5)--5)+(-5*(((56.56*(56.56-(-5/-5)))*(56.56-(56.56/(-5*56.56))))-(-5/-5)))))</f>
        <v>898441.31488</v>
      </c>
      <c r="C15657" t="n" s="0">
        <v>898441.3148800001</v>
      </c>
    </row>
    <row r="15658">
      <c r="A15658" t="n" s="0">
        <v>56.57</v>
      </c>
      <c r="B15658" t="n" s="0">
        <f>(-5-((((-5*(-5/((-5/(((-5*(56.57--5))-(-5+((-5*56.57)*(((-5--5)+(56.57--5))+56.57))))-(-5+-5)))*-5)))/-5)--5)+(-5*(((56.57*(56.57-(-5/-5)))*(56.57-(56.57/(-5*56.57))))-(-5/-5)))))</f>
        <v>898919.022165</v>
      </c>
      <c r="C15658" t="n" s="0">
        <v>898919.022165</v>
      </c>
    </row>
    <row r="15659">
      <c r="A15659" t="n" s="0">
        <v>56.58</v>
      </c>
      <c r="B15659" t="n" s="0">
        <f>(-5-((((-5*(-5/((-5/(((-5*(56.58--5))-(-5+((-5*56.58)*(((-5--5)+(56.58--5))+56.58))))-(-5+-5)))*-5)))/-5)--5)+(-5*(((56.58*(56.58-(-5/-5)))*(56.58-(56.58/(-5*56.58))))-(-5/-5)))))</f>
        <v>899396.8987599999</v>
      </c>
      <c r="C15659" t="n" s="0">
        <v>899396.89876</v>
      </c>
    </row>
    <row r="15660">
      <c r="A15660" t="n" s="0">
        <v>56.59</v>
      </c>
      <c r="B15660" t="n" s="0">
        <f>(-5-((((-5*(-5/((-5/(((-5*(56.59--5))-(-5+((-5*56.59)*(((-5--5)+(56.59--5))+56.59))))-(-5+-5)))*-5)))/-5)--5)+(-5*(((56.59*(56.59-(-5/-5)))*(56.59-(56.59/(-5*56.59))))-(-5/-5)))))</f>
        <v>899874.9446950001</v>
      </c>
      <c r="C15660" t="n" s="0">
        <v>899874.9446950002</v>
      </c>
    </row>
    <row r="15661">
      <c r="A15661" t="n" s="0">
        <v>56.6</v>
      </c>
      <c r="B15661" t="n" s="0">
        <f>(-5-((((-5*(-5/((-5/(((-5*(56.6--5))-(-5+((-5*56.6)*(((-5--5)+(56.6--5))+56.6))))-(-5+-5)))*-5)))/-5)--5)+(-5*(((56.6*(56.6-(-5/-5)))*(56.6-(56.6/(-5*56.6))))-(-5/-5)))))</f>
        <v>900353.16</v>
      </c>
      <c r="C15661" t="n" s="0">
        <v>900353.1600000001</v>
      </c>
    </row>
    <row r="15662">
      <c r="A15662" t="n" s="0">
        <v>56.61</v>
      </c>
      <c r="B15662" t="n" s="0">
        <f>(-5-((((-5*(-5/((-5/(((-5*(56.61--5))-(-5+((-5*56.61)*(((-5--5)+(56.61--5))+56.61))))-(-5+-5)))*-5)))/-5)--5)+(-5*(((56.61*(56.61-(-5/-5)))*(56.61-(56.61/(-5*56.61))))-(-5/-5)))))</f>
        <v>900831.544705</v>
      </c>
      <c r="C15662" t="n" s="0">
        <v>900831.5447049999</v>
      </c>
    </row>
    <row r="15663">
      <c r="A15663" t="n" s="0">
        <v>56.62</v>
      </c>
      <c r="B15663" t="n" s="0">
        <f>(-5-((((-5*(-5/((-5/(((-5*(56.62--5))-(-5+((-5*56.62)*(((-5--5)+(56.62--5))+56.62))))-(-5+-5)))*-5)))/-5)--5)+(-5*(((56.62*(56.62-(-5/-5)))*(56.62-(56.62/(-5*56.62))))-(-5/-5)))))</f>
        <v>901310.0988400001</v>
      </c>
      <c r="C15663" t="n" s="0">
        <v>901310.0988399999</v>
      </c>
    </row>
    <row r="15664">
      <c r="A15664" t="n" s="0">
        <v>56.63</v>
      </c>
      <c r="B15664" t="n" s="0">
        <f>(-5-((((-5*(-5/((-5/(((-5*(56.63--5))-(-5+((-5*56.63)*(((-5--5)+(56.63--5))+56.63))))-(-5+-5)))*-5)))/-5)--5)+(-5*(((56.63*(56.63-(-5/-5)))*(56.63-(56.63/(-5*56.63))))-(-5/-5)))))</f>
        <v>901788.822435</v>
      </c>
      <c r="C15664" t="n" s="0">
        <v>901788.8224350002</v>
      </c>
    </row>
    <row r="15665">
      <c r="A15665" t="n" s="0">
        <v>56.64</v>
      </c>
      <c r="B15665" t="n" s="0">
        <f>(-5-((((-5*(-5/((-5/(((-5*(56.64--5))-(-5+((-5*56.64)*(((-5--5)+(56.64--5))+56.64))))-(-5+-5)))*-5)))/-5)--5)+(-5*(((56.64*(56.64-(-5/-5)))*(56.64-(56.64/(-5*56.64))))-(-5/-5)))))</f>
        <v>902267.71552</v>
      </c>
      <c r="C15665" t="n" s="0">
        <v>902267.7155200001</v>
      </c>
    </row>
    <row r="15666">
      <c r="A15666" t="n" s="0">
        <v>56.65</v>
      </c>
      <c r="B15666" t="n" s="0">
        <f>(-5-((((-5*(-5/((-5/(((-5*(56.65--5))-(-5+((-5*56.65)*(((-5--5)+(56.65--5))+56.65))))-(-5+-5)))*-5)))/-5)--5)+(-5*(((56.65*(56.65-(-5/-5)))*(56.65-(56.65/(-5*56.65))))-(-5/-5)))))</f>
        <v>902746.7781250001</v>
      </c>
      <c r="C15666" t="n" s="0">
        <v>902746.778125</v>
      </c>
    </row>
    <row r="15667">
      <c r="A15667" t="n" s="0">
        <v>56.66</v>
      </c>
      <c r="B15667" t="n" s="0">
        <f>(-5-((((-5*(-5/((-5/(((-5*(56.66--5))-(-5+((-5*56.66)*(((-5--5)+(56.66--5))+56.66))))-(-5+-5)))*-5)))/-5)--5)+(-5*(((56.66*(56.66-(-5/-5)))*(56.66-(56.66/(-5*56.66))))-(-5/-5)))))</f>
        <v>903226.01028</v>
      </c>
      <c r="C15667" t="n" s="0">
        <v>903226.0102799998</v>
      </c>
    </row>
    <row r="15668">
      <c r="A15668" t="n" s="0">
        <v>56.67</v>
      </c>
      <c r="B15668" t="n" s="0">
        <f>(-5-((((-5*(-5/((-5/(((-5*(56.67--5))-(-5+((-5*56.67)*(((-5--5)+(56.67--5))+56.67))))-(-5+-5)))*-5)))/-5)--5)+(-5*(((56.67*(56.67-(-5/-5)))*(56.67-(56.67/(-5*56.67))))-(-5/-5)))))</f>
        <v>903705.412015</v>
      </c>
      <c r="C15668" t="n" s="0">
        <v>903705.4120150001</v>
      </c>
    </row>
    <row r="15669">
      <c r="A15669" t="n" s="0">
        <v>56.68</v>
      </c>
      <c r="B15669" t="n" s="0">
        <f>(-5-((((-5*(-5/((-5/(((-5*(56.68--5))-(-5+((-5*56.68)*(((-5--5)+(56.68--5))+56.68))))-(-5+-5)))*-5)))/-5)--5)+(-5*(((56.68*(56.68-(-5/-5)))*(56.68-(56.68/(-5*56.68))))-(-5/-5)))))</f>
        <v>904184.98336</v>
      </c>
      <c r="C15669" t="n" s="0">
        <v>904184.98336</v>
      </c>
    </row>
    <row r="15670">
      <c r="A15670" t="n" s="0">
        <v>56.69</v>
      </c>
      <c r="B15670" t="n" s="0">
        <f>(-5-((((-5*(-5/((-5/(((-5*(56.69--5))-(-5+((-5*56.69)*(((-5--5)+(56.69--5))+56.69))))-(-5+-5)))*-5)))/-5)--5)+(-5*(((56.69*(56.69-(-5/-5)))*(56.69-(56.69/(-5*56.69))))-(-5/-5)))))</f>
        <v>904664.724345</v>
      </c>
      <c r="C15670" t="n" s="0">
        <v>904664.7243449999</v>
      </c>
    </row>
    <row r="15671">
      <c r="A15671" t="n" s="0">
        <v>56.7</v>
      </c>
      <c r="B15671" t="n" s="0">
        <f>(-5-((((-5*(-5/((-5/(((-5*(56.7--5))-(-5+((-5*56.7)*(((-5--5)+(56.7--5))+56.7))))-(-5+-5)))*-5)))/-5)--5)+(-5*(((56.7*(56.7-(-5/-5)))*(56.7-(56.7/(-5*56.7))))-(-5/-5)))))</f>
        <v>905144.635</v>
      </c>
      <c r="C15671" t="n" s="0">
        <v>905144.6350000001</v>
      </c>
    </row>
    <row r="15672">
      <c r="A15672" t="n" s="0">
        <v>56.71</v>
      </c>
      <c r="B15672" t="n" s="0">
        <f>(-5-((((-5*(-5/((-5/(((-5*(56.71--5))-(-5+((-5*56.71)*(((-5--5)+(56.71--5))+56.71))))-(-5+-5)))*-5)))/-5)--5)+(-5*(((56.71*(56.71-(-5/-5)))*(56.71-(56.71/(-5*56.71))))-(-5/-5)))))</f>
        <v>905624.7153549999</v>
      </c>
      <c r="C15672" t="n" s="0">
        <v>905624.715355</v>
      </c>
    </row>
    <row r="15673">
      <c r="A15673" t="n" s="0">
        <v>56.72</v>
      </c>
      <c r="B15673" t="n" s="0">
        <f>(-5-((((-5*(-5/((-5/(((-5*(56.72--5))-(-5+((-5*56.72)*(((-5--5)+(56.72--5))+56.72))))-(-5+-5)))*-5)))/-5)--5)+(-5*(((56.72*(56.72-(-5/-5)))*(56.72-(56.72/(-5*56.72))))-(-5/-5)))))</f>
        <v>906104.96544</v>
      </c>
      <c r="C15673" t="n" s="0">
        <v>906104.9654399999</v>
      </c>
    </row>
    <row r="15674">
      <c r="A15674" t="n" s="0">
        <v>56.73</v>
      </c>
      <c r="B15674" t="n" s="0">
        <f>(-5-((((-5*(-5/((-5/(((-5*(56.73--5))-(-5+((-5*56.73)*(((-5--5)+(56.73--5))+56.73))))-(-5+-5)))*-5)))/-5)--5)+(-5*(((56.73*(56.73-(-5/-5)))*(56.73-(56.73/(-5*56.73))))-(-5/-5)))))</f>
        <v>906585.3852850001</v>
      </c>
      <c r="C15674" t="n" s="0">
        <v>906585.3852849997</v>
      </c>
    </row>
    <row r="15675">
      <c r="A15675" t="n" s="0">
        <v>56.74</v>
      </c>
      <c r="B15675" t="n" s="0">
        <f>(-5-((((-5*(-5/((-5/(((-5*(56.74--5))-(-5+((-5*56.74)*(((-5--5)+(56.74--5))+56.74))))-(-5+-5)))*-5)))/-5)--5)+(-5*(((56.74*(56.74-(-5/-5)))*(56.74-(56.74/(-5*56.74))))-(-5/-5)))))</f>
        <v>907065.9749200001</v>
      </c>
      <c r="C15675" t="n" s="0">
        <v>907065.9749200001</v>
      </c>
    </row>
    <row r="15676">
      <c r="A15676" t="n" s="0">
        <v>56.75</v>
      </c>
      <c r="B15676" t="n" s="0">
        <f>(-5-((((-5*(-5/((-5/(((-5*(56.75--5))-(-5+((-5*56.75)*(((-5--5)+(56.75--5))+56.75))))-(-5+-5)))*-5)))/-5)--5)+(-5*(((56.75*(56.75-(-5/-5)))*(56.75-(56.75/(-5*56.75))))-(-5/-5)))))</f>
        <v>907546.734375</v>
      </c>
      <c r="C15676" t="n" s="0">
        <v>907546.734375</v>
      </c>
    </row>
    <row r="15677">
      <c r="A15677" t="n" s="0">
        <v>56.76</v>
      </c>
      <c r="B15677" t="n" s="0">
        <f>(-5-((((-5*(-5/((-5/(((-5*(56.76--5))-(-5+((-5*56.76)*(((-5--5)+(56.76--5))+56.76))))-(-5+-5)))*-5)))/-5)--5)+(-5*(((56.76*(56.76-(-5/-5)))*(56.76-(56.76/(-5*56.76))))-(-5/-5)))))</f>
        <v>908027.6636800001</v>
      </c>
      <c r="C15677" t="n" s="0">
        <v>908027.66368</v>
      </c>
    </row>
    <row r="15678">
      <c r="A15678" t="n" s="0">
        <v>56.77</v>
      </c>
      <c r="B15678" t="n" s="0">
        <f>(-5-((((-5*(-5/((-5/(((-5*(56.77--5))-(-5+((-5*56.77)*(((-5--5)+(56.77--5))+56.77))))-(-5+-5)))*-5)))/-5)--5)+(-5*(((56.77*(56.77-(-5/-5)))*(56.77-(56.77/(-5*56.77))))-(-5/-5)))))</f>
        <v>908508.762865</v>
      </c>
      <c r="C15678" t="n" s="0">
        <v>908508.7628650002</v>
      </c>
    </row>
    <row r="15679">
      <c r="A15679" t="n" s="0">
        <v>56.78</v>
      </c>
      <c r="B15679" t="n" s="0">
        <f>(-5-((((-5*(-5/((-5/(((-5*(56.78--5))-(-5+((-5*56.78)*(((-5--5)+(56.78--5))+56.78))))-(-5+-5)))*-5)))/-5)--5)+(-5*(((56.78*(56.78-(-5/-5)))*(56.78-(56.78/(-5*56.78))))-(-5/-5)))))</f>
        <v>908990.03196</v>
      </c>
      <c r="C15679" t="n" s="0">
        <v>908990.0319599999</v>
      </c>
    </row>
    <row r="15680">
      <c r="A15680" t="n" s="0">
        <v>56.79</v>
      </c>
      <c r="B15680" t="n" s="0">
        <f>(-5-((((-5*(-5/((-5/(((-5*(56.79--5))-(-5+((-5*56.79)*(((-5--5)+(56.79--5))+56.79))))-(-5+-5)))*-5)))/-5)--5)+(-5*(((56.79*(56.79-(-5/-5)))*(56.79-(56.79/(-5*56.79))))-(-5/-5)))))</f>
        <v>909471.470995</v>
      </c>
      <c r="C15680" t="n" s="0">
        <v>909471.4709949999</v>
      </c>
    </row>
    <row r="15681">
      <c r="A15681" t="n" s="0">
        <v>56.8</v>
      </c>
      <c r="B15681" t="n" s="0">
        <f>(-5-((((-5*(-5/((-5/(((-5*(56.8--5))-(-5+((-5*56.8)*(((-5--5)+(56.8--5))+56.8))))-(-5+-5)))*-5)))/-5)--5)+(-5*(((56.8*(56.8-(-5/-5)))*(56.8-(56.8/(-5*56.8))))-(-5/-5)))))</f>
        <v>909953.0800000001</v>
      </c>
      <c r="C15681" t="n" s="0">
        <v>909953.08</v>
      </c>
    </row>
    <row r="15682">
      <c r="A15682" t="n" s="0">
        <v>56.81</v>
      </c>
      <c r="B15682" t="n" s="0">
        <f>(-5-((((-5*(-5/((-5/(((-5*(56.81--5))-(-5+((-5*56.81)*(((-5--5)+(56.81--5))+56.81))))-(-5+-5)))*-5)))/-5)--5)+(-5*(((56.81*(56.81-(-5/-5)))*(56.81-(56.81/(-5*56.81))))-(-5/-5)))))</f>
        <v>910434.859005</v>
      </c>
      <c r="C15682" t="n" s="0">
        <v>910434.8590050002</v>
      </c>
    </row>
    <row r="15683">
      <c r="A15683" t="n" s="0">
        <v>56.82</v>
      </c>
      <c r="B15683" t="n" s="0">
        <f>(-5-((((-5*(-5/((-5/(((-5*(56.82--5))-(-5+((-5*56.82)*(((-5--5)+(56.82--5))+56.82))))-(-5+-5)))*-5)))/-5)--5)+(-5*(((56.82*(56.82-(-5/-5)))*(56.82-(56.82/(-5*56.82))))-(-5/-5)))))</f>
        <v>910916.80804</v>
      </c>
      <c r="C15683" t="n" s="0">
        <v>910916.80804</v>
      </c>
    </row>
    <row r="15684">
      <c r="A15684" t="n" s="0">
        <v>56.83</v>
      </c>
      <c r="B15684" t="n" s="0">
        <f>(-5-((((-5*(-5/((-5/(((-5*(56.83--5))-(-5+((-5*56.83)*(((-5--5)+(56.83--5))+56.83))))-(-5+-5)))*-5)))/-5)--5)+(-5*(((56.83*(56.83-(-5/-5)))*(56.83-(56.83/(-5*56.83))))-(-5/-5)))))</f>
        <v>911398.927135</v>
      </c>
      <c r="C15684" t="n" s="0">
        <v>911398.9271349999</v>
      </c>
    </row>
    <row r="15685">
      <c r="A15685" t="n" s="0">
        <v>56.84</v>
      </c>
      <c r="B15685" t="n" s="0">
        <f>(-5-((((-5*(-5/((-5/(((-5*(56.84--5))-(-5+((-5*56.84)*(((-5--5)+(56.84--5))+56.84))))-(-5+-5)))*-5)))/-5)--5)+(-5*(((56.84*(56.84-(-5/-5)))*(56.84-(56.84/(-5*56.84))))-(-5/-5)))))</f>
        <v>911881.21632</v>
      </c>
      <c r="C15685" t="n" s="0">
        <v>911881.2163200001</v>
      </c>
    </row>
    <row r="15686">
      <c r="A15686" t="n" s="0">
        <v>56.85</v>
      </c>
      <c r="B15686" t="n" s="0">
        <f>(-5-((((-5*(-5/((-5/(((-5*(56.85--5))-(-5+((-5*56.85)*(((-5--5)+(56.85--5))+56.85))))-(-5+-5)))*-5)))/-5)--5)+(-5*(((56.85*(56.85-(-5/-5)))*(56.85-(56.85/(-5*56.85))))-(-5/-5)))))</f>
        <v>912363.675625</v>
      </c>
      <c r="C15686" t="n" s="0">
        <v>912363.6756250001</v>
      </c>
    </row>
    <row r="15687">
      <c r="A15687" t="n" s="0">
        <v>56.86</v>
      </c>
      <c r="B15687" t="n" s="0">
        <f>(-5-((((-5*(-5/((-5/(((-5*(56.86--5))-(-5+((-5*56.86)*(((-5--5)+(56.86--5))+56.86))))-(-5+-5)))*-5)))/-5)--5)+(-5*(((56.86*(56.86-(-5/-5)))*(56.86-(56.86/(-5*56.86))))-(-5/-5)))))</f>
        <v>912846.30508</v>
      </c>
      <c r="C15687" t="n" s="0">
        <v>912846.3050799998</v>
      </c>
    </row>
    <row r="15688">
      <c r="A15688" t="n" s="0">
        <v>56.87</v>
      </c>
      <c r="B15688" t="n" s="0">
        <f>(-5-((((-5*(-5/((-5/(((-5*(56.87--5))-(-5+((-5*56.87)*(((-5--5)+(56.87--5))+56.87))))-(-5+-5)))*-5)))/-5)--5)+(-5*(((56.87*(56.87-(-5/-5)))*(56.87-(56.87/(-5*56.87))))-(-5/-5)))))</f>
        <v>913329.104715</v>
      </c>
      <c r="C15688" t="n" s="0">
        <v>913329.1047149999</v>
      </c>
    </row>
    <row r="15689">
      <c r="A15689" t="n" s="0">
        <v>56.88</v>
      </c>
      <c r="B15689" t="n" s="0">
        <f>(-5-((((-5*(-5/((-5/(((-5*(56.88--5))-(-5+((-5*56.88)*(((-5--5)+(56.88--5))+56.88))))-(-5+-5)))*-5)))/-5)--5)+(-5*(((56.88*(56.88-(-5/-5)))*(56.88-(56.88/(-5*56.88))))-(-5/-5)))))</f>
        <v>913812.07456</v>
      </c>
      <c r="C15689" t="n" s="0">
        <v>913812.0745600002</v>
      </c>
    </row>
    <row r="15690">
      <c r="A15690" t="n" s="0">
        <v>56.89</v>
      </c>
      <c r="B15690" t="n" s="0">
        <f>(-5-((((-5*(-5/((-5/(((-5*(56.89--5))-(-5+((-5*56.89)*(((-5--5)+(56.89--5))+56.89))))-(-5+-5)))*-5)))/-5)--5)+(-5*(((56.89*(56.89-(-5/-5)))*(56.89-(56.89/(-5*56.89))))-(-5/-5)))))</f>
        <v>914295.214645</v>
      </c>
      <c r="C15690" t="n" s="0">
        <v>914295.2146450001</v>
      </c>
    </row>
    <row r="15691">
      <c r="A15691" t="n" s="0">
        <v>56.9</v>
      </c>
      <c r="B15691" t="n" s="0">
        <f>(-5-((((-5*(-5/((-5/(((-5*(56.9--5))-(-5+((-5*56.9)*(((-5--5)+(56.9--5))+56.9))))-(-5+-5)))*-5)))/-5)--5)+(-5*(((56.9*(56.9-(-5/-5)))*(56.9-(56.9/(-5*56.9))))-(-5/-5)))))</f>
        <v>914778.5249999999</v>
      </c>
      <c r="C15691" t="n" s="0">
        <v>914778.5249999999</v>
      </c>
    </row>
    <row r="15692">
      <c r="A15692" t="n" s="0">
        <v>56.91</v>
      </c>
      <c r="B15692" t="n" s="0">
        <f>(-5-((((-5*(-5/((-5/(((-5*(56.91--5))-(-5+((-5*56.91)*(((-5--5)+(56.91--5))+56.91))))-(-5+-5)))*-5)))/-5)--5)+(-5*(((56.91*(56.91-(-5/-5)))*(56.91-(56.91/(-5*56.91))))-(-5/-5)))))</f>
        <v>915262.005655</v>
      </c>
      <c r="C15692" t="n" s="0">
        <v>915262.0056549996</v>
      </c>
    </row>
    <row r="15693">
      <c r="A15693" t="n" s="0">
        <v>56.92</v>
      </c>
      <c r="B15693" t="n" s="0">
        <f>(-5-((((-5*(-5/((-5/(((-5*(56.92--5))-(-5+((-5*56.92)*(((-5--5)+(56.92--5))+56.92))))-(-5+-5)))*-5)))/-5)--5)+(-5*(((56.92*(56.92-(-5/-5)))*(56.92-(56.92/(-5*56.92))))-(-5/-5)))))</f>
        <v>915745.65664</v>
      </c>
      <c r="C15693" t="n" s="0">
        <v>915745.6566400001</v>
      </c>
    </row>
    <row r="15694">
      <c r="A15694" t="n" s="0">
        <v>56.93</v>
      </c>
      <c r="B15694" t="n" s="0">
        <f>(-5-((((-5*(-5/((-5/(((-5*(56.93--5))-(-5+((-5*56.93)*(((-5--5)+(56.93--5))+56.93))))-(-5+-5)))*-5)))/-5)--5)+(-5*(((56.93*(56.93-(-5/-5)))*(56.93-(56.93/(-5*56.93))))-(-5/-5)))))</f>
        <v>916229.477985</v>
      </c>
      <c r="C15694" t="n" s="0">
        <v>916229.4779849999</v>
      </c>
    </row>
    <row r="15695">
      <c r="A15695" t="n" s="0">
        <v>56.94</v>
      </c>
      <c r="B15695" t="n" s="0">
        <f>(-5-((((-5*(-5/((-5/(((-5*(56.94--5))-(-5+((-5*56.94)*(((-5--5)+(56.94--5))+56.94))))-(-5+-5)))*-5)))/-5)--5)+(-5*(((56.94*(56.94-(-5/-5)))*(56.94-(56.94/(-5*56.94))))-(-5/-5)))))</f>
        <v>916713.46972</v>
      </c>
      <c r="C15695" t="n" s="0">
        <v>916713.4697199998</v>
      </c>
    </row>
    <row r="15696">
      <c r="A15696" t="n" s="0">
        <v>56.95</v>
      </c>
      <c r="B15696" t="n" s="0">
        <f>(-5-((((-5*(-5/((-5/(((-5*(56.95--5))-(-5+((-5*56.95)*(((-5--5)+(56.95--5))+56.95))))-(-5+-5)))*-5)))/-5)--5)+(-5*(((56.95*(56.95-(-5/-5)))*(56.95-(56.95/(-5*56.95))))-(-5/-5)))))</f>
        <v>917197.6318750001</v>
      </c>
      <c r="C15696" t="n" s="0">
        <v>917197.6318750001</v>
      </c>
    </row>
    <row r="15697">
      <c r="A15697" t="n" s="0">
        <v>56.96</v>
      </c>
      <c r="B15697" t="n" s="0">
        <f>(-5-((((-5*(-5/((-5/(((-5*(56.96--5))-(-5+((-5*56.96)*(((-5--5)+(56.96--5))+56.96))))-(-5+-5)))*-5)))/-5)--5)+(-5*(((56.96*(56.96-(-5/-5)))*(56.96-(56.96/(-5*56.96))))-(-5/-5)))))</f>
        <v>917681.96448</v>
      </c>
      <c r="C15697" t="n" s="0">
        <v>917681.9644800001</v>
      </c>
    </row>
    <row r="15698">
      <c r="A15698" t="n" s="0">
        <v>56.97</v>
      </c>
      <c r="B15698" t="n" s="0">
        <f>(-5-((((-5*(-5/((-5/(((-5*(56.97--5))-(-5+((-5*56.97)*(((-5--5)+(56.97--5))+56.97))))-(-5+-5)))*-5)))/-5)--5)+(-5*(((56.97*(56.97-(-5/-5)))*(56.97-(56.97/(-5*56.97))))-(-5/-5)))))</f>
        <v>918166.467565</v>
      </c>
      <c r="C15698" t="n" s="0">
        <v>918166.467565</v>
      </c>
    </row>
    <row r="15699">
      <c r="A15699" t="n" s="0">
        <v>56.98</v>
      </c>
      <c r="B15699" t="n" s="0">
        <f>(-5-((((-5*(-5/((-5/(((-5*(56.98--5))-(-5+((-5*56.98)*(((-5--5)+(56.98--5))+56.98))))-(-5+-5)))*-5)))/-5)--5)+(-5*(((56.98*(56.98-(-5/-5)))*(56.98-(56.98/(-5*56.98))))-(-5/-5)))))</f>
        <v>918651.14116</v>
      </c>
      <c r="C15699" t="n" s="0">
        <v>918651.1411599998</v>
      </c>
    </row>
    <row r="15700">
      <c r="A15700" t="n" s="0">
        <v>56.99</v>
      </c>
      <c r="B15700" t="n" s="0">
        <f>(-5-((((-5*(-5/((-5/(((-5*(56.99--5))-(-5+((-5*56.99)*(((-5--5)+(56.99--5))+56.99))))-(-5+-5)))*-5)))/-5)--5)+(-5*(((56.99*(56.99-(-5/-5)))*(56.99-(56.99/(-5*56.99))))-(-5/-5)))))</f>
        <v>919135.9852949999</v>
      </c>
      <c r="C15700" t="n" s="0">
        <v>919135.9852950001</v>
      </c>
    </row>
    <row r="15701">
      <c r="A15701" t="n" s="0">
        <v>57.0</v>
      </c>
      <c r="B15701" t="n" s="0">
        <f>(-5-((((-5*(-5/((-5/(((-5*(57--5))-(-5+((-5*57)*(((-5--5)+(57--5))+57))))-(-5+-5)))*-5)))/-5)--5)+(-5*(((57*(57-(-5/-5)))*(57-(57/(-5*57))))-(-5/-5)))))</f>
        <v>919621.0</v>
      </c>
      <c r="C15701" t="n" s="0">
        <v>919621.0</v>
      </c>
    </row>
    <row r="15702">
      <c r="A15702" t="n" s="0">
        <v>57.01</v>
      </c>
      <c r="B15702" t="n" s="0">
        <f>(-5-((((-5*(-5/((-5/(((-5*(57.01--5))-(-5+((-5*57.01)*(((-5--5)+(57.01--5))+57.01))))-(-5+-5)))*-5)))/-5)--5)+(-5*(((57.01*(57.01-(-5/-5)))*(57.01-(57.01/(-5*57.01))))-(-5/-5)))))</f>
        <v>920106.185305</v>
      </c>
      <c r="C15702" t="n" s="0">
        <v>920106.1853049999</v>
      </c>
    </row>
    <row r="15703">
      <c r="A15703" t="n" s="0">
        <v>57.02</v>
      </c>
      <c r="B15703" t="n" s="0">
        <f>(-5-((((-5*(-5/((-5/(((-5*(57.02--5))-(-5+((-5*57.02)*(((-5--5)+(57.02--5))+57.02))))-(-5+-5)))*-5)))/-5)--5)+(-5*(((57.02*(57.02-(-5/-5)))*(57.02-(57.02/(-5*57.02))))-(-5/-5)))))</f>
        <v>920591.5412399999</v>
      </c>
      <c r="C15703" t="n" s="0">
        <v>920591.5412400002</v>
      </c>
    </row>
    <row r="15704">
      <c r="A15704" t="n" s="0">
        <v>57.03</v>
      </c>
      <c r="B15704" t="n" s="0">
        <f>(-5-((((-5*(-5/((-5/(((-5*(57.03--5))-(-5+((-5*57.03)*(((-5--5)+(57.03--5))+57.03))))-(-5+-5)))*-5)))/-5)--5)+(-5*(((57.03*(57.03-(-5/-5)))*(57.03-(57.03/(-5*57.03))))-(-5/-5)))))</f>
        <v>921077.0678349999</v>
      </c>
      <c r="C15704" t="n" s="0">
        <v>921077.067835</v>
      </c>
    </row>
    <row r="15705">
      <c r="A15705" t="n" s="0">
        <v>57.04</v>
      </c>
      <c r="B15705" t="n" s="0">
        <f>(-5-((((-5*(-5/((-5/(((-5*(57.04--5))-(-5+((-5*57.04)*(((-5--5)+(57.04--5))+57.04))))-(-5+-5)))*-5)))/-5)--5)+(-5*(((57.04*(57.04-(-5/-5)))*(57.04-(57.04/(-5*57.04))))-(-5/-5)))))</f>
        <v>921562.7651200001</v>
      </c>
      <c r="C15705" t="n" s="0">
        <v>921562.7651199999</v>
      </c>
    </row>
    <row r="15706">
      <c r="A15706" t="n" s="0">
        <v>57.05</v>
      </c>
      <c r="B15706" t="n" s="0">
        <f>(-5-((((-5*(-5/((-5/(((-5*(57.05--5))-(-5+((-5*57.05)*(((-5--5)+(57.05--5))+57.05))))-(-5+-5)))*-5)))/-5)--5)+(-5*(((57.05*(57.05-(-5/-5)))*(57.05-(57.05/(-5*57.05))))-(-5/-5)))))</f>
        <v>922048.6331249999</v>
      </c>
      <c r="C15706" t="n" s="0">
        <v>922048.6331249998</v>
      </c>
    </row>
    <row r="15707">
      <c r="A15707" t="n" s="0">
        <v>57.06</v>
      </c>
      <c r="B15707" t="n" s="0">
        <f>(-5-((((-5*(-5/((-5/(((-5*(57.06--5))-(-5+((-5*57.06)*(((-5--5)+(57.06--5))+57.06))))-(-5+-5)))*-5)))/-5)--5)+(-5*(((57.06*(57.06-(-5/-5)))*(57.06-(57.06/(-5*57.06))))-(-5/-5)))))</f>
        <v>922534.67188</v>
      </c>
      <c r="C15707" t="n" s="0">
        <v>922534.67188</v>
      </c>
    </row>
    <row r="15708">
      <c r="A15708" t="n" s="0">
        <v>57.07</v>
      </c>
      <c r="B15708" t="n" s="0">
        <f>(-5-((((-5*(-5/((-5/(((-5*(57.07--5))-(-5+((-5*57.07)*(((-5--5)+(57.07--5))+57.07))))-(-5+-5)))*-5)))/-5)--5)+(-5*(((57.07*(57.07-(-5/-5)))*(57.07-(57.07/(-5*57.07))))-(-5/-5)))))</f>
        <v>923020.881415</v>
      </c>
      <c r="C15708" t="n" s="0">
        <v>923020.8814150001</v>
      </c>
    </row>
    <row r="15709">
      <c r="A15709" t="n" s="0">
        <v>57.08</v>
      </c>
      <c r="B15709" t="n" s="0">
        <f>(-5-((((-5*(-5/((-5/(((-5*(57.08--5))-(-5+((-5*57.08)*(((-5--5)+(57.08--5))+57.08))))-(-5+-5)))*-5)))/-5)--5)+(-5*(((57.08*(57.08-(-5/-5)))*(57.08-(57.08/(-5*57.08))))-(-5/-5)))))</f>
        <v>923507.26176</v>
      </c>
      <c r="C15709" t="n" s="0">
        <v>923507.2617599999</v>
      </c>
    </row>
    <row r="15710">
      <c r="A15710" t="n" s="0">
        <v>57.09</v>
      </c>
      <c r="B15710" t="n" s="0">
        <f>(-5-((((-5*(-5/((-5/(((-5*(57.09--5))-(-5+((-5*57.09)*(((-5--5)+(57.09--5))+57.09))))-(-5+-5)))*-5)))/-5)--5)+(-5*(((57.09*(57.09-(-5/-5)))*(57.09-(57.09/(-5*57.09))))-(-5/-5)))))</f>
        <v>923993.812945</v>
      </c>
      <c r="C15710" t="n" s="0">
        <v>923993.8129450002</v>
      </c>
    </row>
    <row r="15711">
      <c r="A15711" t="n" s="0">
        <v>57.1</v>
      </c>
      <c r="B15711" t="n" s="0">
        <f>(-5-((((-5*(-5/((-5/(((-5*(57.1--5))-(-5+((-5*57.1)*(((-5--5)+(57.1--5))+57.1))))-(-5+-5)))*-5)))/-5)--5)+(-5*(((57.1*(57.1-(-5/-5)))*(57.1-(57.1/(-5*57.1))))-(-5/-5)))))</f>
        <v>924480.5349999999</v>
      </c>
      <c r="C15711" t="n" s="0">
        <v>924480.5350000003</v>
      </c>
    </row>
    <row r="15712">
      <c r="A15712" t="n" s="0">
        <v>57.11</v>
      </c>
      <c r="B15712" t="n" s="0">
        <f>(-5-((((-5*(-5/((-5/(((-5*(57.11--5))-(-5+((-5*57.11)*(((-5--5)+(57.11--5))+57.11))))-(-5+-5)))*-5)))/-5)--5)+(-5*(((57.11*(57.11-(-5/-5)))*(57.11-(57.11/(-5*57.11))))-(-5/-5)))))</f>
        <v>924967.427955</v>
      </c>
      <c r="C15712" t="n" s="0">
        <v>924967.427955</v>
      </c>
    </row>
    <row r="15713">
      <c r="A15713" t="n" s="0">
        <v>57.12</v>
      </c>
      <c r="B15713" t="n" s="0">
        <f>(-5-((((-5*(-5/((-5/(((-5*(57.12--5))-(-5+((-5*57.12)*(((-5--5)+(57.12--5))+57.12))))-(-5+-5)))*-5)))/-5)--5)+(-5*(((57.12*(57.12-(-5/-5)))*(57.12-(57.12/(-5*57.12))))-(-5/-5)))))</f>
        <v>925454.49184</v>
      </c>
      <c r="C15713" t="n" s="0">
        <v>925454.4918399999</v>
      </c>
    </row>
    <row r="15714">
      <c r="A15714" t="n" s="0">
        <v>57.13</v>
      </c>
      <c r="B15714" t="n" s="0">
        <f>(-5-((((-5*(-5/((-5/(((-5*(57.13--5))-(-5+((-5*57.13)*(((-5--5)+(57.13--5))+57.13))))-(-5+-5)))*-5)))/-5)--5)+(-5*(((57.13*(57.13-(-5/-5)))*(57.13-(57.13/(-5*57.13))))-(-5/-5)))))</f>
        <v>925941.726685</v>
      </c>
      <c r="C15714" t="n" s="0">
        <v>925941.7266850001</v>
      </c>
    </row>
    <row r="15715">
      <c r="A15715" t="n" s="0">
        <v>57.14</v>
      </c>
      <c r="B15715" t="n" s="0">
        <f>(-5-((((-5*(-5/((-5/(((-5*(57.14--5))-(-5+((-5*57.14)*(((-5--5)+(57.14--5))+57.14))))-(-5+-5)))*-5)))/-5)--5)+(-5*(((57.14*(57.14-(-5/-5)))*(57.14-(57.14/(-5*57.14))))-(-5/-5)))))</f>
        <v>926429.13252</v>
      </c>
      <c r="C15715" t="n" s="0">
        <v>926429.13252</v>
      </c>
    </row>
    <row r="15716">
      <c r="A15716" t="n" s="0">
        <v>57.15</v>
      </c>
      <c r="B15716" t="n" s="0">
        <f>(-5-((((-5*(-5/((-5/(((-5*(57.15--5))-(-5+((-5*57.15)*(((-5--5)+(57.15--5))+57.15))))-(-5+-5)))*-5)))/-5)--5)+(-5*(((57.15*(57.15-(-5/-5)))*(57.15-(57.15/(-5*57.15))))-(-5/-5)))))</f>
        <v>926916.709375</v>
      </c>
      <c r="C15716" t="n" s="0">
        <v>926916.709375</v>
      </c>
    </row>
    <row r="15717">
      <c r="A15717" t="n" s="0">
        <v>57.16</v>
      </c>
      <c r="B15717" t="n" s="0">
        <f>(-5-((((-5*(-5/((-5/(((-5*(57.16--5))-(-5+((-5*57.16)*(((-5--5)+(57.16--5))+57.16))))-(-5+-5)))*-5)))/-5)--5)+(-5*(((57.16*(57.16-(-5/-5)))*(57.16-(57.16/(-5*57.16))))-(-5/-5)))))</f>
        <v>927404.45728</v>
      </c>
      <c r="C15717" t="n" s="0">
        <v>927404.4572799999</v>
      </c>
    </row>
    <row r="15718">
      <c r="A15718" t="n" s="0">
        <v>57.17</v>
      </c>
      <c r="B15718" t="n" s="0">
        <f>(-5-((((-5*(-5/((-5/(((-5*(57.17--5))-(-5+((-5*57.17)*(((-5--5)+(57.17--5))+57.17))))-(-5+-5)))*-5)))/-5)--5)+(-5*(((57.17*(57.17-(-5/-5)))*(57.17-(57.17/(-5*57.17))))-(-5/-5)))))</f>
        <v>927892.376265</v>
      </c>
      <c r="C15718" t="n" s="0">
        <v>927892.3762650001</v>
      </c>
    </row>
    <row r="15719">
      <c r="A15719" t="n" s="0">
        <v>57.18</v>
      </c>
      <c r="B15719" t="n" s="0">
        <f>(-5-((((-5*(-5/((-5/(((-5*(57.18--5))-(-5+((-5*57.18)*(((-5--5)+(57.18--5))+57.18))))-(-5+-5)))*-5)))/-5)--5)+(-5*(((57.18*(57.18-(-5/-5)))*(57.18-(57.18/(-5*57.18))))-(-5/-5)))))</f>
        <v>928380.46636</v>
      </c>
      <c r="C15719" t="n" s="0">
        <v>928380.46636</v>
      </c>
    </row>
    <row r="15720">
      <c r="A15720" t="n" s="0">
        <v>57.19</v>
      </c>
      <c r="B15720" t="n" s="0">
        <f>(-5-((((-5*(-5/((-5/(((-5*(57.19--5))-(-5+((-5*57.19)*(((-5--5)+(57.19--5))+57.19))))-(-5+-5)))*-5)))/-5)--5)+(-5*(((57.19*(57.19-(-5/-5)))*(57.19-(57.19/(-5*57.19))))-(-5/-5)))))</f>
        <v>928868.7275950001</v>
      </c>
      <c r="C15720" t="n" s="0">
        <v>928868.7275949998</v>
      </c>
    </row>
    <row r="15721">
      <c r="A15721" t="n" s="0">
        <v>57.2</v>
      </c>
      <c r="B15721" t="n" s="0">
        <f>(-5-((((-5*(-5/((-5/(((-5*(57.2--5))-(-5+((-5*57.2)*(((-5--5)+(57.2--5))+57.2))))-(-5+-5)))*-5)))/-5)--5)+(-5*(((57.2*(57.2-(-5/-5)))*(57.2-(57.2/(-5*57.2))))-(-5/-5)))))</f>
        <v>929357.16</v>
      </c>
      <c r="C15721" t="n" s="0">
        <v>929357.16</v>
      </c>
    </row>
    <row r="15722">
      <c r="A15722" t="n" s="0">
        <v>57.21</v>
      </c>
      <c r="B15722" t="n" s="0">
        <f>(-5-((((-5*(-5/((-5/(((-5*(57.21--5))-(-5+((-5*57.21)*(((-5--5)+(57.21--5))+57.21))))-(-5+-5)))*-5)))/-5)--5)+(-5*(((57.21*(57.21-(-5/-5)))*(57.21-(57.21/(-5*57.21))))-(-5/-5)))))</f>
        <v>929845.763605</v>
      </c>
      <c r="C15722" t="n" s="0">
        <v>929845.763605</v>
      </c>
    </row>
    <row r="15723">
      <c r="A15723" t="n" s="0">
        <v>57.22</v>
      </c>
      <c r="B15723" t="n" s="0">
        <f>(-5-((((-5*(-5/((-5/(((-5*(57.22--5))-(-5+((-5*57.22)*(((-5--5)+(57.22--5))+57.22))))-(-5+-5)))*-5)))/-5)--5)+(-5*(((57.22*(57.22-(-5/-5)))*(57.22-(57.22/(-5*57.22))))-(-5/-5)))))</f>
        <v>930334.53844</v>
      </c>
      <c r="C15723" t="n" s="0">
        <v>930334.53844</v>
      </c>
    </row>
    <row r="15724">
      <c r="A15724" t="n" s="0">
        <v>57.23</v>
      </c>
      <c r="B15724" t="n" s="0">
        <f>(-5-((((-5*(-5/((-5/(((-5*(57.23--5))-(-5+((-5*57.23)*(((-5--5)+(57.23--5))+57.23))))-(-5+-5)))*-5)))/-5)--5)+(-5*(((57.23*(57.23-(-5/-5)))*(57.23-(57.23/(-5*57.23))))-(-5/-5)))))</f>
        <v>930823.484535</v>
      </c>
      <c r="C15724" t="n" s="0">
        <v>930823.4845349998</v>
      </c>
    </row>
    <row r="15725">
      <c r="A15725" t="n" s="0">
        <v>57.24</v>
      </c>
      <c r="B15725" t="n" s="0">
        <f>(-5-((((-5*(-5/((-5/(((-5*(57.24--5))-(-5+((-5*57.24)*(((-5--5)+(57.24--5))+57.24))))-(-5+-5)))*-5)))/-5)--5)+(-5*(((57.24*(57.24-(-5/-5)))*(57.24-(57.24/(-5*57.24))))-(-5/-5)))))</f>
        <v>931312.60192</v>
      </c>
      <c r="C15725" t="n" s="0">
        <v>931312.60192</v>
      </c>
    </row>
    <row r="15726">
      <c r="A15726" t="n" s="0">
        <v>57.25</v>
      </c>
      <c r="B15726" t="n" s="0">
        <f>(-5-((((-5*(-5/((-5/(((-5*(57.25--5))-(-5+((-5*57.25)*(((-5--5)+(57.25--5))+57.25))))-(-5+-5)))*-5)))/-5)--5)+(-5*(((57.25*(57.25-(-5/-5)))*(57.25-(57.25/(-5*57.25))))-(-5/-5)))))</f>
        <v>931801.890625</v>
      </c>
      <c r="C15726" t="n" s="0">
        <v>931801.890625</v>
      </c>
    </row>
    <row r="15727">
      <c r="A15727" t="n" s="0">
        <v>57.26</v>
      </c>
      <c r="B15727" t="n" s="0">
        <f>(-5-((((-5*(-5/((-5/(((-5*(57.26--5))-(-5+((-5*57.26)*(((-5--5)+(57.26--5))+57.26))))-(-5+-5)))*-5)))/-5)--5)+(-5*(((57.26*(57.26-(-5/-5)))*(57.26-(57.26/(-5*57.26))))-(-5/-5)))))</f>
        <v>932291.3506799999</v>
      </c>
      <c r="C15727" t="n" s="0">
        <v>932291.3506799999</v>
      </c>
    </row>
    <row r="15728">
      <c r="A15728" t="n" s="0">
        <v>57.27</v>
      </c>
      <c r="B15728" t="n" s="0">
        <f>(-5-((((-5*(-5/((-5/(((-5*(57.27--5))-(-5+((-5*57.27)*(((-5--5)+(57.27--5))+57.27))))-(-5+-5)))*-5)))/-5)--5)+(-5*(((57.27*(57.27-(-5/-5)))*(57.27-(57.27/(-5*57.27))))-(-5/-5)))))</f>
        <v>932780.982115</v>
      </c>
      <c r="C15728" t="n" s="0">
        <v>932780.9821150003</v>
      </c>
    </row>
    <row r="15729">
      <c r="A15729" t="n" s="0">
        <v>57.28</v>
      </c>
      <c r="B15729" t="n" s="0">
        <f>(-5-((((-5*(-5/((-5/(((-5*(57.28--5))-(-5+((-5*57.28)*(((-5--5)+(57.28--5))+57.28))))-(-5+-5)))*-5)))/-5)--5)+(-5*(((57.28*(57.28-(-5/-5)))*(57.28-(57.28/(-5*57.28))))-(-5/-5)))))</f>
        <v>933270.7849600001</v>
      </c>
      <c r="C15729" t="n" s="0">
        <v>933270.7849600001</v>
      </c>
    </row>
    <row r="15730">
      <c r="A15730" t="n" s="0">
        <v>57.29</v>
      </c>
      <c r="B15730" t="n" s="0">
        <f>(-5-((((-5*(-5/((-5/(((-5*(57.29--5))-(-5+((-5*57.29)*(((-5--5)+(57.29--5))+57.29))))-(-5+-5)))*-5)))/-5)--5)+(-5*(((57.29*(57.29-(-5/-5)))*(57.29-(57.29/(-5*57.29))))-(-5/-5)))))</f>
        <v>933760.759245</v>
      </c>
      <c r="C15730" t="n" s="0">
        <v>933760.7592450001</v>
      </c>
    </row>
    <row r="15731">
      <c r="A15731" t="n" s="0">
        <v>57.3</v>
      </c>
      <c r="B15731" t="n" s="0">
        <f>(-5-((((-5*(-5/((-5/(((-5*(57.3--5))-(-5+((-5*57.3)*(((-5--5)+(57.3--5))+57.3))))-(-5+-5)))*-5)))/-5)--5)+(-5*(((57.3*(57.3-(-5/-5)))*(57.3-(57.3/(-5*57.3))))-(-5/-5)))))</f>
        <v>934250.905</v>
      </c>
      <c r="C15731" t="n" s="0">
        <v>934250.9049999999</v>
      </c>
    </row>
    <row r="15732">
      <c r="A15732" t="n" s="0">
        <v>57.31</v>
      </c>
      <c r="B15732" t="n" s="0">
        <f>(-5-((((-5*(-5/((-5/(((-5*(57.31--5))-(-5+((-5*57.31)*(((-5--5)+(57.31--5))+57.31))))-(-5+-5)))*-5)))/-5)--5)+(-5*(((57.31*(57.31-(-5/-5)))*(57.31-(57.31/(-5*57.31))))-(-5/-5)))))</f>
        <v>934741.222255</v>
      </c>
      <c r="C15732" t="n" s="0">
        <v>934741.2222550001</v>
      </c>
    </row>
    <row r="15733">
      <c r="A15733" t="n" s="0">
        <v>57.32</v>
      </c>
      <c r="B15733" t="n" s="0">
        <f>(-5-((((-5*(-5/((-5/(((-5*(57.32--5))-(-5+((-5*57.32)*(((-5--5)+(57.32--5))+57.32))))-(-5+-5)))*-5)))/-5)--5)+(-5*(((57.32*(57.32-(-5/-5)))*(57.32-(57.32/(-5*57.32))))-(-5/-5)))))</f>
        <v>935231.7110400001</v>
      </c>
      <c r="C15733" t="n" s="0">
        <v>935231.71104</v>
      </c>
    </row>
    <row r="15734">
      <c r="A15734" t="n" s="0">
        <v>57.33</v>
      </c>
      <c r="B15734" t="n" s="0">
        <f>(-5-((((-5*(-5/((-5/(((-5*(57.33--5))-(-5+((-5*57.33)*(((-5--5)+(57.33--5))+57.33))))-(-5+-5)))*-5)))/-5)--5)+(-5*(((57.33*(57.33-(-5/-5)))*(57.33-(57.33/(-5*57.33))))-(-5/-5)))))</f>
        <v>935722.3713850001</v>
      </c>
      <c r="C15734" t="n" s="0">
        <v>935722.371385</v>
      </c>
    </row>
    <row r="15735">
      <c r="A15735" t="n" s="0">
        <v>57.34</v>
      </c>
      <c r="B15735" t="n" s="0">
        <f>(-5-((((-5*(-5/((-5/(((-5*(57.34--5))-(-5+((-5*57.34)*(((-5--5)+(57.34--5))+57.34))))-(-5+-5)))*-5)))/-5)--5)+(-5*(((57.34*(57.34-(-5/-5)))*(57.34-(57.34/(-5*57.34))))-(-5/-5)))))</f>
        <v>936213.2033200001</v>
      </c>
      <c r="C15735" t="n" s="0">
        <v>936213.2033200001</v>
      </c>
    </row>
    <row r="15736">
      <c r="A15736" t="n" s="0">
        <v>57.35</v>
      </c>
      <c r="B15736" t="n" s="0">
        <f>(-5-((((-5*(-5/((-5/(((-5*(57.35--5))-(-5+((-5*57.35)*(((-5--5)+(57.35--5))+57.35))))-(-5+-5)))*-5)))/-5)--5)+(-5*(((57.35*(57.35-(-5/-5)))*(57.35-(57.35/(-5*57.35))))-(-5/-5)))))</f>
        <v>936704.2068749999</v>
      </c>
      <c r="C15736" t="n" s="0">
        <v>936704.206875</v>
      </c>
    </row>
    <row r="15737">
      <c r="A15737" t="n" s="0">
        <v>57.36</v>
      </c>
      <c r="B15737" t="n" s="0">
        <f>(-5-((((-5*(-5/((-5/(((-5*(57.36--5))-(-5+((-5*57.36)*(((-5--5)+(57.36--5))+57.36))))-(-5+-5)))*-5)))/-5)--5)+(-5*(((57.36*(57.36-(-5/-5)))*(57.36-(57.36/(-5*57.36))))-(-5/-5)))))</f>
        <v>937195.38208</v>
      </c>
      <c r="C15737" t="n" s="0">
        <v>937195.3820799999</v>
      </c>
    </row>
    <row r="15738">
      <c r="A15738" t="n" s="0">
        <v>57.37</v>
      </c>
      <c r="B15738" t="n" s="0">
        <f>(-5-((((-5*(-5/((-5/(((-5*(57.37--5))-(-5+((-5*57.37)*(((-5--5)+(57.37--5))+57.37))))-(-5+-5)))*-5)))/-5)--5)+(-5*(((57.37*(57.37-(-5/-5)))*(57.37-(57.37/(-5*57.37))))-(-5/-5)))))</f>
        <v>937686.728965</v>
      </c>
      <c r="C15738" t="n" s="0">
        <v>937686.7289649999</v>
      </c>
    </row>
    <row r="15739">
      <c r="A15739" t="n" s="0">
        <v>57.38</v>
      </c>
      <c r="B15739" t="n" s="0">
        <f>(-5-((((-5*(-5/((-5/(((-5*(57.38--5))-(-5+((-5*57.38)*(((-5--5)+(57.38--5))+57.38))))-(-5+-5)))*-5)))/-5)--5)+(-5*(((57.38*(57.38-(-5/-5)))*(57.38-(57.38/(-5*57.38))))-(-5/-5)))))</f>
        <v>938178.24756</v>
      </c>
      <c r="C15739" t="n" s="0">
        <v>938178.2475600002</v>
      </c>
    </row>
    <row r="15740">
      <c r="A15740" t="n" s="0">
        <v>57.39</v>
      </c>
      <c r="B15740" t="n" s="0">
        <f>(-5-((((-5*(-5/((-5/(((-5*(57.39--5))-(-5+((-5*57.39)*(((-5--5)+(57.39--5))+57.39))))-(-5+-5)))*-5)))/-5)--5)+(-5*(((57.39*(57.39-(-5/-5)))*(57.39-(57.39/(-5*57.39))))-(-5/-5)))))</f>
        <v>938669.937895</v>
      </c>
      <c r="C15740" t="n" s="0">
        <v>938669.937895</v>
      </c>
    </row>
    <row r="15741">
      <c r="A15741" t="n" s="0">
        <v>57.4</v>
      </c>
      <c r="B15741" t="n" s="0">
        <f>(-5-((((-5*(-5/((-5/(((-5*(57.4--5))-(-5+((-5*57.4)*(((-5--5)+(57.4--5))+57.4))))-(-5+-5)))*-5)))/-5)--5)+(-5*(((57.4*(57.4-(-5/-5)))*(57.4-(57.4/(-5*57.4))))-(-5/-5)))))</f>
        <v>939161.8</v>
      </c>
      <c r="C15741" t="n" s="0">
        <v>939161.7999999998</v>
      </c>
    </row>
    <row r="15742">
      <c r="A15742" t="n" s="0">
        <v>57.41</v>
      </c>
      <c r="B15742" t="n" s="0">
        <f>(-5-((((-5*(-5/((-5/(((-5*(57.41--5))-(-5+((-5*57.41)*(((-5--5)+(57.41--5))+57.41))))-(-5+-5)))*-5)))/-5)--5)+(-5*(((57.41*(57.41-(-5/-5)))*(57.41-(57.41/(-5*57.41))))-(-5/-5)))))</f>
        <v>939653.833905</v>
      </c>
      <c r="C15742" t="n" s="0">
        <v>939653.8339049998</v>
      </c>
    </row>
    <row r="15743">
      <c r="A15743" t="n" s="0">
        <v>57.42</v>
      </c>
      <c r="B15743" t="n" s="0">
        <f>(-5-((((-5*(-5/((-5/(((-5*(57.42--5))-(-5+((-5*57.42)*(((-5--5)+(57.42--5))+57.42))))-(-5+-5)))*-5)))/-5)--5)+(-5*(((57.42*(57.42-(-5/-5)))*(57.42-(57.42/(-5*57.42))))-(-5/-5)))))</f>
        <v>940146.0396400001</v>
      </c>
      <c r="C15743" t="n" s="0">
        <v>940146.0396400001</v>
      </c>
    </row>
    <row r="15744">
      <c r="A15744" t="n" s="0">
        <v>57.43</v>
      </c>
      <c r="B15744" t="n" s="0">
        <f>(-5-((((-5*(-5/((-5/(((-5*(57.43--5))-(-5+((-5*57.43)*(((-5--5)+(57.43--5))+57.43))))-(-5+-5)))*-5)))/-5)--5)+(-5*(((57.43*(57.43-(-5/-5)))*(57.43-(57.43/(-5*57.43))))-(-5/-5)))))</f>
        <v>940638.417235</v>
      </c>
      <c r="C15744" t="n" s="0">
        <v>940638.417235</v>
      </c>
    </row>
    <row r="15745">
      <c r="A15745" t="n" s="0">
        <v>57.44</v>
      </c>
      <c r="B15745" t="n" s="0">
        <f>(-5-((((-5*(-5/((-5/(((-5*(57.44--5))-(-5+((-5*57.44)*(((-5--5)+(57.44--5))+57.44))))-(-5+-5)))*-5)))/-5)--5)+(-5*(((57.44*(57.44-(-5/-5)))*(57.44-(57.44/(-5*57.44))))-(-5/-5)))))</f>
        <v>941130.9667199999</v>
      </c>
      <c r="C15745" t="n" s="0">
        <v>941130.9667199999</v>
      </c>
    </row>
    <row r="15746">
      <c r="A15746" t="n" s="0">
        <v>57.45</v>
      </c>
      <c r="B15746" t="n" s="0">
        <f>(-5-((((-5*(-5/((-5/(((-5*(57.45--5))-(-5+((-5*57.45)*(((-5--5)+(57.45--5))+57.45))))-(-5+-5)))*-5)))/-5)--5)+(-5*(((57.45*(57.45-(-5/-5)))*(57.45-(57.45/(-5*57.45))))-(-5/-5)))))</f>
        <v>941623.6881250001</v>
      </c>
      <c r="C15746" t="n" s="0">
        <v>941623.6881250001</v>
      </c>
    </row>
    <row r="15747">
      <c r="A15747" t="n" s="0">
        <v>57.46</v>
      </c>
      <c r="B15747" t="n" s="0">
        <f>(-5-((((-5*(-5/((-5/(((-5*(57.46--5))-(-5+((-5*57.46)*(((-5--5)+(57.46--5))+57.46))))-(-5+-5)))*-5)))/-5)--5)+(-5*(((57.46*(57.46-(-5/-5)))*(57.46-(57.46/(-5*57.46))))-(-5/-5)))))</f>
        <v>942116.5814799999</v>
      </c>
      <c r="C15747" t="n" s="0">
        <v>942116.5814800002</v>
      </c>
    </row>
    <row r="15748">
      <c r="A15748" t="n" s="0">
        <v>57.47</v>
      </c>
      <c r="B15748" t="n" s="0">
        <f>(-5-((((-5*(-5/((-5/(((-5*(57.47--5))-(-5+((-5*57.47)*(((-5--5)+(57.47--5))+57.47))))-(-5+-5)))*-5)))/-5)--5)+(-5*(((57.47*(57.47-(-5/-5)))*(57.47-(57.47/(-5*57.47))))-(-5/-5)))))</f>
        <v>942609.6468150001</v>
      </c>
      <c r="C15748" t="n" s="0">
        <v>942609.646815</v>
      </c>
    </row>
    <row r="15749">
      <c r="A15749" t="n" s="0">
        <v>57.48</v>
      </c>
      <c r="B15749" t="n" s="0">
        <f>(-5-((((-5*(-5/((-5/(((-5*(57.48--5))-(-5+((-5*57.48)*(((-5--5)+(57.48--5))+57.48))))-(-5+-5)))*-5)))/-5)--5)+(-5*(((57.48*(57.48-(-5/-5)))*(57.48-(57.48/(-5*57.48))))-(-5/-5)))))</f>
        <v>943102.88416</v>
      </c>
      <c r="C15749" t="n" s="0">
        <v>943102.8841599998</v>
      </c>
    </row>
    <row r="15750">
      <c r="A15750" t="n" s="0">
        <v>57.49</v>
      </c>
      <c r="B15750" t="n" s="0">
        <f>(-5-((((-5*(-5/((-5/(((-5*(57.49--5))-(-5+((-5*57.49)*(((-5--5)+(57.49--5))+57.49))))-(-5+-5)))*-5)))/-5)--5)+(-5*(((57.49*(57.49-(-5/-5)))*(57.49-(57.49/(-5*57.49))))-(-5/-5)))))</f>
        <v>943596.2935449999</v>
      </c>
      <c r="C15750" t="n" s="0">
        <v>943596.2935450001</v>
      </c>
    </row>
    <row r="15751">
      <c r="A15751" t="n" s="0">
        <v>57.5</v>
      </c>
      <c r="B15751" t="n" s="0">
        <f>(-5-((((-5*(-5/((-5/(((-5*(57.5--5))-(-5+((-5*57.5)*(((-5--5)+(57.5--5))+57.5))))-(-5+-5)))*-5)))/-5)--5)+(-5*(((57.5*(57.5-(-5/-5)))*(57.5-(57.5/(-5*57.5))))-(-5/-5)))))</f>
        <v>944089.875</v>
      </c>
      <c r="C15751" t="n" s="0">
        <v>944089.875</v>
      </c>
    </row>
    <row r="15752">
      <c r="A15752" t="n" s="0">
        <v>57.51</v>
      </c>
      <c r="B15752" t="n" s="0">
        <f>(-5-((((-5*(-5/((-5/(((-5*(57.51--5))-(-5+((-5*57.51)*(((-5--5)+(57.51--5))+57.51))))-(-5+-5)))*-5)))/-5)--5)+(-5*(((57.51*(57.51-(-5/-5)))*(57.51-(57.51/(-5*57.51))))-(-5/-5)))))</f>
        <v>944583.628555</v>
      </c>
      <c r="C15752" t="n" s="0">
        <v>944583.628555</v>
      </c>
    </row>
    <row r="15753">
      <c r="A15753" t="n" s="0">
        <v>57.52</v>
      </c>
      <c r="B15753" t="n" s="0">
        <f>(-5-((((-5*(-5/((-5/(((-5*(57.52--5))-(-5+((-5*57.52)*(((-5--5)+(57.52--5))+57.52))))-(-5+-5)))*-5)))/-5)--5)+(-5*(((57.52*(57.52-(-5/-5)))*(57.52-(57.52/(-5*57.52))))-(-5/-5)))))</f>
        <v>945077.55424</v>
      </c>
      <c r="C15753" t="n" s="0">
        <v>945077.5542400001</v>
      </c>
    </row>
    <row r="15754">
      <c r="A15754" t="n" s="0">
        <v>57.53</v>
      </c>
      <c r="B15754" t="n" s="0">
        <f>(-5-((((-5*(-5/((-5/(((-5*(57.53--5))-(-5+((-5*57.53)*(((-5--5)+(57.53--5))+57.53))))-(-5+-5)))*-5)))/-5)--5)+(-5*(((57.53*(57.53-(-5/-5)))*(57.53-(57.53/(-5*57.53))))-(-5/-5)))))</f>
        <v>945571.652085</v>
      </c>
      <c r="C15754" t="n" s="0">
        <v>945571.6520850001</v>
      </c>
    </row>
    <row r="15755">
      <c r="A15755" t="n" s="0">
        <v>57.54</v>
      </c>
      <c r="B15755" t="n" s="0">
        <f>(-5-((((-5*(-5/((-5/(((-5*(57.54--5))-(-5+((-5*57.54)*(((-5--5)+(57.54--5))+57.54))))-(-5+-5)))*-5)))/-5)--5)+(-5*(((57.54*(57.54-(-5/-5)))*(57.54-(57.54/(-5*57.54))))-(-5/-5)))))</f>
        <v>946065.92212</v>
      </c>
      <c r="C15755" t="n" s="0">
        <v>946065.92212</v>
      </c>
    </row>
    <row r="15756">
      <c r="A15756" t="n" s="0">
        <v>57.55</v>
      </c>
      <c r="B15756" t="n" s="0">
        <f>(-5-((((-5*(-5/((-5/(((-5*(57.55--5))-(-5+((-5*57.55)*(((-5--5)+(57.55--5))+57.55))))-(-5+-5)))*-5)))/-5)--5)+(-5*(((57.55*(57.55-(-5/-5)))*(57.55-(57.55/(-5*57.55))))-(-5/-5)))))</f>
        <v>946560.364375</v>
      </c>
      <c r="C15756" t="n" s="0">
        <v>946560.3643749999</v>
      </c>
    </row>
    <row r="15757">
      <c r="A15757" t="n" s="0">
        <v>57.56</v>
      </c>
      <c r="B15757" t="n" s="0">
        <f>(-5-((((-5*(-5/((-5/(((-5*(57.56--5))-(-5+((-5*57.56)*(((-5--5)+(57.56--5))+57.56))))-(-5+-5)))*-5)))/-5)--5)+(-5*(((57.56*(57.56-(-5/-5)))*(57.56-(57.56/(-5*57.56))))-(-5/-5)))))</f>
        <v>947054.9788800001</v>
      </c>
      <c r="C15757" t="n" s="0">
        <v>947054.9788800002</v>
      </c>
    </row>
    <row r="15758">
      <c r="A15758" t="n" s="0">
        <v>57.57</v>
      </c>
      <c r="B15758" t="n" s="0">
        <f>(-5-((((-5*(-5/((-5/(((-5*(57.57--5))-(-5+((-5*57.57)*(((-5--5)+(57.57--5))+57.57))))-(-5+-5)))*-5)))/-5)--5)+(-5*(((57.57*(57.57-(-5/-5)))*(57.57-(57.57/(-5*57.57))))-(-5/-5)))))</f>
        <v>947549.765665</v>
      </c>
      <c r="C15758" t="n" s="0">
        <v>947549.7656650001</v>
      </c>
    </row>
    <row r="15759">
      <c r="A15759" t="n" s="0">
        <v>57.58</v>
      </c>
      <c r="B15759" t="n" s="0">
        <f>(-5-((((-5*(-5/((-5/(((-5*(57.58--5))-(-5+((-5*57.58)*(((-5--5)+(57.58--5))+57.58))))-(-5+-5)))*-5)))/-5)--5)+(-5*(((57.58*(57.58-(-5/-5)))*(57.58-(57.58/(-5*57.58))))-(-5/-5)))))</f>
        <v>948044.72476</v>
      </c>
      <c r="C15759" t="n" s="0">
        <v>948044.7247599999</v>
      </c>
    </row>
    <row r="15760">
      <c r="A15760" t="n" s="0">
        <v>57.59</v>
      </c>
      <c r="B15760" t="n" s="0">
        <f>(-5-((((-5*(-5/((-5/(((-5*(57.59--5))-(-5+((-5*57.59)*(((-5--5)+(57.59--5))+57.59))))-(-5+-5)))*-5)))/-5)--5)+(-5*(((57.59*(57.59-(-5/-5)))*(57.59-(57.59/(-5*57.59))))-(-5/-5)))))</f>
        <v>948539.856195</v>
      </c>
      <c r="C15760" t="n" s="0">
        <v>948539.8561950001</v>
      </c>
    </row>
    <row r="15761">
      <c r="A15761" t="n" s="0">
        <v>57.6</v>
      </c>
      <c r="B15761" t="n" s="0">
        <f>(-5-((((-5*(-5/((-5/(((-5*(57.6--5))-(-5+((-5*57.6)*(((-5--5)+(57.6--5))+57.6))))-(-5+-5)))*-5)))/-5)--5)+(-5*(((57.6*(57.6-(-5/-5)))*(57.6-(57.6/(-5*57.6))))-(-5/-5)))))</f>
        <v>949035.1599999999</v>
      </c>
      <c r="C15761" t="n" s="0">
        <v>949035.1600000001</v>
      </c>
    </row>
    <row r="15762">
      <c r="A15762" t="n" s="0">
        <v>57.61</v>
      </c>
      <c r="B15762" t="n" s="0">
        <f>(-5-((((-5*(-5/((-5/(((-5*(57.61--5))-(-5+((-5*57.61)*(((-5--5)+(57.61--5))+57.61))))-(-5+-5)))*-5)))/-5)--5)+(-5*(((57.61*(57.61-(-5/-5)))*(57.61-(57.61/(-5*57.61))))-(-5/-5)))))</f>
        <v>949530.636205</v>
      </c>
      <c r="C15762" t="n" s="0">
        <v>949530.6362049999</v>
      </c>
    </row>
    <row r="15763">
      <c r="A15763" t="n" s="0">
        <v>57.62</v>
      </c>
      <c r="B15763" t="n" s="0">
        <f>(-5-((((-5*(-5/((-5/(((-5*(57.62--5))-(-5+((-5*57.62)*(((-5--5)+(57.62--5))+57.62))))-(-5+-5)))*-5)))/-5)--5)+(-5*(((57.62*(57.62-(-5/-5)))*(57.62-(57.62/(-5*57.62))))-(-5/-5)))))</f>
        <v>950026.2848400001</v>
      </c>
      <c r="C15763" t="n" s="0">
        <v>950026.2848399999</v>
      </c>
    </row>
    <row r="15764">
      <c r="A15764" t="n" s="0">
        <v>57.63</v>
      </c>
      <c r="B15764" t="n" s="0">
        <f>(-5-((((-5*(-5/((-5/(((-5*(57.63--5))-(-5+((-5*57.63)*(((-5--5)+(57.63--5))+57.63))))-(-5+-5)))*-5)))/-5)--5)+(-5*(((57.63*(57.63-(-5/-5)))*(57.63-(57.63/(-5*57.63))))-(-5/-5)))))</f>
        <v>950522.105935</v>
      </c>
      <c r="C15764" t="n" s="0">
        <v>950522.1059350001</v>
      </c>
    </row>
    <row r="15765">
      <c r="A15765" t="n" s="0">
        <v>57.64</v>
      </c>
      <c r="B15765" t="n" s="0">
        <f>(-5-((((-5*(-5/((-5/(((-5*(57.64--5))-(-5+((-5*57.64)*(((-5--5)+(57.64--5))+57.64))))-(-5+-5)))*-5)))/-5)--5)+(-5*(((57.64*(57.64-(-5/-5)))*(57.64-(57.64/(-5*57.64))))-(-5/-5)))))</f>
        <v>951018.09952</v>
      </c>
      <c r="C15765" t="n" s="0">
        <v>951018.09952</v>
      </c>
    </row>
    <row r="15766">
      <c r="A15766" t="n" s="0">
        <v>57.65</v>
      </c>
      <c r="B15766" t="n" s="0">
        <f>(-5-((((-5*(-5/((-5/(((-5*(57.65--5))-(-5+((-5*57.65)*(((-5--5)+(57.65--5))+57.65))))-(-5+-5)))*-5)))/-5)--5)+(-5*(((57.65*(57.65-(-5/-5)))*(57.65-(57.65/(-5*57.65))))-(-5/-5)))))</f>
        <v>951514.265625</v>
      </c>
      <c r="C15766" t="n" s="0">
        <v>951514.2656249998</v>
      </c>
    </row>
    <row r="15767">
      <c r="A15767" t="n" s="0">
        <v>57.66</v>
      </c>
      <c r="B15767" t="n" s="0">
        <f>(-5-((((-5*(-5/((-5/(((-5*(57.66--5))-(-5+((-5*57.66)*(((-5--5)+(57.66--5))+57.66))))-(-5+-5)))*-5)))/-5)--5)+(-5*(((57.66*(57.66-(-5/-5)))*(57.66-(57.66/(-5*57.66))))-(-5/-5)))))</f>
        <v>952010.6042800001</v>
      </c>
      <c r="C15767" t="n" s="0">
        <v>952010.6042799997</v>
      </c>
    </row>
    <row r="15768">
      <c r="A15768" t="n" s="0">
        <v>57.67</v>
      </c>
      <c r="B15768" t="n" s="0">
        <f>(-5-((((-5*(-5/((-5/(((-5*(57.67--5))-(-5+((-5*57.67)*(((-5--5)+(57.67--5))+57.67))))-(-5+-5)))*-5)))/-5)--5)+(-5*(((57.67*(57.67-(-5/-5)))*(57.67-(57.67/(-5*57.67))))-(-5/-5)))))</f>
        <v>952507.115515</v>
      </c>
      <c r="C15768" t="n" s="0">
        <v>952507.1155150001</v>
      </c>
    </row>
    <row r="15769">
      <c r="A15769" t="n" s="0">
        <v>57.68</v>
      </c>
      <c r="B15769" t="n" s="0">
        <f>(-5-((((-5*(-5/((-5/(((-5*(57.68--5))-(-5+((-5*57.68)*(((-5--5)+(57.68--5))+57.68))))-(-5+-5)))*-5)))/-5)--5)+(-5*(((57.68*(57.68-(-5/-5)))*(57.68-(57.68/(-5*57.68))))-(-5/-5)))))</f>
        <v>953003.7993600001</v>
      </c>
      <c r="C15769" t="n" s="0">
        <v>953003.7993600001</v>
      </c>
    </row>
    <row r="15770">
      <c r="A15770" t="n" s="0">
        <v>57.69</v>
      </c>
      <c r="B15770" t="n" s="0">
        <f>(-5-((((-5*(-5/((-5/(((-5*(57.69--5))-(-5+((-5*57.69)*(((-5--5)+(57.69--5))+57.69))))-(-5+-5)))*-5)))/-5)--5)+(-5*(((57.69*(57.69-(-5/-5)))*(57.69-(57.69/(-5*57.69))))-(-5/-5)))))</f>
        <v>953500.6558450001</v>
      </c>
      <c r="C15770" t="n" s="0">
        <v>953500.6558449998</v>
      </c>
    </row>
    <row r="15771">
      <c r="A15771" t="n" s="0">
        <v>57.7</v>
      </c>
      <c r="B15771" t="n" s="0">
        <f>(-5-((((-5*(-5/((-5/(((-5*(57.7--5))-(-5+((-5*57.7)*(((-5--5)+(57.7--5))+57.7))))-(-5+-5)))*-5)))/-5)--5)+(-5*(((57.7*(57.7-(-5/-5)))*(57.7-(57.7/(-5*57.7))))-(-5/-5)))))</f>
        <v>953997.685</v>
      </c>
      <c r="C15771" t="n" s="0">
        <v>953997.6850000002</v>
      </c>
    </row>
    <row r="15772">
      <c r="A15772" t="n" s="0">
        <v>57.71</v>
      </c>
      <c r="B15772" t="n" s="0">
        <f>(-5-((((-5*(-5/((-5/(((-5*(57.71--5))-(-5+((-5*57.71)*(((-5--5)+(57.71--5))+57.71))))-(-5+-5)))*-5)))/-5)--5)+(-5*(((57.71*(57.71-(-5/-5)))*(57.71-(57.71/(-5*57.71))))-(-5/-5)))))</f>
        <v>954494.886855</v>
      </c>
      <c r="C15772" t="n" s="0">
        <v>954494.8868549999</v>
      </c>
    </row>
    <row r="15773">
      <c r="A15773" t="n" s="0">
        <v>57.72</v>
      </c>
      <c r="B15773" t="n" s="0">
        <f>(-5-((((-5*(-5/((-5/(((-5*(57.72--5))-(-5+((-5*57.72)*(((-5--5)+(57.72--5))+57.72))))-(-5+-5)))*-5)))/-5)--5)+(-5*(((57.72*(57.72-(-5/-5)))*(57.72-(57.72/(-5*57.72))))-(-5/-5)))))</f>
        <v>954992.26144</v>
      </c>
      <c r="C15773" t="n" s="0">
        <v>954992.2614399999</v>
      </c>
    </row>
    <row r="15774">
      <c r="A15774" t="n" s="0">
        <v>57.73</v>
      </c>
      <c r="B15774" t="n" s="0">
        <f>(-5-((((-5*(-5/((-5/(((-5*(57.73--5))-(-5+((-5*57.73)*(((-5--5)+(57.73--5))+57.73))))-(-5+-5)))*-5)))/-5)--5)+(-5*(((57.73*(57.73-(-5/-5)))*(57.73-(57.73/(-5*57.73))))-(-5/-5)))))</f>
        <v>955489.808785</v>
      </c>
      <c r="C15774" t="n" s="0">
        <v>955489.8087849998</v>
      </c>
    </row>
    <row r="15775">
      <c r="A15775" t="n" s="0">
        <v>57.74</v>
      </c>
      <c r="B15775" t="n" s="0">
        <f>(-5-((((-5*(-5/((-5/(((-5*(57.74--5))-(-5+((-5*57.74)*(((-5--5)+(57.74--5))+57.74))))-(-5+-5)))*-5)))/-5)--5)+(-5*(((57.74*(57.74-(-5/-5)))*(57.74-(57.74/(-5*57.74))))-(-5/-5)))))</f>
        <v>955987.5289200001</v>
      </c>
      <c r="C15775" t="n" s="0">
        <v>955987.5289200001</v>
      </c>
    </row>
    <row r="15776">
      <c r="A15776" t="n" s="0">
        <v>57.75</v>
      </c>
      <c r="B15776" t="n" s="0">
        <f>(-5-((((-5*(-5/((-5/(((-5*(57.75--5))-(-5+((-5*57.75)*(((-5--5)+(57.75--5))+57.75))))-(-5+-5)))*-5)))/-5)--5)+(-5*(((57.75*(57.75-(-5/-5)))*(57.75-(57.75/(-5*57.75))))-(-5/-5)))))</f>
        <v>956485.421875</v>
      </c>
      <c r="C15776" t="n" s="0">
        <v>956485.421875</v>
      </c>
    </row>
    <row r="15777">
      <c r="A15777" t="n" s="0">
        <v>57.76</v>
      </c>
      <c r="B15777" t="n" s="0">
        <f>(-5-((((-5*(-5/((-5/(((-5*(57.76--5))-(-5+((-5*57.76)*(((-5--5)+(57.76--5))+57.76))))-(-5+-5)))*-5)))/-5)--5)+(-5*(((57.76*(57.76-(-5/-5)))*(57.76-(57.76/(-5*57.76))))-(-5/-5)))))</f>
        <v>956983.48768</v>
      </c>
      <c r="C15777" t="n" s="0">
        <v>956983.48768</v>
      </c>
    </row>
    <row r="15778">
      <c r="A15778" t="n" s="0">
        <v>57.77</v>
      </c>
      <c r="B15778" t="n" s="0">
        <f>(-5-((((-5*(-5/((-5/(((-5*(57.77--5))-(-5+((-5*57.77)*(((-5--5)+(57.77--5))+57.77))))-(-5+-5)))*-5)))/-5)--5)+(-5*(((57.77*(57.77-(-5/-5)))*(57.77-(57.77/(-5*57.77))))-(-5/-5)))))</f>
        <v>957481.726365</v>
      </c>
      <c r="C15778" t="n" s="0">
        <v>957481.7263650002</v>
      </c>
    </row>
    <row r="15779">
      <c r="A15779" t="n" s="0">
        <v>57.78</v>
      </c>
      <c r="B15779" t="n" s="0">
        <f>(-5-((((-5*(-5/((-5/(((-5*(57.78--5))-(-5+((-5*57.78)*(((-5--5)+(57.78--5))+57.78))))-(-5+-5)))*-5)))/-5)--5)+(-5*(((57.78*(57.78-(-5/-5)))*(57.78-(57.78/(-5*57.78))))-(-5/-5)))))</f>
        <v>957980.13796</v>
      </c>
      <c r="C15779" t="n" s="0">
        <v>957980.13796</v>
      </c>
    </row>
    <row r="15780">
      <c r="A15780" t="n" s="0">
        <v>57.79</v>
      </c>
      <c r="B15780" t="n" s="0">
        <f>(-5-((((-5*(-5/((-5/(((-5*(57.79--5))-(-5+((-5*57.79)*(((-5--5)+(57.79--5))+57.79))))-(-5+-5)))*-5)))/-5)--5)+(-5*(((57.79*(57.79-(-5/-5)))*(57.79-(57.79/(-5*57.79))))-(-5/-5)))))</f>
        <v>958478.722495</v>
      </c>
      <c r="C15780" t="n" s="0">
        <v>958478.7224949999</v>
      </c>
    </row>
    <row r="15781">
      <c r="A15781" t="n" s="0">
        <v>57.8</v>
      </c>
      <c r="B15781" t="n" s="0">
        <f>(-5-((((-5*(-5/((-5/(((-5*(57.8--5))-(-5+((-5*57.8)*(((-5--5)+(57.8--5))+57.8))))-(-5+-5)))*-5)))/-5)--5)+(-5*(((57.8*(57.8-(-5/-5)))*(57.8-(57.8/(-5*57.8))))-(-5/-5)))))</f>
        <v>958977.48</v>
      </c>
      <c r="C15781" t="n" s="0">
        <v>958977.4799999997</v>
      </c>
    </row>
    <row r="15782">
      <c r="A15782" t="n" s="0">
        <v>57.81</v>
      </c>
      <c r="B15782" t="n" s="0">
        <f>(-5-((((-5*(-5/((-5/(((-5*(57.81--5))-(-5+((-5*57.81)*(((-5--5)+(57.81--5))+57.81))))-(-5+-5)))*-5)))/-5)--5)+(-5*(((57.81*(57.81-(-5/-5)))*(57.81-(57.81/(-5*57.81))))-(-5/-5)))))</f>
        <v>959476.4105049999</v>
      </c>
      <c r="C15782" t="n" s="0">
        <v>959476.4105050002</v>
      </c>
    </row>
    <row r="15783">
      <c r="A15783" t="n" s="0">
        <v>57.82</v>
      </c>
      <c r="B15783" t="n" s="0">
        <f>(-5-((((-5*(-5/((-5/(((-5*(57.82--5))-(-5+((-5*57.82)*(((-5--5)+(57.82--5))+57.82))))-(-5+-5)))*-5)))/-5)--5)+(-5*(((57.82*(57.82-(-5/-5)))*(57.82-(57.82/(-5*57.82))))-(-5/-5)))))</f>
        <v>959975.51404</v>
      </c>
      <c r="C15783" t="n" s="0">
        <v>959975.5140399999</v>
      </c>
    </row>
    <row r="15784">
      <c r="A15784" t="n" s="0">
        <v>57.83</v>
      </c>
      <c r="B15784" t="n" s="0">
        <f>(-5-((((-5*(-5/((-5/(((-5*(57.83--5))-(-5+((-5*57.83)*(((-5--5)+(57.83--5))+57.83))))-(-5+-5)))*-5)))/-5)--5)+(-5*(((57.83*(57.83-(-5/-5)))*(57.83-(57.83/(-5*57.83))))-(-5/-5)))))</f>
        <v>960474.790635</v>
      </c>
      <c r="C15784" t="n" s="0">
        <v>960474.790635</v>
      </c>
    </row>
    <row r="15785">
      <c r="A15785" t="n" s="0">
        <v>57.84</v>
      </c>
      <c r="B15785" t="n" s="0">
        <f>(-5-((((-5*(-5/((-5/(((-5*(57.84--5))-(-5+((-5*57.84)*(((-5--5)+(57.84--5))+57.84))))-(-5+-5)))*-5)))/-5)--5)+(-5*(((57.84*(57.84-(-5/-5)))*(57.84-(57.84/(-5*57.84))))-(-5/-5)))))</f>
        <v>960974.24032</v>
      </c>
      <c r="C15785" t="n" s="0">
        <v>960974.2403200001</v>
      </c>
    </row>
    <row r="15786">
      <c r="A15786" t="n" s="0">
        <v>57.85</v>
      </c>
      <c r="B15786" t="n" s="0">
        <f>(-5-((((-5*(-5/((-5/(((-5*(57.85--5))-(-5+((-5*57.85)*(((-5--5)+(57.85--5))+57.85))))-(-5+-5)))*-5)))/-5)--5)+(-5*(((57.85*(57.85-(-5/-5)))*(57.85-(57.85/(-5*57.85))))-(-5/-5)))))</f>
        <v>961473.863125</v>
      </c>
      <c r="C15786" t="n" s="0">
        <v>961473.8631250001</v>
      </c>
    </row>
    <row r="15787">
      <c r="A15787" t="n" s="0">
        <v>57.86</v>
      </c>
      <c r="B15787" t="n" s="0">
        <f>(-5-((((-5*(-5/((-5/(((-5*(57.86--5))-(-5+((-5*57.86)*(((-5--5)+(57.86--5))+57.86))))-(-5+-5)))*-5)))/-5)--5)+(-5*(((57.86*(57.86-(-5/-5)))*(57.86-(57.86/(-5*57.86))))-(-5/-5)))))</f>
        <v>961973.65908</v>
      </c>
      <c r="C15787" t="n" s="0">
        <v>961973.6590799999</v>
      </c>
    </row>
    <row r="15788">
      <c r="A15788" t="n" s="0">
        <v>57.87</v>
      </c>
      <c r="B15788" t="n" s="0">
        <f>(-5-((((-5*(-5/((-5/(((-5*(57.87--5))-(-5+((-5*57.87)*(((-5--5)+(57.87--5))+57.87))))-(-5+-5)))*-5)))/-5)--5)+(-5*(((57.87*(57.87-(-5/-5)))*(57.87-(57.87/(-5*57.87))))-(-5/-5)))))</f>
        <v>962473.628215</v>
      </c>
      <c r="C15788" t="n" s="0">
        <v>962473.6282149999</v>
      </c>
    </row>
    <row r="15789">
      <c r="A15789" t="n" s="0">
        <v>57.88</v>
      </c>
      <c r="B15789" t="n" s="0">
        <f>(-5-((((-5*(-5/((-5/(((-5*(57.88--5))-(-5+((-5*57.88)*(((-5--5)+(57.88--5))+57.88))))-(-5+-5)))*-5)))/-5)--5)+(-5*(((57.88*(57.88-(-5/-5)))*(57.88-(57.88/(-5*57.88))))-(-5/-5)))))</f>
        <v>962973.77056</v>
      </c>
      <c r="C15789" t="n" s="0">
        <v>962973.7705600001</v>
      </c>
    </row>
    <row r="15790">
      <c r="A15790" t="n" s="0">
        <v>57.89</v>
      </c>
      <c r="B15790" t="n" s="0">
        <f>(-5-((((-5*(-5/((-5/(((-5*(57.89--5))-(-5+((-5*57.89)*(((-5--5)+(57.89--5))+57.89))))-(-5+-5)))*-5)))/-5)--5)+(-5*(((57.89*(57.89-(-5/-5)))*(57.89-(57.89/(-5*57.89))))-(-5/-5)))))</f>
        <v>963474.0861450001</v>
      </c>
      <c r="C15790" t="n" s="0">
        <v>963474.0861450001</v>
      </c>
    </row>
    <row r="15791">
      <c r="A15791" t="n" s="0">
        <v>57.9</v>
      </c>
      <c r="B15791" t="n" s="0">
        <f>(-5-((((-5*(-5/((-5/(((-5*(57.9--5))-(-5+((-5*57.9)*(((-5--5)+(57.9--5))+57.9))))-(-5+-5)))*-5)))/-5)--5)+(-5*(((57.9*(57.9-(-5/-5)))*(57.9-(57.9/(-5*57.9))))-(-5/-5)))))</f>
        <v>963974.5750000001</v>
      </c>
      <c r="C15791" t="n" s="0">
        <v>963974.575</v>
      </c>
    </row>
    <row r="15792">
      <c r="A15792" t="n" s="0">
        <v>57.91</v>
      </c>
      <c r="B15792" t="n" s="0">
        <f>(-5-((((-5*(-5/((-5/(((-5*(57.91--5))-(-5+((-5*57.91)*(((-5--5)+(57.91--5))+57.91))))-(-5+-5)))*-5)))/-5)--5)+(-5*(((57.91*(57.91-(-5/-5)))*(57.91-(57.91/(-5*57.91))))-(-5/-5)))))</f>
        <v>964475.237155</v>
      </c>
      <c r="C15792" t="n" s="0">
        <v>964475.2371549999</v>
      </c>
    </row>
    <row r="15793">
      <c r="A15793" t="n" s="0">
        <v>57.92</v>
      </c>
      <c r="B15793" t="n" s="0">
        <f>(-5-((((-5*(-5/((-5/(((-5*(57.92--5))-(-5+((-5*57.92)*(((-5--5)+(57.92--5))+57.92))))-(-5+-5)))*-5)))/-5)--5)+(-5*(((57.92*(57.92-(-5/-5)))*(57.92-(57.92/(-5*57.92))))-(-5/-5)))))</f>
        <v>964976.07264</v>
      </c>
      <c r="C15793" t="n" s="0">
        <v>964976.0726400001</v>
      </c>
    </row>
    <row r="15794">
      <c r="A15794" t="n" s="0">
        <v>57.93</v>
      </c>
      <c r="B15794" t="n" s="0">
        <f>(-5-((((-5*(-5/((-5/(((-5*(57.93--5))-(-5+((-5*57.93)*(((-5--5)+(57.93--5))+57.93))))-(-5+-5)))*-5)))/-5)--5)+(-5*(((57.93*(57.93-(-5/-5)))*(57.93-(57.93/(-5*57.93))))-(-5/-5)))))</f>
        <v>965477.081485</v>
      </c>
      <c r="C15794" t="n" s="0">
        <v>965477.081485</v>
      </c>
    </row>
    <row r="15795">
      <c r="A15795" t="n" s="0">
        <v>57.94</v>
      </c>
      <c r="B15795" t="n" s="0">
        <f>(-5-((((-5*(-5/((-5/(((-5*(57.94--5))-(-5+((-5*57.94)*(((-5--5)+(57.94--5))+57.94))))-(-5+-5)))*-5)))/-5)--5)+(-5*(((57.94*(57.94-(-5/-5)))*(57.94-(57.94/(-5*57.94))))-(-5/-5)))))</f>
        <v>965978.2637199999</v>
      </c>
      <c r="C15795" t="n" s="0">
        <v>965978.2637199998</v>
      </c>
    </row>
    <row r="15796">
      <c r="A15796" t="n" s="0">
        <v>57.95</v>
      </c>
      <c r="B15796" t="n" s="0">
        <f>(-5-((((-5*(-5/((-5/(((-5*(57.95--5))-(-5+((-5*57.95)*(((-5--5)+(57.95--5))+57.95))))-(-5+-5)))*-5)))/-5)--5)+(-5*(((57.95*(57.95-(-5/-5)))*(57.95-(57.95/(-5*57.95))))-(-5/-5)))))</f>
        <v>966479.6193750001</v>
      </c>
      <c r="C15796" t="n" s="0">
        <v>966479.6193750001</v>
      </c>
    </row>
    <row r="15797">
      <c r="A15797" t="n" s="0">
        <v>57.96</v>
      </c>
      <c r="B15797" t="n" s="0">
        <f>(-5-((((-5*(-5/((-5/(((-5*(57.96--5))-(-5+((-5*57.96)*(((-5--5)+(57.96--5))+57.96))))-(-5+-5)))*-5)))/-5)--5)+(-5*(((57.96*(57.96-(-5/-5)))*(57.96-(57.96/(-5*57.96))))-(-5/-5)))))</f>
        <v>966981.14848</v>
      </c>
      <c r="C15797" t="n" s="0">
        <v>966981.14848</v>
      </c>
    </row>
    <row r="15798">
      <c r="A15798" t="n" s="0">
        <v>57.97</v>
      </c>
      <c r="B15798" t="n" s="0">
        <f>(-5-((((-5*(-5/((-5/(((-5*(57.97--5))-(-5+((-5*57.97)*(((-5--5)+(57.97--5))+57.97))))-(-5+-5)))*-5)))/-5)--5)+(-5*(((57.97*(57.97-(-5/-5)))*(57.97-(57.97/(-5*57.97))))-(-5/-5)))))</f>
        <v>967482.851065</v>
      </c>
      <c r="C15798" t="n" s="0">
        <v>967482.8510649999</v>
      </c>
    </row>
    <row r="15799">
      <c r="A15799" t="n" s="0">
        <v>57.98</v>
      </c>
      <c r="B15799" t="n" s="0">
        <f>(-5-((((-5*(-5/((-5/(((-5*(57.98--5))-(-5+((-5*57.98)*(((-5--5)+(57.98--5))+57.98))))-(-5+-5)))*-5)))/-5)--5)+(-5*(((57.98*(57.98-(-5/-5)))*(57.98-(57.98/(-5*57.98))))-(-5/-5)))))</f>
        <v>967984.7271599999</v>
      </c>
      <c r="C15799" t="n" s="0">
        <v>967984.7271599997</v>
      </c>
    </row>
    <row r="15800">
      <c r="A15800" t="n" s="0">
        <v>57.99</v>
      </c>
      <c r="B15800" t="n" s="0">
        <f>(-5-((((-5*(-5/((-5/(((-5*(57.99--5))-(-5+((-5*57.99)*(((-5--5)+(57.99--5))+57.99))))-(-5+-5)))*-5)))/-5)--5)+(-5*(((57.99*(57.99-(-5/-5)))*(57.99-(57.99/(-5*57.99))))-(-5/-5)))))</f>
        <v>968486.7767950001</v>
      </c>
      <c r="C15800" t="n" s="0">
        <v>968486.7767950002</v>
      </c>
    </row>
    <row r="15801">
      <c r="A15801" t="n" s="0">
        <v>58.0</v>
      </c>
      <c r="B15801" t="n" s="0">
        <f>(-5-((((-5*(-5/((-5/(((-5*(58--5))-(-5+((-5*58)*(((-5--5)+(58--5))+58))))-(-5+-5)))*-5)))/-5)--5)+(-5*(((58*(58-(-5/-5)))*(58-(58/(-5*58))))-(-5/-5)))))</f>
        <v>968989.0</v>
      </c>
      <c r="C15801" t="n" s="0">
        <v>968989.0</v>
      </c>
    </row>
    <row r="15802">
      <c r="A15802" t="n" s="0">
        <v>58.01</v>
      </c>
      <c r="B15802" t="n" s="0">
        <f>(-5-((((-5*(-5/((-5/(((-5*(58.01--5))-(-5+((-5*58.01)*(((-5--5)+(58.01--5))+58.01))))-(-5+-5)))*-5)))/-5)--5)+(-5*(((58.01*(58.01-(-5/-5)))*(58.01-(58.01/(-5*58.01))))-(-5/-5)))))</f>
        <v>969491.396805</v>
      </c>
      <c r="C15802" t="n" s="0">
        <v>969491.3968049999</v>
      </c>
    </row>
    <row r="15803">
      <c r="A15803" t="n" s="0">
        <v>58.02</v>
      </c>
      <c r="B15803" t="n" s="0">
        <f>(-5-((((-5*(-5/((-5/(((-5*(58.02--5))-(-5+((-5*58.02)*(((-5--5)+(58.02--5))+58.02))))-(-5+-5)))*-5)))/-5)--5)+(-5*(((58.02*(58.02-(-5/-5)))*(58.02-(58.02/(-5*58.02))))-(-5/-5)))))</f>
        <v>969993.96724</v>
      </c>
      <c r="C15803" t="n" s="0">
        <v>969993.9672400003</v>
      </c>
    </row>
    <row r="15804">
      <c r="A15804" t="n" s="0">
        <v>58.03</v>
      </c>
      <c r="B15804" t="n" s="0">
        <f>(-5-((((-5*(-5/((-5/(((-5*(58.03--5))-(-5+((-5*58.03)*(((-5--5)+(58.03--5))+58.03))))-(-5+-5)))*-5)))/-5)--5)+(-5*(((58.03*(58.03-(-5/-5)))*(58.03-(58.03/(-5*58.03))))-(-5/-5)))))</f>
        <v>970496.7113349999</v>
      </c>
      <c r="C15804" t="n" s="0">
        <v>970496.7113349999</v>
      </c>
    </row>
    <row r="15805">
      <c r="A15805" t="n" s="0">
        <v>58.04</v>
      </c>
      <c r="B15805" t="n" s="0">
        <f>(-5-((((-5*(-5/((-5/(((-5*(58.04--5))-(-5+((-5*58.04)*(((-5--5)+(58.04--5))+58.04))))-(-5+-5)))*-5)))/-5)--5)+(-5*(((58.04*(58.04-(-5/-5)))*(58.04-(58.04/(-5*58.04))))-(-5/-5)))))</f>
        <v>970999.6291199999</v>
      </c>
      <c r="C15805" t="n" s="0">
        <v>970999.62912</v>
      </c>
    </row>
    <row r="15806">
      <c r="A15806" t="n" s="0">
        <v>58.05</v>
      </c>
      <c r="B15806" t="n" s="0">
        <f>(-5-((((-5*(-5/((-5/(((-5*(58.05--5))-(-5+((-5*58.05)*(((-5--5)+(58.05--5))+58.05))))-(-5+-5)))*-5)))/-5)--5)+(-5*(((58.05*(58.05-(-5/-5)))*(58.05-(58.05/(-5*58.05))))-(-5/-5)))))</f>
        <v>971502.7206250001</v>
      </c>
      <c r="C15806" t="n" s="0">
        <v>971502.7206249998</v>
      </c>
    </row>
    <row r="15807">
      <c r="A15807" t="n" s="0">
        <v>58.06</v>
      </c>
      <c r="B15807" t="n" s="0">
        <f>(-5-((((-5*(-5/((-5/(((-5*(58.06--5))-(-5+((-5*58.06)*(((-5--5)+(58.06--5))+58.06))))-(-5+-5)))*-5)))/-5)--5)+(-5*(((58.06*(58.06-(-5/-5)))*(58.06-(58.06/(-5*58.06))))-(-5/-5)))))</f>
        <v>972005.98588</v>
      </c>
      <c r="C15807" t="n" s="0">
        <v>972005.98588</v>
      </c>
    </row>
    <row r="15808">
      <c r="A15808" t="n" s="0">
        <v>58.07</v>
      </c>
      <c r="B15808" t="n" s="0">
        <f>(-5-((((-5*(-5/((-5/(((-5*(58.07--5))-(-5+((-5*58.07)*(((-5--5)+(58.07--5))+58.07))))-(-5+-5)))*-5)))/-5)--5)+(-5*(((58.07*(58.07-(-5/-5)))*(58.07-(58.07/(-5*58.07))))-(-5/-5)))))</f>
        <v>972509.424915</v>
      </c>
      <c r="C15808" t="n" s="0">
        <v>972509.424915</v>
      </c>
    </row>
    <row r="15809">
      <c r="A15809" t="n" s="0">
        <v>58.08</v>
      </c>
      <c r="B15809" t="n" s="0">
        <f>(-5-((((-5*(-5/((-5/(((-5*(58.08--5))-(-5+((-5*58.08)*(((-5--5)+(58.08--5))+58.08))))-(-5+-5)))*-5)))/-5)--5)+(-5*(((58.08*(58.08-(-5/-5)))*(58.08-(58.08/(-5*58.08))))-(-5/-5)))))</f>
        <v>973013.03776</v>
      </c>
      <c r="C15809" t="n" s="0">
        <v>973013.03776</v>
      </c>
    </row>
    <row r="15810">
      <c r="A15810" t="n" s="0">
        <v>58.09</v>
      </c>
      <c r="B15810" t="n" s="0">
        <f>(-5-((((-5*(-5/((-5/(((-5*(58.09--5))-(-5+((-5*58.09)*(((-5--5)+(58.09--5))+58.09))))-(-5+-5)))*-5)))/-5)--5)+(-5*(((58.09*(58.09-(-5/-5)))*(58.09-(58.09/(-5*58.09))))-(-5/-5)))))</f>
        <v>973516.8244449999</v>
      </c>
      <c r="C15810" t="n" s="0">
        <v>973516.8244450002</v>
      </c>
    </row>
    <row r="15811">
      <c r="A15811" t="n" s="0">
        <v>58.1</v>
      </c>
      <c r="B15811" t="n" s="0">
        <f>(-5-((((-5*(-5/((-5/(((-5*(58.1--5))-(-5+((-5*58.1)*(((-5--5)+(58.1--5))+58.1))))-(-5+-5)))*-5)))/-5)--5)+(-5*(((58.1*(58.1-(-5/-5)))*(58.1-(58.1/(-5*58.1))))-(-5/-5)))))</f>
        <v>974020.785</v>
      </c>
      <c r="C15811" t="n" s="0">
        <v>974020.7850000001</v>
      </c>
    </row>
    <row r="15812">
      <c r="A15812" t="n" s="0">
        <v>58.11</v>
      </c>
      <c r="B15812" t="n" s="0">
        <f>(-5-((((-5*(-5/((-5/(((-5*(58.11--5))-(-5+((-5*58.11)*(((-5--5)+(58.11--5))+58.11))))-(-5+-5)))*-5)))/-5)--5)+(-5*(((58.11*(58.11-(-5/-5)))*(58.11-(58.11/(-5*58.11))))-(-5/-5)))))</f>
        <v>974524.9194550001</v>
      </c>
      <c r="C15812" t="n" s="0">
        <v>974524.919455</v>
      </c>
    </row>
    <row r="15813">
      <c r="A15813" t="n" s="0">
        <v>58.12</v>
      </c>
      <c r="B15813" t="n" s="0">
        <f>(-5-((((-5*(-5/((-5/(((-5*(58.12--5))-(-5+((-5*58.12)*(((-5--5)+(58.12--5))+58.12))))-(-5+-5)))*-5)))/-5)--5)+(-5*(((58.12*(58.12-(-5/-5)))*(58.12-(58.12/(-5*58.12))))-(-5/-5)))))</f>
        <v>975029.2278400001</v>
      </c>
      <c r="C15813" t="n" s="0">
        <v>975029.2278399998</v>
      </c>
    </row>
    <row r="15814">
      <c r="A15814" t="n" s="0">
        <v>58.13</v>
      </c>
      <c r="B15814" t="n" s="0">
        <f>(-5-((((-5*(-5/((-5/(((-5*(58.13--5))-(-5+((-5*58.13)*(((-5--5)+(58.13--5))+58.13))))-(-5+-5)))*-5)))/-5)--5)+(-5*(((58.13*(58.13-(-5/-5)))*(58.13-(58.13/(-5*58.13))))-(-5/-5)))))</f>
        <v>975533.710185</v>
      </c>
      <c r="C15814" t="n" s="0">
        <v>975533.7101850001</v>
      </c>
    </row>
    <row r="15815">
      <c r="A15815" t="n" s="0">
        <v>58.14</v>
      </c>
      <c r="B15815" t="n" s="0">
        <f>(-5-((((-5*(-5/((-5/(((-5*(58.14--5))-(-5+((-5*58.14)*(((-5--5)+(58.14--5))+58.14))))-(-5+-5)))*-5)))/-5)--5)+(-5*(((58.14*(58.14-(-5/-5)))*(58.14-(58.14/(-5*58.14))))-(-5/-5)))))</f>
        <v>976038.36652</v>
      </c>
      <c r="C15815" t="n" s="0">
        <v>976038.36652</v>
      </c>
    </row>
    <row r="15816">
      <c r="A15816" t="n" s="0">
        <v>58.15</v>
      </c>
      <c r="B15816" t="n" s="0">
        <f>(-5-((((-5*(-5/((-5/(((-5*(58.15--5))-(-5+((-5*58.15)*(((-5--5)+(58.15--5))+58.15))))-(-5+-5)))*-5)))/-5)--5)+(-5*(((58.15*(58.15-(-5/-5)))*(58.15-(58.15/(-5*58.15))))-(-5/-5)))))</f>
        <v>976543.196875</v>
      </c>
      <c r="C15816" t="n" s="0">
        <v>976543.1968749999</v>
      </c>
    </row>
    <row r="15817">
      <c r="A15817" t="n" s="0">
        <v>58.16</v>
      </c>
      <c r="B15817" t="n" s="0">
        <f>(-5-((((-5*(-5/((-5/(((-5*(58.16--5))-(-5+((-5*58.16)*(((-5--5)+(58.16--5))+58.16))))-(-5+-5)))*-5)))/-5)--5)+(-5*(((58.16*(58.16-(-5/-5)))*(58.16-(58.16/(-5*58.16))))-(-5/-5)))))</f>
        <v>977048.20128</v>
      </c>
      <c r="C15817" t="n" s="0">
        <v>977048.2012799999</v>
      </c>
    </row>
    <row r="15818">
      <c r="A15818" t="n" s="0">
        <v>58.17</v>
      </c>
      <c r="B15818" t="n" s="0">
        <f>(-5-((((-5*(-5/((-5/(((-5*(58.17--5))-(-5+((-5*58.17)*(((-5--5)+(58.17--5))+58.17))))-(-5+-5)))*-5)))/-5)--5)+(-5*(((58.17*(58.17-(-5/-5)))*(58.17-(58.17/(-5*58.17))))-(-5/-5)))))</f>
        <v>977553.3797650001</v>
      </c>
      <c r="C15818" t="n" s="0">
        <v>977553.3797650001</v>
      </c>
    </row>
    <row r="15819">
      <c r="A15819" t="n" s="0">
        <v>58.18</v>
      </c>
      <c r="B15819" t="n" s="0">
        <f>(-5-((((-5*(-5/((-5/(((-5*(58.18--5))-(-5+((-5*58.18)*(((-5--5)+(58.18--5))+58.18))))-(-5+-5)))*-5)))/-5)--5)+(-5*(((58.18*(58.18-(-5/-5)))*(58.18-(58.18/(-5*58.18))))-(-5/-5)))))</f>
        <v>978058.73236</v>
      </c>
      <c r="C15819" t="n" s="0">
        <v>978058.7323600001</v>
      </c>
    </row>
    <row r="15820">
      <c r="A15820" t="n" s="0">
        <v>58.19</v>
      </c>
      <c r="B15820" t="n" s="0">
        <f>(-5-((((-5*(-5/((-5/(((-5*(58.19--5))-(-5+((-5*58.19)*(((-5--5)+(58.19--5))+58.19))))-(-5+-5)))*-5)))/-5)--5)+(-5*(((58.19*(58.19-(-5/-5)))*(58.19-(58.19/(-5*58.19))))-(-5/-5)))))</f>
        <v>978564.259095</v>
      </c>
      <c r="C15820" t="n" s="0">
        <v>978564.2590949999</v>
      </c>
    </row>
    <row r="15821">
      <c r="A15821" t="n" s="0">
        <v>58.2</v>
      </c>
      <c r="B15821" t="n" s="0">
        <f>(-5-((((-5*(-5/((-5/(((-5*(58.2--5))-(-5+((-5*58.2)*(((-5--5)+(58.2--5))+58.2))))-(-5+-5)))*-5)))/-5)--5)+(-5*(((58.2*(58.2-(-5/-5)))*(58.2-(58.2/(-5*58.2))))-(-5/-5)))))</f>
        <v>979069.9600000001</v>
      </c>
      <c r="C15821" t="n" s="0">
        <v>979069.9600000001</v>
      </c>
    </row>
    <row r="15822">
      <c r="A15822" t="n" s="0">
        <v>58.21</v>
      </c>
      <c r="B15822" t="n" s="0">
        <f>(-5-((((-5*(-5/((-5/(((-5*(58.21--5))-(-5+((-5*58.21)*(((-5--5)+(58.21--5))+58.21))))-(-5+-5)))*-5)))/-5)--5)+(-5*(((58.21*(58.21-(-5/-5)))*(58.21-(58.21/(-5*58.21))))-(-5/-5)))))</f>
        <v>979575.8351050001</v>
      </c>
      <c r="C15822" t="n" s="0">
        <v>979575.8351050001</v>
      </c>
    </row>
    <row r="15823">
      <c r="A15823" t="n" s="0">
        <v>58.22</v>
      </c>
      <c r="B15823" t="n" s="0">
        <f>(-5-((((-5*(-5/((-5/(((-5*(58.22--5))-(-5+((-5*58.22)*(((-5--5)+(58.22--5))+58.22))))-(-5+-5)))*-5)))/-5)--5)+(-5*(((58.22*(58.22-(-5/-5)))*(58.22-(58.22/(-5*58.22))))-(-5/-5)))))</f>
        <v>980081.8844399999</v>
      </c>
      <c r="C15823" t="n" s="0">
        <v>980081.88444</v>
      </c>
    </row>
    <row r="15824">
      <c r="A15824" t="n" s="0">
        <v>58.23</v>
      </c>
      <c r="B15824" t="n" s="0">
        <f>(-5-((((-5*(-5/((-5/(((-5*(58.23--5))-(-5+((-5*58.23)*(((-5--5)+(58.23--5))+58.23))))-(-5+-5)))*-5)))/-5)--5)+(-5*(((58.23*(58.23-(-5/-5)))*(58.23-(58.23/(-5*58.23))))-(-5/-5)))))</f>
        <v>980588.108035</v>
      </c>
      <c r="C15824" t="n" s="0">
        <v>980588.1080349998</v>
      </c>
    </row>
    <row r="15825">
      <c r="A15825" t="n" s="0">
        <v>58.24</v>
      </c>
      <c r="B15825" t="n" s="0">
        <f>(-5-((((-5*(-5/((-5/(((-5*(58.24--5))-(-5+((-5*58.24)*(((-5--5)+(58.24--5))+58.24))))-(-5+-5)))*-5)))/-5)--5)+(-5*(((58.24*(58.24-(-5/-5)))*(58.24-(58.24/(-5*58.24))))-(-5/-5)))))</f>
        <v>981094.50592</v>
      </c>
      <c r="C15825" t="n" s="0">
        <v>981094.50592</v>
      </c>
    </row>
    <row r="15826">
      <c r="A15826" t="n" s="0">
        <v>58.25</v>
      </c>
      <c r="B15826" t="n" s="0">
        <f>(-5-((((-5*(-5/((-5/(((-5*(58.25--5))-(-5+((-5*58.25)*(((-5--5)+(58.25--5))+58.25))))-(-5+-5)))*-5)))/-5)--5)+(-5*(((58.25*(58.25-(-5/-5)))*(58.25-(58.25/(-5*58.25))))-(-5/-5)))))</f>
        <v>981601.078125</v>
      </c>
      <c r="C15826" t="n" s="0">
        <v>981601.078125</v>
      </c>
    </row>
    <row r="15827">
      <c r="A15827" t="n" s="0">
        <v>58.26</v>
      </c>
      <c r="B15827" t="n" s="0">
        <f>(-5-((((-5*(-5/((-5/(((-5*(58.26--5))-(-5+((-5*58.26)*(((-5--5)+(58.26--5))+58.26))))-(-5+-5)))*-5)))/-5)--5)+(-5*(((58.26*(58.26-(-5/-5)))*(58.26-(58.26/(-5*58.26))))-(-5/-5)))))</f>
        <v>982107.82468</v>
      </c>
      <c r="C15827" t="n" s="0">
        <v>982107.82468</v>
      </c>
    </row>
    <row r="15828">
      <c r="A15828" t="n" s="0">
        <v>58.27</v>
      </c>
      <c r="B15828" t="n" s="0">
        <f>(-5-((((-5*(-5/((-5/(((-5*(58.27--5))-(-5+((-5*58.27)*(((-5--5)+(58.27--5))+58.27))))-(-5+-5)))*-5)))/-5)--5)+(-5*(((58.27*(58.27-(-5/-5)))*(58.27-(58.27/(-5*58.27))))-(-5/-5)))))</f>
        <v>982614.745615</v>
      </c>
      <c r="C15828" t="n" s="0">
        <v>982614.7456150003</v>
      </c>
    </row>
    <row r="15829">
      <c r="A15829" t="n" s="0">
        <v>58.28</v>
      </c>
      <c r="B15829" t="n" s="0">
        <f>(-5-((((-5*(-5/((-5/(((-5*(58.28--5))-(-5+((-5*58.28)*(((-5--5)+(58.28--5))+58.28))))-(-5+-5)))*-5)))/-5)--5)+(-5*(((58.28*(58.28-(-5/-5)))*(58.28-(58.28/(-5*58.28))))-(-5/-5)))))</f>
        <v>983121.8409600001</v>
      </c>
      <c r="C15829" t="n" s="0">
        <v>983121.8409600001</v>
      </c>
    </row>
    <row r="15830">
      <c r="A15830" t="n" s="0">
        <v>58.29</v>
      </c>
      <c r="B15830" t="n" s="0">
        <f>(-5-((((-5*(-5/((-5/(((-5*(58.29--5))-(-5+((-5*58.29)*(((-5--5)+(58.29--5))+58.29))))-(-5+-5)))*-5)))/-5)--5)+(-5*(((58.29*(58.29-(-5/-5)))*(58.29-(58.29/(-5*58.29))))-(-5/-5)))))</f>
        <v>983629.1107450001</v>
      </c>
      <c r="C15830" t="n" s="0">
        <v>983629.110745</v>
      </c>
    </row>
    <row r="15831">
      <c r="A15831" t="n" s="0">
        <v>58.3</v>
      </c>
      <c r="B15831" t="n" s="0">
        <f>(-5-((((-5*(-5/((-5/(((-5*(58.3--5))-(-5+((-5*58.3)*(((-5--5)+(58.3--5))+58.3))))-(-5+-5)))*-5)))/-5)--5)+(-5*(((58.3*(58.3-(-5/-5)))*(58.3-(58.3/(-5*58.3))))-(-5/-5)))))</f>
        <v>984136.5549999999</v>
      </c>
      <c r="C15831" t="n" s="0">
        <v>984136.5549999999</v>
      </c>
    </row>
    <row r="15832">
      <c r="A15832" t="n" s="0">
        <v>58.31</v>
      </c>
      <c r="B15832" t="n" s="0">
        <f>(-5-((((-5*(-5/((-5/(((-5*(58.31--5))-(-5+((-5*58.31)*(((-5--5)+(58.31--5))+58.31))))-(-5+-5)))*-5)))/-5)--5)+(-5*(((58.31*(58.31-(-5/-5)))*(58.31-(58.31/(-5*58.31))))-(-5/-5)))))</f>
        <v>984644.173755</v>
      </c>
      <c r="C15832" t="n" s="0">
        <v>984644.1737550002</v>
      </c>
    </row>
    <row r="15833">
      <c r="A15833" t="n" s="0">
        <v>58.32</v>
      </c>
      <c r="B15833" t="n" s="0">
        <f>(-5-((((-5*(-5/((-5/(((-5*(58.32--5))-(-5+((-5*58.32)*(((-5--5)+(58.32--5))+58.32))))-(-5+-5)))*-5)))/-5)--5)+(-5*(((58.32*(58.32-(-5/-5)))*(58.32-(58.32/(-5*58.32))))-(-5/-5)))))</f>
        <v>985151.96704</v>
      </c>
      <c r="C15833" t="n" s="0">
        <v>985151.96704</v>
      </c>
    </row>
    <row r="15834">
      <c r="A15834" t="n" s="0">
        <v>58.33</v>
      </c>
      <c r="B15834" t="n" s="0">
        <f>(-5-((((-5*(-5/((-5/(((-5*(58.33--5))-(-5+((-5*58.33)*(((-5--5)+(58.33--5))+58.33))))-(-5+-5)))*-5)))/-5)--5)+(-5*(((58.33*(58.33-(-5/-5)))*(58.33-(58.33/(-5*58.33))))-(-5/-5)))))</f>
        <v>985659.934885</v>
      </c>
      <c r="C15834" t="n" s="0">
        <v>985659.9348849998</v>
      </c>
    </row>
    <row r="15835">
      <c r="A15835" t="n" s="0">
        <v>58.34</v>
      </c>
      <c r="B15835" t="n" s="0">
        <f>(-5-((((-5*(-5/((-5/(((-5*(58.34--5))-(-5+((-5*58.34)*(((-5--5)+(58.34--5))+58.34))))-(-5+-5)))*-5)))/-5)--5)+(-5*(((58.34*(58.34-(-5/-5)))*(58.34-(58.34/(-5*58.34))))-(-5/-5)))))</f>
        <v>986168.07732</v>
      </c>
      <c r="C15835" t="n" s="0">
        <v>986168.07732</v>
      </c>
    </row>
    <row r="15836">
      <c r="A15836" t="n" s="0">
        <v>58.35</v>
      </c>
      <c r="B15836" t="n" s="0">
        <f>(-5-((((-5*(-5/((-5/(((-5*(58.35--5))-(-5+((-5*58.35)*(((-5--5)+(58.35--5))+58.35))))-(-5+-5)))*-5)))/-5)--5)+(-5*(((58.35*(58.35-(-5/-5)))*(58.35-(58.35/(-5*58.35))))-(-5/-5)))))</f>
        <v>986676.3943749999</v>
      </c>
      <c r="C15836" t="n" s="0">
        <v>986676.3943750003</v>
      </c>
    </row>
    <row r="15837">
      <c r="A15837" t="n" s="0">
        <v>58.36</v>
      </c>
      <c r="B15837" t="n" s="0">
        <f>(-5-((((-5*(-5/((-5/(((-5*(58.36--5))-(-5+((-5*58.36)*(((-5--5)+(58.36--5))+58.36))))-(-5+-5)))*-5)))/-5)--5)+(-5*(((58.36*(58.36-(-5/-5)))*(58.36-(58.36/(-5*58.36))))-(-5/-5)))))</f>
        <v>987184.8860800001</v>
      </c>
      <c r="C15837" t="n" s="0">
        <v>987184.88608</v>
      </c>
    </row>
    <row r="15838">
      <c r="A15838" t="n" s="0">
        <v>58.37</v>
      </c>
      <c r="B15838" t="n" s="0">
        <f>(-5-((((-5*(-5/((-5/(((-5*(58.37--5))-(-5+((-5*58.37)*(((-5--5)+(58.37--5))+58.37))))-(-5+-5)))*-5)))/-5)--5)+(-5*(((58.37*(58.37-(-5/-5)))*(58.37-(58.37/(-5*58.37))))-(-5/-5)))))</f>
        <v>987693.5524650001</v>
      </c>
      <c r="C15838" t="n" s="0">
        <v>987693.5524649997</v>
      </c>
    </row>
    <row r="15839">
      <c r="A15839" t="n" s="0">
        <v>58.38</v>
      </c>
      <c r="B15839" t="n" s="0">
        <f>(-5-((((-5*(-5/((-5/(((-5*(58.38--5))-(-5+((-5*58.38)*(((-5--5)+(58.38--5))+58.38))))-(-5+-5)))*-5)))/-5)--5)+(-5*(((58.38*(58.38-(-5/-5)))*(58.38-(58.38/(-5*58.38))))-(-5/-5)))))</f>
        <v>988202.39356</v>
      </c>
      <c r="C15839" t="n" s="0">
        <v>988202.3935600001</v>
      </c>
    </row>
    <row r="15840">
      <c r="A15840" t="n" s="0">
        <v>58.39</v>
      </c>
      <c r="B15840" t="n" s="0">
        <f>(-5-((((-5*(-5/((-5/(((-5*(58.39--5))-(-5+((-5*58.39)*(((-5--5)+(58.39--5))+58.39))))-(-5+-5)))*-5)))/-5)--5)+(-5*(((58.39*(58.39-(-5/-5)))*(58.39-(58.39/(-5*58.39))))-(-5/-5)))))</f>
        <v>988711.409395</v>
      </c>
      <c r="C15840" t="n" s="0">
        <v>988711.4093950001</v>
      </c>
    </row>
    <row r="15841">
      <c r="A15841" t="n" s="0">
        <v>58.4</v>
      </c>
      <c r="B15841" t="n" s="0">
        <f>(-5-((((-5*(-5/((-5/(((-5*(58.4--5))-(-5+((-5*58.4)*(((-5--5)+(58.4--5))+58.4))))-(-5+-5)))*-5)))/-5)--5)+(-5*(((58.4*(58.4-(-5/-5)))*(58.4-(58.4/(-5*58.4))))-(-5/-5)))))</f>
        <v>989220.6</v>
      </c>
      <c r="C15841" t="n" s="0">
        <v>989220.6</v>
      </c>
    </row>
    <row r="15842">
      <c r="A15842" t="n" s="0">
        <v>58.41</v>
      </c>
      <c r="B15842" t="n" s="0">
        <f>(-5-((((-5*(-5/((-5/(((-5*(58.41--5))-(-5+((-5*58.41)*(((-5--5)+(58.41--5))+58.41))))-(-5+-5)))*-5)))/-5)--5)+(-5*(((58.41*(58.41-(-5/-5)))*(58.41-(58.41/(-5*58.41))))-(-5/-5)))))</f>
        <v>989729.965405</v>
      </c>
      <c r="C15842" t="n" s="0">
        <v>989729.9654049998</v>
      </c>
    </row>
    <row r="15843">
      <c r="A15843" t="n" s="0">
        <v>58.42</v>
      </c>
      <c r="B15843" t="n" s="0">
        <f>(-5-((((-5*(-5/((-5/(((-5*(58.42--5))-(-5+((-5*58.42)*(((-5--5)+(58.42--5))+58.42))))-(-5+-5)))*-5)))/-5)--5)+(-5*(((58.42*(58.42-(-5/-5)))*(58.42-(58.42/(-5*58.42))))-(-5/-5)))))</f>
        <v>990239.50564</v>
      </c>
      <c r="C15843" t="n" s="0">
        <v>990239.50564</v>
      </c>
    </row>
    <row r="15844">
      <c r="A15844" t="n" s="0">
        <v>58.43</v>
      </c>
      <c r="B15844" t="n" s="0">
        <f>(-5-((((-5*(-5/((-5/(((-5*(58.43--5))-(-5+((-5*58.43)*(((-5--5)+(58.43--5))+58.43))))-(-5+-5)))*-5)))/-5)--5)+(-5*(((58.43*(58.43-(-5/-5)))*(58.43-(58.43/(-5*58.43))))-(-5/-5)))))</f>
        <v>990749.220735</v>
      </c>
      <c r="C15844" t="n" s="0">
        <v>990749.2207350001</v>
      </c>
    </row>
    <row r="15845">
      <c r="A15845" t="n" s="0">
        <v>58.44</v>
      </c>
      <c r="B15845" t="n" s="0">
        <f>(-5-((((-5*(-5/((-5/(((-5*(58.44--5))-(-5+((-5*58.44)*(((-5--5)+(58.44--5))+58.44))))-(-5+-5)))*-5)))/-5)--5)+(-5*(((58.44*(58.44-(-5/-5)))*(58.44-(58.44/(-5*58.44))))-(-5/-5)))))</f>
        <v>991259.11072</v>
      </c>
      <c r="C15845" t="n" s="0">
        <v>991259.1107199999</v>
      </c>
    </row>
    <row r="15846">
      <c r="A15846" t="n" s="0">
        <v>58.45</v>
      </c>
      <c r="B15846" t="n" s="0">
        <f>(-5-((((-5*(-5/((-5/(((-5*(58.45--5))-(-5+((-5*58.45)*(((-5--5)+(58.45--5))+58.45))))-(-5+-5)))*-5)))/-5)--5)+(-5*(((58.45*(58.45-(-5/-5)))*(58.45-(58.45/(-5*58.45))))-(-5/-5)))))</f>
        <v>991769.175625</v>
      </c>
      <c r="C15846" t="n" s="0">
        <v>991769.175625</v>
      </c>
    </row>
    <row r="15847">
      <c r="A15847" t="n" s="0">
        <v>58.46</v>
      </c>
      <c r="B15847" t="n" s="0">
        <f>(-5-((((-5*(-5/((-5/(((-5*(58.46--5))-(-5+((-5*58.46)*(((-5--5)+(58.46--5))+58.46))))-(-5+-5)))*-5)))/-5)--5)+(-5*(((58.46*(58.46-(-5/-5)))*(58.46-(58.46/(-5*58.46))))-(-5/-5)))))</f>
        <v>992279.41548</v>
      </c>
      <c r="C15847" t="n" s="0">
        <v>992279.41548</v>
      </c>
    </row>
    <row r="15848">
      <c r="A15848" t="n" s="0">
        <v>58.47</v>
      </c>
      <c r="B15848" t="n" s="0">
        <f>(-5-((((-5*(-5/((-5/(((-5*(58.47--5))-(-5+((-5*58.47)*(((-5--5)+(58.47--5))+58.47))))-(-5+-5)))*-5)))/-5)--5)+(-5*(((58.47*(58.47-(-5/-5)))*(58.47-(58.47/(-5*58.47))))-(-5/-5)))))</f>
        <v>992789.830315</v>
      </c>
      <c r="C15848" t="n" s="0">
        <v>992789.830315</v>
      </c>
    </row>
    <row r="15849">
      <c r="A15849" t="n" s="0">
        <v>58.48</v>
      </c>
      <c r="B15849" t="n" s="0">
        <f>(-5-((((-5*(-5/((-5/(((-5*(58.48--5))-(-5+((-5*58.48)*(((-5--5)+(58.48--5))+58.48))))-(-5+-5)))*-5)))/-5)--5)+(-5*(((58.48*(58.48-(-5/-5)))*(58.48-(58.48/(-5*58.48))))-(-5/-5)))))</f>
        <v>993300.42016</v>
      </c>
      <c r="C15849" t="n" s="0">
        <v>993300.4201599997</v>
      </c>
    </row>
    <row r="15850">
      <c r="A15850" t="n" s="0">
        <v>58.49</v>
      </c>
      <c r="B15850" t="n" s="0">
        <f>(-5-((((-5*(-5/((-5/(((-5*(58.49--5))-(-5+((-5*58.49)*(((-5--5)+(58.49--5))+58.49))))-(-5+-5)))*-5)))/-5)--5)+(-5*(((58.49*(58.49-(-5/-5)))*(58.49-(58.49/(-5*58.49))))-(-5/-5)))))</f>
        <v>993811.185045</v>
      </c>
      <c r="C15850" t="n" s="0">
        <v>993811.185045</v>
      </c>
    </row>
    <row r="15851">
      <c r="A15851" t="n" s="0">
        <v>58.5</v>
      </c>
      <c r="B15851" t="n" s="0">
        <f>(-5-((((-5*(-5/((-5/(((-5*(58.5--5))-(-5+((-5*58.5)*(((-5--5)+(58.5--5))+58.5))))-(-5+-5)))*-5)))/-5)--5)+(-5*(((58.5*(58.5-(-5/-5)))*(58.5-(58.5/(-5*58.5))))-(-5/-5)))))</f>
        <v>994322.125</v>
      </c>
      <c r="C15851" t="n" s="0">
        <v>994322.125</v>
      </c>
    </row>
    <row r="15852">
      <c r="A15852" t="n" s="0">
        <v>58.51</v>
      </c>
      <c r="B15852" t="n" s="0">
        <f>(-5-((((-5*(-5/((-5/(((-5*(58.51--5))-(-5+((-5*58.51)*(((-5--5)+(58.51--5))+58.51))))-(-5+-5)))*-5)))/-5)--5)+(-5*(((58.51*(58.51-(-5/-5)))*(58.51-(58.51/(-5*58.51))))-(-5/-5)))))</f>
        <v>994833.2400550001</v>
      </c>
      <c r="C15852" t="n" s="0">
        <v>994833.240055</v>
      </c>
    </row>
    <row r="15853">
      <c r="A15853" t="n" s="0">
        <v>58.52</v>
      </c>
      <c r="B15853" t="n" s="0">
        <f>(-5-((((-5*(-5/((-5/(((-5*(58.52--5))-(-5+((-5*58.52)*(((-5--5)+(58.52--5))+58.52))))-(-5+-5)))*-5)))/-5)--5)+(-5*(((58.52*(58.52-(-5/-5)))*(58.52-(58.52/(-5*58.52))))-(-5/-5)))))</f>
        <v>995344.53024</v>
      </c>
      <c r="C15853" t="n" s="0">
        <v>995344.5302400002</v>
      </c>
    </row>
    <row r="15854">
      <c r="A15854" t="n" s="0">
        <v>58.53</v>
      </c>
      <c r="B15854" t="n" s="0">
        <f>(-5-((((-5*(-5/((-5/(((-5*(58.53--5))-(-5+((-5*58.53)*(((-5--5)+(58.53--5))+58.53))))-(-5+-5)))*-5)))/-5)--5)+(-5*(((58.53*(58.53-(-5/-5)))*(58.53-(58.53/(-5*58.53))))-(-5/-5)))))</f>
        <v>995855.995585</v>
      </c>
      <c r="C15854" t="n" s="0">
        <v>995855.995585</v>
      </c>
    </row>
    <row r="15855">
      <c r="A15855" t="n" s="0">
        <v>58.54</v>
      </c>
      <c r="B15855" t="n" s="0">
        <f>(-5-((((-5*(-5/((-5/(((-5*(58.54--5))-(-5+((-5*58.54)*(((-5--5)+(58.54--5))+58.54))))-(-5+-5)))*-5)))/-5)--5)+(-5*(((58.54*(58.54-(-5/-5)))*(58.54-(58.54/(-5*58.54))))-(-5/-5)))))</f>
        <v>996367.63612</v>
      </c>
      <c r="C15855" t="n" s="0">
        <v>996367.6361199999</v>
      </c>
    </row>
    <row r="15856">
      <c r="A15856" t="n" s="0">
        <v>58.55</v>
      </c>
      <c r="B15856" t="n" s="0">
        <f>(-5-((((-5*(-5/((-5/(((-5*(58.55--5))-(-5+((-5*58.55)*(((-5--5)+(58.55--5))+58.55))))-(-5+-5)))*-5)))/-5)--5)+(-5*(((58.55*(58.55-(-5/-5)))*(58.55-(58.55/(-5*58.55))))-(-5/-5)))))</f>
        <v>996879.451875</v>
      </c>
      <c r="C15856" t="n" s="0">
        <v>996879.4518749998</v>
      </c>
    </row>
    <row r="15857">
      <c r="A15857" t="n" s="0">
        <v>58.56</v>
      </c>
      <c r="B15857" t="n" s="0">
        <f>(-5-((((-5*(-5/((-5/(((-5*(58.56--5))-(-5+((-5*58.56)*(((-5--5)+(58.56--5))+58.56))))-(-5+-5)))*-5)))/-5)--5)+(-5*(((58.56*(58.56-(-5/-5)))*(58.56-(58.56/(-5*58.56))))-(-5/-5)))))</f>
        <v>997391.44288</v>
      </c>
      <c r="C15857" t="n" s="0">
        <v>997391.4428800001</v>
      </c>
    </row>
    <row r="15858">
      <c r="A15858" t="n" s="0">
        <v>58.57</v>
      </c>
      <c r="B15858" t="n" s="0">
        <f>(-5-((((-5*(-5/((-5/(((-5*(58.57--5))-(-5+((-5*58.57)*(((-5--5)+(58.57--5))+58.57))))-(-5+-5)))*-5)))/-5)--5)+(-5*(((58.57*(58.57-(-5/-5)))*(58.57-(58.57/(-5*58.57))))-(-5/-5)))))</f>
        <v>997903.609165</v>
      </c>
      <c r="C15858" t="n" s="0">
        <v>997903.6091649999</v>
      </c>
    </row>
    <row r="15859">
      <c r="A15859" t="n" s="0">
        <v>58.58</v>
      </c>
      <c r="B15859" t="n" s="0">
        <f>(-5-((((-5*(-5/((-5/(((-5*(58.58--5))-(-5+((-5*58.58)*(((-5--5)+(58.58--5))+58.58))))-(-5+-5)))*-5)))/-5)--5)+(-5*(((58.58*(58.58-(-5/-5)))*(58.58-(58.58/(-5*58.58))))-(-5/-5)))))</f>
        <v>998415.9507599999</v>
      </c>
      <c r="C15859" t="n" s="0">
        <v>998415.9507599998</v>
      </c>
    </row>
    <row r="15860">
      <c r="A15860" t="n" s="0">
        <v>58.59</v>
      </c>
      <c r="B15860" t="n" s="0">
        <f>(-5-((((-5*(-5/((-5/(((-5*(58.59--5))-(-5+((-5*58.59)*(((-5--5)+(58.59--5))+58.59))))-(-5+-5)))*-5)))/-5)--5)+(-5*(((58.59*(58.59-(-5/-5)))*(58.59-(58.59/(-5*58.59))))-(-5/-5)))))</f>
        <v>998928.467695</v>
      </c>
      <c r="C15860" t="n" s="0">
        <v>998928.4676950001</v>
      </c>
    </row>
    <row r="15861">
      <c r="A15861" t="n" s="0">
        <v>58.6</v>
      </c>
      <c r="B15861" t="n" s="0">
        <f>(-5-((((-5*(-5/((-5/(((-5*(58.6--5))-(-5+((-5*58.6)*(((-5--5)+(58.6--5))+58.6))))-(-5+-5)))*-5)))/-5)--5)+(-5*(((58.6*(58.6-(-5/-5)))*(58.6-(58.6/(-5*58.6))))-(-5/-5)))))</f>
        <v>999441.1599999999</v>
      </c>
      <c r="C15861" t="n" s="0">
        <v>999441.16</v>
      </c>
    </row>
    <row r="15862">
      <c r="A15862" t="n" s="0">
        <v>58.61</v>
      </c>
      <c r="B15862" t="n" s="0">
        <f>(-5-((((-5*(-5/((-5/(((-5*(58.61--5))-(-5+((-5*58.61)*(((-5--5)+(58.61--5))+58.61))))-(-5+-5)))*-5)))/-5)--5)+(-5*(((58.61*(58.61-(-5/-5)))*(58.61-(58.61/(-5*58.61))))-(-5/-5)))))</f>
        <v>999954.027705</v>
      </c>
      <c r="C15862" t="n" s="0">
        <v>999954.027705</v>
      </c>
    </row>
    <row r="15863">
      <c r="A15863" t="n" s="0">
        <v>58.62</v>
      </c>
      <c r="B15863" t="n" s="0">
        <f>(-5-((((-5*(-5/((-5/(((-5*(58.62--5))-(-5+((-5*58.62)*(((-5--5)+(58.62--5))+58.62))))-(-5+-5)))*-5)))/-5)--5)+(-5*(((58.62*(58.62-(-5/-5)))*(58.62-(58.62/(-5*58.62))))-(-5/-5)))))</f>
        <v>1000467.0708400001</v>
      </c>
      <c r="C15863" t="n" s="0">
        <v>1000467.0708399998</v>
      </c>
    </row>
    <row r="15864">
      <c r="A15864" t="n" s="0">
        <v>58.63</v>
      </c>
      <c r="B15864" t="n" s="0">
        <f>(-5-((((-5*(-5/((-5/(((-5*(58.63--5))-(-5+((-5*58.63)*(((-5--5)+(58.63--5))+58.63))))-(-5+-5)))*-5)))/-5)--5)+(-5*(((58.63*(58.63-(-5/-5)))*(58.63-(58.63/(-5*58.63))))-(-5/-5)))))</f>
        <v>1000980.289435</v>
      </c>
      <c r="C15864" t="n" s="0">
        <v>1000980.2894350002</v>
      </c>
    </row>
    <row r="15865">
      <c r="A15865" t="n" s="0">
        <v>58.64</v>
      </c>
      <c r="B15865" t="n" s="0">
        <f>(-5-((((-5*(-5/((-5/(((-5*(58.64--5))-(-5+((-5*58.64)*(((-5--5)+(58.64--5))+58.64))))-(-5+-5)))*-5)))/-5)--5)+(-5*(((58.64*(58.64-(-5/-5)))*(58.64-(58.64/(-5*58.64))))-(-5/-5)))))</f>
        <v>1001493.68352</v>
      </c>
      <c r="C15865" t="n" s="0">
        <v>1001493.68352</v>
      </c>
    </row>
    <row r="15866">
      <c r="A15866" t="n" s="0">
        <v>58.65</v>
      </c>
      <c r="B15866" t="n" s="0">
        <f>(-5-((((-5*(-5/((-5/(((-5*(58.65--5))-(-5+((-5*58.65)*(((-5--5)+(58.65--5))+58.65))))-(-5+-5)))*-5)))/-5)--5)+(-5*(((58.65*(58.65-(-5/-5)))*(58.65-(58.65/(-5*58.65))))-(-5/-5)))))</f>
        <v>1002007.253125</v>
      </c>
      <c r="C15866" t="n" s="0">
        <v>1002007.2531249999</v>
      </c>
    </row>
    <row r="15867">
      <c r="A15867" t="n" s="0">
        <v>58.66</v>
      </c>
      <c r="B15867" t="n" s="0">
        <f>(-5-((((-5*(-5/((-5/(((-5*(58.66--5))-(-5+((-5*58.66)*(((-5--5)+(58.66--5))+58.66))))-(-5+-5)))*-5)))/-5)--5)+(-5*(((58.66*(58.66-(-5/-5)))*(58.66-(58.66/(-5*58.66))))-(-5/-5)))))</f>
        <v>1002520.9982799999</v>
      </c>
      <c r="C15867" t="n" s="0">
        <v>1002520.9982799997</v>
      </c>
    </row>
    <row r="15868">
      <c r="A15868" t="n" s="0">
        <v>58.67</v>
      </c>
      <c r="B15868" t="n" s="0">
        <f>(-5-((((-5*(-5/((-5/(((-5*(58.67--5))-(-5+((-5*58.67)*(((-5--5)+(58.67--5))+58.67))))-(-5+-5)))*-5)))/-5)--5)+(-5*(((58.67*(58.67-(-5/-5)))*(58.67-(58.67/(-5*58.67))))-(-5/-5)))))</f>
        <v>1003034.919015</v>
      </c>
      <c r="C15868" t="n" s="0">
        <v>1003034.9190150002</v>
      </c>
    </row>
    <row r="15869">
      <c r="A15869" t="n" s="0">
        <v>58.68</v>
      </c>
      <c r="B15869" t="n" s="0">
        <f>(-5-((((-5*(-5/((-5/(((-5*(58.68--5))-(-5+((-5*58.68)*(((-5--5)+(58.68--5))+58.68))))-(-5+-5)))*-5)))/-5)--5)+(-5*(((58.68*(58.68-(-5/-5)))*(58.68-(58.68/(-5*58.68))))-(-5/-5)))))</f>
        <v>1003549.01536</v>
      </c>
      <c r="C15869" t="n" s="0">
        <v>1003549.01536</v>
      </c>
    </row>
    <row r="15870">
      <c r="A15870" t="n" s="0">
        <v>58.69</v>
      </c>
      <c r="B15870" t="n" s="0">
        <f>(-5-((((-5*(-5/((-5/(((-5*(58.69--5))-(-5+((-5*58.69)*(((-5--5)+(58.69--5))+58.69))))-(-5+-5)))*-5)))/-5)--5)+(-5*(((58.69*(58.69-(-5/-5)))*(58.69-(58.69/(-5*58.69))))-(-5/-5)))))</f>
        <v>1004063.2873450001</v>
      </c>
      <c r="C15870" t="n" s="0">
        <v>1004063.2873449997</v>
      </c>
    </row>
    <row r="15871">
      <c r="A15871" t="n" s="0">
        <v>58.7</v>
      </c>
      <c r="B15871" t="n" s="0">
        <f>(-5-((((-5*(-5/((-5/(((-5*(58.7--5))-(-5+((-5*58.7)*(((-5--5)+(58.7--5))+58.7))))-(-5+-5)))*-5)))/-5)--5)+(-5*(((58.7*(58.7-(-5/-5)))*(58.7-(58.7/(-5*58.7))))-(-5/-5)))))</f>
        <v>1004577.7350000001</v>
      </c>
      <c r="C15871" t="n" s="0">
        <v>1004577.7350000001</v>
      </c>
    </row>
    <row r="15872">
      <c r="A15872" t="n" s="0">
        <v>58.71</v>
      </c>
      <c r="B15872" t="n" s="0">
        <f>(-5-((((-5*(-5/((-5/(((-5*(58.71--5))-(-5+((-5*58.71)*(((-5--5)+(58.71--5))+58.71))))-(-5+-5)))*-5)))/-5)--5)+(-5*(((58.71*(58.71-(-5/-5)))*(58.71-(58.71/(-5*58.71))))-(-5/-5)))))</f>
        <v>1005092.358355</v>
      </c>
      <c r="C15872" t="n" s="0">
        <v>1005092.358355</v>
      </c>
    </row>
    <row r="15873">
      <c r="A15873" t="n" s="0">
        <v>58.72</v>
      </c>
      <c r="B15873" t="n" s="0">
        <f>(-5-((((-5*(-5/((-5/(((-5*(58.72--5))-(-5+((-5*58.72)*(((-5--5)+(58.72--5))+58.72))))-(-5+-5)))*-5)))/-5)--5)+(-5*(((58.72*(58.72-(-5/-5)))*(58.72-(58.72/(-5*58.72))))-(-5/-5)))))</f>
        <v>1005607.1574400001</v>
      </c>
      <c r="C15873" t="n" s="0">
        <v>1005607.1574399999</v>
      </c>
    </row>
    <row r="15874">
      <c r="A15874" t="n" s="0">
        <v>58.73</v>
      </c>
      <c r="B15874" t="n" s="0">
        <f>(-5-((((-5*(-5/((-5/(((-5*(58.73--5))-(-5+((-5*58.73)*(((-5--5)+(58.73--5))+58.73))))-(-5+-5)))*-5)))/-5)--5)+(-5*(((58.73*(58.73-(-5/-5)))*(58.73-(58.73/(-5*58.73))))-(-5/-5)))))</f>
        <v>1006122.132285</v>
      </c>
      <c r="C15874" t="n" s="0">
        <v>1006122.1322849998</v>
      </c>
    </row>
    <row r="15875">
      <c r="A15875" t="n" s="0">
        <v>58.74</v>
      </c>
      <c r="B15875" t="n" s="0">
        <f>(-5-((((-5*(-5/((-5/(((-5*(58.74--5))-(-5+((-5*58.74)*(((-5--5)+(58.74--5))+58.74))))-(-5+-5)))*-5)))/-5)--5)+(-5*(((58.74*(58.74-(-5/-5)))*(58.74-(58.74/(-5*58.74))))-(-5/-5)))))</f>
        <v>1006637.28292</v>
      </c>
      <c r="C15875" t="n" s="0">
        <v>1006637.2829200001</v>
      </c>
    </row>
    <row r="15876">
      <c r="A15876" t="n" s="0">
        <v>58.75</v>
      </c>
      <c r="B15876" t="n" s="0">
        <f>(-5-((((-5*(-5/((-5/(((-5*(58.75--5))-(-5+((-5*58.75)*(((-5--5)+(58.75--5))+58.75))))-(-5+-5)))*-5)))/-5)--5)+(-5*(((58.75*(58.75-(-5/-5)))*(58.75-(58.75/(-5*58.75))))-(-5/-5)))))</f>
        <v>1007152.609375</v>
      </c>
      <c r="C15876" t="n" s="0">
        <v>1007152.609375</v>
      </c>
    </row>
    <row r="15877">
      <c r="A15877" t="n" s="0">
        <v>58.76</v>
      </c>
      <c r="B15877" t="n" s="0">
        <f>(-5-((((-5*(-5/((-5/(((-5*(58.76--5))-(-5+((-5*58.76)*(((-5--5)+(58.76--5))+58.76))))-(-5+-5)))*-5)))/-5)--5)+(-5*(((58.76*(58.76-(-5/-5)))*(58.76-(58.76/(-5*58.76))))-(-5/-5)))))</f>
        <v>1007668.11168</v>
      </c>
      <c r="C15877" t="n" s="0">
        <v>1007668.11168</v>
      </c>
    </row>
    <row r="15878">
      <c r="A15878" t="n" s="0">
        <v>58.77</v>
      </c>
      <c r="B15878" t="n" s="0">
        <f>(-5-((((-5*(-5/((-5/(((-5*(58.77--5))-(-5+((-5*58.77)*(((-5--5)+(58.77--5))+58.77))))-(-5+-5)))*-5)))/-5)--5)+(-5*(((58.77*(58.77-(-5/-5)))*(58.77-(58.77/(-5*58.77))))-(-5/-5)))))</f>
        <v>1008183.7898649999</v>
      </c>
      <c r="C15878" t="n" s="0">
        <v>1008183.7898650002</v>
      </c>
    </row>
    <row r="15879">
      <c r="A15879" t="n" s="0">
        <v>58.78</v>
      </c>
      <c r="B15879" t="n" s="0">
        <f>(-5-((((-5*(-5/((-5/(((-5*(58.78--5))-(-5+((-5*58.78)*(((-5--5)+(58.78--5))+58.78))))-(-5+-5)))*-5)))/-5)--5)+(-5*(((58.78*(58.78-(-5/-5)))*(58.78-(58.78/(-5*58.78))))-(-5/-5)))))</f>
        <v>1008699.64396</v>
      </c>
      <c r="C15879" t="n" s="0">
        <v>1008699.64396</v>
      </c>
    </row>
    <row r="15880">
      <c r="A15880" t="n" s="0">
        <v>58.79</v>
      </c>
      <c r="B15880" t="n" s="0">
        <f>(-5-((((-5*(-5/((-5/(((-5*(58.79--5))-(-5+((-5*58.79)*(((-5--5)+(58.79--5))+58.79))))-(-5+-5)))*-5)))/-5)--5)+(-5*(((58.79*(58.79-(-5/-5)))*(58.79-(58.79/(-5*58.79))))-(-5/-5)))))</f>
        <v>1009215.673995</v>
      </c>
      <c r="C15880" t="n" s="0">
        <v>1009215.6739950001</v>
      </c>
    </row>
    <row r="15881">
      <c r="A15881" t="n" s="0">
        <v>58.8</v>
      </c>
      <c r="B15881" t="n" s="0">
        <f>(-5-((((-5*(-5/((-5/(((-5*(58.8--5))-(-5+((-5*58.8)*(((-5--5)+(58.8--5))+58.8))))-(-5+-5)))*-5)))/-5)--5)+(-5*(((58.8*(58.8-(-5/-5)))*(58.8-(58.8/(-5*58.8))))-(-5/-5)))))</f>
        <v>1009731.8800000001</v>
      </c>
      <c r="C15881" t="n" s="0">
        <v>1009731.8799999999</v>
      </c>
    </row>
    <row r="15882">
      <c r="A15882" t="n" s="0">
        <v>58.81</v>
      </c>
      <c r="B15882" t="n" s="0">
        <f>(-5-((((-5*(-5/((-5/(((-5*(58.81--5))-(-5+((-5*58.81)*(((-5--5)+(58.81--5))+58.81))))-(-5+-5)))*-5)))/-5)--5)+(-5*(((58.81*(58.81-(-5/-5)))*(58.81-(58.81/(-5*58.81))))-(-5/-5)))))</f>
        <v>1010248.2620049999</v>
      </c>
      <c r="C15882" t="n" s="0">
        <v>1010248.2620050003</v>
      </c>
    </row>
    <row r="15883">
      <c r="A15883" t="n" s="0">
        <v>58.82</v>
      </c>
      <c r="B15883" t="n" s="0">
        <f>(-5-((((-5*(-5/((-5/(((-5*(58.82--5))-(-5+((-5*58.82)*(((-5--5)+(58.82--5))+58.82))))-(-5+-5)))*-5)))/-5)--5)+(-5*(((58.82*(58.82-(-5/-5)))*(58.82-(58.82/(-5*58.82))))-(-5/-5)))))</f>
        <v>1010764.82004</v>
      </c>
      <c r="C15883" t="n" s="0">
        <v>1010764.82004</v>
      </c>
    </row>
    <row r="15884">
      <c r="A15884" t="n" s="0">
        <v>58.83</v>
      </c>
      <c r="B15884" t="n" s="0">
        <f>(-5-((((-5*(-5/((-5/(((-5*(58.83--5))-(-5+((-5*58.83)*(((-5--5)+(58.83--5))+58.83))))-(-5+-5)))*-5)))/-5)--5)+(-5*(((58.83*(58.83-(-5/-5)))*(58.83-(58.83/(-5*58.83))))-(-5/-5)))))</f>
        <v>1011281.554135</v>
      </c>
      <c r="C15884" t="n" s="0">
        <v>1011281.554135</v>
      </c>
    </row>
    <row r="15885">
      <c r="A15885" t="n" s="0">
        <v>58.84</v>
      </c>
      <c r="B15885" t="n" s="0">
        <f>(-5-((((-5*(-5/((-5/(((-5*(58.84--5))-(-5+((-5*58.84)*(((-5--5)+(58.84--5))+58.84))))-(-5+-5)))*-5)))/-5)--5)+(-5*(((58.84*(58.84-(-5/-5)))*(58.84-(58.84/(-5*58.84))))-(-5/-5)))))</f>
        <v>1011798.4643199999</v>
      </c>
      <c r="C15885" t="n" s="0">
        <v>1011798.4643200001</v>
      </c>
    </row>
    <row r="15886">
      <c r="A15886" t="n" s="0">
        <v>58.85</v>
      </c>
      <c r="B15886" t="n" s="0">
        <f>(-5-((((-5*(-5/((-5/(((-5*(58.85--5))-(-5+((-5*58.85)*(((-5--5)+(58.85--5))+58.85))))-(-5+-5)))*-5)))/-5)--5)+(-5*(((58.85*(58.85-(-5/-5)))*(58.85-(58.85/(-5*58.85))))-(-5/-5)))))</f>
        <v>1012315.550625</v>
      </c>
      <c r="C15886" t="n" s="0">
        <v>1012315.550625</v>
      </c>
    </row>
    <row r="15887">
      <c r="A15887" t="n" s="0">
        <v>58.86</v>
      </c>
      <c r="B15887" t="n" s="0">
        <f>(-5-((((-5*(-5/((-5/(((-5*(58.86--5))-(-5+((-5*58.86)*(((-5--5)+(58.86--5))+58.86))))-(-5+-5)))*-5)))/-5)--5)+(-5*(((58.86*(58.86-(-5/-5)))*(58.86-(58.86/(-5*58.86))))-(-5/-5)))))</f>
        <v>1012832.81308</v>
      </c>
      <c r="C15887" t="n" s="0">
        <v>1012832.81308</v>
      </c>
    </row>
    <row r="15888">
      <c r="A15888" t="n" s="0">
        <v>58.87</v>
      </c>
      <c r="B15888" t="n" s="0">
        <f>(-5-((((-5*(-5/((-5/(((-5*(58.87--5))-(-5+((-5*58.87)*(((-5--5)+(58.87--5))+58.87))))-(-5+-5)))*-5)))/-5)--5)+(-5*(((58.87*(58.87-(-5/-5)))*(58.87-(58.87/(-5*58.87))))-(-5/-5)))))</f>
        <v>1013350.251715</v>
      </c>
      <c r="C15888" t="n" s="0">
        <v>1013350.2517149998</v>
      </c>
    </row>
    <row r="15889">
      <c r="A15889" t="n" s="0">
        <v>58.88</v>
      </c>
      <c r="B15889" t="n" s="0">
        <f>(-5-((((-5*(-5/((-5/(((-5*(58.88--5))-(-5+((-5*58.88)*(((-5--5)+(58.88--5))+58.88))))-(-5+-5)))*-5)))/-5)--5)+(-5*(((58.88*(58.88-(-5/-5)))*(58.88-(58.88/(-5*58.88))))-(-5/-5)))))</f>
        <v>1013867.86656</v>
      </c>
      <c r="C15889" t="n" s="0">
        <v>1013867.86656</v>
      </c>
    </row>
    <row r="15890">
      <c r="A15890" t="n" s="0">
        <v>58.89</v>
      </c>
      <c r="B15890" t="n" s="0">
        <f>(-5-((((-5*(-5/((-5/(((-5*(58.89--5))-(-5+((-5*58.89)*(((-5--5)+(58.89--5))+58.89))))-(-5+-5)))*-5)))/-5)--5)+(-5*(((58.89*(58.89-(-5/-5)))*(58.89-(58.89/(-5*58.89))))-(-5/-5)))))</f>
        <v>1014385.6576449999</v>
      </c>
      <c r="C15890" t="n" s="0">
        <v>1014385.6576450001</v>
      </c>
    </row>
    <row r="15891">
      <c r="A15891" t="n" s="0">
        <v>58.9</v>
      </c>
      <c r="B15891" t="n" s="0">
        <f>(-5-((((-5*(-5/((-5/(((-5*(58.9--5))-(-5+((-5*58.9)*(((-5--5)+(58.9--5))+58.9))))-(-5+-5)))*-5)))/-5)--5)+(-5*(((58.9*(58.9-(-5/-5)))*(58.9-(58.9/(-5*58.9))))-(-5/-5)))))</f>
        <v>1014903.625</v>
      </c>
      <c r="C15891" t="n" s="0">
        <v>1014903.6249999999</v>
      </c>
    </row>
    <row r="15892">
      <c r="A15892" t="n" s="0">
        <v>58.91</v>
      </c>
      <c r="B15892" t="n" s="0">
        <f>(-5-((((-5*(-5/((-5/(((-5*(58.91--5))-(-5+((-5*58.91)*(((-5--5)+(58.91--5))+58.91))))-(-5+-5)))*-5)))/-5)--5)+(-5*(((58.91*(58.91-(-5/-5)))*(58.91-(58.91/(-5*58.91))))-(-5/-5)))))</f>
        <v>1015421.768655</v>
      </c>
      <c r="C15892" t="n" s="0">
        <v>1015421.7686549999</v>
      </c>
    </row>
    <row r="15893">
      <c r="A15893" t="n" s="0">
        <v>58.92</v>
      </c>
      <c r="B15893" t="n" s="0">
        <f>(-5-((((-5*(-5/((-5/(((-5*(58.92--5))-(-5+((-5*58.92)*(((-5--5)+(58.92--5))+58.92))))-(-5+-5)))*-5)))/-5)--5)+(-5*(((58.92*(58.92-(-5/-5)))*(58.92-(58.92/(-5*58.92))))-(-5/-5)))))</f>
        <v>1015940.08864</v>
      </c>
      <c r="C15893" t="n" s="0">
        <v>1015940.0886400001</v>
      </c>
    </row>
    <row r="15894">
      <c r="A15894" t="n" s="0">
        <v>58.93</v>
      </c>
      <c r="B15894" t="n" s="0">
        <f>(-5-((((-5*(-5/((-5/(((-5*(58.93--5))-(-5+((-5*58.93)*(((-5--5)+(58.93--5))+58.93))))-(-5+-5)))*-5)))/-5)--5)+(-5*(((58.93*(58.93-(-5/-5)))*(58.93-(58.93/(-5*58.93))))-(-5/-5)))))</f>
        <v>1016458.5849850001</v>
      </c>
      <c r="C15894" t="n" s="0">
        <v>1016458.5849850001</v>
      </c>
    </row>
    <row r="15895">
      <c r="A15895" t="n" s="0">
        <v>58.94</v>
      </c>
      <c r="B15895" t="n" s="0">
        <f>(-5-((((-5*(-5/((-5/(((-5*(58.94--5))-(-5+((-5*58.94)*(((-5--5)+(58.94--5))+58.94))))-(-5+-5)))*-5)))/-5)--5)+(-5*(((58.94*(58.94-(-5/-5)))*(58.94-(58.94/(-5*58.94))))-(-5/-5)))))</f>
        <v>1016977.25772</v>
      </c>
      <c r="C15895" t="n" s="0">
        <v>1016977.2577199998</v>
      </c>
    </row>
    <row r="15896">
      <c r="A15896" t="n" s="0">
        <v>58.95</v>
      </c>
      <c r="B15896" t="n" s="0">
        <f>(-5-((((-5*(-5/((-5/(((-5*(58.95--5))-(-5+((-5*58.95)*(((-5--5)+(58.95--5))+58.95))))-(-5+-5)))*-5)))/-5)--5)+(-5*(((58.95*(58.95-(-5/-5)))*(58.95-(58.95/(-5*58.95))))-(-5/-5)))))</f>
        <v>1017496.106875</v>
      </c>
      <c r="C15896" t="n" s="0">
        <v>1017496.106875</v>
      </c>
    </row>
    <row r="15897">
      <c r="A15897" t="n" s="0">
        <v>58.96</v>
      </c>
      <c r="B15897" t="n" s="0">
        <f>(-5-((((-5*(-5/((-5/(((-5*(58.96--5))-(-5+((-5*58.96)*(((-5--5)+(58.96--5))+58.96))))-(-5+-5)))*-5)))/-5)--5)+(-5*(((58.96*(58.96-(-5/-5)))*(58.96-(58.96/(-5*58.96))))-(-5/-5)))))</f>
        <v>1018015.1324799999</v>
      </c>
      <c r="C15897" t="n" s="0">
        <v>1018015.13248</v>
      </c>
    </row>
    <row r="15898">
      <c r="A15898" t="n" s="0">
        <v>58.97</v>
      </c>
      <c r="B15898" t="n" s="0">
        <f>(-5-((((-5*(-5/((-5/(((-5*(58.97--5))-(-5+((-5*58.97)*(((-5--5)+(58.97--5))+58.97))))-(-5+-5)))*-5)))/-5)--5)+(-5*(((58.97*(58.97-(-5/-5)))*(58.97-(58.97/(-5*58.97))))-(-5/-5)))))</f>
        <v>1018534.334565</v>
      </c>
      <c r="C15898" t="n" s="0">
        <v>1018534.3345649999</v>
      </c>
    </row>
    <row r="15899">
      <c r="A15899" t="n" s="0">
        <v>58.98</v>
      </c>
      <c r="B15899" t="n" s="0">
        <f>(-5-((((-5*(-5/((-5/(((-5*(58.98--5))-(-5+((-5*58.98)*(((-5--5)+(58.98--5))+58.98))))-(-5+-5)))*-5)))/-5)--5)+(-5*(((58.98*(58.98-(-5/-5)))*(58.98-(58.98/(-5*58.98))))-(-5/-5)))))</f>
        <v>1019053.71316</v>
      </c>
      <c r="C15899" t="n" s="0">
        <v>1019053.7131599998</v>
      </c>
    </row>
    <row r="15900">
      <c r="A15900" t="n" s="0">
        <v>58.99</v>
      </c>
      <c r="B15900" t="n" s="0">
        <f>(-5-((((-5*(-5/((-5/(((-5*(58.99--5))-(-5+((-5*58.99)*(((-5--5)+(58.99--5))+58.99))))-(-5+-5)))*-5)))/-5)--5)+(-5*(((58.99*(58.99-(-5/-5)))*(58.99-(58.99/(-5*58.99))))-(-5/-5)))))</f>
        <v>1019573.268295</v>
      </c>
      <c r="C15900" t="n" s="0">
        <v>1019573.2682950001</v>
      </c>
    </row>
    <row r="15901">
      <c r="A15901" t="n" s="0">
        <v>59.0</v>
      </c>
      <c r="B15901" t="n" s="0">
        <f>(-5-((((-5*(-5/((-5/(((-5*(59--5))-(-5+((-5*59)*(((-5--5)+(59--5))+59))))-(-5+-5)))*-5)))/-5)--5)+(-5*(((59*(59-(-5/-5)))*(59-(59/(-5*59))))-(-5/-5)))))</f>
        <v>1020093.0</v>
      </c>
      <c r="C15901" t="n" s="0">
        <v>1020093.0</v>
      </c>
    </row>
    <row r="15902">
      <c r="A15902" t="n" s="0">
        <v>59.01</v>
      </c>
      <c r="B15902" t="n" s="0">
        <f>(-5-((((-5*(-5/((-5/(((-5*(59.01--5))-(-5+((-5*59.01)*(((-5--5)+(59.01--5))+59.01))))-(-5+-5)))*-5)))/-5)--5)+(-5*(((59.01*(59.01-(-5/-5)))*(59.01-(59.01/(-5*59.01))))-(-5/-5)))))</f>
        <v>1020612.908305</v>
      </c>
      <c r="C15902" t="n" s="0">
        <v>1020612.9083049998</v>
      </c>
    </row>
    <row r="15903">
      <c r="A15903" t="n" s="0">
        <v>59.02</v>
      </c>
      <c r="B15903" t="n" s="0">
        <f>(-5-((((-5*(-5/((-5/(((-5*(59.02--5))-(-5+((-5*59.02)*(((-5--5)+(59.02--5))+59.02))))-(-5+-5)))*-5)))/-5)--5)+(-5*(((59.02*(59.02-(-5/-5)))*(59.02-(59.02/(-5*59.02))))-(-5/-5)))))</f>
        <v>1021132.99324</v>
      </c>
      <c r="C15903" t="n" s="0">
        <v>1021132.9932400002</v>
      </c>
    </row>
    <row r="15904">
      <c r="A15904" t="n" s="0">
        <v>59.03</v>
      </c>
      <c r="B15904" t="n" s="0">
        <f>(-5-((((-5*(-5/((-5/(((-5*(59.03--5))-(-5+((-5*59.03)*(((-5--5)+(59.03--5))+59.03))))-(-5+-5)))*-5)))/-5)--5)+(-5*(((59.03*(59.03-(-5/-5)))*(59.03-(59.03/(-5*59.03))))-(-5/-5)))))</f>
        <v>1021653.2548349999</v>
      </c>
      <c r="C15904" t="n" s="0">
        <v>1021653.2548349999</v>
      </c>
    </row>
    <row r="15905">
      <c r="A15905" t="n" s="0">
        <v>59.04</v>
      </c>
      <c r="B15905" t="n" s="0">
        <f>(-5-((((-5*(-5/((-5/(((-5*(59.04--5))-(-5+((-5*59.04)*(((-5--5)+(59.04--5))+59.04))))-(-5+-5)))*-5)))/-5)--5)+(-5*(((59.04*(59.04-(-5/-5)))*(59.04-(59.04/(-5*59.04))))-(-5/-5)))))</f>
        <v>1022173.6931200001</v>
      </c>
      <c r="C15905" t="n" s="0">
        <v>1022173.69312</v>
      </c>
    </row>
    <row r="15906">
      <c r="A15906" t="n" s="0">
        <v>59.05</v>
      </c>
      <c r="B15906" t="n" s="0">
        <f>(-5-((((-5*(-5/((-5/(((-5*(59.05--5))-(-5+((-5*59.05)*(((-5--5)+(59.05--5))+59.05))))-(-5+-5)))*-5)))/-5)--5)+(-5*(((59.05*(59.05-(-5/-5)))*(59.05-(59.05/(-5*59.05))))-(-5/-5)))))</f>
        <v>1022694.308125</v>
      </c>
      <c r="C15906" t="n" s="0">
        <v>1022694.3081249997</v>
      </c>
    </row>
    <row r="15907">
      <c r="A15907" t="n" s="0">
        <v>59.06</v>
      </c>
      <c r="B15907" t="n" s="0">
        <f>(-5-((((-5*(-5/((-5/(((-5*(59.06--5))-(-5+((-5*59.06)*(((-5--5)+(59.06--5))+59.06))))-(-5+-5)))*-5)))/-5)--5)+(-5*(((59.06*(59.06-(-5/-5)))*(59.06-(59.06/(-5*59.06))))-(-5/-5)))))</f>
        <v>1023215.09988</v>
      </c>
      <c r="C15907" t="n" s="0">
        <v>1023215.0998800002</v>
      </c>
    </row>
    <row r="15908">
      <c r="A15908" t="n" s="0">
        <v>59.07</v>
      </c>
      <c r="B15908" t="n" s="0">
        <f>(-5-((((-5*(-5/((-5/(((-5*(59.07--5))-(-5+((-5*59.07)*(((-5--5)+(59.07--5))+59.07))))-(-5+-5)))*-5)))/-5)--5)+(-5*(((59.07*(59.07-(-5/-5)))*(59.07-(59.07/(-5*59.07))))-(-5/-5)))))</f>
        <v>1023736.068415</v>
      </c>
      <c r="C15908" t="n" s="0">
        <v>1023736.068415</v>
      </c>
    </row>
    <row r="15909">
      <c r="A15909" t="n" s="0">
        <v>59.08</v>
      </c>
      <c r="B15909" t="n" s="0">
        <f>(-5-((((-5*(-5/((-5/(((-5*(59.08--5))-(-5+((-5*59.08)*(((-5--5)+(59.08--5))+59.08))))-(-5+-5)))*-5)))/-5)--5)+(-5*(((59.08*(59.08-(-5/-5)))*(59.08-(59.08/(-5*59.08))))-(-5/-5)))))</f>
        <v>1024257.21376</v>
      </c>
      <c r="C15909" t="n" s="0">
        <v>1024257.21376</v>
      </c>
    </row>
    <row r="15910">
      <c r="A15910" t="n" s="0">
        <v>59.09</v>
      </c>
      <c r="B15910" t="n" s="0">
        <f>(-5-((((-5*(-5/((-5/(((-5*(59.09--5))-(-5+((-5*59.09)*(((-5--5)+(59.09--5))+59.09))))-(-5+-5)))*-5)))/-5)--5)+(-5*(((59.09*(59.09-(-5/-5)))*(59.09-(59.09/(-5*59.09))))-(-5/-5)))))</f>
        <v>1024778.535945</v>
      </c>
      <c r="C15910" t="n" s="0">
        <v>1024778.5359450002</v>
      </c>
    </row>
    <row r="15911">
      <c r="A15911" t="n" s="0">
        <v>59.1</v>
      </c>
      <c r="B15911" t="n" s="0">
        <f>(-5-((((-5*(-5/((-5/(((-5*(59.1--5))-(-5+((-5*59.1)*(((-5--5)+(59.1--5))+59.1))))-(-5+-5)))*-5)))/-5)--5)+(-5*(((59.1*(59.1-(-5/-5)))*(59.1-(59.1/(-5*59.1))))-(-5/-5)))))</f>
        <v>1025300.035</v>
      </c>
      <c r="C15911" t="n" s="0">
        <v>1025300.0350000001</v>
      </c>
    </row>
    <row r="15912">
      <c r="A15912" t="n" s="0">
        <v>59.11</v>
      </c>
      <c r="B15912" t="n" s="0">
        <f>(-5-((((-5*(-5/((-5/(((-5*(59.11--5))-(-5+((-5*59.11)*(((-5--5)+(59.11--5))+59.11))))-(-5+-5)))*-5)))/-5)--5)+(-5*(((59.11*(59.11-(-5/-5)))*(59.11-(59.11/(-5*59.11))))-(-5/-5)))))</f>
        <v>1025821.710955</v>
      </c>
      <c r="C15912" t="n" s="0">
        <v>1025821.710955</v>
      </c>
    </row>
    <row r="15913">
      <c r="A15913" t="n" s="0">
        <v>59.12</v>
      </c>
      <c r="B15913" t="n" s="0">
        <f>(-5-((((-5*(-5/((-5/(((-5*(59.12--5))-(-5+((-5*59.12)*(((-5--5)+(59.12--5))+59.12))))-(-5+-5)))*-5)))/-5)--5)+(-5*(((59.12*(59.12-(-5/-5)))*(59.12-(59.12/(-5*59.12))))-(-5/-5)))))</f>
        <v>1026343.5638400001</v>
      </c>
      <c r="C15913" t="n" s="0">
        <v>1026343.5638399998</v>
      </c>
    </row>
    <row r="15914">
      <c r="A15914" t="n" s="0">
        <v>59.13</v>
      </c>
      <c r="B15914" t="n" s="0">
        <f>(-5-((((-5*(-5/((-5/(((-5*(59.13--5))-(-5+((-5*59.13)*(((-5--5)+(59.13--5))+59.13))))-(-5+-5)))*-5)))/-5)--5)+(-5*(((59.13*(59.13-(-5/-5)))*(59.13-(59.13/(-5*59.13))))-(-5/-5)))))</f>
        <v>1026865.5936850001</v>
      </c>
      <c r="C15914" t="n" s="0">
        <v>1026865.5936850001</v>
      </c>
    </row>
    <row r="15915">
      <c r="A15915" t="n" s="0">
        <v>59.14</v>
      </c>
      <c r="B15915" t="n" s="0">
        <f>(-5-((((-5*(-5/((-5/(((-5*(59.14--5))-(-5+((-5*59.14)*(((-5--5)+(59.14--5))+59.14))))-(-5+-5)))*-5)))/-5)--5)+(-5*(((59.14*(59.14-(-5/-5)))*(59.14-(59.14/(-5*59.14))))-(-5/-5)))))</f>
        <v>1027387.8005199999</v>
      </c>
      <c r="C15915" t="n" s="0">
        <v>1027387.80052</v>
      </c>
    </row>
    <row r="15916">
      <c r="A15916" t="n" s="0">
        <v>59.15</v>
      </c>
      <c r="B15916" t="n" s="0">
        <f>(-5-((((-5*(-5/((-5/(((-5*(59.15--5))-(-5+((-5*59.15)*(((-5--5)+(59.15--5))+59.15))))-(-5+-5)))*-5)))/-5)--5)+(-5*(((59.15*(59.15-(-5/-5)))*(59.15-(59.15/(-5*59.15))))-(-5/-5)))))</f>
        <v>1027910.1843750001</v>
      </c>
      <c r="C15916" t="n" s="0">
        <v>1027910.184375</v>
      </c>
    </row>
    <row r="15917">
      <c r="A15917" t="n" s="0">
        <v>59.16</v>
      </c>
      <c r="B15917" t="n" s="0">
        <f>(-5-((((-5*(-5/((-5/(((-5*(59.16--5))-(-5+((-5*59.16)*(((-5--5)+(59.16--5))+59.16))))-(-5+-5)))*-5)))/-5)--5)+(-5*(((59.16*(59.16-(-5/-5)))*(59.16-(59.16/(-5*59.16))))-(-5/-5)))))</f>
        <v>1028432.74528</v>
      </c>
      <c r="C15917" t="n" s="0">
        <v>1028432.7452799998</v>
      </c>
    </row>
    <row r="15918">
      <c r="A15918" t="n" s="0">
        <v>59.17</v>
      </c>
      <c r="B15918" t="n" s="0">
        <f>(-5-((((-5*(-5/((-5/(((-5*(59.17--5))-(-5+((-5*59.17)*(((-5--5)+(59.17--5))+59.17))))-(-5+-5)))*-5)))/-5)--5)+(-5*(((59.17*(59.17-(-5/-5)))*(59.17-(59.17/(-5*59.17))))-(-5/-5)))))</f>
        <v>1028955.483265</v>
      </c>
      <c r="C15918" t="n" s="0">
        <v>1028955.4832650002</v>
      </c>
    </row>
    <row r="15919">
      <c r="A15919" t="n" s="0">
        <v>59.18</v>
      </c>
      <c r="B15919" t="n" s="0">
        <f>(-5-((((-5*(-5/((-5/(((-5*(59.18--5))-(-5+((-5*59.18)*(((-5--5)+(59.18--5))+59.18))))-(-5+-5)))*-5)))/-5)--5)+(-5*(((59.18*(59.18-(-5/-5)))*(59.18-(59.18/(-5*59.18))))-(-5/-5)))))</f>
        <v>1029478.39836</v>
      </c>
      <c r="C15919" t="n" s="0">
        <v>1029478.39836</v>
      </c>
    </row>
    <row r="15920">
      <c r="A15920" t="n" s="0">
        <v>59.19</v>
      </c>
      <c r="B15920" t="n" s="0">
        <f>(-5-((((-5*(-5/((-5/(((-5*(59.19--5))-(-5+((-5*59.19)*(((-5--5)+(59.19--5))+59.19))))-(-5+-5)))*-5)))/-5)--5)+(-5*(((59.19*(59.19-(-5/-5)))*(59.19-(59.19/(-5*59.19))))-(-5/-5)))))</f>
        <v>1030001.490595</v>
      </c>
      <c r="C15920" t="n" s="0">
        <v>1030001.4905949997</v>
      </c>
    </row>
    <row r="15921">
      <c r="A15921" t="n" s="0">
        <v>59.2</v>
      </c>
      <c r="B15921" t="n" s="0">
        <f>(-5-((((-5*(-5/((-5/(((-5*(59.2--5))-(-5+((-5*59.2)*(((-5--5)+(59.2--5))+59.2))))-(-5+-5)))*-5)))/-5)--5)+(-5*(((59.2*(59.2-(-5/-5)))*(59.2-(59.2/(-5*59.2))))-(-5/-5)))))</f>
        <v>1030524.7600000001</v>
      </c>
      <c r="C15921" t="n" s="0">
        <v>1030524.7600000001</v>
      </c>
    </row>
    <row r="15922">
      <c r="A15922" t="n" s="0">
        <v>59.21</v>
      </c>
      <c r="B15922" t="n" s="0">
        <f>(-5-((((-5*(-5/((-5/(((-5*(59.21--5))-(-5+((-5*59.21)*(((-5--5)+(59.21--5))+59.21))))-(-5+-5)))*-5)))/-5)--5)+(-5*(((59.21*(59.21-(-5/-5)))*(59.21-(59.21/(-5*59.21))))-(-5/-5)))))</f>
        <v>1031048.2066050001</v>
      </c>
      <c r="C15922" t="n" s="0">
        <v>1031048.206605</v>
      </c>
    </row>
    <row r="15923">
      <c r="A15923" t="n" s="0">
        <v>59.22</v>
      </c>
      <c r="B15923" t="n" s="0">
        <f>(-5-((((-5*(-5/((-5/(((-5*(59.22--5))-(-5+((-5*59.22)*(((-5--5)+(59.22--5))+59.22))))-(-5+-5)))*-5)))/-5)--5)+(-5*(((59.22*(59.22-(-5/-5)))*(59.22-(59.22/(-5*59.22))))-(-5/-5)))))</f>
        <v>1031571.8304399999</v>
      </c>
      <c r="C15923" t="n" s="0">
        <v>1031571.8304399999</v>
      </c>
    </row>
    <row r="15924">
      <c r="A15924" t="n" s="0">
        <v>59.23</v>
      </c>
      <c r="B15924" t="n" s="0">
        <f>(-5-((((-5*(-5/((-5/(((-5*(59.23--5))-(-5+((-5*59.23)*(((-5--5)+(59.23--5))+59.23))))-(-5+-5)))*-5)))/-5)--5)+(-5*(((59.23*(59.23-(-5/-5)))*(59.23-(59.23/(-5*59.23))))-(-5/-5)))))</f>
        <v>1032095.6315349999</v>
      </c>
      <c r="C15924" t="n" s="0">
        <v>1032095.6315349997</v>
      </c>
    </row>
    <row r="15925">
      <c r="A15925" t="n" s="0">
        <v>59.24</v>
      </c>
      <c r="B15925" t="n" s="0">
        <f>(-5-((((-5*(-5/((-5/(((-5*(59.24--5))-(-5+((-5*59.24)*(((-5--5)+(59.24--5))+59.24))))-(-5+-5)))*-5)))/-5)--5)+(-5*(((59.24*(59.24-(-5/-5)))*(59.24-(59.24/(-5*59.24))))-(-5/-5)))))</f>
        <v>1032619.60992</v>
      </c>
      <c r="C15925" t="n" s="0">
        <v>1032619.6099200001</v>
      </c>
    </row>
    <row r="15926">
      <c r="A15926" t="n" s="0">
        <v>59.25</v>
      </c>
      <c r="B15926" t="n" s="0">
        <f>(-5-((((-5*(-5/((-5/(((-5*(59.25--5))-(-5+((-5*59.25)*(((-5--5)+(59.25--5))+59.25))))-(-5+-5)))*-5)))/-5)--5)+(-5*(((59.25*(59.25-(-5/-5)))*(59.25-(59.25/(-5*59.25))))-(-5/-5)))))</f>
        <v>1033143.765625</v>
      </c>
      <c r="C15926" t="n" s="0">
        <v>1033143.765625</v>
      </c>
    </row>
    <row r="15927">
      <c r="A15927" t="n" s="0">
        <v>59.26</v>
      </c>
      <c r="B15927" t="n" s="0">
        <f>(-5-((((-5*(-5/((-5/(((-5*(59.26--5))-(-5+((-5*59.26)*(((-5--5)+(59.26--5))+59.26))))-(-5+-5)))*-5)))/-5)--5)+(-5*(((59.26*(59.26-(-5/-5)))*(59.26-(59.26/(-5*59.26))))-(-5/-5)))))</f>
        <v>1033668.09868</v>
      </c>
      <c r="C15927" t="n" s="0">
        <v>1033668.0986799999</v>
      </c>
    </row>
    <row r="15928">
      <c r="A15928" t="n" s="0">
        <v>59.27</v>
      </c>
      <c r="B15928" t="n" s="0">
        <f>(-5-((((-5*(-5/((-5/(((-5*(59.27--5))-(-5+((-5*59.27)*(((-5--5)+(59.27--5))+59.27))))-(-5+-5)))*-5)))/-5)--5)+(-5*(((59.27*(59.27-(-5/-5)))*(59.27-(59.27/(-5*59.27))))-(-5/-5)))))</f>
        <v>1034192.609115</v>
      </c>
      <c r="C15928" t="n" s="0">
        <v>1034192.6091150002</v>
      </c>
    </row>
    <row r="15929">
      <c r="A15929" t="n" s="0">
        <v>59.28</v>
      </c>
      <c r="B15929" t="n" s="0">
        <f>(-5-((((-5*(-5/((-5/(((-5*(59.28--5))-(-5+((-5*59.28)*(((-5--5)+(59.28--5))+59.28))))-(-5+-5)))*-5)))/-5)--5)+(-5*(((59.28*(59.28-(-5/-5)))*(59.28-(59.28/(-5*59.28))))-(-5/-5)))))</f>
        <v>1034717.2969600001</v>
      </c>
      <c r="C15929" t="n" s="0">
        <v>1034717.2969600001</v>
      </c>
    </row>
    <row r="15930">
      <c r="A15930" t="n" s="0">
        <v>59.29</v>
      </c>
      <c r="B15930" t="n" s="0">
        <f>(-5-((((-5*(-5/((-5/(((-5*(59.29--5))-(-5+((-5*59.29)*(((-5--5)+(59.29--5))+59.29))))-(-5+-5)))*-5)))/-5)--5)+(-5*(((59.29*(59.29-(-5/-5)))*(59.29-(59.29/(-5*59.29))))-(-5/-5)))))</f>
        <v>1035242.162245</v>
      </c>
      <c r="C15930" t="n" s="0">
        <v>1035242.1622449999</v>
      </c>
    </row>
    <row r="15931">
      <c r="A15931" t="n" s="0">
        <v>59.3</v>
      </c>
      <c r="B15931" t="n" s="0">
        <f>(-5-((((-5*(-5/((-5/(((-5*(59.3--5))-(-5+((-5*59.3)*(((-5--5)+(59.3--5))+59.3))))-(-5+-5)))*-5)))/-5)--5)+(-5*(((59.3*(59.3-(-5/-5)))*(59.3-(59.3/(-5*59.3))))-(-5/-5)))))</f>
        <v>1035767.205</v>
      </c>
      <c r="C15931" t="n" s="0">
        <v>1035767.2049999998</v>
      </c>
    </row>
    <row r="15932">
      <c r="A15932" t="n" s="0">
        <v>59.31</v>
      </c>
      <c r="B15932" t="n" s="0">
        <f>(-5-((((-5*(-5/((-5/(((-5*(59.31--5))-(-5+((-5*59.31)*(((-5--5)+(59.31--5))+59.31))))-(-5+-5)))*-5)))/-5)--5)+(-5*(((59.31*(59.31-(-5/-5)))*(59.31-(59.31/(-5*59.31))))-(-5/-5)))))</f>
        <v>1036292.425255</v>
      </c>
      <c r="C15932" t="n" s="0">
        <v>1036292.4252550001</v>
      </c>
    </row>
    <row r="15933">
      <c r="A15933" t="n" s="0">
        <v>59.32</v>
      </c>
      <c r="B15933" t="n" s="0">
        <f>(-5-((((-5*(-5/((-5/(((-5*(59.32--5))-(-5+((-5*59.32)*(((-5--5)+(59.32--5))+59.32))))-(-5+-5)))*-5)))/-5)--5)+(-5*(((59.32*(59.32-(-5/-5)))*(59.32-(59.32/(-5*59.32))))-(-5/-5)))))</f>
        <v>1036817.82304</v>
      </c>
      <c r="C15933" t="n" s="0">
        <v>1036817.82304</v>
      </c>
    </row>
    <row r="15934">
      <c r="A15934" t="n" s="0">
        <v>59.33</v>
      </c>
      <c r="B15934" t="n" s="0">
        <f>(-5-((((-5*(-5/((-5/(((-5*(59.33--5))-(-5+((-5*59.33)*(((-5--5)+(59.33--5))+59.33))))-(-5+-5)))*-5)))/-5)--5)+(-5*(((59.33*(59.33-(-5/-5)))*(59.33-(59.33/(-5*59.33))))-(-5/-5)))))</f>
        <v>1037343.3983850001</v>
      </c>
      <c r="C15934" t="n" s="0">
        <v>1037343.398385</v>
      </c>
    </row>
    <row r="15935">
      <c r="A15935" t="n" s="0">
        <v>59.34</v>
      </c>
      <c r="B15935" t="n" s="0">
        <f>(-5-((((-5*(-5/((-5/(((-5*(59.34--5))-(-5+((-5*59.34)*(((-5--5)+(59.34--5))+59.34))))-(-5+-5)))*-5)))/-5)--5)+(-5*(((59.34*(59.34-(-5/-5)))*(59.34-(59.34/(-5*59.34))))-(-5/-5)))))</f>
        <v>1037869.1513200001</v>
      </c>
      <c r="C15935" t="n" s="0">
        <v>1037869.1513200002</v>
      </c>
    </row>
    <row r="15936">
      <c r="A15936" t="n" s="0">
        <v>59.35</v>
      </c>
      <c r="B15936" t="n" s="0">
        <f>(-5-((((-5*(-5/((-5/(((-5*(59.35--5))-(-5+((-5*59.35)*(((-5--5)+(59.35--5))+59.35))))-(-5+-5)))*-5)))/-5)--5)+(-5*(((59.35*(59.35-(-5/-5)))*(59.35-(59.35/(-5*59.35))))-(-5/-5)))))</f>
        <v>1038395.081875</v>
      </c>
      <c r="C15936" t="n" s="0">
        <v>1038395.0818750001</v>
      </c>
    </row>
    <row r="15937">
      <c r="A15937" t="n" s="0">
        <v>59.36</v>
      </c>
      <c r="B15937" t="n" s="0">
        <f>(-5-((((-5*(-5/((-5/(((-5*(59.36--5))-(-5+((-5*59.36)*(((-5--5)+(59.36--5))+59.36))))-(-5+-5)))*-5)))/-5)--5)+(-5*(((59.36*(59.36-(-5/-5)))*(59.36-(59.36/(-5*59.36))))-(-5/-5)))))</f>
        <v>1038921.19008</v>
      </c>
      <c r="C15937" t="n" s="0">
        <v>1038921.1900799999</v>
      </c>
    </row>
    <row r="15938">
      <c r="A15938" t="n" s="0">
        <v>59.37</v>
      </c>
      <c r="B15938" t="n" s="0">
        <f>(-5-((((-5*(-5/((-5/(((-5*(59.37--5))-(-5+((-5*59.37)*(((-5--5)+(59.37--5))+59.37))))-(-5+-5)))*-5)))/-5)--5)+(-5*(((59.37*(59.37-(-5/-5)))*(59.37-(59.37/(-5*59.37))))-(-5/-5)))))</f>
        <v>1039447.475965</v>
      </c>
      <c r="C15938" t="n" s="0">
        <v>1039447.4759649998</v>
      </c>
    </row>
    <row r="15939">
      <c r="A15939" t="n" s="0">
        <v>59.38</v>
      </c>
      <c r="B15939" t="n" s="0">
        <f>(-5-((((-5*(-5/((-5/(((-5*(59.38--5))-(-5+((-5*59.38)*(((-5--5)+(59.38--5))+59.38))))-(-5+-5)))*-5)))/-5)--5)+(-5*(((59.38*(59.38-(-5/-5)))*(59.38-(59.38/(-5*59.38))))-(-5/-5)))))</f>
        <v>1039973.93956</v>
      </c>
      <c r="C15939" t="n" s="0">
        <v>1039973.9395600001</v>
      </c>
    </row>
    <row r="15940">
      <c r="A15940" t="n" s="0">
        <v>59.39</v>
      </c>
      <c r="B15940" t="n" s="0">
        <f>(-5-((((-5*(-5/((-5/(((-5*(59.39--5))-(-5+((-5*59.39)*(((-5--5)+(59.39--5))+59.39))))-(-5+-5)))*-5)))/-5)--5)+(-5*(((59.39*(59.39-(-5/-5)))*(59.39-(59.39/(-5*59.39))))-(-5/-5)))))</f>
        <v>1040500.580895</v>
      </c>
      <c r="C15940" t="n" s="0">
        <v>1040500.5808950001</v>
      </c>
    </row>
    <row r="15941">
      <c r="A15941" t="n" s="0">
        <v>59.4</v>
      </c>
      <c r="B15941" t="n" s="0">
        <f>(-5-((((-5*(-5/((-5/(((-5*(59.4--5))-(-5+((-5*59.4)*(((-5--5)+(59.4--5))+59.4))))-(-5+-5)))*-5)))/-5)--5)+(-5*(((59.4*(59.4-(-5/-5)))*(59.4-(59.4/(-5*59.4))))-(-5/-5)))))</f>
        <v>1041027.4</v>
      </c>
      <c r="C15941" t="n" s="0">
        <v>1041027.3999999999</v>
      </c>
    </row>
    <row r="15942">
      <c r="A15942" t="n" s="0">
        <v>59.41</v>
      </c>
      <c r="B15942" t="n" s="0">
        <f>(-5-((((-5*(-5/((-5/(((-5*(59.41--5))-(-5+((-5*59.41)*(((-5--5)+(59.41--5))+59.41))))-(-5+-5)))*-5)))/-5)--5)+(-5*(((59.41*(59.41-(-5/-5)))*(59.41-(59.41/(-5*59.41))))-(-5/-5)))))</f>
        <v>1041554.3969050001</v>
      </c>
      <c r="C15942" t="n" s="0">
        <v>1041554.3969049999</v>
      </c>
    </row>
    <row r="15943">
      <c r="A15943" t="n" s="0">
        <v>59.42</v>
      </c>
      <c r="B15943" t="n" s="0">
        <f>(-5-((((-5*(-5/((-5/(((-5*(59.42--5))-(-5+((-5*59.42)*(((-5--5)+(59.42--5))+59.42))))-(-5+-5)))*-5)))/-5)--5)+(-5*(((59.42*(59.42-(-5/-5)))*(59.42-(59.42/(-5*59.42))))-(-5/-5)))))</f>
        <v>1042081.5716400001</v>
      </c>
      <c r="C15943" t="n" s="0">
        <v>1042081.5716400001</v>
      </c>
    </row>
    <row r="15944">
      <c r="A15944" t="n" s="0">
        <v>59.43</v>
      </c>
      <c r="B15944" t="n" s="0">
        <f>(-5-((((-5*(-5/((-5/(((-5*(59.43--5))-(-5+((-5*59.43)*(((-5--5)+(59.43--5))+59.43))))-(-5+-5)))*-5)))/-5)--5)+(-5*(((59.43*(59.43-(-5/-5)))*(59.43-(59.43/(-5*59.43))))-(-5/-5)))))</f>
        <v>1042608.924235</v>
      </c>
      <c r="C15944" t="n" s="0">
        <v>1042608.924235</v>
      </c>
    </row>
    <row r="15945">
      <c r="A15945" t="n" s="0">
        <v>59.44</v>
      </c>
      <c r="B15945" t="n" s="0">
        <f>(-5-((((-5*(-5/((-5/(((-5*(59.44--5))-(-5+((-5*59.44)*(((-5--5)+(59.44--5))+59.44))))-(-5+-5)))*-5)))/-5)--5)+(-5*(((59.44*(59.44-(-5/-5)))*(59.44-(59.44/(-5*59.44))))-(-5/-5)))))</f>
        <v>1043136.4547199999</v>
      </c>
      <c r="C15945" t="n" s="0">
        <v>1043136.4547199998</v>
      </c>
    </row>
    <row r="15946">
      <c r="A15946" t="n" s="0">
        <v>59.45</v>
      </c>
      <c r="B15946" t="n" s="0">
        <f>(-5-((((-5*(-5/((-5/(((-5*(59.45--5))-(-5+((-5*59.45)*(((-5--5)+(59.45--5))+59.45))))-(-5+-5)))*-5)))/-5)--5)+(-5*(((59.45*(59.45-(-5/-5)))*(59.45-(59.45/(-5*59.45))))-(-5/-5)))))</f>
        <v>1043664.1631250001</v>
      </c>
      <c r="C15946" t="n" s="0">
        <v>1043664.1631250003</v>
      </c>
    </row>
    <row r="15947">
      <c r="A15947" t="n" s="0">
        <v>59.46</v>
      </c>
      <c r="B15947" t="n" s="0">
        <f>(-5-((((-5*(-5/((-5/(((-5*(59.46--5))-(-5+((-5*59.46)*(((-5--5)+(59.46--5))+59.46))))-(-5+-5)))*-5)))/-5)--5)+(-5*(((59.46*(59.46-(-5/-5)))*(59.46-(59.46/(-5*59.46))))-(-5/-5)))))</f>
        <v>1044192.0494799999</v>
      </c>
      <c r="C15947" t="n" s="0">
        <v>1044192.04948</v>
      </c>
    </row>
    <row r="15948">
      <c r="A15948" t="n" s="0">
        <v>59.47</v>
      </c>
      <c r="B15948" t="n" s="0">
        <f>(-5-((((-5*(-5/((-5/(((-5*(59.47--5))-(-5+((-5*59.47)*(((-5--5)+(59.47--5))+59.47))))-(-5+-5)))*-5)))/-5)--5)+(-5*(((59.47*(59.47-(-5/-5)))*(59.47-(59.47/(-5*59.47))))-(-5/-5)))))</f>
        <v>1044720.113815</v>
      </c>
      <c r="C15948" t="n" s="0">
        <v>1044720.113815</v>
      </c>
    </row>
    <row r="15949">
      <c r="A15949" t="n" s="0">
        <v>59.48</v>
      </c>
      <c r="B15949" t="n" s="0">
        <f>(-5-((((-5*(-5/((-5/(((-5*(59.48--5))-(-5+((-5*59.48)*(((-5--5)+(59.48--5))+59.48))))-(-5+-5)))*-5)))/-5)--5)+(-5*(((59.48*(59.48-(-5/-5)))*(59.48-(59.48/(-5*59.48))))-(-5/-5)))))</f>
        <v>1045248.35616</v>
      </c>
      <c r="C15949" t="n" s="0">
        <v>1045248.3561599997</v>
      </c>
    </row>
    <row r="15950">
      <c r="A15950" t="n" s="0">
        <v>59.49</v>
      </c>
      <c r="B15950" t="n" s="0">
        <f>(-5-((((-5*(-5/((-5/(((-5*(59.49--5))-(-5+((-5*59.49)*(((-5--5)+(59.49--5))+59.49))))-(-5+-5)))*-5)))/-5)--5)+(-5*(((59.49*(59.49-(-5/-5)))*(59.49-(59.49/(-5*59.49))))-(-5/-5)))))</f>
        <v>1045776.7765449999</v>
      </c>
      <c r="C15950" t="n" s="0">
        <v>1045776.776545</v>
      </c>
    </row>
    <row r="15951">
      <c r="A15951" t="n" s="0">
        <v>59.5</v>
      </c>
      <c r="B15951" t="n" s="0">
        <f>(-5-((((-5*(-5/((-5/(((-5*(59.5--5))-(-5+((-5*59.5)*(((-5--5)+(59.5--5))+59.5))))-(-5+-5)))*-5)))/-5)--5)+(-5*(((59.5*(59.5-(-5/-5)))*(59.5-(59.5/(-5*59.5))))-(-5/-5)))))</f>
        <v>1046305.375</v>
      </c>
      <c r="C15951" t="n" s="0">
        <v>1046305.375</v>
      </c>
    </row>
    <row r="15952">
      <c r="A15952" t="n" s="0">
        <v>59.51</v>
      </c>
      <c r="B15952" t="n" s="0">
        <f>(-5-((((-5*(-5/((-5/(((-5*(59.51--5))-(-5+((-5*59.51)*(((-5--5)+(59.51--5))+59.51))))-(-5+-5)))*-5)))/-5)--5)+(-5*(((59.51*(59.51-(-5/-5)))*(59.51-(59.51/(-5*59.51))))-(-5/-5)))))</f>
        <v>1046834.1515550001</v>
      </c>
      <c r="C15952" t="n" s="0">
        <v>1046834.1515549999</v>
      </c>
    </row>
    <row r="15953">
      <c r="A15953" t="n" s="0">
        <v>59.52</v>
      </c>
      <c r="B15953" t="n" s="0">
        <f>(-5-((((-5*(-5/((-5/(((-5*(59.52--5))-(-5+((-5*59.52)*(((-5--5)+(59.52--5))+59.52))))-(-5+-5)))*-5)))/-5)--5)+(-5*(((59.52*(59.52-(-5/-5)))*(59.52-(59.52/(-5*59.52))))-(-5/-5)))))</f>
        <v>1047363.10624</v>
      </c>
      <c r="C15953" t="n" s="0">
        <v>1047363.1062400001</v>
      </c>
    </row>
    <row r="15954">
      <c r="A15954" t="n" s="0">
        <v>59.53</v>
      </c>
      <c r="B15954" t="n" s="0">
        <f>(-5-((((-5*(-5/((-5/(((-5*(59.53--5))-(-5+((-5*59.53)*(((-5--5)+(59.53--5))+59.53))))-(-5+-5)))*-5)))/-5)--5)+(-5*(((59.53*(59.53-(-5/-5)))*(59.53-(59.53/(-5*59.53))))-(-5/-5)))))</f>
        <v>1047892.239085</v>
      </c>
      <c r="C15954" t="n" s="0">
        <v>1047892.239085</v>
      </c>
    </row>
    <row r="15955">
      <c r="A15955" t="n" s="0">
        <v>59.54</v>
      </c>
      <c r="B15955" t="n" s="0">
        <f>(-5-((((-5*(-5/((-5/(((-5*(59.54--5))-(-5+((-5*59.54)*(((-5--5)+(59.54--5))+59.54))))-(-5+-5)))*-5)))/-5)--5)+(-5*(((59.54*(59.54-(-5/-5)))*(59.54-(59.54/(-5*59.54))))-(-5/-5)))))</f>
        <v>1048421.5501199999</v>
      </c>
      <c r="C15955" t="n" s="0">
        <v>1048421.5501199998</v>
      </c>
    </row>
    <row r="15956">
      <c r="A15956" t="n" s="0">
        <v>59.55</v>
      </c>
      <c r="B15956" t="n" s="0">
        <f>(-5-((((-5*(-5/((-5/(((-5*(59.55--5))-(-5+((-5*59.55)*(((-5--5)+(59.55--5))+59.55))))-(-5+-5)))*-5)))/-5)--5)+(-5*(((59.55*(59.55-(-5/-5)))*(59.55-(59.55/(-5*59.55))))-(-5/-5)))))</f>
        <v>1048951.039375</v>
      </c>
      <c r="C15956" t="n" s="0">
        <v>1048951.0393749997</v>
      </c>
    </row>
    <row r="15957">
      <c r="A15957" t="n" s="0">
        <v>59.56</v>
      </c>
      <c r="B15957" t="n" s="0">
        <f>(-5-((((-5*(-5/((-5/(((-5*(59.56--5))-(-5+((-5*59.56)*(((-5--5)+(59.56--5))+59.56))))-(-5+-5)))*-5)))/-5)--5)+(-5*(((59.56*(59.56-(-5/-5)))*(59.56-(59.56/(-5*59.56))))-(-5/-5)))))</f>
        <v>1049480.70688</v>
      </c>
      <c r="C15957" t="n" s="0">
        <v>1049480.7068800002</v>
      </c>
    </row>
    <row r="15958">
      <c r="A15958" t="n" s="0">
        <v>59.57</v>
      </c>
      <c r="B15958" t="n" s="0">
        <f>(-5-((((-5*(-5/((-5/(((-5*(59.57--5))-(-5+((-5*59.57)*(((-5--5)+(59.57--5))+59.57))))-(-5+-5)))*-5)))/-5)--5)+(-5*(((59.57*(59.57-(-5/-5)))*(59.57-(59.57/(-5*59.57))))-(-5/-5)))))</f>
        <v>1050010.552665</v>
      </c>
      <c r="C15958" t="n" s="0">
        <v>1050010.5526649999</v>
      </c>
    </row>
    <row r="15959">
      <c r="A15959" t="n" s="0">
        <v>59.58</v>
      </c>
      <c r="B15959" t="n" s="0">
        <f>(-5-((((-5*(-5/((-5/(((-5*(59.58--5))-(-5+((-5*59.58)*(((-5--5)+(59.58--5))+59.58))))-(-5+-5)))*-5)))/-5)--5)+(-5*(((59.58*(59.58-(-5/-5)))*(59.58-(59.58/(-5*59.58))))-(-5/-5)))))</f>
        <v>1050540.57676</v>
      </c>
      <c r="C15959" t="n" s="0">
        <v>1050540.57676</v>
      </c>
    </row>
    <row r="15960">
      <c r="A15960" t="n" s="0">
        <v>59.59</v>
      </c>
      <c r="B15960" t="n" s="0">
        <f>(-5-((((-5*(-5/((-5/(((-5*(59.59--5))-(-5+((-5*59.59)*(((-5--5)+(59.59--5))+59.59))))-(-5+-5)))*-5)))/-5)--5)+(-5*(((59.59*(59.59-(-5/-5)))*(59.59-(59.59/(-5*59.59))))-(-5/-5)))))</f>
        <v>1051070.779195</v>
      </c>
      <c r="C15960" t="n" s="0">
        <v>1051070.7791950002</v>
      </c>
    </row>
    <row r="15961">
      <c r="A15961" t="n" s="0">
        <v>59.6</v>
      </c>
      <c r="B15961" t="n" s="0">
        <f>(-5-((((-5*(-5/((-5/(((-5*(59.6--5))-(-5+((-5*59.6)*(((-5--5)+(59.6--5))+59.6))))-(-5+-5)))*-5)))/-5)--5)+(-5*(((59.6*(59.6-(-5/-5)))*(59.6-(59.6/(-5*59.6))))-(-5/-5)))))</f>
        <v>1051601.16</v>
      </c>
      <c r="C15961" t="n" s="0">
        <v>1051601.16</v>
      </c>
    </row>
    <row r="15962">
      <c r="A15962" t="n" s="0">
        <v>59.61</v>
      </c>
      <c r="B15962" t="n" s="0">
        <f>(-5-((((-5*(-5/((-5/(((-5*(59.61--5))-(-5+((-5*59.61)*(((-5--5)+(59.61--5))+59.61))))-(-5+-5)))*-5)))/-5)--5)+(-5*(((59.61*(59.61-(-5/-5)))*(59.61-(59.61/(-5*59.61))))-(-5/-5)))))</f>
        <v>1052131.719205</v>
      </c>
      <c r="C15962" t="n" s="0">
        <v>1052131.719205</v>
      </c>
    </row>
    <row r="15963">
      <c r="A15963" t="n" s="0">
        <v>59.62</v>
      </c>
      <c r="B15963" t="n" s="0">
        <f>(-5-((((-5*(-5/((-5/(((-5*(59.62--5))-(-5+((-5*59.62)*(((-5--5)+(59.62--5))+59.62))))-(-5+-5)))*-5)))/-5)--5)+(-5*(((59.62*(59.62-(-5/-5)))*(59.62-(59.62/(-5*59.62))))-(-5/-5)))))</f>
        <v>1052662.45684</v>
      </c>
      <c r="C15963" t="n" s="0">
        <v>1052662.4568399999</v>
      </c>
    </row>
    <row r="15964">
      <c r="A15964" t="n" s="0">
        <v>59.63</v>
      </c>
      <c r="B15964" t="n" s="0">
        <f>(-5-((((-5*(-5/((-5/(((-5*(59.63--5))-(-5+((-5*59.63)*(((-5--5)+(59.63--5))+59.63))))-(-5+-5)))*-5)))/-5)--5)+(-5*(((59.63*(59.63-(-5/-5)))*(59.63-(59.63/(-5*59.63))))-(-5/-5)))))</f>
        <v>1053193.372935</v>
      </c>
      <c r="C15964" t="n" s="0">
        <v>1053193.372935</v>
      </c>
    </row>
    <row r="15965">
      <c r="A15965" t="n" s="0">
        <v>59.64</v>
      </c>
      <c r="B15965" t="n" s="0">
        <f>(-5-((((-5*(-5/((-5/(((-5*(59.64--5))-(-5+((-5*59.64)*(((-5--5)+(59.64--5))+59.64))))-(-5+-5)))*-5)))/-5)--5)+(-5*(((59.64*(59.64-(-5/-5)))*(59.64-(59.64/(-5*59.64))))-(-5/-5)))))</f>
        <v>1053724.46752</v>
      </c>
      <c r="C15965" t="n" s="0">
        <v>1053724.46752</v>
      </c>
    </row>
    <row r="15966">
      <c r="A15966" t="n" s="0">
        <v>59.65</v>
      </c>
      <c r="B15966" t="n" s="0">
        <f>(-5-((((-5*(-5/((-5/(((-5*(59.65--5))-(-5+((-5*59.65)*(((-5--5)+(59.65--5))+59.65))))-(-5+-5)))*-5)))/-5)--5)+(-5*(((59.65*(59.65-(-5/-5)))*(59.65-(59.65/(-5*59.65))))-(-5/-5)))))</f>
        <v>1054255.740625</v>
      </c>
      <c r="C15966" t="n" s="0">
        <v>1054255.7406249996</v>
      </c>
    </row>
    <row r="15967">
      <c r="A15967" t="n" s="0">
        <v>59.66</v>
      </c>
      <c r="B15967" t="n" s="0">
        <f>(-5-((((-5*(-5/((-5/(((-5*(59.66--5))-(-5+((-5*59.66)*(((-5--5)+(59.66--5))+59.66))))-(-5+-5)))*-5)))/-5)--5)+(-5*(((59.66*(59.66-(-5/-5)))*(59.66-(59.66/(-5*59.66))))-(-5/-5)))))</f>
        <v>1054787.19228</v>
      </c>
      <c r="C15967" t="n" s="0">
        <v>1054787.1922799998</v>
      </c>
    </row>
    <row r="15968">
      <c r="A15968" t="n" s="0">
        <v>59.67</v>
      </c>
      <c r="B15968" t="n" s="0">
        <f>(-5-((((-5*(-5/((-5/(((-5*(59.67--5))-(-5+((-5*59.67)*(((-5--5)+(59.67--5))+59.67))))-(-5+-5)))*-5)))/-5)--5)+(-5*(((59.67*(59.67-(-5/-5)))*(59.67-(59.67/(-5*59.67))))-(-5/-5)))))</f>
        <v>1055318.8225150001</v>
      </c>
      <c r="C15968" t="n" s="0">
        <v>1055318.822515</v>
      </c>
    </row>
    <row r="15969">
      <c r="A15969" t="n" s="0">
        <v>59.68</v>
      </c>
      <c r="B15969" t="n" s="0">
        <f>(-5-((((-5*(-5/((-5/(((-5*(59.68--5))-(-5+((-5*59.68)*(((-5--5)+(59.68--5))+59.68))))-(-5+-5)))*-5)))/-5)--5)+(-5*(((59.68*(59.68-(-5/-5)))*(59.68-(59.68/(-5*59.68))))-(-5/-5)))))</f>
        <v>1055850.63136</v>
      </c>
      <c r="C15969" t="n" s="0">
        <v>1055850.6313600002</v>
      </c>
    </row>
    <row r="15970">
      <c r="A15970" t="n" s="0">
        <v>59.69</v>
      </c>
      <c r="B15970" t="n" s="0">
        <f>(-5-((((-5*(-5/((-5/(((-5*(59.69--5))-(-5+((-5*59.69)*(((-5--5)+(59.69--5))+59.69))))-(-5+-5)))*-5)))/-5)--5)+(-5*(((59.69*(59.69-(-5/-5)))*(59.69-(59.69/(-5*59.69))))-(-5/-5)))))</f>
        <v>1056382.618845</v>
      </c>
      <c r="C15970" t="n" s="0">
        <v>1056382.618845</v>
      </c>
    </row>
    <row r="15971">
      <c r="A15971" t="n" s="0">
        <v>59.7</v>
      </c>
      <c r="B15971" t="n" s="0">
        <f>(-5-((((-5*(-5/((-5/(((-5*(59.7--5))-(-5+((-5*59.7)*(((-5--5)+(59.7--5))+59.7))))-(-5+-5)))*-5)))/-5)--5)+(-5*(((59.7*(59.7-(-5/-5)))*(59.7-(59.7/(-5*59.7))))-(-5/-5)))))</f>
        <v>1056914.785</v>
      </c>
      <c r="C15971" t="n" s="0">
        <v>1056914.7850000004</v>
      </c>
    </row>
    <row r="15972">
      <c r="A15972" t="n" s="0">
        <v>59.71</v>
      </c>
      <c r="B15972" t="n" s="0">
        <f>(-5-((((-5*(-5/((-5/(((-5*(59.71--5))-(-5+((-5*59.71)*(((-5--5)+(59.71--5))+59.71))))-(-5+-5)))*-5)))/-5)--5)+(-5*(((59.71*(59.71-(-5/-5)))*(59.71-(59.71/(-5*59.71))))-(-5/-5)))))</f>
        <v>1057447.129855</v>
      </c>
      <c r="C15972" t="n" s="0">
        <v>1057447.129855</v>
      </c>
    </row>
    <row r="15973">
      <c r="A15973" t="n" s="0">
        <v>59.72</v>
      </c>
      <c r="B15973" t="n" s="0">
        <f>(-5-((((-5*(-5/((-5/(((-5*(59.72--5))-(-5+((-5*59.72)*(((-5--5)+(59.72--5))+59.72))))-(-5+-5)))*-5)))/-5)--5)+(-5*(((59.72*(59.72-(-5/-5)))*(59.72-(59.72/(-5*59.72))))-(-5/-5)))))</f>
        <v>1057979.65344</v>
      </c>
      <c r="C15973" t="n" s="0">
        <v>1057979.6534399998</v>
      </c>
    </row>
    <row r="15974">
      <c r="A15974" t="n" s="0">
        <v>59.73</v>
      </c>
      <c r="B15974" t="n" s="0">
        <f>(-5-((((-5*(-5/((-5/(((-5*(59.73--5))-(-5+((-5*59.73)*(((-5--5)+(59.73--5))+59.73))))-(-5+-5)))*-5)))/-5)--5)+(-5*(((59.73*(59.73-(-5/-5)))*(59.73-(59.73/(-5*59.73))))-(-5/-5)))))</f>
        <v>1058512.355785</v>
      </c>
      <c r="C15974" t="n" s="0">
        <v>1058512.3557849997</v>
      </c>
    </row>
    <row r="15975">
      <c r="A15975" t="n" s="0">
        <v>59.74</v>
      </c>
      <c r="B15975" t="n" s="0">
        <f>(-5-((((-5*(-5/((-5/(((-5*(59.74--5))-(-5+((-5*59.74)*(((-5--5)+(59.74--5))+59.74))))-(-5+-5)))*-5)))/-5)--5)+(-5*(((59.74*(59.74-(-5/-5)))*(59.74-(59.74/(-5*59.74))))-(-5/-5)))))</f>
        <v>1059045.23692</v>
      </c>
      <c r="C15975" t="n" s="0">
        <v>1059045.23692</v>
      </c>
    </row>
    <row r="15976">
      <c r="A15976" t="n" s="0">
        <v>59.75</v>
      </c>
      <c r="B15976" t="n" s="0">
        <f>(-5-((((-5*(-5/((-5/(((-5*(59.75--5))-(-5+((-5*59.75)*(((-5--5)+(59.75--5))+59.75))))-(-5+-5)))*-5)))/-5)--5)+(-5*(((59.75*(59.75-(-5/-5)))*(59.75-(59.75/(-5*59.75))))-(-5/-5)))))</f>
        <v>1059578.296875</v>
      </c>
      <c r="C15976" t="n" s="0">
        <v>1059578.296875</v>
      </c>
    </row>
    <row r="15977">
      <c r="A15977" t="n" s="0">
        <v>59.76</v>
      </c>
      <c r="B15977" t="n" s="0">
        <f>(-5-((((-5*(-5/((-5/(((-5*(59.76--5))-(-5+((-5*59.76)*(((-5--5)+(59.76--5))+59.76))))-(-5+-5)))*-5)))/-5)--5)+(-5*(((59.76*(59.76-(-5/-5)))*(59.76-(59.76/(-5*59.76))))-(-5/-5)))))</f>
        <v>1060111.53568</v>
      </c>
      <c r="C15977" t="n" s="0">
        <v>1060111.5356799997</v>
      </c>
    </row>
    <row r="15978">
      <c r="A15978" t="n" s="0">
        <v>59.77</v>
      </c>
      <c r="B15978" t="n" s="0">
        <f>(-5-((((-5*(-5/((-5/(((-5*(59.77--5))-(-5+((-5*59.77)*(((-5--5)+(59.77--5))+59.77))))-(-5+-5)))*-5)))/-5)--5)+(-5*(((59.77*(59.77-(-5/-5)))*(59.77-(59.77/(-5*59.77))))-(-5/-5)))))</f>
        <v>1060644.953365</v>
      </c>
      <c r="C15978" t="n" s="0">
        <v>1060644.9533650002</v>
      </c>
    </row>
    <row r="15979">
      <c r="A15979" t="n" s="0">
        <v>59.78</v>
      </c>
      <c r="B15979" t="n" s="0">
        <f>(-5-((((-5*(-5/((-5/(((-5*(59.78--5))-(-5+((-5*59.78)*(((-5--5)+(59.78--5))+59.78))))-(-5+-5)))*-5)))/-5)--5)+(-5*(((59.78*(59.78-(-5/-5)))*(59.78-(59.78/(-5*59.78))))-(-5/-5)))))</f>
        <v>1061178.54996</v>
      </c>
      <c r="C15979" t="n" s="0">
        <v>1061178.5499600002</v>
      </c>
    </row>
    <row r="15980">
      <c r="A15980" t="n" s="0">
        <v>59.79</v>
      </c>
      <c r="B15980" t="n" s="0">
        <f>(-5-((((-5*(-5/((-5/(((-5*(59.79--5))-(-5+((-5*59.79)*(((-5--5)+(59.79--5))+59.79))))-(-5+-5)))*-5)))/-5)--5)+(-5*(((59.79*(59.79-(-5/-5)))*(59.79-(59.79/(-5*59.79))))-(-5/-5)))))</f>
        <v>1061712.325495</v>
      </c>
      <c r="C15980" t="n" s="0">
        <v>1061712.3254950002</v>
      </c>
    </row>
    <row r="15981">
      <c r="A15981" t="n" s="0">
        <v>59.8</v>
      </c>
      <c r="B15981" t="n" s="0">
        <f>(-5-((((-5*(-5/((-5/(((-5*(59.8--5))-(-5+((-5*59.8)*(((-5--5)+(59.8--5))+59.8))))-(-5+-5)))*-5)))/-5)--5)+(-5*(((59.8*(59.8-(-5/-5)))*(59.8-(59.8/(-5*59.8))))-(-5/-5)))))</f>
        <v>1062246.28</v>
      </c>
      <c r="C15981" t="n" s="0">
        <v>1062246.2799999998</v>
      </c>
    </row>
    <row r="15982">
      <c r="A15982" t="n" s="0">
        <v>59.81</v>
      </c>
      <c r="B15982" t="n" s="0">
        <f>(-5-((((-5*(-5/((-5/(((-5*(59.81--5))-(-5+((-5*59.81)*(((-5--5)+(59.81--5))+59.81))))-(-5+-5)))*-5)))/-5)--5)+(-5*(((59.81*(59.81-(-5/-5)))*(59.81-(59.81/(-5*59.81))))-(-5/-5)))))</f>
        <v>1062780.413505</v>
      </c>
      <c r="C15982" t="n" s="0">
        <v>1062780.413505</v>
      </c>
    </row>
    <row r="15983">
      <c r="A15983" t="n" s="0">
        <v>59.82</v>
      </c>
      <c r="B15983" t="n" s="0">
        <f>(-5-((((-5*(-5/((-5/(((-5*(59.82--5))-(-5+((-5*59.82)*(((-5--5)+(59.82--5))+59.82))))-(-5+-5)))*-5)))/-5)--5)+(-5*(((59.82*(59.82-(-5/-5)))*(59.82-(59.82/(-5*59.82))))-(-5/-5)))))</f>
        <v>1063314.72604</v>
      </c>
      <c r="C15983" t="n" s="0">
        <v>1063314.7260399999</v>
      </c>
    </row>
    <row r="15984">
      <c r="A15984" t="n" s="0">
        <v>59.83</v>
      </c>
      <c r="B15984" t="n" s="0">
        <f>(-5-((((-5*(-5/((-5/(((-5*(59.83--5))-(-5+((-5*59.83)*(((-5--5)+(59.83--5))+59.83))))-(-5+-5)))*-5)))/-5)--5)+(-5*(((59.83*(59.83-(-5/-5)))*(59.83-(59.83/(-5*59.83))))-(-5/-5)))))</f>
        <v>1063849.2176350001</v>
      </c>
      <c r="C15984" t="n" s="0">
        <v>1063849.217635</v>
      </c>
    </row>
    <row r="15985">
      <c r="A15985" t="n" s="0">
        <v>59.84</v>
      </c>
      <c r="B15985" t="n" s="0">
        <f>(-5-((((-5*(-5/((-5/(((-5*(59.84--5))-(-5+((-5*59.84)*(((-5--5)+(59.84--5))+59.84))))-(-5+-5)))*-5)))/-5)--5)+(-5*(((59.84*(59.84-(-5/-5)))*(59.84-(59.84/(-5*59.84))))-(-5/-5)))))</f>
        <v>1064383.8883200001</v>
      </c>
      <c r="C15985" t="n" s="0">
        <v>1064383.8883200004</v>
      </c>
    </row>
    <row r="15986">
      <c r="A15986" t="n" s="0">
        <v>59.85</v>
      </c>
      <c r="B15986" t="n" s="0">
        <f>(-5-((((-5*(-5/((-5/(((-5*(59.85--5))-(-5+((-5*59.85)*(((-5--5)+(59.85--5))+59.85))))-(-5+-5)))*-5)))/-5)--5)+(-5*(((59.85*(59.85-(-5/-5)))*(59.85-(59.85/(-5*59.85))))-(-5/-5)))))</f>
        <v>1064918.7381250001</v>
      </c>
      <c r="C15986" t="n" s="0">
        <v>1064918.7381250001</v>
      </c>
    </row>
    <row r="15987">
      <c r="A15987" t="n" s="0">
        <v>59.86</v>
      </c>
      <c r="B15987" t="n" s="0">
        <f>(-5-((((-5*(-5/((-5/(((-5*(59.86--5))-(-5+((-5*59.86)*(((-5--5)+(59.86--5))+59.86))))-(-5+-5)))*-5)))/-5)--5)+(-5*(((59.86*(59.86-(-5/-5)))*(59.86-(59.86/(-5*59.86))))-(-5/-5)))))</f>
        <v>1065453.7670800001</v>
      </c>
      <c r="C15987" t="n" s="0">
        <v>1065453.7670800001</v>
      </c>
    </row>
    <row r="15988">
      <c r="A15988" t="n" s="0">
        <v>59.87</v>
      </c>
      <c r="B15988" t="n" s="0">
        <f>(-5-((((-5*(-5/((-5/(((-5*(59.87--5))-(-5+((-5*59.87)*(((-5--5)+(59.87--5))+59.87))))-(-5+-5)))*-5)))/-5)--5)+(-5*(((59.87*(59.87-(-5/-5)))*(59.87-(59.87/(-5*59.87))))-(-5/-5)))))</f>
        <v>1065988.9752149999</v>
      </c>
      <c r="C15988" t="n" s="0">
        <v>1065988.975215</v>
      </c>
    </row>
    <row r="15989">
      <c r="A15989" t="n" s="0">
        <v>59.88</v>
      </c>
      <c r="B15989" t="n" s="0">
        <f>(-5-((((-5*(-5/((-5/(((-5*(59.88--5))-(-5+((-5*59.88)*(((-5--5)+(59.88--5))+59.88))))-(-5+-5)))*-5)))/-5)--5)+(-5*(((59.88*(59.88-(-5/-5)))*(59.88-(59.88/(-5*59.88))))-(-5/-5)))))</f>
        <v>1066524.36256</v>
      </c>
      <c r="C15989" t="n" s="0">
        <v>1066524.36256</v>
      </c>
    </row>
    <row r="15990">
      <c r="A15990" t="n" s="0">
        <v>59.89</v>
      </c>
      <c r="B15990" t="n" s="0">
        <f>(-5-((((-5*(-5/((-5/(((-5*(59.89--5))-(-5+((-5*59.89)*(((-5--5)+(59.89--5))+59.89))))-(-5+-5)))*-5)))/-5)--5)+(-5*(((59.89*(59.89-(-5/-5)))*(59.89-(59.89/(-5*59.89))))-(-5/-5)))))</f>
        <v>1067059.929145</v>
      </c>
      <c r="C15990" t="n" s="0">
        <v>1067059.929145</v>
      </c>
    </row>
    <row r="15991">
      <c r="A15991" t="n" s="0">
        <v>59.9</v>
      </c>
      <c r="B15991" t="n" s="0">
        <f>(-5-((((-5*(-5/((-5/(((-5*(59.9--5))-(-5+((-5*59.9)*(((-5--5)+(59.9--5))+59.9))))-(-5+-5)))*-5)))/-5)--5)+(-5*(((59.9*(59.9-(-5/-5)))*(59.9-(59.9/(-5*59.9))))-(-5/-5)))))</f>
        <v>1067595.6749999998</v>
      </c>
      <c r="C15991" t="n" s="0">
        <v>1067595.675</v>
      </c>
    </row>
    <row r="15992">
      <c r="A15992" t="n" s="0">
        <v>59.91</v>
      </c>
      <c r="B15992" t="n" s="0">
        <f>(-5-((((-5*(-5/((-5/(((-5*(59.91--5))-(-5+((-5*59.91)*(((-5--5)+(59.91--5))+59.91))))-(-5+-5)))*-5)))/-5)--5)+(-5*(((59.91*(59.91-(-5/-5)))*(59.91-(59.91/(-5*59.91))))-(-5/-5)))))</f>
        <v>1068131.6001549999</v>
      </c>
      <c r="C15992" t="n" s="0">
        <v>1068131.6001549996</v>
      </c>
    </row>
    <row r="15993">
      <c r="A15993" t="n" s="0">
        <v>59.92</v>
      </c>
      <c r="B15993" t="n" s="0">
        <f>(-5-((((-5*(-5/((-5/(((-5*(59.92--5))-(-5+((-5*59.92)*(((-5--5)+(59.92--5))+59.92))))-(-5+-5)))*-5)))/-5)--5)+(-5*(((59.92*(59.92-(-5/-5)))*(59.92-(59.92/(-5*59.92))))-(-5/-5)))))</f>
        <v>1068667.70464</v>
      </c>
      <c r="C15993" t="n" s="0">
        <v>1068667.7046400001</v>
      </c>
    </row>
    <row r="15994">
      <c r="A15994" t="n" s="0">
        <v>59.93</v>
      </c>
      <c r="B15994" t="n" s="0">
        <f>(-5-((((-5*(-5/((-5/(((-5*(59.93--5))-(-5+((-5*59.93)*(((-5--5)+(59.93--5))+59.93))))-(-5+-5)))*-5)))/-5)--5)+(-5*(((59.93*(59.93-(-5/-5)))*(59.93-(59.93/(-5*59.93))))-(-5/-5)))))</f>
        <v>1069203.988485</v>
      </c>
      <c r="C15994" t="n" s="0">
        <v>1069203.9884849999</v>
      </c>
    </row>
    <row r="15995">
      <c r="A15995" t="n" s="0">
        <v>59.94</v>
      </c>
      <c r="B15995" t="n" s="0">
        <f>(-5-((((-5*(-5/((-5/(((-5*(59.94--5))-(-5+((-5*59.94)*(((-5--5)+(59.94--5))+59.94))))-(-5+-5)))*-5)))/-5)--5)+(-5*(((59.94*(59.94-(-5/-5)))*(59.94-(59.94/(-5*59.94))))-(-5/-5)))))</f>
        <v>1069740.45172</v>
      </c>
      <c r="C15995" t="n" s="0">
        <v>1069740.45172</v>
      </c>
    </row>
    <row r="15996">
      <c r="A15996" t="n" s="0">
        <v>59.95</v>
      </c>
      <c r="B15996" t="n" s="0">
        <f>(-5-((((-5*(-5/((-5/(((-5*(59.95--5))-(-5+((-5*59.95)*(((-5--5)+(59.95--5))+59.95))))-(-5+-5)))*-5)))/-5)--5)+(-5*(((59.95*(59.95-(-5/-5)))*(59.95-(59.95/(-5*59.95))))-(-5/-5)))))</f>
        <v>1070277.0943749999</v>
      </c>
      <c r="C15996" t="n" s="0">
        <v>1070277.0943750003</v>
      </c>
    </row>
    <row r="15997">
      <c r="A15997" t="n" s="0">
        <v>59.96</v>
      </c>
      <c r="B15997" t="n" s="0">
        <f>(-5-((((-5*(-5/((-5/(((-5*(59.96--5))-(-5+((-5*59.96)*(((-5--5)+(59.96--5))+59.96))))-(-5+-5)))*-5)))/-5)--5)+(-5*(((59.96*(59.96-(-5/-5)))*(59.96-(59.96/(-5*59.96))))-(-5/-5)))))</f>
        <v>1070813.91648</v>
      </c>
      <c r="C15997" t="n" s="0">
        <v>1070813.91648</v>
      </c>
    </row>
    <row r="15998">
      <c r="A15998" t="n" s="0">
        <v>59.97</v>
      </c>
      <c r="B15998" t="n" s="0">
        <f>(-5-((((-5*(-5/((-5/(((-5*(59.97--5))-(-5+((-5*59.97)*(((-5--5)+(59.97--5))+59.97))))-(-5+-5)))*-5)))/-5)--5)+(-5*(((59.97*(59.97-(-5/-5)))*(59.97-(59.97/(-5*59.97))))-(-5/-5)))))</f>
        <v>1071350.9180649999</v>
      </c>
      <c r="C15998" t="n" s="0">
        <v>1071350.9180649999</v>
      </c>
    </row>
    <row r="15999">
      <c r="A15999" t="n" s="0">
        <v>59.98</v>
      </c>
      <c r="B15999" t="n" s="0">
        <f>(-5-((((-5*(-5/((-5/(((-5*(59.98--5))-(-5+((-5*59.98)*(((-5--5)+(59.98--5))+59.98))))-(-5+-5)))*-5)))/-5)--5)+(-5*(((59.98*(59.98-(-5/-5)))*(59.98-(59.98/(-5*59.98))))-(-5/-5)))))</f>
        <v>1071888.09916</v>
      </c>
      <c r="C15999" t="n" s="0">
        <v>1071888.0991599998</v>
      </c>
    </row>
    <row r="16000">
      <c r="A16000" t="n" s="0">
        <v>59.99</v>
      </c>
      <c r="B16000" t="n" s="0">
        <f>(-5-((((-5*(-5/((-5/(((-5*(59.99--5))-(-5+((-5*59.99)*(((-5--5)+(59.99--5))+59.99))))-(-5+-5)))*-5)))/-5)--5)+(-5*(((59.99*(59.99-(-5/-5)))*(59.99-(59.99/(-5*59.99))))-(-5/-5)))))</f>
        <v>1072425.459795</v>
      </c>
      <c r="C16000" t="n" s="0">
        <v>1072425.459795</v>
      </c>
    </row>
    <row r="16001">
      <c r="A16001" t="n" s="0">
        <v>60.0</v>
      </c>
      <c r="B16001" t="n" s="0">
        <f>(-5-((((-5*(-5/((-5/(((-5*(60--5))-(-5+((-5*60)*(((-5--5)+(60--5))+60))))-(-5+-5)))*-5)))/-5)--5)+(-5*(((60*(60-(-5/-5)))*(60-(60/(-5*60))))-(-5/-5)))))</f>
        <v>1072963.0</v>
      </c>
      <c r="C16001" t="n" s="0">
        <v>1072963.0</v>
      </c>
    </row>
    <row r="16002">
      <c r="A16002" t="n" s="0">
        <v>60.01</v>
      </c>
      <c r="B16002" t="n" s="0">
        <f>(-5-((((-5*(-5/((-5/(((-5*(60.01--5))-(-5+((-5*60.01)*(((-5--5)+(60.01--5))+60.01))))-(-5+-5)))*-5)))/-5)--5)+(-5*(((60.01*(60.01-(-5/-5)))*(60.01-(60.01/(-5*60.01))))-(-5/-5)))))</f>
        <v>1073500.7198050001</v>
      </c>
      <c r="C16002" t="n" s="0">
        <v>1073500.719805</v>
      </c>
    </row>
    <row r="16003">
      <c r="A16003" t="n" s="0">
        <v>60.02</v>
      </c>
      <c r="B16003" t="n" s="0">
        <f>(-5-((((-5*(-5/((-5/(((-5*(60.02--5))-(-5+((-5*60.02)*(((-5--5)+(60.02--5))+60.02))))-(-5+-5)))*-5)))/-5)--5)+(-5*(((60.02*(60.02-(-5/-5)))*(60.02-(60.02/(-5*60.02))))-(-5/-5)))))</f>
        <v>1074038.61924</v>
      </c>
      <c r="C16003" t="n" s="0">
        <v>1074038.6192400001</v>
      </c>
    </row>
    <row r="16004">
      <c r="A16004" t="n" s="0">
        <v>60.03</v>
      </c>
      <c r="B16004" t="n" s="0">
        <f>(-5-((((-5*(-5/((-5/(((-5*(60.03--5))-(-5+((-5*60.03)*(((-5--5)+(60.03--5))+60.03))))-(-5+-5)))*-5)))/-5)--5)+(-5*(((60.03*(60.03-(-5/-5)))*(60.03-(60.03/(-5*60.03))))-(-5/-5)))))</f>
        <v>1074576.698335</v>
      </c>
      <c r="C16004" t="n" s="0">
        <v>1074576.6983350003</v>
      </c>
    </row>
    <row r="16005">
      <c r="A16005" t="n" s="0">
        <v>60.04</v>
      </c>
      <c r="B16005" t="n" s="0">
        <f>(-5-((((-5*(-5/((-5/(((-5*(60.04--5))-(-5+((-5*60.04)*(((-5--5)+(60.04--5))+60.04))))-(-5+-5)))*-5)))/-5)--5)+(-5*(((60.04*(60.04-(-5/-5)))*(60.04-(60.04/(-5*60.04))))-(-5/-5)))))</f>
        <v>1075114.95712</v>
      </c>
      <c r="C16005" t="n" s="0">
        <v>1075114.9571200002</v>
      </c>
    </row>
    <row r="16006">
      <c r="A16006" t="n" s="0">
        <v>60.05</v>
      </c>
      <c r="B16006" t="n" s="0">
        <f>(-5-((((-5*(-5/((-5/(((-5*(60.05--5))-(-5+((-5*60.05)*(((-5--5)+(60.05--5))+60.05))))-(-5+-5)))*-5)))/-5)--5)+(-5*(((60.05*(60.05-(-5/-5)))*(60.05-(60.05/(-5*60.05))))-(-5/-5)))))</f>
        <v>1075653.3956250001</v>
      </c>
      <c r="C16006" t="n" s="0">
        <v>1075653.395625</v>
      </c>
    </row>
    <row r="16007">
      <c r="A16007" t="n" s="0">
        <v>60.06</v>
      </c>
      <c r="B16007" t="n" s="0">
        <f>(-5-((((-5*(-5/((-5/(((-5*(60.06--5))-(-5+((-5*60.06)*(((-5--5)+(60.06--5))+60.06))))-(-5+-5)))*-5)))/-5)--5)+(-5*(((60.06*(60.06-(-5/-5)))*(60.06-(60.06/(-5*60.06))))-(-5/-5)))))</f>
        <v>1076192.01388</v>
      </c>
      <c r="C16007" t="n" s="0">
        <v>1076192.01388</v>
      </c>
    </row>
    <row r="16008">
      <c r="A16008" t="n" s="0">
        <v>60.07</v>
      </c>
      <c r="B16008" t="n" s="0">
        <f>(-5-((((-5*(-5/((-5/(((-5*(60.07--5))-(-5+((-5*60.07)*(((-5--5)+(60.07--5))+60.07))))-(-5+-5)))*-5)))/-5)--5)+(-5*(((60.07*(60.07-(-5/-5)))*(60.07-(60.07/(-5*60.07))))-(-5/-5)))))</f>
        <v>1076730.811915</v>
      </c>
      <c r="C16008" t="n" s="0">
        <v>1076730.811915</v>
      </c>
    </row>
    <row r="16009">
      <c r="A16009" t="n" s="0">
        <v>60.08</v>
      </c>
      <c r="B16009" t="n" s="0">
        <f>(-5-((((-5*(-5/((-5/(((-5*(60.08--5))-(-5+((-5*60.08)*(((-5--5)+(60.08--5))+60.08))))-(-5+-5)))*-5)))/-5)--5)+(-5*(((60.08*(60.08-(-5/-5)))*(60.08-(60.08/(-5*60.08))))-(-5/-5)))))</f>
        <v>1077269.7897599998</v>
      </c>
      <c r="C16009" t="n" s="0">
        <v>1077269.7897599998</v>
      </c>
    </row>
    <row r="16010">
      <c r="A16010" t="n" s="0">
        <v>60.09</v>
      </c>
      <c r="B16010" t="n" s="0">
        <f>(-5-((((-5*(-5/((-5/(((-5*(60.09--5))-(-5+((-5*60.09)*(((-5--5)+(60.09--5))+60.09))))-(-5+-5)))*-5)))/-5)--5)+(-5*(((60.09*(60.09-(-5/-5)))*(60.09-(60.09/(-5*60.09))))-(-5/-5)))))</f>
        <v>1077808.9474449998</v>
      </c>
      <c r="C16010" t="n" s="0">
        <v>1077808.947445</v>
      </c>
    </row>
    <row r="16011">
      <c r="A16011" t="n" s="0">
        <v>60.1</v>
      </c>
      <c r="B16011" t="n" s="0">
        <f>(-5-((((-5*(-5/((-5/(((-5*(60.1--5))-(-5+((-5*60.1)*(((-5--5)+(60.1--5))+60.1))))-(-5+-5)))*-5)))/-5)--5)+(-5*(((60.1*(60.1-(-5/-5)))*(60.1-(60.1/(-5*60.1))))-(-5/-5)))))</f>
        <v>1078348.285</v>
      </c>
      <c r="C16011" t="n" s="0">
        <v>1078348.2850000001</v>
      </c>
    </row>
    <row r="16012">
      <c r="A16012" t="n" s="0">
        <v>60.11</v>
      </c>
      <c r="B16012" t="n" s="0">
        <f>(-5-((((-5*(-5/((-5/(((-5*(60.11--5))-(-5+((-5*60.11)*(((-5--5)+(60.11--5))+60.11))))-(-5+-5)))*-5)))/-5)--5)+(-5*(((60.11*(60.11-(-5/-5)))*(60.11-(60.11/(-5*60.11))))-(-5/-5)))))</f>
        <v>1078887.8024549999</v>
      </c>
      <c r="C16012" t="n" s="0">
        <v>1078887.802455</v>
      </c>
    </row>
    <row r="16013">
      <c r="A16013" t="n" s="0">
        <v>60.12</v>
      </c>
      <c r="B16013" t="n" s="0">
        <f>(-5-((((-5*(-5/((-5/(((-5*(60.12--5))-(-5+((-5*60.12)*(((-5--5)+(60.12--5))+60.12))))-(-5+-5)))*-5)))/-5)--5)+(-5*(((60.12*(60.12-(-5/-5)))*(60.12-(60.12/(-5*60.12))))-(-5/-5)))))</f>
        <v>1079427.49984</v>
      </c>
      <c r="C16013" t="n" s="0">
        <v>1079427.49984</v>
      </c>
    </row>
    <row r="16014">
      <c r="A16014" t="n" s="0">
        <v>60.13</v>
      </c>
      <c r="B16014" t="n" s="0">
        <f>(-5-((((-5*(-5/((-5/(((-5*(60.13--5))-(-5+((-5*60.13)*(((-5--5)+(60.13--5))+60.13))))-(-5+-5)))*-5)))/-5)--5)+(-5*(((60.13*(60.13-(-5/-5)))*(60.13-(60.13/(-5*60.13))))-(-5/-5)))))</f>
        <v>1079967.377185</v>
      </c>
      <c r="C16014" t="n" s="0">
        <v>1079967.377185</v>
      </c>
    </row>
    <row r="16015">
      <c r="A16015" t="n" s="0">
        <v>60.14</v>
      </c>
      <c r="B16015" t="n" s="0">
        <f>(-5-((((-5*(-5/((-5/(((-5*(60.14--5))-(-5+((-5*60.14)*(((-5--5)+(60.14--5))+60.14))))-(-5+-5)))*-5)))/-5)--5)+(-5*(((60.14*(60.14-(-5/-5)))*(60.14-(60.14/(-5*60.14))))-(-5/-5)))))</f>
        <v>1080507.43452</v>
      </c>
      <c r="C16015" t="n" s="0">
        <v>1080507.43452</v>
      </c>
    </row>
    <row r="16016">
      <c r="A16016" t="n" s="0">
        <v>60.15</v>
      </c>
      <c r="B16016" t="n" s="0">
        <f>(-5-((((-5*(-5/((-5/(((-5*(60.15--5))-(-5+((-5*60.15)*(((-5--5)+(60.15--5))+60.15))))-(-5+-5)))*-5)))/-5)--5)+(-5*(((60.15*(60.15-(-5/-5)))*(60.15-(60.15/(-5*60.15))))-(-5/-5)))))</f>
        <v>1081047.671875</v>
      </c>
      <c r="C16016" t="n" s="0">
        <v>1081047.671875</v>
      </c>
    </row>
    <row r="16017">
      <c r="A16017" t="n" s="0">
        <v>60.16</v>
      </c>
      <c r="B16017" t="n" s="0">
        <f>(-5-((((-5*(-5/((-5/(((-5*(60.16--5))-(-5+((-5*60.16)*(((-5--5)+(60.16--5))+60.16))))-(-5+-5)))*-5)))/-5)--5)+(-5*(((60.16*(60.16-(-5/-5)))*(60.16-(60.16/(-5*60.16))))-(-5/-5)))))</f>
        <v>1081588.08928</v>
      </c>
      <c r="C16017" t="n" s="0">
        <v>1081588.0892799997</v>
      </c>
    </row>
    <row r="16018">
      <c r="A16018" t="n" s="0">
        <v>60.17</v>
      </c>
      <c r="B16018" t="n" s="0">
        <f>(-5-((((-5*(-5/((-5/(((-5*(60.17--5))-(-5+((-5*60.17)*(((-5--5)+(60.17--5))+60.17))))-(-5+-5)))*-5)))/-5)--5)+(-5*(((60.17*(60.17-(-5/-5)))*(60.17-(60.17/(-5*60.17))))-(-5/-5)))))</f>
        <v>1082128.686765</v>
      </c>
      <c r="C16018" t="n" s="0">
        <v>1082128.686765</v>
      </c>
    </row>
    <row r="16019">
      <c r="A16019" t="n" s="0">
        <v>60.18</v>
      </c>
      <c r="B16019" t="n" s="0">
        <f>(-5-((((-5*(-5/((-5/(((-5*(60.18--5))-(-5+((-5*60.18)*(((-5--5)+(60.18--5))+60.18))))-(-5+-5)))*-5)))/-5)--5)+(-5*(((60.18*(60.18-(-5/-5)))*(60.18-(60.18/(-5*60.18))))-(-5/-5)))))</f>
        <v>1082669.4643599999</v>
      </c>
      <c r="C16019" t="n" s="0">
        <v>1082669.46436</v>
      </c>
    </row>
    <row r="16020">
      <c r="A16020" t="n" s="0">
        <v>60.19</v>
      </c>
      <c r="B16020" t="n" s="0">
        <f>(-5-((((-5*(-5/((-5/(((-5*(60.19--5))-(-5+((-5*60.19)*(((-5--5)+(60.19--5))+60.19))))-(-5+-5)))*-5)))/-5)--5)+(-5*(((60.19*(60.19-(-5/-5)))*(60.19-(60.19/(-5*60.19))))-(-5/-5)))))</f>
        <v>1083210.4220949998</v>
      </c>
      <c r="C16020" t="n" s="0">
        <v>1083210.422095</v>
      </c>
    </row>
    <row r="16021">
      <c r="A16021" t="n" s="0">
        <v>60.2</v>
      </c>
      <c r="B16021" t="n" s="0">
        <f>(-5-((((-5*(-5/((-5/(((-5*(60.2--5))-(-5+((-5*60.2)*(((-5--5)+(60.2--5))+60.2))))-(-5+-5)))*-5)))/-5)--5)+(-5*(((60.2*(60.2-(-5/-5)))*(60.2-(60.2/(-5*60.2))))-(-5/-5)))))</f>
        <v>1083751.5599999998</v>
      </c>
      <c r="C16021" t="n" s="0">
        <v>1083751.5600000003</v>
      </c>
    </row>
    <row r="16022">
      <c r="A16022" t="n" s="0">
        <v>60.21</v>
      </c>
      <c r="B16022" t="n" s="0">
        <f>(-5-((((-5*(-5/((-5/(((-5*(60.21--5))-(-5+((-5*60.21)*(((-5--5)+(60.21--5))+60.21))))-(-5+-5)))*-5)))/-5)--5)+(-5*(((60.21*(60.21-(-5/-5)))*(60.21-(60.21/(-5*60.21))))-(-5/-5)))))</f>
        <v>1084292.8781050001</v>
      </c>
      <c r="C16022" t="n" s="0">
        <v>1084292.878105</v>
      </c>
    </row>
    <row r="16023">
      <c r="A16023" t="n" s="0">
        <v>60.22</v>
      </c>
      <c r="B16023" t="n" s="0">
        <f>(-5-((((-5*(-5/((-5/(((-5*(60.22--5))-(-5+((-5*60.22)*(((-5--5)+(60.22--5))+60.22))))-(-5+-5)))*-5)))/-5)--5)+(-5*(((60.22*(60.22-(-5/-5)))*(60.22-(60.22/(-5*60.22))))-(-5/-5)))))</f>
        <v>1084834.37644</v>
      </c>
      <c r="C16023" t="n" s="0">
        <v>1084834.3764399998</v>
      </c>
    </row>
    <row r="16024">
      <c r="A16024" t="n" s="0">
        <v>60.23</v>
      </c>
      <c r="B16024" t="n" s="0">
        <f>(-5-((((-5*(-5/((-5/(((-5*(60.23--5))-(-5+((-5*60.23)*(((-5--5)+(60.23--5))+60.23))))-(-5+-5)))*-5)))/-5)--5)+(-5*(((60.23*(60.23-(-5/-5)))*(60.23-(60.23/(-5*60.23))))-(-5/-5)))))</f>
        <v>1085376.055035</v>
      </c>
      <c r="C16024" t="n" s="0">
        <v>1085376.055035</v>
      </c>
    </row>
    <row r="16025">
      <c r="A16025" t="n" s="0">
        <v>60.24</v>
      </c>
      <c r="B16025" t="n" s="0">
        <f>(-5-((((-5*(-5/((-5/(((-5*(60.24--5))-(-5+((-5*60.24)*(((-5--5)+(60.24--5))+60.24))))-(-5+-5)))*-5)))/-5)--5)+(-5*(((60.24*(60.24-(-5/-5)))*(60.24-(60.24/(-5*60.24))))-(-5/-5)))))</f>
        <v>1085917.91392</v>
      </c>
      <c r="C16025" t="n" s="0">
        <v>1085917.91392</v>
      </c>
    </row>
    <row r="16026">
      <c r="A16026" t="n" s="0">
        <v>60.25</v>
      </c>
      <c r="B16026" t="n" s="0">
        <f>(-5-((((-5*(-5/((-5/(((-5*(60.25--5))-(-5+((-5*60.25)*(((-5--5)+(60.25--5))+60.25))))-(-5+-5)))*-5)))/-5)--5)+(-5*(((60.25*(60.25-(-5/-5)))*(60.25-(60.25/(-5*60.25))))-(-5/-5)))))</f>
        <v>1086459.953125</v>
      </c>
      <c r="C16026" t="n" s="0">
        <v>1086459.953125</v>
      </c>
    </row>
    <row r="16027">
      <c r="A16027" t="n" s="0">
        <v>60.26</v>
      </c>
      <c r="B16027" t="n" s="0">
        <f>(-5-((((-5*(-5/((-5/(((-5*(60.26--5))-(-5+((-5*60.26)*(((-5--5)+(60.26--5))+60.26))))-(-5+-5)))*-5)))/-5)--5)+(-5*(((60.26*(60.26-(-5/-5)))*(60.26-(60.26/(-5*60.26))))-(-5/-5)))))</f>
        <v>1087002.17268</v>
      </c>
      <c r="C16027" t="n" s="0">
        <v>1087002.1726799998</v>
      </c>
    </row>
    <row r="16028">
      <c r="A16028" t="n" s="0">
        <v>60.27</v>
      </c>
      <c r="B16028" t="n" s="0">
        <f>(-5-((((-5*(-5/((-5/(((-5*(60.27--5))-(-5+((-5*60.27)*(((-5--5)+(60.27--5))+60.27))))-(-5+-5)))*-5)))/-5)--5)+(-5*(((60.27*(60.27-(-5/-5)))*(60.27-(60.27/(-5*60.27))))-(-5/-5)))))</f>
        <v>1087544.572615</v>
      </c>
      <c r="C16028" t="n" s="0">
        <v>1087544.5726150002</v>
      </c>
    </row>
    <row r="16029">
      <c r="A16029" t="n" s="0">
        <v>60.28</v>
      </c>
      <c r="B16029" t="n" s="0">
        <f>(-5-((((-5*(-5/((-5/(((-5*(60.28--5))-(-5+((-5*60.28)*(((-5--5)+(60.28--5))+60.28))))-(-5+-5)))*-5)))/-5)--5)+(-5*(((60.28*(60.28-(-5/-5)))*(60.28-(60.28/(-5*60.28))))-(-5/-5)))))</f>
        <v>1088087.15296</v>
      </c>
      <c r="C16029" t="n" s="0">
        <v>1088087.15296</v>
      </c>
    </row>
    <row r="16030">
      <c r="A16030" t="n" s="0">
        <v>60.29</v>
      </c>
      <c r="B16030" t="n" s="0">
        <f>(-5-((((-5*(-5/((-5/(((-5*(60.29--5))-(-5+((-5*60.29)*(((-5--5)+(60.29--5))+60.29))))-(-5+-5)))*-5)))/-5)--5)+(-5*(((60.29*(60.29-(-5/-5)))*(60.29-(60.29/(-5*60.29))))-(-5/-5)))))</f>
        <v>1088629.913745</v>
      </c>
      <c r="C16030" t="n" s="0">
        <v>1088629.913745</v>
      </c>
    </row>
    <row r="16031">
      <c r="A16031" t="n" s="0">
        <v>60.3</v>
      </c>
      <c r="B16031" t="n" s="0">
        <f>(-5-((((-5*(-5/((-5/(((-5*(60.3--5))-(-5+((-5*60.3)*(((-5--5)+(60.3--5))+60.3))))-(-5+-5)))*-5)))/-5)--5)+(-5*(((60.3*(60.3-(-5/-5)))*(60.3-(60.3/(-5*60.3))))-(-5/-5)))))</f>
        <v>1089172.855</v>
      </c>
      <c r="C16031" t="n" s="0">
        <v>1089172.8549999997</v>
      </c>
    </row>
    <row r="16032">
      <c r="A16032" t="n" s="0">
        <v>60.31</v>
      </c>
      <c r="B16032" t="n" s="0">
        <f>(-5-((((-5*(-5/((-5/(((-5*(60.31--5))-(-5+((-5*60.31)*(((-5--5)+(60.31--5))+60.31))))-(-5+-5)))*-5)))/-5)--5)+(-5*(((60.31*(60.31-(-5/-5)))*(60.31-(60.31/(-5*60.31))))-(-5/-5)))))</f>
        <v>1089715.976755</v>
      </c>
      <c r="C16032" t="n" s="0">
        <v>1089715.976755</v>
      </c>
    </row>
    <row r="16033">
      <c r="A16033" t="n" s="0">
        <v>60.32</v>
      </c>
      <c r="B16033" t="n" s="0">
        <f>(-5-((((-5*(-5/((-5/(((-5*(60.32--5))-(-5+((-5*60.32)*(((-5--5)+(60.32--5))+60.32))))-(-5+-5)))*-5)))/-5)--5)+(-5*(((60.32*(60.32-(-5/-5)))*(60.32-(60.32/(-5*60.32))))-(-5/-5)))))</f>
        <v>1090259.27904</v>
      </c>
      <c r="C16033" t="n" s="0">
        <v>1090259.27904</v>
      </c>
    </row>
    <row r="16034">
      <c r="A16034" t="n" s="0">
        <v>60.33</v>
      </c>
      <c r="B16034" t="n" s="0">
        <f>(-5-((((-5*(-5/((-5/(((-5*(60.33--5))-(-5+((-5*60.33)*(((-5--5)+(60.33--5))+60.33))))-(-5+-5)))*-5)))/-5)--5)+(-5*(((60.33*(60.33-(-5/-5)))*(60.33-(60.33/(-5*60.33))))-(-5/-5)))))</f>
        <v>1090802.761885</v>
      </c>
      <c r="C16034" t="n" s="0">
        <v>1090802.761885</v>
      </c>
    </row>
    <row r="16035">
      <c r="A16035" t="n" s="0">
        <v>60.34</v>
      </c>
      <c r="B16035" t="n" s="0">
        <f>(-5-((((-5*(-5/((-5/(((-5*(60.34--5))-(-5+((-5*60.34)*(((-5--5)+(60.34--5))+60.34))))-(-5+-5)))*-5)))/-5)--5)+(-5*(((60.34*(60.34-(-5/-5)))*(60.34-(60.34/(-5*60.34))))-(-5/-5)))))</f>
        <v>1091346.42532</v>
      </c>
      <c r="C16035" t="n" s="0">
        <v>1091346.4253200002</v>
      </c>
    </row>
    <row r="16036">
      <c r="A16036" t="n" s="0">
        <v>60.35</v>
      </c>
      <c r="B16036" t="n" s="0">
        <f>(-5-((((-5*(-5/((-5/(((-5*(60.35--5))-(-5+((-5*60.35)*(((-5--5)+(60.35--5))+60.35))))-(-5+-5)))*-5)))/-5)--5)+(-5*(((60.35*(60.35-(-5/-5)))*(60.35-(60.35/(-5*60.35))))-(-5/-5)))))</f>
        <v>1091890.269375</v>
      </c>
      <c r="C16036" t="n" s="0">
        <v>1091890.269375</v>
      </c>
    </row>
    <row r="16037">
      <c r="A16037" t="n" s="0">
        <v>60.36</v>
      </c>
      <c r="B16037" t="n" s="0">
        <f>(-5-((((-5*(-5/((-5/(((-5*(60.36--5))-(-5+((-5*60.36)*(((-5--5)+(60.36--5))+60.36))))-(-5+-5)))*-5)))/-5)--5)+(-5*(((60.36*(60.36-(-5/-5)))*(60.36-(60.36/(-5*60.36))))-(-5/-5)))))</f>
        <v>1092434.2940800001</v>
      </c>
      <c r="C16037" t="n" s="0">
        <v>1092434.29408</v>
      </c>
    </row>
    <row r="16038">
      <c r="A16038" t="n" s="0">
        <v>60.37</v>
      </c>
      <c r="B16038" t="n" s="0">
        <f>(-5-((((-5*(-5/((-5/(((-5*(60.37--5))-(-5+((-5*60.37)*(((-5--5)+(60.37--5))+60.37))))-(-5+-5)))*-5)))/-5)--5)+(-5*(((60.37*(60.37-(-5/-5)))*(60.37-(60.37/(-5*60.37))))-(-5/-5)))))</f>
        <v>1092978.4994650001</v>
      </c>
      <c r="C16038" t="n" s="0">
        <v>1092978.4994650001</v>
      </c>
    </row>
    <row r="16039">
      <c r="A16039" t="n" s="0">
        <v>60.38</v>
      </c>
      <c r="B16039" t="n" s="0">
        <f>(-5-((((-5*(-5/((-5/(((-5*(60.38--5))-(-5+((-5*60.38)*(((-5--5)+(60.38--5))+60.38))))-(-5+-5)))*-5)))/-5)--5)+(-5*(((60.38*(60.38-(-5/-5)))*(60.38-(60.38/(-5*60.38))))-(-5/-5)))))</f>
        <v>1093522.8855599998</v>
      </c>
      <c r="C16039" t="n" s="0">
        <v>1093522.88556</v>
      </c>
    </row>
    <row r="16040">
      <c r="A16040" t="n" s="0">
        <v>60.39</v>
      </c>
      <c r="B16040" t="n" s="0">
        <f>(-5-((((-5*(-5/((-5/(((-5*(60.39--5))-(-5+((-5*60.39)*(((-5--5)+(60.39--5))+60.39))))-(-5+-5)))*-5)))/-5)--5)+(-5*(((60.39*(60.39-(-5/-5)))*(60.39-(60.39/(-5*60.39))))-(-5/-5)))))</f>
        <v>1094067.452395</v>
      </c>
      <c r="C16040" t="n" s="0">
        <v>1094067.452395</v>
      </c>
    </row>
    <row r="16041">
      <c r="A16041" t="n" s="0">
        <v>60.4</v>
      </c>
      <c r="B16041" t="n" s="0">
        <f>(-5-((((-5*(-5/((-5/(((-5*(60.4--5))-(-5+((-5*60.4)*(((-5--5)+(60.4--5))+60.4))))-(-5+-5)))*-5)))/-5)--5)+(-5*(((60.4*(60.4-(-5/-5)))*(60.4-(60.4/(-5*60.4))))-(-5/-5)))))</f>
        <v>1094612.2</v>
      </c>
      <c r="C16041" t="n" s="0">
        <v>1094612.1999999997</v>
      </c>
    </row>
    <row r="16042">
      <c r="A16042" t="n" s="0">
        <v>60.41</v>
      </c>
      <c r="B16042" t="n" s="0">
        <f>(-5-((((-5*(-5/((-5/(((-5*(60.41--5))-(-5+((-5*60.41)*(((-5--5)+(60.41--5))+60.41))))-(-5+-5)))*-5)))/-5)--5)+(-5*(((60.41*(60.41-(-5/-5)))*(60.41-(60.41/(-5*60.41))))-(-5/-5)))))</f>
        <v>1095157.128405</v>
      </c>
      <c r="C16042" t="n" s="0">
        <v>1095157.1284049999</v>
      </c>
    </row>
    <row r="16043">
      <c r="A16043" t="n" s="0">
        <v>60.42</v>
      </c>
      <c r="B16043" t="n" s="0">
        <f>(-5-((((-5*(-5/((-5/(((-5*(60.42--5))-(-5+((-5*60.42)*(((-5--5)+(60.42--5))+60.42))))-(-5+-5)))*-5)))/-5)--5)+(-5*(((60.42*(60.42-(-5/-5)))*(60.42-(60.42/(-5*60.42))))-(-5/-5)))))</f>
        <v>1095702.23764</v>
      </c>
      <c r="C16043" t="n" s="0">
        <v>1095702.2376400002</v>
      </c>
    </row>
    <row r="16044">
      <c r="A16044" t="n" s="0">
        <v>60.43</v>
      </c>
      <c r="B16044" t="n" s="0">
        <f>(-5-((((-5*(-5/((-5/(((-5*(60.43--5))-(-5+((-5*60.43)*(((-5--5)+(60.43--5))+60.43))))-(-5+-5)))*-5)))/-5)--5)+(-5*(((60.43*(60.43-(-5/-5)))*(60.43-(60.43/(-5*60.43))))-(-5/-5)))))</f>
        <v>1096247.527735</v>
      </c>
      <c r="C16044" t="n" s="0">
        <v>1096247.527735</v>
      </c>
    </row>
    <row r="16045">
      <c r="A16045" t="n" s="0">
        <v>60.44</v>
      </c>
      <c r="B16045" t="n" s="0">
        <f>(-5-((((-5*(-5/((-5/(((-5*(60.44--5))-(-5+((-5*60.44)*(((-5--5)+(60.44--5))+60.44))))-(-5+-5)))*-5)))/-5)--5)+(-5*(((60.44*(60.44-(-5/-5)))*(60.44-(60.44/(-5*60.44))))-(-5/-5)))))</f>
        <v>1096792.99872</v>
      </c>
      <c r="C16045" t="n" s="0">
        <v>1096792.9987199998</v>
      </c>
    </row>
    <row r="16046">
      <c r="A16046" t="n" s="0">
        <v>60.45</v>
      </c>
      <c r="B16046" t="n" s="0">
        <f>(-5-((((-5*(-5/((-5/(((-5*(60.45--5))-(-5+((-5*60.45)*(((-5--5)+(60.45--5))+60.45))))-(-5+-5)))*-5)))/-5)--5)+(-5*(((60.45*(60.45-(-5/-5)))*(60.45-(60.45/(-5*60.45))))-(-5/-5)))))</f>
        <v>1097338.650625</v>
      </c>
      <c r="C16046" t="n" s="0">
        <v>1097338.6506250002</v>
      </c>
    </row>
    <row r="16047">
      <c r="A16047" t="n" s="0">
        <v>60.46</v>
      </c>
      <c r="B16047" t="n" s="0">
        <f>(-5-((((-5*(-5/((-5/(((-5*(60.46--5))-(-5+((-5*60.46)*(((-5--5)+(60.46--5))+60.46))))-(-5+-5)))*-5)))/-5)--5)+(-5*(((60.46*(60.46-(-5/-5)))*(60.46-(60.46/(-5*60.46))))-(-5/-5)))))</f>
        <v>1097884.4834800002</v>
      </c>
      <c r="C16047" t="n" s="0">
        <v>1097884.48348</v>
      </c>
    </row>
    <row r="16048">
      <c r="A16048" t="n" s="0">
        <v>60.47</v>
      </c>
      <c r="B16048" t="n" s="0">
        <f>(-5-((((-5*(-5/((-5/(((-5*(60.47--5))-(-5+((-5*60.47)*(((-5--5)+(60.47--5))+60.47))))-(-5+-5)))*-5)))/-5)--5)+(-5*(((60.47*(60.47-(-5/-5)))*(60.47-(60.47/(-5*60.47))))-(-5/-5)))))</f>
        <v>1098430.497315</v>
      </c>
      <c r="C16048" t="n" s="0">
        <v>1098430.497315</v>
      </c>
    </row>
    <row r="16049">
      <c r="A16049" t="n" s="0">
        <v>60.48</v>
      </c>
      <c r="B16049" t="n" s="0">
        <f>(-5-((((-5*(-5/((-5/(((-5*(60.48--5))-(-5+((-5*60.48)*(((-5--5)+(60.48--5))+60.48))))-(-5+-5)))*-5)))/-5)--5)+(-5*(((60.48*(60.48-(-5/-5)))*(60.48-(60.48/(-5*60.48))))-(-5/-5)))))</f>
        <v>1098976.69216</v>
      </c>
      <c r="C16049" t="n" s="0">
        <v>1098976.6921599999</v>
      </c>
    </row>
    <row r="16050">
      <c r="A16050" t="n" s="0">
        <v>60.49</v>
      </c>
      <c r="B16050" t="n" s="0">
        <f>(-5-((((-5*(-5/((-5/(((-5*(60.49--5))-(-5+((-5*60.49)*(((-5--5)+(60.49--5))+60.49))))-(-5+-5)))*-5)))/-5)--5)+(-5*(((60.49*(60.49-(-5/-5)))*(60.49-(60.49/(-5*60.49))))-(-5/-5)))))</f>
        <v>1099523.0680449998</v>
      </c>
      <c r="C16050" t="n" s="0">
        <v>1099523.068045</v>
      </c>
    </row>
    <row r="16051">
      <c r="A16051" t="n" s="0">
        <v>60.5</v>
      </c>
      <c r="B16051" t="n" s="0">
        <f>(-5-((((-5*(-5/((-5/(((-5*(60.5--5))-(-5+((-5*60.5)*(((-5--5)+(60.5--5))+60.5))))-(-5+-5)))*-5)))/-5)--5)+(-5*(((60.5*(60.5-(-5/-5)))*(60.5-(60.5/(-5*60.5))))-(-5/-5)))))</f>
        <v>1100069.625</v>
      </c>
      <c r="C16051" t="n" s="0">
        <v>1100069.625</v>
      </c>
    </row>
    <row r="16052">
      <c r="A16052" t="n" s="0">
        <v>60.51</v>
      </c>
      <c r="B16052" t="n" s="0">
        <f>(-5-((((-5*(-5/((-5/(((-5*(60.51--5))-(-5+((-5*60.51)*(((-5--5)+(60.51--5))+60.51))))-(-5+-5)))*-5)))/-5)--5)+(-5*(((60.51*(60.51-(-5/-5)))*(60.51-(60.51/(-5*60.51))))-(-5/-5)))))</f>
        <v>1100616.363055</v>
      </c>
      <c r="C16052" t="n" s="0">
        <v>1100616.3630549998</v>
      </c>
    </row>
    <row r="16053">
      <c r="A16053" t="n" s="0">
        <v>60.52</v>
      </c>
      <c r="B16053" t="n" s="0">
        <f>(-5-((((-5*(-5/((-5/(((-5*(60.52--5))-(-5+((-5*60.52)*(((-5--5)+(60.52--5))+60.52))))-(-5+-5)))*-5)))/-5)--5)+(-5*(((60.52*(60.52-(-5/-5)))*(60.52-(60.52/(-5*60.52))))-(-5/-5)))))</f>
        <v>1101163.2822399999</v>
      </c>
      <c r="C16053" t="n" s="0">
        <v>1101163.2822400003</v>
      </c>
    </row>
    <row r="16054">
      <c r="A16054" t="n" s="0">
        <v>60.53</v>
      </c>
      <c r="B16054" t="n" s="0">
        <f>(-5-((((-5*(-5/((-5/(((-5*(60.53--5))-(-5+((-5*60.53)*(((-5--5)+(60.53--5))+60.53))))-(-5+-5)))*-5)))/-5)--5)+(-5*(((60.53*(60.53-(-5/-5)))*(60.53-(60.53/(-5*60.53))))-(-5/-5)))))</f>
        <v>1101710.382585</v>
      </c>
      <c r="C16054" t="n" s="0">
        <v>1101710.382585</v>
      </c>
    </row>
    <row r="16055">
      <c r="A16055" t="n" s="0">
        <v>60.54</v>
      </c>
      <c r="B16055" t="n" s="0">
        <f>(-5-((((-5*(-5/((-5/(((-5*(60.54--5))-(-5+((-5*60.54)*(((-5--5)+(60.54--5))+60.54))))-(-5+-5)))*-5)))/-5)--5)+(-5*(((60.54*(60.54-(-5/-5)))*(60.54-(60.54/(-5*60.54))))-(-5/-5)))))</f>
        <v>1102257.66412</v>
      </c>
      <c r="C16055" t="n" s="0">
        <v>1102257.66412</v>
      </c>
    </row>
    <row r="16056">
      <c r="A16056" t="n" s="0">
        <v>60.55</v>
      </c>
      <c r="B16056" t="n" s="0">
        <f>(-5-((((-5*(-5/((-5/(((-5*(60.55--5))-(-5+((-5*60.55)*(((-5--5)+(60.55--5))+60.55))))-(-5+-5)))*-5)))/-5)--5)+(-5*(((60.55*(60.55-(-5/-5)))*(60.55-(60.55/(-5*60.55))))-(-5/-5)))))</f>
        <v>1102805.1268749998</v>
      </c>
      <c r="C16056" t="n" s="0">
        <v>1102805.1268749998</v>
      </c>
    </row>
    <row r="16057">
      <c r="A16057" t="n" s="0">
        <v>60.56</v>
      </c>
      <c r="B16057" t="n" s="0">
        <f>(-5-((((-5*(-5/((-5/(((-5*(60.56--5))-(-5+((-5*60.56)*(((-5--5)+(60.56--5))+60.56))))-(-5+-5)))*-5)))/-5)--5)+(-5*(((60.56*(60.56-(-5/-5)))*(60.56-(60.56/(-5*60.56))))-(-5/-5)))))</f>
        <v>1103352.7708800002</v>
      </c>
      <c r="C16057" t="n" s="0">
        <v>1103352.7708800002</v>
      </c>
    </row>
    <row r="16058">
      <c r="A16058" t="n" s="0">
        <v>60.57</v>
      </c>
      <c r="B16058" t="n" s="0">
        <f>(-5-((((-5*(-5/((-5/(((-5*(60.57--5))-(-5+((-5*60.57)*(((-5--5)+(60.57--5))+60.57))))-(-5+-5)))*-5)))/-5)--5)+(-5*(((60.57*(60.57-(-5/-5)))*(60.57-(60.57/(-5*60.57))))-(-5/-5)))))</f>
        <v>1103900.596165</v>
      </c>
      <c r="C16058" t="n" s="0">
        <v>1103900.596165</v>
      </c>
    </row>
    <row r="16059">
      <c r="A16059" t="n" s="0">
        <v>60.58</v>
      </c>
      <c r="B16059" t="n" s="0">
        <f>(-5-((((-5*(-5/((-5/(((-5*(60.58--5))-(-5+((-5*60.58)*(((-5--5)+(60.58--5))+60.58))))-(-5+-5)))*-5)))/-5)--5)+(-5*(((60.58*(60.58-(-5/-5)))*(60.58-(60.58/(-5*60.58))))-(-5/-5)))))</f>
        <v>1104448.6027600002</v>
      </c>
      <c r="C16059" t="n" s="0">
        <v>1104448.60276</v>
      </c>
    </row>
    <row r="16060">
      <c r="A16060" t="n" s="0">
        <v>60.59</v>
      </c>
      <c r="B16060" t="n" s="0">
        <f>(-5-((((-5*(-5/((-5/(((-5*(60.59--5))-(-5+((-5*60.59)*(((-5--5)+(60.59--5))+60.59))))-(-5+-5)))*-5)))/-5)--5)+(-5*(((60.59*(60.59-(-5/-5)))*(60.59-(60.59/(-5*60.59))))-(-5/-5)))))</f>
        <v>1104996.790695</v>
      </c>
      <c r="C16060" t="n" s="0">
        <v>1104996.7906950002</v>
      </c>
    </row>
    <row r="16061">
      <c r="A16061" t="n" s="0">
        <v>60.6</v>
      </c>
      <c r="B16061" t="n" s="0">
        <f>(-5-((((-5*(-5/((-5/(((-5*(60.6--5))-(-5+((-5*60.6)*(((-5--5)+(60.6--5))+60.6))))-(-5+-5)))*-5)))/-5)--5)+(-5*(((60.6*(60.6-(-5/-5)))*(60.6-(60.6/(-5*60.6))))-(-5/-5)))))</f>
        <v>1105545.1600000001</v>
      </c>
      <c r="C16061" t="n" s="0">
        <v>1105545.1600000001</v>
      </c>
    </row>
    <row r="16062">
      <c r="A16062" t="n" s="0">
        <v>60.61</v>
      </c>
      <c r="B16062" t="n" s="0">
        <f>(-5-((((-5*(-5/((-5/(((-5*(60.61--5))-(-5+((-5*60.61)*(((-5--5)+(60.61--5))+60.61))))-(-5+-5)))*-5)))/-5)--5)+(-5*(((60.61*(60.61-(-5/-5)))*(60.61-(60.61/(-5*60.61))))-(-5/-5)))))</f>
        <v>1106093.710705</v>
      </c>
      <c r="C16062" t="n" s="0">
        <v>1106093.710705</v>
      </c>
    </row>
    <row r="16063">
      <c r="A16063" t="n" s="0">
        <v>60.62</v>
      </c>
      <c r="B16063" t="n" s="0">
        <f>(-5-((((-5*(-5/((-5/(((-5*(60.62--5))-(-5+((-5*60.62)*(((-5--5)+(60.62--5))+60.62))))-(-5+-5)))*-5)))/-5)--5)+(-5*(((60.62*(60.62-(-5/-5)))*(60.62-(60.62/(-5*60.62))))-(-5/-5)))))</f>
        <v>1106642.44284</v>
      </c>
      <c r="C16063" t="n" s="0">
        <v>1106642.44284</v>
      </c>
    </row>
    <row r="16064">
      <c r="A16064" t="n" s="0">
        <v>60.63</v>
      </c>
      <c r="B16064" t="n" s="0">
        <f>(-5-((((-5*(-5/((-5/(((-5*(60.63--5))-(-5+((-5*60.63)*(((-5--5)+(60.63--5))+60.63))))-(-5+-5)))*-5)))/-5)--5)+(-5*(((60.63*(60.63-(-5/-5)))*(60.63-(60.63/(-5*60.63))))-(-5/-5)))))</f>
        <v>1107191.356435</v>
      </c>
      <c r="C16064" t="n" s="0">
        <v>1107191.356435</v>
      </c>
    </row>
    <row r="16065">
      <c r="A16065" t="n" s="0">
        <v>60.64</v>
      </c>
      <c r="B16065" t="n" s="0">
        <f>(-5-((((-5*(-5/((-5/(((-5*(60.64--5))-(-5+((-5*60.64)*(((-5--5)+(60.64--5))+60.64))))-(-5+-5)))*-5)))/-5)--5)+(-5*(((60.64*(60.64-(-5/-5)))*(60.64-(60.64/(-5*60.64))))-(-5/-5)))))</f>
        <v>1107740.45152</v>
      </c>
      <c r="C16065" t="n" s="0">
        <v>1107740.4515200001</v>
      </c>
    </row>
    <row r="16066">
      <c r="A16066" t="n" s="0">
        <v>60.65</v>
      </c>
      <c r="B16066" t="n" s="0">
        <f>(-5-((((-5*(-5/((-5/(((-5*(60.65--5))-(-5+((-5*60.65)*(((-5--5)+(60.65--5))+60.65))))-(-5+-5)))*-5)))/-5)--5)+(-5*(((60.65*(60.65-(-5/-5)))*(60.65-(60.65/(-5*60.65))))-(-5/-5)))))</f>
        <v>1108289.7281250001</v>
      </c>
      <c r="C16066" t="n" s="0">
        <v>1108289.728125</v>
      </c>
    </row>
    <row r="16067">
      <c r="A16067" t="n" s="0">
        <v>60.66</v>
      </c>
      <c r="B16067" t="n" s="0">
        <f>(-5-((((-5*(-5/((-5/(((-5*(60.66--5))-(-5+((-5*60.66)*(((-5--5)+(60.66--5))+60.66))))-(-5+-5)))*-5)))/-5)--5)+(-5*(((60.66*(60.66-(-5/-5)))*(60.66-(60.66/(-5*60.66))))-(-5/-5)))))</f>
        <v>1108839.18628</v>
      </c>
      <c r="C16067" t="n" s="0">
        <v>1108839.1862799998</v>
      </c>
    </row>
    <row r="16068">
      <c r="A16068" t="n" s="0">
        <v>60.67</v>
      </c>
      <c r="B16068" t="n" s="0">
        <f>(-5-((((-5*(-5/((-5/(((-5*(60.67--5))-(-5+((-5*60.67)*(((-5--5)+(60.67--5))+60.67))))-(-5+-5)))*-5)))/-5)--5)+(-5*(((60.67*(60.67-(-5/-5)))*(60.67-(60.67/(-5*60.67))))-(-5/-5)))))</f>
        <v>1109388.826015</v>
      </c>
      <c r="C16068" t="n" s="0">
        <v>1109388.8260150002</v>
      </c>
    </row>
    <row r="16069">
      <c r="A16069" t="n" s="0">
        <v>60.68</v>
      </c>
      <c r="B16069" t="n" s="0">
        <f>(-5-((((-5*(-5/((-5/(((-5*(60.68--5))-(-5+((-5*60.68)*(((-5--5)+(60.68--5))+60.68))))-(-5+-5)))*-5)))/-5)--5)+(-5*(((60.68*(60.68-(-5/-5)))*(60.68-(60.68/(-5*60.68))))-(-5/-5)))))</f>
        <v>1109938.64736</v>
      </c>
      <c r="C16069" t="n" s="0">
        <v>1109938.64736</v>
      </c>
    </row>
    <row r="16070">
      <c r="A16070" t="n" s="0">
        <v>60.69</v>
      </c>
      <c r="B16070" t="n" s="0">
        <f>(-5-((((-5*(-5/((-5/(((-5*(60.69--5))-(-5+((-5*60.69)*(((-5--5)+(60.69--5))+60.69))))-(-5+-5)))*-5)))/-5)--5)+(-5*(((60.69*(60.69-(-5/-5)))*(60.69-(60.69/(-5*60.69))))-(-5/-5)))))</f>
        <v>1110488.650345</v>
      </c>
      <c r="C16070" t="n" s="0">
        <v>1110488.650345</v>
      </c>
    </row>
    <row r="16071">
      <c r="A16071" t="n" s="0">
        <v>60.7</v>
      </c>
      <c r="B16071" t="n" s="0">
        <f>(-5-((((-5*(-5/((-5/(((-5*(60.7--5))-(-5+((-5*60.7)*(((-5--5)+(60.7--5))+60.7))))-(-5+-5)))*-5)))/-5)--5)+(-5*(((60.7*(60.7-(-5/-5)))*(60.7-(60.7/(-5*60.7))))-(-5/-5)))))</f>
        <v>1111038.835</v>
      </c>
      <c r="C16071" t="n" s="0">
        <v>1111038.8350000002</v>
      </c>
    </row>
    <row r="16072">
      <c r="A16072" t="n" s="0">
        <v>60.71</v>
      </c>
      <c r="B16072" t="n" s="0">
        <f>(-5-((((-5*(-5/((-5/(((-5*(60.71--5))-(-5+((-5*60.71)*(((-5--5)+(60.71--5))+60.71))))-(-5+-5)))*-5)))/-5)--5)+(-5*(((60.71*(60.71-(-5/-5)))*(60.71-(60.71/(-5*60.71))))-(-5/-5)))))</f>
        <v>1111589.201355</v>
      </c>
      <c r="C16072" t="n" s="0">
        <v>1111589.201355</v>
      </c>
    </row>
    <row r="16073">
      <c r="A16073" t="n" s="0">
        <v>60.72</v>
      </c>
      <c r="B16073" t="n" s="0">
        <f>(-5-((((-5*(-5/((-5/(((-5*(60.72--5))-(-5+((-5*60.72)*(((-5--5)+(60.72--5))+60.72))))-(-5+-5)))*-5)))/-5)--5)+(-5*(((60.72*(60.72-(-5/-5)))*(60.72-(60.72/(-5*60.72))))-(-5/-5)))))</f>
        <v>1112139.7494400002</v>
      </c>
      <c r="C16073" t="n" s="0">
        <v>1112139.74944</v>
      </c>
    </row>
    <row r="16074">
      <c r="A16074" t="n" s="0">
        <v>60.73</v>
      </c>
      <c r="B16074" t="n" s="0">
        <f>(-5-((((-5*(-5/((-5/(((-5*(60.73--5))-(-5+((-5*60.73)*(((-5--5)+(60.73--5))+60.73))))-(-5+-5)))*-5)))/-5)--5)+(-5*(((60.73*(60.73-(-5/-5)))*(60.73-(60.73/(-5*60.73))))-(-5/-5)))))</f>
        <v>1112690.4792850001</v>
      </c>
      <c r="C16074" t="n" s="0">
        <v>1112690.479285</v>
      </c>
    </row>
    <row r="16075">
      <c r="A16075" t="n" s="0">
        <v>60.74</v>
      </c>
      <c r="B16075" t="n" s="0">
        <f>(-5-((((-5*(-5/((-5/(((-5*(60.74--5))-(-5+((-5*60.74)*(((-5--5)+(60.74--5))+60.74))))-(-5+-5)))*-5)))/-5)--5)+(-5*(((60.74*(60.74-(-5/-5)))*(60.74-(60.74/(-5*60.74))))-(-5/-5)))))</f>
        <v>1113241.39092</v>
      </c>
      <c r="C16075" t="n" s="0">
        <v>1113241.3909200002</v>
      </c>
    </row>
    <row r="16076">
      <c r="A16076" t="n" s="0">
        <v>60.75</v>
      </c>
      <c r="B16076" t="n" s="0">
        <f>(-5-((((-5*(-5/((-5/(((-5*(60.75--5))-(-5+((-5*60.75)*(((-5--5)+(60.75--5))+60.75))))-(-5+-5)))*-5)))/-5)--5)+(-5*(((60.75*(60.75-(-5/-5)))*(60.75-(60.75/(-5*60.75))))-(-5/-5)))))</f>
        <v>1113792.484375</v>
      </c>
      <c r="C16076" t="n" s="0">
        <v>1113792.484375</v>
      </c>
    </row>
    <row r="16077">
      <c r="A16077" t="n" s="0">
        <v>60.76</v>
      </c>
      <c r="B16077" t="n" s="0">
        <f>(-5-((((-5*(-5/((-5/(((-5*(60.76--5))-(-5+((-5*60.76)*(((-5--5)+(60.76--5))+60.76))))-(-5+-5)))*-5)))/-5)--5)+(-5*(((60.76*(60.76-(-5/-5)))*(60.76-(60.76/(-5*60.76))))-(-5/-5)))))</f>
        <v>1114343.75968</v>
      </c>
      <c r="C16077" t="n" s="0">
        <v>1114343.75968</v>
      </c>
    </row>
    <row r="16078">
      <c r="A16078" t="n" s="0">
        <v>60.77</v>
      </c>
      <c r="B16078" t="n" s="0">
        <f>(-5-((((-5*(-5/((-5/(((-5*(60.77--5))-(-5+((-5*60.77)*(((-5--5)+(60.77--5))+60.77))))-(-5+-5)))*-5)))/-5)--5)+(-5*(((60.77*(60.77-(-5/-5)))*(60.77-(60.77/(-5*60.77))))-(-5/-5)))))</f>
        <v>1114895.216865</v>
      </c>
      <c r="C16078" t="n" s="0">
        <v>1114895.2168650003</v>
      </c>
    </row>
    <row r="16079">
      <c r="A16079" t="n" s="0">
        <v>60.78</v>
      </c>
      <c r="B16079" t="n" s="0">
        <f>(-5-((((-5*(-5/((-5/(((-5*(60.78--5))-(-5+((-5*60.78)*(((-5--5)+(60.78--5))+60.78))))-(-5+-5)))*-5)))/-5)--5)+(-5*(((60.78*(60.78-(-5/-5)))*(60.78-(60.78/(-5*60.78))))-(-5/-5)))))</f>
        <v>1115446.85596</v>
      </c>
      <c r="C16079" t="n" s="0">
        <v>1115446.85596</v>
      </c>
    </row>
    <row r="16080">
      <c r="A16080" t="n" s="0">
        <v>60.79</v>
      </c>
      <c r="B16080" t="n" s="0">
        <f>(-5-((((-5*(-5/((-5/(((-5*(60.79--5))-(-5+((-5*60.79)*(((-5--5)+(60.79--5))+60.79))))-(-5+-5)))*-5)))/-5)--5)+(-5*(((60.79*(60.79-(-5/-5)))*(60.79-(60.79/(-5*60.79))))-(-5/-5)))))</f>
        <v>1115998.676995</v>
      </c>
      <c r="C16080" t="n" s="0">
        <v>1115998.676995</v>
      </c>
    </row>
    <row r="16081">
      <c r="A16081" t="n" s="0">
        <v>60.8</v>
      </c>
      <c r="B16081" t="n" s="0">
        <f>(-5-((((-5*(-5/((-5/(((-5*(60.8--5))-(-5+((-5*60.8)*(((-5--5)+(60.8--5))+60.8))))-(-5+-5)))*-5)))/-5)--5)+(-5*(((60.8*(60.8-(-5/-5)))*(60.8-(60.8/(-5*60.8))))-(-5/-5)))))</f>
        <v>1116550.68</v>
      </c>
      <c r="C16081" t="n" s="0">
        <v>1116550.6799999997</v>
      </c>
    </row>
    <row r="16082">
      <c r="A16082" t="n" s="0">
        <v>60.81</v>
      </c>
      <c r="B16082" t="n" s="0">
        <f>(-5-((((-5*(-5/((-5/(((-5*(60.81--5))-(-5+((-5*60.81)*(((-5--5)+(60.81--5))+60.81))))-(-5+-5)))*-5)))/-5)--5)+(-5*(((60.81*(60.81-(-5/-5)))*(60.81-(60.81/(-5*60.81))))-(-5/-5)))))</f>
        <v>1117102.865005</v>
      </c>
      <c r="C16082" t="n" s="0">
        <v>1117102.865005</v>
      </c>
    </row>
    <row r="16083">
      <c r="A16083" t="n" s="0">
        <v>60.82</v>
      </c>
      <c r="B16083" t="n" s="0">
        <f>(-5-((((-5*(-5/((-5/(((-5*(60.82--5))-(-5+((-5*60.82)*(((-5--5)+(60.82--5))+60.82))))-(-5+-5)))*-5)))/-5)--5)+(-5*(((60.82*(60.82-(-5/-5)))*(60.82-(60.82/(-5*60.82))))-(-5/-5)))))</f>
        <v>1117655.23204</v>
      </c>
      <c r="C16083" t="n" s="0">
        <v>1117655.2320400001</v>
      </c>
    </row>
    <row r="16084">
      <c r="A16084" t="n" s="0">
        <v>60.83</v>
      </c>
      <c r="B16084" t="n" s="0">
        <f>(-5-((((-5*(-5/((-5/(((-5*(60.83--5))-(-5+((-5*60.83)*(((-5--5)+(60.83--5))+60.83))))-(-5+-5)))*-5)))/-5)--5)+(-5*(((60.83*(60.83-(-5/-5)))*(60.83-(60.83/(-5*60.83))))-(-5/-5)))))</f>
        <v>1118207.7811349998</v>
      </c>
      <c r="C16084" t="n" s="0">
        <v>1118207.7811349998</v>
      </c>
    </row>
    <row r="16085">
      <c r="A16085" t="n" s="0">
        <v>60.84</v>
      </c>
      <c r="B16085" t="n" s="0">
        <f>(-5-((((-5*(-5/((-5/(((-5*(60.84--5))-(-5+((-5*60.84)*(((-5--5)+(60.84--5))+60.84))))-(-5+-5)))*-5)))/-5)--5)+(-5*(((60.84*(60.84-(-5/-5)))*(60.84-(60.84/(-5*60.84))))-(-5/-5)))))</f>
        <v>1118760.51232</v>
      </c>
      <c r="C16085" t="n" s="0">
        <v>1118760.5123200002</v>
      </c>
    </row>
    <row r="16086">
      <c r="A16086" t="n" s="0">
        <v>60.85</v>
      </c>
      <c r="B16086" t="n" s="0">
        <f>(-5-((((-5*(-5/((-5/(((-5*(60.85--5))-(-5+((-5*60.85)*(((-5--5)+(60.85--5))+60.85))))-(-5+-5)))*-5)))/-5)--5)+(-5*(((60.85*(60.85-(-5/-5)))*(60.85-(60.85/(-5*60.85))))-(-5/-5)))))</f>
        <v>1119313.425625</v>
      </c>
      <c r="C16086" t="n" s="0">
        <v>1119313.4256250001</v>
      </c>
    </row>
    <row r="16087">
      <c r="A16087" t="n" s="0">
        <v>60.86</v>
      </c>
      <c r="B16087" t="n" s="0">
        <f>(-5-((((-5*(-5/((-5/(((-5*(60.86--5))-(-5+((-5*60.86)*(((-5--5)+(60.86--5))+60.86))))-(-5+-5)))*-5)))/-5)--5)+(-5*(((60.86*(60.86-(-5/-5)))*(60.86-(60.86/(-5*60.86))))-(-5/-5)))))</f>
        <v>1119866.52108</v>
      </c>
      <c r="C16087" t="n" s="0">
        <v>1119866.5210799999</v>
      </c>
    </row>
    <row r="16088">
      <c r="A16088" t="n" s="0">
        <v>60.87</v>
      </c>
      <c r="B16088" t="n" s="0">
        <f>(-5-((((-5*(-5/((-5/(((-5*(60.87--5))-(-5+((-5*60.87)*(((-5--5)+(60.87--5))+60.87))))-(-5+-5)))*-5)))/-5)--5)+(-5*(((60.87*(60.87-(-5/-5)))*(60.87-(60.87/(-5*60.87))))-(-5/-5)))))</f>
        <v>1120419.7987149998</v>
      </c>
      <c r="C16088" t="n" s="0">
        <v>1120419.798715</v>
      </c>
    </row>
    <row r="16089">
      <c r="A16089" t="n" s="0">
        <v>60.88</v>
      </c>
      <c r="B16089" t="n" s="0">
        <f>(-5-((((-5*(-5/((-5/(((-5*(60.88--5))-(-5+((-5*60.88)*(((-5--5)+(60.88--5))+60.88))))-(-5+-5)))*-5)))/-5)--5)+(-5*(((60.88*(60.88-(-5/-5)))*(60.88-(60.88/(-5*60.88))))-(-5/-5)))))</f>
        <v>1120973.25856</v>
      </c>
      <c r="C16089" t="n" s="0">
        <v>1120973.25856</v>
      </c>
    </row>
    <row r="16090">
      <c r="A16090" t="n" s="0">
        <v>60.89</v>
      </c>
      <c r="B16090" t="n" s="0">
        <f>(-5-((((-5*(-5/((-5/(((-5*(60.89--5))-(-5+((-5*60.89)*(((-5--5)+(60.89--5))+60.89))))-(-5+-5)))*-5)))/-5)--5)+(-5*(((60.89*(60.89-(-5/-5)))*(60.89-(60.89/(-5*60.89))))-(-5/-5)))))</f>
        <v>1121526.9006450002</v>
      </c>
      <c r="C16090" t="n" s="0">
        <v>1121526.900645</v>
      </c>
    </row>
    <row r="16091">
      <c r="A16091" t="n" s="0">
        <v>60.9</v>
      </c>
      <c r="B16091" t="n" s="0">
        <f>(-5-((((-5*(-5/((-5/(((-5*(60.9--5))-(-5+((-5*60.9)*(((-5--5)+(60.9--5))+60.9))))-(-5+-5)))*-5)))/-5)--5)+(-5*(((60.9*(60.9-(-5/-5)))*(60.9-(60.9/(-5*60.9))))-(-5/-5)))))</f>
        <v>1122080.7249999999</v>
      </c>
      <c r="C16091" t="n" s="0">
        <v>1122080.7249999999</v>
      </c>
    </row>
    <row r="16092">
      <c r="A16092" t="n" s="0">
        <v>60.91</v>
      </c>
      <c r="B16092" t="n" s="0">
        <f>(-5-((((-5*(-5/((-5/(((-5*(60.91--5))-(-5+((-5*60.91)*(((-5--5)+(60.91--5))+60.91))))-(-5+-5)))*-5)))/-5)--5)+(-5*(((60.91*(60.91-(-5/-5)))*(60.91-(60.91/(-5*60.91))))-(-5/-5)))))</f>
        <v>1122634.7316549998</v>
      </c>
      <c r="C16092" t="n" s="0">
        <v>1122634.7316549998</v>
      </c>
    </row>
    <row r="16093">
      <c r="A16093" t="n" s="0">
        <v>60.92</v>
      </c>
      <c r="B16093" t="n" s="0">
        <f>(-5-((((-5*(-5/((-5/(((-5*(60.92--5))-(-5+((-5*60.92)*(((-5--5)+(60.92--5))+60.92))))-(-5+-5)))*-5)))/-5)--5)+(-5*(((60.92*(60.92-(-5/-5)))*(60.92-(60.92/(-5*60.92))))-(-5/-5)))))</f>
        <v>1123188.9206400001</v>
      </c>
      <c r="C16093" t="n" s="0">
        <v>1123188.9206400001</v>
      </c>
    </row>
    <row r="16094">
      <c r="A16094" t="n" s="0">
        <v>60.93</v>
      </c>
      <c r="B16094" t="n" s="0">
        <f>(-5-((((-5*(-5/((-5/(((-5*(60.93--5))-(-5+((-5*60.93)*(((-5--5)+(60.93--5))+60.93))))-(-5+-5)))*-5)))/-5)--5)+(-5*(((60.93*(60.93-(-5/-5)))*(60.93-(60.93/(-5*60.93))))-(-5/-5)))))</f>
        <v>1123743.291985</v>
      </c>
      <c r="C16094" t="n" s="0">
        <v>1123743.291985</v>
      </c>
    </row>
    <row r="16095">
      <c r="A16095" t="n" s="0">
        <v>60.94</v>
      </c>
      <c r="B16095" t="n" s="0">
        <f>(-5-((((-5*(-5/((-5/(((-5*(60.94--5))-(-5+((-5*60.94)*(((-5--5)+(60.94--5))+60.94))))-(-5+-5)))*-5)))/-5)--5)+(-5*(((60.94*(60.94-(-5/-5)))*(60.94-(60.94/(-5*60.94))))-(-5/-5)))))</f>
        <v>1124297.84572</v>
      </c>
      <c r="C16095" t="n" s="0">
        <v>1124297.8457199999</v>
      </c>
    </row>
    <row r="16096">
      <c r="A16096" t="n" s="0">
        <v>60.95</v>
      </c>
      <c r="B16096" t="n" s="0">
        <f>(-5-((((-5*(-5/((-5/(((-5*(60.95--5))-(-5+((-5*60.95)*(((-5--5)+(60.95--5))+60.95))))-(-5+-5)))*-5)))/-5)--5)+(-5*(((60.95*(60.95-(-5/-5)))*(60.95-(60.95/(-5*60.95))))-(-5/-5)))))</f>
        <v>1124852.581875</v>
      </c>
      <c r="C16096" t="n" s="0">
        <v>1124852.5818750004</v>
      </c>
    </row>
    <row r="16097">
      <c r="A16097" t="n" s="0">
        <v>60.96</v>
      </c>
      <c r="B16097" t="n" s="0">
        <f>(-5-((((-5*(-5/((-5/(((-5*(60.96--5))-(-5+((-5*60.96)*(((-5--5)+(60.96--5))+60.96))))-(-5+-5)))*-5)))/-5)--5)+(-5*(((60.96*(60.96-(-5/-5)))*(60.96-(60.96/(-5*60.96))))-(-5/-5)))))</f>
        <v>1125407.50048</v>
      </c>
      <c r="C16097" t="n" s="0">
        <v>1125407.50048</v>
      </c>
    </row>
    <row r="16098">
      <c r="A16098" t="n" s="0">
        <v>60.97</v>
      </c>
      <c r="B16098" t="n" s="0">
        <f>(-5-((((-5*(-5/((-5/(((-5*(60.97--5))-(-5+((-5*60.97)*(((-5--5)+(60.97--5))+60.97))))-(-5+-5)))*-5)))/-5)--5)+(-5*(((60.97*(60.97-(-5/-5)))*(60.97-(60.97/(-5*60.97))))-(-5/-5)))))</f>
        <v>1125962.6015650001</v>
      </c>
      <c r="C16098" t="n" s="0">
        <v>1125962.601565</v>
      </c>
    </row>
    <row r="16099">
      <c r="A16099" t="n" s="0">
        <v>60.98</v>
      </c>
      <c r="B16099" t="n" s="0">
        <f>(-5-((((-5*(-5/((-5/(((-5*(60.98--5))-(-5+((-5*60.98)*(((-5--5)+(60.98--5))+60.98))))-(-5+-5)))*-5)))/-5)--5)+(-5*(((60.98*(60.98-(-5/-5)))*(60.98-(60.98/(-5*60.98))))-(-5/-5)))))</f>
        <v>1126517.88516</v>
      </c>
      <c r="C16099" t="n" s="0">
        <v>1126517.8851599998</v>
      </c>
    </row>
    <row r="16100">
      <c r="A16100" t="n" s="0">
        <v>60.99</v>
      </c>
      <c r="B16100" t="n" s="0">
        <f>(-5-((((-5*(-5/((-5/(((-5*(60.99--5))-(-5+((-5*60.99)*(((-5--5)+(60.99--5))+60.99))))-(-5+-5)))*-5)))/-5)--5)+(-5*(((60.99*(60.99-(-5/-5)))*(60.99-(60.99/(-5*60.99))))-(-5/-5)))))</f>
        <v>1127073.351295</v>
      </c>
      <c r="C16100" t="n" s="0">
        <v>1127073.3512950002</v>
      </c>
    </row>
    <row r="16101">
      <c r="A16101" t="n" s="0">
        <v>61.0</v>
      </c>
      <c r="B16101" t="n" s="0">
        <f>(-5-((((-5*(-5/((-5/(((-5*(61--5))-(-5+((-5*61)*(((-5--5)+(61--5))+61))))-(-5+-5)))*-5)))/-5)--5)+(-5*(((61*(61-(-5/-5)))*(61-(61/(-5*61))))-(-5/-5)))))</f>
        <v>1127629.0</v>
      </c>
      <c r="C16101" t="n" s="0">
        <v>1127629.0</v>
      </c>
    </row>
    <row r="16102">
      <c r="A16102" t="n" s="0">
        <v>61.01</v>
      </c>
      <c r="B16102" t="n" s="0">
        <f>(-5-((((-5*(-5/((-5/(((-5*(61.01--5))-(-5+((-5*61.01)*(((-5--5)+(61.01--5))+61.01))))-(-5+-5)))*-5)))/-5)--5)+(-5*(((61.01*(61.01-(-5/-5)))*(61.01-(61.01/(-5*61.01))))-(-5/-5)))))</f>
        <v>1128184.831305</v>
      </c>
      <c r="C16102" t="n" s="0">
        <v>1128184.8313049998</v>
      </c>
    </row>
    <row r="16103">
      <c r="A16103" t="n" s="0">
        <v>61.02</v>
      </c>
      <c r="B16103" t="n" s="0">
        <f>(-5-((((-5*(-5/((-5/(((-5*(61.02--5))-(-5+((-5*61.02)*(((-5--5)+(61.02--5))+61.02))))-(-5+-5)))*-5)))/-5)--5)+(-5*(((61.02*(61.02-(-5/-5)))*(61.02-(61.02/(-5*61.02))))-(-5/-5)))))</f>
        <v>1128740.84524</v>
      </c>
      <c r="C16103" t="n" s="0">
        <v>1128740.8452400002</v>
      </c>
    </row>
    <row r="16104">
      <c r="A16104" t="n" s="0">
        <v>61.03</v>
      </c>
      <c r="B16104" t="n" s="0">
        <f>(-5-((((-5*(-5/((-5/(((-5*(61.03--5))-(-5+((-5*61.03)*(((-5--5)+(61.03--5))+61.03))))-(-5+-5)))*-5)))/-5)--5)+(-5*(((61.03*(61.03-(-5/-5)))*(61.03-(61.03/(-5*61.03))))-(-5/-5)))))</f>
        <v>1129297.0418349998</v>
      </c>
      <c r="C16104" t="n" s="0">
        <v>1129297.041835</v>
      </c>
    </row>
    <row r="16105">
      <c r="A16105" t="n" s="0">
        <v>61.04</v>
      </c>
      <c r="B16105" t="n" s="0">
        <f>(-5-((((-5*(-5/((-5/(((-5*(61.04--5))-(-5+((-5*61.04)*(((-5--5)+(61.04--5))+61.04))))-(-5+-5)))*-5)))/-5)--5)+(-5*(((61.04*(61.04-(-5/-5)))*(61.04-(61.04/(-5*61.04))))-(-5/-5)))))</f>
        <v>1129853.42112</v>
      </c>
      <c r="C16105" t="n" s="0">
        <v>1129853.42112</v>
      </c>
    </row>
    <row r="16106">
      <c r="A16106" t="n" s="0">
        <v>61.05</v>
      </c>
      <c r="B16106" t="n" s="0">
        <f>(-5-((((-5*(-5/((-5/(((-5*(61.05--5))-(-5+((-5*61.05)*(((-5--5)+(61.05--5))+61.05))))-(-5+-5)))*-5)))/-5)--5)+(-5*(((61.05*(61.05-(-5/-5)))*(61.05-(61.05/(-5*61.05))))-(-5/-5)))))</f>
        <v>1130409.983125</v>
      </c>
      <c r="C16106" t="n" s="0">
        <v>1130409.9831249998</v>
      </c>
    </row>
    <row r="16107">
      <c r="A16107" t="n" s="0">
        <v>61.06</v>
      </c>
      <c r="B16107" t="n" s="0">
        <f>(-5-((((-5*(-5/((-5/(((-5*(61.06--5))-(-5+((-5*61.06)*(((-5--5)+(61.06--5))+61.06))))-(-5+-5)))*-5)))/-5)--5)+(-5*(((61.06*(61.06-(-5/-5)))*(61.06-(61.06/(-5*61.06))))-(-5/-5)))))</f>
        <v>1130966.72788</v>
      </c>
      <c r="C16107" t="n" s="0">
        <v>1130966.72788</v>
      </c>
    </row>
    <row r="16108">
      <c r="A16108" t="n" s="0">
        <v>61.07</v>
      </c>
      <c r="B16108" t="n" s="0">
        <f>(-5-((((-5*(-5/((-5/(((-5*(61.07--5))-(-5+((-5*61.07)*(((-5--5)+(61.07--5))+61.07))))-(-5+-5)))*-5)))/-5)--5)+(-5*(((61.07*(61.07-(-5/-5)))*(61.07-(61.07/(-5*61.07))))-(-5/-5)))))</f>
        <v>1131523.655415</v>
      </c>
      <c r="C16108" t="n" s="0">
        <v>1131523.6554150002</v>
      </c>
    </row>
    <row r="16109">
      <c r="A16109" t="n" s="0">
        <v>61.08</v>
      </c>
      <c r="B16109" t="n" s="0">
        <f>(-5-((((-5*(-5/((-5/(((-5*(61.08--5))-(-5+((-5*61.08)*(((-5--5)+(61.08--5))+61.08))))-(-5+-5)))*-5)))/-5)--5)+(-5*(((61.08*(61.08-(-5/-5)))*(61.08-(61.08/(-5*61.08))))-(-5/-5)))))</f>
        <v>1132080.76576</v>
      </c>
      <c r="C16109" t="n" s="0">
        <v>1132080.76576</v>
      </c>
    </row>
    <row r="16110">
      <c r="A16110" t="n" s="0">
        <v>61.09</v>
      </c>
      <c r="B16110" t="n" s="0">
        <f>(-5-((((-5*(-5/((-5/(((-5*(61.09--5))-(-5+((-5*61.09)*(((-5--5)+(61.09--5))+61.09))))-(-5+-5)))*-5)))/-5)--5)+(-5*(((61.09*(61.09-(-5/-5)))*(61.09-(61.09/(-5*61.09))))-(-5/-5)))))</f>
        <v>1132638.058945</v>
      </c>
      <c r="C16110" t="n" s="0">
        <v>1132638.0589450002</v>
      </c>
    </row>
    <row r="16111">
      <c r="A16111" t="n" s="0">
        <v>61.1</v>
      </c>
      <c r="B16111" t="n" s="0">
        <f>(-5-((((-5*(-5/((-5/(((-5*(61.1--5))-(-5+((-5*61.1)*(((-5--5)+(61.1--5))+61.1))))-(-5+-5)))*-5)))/-5)--5)+(-5*(((61.1*(61.1-(-5/-5)))*(61.1-(61.1/(-5*61.1))))-(-5/-5)))))</f>
        <v>1133195.5350000001</v>
      </c>
      <c r="C16111" t="n" s="0">
        <v>1133195.5350000001</v>
      </c>
    </row>
    <row r="16112">
      <c r="A16112" t="n" s="0">
        <v>61.11</v>
      </c>
      <c r="B16112" t="n" s="0">
        <f>(-5-((((-5*(-5/((-5/(((-5*(61.11--5))-(-5+((-5*61.11)*(((-5--5)+(61.11--5))+61.11))))-(-5+-5)))*-5)))/-5)--5)+(-5*(((61.11*(61.11-(-5/-5)))*(61.11-(61.11/(-5*61.11))))-(-5/-5)))))</f>
        <v>1133753.193955</v>
      </c>
      <c r="C16112" t="n" s="0">
        <v>1133753.193955</v>
      </c>
    </row>
    <row r="16113">
      <c r="A16113" t="n" s="0">
        <v>61.12</v>
      </c>
      <c r="B16113" t="n" s="0">
        <f>(-5-((((-5*(-5/((-5/(((-5*(61.12--5))-(-5+((-5*61.12)*(((-5--5)+(61.12--5))+61.12))))-(-5+-5)))*-5)))/-5)--5)+(-5*(((61.12*(61.12-(-5/-5)))*(61.12-(61.12/(-5*61.12))))-(-5/-5)))))</f>
        <v>1134311.03584</v>
      </c>
      <c r="C16113" t="n" s="0">
        <v>1134311.03584</v>
      </c>
    </row>
    <row r="16114">
      <c r="A16114" t="n" s="0">
        <v>61.13</v>
      </c>
      <c r="B16114" t="n" s="0">
        <f>(-5-((((-5*(-5/((-5/(((-5*(61.13--5))-(-5+((-5*61.13)*(((-5--5)+(61.13--5))+61.13))))-(-5+-5)))*-5)))/-5)--5)+(-5*(((61.13*(61.13-(-5/-5)))*(61.13-(61.13/(-5*61.13))))-(-5/-5)))))</f>
        <v>1134869.0606850001</v>
      </c>
      <c r="C16114" t="n" s="0">
        <v>1134869.060685</v>
      </c>
    </row>
    <row r="16115">
      <c r="A16115" t="n" s="0">
        <v>61.14</v>
      </c>
      <c r="B16115" t="n" s="0">
        <f>(-5-((((-5*(-5/((-5/(((-5*(61.14--5))-(-5+((-5*61.14)*(((-5--5)+(61.14--5))+61.14))))-(-5+-5)))*-5)))/-5)--5)+(-5*(((61.14*(61.14-(-5/-5)))*(61.14-(61.14/(-5*61.14))))-(-5/-5)))))</f>
        <v>1135427.26852</v>
      </c>
      <c r="C16115" t="n" s="0">
        <v>1135427.26852</v>
      </c>
    </row>
    <row r="16116">
      <c r="A16116" t="n" s="0">
        <v>61.15</v>
      </c>
      <c r="B16116" t="n" s="0">
        <f>(-5-((((-5*(-5/((-5/(((-5*(61.15--5))-(-5+((-5*61.15)*(((-5--5)+(61.15--5))+61.15))))-(-5+-5)))*-5)))/-5)--5)+(-5*(((61.15*(61.15-(-5/-5)))*(61.15-(61.15/(-5*61.15))))-(-5/-5)))))</f>
        <v>1135985.6593749998</v>
      </c>
      <c r="C16116" t="n" s="0">
        <v>1135985.6593749998</v>
      </c>
    </row>
    <row r="16117">
      <c r="A16117" t="n" s="0">
        <v>61.16</v>
      </c>
      <c r="B16117" t="n" s="0">
        <f>(-5-((((-5*(-5/((-5/(((-5*(61.16--5))-(-5+((-5*61.16)*(((-5--5)+(61.16--5))+61.16))))-(-5+-5)))*-5)))/-5)--5)+(-5*(((61.16*(61.16-(-5/-5)))*(61.16-(61.16/(-5*61.16))))-(-5/-5)))))</f>
        <v>1136544.23328</v>
      </c>
      <c r="C16117" t="n" s="0">
        <v>1136544.2332799998</v>
      </c>
    </row>
    <row r="16118">
      <c r="A16118" t="n" s="0">
        <v>61.17</v>
      </c>
      <c r="B16118" t="n" s="0">
        <f>(-5-((((-5*(-5/((-5/(((-5*(61.17--5))-(-5+((-5*61.17)*(((-5--5)+(61.17--5))+61.17))))-(-5+-5)))*-5)))/-5)--5)+(-5*(((61.17*(61.17-(-5/-5)))*(61.17-(61.17/(-5*61.17))))-(-5/-5)))))</f>
        <v>1137102.990265</v>
      </c>
      <c r="C16118" t="n" s="0">
        <v>1137102.990265</v>
      </c>
    </row>
    <row r="16119">
      <c r="A16119" t="n" s="0">
        <v>61.18</v>
      </c>
      <c r="B16119" t="n" s="0">
        <f>(-5-((((-5*(-5/((-5/(((-5*(61.18--5))-(-5+((-5*61.18)*(((-5--5)+(61.18--5))+61.18))))-(-5+-5)))*-5)))/-5)--5)+(-5*(((61.18*(61.18-(-5/-5)))*(61.18-(61.18/(-5*61.18))))-(-5/-5)))))</f>
        <v>1137661.9303599999</v>
      </c>
      <c r="C16119" t="n" s="0">
        <v>1137661.93036</v>
      </c>
    </row>
    <row r="16120">
      <c r="A16120" t="n" s="0">
        <v>61.19</v>
      </c>
      <c r="B16120" t="n" s="0">
        <f>(-5-((((-5*(-5/((-5/(((-5*(61.19--5))-(-5+((-5*61.19)*(((-5--5)+(61.19--5))+61.19))))-(-5+-5)))*-5)))/-5)--5)+(-5*(((61.19*(61.19-(-5/-5)))*(61.19-(61.19/(-5*61.19))))-(-5/-5)))))</f>
        <v>1138221.053595</v>
      </c>
      <c r="C16120" t="n" s="0">
        <v>1138221.053595</v>
      </c>
    </row>
    <row r="16121">
      <c r="A16121" t="n" s="0">
        <v>61.2</v>
      </c>
      <c r="B16121" t="n" s="0">
        <f>(-5-((((-5*(-5/((-5/(((-5*(61.2--5))-(-5+((-5*61.2)*(((-5--5)+(61.2--5))+61.2))))-(-5+-5)))*-5)))/-5)--5)+(-5*(((61.2*(61.2-(-5/-5)))*(61.2-(61.2/(-5*61.2))))-(-5/-5)))))</f>
        <v>1138780.3599999999</v>
      </c>
      <c r="C16121" t="n" s="0">
        <v>1138780.3600000003</v>
      </c>
    </row>
    <row r="16122">
      <c r="A16122" t="n" s="0">
        <v>61.21</v>
      </c>
      <c r="B16122" t="n" s="0">
        <f>(-5-((((-5*(-5/((-5/(((-5*(61.21--5))-(-5+((-5*61.21)*(((-5--5)+(61.21--5))+61.21))))-(-5+-5)))*-5)))/-5)--5)+(-5*(((61.21*(61.21-(-5/-5)))*(61.21-(61.21/(-5*61.21))))-(-5/-5)))))</f>
        <v>1139339.8496049999</v>
      </c>
      <c r="C16122" t="n" s="0">
        <v>1139339.8496049999</v>
      </c>
    </row>
    <row r="16123">
      <c r="A16123" t="n" s="0">
        <v>61.22</v>
      </c>
      <c r="B16123" t="n" s="0">
        <f>(-5-((((-5*(-5/((-5/(((-5*(61.22--5))-(-5+((-5*61.22)*(((-5--5)+(61.22--5))+61.22))))-(-5+-5)))*-5)))/-5)--5)+(-5*(((61.22*(61.22-(-5/-5)))*(61.22-(61.22/(-5*61.22))))-(-5/-5)))))</f>
        <v>1139899.52244</v>
      </c>
      <c r="C16123" t="n" s="0">
        <v>1139899.5224399997</v>
      </c>
    </row>
    <row r="16124">
      <c r="A16124" t="n" s="0">
        <v>61.23</v>
      </c>
      <c r="B16124" t="n" s="0">
        <f>(-5-((((-5*(-5/((-5/(((-5*(61.23--5))-(-5+((-5*61.23)*(((-5--5)+(61.23--5))+61.23))))-(-5+-5)))*-5)))/-5)--5)+(-5*(((61.23*(61.23-(-5/-5)))*(61.23-(61.23/(-5*61.23))))-(-5/-5)))))</f>
        <v>1140459.3785350001</v>
      </c>
      <c r="C16124" t="n" s="0">
        <v>1140459.378535</v>
      </c>
    </row>
    <row r="16125">
      <c r="A16125" t="n" s="0">
        <v>61.24</v>
      </c>
      <c r="B16125" t="n" s="0">
        <f>(-5-((((-5*(-5/((-5/(((-5*(61.24--5))-(-5+((-5*61.24)*(((-5--5)+(61.24--5))+61.24))))-(-5+-5)))*-5)))/-5)--5)+(-5*(((61.24*(61.24-(-5/-5)))*(61.24-(61.24/(-5*61.24))))-(-5/-5)))))</f>
        <v>1141019.41792</v>
      </c>
      <c r="C16125" t="n" s="0">
        <v>1141019.4179200002</v>
      </c>
    </row>
    <row r="16126">
      <c r="A16126" t="n" s="0">
        <v>61.25</v>
      </c>
      <c r="B16126" t="n" s="0">
        <f>(-5-((((-5*(-5/((-5/(((-5*(61.25--5))-(-5+((-5*61.25)*(((-5--5)+(61.25--5))+61.25))))-(-5+-5)))*-5)))/-5)--5)+(-5*(((61.25*(61.25-(-5/-5)))*(61.25-(61.25/(-5*61.25))))-(-5/-5)))))</f>
        <v>1141579.640625</v>
      </c>
      <c r="C16126" t="n" s="0">
        <v>1141579.640625</v>
      </c>
    </row>
    <row r="16127">
      <c r="A16127" t="n" s="0">
        <v>61.26</v>
      </c>
      <c r="B16127" t="n" s="0">
        <f>(-5-((((-5*(-5/((-5/(((-5*(61.26--5))-(-5+((-5*61.26)*(((-5--5)+(61.26--5))+61.26))))-(-5+-5)))*-5)))/-5)--5)+(-5*(((61.26*(61.26-(-5/-5)))*(61.26-(61.26/(-5*61.26))))-(-5/-5)))))</f>
        <v>1142140.0466800001</v>
      </c>
      <c r="C16127" t="n" s="0">
        <v>1142140.0466799997</v>
      </c>
    </row>
    <row r="16128">
      <c r="A16128" t="n" s="0">
        <v>61.27</v>
      </c>
      <c r="B16128" t="n" s="0">
        <f>(-5-((((-5*(-5/((-5/(((-5*(61.27--5))-(-5+((-5*61.27)*(((-5--5)+(61.27--5))+61.27))))-(-5+-5)))*-5)))/-5)--5)+(-5*(((61.27*(61.27-(-5/-5)))*(61.27-(61.27/(-5*61.27))))-(-5/-5)))))</f>
        <v>1142700.6361150001</v>
      </c>
      <c r="C16128" t="n" s="0">
        <v>1142700.6361150004</v>
      </c>
    </row>
    <row r="16129">
      <c r="A16129" t="n" s="0">
        <v>61.28</v>
      </c>
      <c r="B16129" t="n" s="0">
        <f>(-5-((((-5*(-5/((-5/(((-5*(61.28--5))-(-5+((-5*61.28)*(((-5--5)+(61.28--5))+61.28))))-(-5+-5)))*-5)))/-5)--5)+(-5*(((61.28*(61.28-(-5/-5)))*(61.28-(61.28/(-5*61.28))))-(-5/-5)))))</f>
        <v>1143261.40896</v>
      </c>
      <c r="C16129" t="n" s="0">
        <v>1143261.4089600001</v>
      </c>
    </row>
    <row r="16130">
      <c r="A16130" t="n" s="0">
        <v>61.29</v>
      </c>
      <c r="B16130" t="n" s="0">
        <f>(-5-((((-5*(-5/((-5/(((-5*(61.29--5))-(-5+((-5*61.29)*(((-5--5)+(61.29--5))+61.29))))-(-5+-5)))*-5)))/-5)--5)+(-5*(((61.29*(61.29-(-5/-5)))*(61.29-(61.29/(-5*61.29))))-(-5/-5)))))</f>
        <v>1143822.3652450002</v>
      </c>
      <c r="C16130" t="n" s="0">
        <v>1143822.365245</v>
      </c>
    </row>
    <row r="16131">
      <c r="A16131" t="n" s="0">
        <v>61.3</v>
      </c>
      <c r="B16131" t="n" s="0">
        <f>(-5-((((-5*(-5/((-5/(((-5*(61.3--5))-(-5+((-5*61.3)*(((-5--5)+(61.3--5))+61.3))))-(-5+-5)))*-5)))/-5)--5)+(-5*(((61.3*(61.3-(-5/-5)))*(61.3-(61.3/(-5*61.3))))-(-5/-5)))))</f>
        <v>1144383.5050000001</v>
      </c>
      <c r="C16131" t="n" s="0">
        <v>1144383.505</v>
      </c>
    </row>
    <row r="16132">
      <c r="A16132" t="n" s="0">
        <v>61.31</v>
      </c>
      <c r="B16132" t="n" s="0">
        <f>(-5-((((-5*(-5/((-5/(((-5*(61.31--5))-(-5+((-5*61.31)*(((-5--5)+(61.31--5))+61.31))))-(-5+-5)))*-5)))/-5)--5)+(-5*(((61.31*(61.31-(-5/-5)))*(61.31-(61.31/(-5*61.31))))-(-5/-5)))))</f>
        <v>1144944.828255</v>
      </c>
      <c r="C16132" t="n" s="0">
        <v>1144944.828255</v>
      </c>
    </row>
    <row r="16133">
      <c r="A16133" t="n" s="0">
        <v>61.32</v>
      </c>
      <c r="B16133" t="n" s="0">
        <f>(-5-((((-5*(-5/((-5/(((-5*(61.32--5))-(-5+((-5*61.32)*(((-5--5)+(61.32--5))+61.32))))-(-5+-5)))*-5)))/-5)--5)+(-5*(((61.32*(61.32-(-5/-5)))*(61.32-(61.32/(-5*61.32))))-(-5/-5)))))</f>
        <v>1145506.33504</v>
      </c>
      <c r="C16133" t="n" s="0">
        <v>1145506.3350399998</v>
      </c>
    </row>
    <row r="16134">
      <c r="A16134" t="n" s="0">
        <v>61.33</v>
      </c>
      <c r="B16134" t="n" s="0">
        <f>(-5-((((-5*(-5/((-5/(((-5*(61.33--5))-(-5+((-5*61.33)*(((-5--5)+(61.33--5))+61.33))))-(-5+-5)))*-5)))/-5)--5)+(-5*(((61.33*(61.33-(-5/-5)))*(61.33-(61.33/(-5*61.33))))-(-5/-5)))))</f>
        <v>1146068.025385</v>
      </c>
      <c r="C16134" t="n" s="0">
        <v>1146068.0253849998</v>
      </c>
    </row>
    <row r="16135">
      <c r="A16135" t="n" s="0">
        <v>61.34</v>
      </c>
      <c r="B16135" t="n" s="0">
        <f>(-5-((((-5*(-5/((-5/(((-5*(61.34--5))-(-5+((-5*61.34)*(((-5--5)+(61.34--5))+61.34))))-(-5+-5)))*-5)))/-5)--5)+(-5*(((61.34*(61.34-(-5/-5)))*(61.34-(61.34/(-5*61.34))))-(-5/-5)))))</f>
        <v>1146629.89932</v>
      </c>
      <c r="C16135" t="n" s="0">
        <v>1146629.89932</v>
      </c>
    </row>
    <row r="16136">
      <c r="A16136" t="n" s="0">
        <v>61.35</v>
      </c>
      <c r="B16136" t="n" s="0">
        <f>(-5-((((-5*(-5/((-5/(((-5*(61.35--5))-(-5+((-5*61.35)*(((-5--5)+(61.35--5))+61.35))))-(-5+-5)))*-5)))/-5)--5)+(-5*(((61.35*(61.35-(-5/-5)))*(61.35-(61.35/(-5*61.35))))-(-5/-5)))))</f>
        <v>1147191.956875</v>
      </c>
      <c r="C16136" t="n" s="0">
        <v>1147191.9568750001</v>
      </c>
    </row>
    <row r="16137">
      <c r="A16137" t="n" s="0">
        <v>61.36</v>
      </c>
      <c r="B16137" t="n" s="0">
        <f>(-5-((((-5*(-5/((-5/(((-5*(61.36--5))-(-5+((-5*61.36)*(((-5--5)+(61.36--5))+61.36))))-(-5+-5)))*-5)))/-5)--5)+(-5*(((61.36*(61.36-(-5/-5)))*(61.36-(61.36/(-5*61.36))))-(-5/-5)))))</f>
        <v>1147754.19808</v>
      </c>
      <c r="C16137" t="n" s="0">
        <v>1147754.19808</v>
      </c>
    </row>
    <row r="16138">
      <c r="A16138" t="n" s="0">
        <v>61.37</v>
      </c>
      <c r="B16138" t="n" s="0">
        <f>(-5-((((-5*(-5/((-5/(((-5*(61.37--5))-(-5+((-5*61.37)*(((-5--5)+(61.37--5))+61.37))))-(-5+-5)))*-5)))/-5)--5)+(-5*(((61.37*(61.37-(-5/-5)))*(61.37-(61.37/(-5*61.37))))-(-5/-5)))))</f>
        <v>1148316.622965</v>
      </c>
      <c r="C16138" t="n" s="0">
        <v>1148316.6229649999</v>
      </c>
    </row>
    <row r="16139">
      <c r="A16139" t="n" s="0">
        <v>61.38</v>
      </c>
      <c r="B16139" t="n" s="0">
        <f>(-5-((((-5*(-5/((-5/(((-5*(61.38--5))-(-5+((-5*61.38)*(((-5--5)+(61.38--5))+61.38))))-(-5+-5)))*-5)))/-5)--5)+(-5*(((61.38*(61.38-(-5/-5)))*(61.38-(61.38/(-5*61.38))))-(-5/-5)))))</f>
        <v>1148879.23156</v>
      </c>
      <c r="C16139" t="n" s="0">
        <v>1148879.2315600002</v>
      </c>
    </row>
    <row r="16140">
      <c r="A16140" t="n" s="0">
        <v>61.39</v>
      </c>
      <c r="B16140" t="n" s="0">
        <f>(-5-((((-5*(-5/((-5/(((-5*(61.39--5))-(-5+((-5*61.39)*(((-5--5)+(61.39--5))+61.39))))-(-5+-5)))*-5)))/-5)--5)+(-5*(((61.39*(61.39-(-5/-5)))*(61.39-(61.39/(-5*61.39))))-(-5/-5)))))</f>
        <v>1149442.0238949999</v>
      </c>
      <c r="C16140" t="n" s="0">
        <v>1149442.0238949999</v>
      </c>
    </row>
    <row r="16141">
      <c r="A16141" t="n" s="0">
        <v>61.4</v>
      </c>
      <c r="B16141" t="n" s="0">
        <f>(-5-((((-5*(-5/((-5/(((-5*(61.4--5))-(-5+((-5*61.4)*(((-5--5)+(61.4--5))+61.4))))-(-5+-5)))*-5)))/-5)--5)+(-5*(((61.4*(61.4-(-5/-5)))*(61.4-(61.4/(-5*61.4))))-(-5/-5)))))</f>
        <v>1150005.0</v>
      </c>
      <c r="C16141" t="n" s="0">
        <v>1150005.0</v>
      </c>
    </row>
    <row r="16142">
      <c r="A16142" t="n" s="0">
        <v>61.41</v>
      </c>
      <c r="B16142" t="n" s="0">
        <f>(-5-((((-5*(-5/((-5/(((-5*(61.41--5))-(-5+((-5*61.41)*(((-5--5)+(61.41--5))+61.41))))-(-5+-5)))*-5)))/-5)--5)+(-5*(((61.41*(61.41-(-5/-5)))*(61.41-(61.41/(-5*61.41))))-(-5/-5)))))</f>
        <v>1150568.159905</v>
      </c>
      <c r="C16142" t="n" s="0">
        <v>1150568.1599049997</v>
      </c>
    </row>
    <row r="16143">
      <c r="A16143" t="n" s="0">
        <v>61.42</v>
      </c>
      <c r="B16143" t="n" s="0">
        <f>(-5-((((-5*(-5/((-5/(((-5*(61.42--5))-(-5+((-5*61.42)*(((-5--5)+(61.42--5))+61.42))))-(-5+-5)))*-5)))/-5)--5)+(-5*(((61.42*(61.42-(-5/-5)))*(61.42-(61.42/(-5*61.42))))-(-5/-5)))))</f>
        <v>1151131.5036400002</v>
      </c>
      <c r="C16143" t="n" s="0">
        <v>1151131.50364</v>
      </c>
    </row>
    <row r="16144">
      <c r="A16144" t="n" s="0">
        <v>61.43</v>
      </c>
      <c r="B16144" t="n" s="0">
        <f>(-5-((((-5*(-5/((-5/(((-5*(61.43--5))-(-5+((-5*61.43)*(((-5--5)+(61.43--5))+61.43))))-(-5+-5)))*-5)))/-5)--5)+(-5*(((61.43*(61.43-(-5/-5)))*(61.43-(61.43/(-5*61.43))))-(-5/-5)))))</f>
        <v>1151695.0312350001</v>
      </c>
      <c r="C16144" t="n" s="0">
        <v>1151695.0312350001</v>
      </c>
    </row>
    <row r="16145">
      <c r="A16145" t="n" s="0">
        <v>61.44</v>
      </c>
      <c r="B16145" t="n" s="0">
        <f>(-5-((((-5*(-5/((-5/(((-5*(61.44--5))-(-5+((-5*61.44)*(((-5--5)+(61.44--5))+61.44))))-(-5+-5)))*-5)))/-5)--5)+(-5*(((61.44*(61.44-(-5/-5)))*(61.44-(61.44/(-5*61.44))))-(-5/-5)))))</f>
        <v>1152258.7427200002</v>
      </c>
      <c r="C16145" t="n" s="0">
        <v>1152258.7427199997</v>
      </c>
    </row>
    <row r="16146">
      <c r="A16146" t="n" s="0">
        <v>61.45</v>
      </c>
      <c r="B16146" t="n" s="0">
        <f>(-5-((((-5*(-5/((-5/(((-5*(61.45--5))-(-5+((-5*61.45)*(((-5--5)+(61.45--5))+61.45))))-(-5+-5)))*-5)))/-5)--5)+(-5*(((61.45*(61.45-(-5/-5)))*(61.45-(61.45/(-5*61.45))))-(-5/-5)))))</f>
        <v>1152822.638125</v>
      </c>
      <c r="C16146" t="n" s="0">
        <v>1152822.6381250003</v>
      </c>
    </row>
    <row r="16147">
      <c r="A16147" t="n" s="0">
        <v>61.46</v>
      </c>
      <c r="B16147" t="n" s="0">
        <f>(-5-((((-5*(-5/((-5/(((-5*(61.46--5))-(-5+((-5*61.46)*(((-5--5)+(61.46--5))+61.46))))-(-5+-5)))*-5)))/-5)--5)+(-5*(((61.46*(61.46-(-5/-5)))*(61.46-(61.46/(-5*61.46))))-(-5/-5)))))</f>
        <v>1153386.7174799999</v>
      </c>
      <c r="C16147" t="n" s="0">
        <v>1153386.7174799999</v>
      </c>
    </row>
    <row r="16148">
      <c r="A16148" t="n" s="0">
        <v>61.47</v>
      </c>
      <c r="B16148" t="n" s="0">
        <f>(-5-((((-5*(-5/((-5/(((-5*(61.47--5))-(-5+((-5*61.47)*(((-5--5)+(61.47--5))+61.47))))-(-5+-5)))*-5)))/-5)--5)+(-5*(((61.47*(61.47-(-5/-5)))*(61.47-(61.47/(-5*61.47))))-(-5/-5)))))</f>
        <v>1153950.980815</v>
      </c>
      <c r="C16148" t="n" s="0">
        <v>1153950.980815</v>
      </c>
    </row>
    <row r="16149">
      <c r="A16149" t="n" s="0">
        <v>61.48</v>
      </c>
      <c r="B16149" t="n" s="0">
        <f>(-5-((((-5*(-5/((-5/(((-5*(61.48--5))-(-5+((-5*61.48)*(((-5--5)+(61.48--5))+61.48))))-(-5+-5)))*-5)))/-5)--5)+(-5*(((61.48*(61.48-(-5/-5)))*(61.48-(61.48/(-5*61.48))))-(-5/-5)))))</f>
        <v>1154515.4281600001</v>
      </c>
      <c r="C16149" t="n" s="0">
        <v>1154515.4281599997</v>
      </c>
    </row>
    <row r="16150">
      <c r="A16150" t="n" s="0">
        <v>61.49</v>
      </c>
      <c r="B16150" t="n" s="0">
        <f>(-5-((((-5*(-5/((-5/(((-5*(61.49--5))-(-5+((-5*61.49)*(((-5--5)+(61.49--5))+61.49))))-(-5+-5)))*-5)))/-5)--5)+(-5*(((61.49*(61.49-(-5/-5)))*(61.49-(61.49/(-5*61.49))))-(-5/-5)))))</f>
        <v>1155080.0595449999</v>
      </c>
      <c r="C16150" t="n" s="0">
        <v>1155080.059545</v>
      </c>
    </row>
    <row r="16151">
      <c r="A16151" t="n" s="0">
        <v>61.5</v>
      </c>
      <c r="B16151" t="n" s="0">
        <f>(-5-((((-5*(-5/((-5/(((-5*(61.5--5))-(-5+((-5*61.5)*(((-5--5)+(61.5--5))+61.5))))-(-5+-5)))*-5)))/-5)--5)+(-5*(((61.5*(61.5-(-5/-5)))*(61.5-(61.5/(-5*61.5))))-(-5/-5)))))</f>
        <v>1155644.875</v>
      </c>
      <c r="C16151" t="n" s="0">
        <v>1155644.875</v>
      </c>
    </row>
    <row r="16152">
      <c r="A16152" t="n" s="0">
        <v>61.51</v>
      </c>
      <c r="B16152" t="n" s="0">
        <f>(-5-((((-5*(-5/((-5/(((-5*(61.51--5))-(-5+((-5*61.51)*(((-5--5)+(61.51--5))+61.51))))-(-5+-5)))*-5)))/-5)--5)+(-5*(((61.51*(61.51-(-5/-5)))*(61.51-(61.51/(-5*61.51))))-(-5/-5)))))</f>
        <v>1156209.8745549999</v>
      </c>
      <c r="C16152" t="n" s="0">
        <v>1156209.8745549999</v>
      </c>
    </row>
    <row r="16153">
      <c r="A16153" t="n" s="0">
        <v>61.52</v>
      </c>
      <c r="B16153" t="n" s="0">
        <f>(-5-((((-5*(-5/((-5/(((-5*(61.52--5))-(-5+((-5*61.52)*(((-5--5)+(61.52--5))+61.52))))-(-5+-5)))*-5)))/-5)--5)+(-5*(((61.52*(61.52-(-5/-5)))*(61.52-(61.52/(-5*61.52))))-(-5/-5)))))</f>
        <v>1156775.05824</v>
      </c>
      <c r="C16153" t="n" s="0">
        <v>1156775.0582400004</v>
      </c>
    </row>
    <row r="16154">
      <c r="A16154" t="n" s="0">
        <v>61.53</v>
      </c>
      <c r="B16154" t="n" s="0">
        <f>(-5-((((-5*(-5/((-5/(((-5*(61.53--5))-(-5+((-5*61.53)*(((-5--5)+(61.53--5))+61.53))))-(-5+-5)))*-5)))/-5)--5)+(-5*(((61.53*(61.53-(-5/-5)))*(61.53-(61.53/(-5*61.53))))-(-5/-5)))))</f>
        <v>1157340.426085</v>
      </c>
      <c r="C16154" t="n" s="0">
        <v>1157340.4260850002</v>
      </c>
    </row>
    <row r="16155">
      <c r="A16155" t="n" s="0">
        <v>61.54</v>
      </c>
      <c r="B16155" t="n" s="0">
        <f>(-5-((((-5*(-5/((-5/(((-5*(61.54--5))-(-5+((-5*61.54)*(((-5--5)+(61.54--5))+61.54))))-(-5+-5)))*-5)))/-5)--5)+(-5*(((61.54*(61.54-(-5/-5)))*(61.54-(61.54/(-5*61.54))))-(-5/-5)))))</f>
        <v>1157905.9781199999</v>
      </c>
      <c r="C16155" t="n" s="0">
        <v>1157905.97812</v>
      </c>
    </row>
    <row r="16156">
      <c r="A16156" t="n" s="0">
        <v>61.55</v>
      </c>
      <c r="B16156" t="n" s="0">
        <f>(-5-((((-5*(-5/((-5/(((-5*(61.55--5))-(-5+((-5*61.55)*(((-5--5)+(61.55--5))+61.55))))-(-5+-5)))*-5)))/-5)--5)+(-5*(((61.55*(61.55-(-5/-5)))*(61.55-(61.55/(-5*61.55))))-(-5/-5)))))</f>
        <v>1158471.714375</v>
      </c>
      <c r="C16156" t="n" s="0">
        <v>1158471.7143749997</v>
      </c>
    </row>
    <row r="16157">
      <c r="A16157" t="n" s="0">
        <v>61.56</v>
      </c>
      <c r="B16157" t="n" s="0">
        <f>(-5-((((-5*(-5/((-5/(((-5*(61.56--5))-(-5+((-5*61.56)*(((-5--5)+(61.56--5))+61.56))))-(-5+-5)))*-5)))/-5)--5)+(-5*(((61.56*(61.56-(-5/-5)))*(61.56-(61.56/(-5*61.56))))-(-5/-5)))))</f>
        <v>1159037.6348799998</v>
      </c>
      <c r="C16157" t="n" s="0">
        <v>1159037.6348800003</v>
      </c>
    </row>
    <row r="16158">
      <c r="A16158" t="n" s="0">
        <v>61.57</v>
      </c>
      <c r="B16158" t="n" s="0">
        <f>(-5-((((-5*(-5/((-5/(((-5*(61.57--5))-(-5+((-5*61.57)*(((-5--5)+(61.57--5))+61.57))))-(-5+-5)))*-5)))/-5)--5)+(-5*(((61.57*(61.57-(-5/-5)))*(61.57-(61.57/(-5*61.57))))-(-5/-5)))))</f>
        <v>1159603.739665</v>
      </c>
      <c r="C16158" t="n" s="0">
        <v>1159603.7396649998</v>
      </c>
    </row>
    <row r="16159">
      <c r="A16159" t="n" s="0">
        <v>61.58</v>
      </c>
      <c r="B16159" t="n" s="0">
        <f>(-5-((((-5*(-5/((-5/(((-5*(61.58--5))-(-5+((-5*61.58)*(((-5--5)+(61.58--5))+61.58))))-(-5+-5)))*-5)))/-5)--5)+(-5*(((61.58*(61.58-(-5/-5)))*(61.58-(61.58/(-5*61.58))))-(-5/-5)))))</f>
        <v>1160170.02876</v>
      </c>
      <c r="C16159" t="n" s="0">
        <v>1160170.02876</v>
      </c>
    </row>
    <row r="16160">
      <c r="A16160" t="n" s="0">
        <v>61.59</v>
      </c>
      <c r="B16160" t="n" s="0">
        <f>(-5-((((-5*(-5/((-5/(((-5*(61.59--5))-(-5+((-5*61.59)*(((-5--5)+(61.59--5))+61.59))))-(-5+-5)))*-5)))/-5)--5)+(-5*(((61.59*(61.59-(-5/-5)))*(61.59-(61.59/(-5*61.59))))-(-5/-5)))))</f>
        <v>1160736.502195</v>
      </c>
      <c r="C16160" t="n" s="0">
        <v>1160736.5021950002</v>
      </c>
    </row>
    <row r="16161">
      <c r="A16161" t="n" s="0">
        <v>61.6</v>
      </c>
      <c r="B16161" t="n" s="0">
        <f>(-5-((((-5*(-5/((-5/(((-5*(61.6--5))-(-5+((-5*61.6)*(((-5--5)+(61.6--5))+61.6))))-(-5+-5)))*-5)))/-5)--5)+(-5*(((61.6*(61.6-(-5/-5)))*(61.6-(61.6/(-5*61.6))))-(-5/-5)))))</f>
        <v>1161303.16</v>
      </c>
      <c r="C16161" t="n" s="0">
        <v>1161303.16</v>
      </c>
    </row>
    <row r="16162">
      <c r="A16162" t="n" s="0">
        <v>61.61</v>
      </c>
      <c r="B16162" t="n" s="0">
        <f>(-5-((((-5*(-5/((-5/(((-5*(61.61--5))-(-5+((-5*61.61)*(((-5--5)+(61.61--5))+61.61))))-(-5+-5)))*-5)))/-5)--5)+(-5*(((61.61*(61.61-(-5/-5)))*(61.61-(61.61/(-5*61.61))))-(-5/-5)))))</f>
        <v>1161870.002205</v>
      </c>
      <c r="C16162" t="n" s="0">
        <v>1161870.0022050003</v>
      </c>
    </row>
    <row r="16163">
      <c r="A16163" t="n" s="0">
        <v>61.62</v>
      </c>
      <c r="B16163" t="n" s="0">
        <f>(-5-((((-5*(-5/((-5/(((-5*(61.62--5))-(-5+((-5*61.62)*(((-5--5)+(61.62--5))+61.62))))-(-5+-5)))*-5)))/-5)--5)+(-5*(((61.62*(61.62-(-5/-5)))*(61.62-(61.62/(-5*61.62))))-(-5/-5)))))</f>
        <v>1162437.02884</v>
      </c>
      <c r="C16163" t="n" s="0">
        <v>1162437.0288399998</v>
      </c>
    </row>
    <row r="16164">
      <c r="A16164" t="n" s="0">
        <v>61.63</v>
      </c>
      <c r="B16164" t="n" s="0">
        <f>(-5-((((-5*(-5/((-5/(((-5*(61.63--5))-(-5+((-5*61.63)*(((-5--5)+(61.63--5))+61.63))))-(-5+-5)))*-5)))/-5)--5)+(-5*(((61.63*(61.63-(-5/-5)))*(61.63-(61.63/(-5*61.63))))-(-5/-5)))))</f>
        <v>1163004.239935</v>
      </c>
      <c r="C16164" t="n" s="0">
        <v>1163004.239935</v>
      </c>
    </row>
    <row r="16165">
      <c r="A16165" t="n" s="0">
        <v>61.64</v>
      </c>
      <c r="B16165" t="n" s="0">
        <f>(-5-((((-5*(-5/((-5/(((-5*(61.64--5))-(-5+((-5*61.64)*(((-5--5)+(61.64--5))+61.64))))-(-5+-5)))*-5)))/-5)--5)+(-5*(((61.64*(61.64-(-5/-5)))*(61.64-(61.64/(-5*61.64))))-(-5/-5)))))</f>
        <v>1163571.63552</v>
      </c>
      <c r="C16165" t="n" s="0">
        <v>1163571.63552</v>
      </c>
    </row>
    <row r="16166">
      <c r="A16166" t="n" s="0">
        <v>61.65</v>
      </c>
      <c r="B16166" t="n" s="0">
        <f>(-5-((((-5*(-5/((-5/(((-5*(61.65--5))-(-5+((-5*61.65)*(((-5--5)+(61.65--5))+61.65))))-(-5+-5)))*-5)))/-5)--5)+(-5*(((61.65*(61.65-(-5/-5)))*(61.65-(61.65/(-5*61.65))))-(-5/-5)))))</f>
        <v>1164139.215625</v>
      </c>
      <c r="C16166" t="n" s="0">
        <v>1164139.2156249997</v>
      </c>
    </row>
    <row r="16167">
      <c r="A16167" t="n" s="0">
        <v>61.66</v>
      </c>
      <c r="B16167" t="n" s="0">
        <f>(-5-((((-5*(-5/((-5/(((-5*(61.66--5))-(-5+((-5*61.66)*(((-5--5)+(61.66--5))+61.66))))-(-5+-5)))*-5)))/-5)--5)+(-5*(((61.66*(61.66-(-5/-5)))*(61.66-(61.66/(-5*61.66))))-(-5/-5)))))</f>
        <v>1164706.98028</v>
      </c>
      <c r="C16167" t="n" s="0">
        <v>1164706.9802799998</v>
      </c>
    </row>
    <row r="16168">
      <c r="A16168" t="n" s="0">
        <v>61.67</v>
      </c>
      <c r="B16168" t="n" s="0">
        <f>(-5-((((-5*(-5/((-5/(((-5*(61.67--5))-(-5+((-5*61.67)*(((-5--5)+(61.67--5))+61.67))))-(-5+-5)))*-5)))/-5)--5)+(-5*(((61.67*(61.67-(-5/-5)))*(61.67-(61.67/(-5*61.67))))-(-5/-5)))))</f>
        <v>1165274.929515</v>
      </c>
      <c r="C16168" t="n" s="0">
        <v>1165274.9295150002</v>
      </c>
    </row>
    <row r="16169">
      <c r="A16169" t="n" s="0">
        <v>61.68</v>
      </c>
      <c r="B16169" t="n" s="0">
        <f>(-5-((((-5*(-5/((-5/(((-5*(61.68--5))-(-5+((-5*61.68)*(((-5--5)+(61.68--5))+61.68))))-(-5+-5)))*-5)))/-5)--5)+(-5*(((61.68*(61.68-(-5/-5)))*(61.68-(61.68/(-5*61.68))))-(-5/-5)))))</f>
        <v>1165843.06336</v>
      </c>
      <c r="C16169" t="n" s="0">
        <v>1165843.06336</v>
      </c>
    </row>
    <row r="16170">
      <c r="A16170" t="n" s="0">
        <v>61.69</v>
      </c>
      <c r="B16170" t="n" s="0">
        <f>(-5-((((-5*(-5/((-5/(((-5*(61.69--5))-(-5+((-5*61.69)*(((-5--5)+(61.69--5))+61.69))))-(-5+-5)))*-5)))/-5)--5)+(-5*(((61.69*(61.69-(-5/-5)))*(61.69-(61.69/(-5*61.69))))-(-5/-5)))))</f>
        <v>1166411.381845</v>
      </c>
      <c r="C16170" t="n" s="0">
        <v>1166411.3818449997</v>
      </c>
    </row>
    <row r="16171">
      <c r="A16171" t="n" s="0">
        <v>61.7</v>
      </c>
      <c r="B16171" t="n" s="0">
        <f>(-5-((((-5*(-5/((-5/(((-5*(61.7--5))-(-5+((-5*61.7)*(((-5--5)+(61.7--5))+61.7))))-(-5+-5)))*-5)))/-5)--5)+(-5*(((61.7*(61.7-(-5/-5)))*(61.7-(61.7/(-5*61.7))))-(-5/-5)))))</f>
        <v>1166979.885</v>
      </c>
      <c r="C16171" t="n" s="0">
        <v>1166979.8850000002</v>
      </c>
    </row>
    <row r="16172">
      <c r="A16172" t="n" s="0">
        <v>61.71</v>
      </c>
      <c r="B16172" t="n" s="0">
        <f>(-5-((((-5*(-5/((-5/(((-5*(61.71--5))-(-5+((-5*61.71)*(((-5--5)+(61.71--5))+61.71))))-(-5+-5)))*-5)))/-5)--5)+(-5*(((61.71*(61.71-(-5/-5)))*(61.71-(61.71/(-5*61.71))))-(-5/-5)))))</f>
        <v>1167548.5728550002</v>
      </c>
      <c r="C16172" t="n" s="0">
        <v>1167548.572855</v>
      </c>
    </row>
    <row r="16173">
      <c r="A16173" t="n" s="0">
        <v>61.72</v>
      </c>
      <c r="B16173" t="n" s="0">
        <f>(-5-((((-5*(-5/((-5/(((-5*(61.72--5))-(-5+((-5*61.72)*(((-5--5)+(61.72--5))+61.72))))-(-5+-5)))*-5)))/-5)--5)+(-5*(((61.72*(61.72-(-5/-5)))*(61.72-(61.72/(-5*61.72))))-(-5/-5)))))</f>
        <v>1168117.44544</v>
      </c>
      <c r="C16173" t="n" s="0">
        <v>1168117.4454399997</v>
      </c>
    </row>
    <row r="16174">
      <c r="A16174" t="n" s="0">
        <v>61.73</v>
      </c>
      <c r="B16174" t="n" s="0">
        <f>(-5-((((-5*(-5/((-5/(((-5*(61.73--5))-(-5+((-5*61.73)*(((-5--5)+(61.73--5))+61.73))))-(-5+-5)))*-5)))/-5)--5)+(-5*(((61.73*(61.73-(-5/-5)))*(61.73-(61.73/(-5*61.73))))-(-5/-5)))))</f>
        <v>1168686.502785</v>
      </c>
      <c r="C16174" t="n" s="0">
        <v>1168686.5027849996</v>
      </c>
    </row>
    <row r="16175">
      <c r="A16175" t="n" s="0">
        <v>61.74</v>
      </c>
      <c r="B16175" t="n" s="0">
        <f>(-5-((((-5*(-5/((-5/(((-5*(61.74--5))-(-5+((-5*61.74)*(((-5--5)+(61.74--5))+61.74))))-(-5+-5)))*-5)))/-5)--5)+(-5*(((61.74*(61.74-(-5/-5)))*(61.74-(61.74/(-5*61.74))))-(-5/-5)))))</f>
        <v>1169255.74492</v>
      </c>
      <c r="C16175" t="n" s="0">
        <v>1169255.7449200002</v>
      </c>
    </row>
    <row r="16176">
      <c r="A16176" t="n" s="0">
        <v>61.75</v>
      </c>
      <c r="B16176" t="n" s="0">
        <f>(-5-((((-5*(-5/((-5/(((-5*(61.75--5))-(-5+((-5*61.75)*(((-5--5)+(61.75--5))+61.75))))-(-5+-5)))*-5)))/-5)--5)+(-5*(((61.75*(61.75-(-5/-5)))*(61.75-(61.75/(-5*61.75))))-(-5/-5)))))</f>
        <v>1169825.171875</v>
      </c>
      <c r="C16176" t="n" s="0">
        <v>1169825.171875</v>
      </c>
    </row>
    <row r="16177">
      <c r="A16177" t="n" s="0">
        <v>61.76</v>
      </c>
      <c r="B16177" t="n" s="0">
        <f>(-5-((((-5*(-5/((-5/(((-5*(61.76--5))-(-5+((-5*61.76)*(((-5--5)+(61.76--5))+61.76))))-(-5+-5)))*-5)))/-5)--5)+(-5*(((61.76*(61.76-(-5/-5)))*(61.76-(61.76/(-5*61.76))))-(-5/-5)))))</f>
        <v>1170394.7836799999</v>
      </c>
      <c r="C16177" t="n" s="0">
        <v>1170394.7836799999</v>
      </c>
    </row>
    <row r="16178">
      <c r="A16178" t="n" s="0">
        <v>61.77</v>
      </c>
      <c r="B16178" t="n" s="0">
        <f>(-5-((((-5*(-5/((-5/(((-5*(61.77--5))-(-5+((-5*61.77)*(((-5--5)+(61.77--5))+61.77))))-(-5+-5)))*-5)))/-5)--5)+(-5*(((61.77*(61.77-(-5/-5)))*(61.77-(61.77/(-5*61.77))))-(-5/-5)))))</f>
        <v>1170964.580365</v>
      </c>
      <c r="C16178" t="n" s="0">
        <v>1170964.5803650003</v>
      </c>
    </row>
    <row r="16179">
      <c r="A16179" t="n" s="0">
        <v>61.78</v>
      </c>
      <c r="B16179" t="n" s="0">
        <f>(-5-((((-5*(-5/((-5/(((-5*(61.78--5))-(-5+((-5*61.78)*(((-5--5)+(61.78--5))+61.78))))-(-5+-5)))*-5)))/-5)--5)+(-5*(((61.78*(61.78-(-5/-5)))*(61.78-(61.78/(-5*61.78))))-(-5/-5)))))</f>
        <v>1171534.56196</v>
      </c>
      <c r="C16179" t="n" s="0">
        <v>1171534.5619600003</v>
      </c>
    </row>
    <row r="16180">
      <c r="A16180" t="n" s="0">
        <v>61.79</v>
      </c>
      <c r="B16180" t="n" s="0">
        <f>(-5-((((-5*(-5/((-5/(((-5*(61.79--5))-(-5+((-5*61.79)*(((-5--5)+(61.79--5))+61.79))))-(-5+-5)))*-5)))/-5)--5)+(-5*(((61.79*(61.79-(-5/-5)))*(61.79-(61.79/(-5*61.79))))-(-5/-5)))))</f>
        <v>1172104.728495</v>
      </c>
      <c r="C16180" t="n" s="0">
        <v>1172104.728495</v>
      </c>
    </row>
    <row r="16181">
      <c r="A16181" t="n" s="0">
        <v>61.8</v>
      </c>
      <c r="B16181" t="n" s="0">
        <f>(-5-((((-5*(-5/((-5/(((-5*(61.8--5))-(-5+((-5*61.8)*(((-5--5)+(61.8--5))+61.8))))-(-5+-5)))*-5)))/-5)--5)+(-5*(((61.8*(61.8-(-5/-5)))*(61.8-(61.8/(-5*61.8))))-(-5/-5)))))</f>
        <v>1172675.0799999998</v>
      </c>
      <c r="C16181" t="n" s="0">
        <v>1172675.0799999998</v>
      </c>
    </row>
    <row r="16182">
      <c r="A16182" t="n" s="0">
        <v>61.81</v>
      </c>
      <c r="B16182" t="n" s="0">
        <f>(-5-((((-5*(-5/((-5/(((-5*(61.81--5))-(-5+((-5*61.81)*(((-5--5)+(61.81--5))+61.81))))-(-5+-5)))*-5)))/-5)--5)+(-5*(((61.81*(61.81-(-5/-5)))*(61.81-(61.81/(-5*61.81))))-(-5/-5)))))</f>
        <v>1173245.616505</v>
      </c>
      <c r="C16182" t="n" s="0">
        <v>1173245.6165050003</v>
      </c>
    </row>
    <row r="16183">
      <c r="A16183" t="n" s="0">
        <v>61.82</v>
      </c>
      <c r="B16183" t="n" s="0">
        <f>(-5-((((-5*(-5/((-5/(((-5*(61.82--5))-(-5+((-5*61.82)*(((-5--5)+(61.82--5))+61.82))))-(-5+-5)))*-5)))/-5)--5)+(-5*(((61.82*(61.82-(-5/-5)))*(61.82-(61.82/(-5*61.82))))-(-5/-5)))))</f>
        <v>1173816.33804</v>
      </c>
      <c r="C16183" t="n" s="0">
        <v>1173816.33804</v>
      </c>
    </row>
    <row r="16184">
      <c r="A16184" t="n" s="0">
        <v>61.83</v>
      </c>
      <c r="B16184" t="n" s="0">
        <f>(-5-((((-5*(-5/((-5/(((-5*(61.83--5))-(-5+((-5*61.83)*(((-5--5)+(61.83--5))+61.83))))-(-5+-5)))*-5)))/-5)--5)+(-5*(((61.83*(61.83-(-5/-5)))*(61.83-(61.83/(-5*61.83))))-(-5/-5)))))</f>
        <v>1174387.244635</v>
      </c>
      <c r="C16184" t="n" s="0">
        <v>1174387.244635</v>
      </c>
    </row>
    <row r="16185">
      <c r="A16185" t="n" s="0">
        <v>61.84</v>
      </c>
      <c r="B16185" t="n" s="0">
        <f>(-5-((((-5*(-5/((-5/(((-5*(61.84--5))-(-5+((-5*61.84)*(((-5--5)+(61.84--5))+61.84))))-(-5+-5)))*-5)))/-5)--5)+(-5*(((61.84*(61.84-(-5/-5)))*(61.84-(61.84/(-5*61.84))))-(-5/-5)))))</f>
        <v>1174958.33632</v>
      </c>
      <c r="C16185" t="n" s="0">
        <v>1174958.3363200002</v>
      </c>
    </row>
    <row r="16186">
      <c r="A16186" t="n" s="0">
        <v>61.85</v>
      </c>
      <c r="B16186" t="n" s="0">
        <f>(-5-((((-5*(-5/((-5/(((-5*(61.85--5))-(-5+((-5*61.85)*(((-5--5)+(61.85--5))+61.85))))-(-5+-5)))*-5)))/-5)--5)+(-5*(((61.85*(61.85-(-5/-5)))*(61.85-(61.85/(-5*61.85))))-(-5/-5)))))</f>
        <v>1175529.613125</v>
      </c>
      <c r="C16186" t="n" s="0">
        <v>1175529.6131250001</v>
      </c>
    </row>
    <row r="16187">
      <c r="A16187" t="n" s="0">
        <v>61.86</v>
      </c>
      <c r="B16187" t="n" s="0">
        <f>(-5-((((-5*(-5/((-5/(((-5*(61.86--5))-(-5+((-5*61.86)*(((-5--5)+(61.86--5))+61.86))))-(-5+-5)))*-5)))/-5)--5)+(-5*(((61.86*(61.86-(-5/-5)))*(61.86-(61.86/(-5*61.86))))-(-5/-5)))))</f>
        <v>1176101.0750799999</v>
      </c>
      <c r="C16187" t="n" s="0">
        <v>1176101.0750799999</v>
      </c>
    </row>
    <row r="16188">
      <c r="A16188" t="n" s="0">
        <v>61.87</v>
      </c>
      <c r="B16188" t="n" s="0">
        <f>(-5-((((-5*(-5/((-5/(((-5*(61.87--5))-(-5+((-5*61.87)*(((-5--5)+(61.87--5))+61.87))))-(-5+-5)))*-5)))/-5)--5)+(-5*(((61.87*(61.87-(-5/-5)))*(61.87-(61.87/(-5*61.87))))-(-5/-5)))))</f>
        <v>1176672.722215</v>
      </c>
      <c r="C16188" t="n" s="0">
        <v>1176672.7222149998</v>
      </c>
    </row>
    <row r="16189">
      <c r="A16189" t="n" s="0">
        <v>61.88</v>
      </c>
      <c r="B16189" t="n" s="0">
        <f>(-5-((((-5*(-5/((-5/(((-5*(61.88--5))-(-5+((-5*61.88)*(((-5--5)+(61.88--5))+61.88))))-(-5+-5)))*-5)))/-5)--5)+(-5*(((61.88*(61.88-(-5/-5)))*(61.88-(61.88/(-5*61.88))))-(-5/-5)))))</f>
        <v>1177244.55456</v>
      </c>
      <c r="C16189" t="n" s="0">
        <v>1177244.55456</v>
      </c>
    </row>
    <row r="16190">
      <c r="A16190" t="n" s="0">
        <v>61.89</v>
      </c>
      <c r="B16190" t="n" s="0">
        <f>(-5-((((-5*(-5/((-5/(((-5*(61.89--5))-(-5+((-5*61.89)*(((-5--5)+(61.89--5))+61.89))))-(-5+-5)))*-5)))/-5)--5)+(-5*(((61.89*(61.89-(-5/-5)))*(61.89-(61.89/(-5*61.89))))-(-5/-5)))))</f>
        <v>1177816.572145</v>
      </c>
      <c r="C16190" t="n" s="0">
        <v>1177816.5721449999</v>
      </c>
    </row>
    <row r="16191">
      <c r="A16191" t="n" s="0">
        <v>61.9</v>
      </c>
      <c r="B16191" t="n" s="0">
        <f>(-5-((((-5*(-5/((-5/(((-5*(61.9--5))-(-5+((-5*61.9)*(((-5--5)+(61.9--5))+61.9))))-(-5+-5)))*-5)))/-5)--5)+(-5*(((61.9*(61.9-(-5/-5)))*(61.9-(61.9/(-5*61.9))))-(-5/-5)))))</f>
        <v>1178388.7750000001</v>
      </c>
      <c r="C16191" t="n" s="0">
        <v>1178388.775</v>
      </c>
    </row>
    <row r="16192">
      <c r="A16192" t="n" s="0">
        <v>61.91</v>
      </c>
      <c r="B16192" t="n" s="0">
        <f>(-5-((((-5*(-5/((-5/(((-5*(61.91--5))-(-5+((-5*61.91)*(((-5--5)+(61.91--5))+61.91))))-(-5+-5)))*-5)))/-5)--5)+(-5*(((61.91*(61.91-(-5/-5)))*(61.91-(61.91/(-5*61.91))))-(-5/-5)))))</f>
        <v>1178961.163155</v>
      </c>
      <c r="C16192" t="n" s="0">
        <v>1178961.163155</v>
      </c>
    </row>
    <row r="16193">
      <c r="A16193" t="n" s="0">
        <v>61.92</v>
      </c>
      <c r="B16193" t="n" s="0">
        <f>(-5-((((-5*(-5/((-5/(((-5*(61.92--5))-(-5+((-5*61.92)*(((-5--5)+(61.92--5))+61.92))))-(-5+-5)))*-5)))/-5)--5)+(-5*(((61.92*(61.92-(-5/-5)))*(61.92-(61.92/(-5*61.92))))-(-5/-5)))))</f>
        <v>1179533.73664</v>
      </c>
      <c r="C16193" t="n" s="0">
        <v>1179533.73664</v>
      </c>
    </row>
    <row r="16194">
      <c r="A16194" t="n" s="0">
        <v>61.93</v>
      </c>
      <c r="B16194" t="n" s="0">
        <f>(-5-((((-5*(-5/((-5/(((-5*(61.93--5))-(-5+((-5*61.93)*(((-5--5)+(61.93--5))+61.93))))-(-5+-5)))*-5)))/-5)--5)+(-5*(((61.93*(61.93-(-5/-5)))*(61.93-(61.93/(-5*61.93))))-(-5/-5)))))</f>
        <v>1180106.495485</v>
      </c>
      <c r="C16194" t="n" s="0">
        <v>1180106.495485</v>
      </c>
    </row>
    <row r="16195">
      <c r="A16195" t="n" s="0">
        <v>61.94</v>
      </c>
      <c r="B16195" t="n" s="0">
        <f>(-5-((((-5*(-5/((-5/(((-5*(61.94--5))-(-5+((-5*61.94)*(((-5--5)+(61.94--5))+61.94))))-(-5+-5)))*-5)))/-5)--5)+(-5*(((61.94*(61.94-(-5/-5)))*(61.94-(61.94/(-5*61.94))))-(-5/-5)))))</f>
        <v>1180679.43972</v>
      </c>
      <c r="C16195" t="n" s="0">
        <v>1180679.43972</v>
      </c>
    </row>
    <row r="16196">
      <c r="A16196" t="n" s="0">
        <v>61.95</v>
      </c>
      <c r="B16196" t="n" s="0">
        <f>(-5-((((-5*(-5/((-5/(((-5*(61.95--5))-(-5+((-5*61.95)*(((-5--5)+(61.95--5))+61.95))))-(-5+-5)))*-5)))/-5)--5)+(-5*(((61.95*(61.95-(-5/-5)))*(61.95-(61.95/(-5*61.95))))-(-5/-5)))))</f>
        <v>1181252.569375</v>
      </c>
      <c r="C16196" t="n" s="0">
        <v>1181252.5693750002</v>
      </c>
    </row>
    <row r="16197">
      <c r="A16197" t="n" s="0">
        <v>61.96</v>
      </c>
      <c r="B16197" t="n" s="0">
        <f>(-5-((((-5*(-5/((-5/(((-5*(61.96--5))-(-5+((-5*61.96)*(((-5--5)+(61.96--5))+61.96))))-(-5+-5)))*-5)))/-5)--5)+(-5*(((61.96*(61.96-(-5/-5)))*(61.96-(61.96/(-5*61.96))))-(-5/-5)))))</f>
        <v>1181825.88448</v>
      </c>
      <c r="C16197" t="n" s="0">
        <v>1181825.8844799998</v>
      </c>
    </row>
    <row r="16198">
      <c r="A16198" t="n" s="0">
        <v>61.97</v>
      </c>
      <c r="B16198" t="n" s="0">
        <f>(-5-((((-5*(-5/((-5/(((-5*(61.97--5))-(-5+((-5*61.97)*(((-5--5)+(61.97--5))+61.97))))-(-5+-5)))*-5)))/-5)--5)+(-5*(((61.97*(61.97-(-5/-5)))*(61.97-(61.97/(-5*61.97))))-(-5/-5)))))</f>
        <v>1182399.3850649998</v>
      </c>
      <c r="C16198" t="n" s="0">
        <v>1182399.3850649998</v>
      </c>
    </row>
    <row r="16199">
      <c r="A16199" t="n" s="0">
        <v>61.98</v>
      </c>
      <c r="B16199" t="n" s="0">
        <f>(-5-((((-5*(-5/((-5/(((-5*(61.98--5))-(-5+((-5*61.98)*(((-5--5)+(61.98--5))+61.98))))-(-5+-5)))*-5)))/-5)--5)+(-5*(((61.98*(61.98-(-5/-5)))*(61.98-(61.98/(-5*61.98))))-(-5/-5)))))</f>
        <v>1182973.07116</v>
      </c>
      <c r="C16199" t="n" s="0">
        <v>1182973.0711599998</v>
      </c>
    </row>
    <row r="16200">
      <c r="A16200" t="n" s="0">
        <v>61.99</v>
      </c>
      <c r="B16200" t="n" s="0">
        <f>(-5-((((-5*(-5/((-5/(((-5*(61.99--5))-(-5+((-5*61.99)*(((-5--5)+(61.99--5))+61.99))))-(-5+-5)))*-5)))/-5)--5)+(-5*(((61.99*(61.99-(-5/-5)))*(61.99-(61.99/(-5*61.99))))-(-5/-5)))))</f>
        <v>1183546.9427949998</v>
      </c>
      <c r="C16200" t="n" s="0">
        <v>1183546.9427950003</v>
      </c>
    </row>
    <row r="16201">
      <c r="A16201" t="n" s="0">
        <v>62.0</v>
      </c>
      <c r="B16201" t="n" s="0">
        <f>(-5-((((-5*(-5/((-5/(((-5*(62--5))-(-5+((-5*62)*(((-5--5)+(62--5))+62))))-(-5+-5)))*-5)))/-5)--5)+(-5*(((62*(62-(-5/-5)))*(62-(62/(-5*62))))-(-5/-5)))))</f>
        <v>1184121.0</v>
      </c>
      <c r="C16201" t="n" s="0">
        <v>1184121.0</v>
      </c>
    </row>
    <row r="16202">
      <c r="A16202" t="n" s="0">
        <v>62.01</v>
      </c>
      <c r="B16202" t="n" s="0">
        <f>(-5-((((-5*(-5/((-5/(((-5*(62.01--5))-(-5+((-5*62.01)*(((-5--5)+(62.01--5))+62.01))))-(-5+-5)))*-5)))/-5)--5)+(-5*(((62.01*(62.01-(-5/-5)))*(62.01-(62.01/(-5*62.01))))-(-5/-5)))))</f>
        <v>1184695.242805</v>
      </c>
      <c r="C16202" t="n" s="0">
        <v>1184695.2428049997</v>
      </c>
    </row>
    <row r="16203">
      <c r="A16203" t="n" s="0">
        <v>62.02</v>
      </c>
      <c r="B16203" t="n" s="0">
        <f>(-5-((((-5*(-5/((-5/(((-5*(62.02--5))-(-5+((-5*62.02)*(((-5--5)+(62.02--5))+62.02))))-(-5+-5)))*-5)))/-5)--5)+(-5*(((62.02*(62.02-(-5/-5)))*(62.02-(62.02/(-5*62.02))))-(-5/-5)))))</f>
        <v>1185269.67124</v>
      </c>
      <c r="C16203" t="n" s="0">
        <v>1185269.6712400003</v>
      </c>
    </row>
    <row r="16204">
      <c r="A16204" t="n" s="0">
        <v>62.03</v>
      </c>
      <c r="B16204" t="n" s="0">
        <f>(-5-((((-5*(-5/((-5/(((-5*(62.03--5))-(-5+((-5*62.03)*(((-5--5)+(62.03--5))+62.03))))-(-5+-5)))*-5)))/-5)--5)+(-5*(((62.03*(62.03-(-5/-5)))*(62.03-(62.03/(-5*62.03))))-(-5/-5)))))</f>
        <v>1185844.2853350001</v>
      </c>
      <c r="C16204" t="n" s="0">
        <v>1185844.2853350001</v>
      </c>
    </row>
    <row r="16205">
      <c r="A16205" t="n" s="0">
        <v>62.04</v>
      </c>
      <c r="B16205" t="n" s="0">
        <f>(-5-((((-5*(-5/((-5/(((-5*(62.04--5))-(-5+((-5*62.04)*(((-5--5)+(62.04--5))+62.04))))-(-5+-5)))*-5)))/-5)--5)+(-5*(((62.04*(62.04-(-5/-5)))*(62.04-(62.04/(-5*62.04))))-(-5/-5)))))</f>
        <v>1186419.08512</v>
      </c>
      <c r="C16205" t="n" s="0">
        <v>1186419.08512</v>
      </c>
    </row>
    <row r="16206">
      <c r="A16206" t="n" s="0">
        <v>62.05</v>
      </c>
      <c r="B16206" t="n" s="0">
        <f>(-5-((((-5*(-5/((-5/(((-5*(62.05--5))-(-5+((-5*62.05)*(((-5--5)+(62.05--5))+62.05))))-(-5+-5)))*-5)))/-5)--5)+(-5*(((62.05*(62.05-(-5/-5)))*(62.05-(62.05/(-5*62.05))))-(-5/-5)))))</f>
        <v>1186994.070625</v>
      </c>
      <c r="C16206" t="n" s="0">
        <v>1186994.0706249997</v>
      </c>
    </row>
    <row r="16207">
      <c r="A16207" t="n" s="0">
        <v>62.06</v>
      </c>
      <c r="B16207" t="n" s="0">
        <f>(-5-((((-5*(-5/((-5/(((-5*(62.06--5))-(-5+((-5*62.06)*(((-5--5)+(62.06--5))+62.06))))-(-5+-5)))*-5)))/-5)--5)+(-5*(((62.06*(62.06-(-5/-5)))*(62.06-(62.06/(-5*62.06))))-(-5/-5)))))</f>
        <v>1187569.24188</v>
      </c>
      <c r="C16207" t="n" s="0">
        <v>1187569.24188</v>
      </c>
    </row>
    <row r="16208">
      <c r="A16208" t="n" s="0">
        <v>62.07</v>
      </c>
      <c r="B16208" t="n" s="0">
        <f>(-5-((((-5*(-5/((-5/(((-5*(62.07--5))-(-5+((-5*62.07)*(((-5--5)+(62.07--5))+62.07))))-(-5+-5)))*-5)))/-5)--5)+(-5*(((62.07*(62.07-(-5/-5)))*(62.07-(62.07/(-5*62.07))))-(-5/-5)))))</f>
        <v>1188144.598915</v>
      </c>
      <c r="C16208" t="n" s="0">
        <v>1188144.598915</v>
      </c>
    </row>
    <row r="16209">
      <c r="A16209" t="n" s="0">
        <v>62.08</v>
      </c>
      <c r="B16209" t="n" s="0">
        <f>(-5-((((-5*(-5/((-5/(((-5*(62.08--5))-(-5+((-5*62.08)*(((-5--5)+(62.08--5))+62.08))))-(-5+-5)))*-5)))/-5)--5)+(-5*(((62.08*(62.08-(-5/-5)))*(62.08-(62.08/(-5*62.08))))-(-5/-5)))))</f>
        <v>1188720.14176</v>
      </c>
      <c r="C16209" t="n" s="0">
        <v>1188720.14176</v>
      </c>
    </row>
    <row r="16210">
      <c r="A16210" t="n" s="0">
        <v>62.09</v>
      </c>
      <c r="B16210" t="n" s="0">
        <f>(-5-((((-5*(-5/((-5/(((-5*(62.09--5))-(-5+((-5*62.09)*(((-5--5)+(62.09--5))+62.09))))-(-5+-5)))*-5)))/-5)--5)+(-5*(((62.09*(62.09-(-5/-5)))*(62.09-(62.09/(-5*62.09))))-(-5/-5)))))</f>
        <v>1189295.870445</v>
      </c>
      <c r="C16210" t="n" s="0">
        <v>1189295.8704450002</v>
      </c>
    </row>
    <row r="16211">
      <c r="A16211" t="n" s="0">
        <v>62.1</v>
      </c>
      <c r="B16211" t="n" s="0">
        <f>(-5-((((-5*(-5/((-5/(((-5*(62.1--5))-(-5+((-5*62.1)*(((-5--5)+(62.1--5))+62.1))))-(-5+-5)))*-5)))/-5)--5)+(-5*(((62.1*(62.1-(-5/-5)))*(62.1-(62.1/(-5*62.1))))-(-5/-5)))))</f>
        <v>1189871.785</v>
      </c>
      <c r="C16211" t="n" s="0">
        <v>1189871.7850000001</v>
      </c>
    </row>
    <row r="16212">
      <c r="A16212" t="n" s="0">
        <v>62.11</v>
      </c>
      <c r="B16212" t="n" s="0">
        <f>(-5-((((-5*(-5/((-5/(((-5*(62.11--5))-(-5+((-5*62.11)*(((-5--5)+(62.11--5))+62.11))))-(-5+-5)))*-5)))/-5)--5)+(-5*(((62.11*(62.11-(-5/-5)))*(62.11-(62.11/(-5*62.11))))-(-5/-5)))))</f>
        <v>1190447.885455</v>
      </c>
      <c r="C16212" t="n" s="0">
        <v>1190447.8854550002</v>
      </c>
    </row>
    <row r="16213">
      <c r="A16213" t="n" s="0">
        <v>62.12</v>
      </c>
      <c r="B16213" t="n" s="0">
        <f>(-5-((((-5*(-5/((-5/(((-5*(62.12--5))-(-5+((-5*62.12)*(((-5--5)+(62.12--5))+62.12))))-(-5+-5)))*-5)))/-5)--5)+(-5*(((62.12*(62.12-(-5/-5)))*(62.12-(62.12/(-5*62.12))))-(-5/-5)))))</f>
        <v>1191024.17184</v>
      </c>
      <c r="C16213" t="n" s="0">
        <v>1191024.17184</v>
      </c>
    </row>
    <row r="16214">
      <c r="A16214" t="n" s="0">
        <v>62.13</v>
      </c>
      <c r="B16214" t="n" s="0">
        <f>(-5-((((-5*(-5/((-5/(((-5*(62.13--5))-(-5+((-5*62.13)*(((-5--5)+(62.13--5))+62.13))))-(-5+-5)))*-5)))/-5)--5)+(-5*(((62.13*(62.13-(-5/-5)))*(62.13-(62.13/(-5*62.13))))-(-5/-5)))))</f>
        <v>1191600.6441849999</v>
      </c>
      <c r="C16214" t="n" s="0">
        <v>1191600.6441849999</v>
      </c>
    </row>
    <row r="16215">
      <c r="A16215" t="n" s="0">
        <v>62.14</v>
      </c>
      <c r="B16215" t="n" s="0">
        <f>(-5-((((-5*(-5/((-5/(((-5*(62.14--5))-(-5+((-5*62.14)*(((-5--5)+(62.14--5))+62.14))))-(-5+-5)))*-5)))/-5)--5)+(-5*(((62.14*(62.14-(-5/-5)))*(62.14-(62.14/(-5*62.14))))-(-5/-5)))))</f>
        <v>1192177.3025200001</v>
      </c>
      <c r="C16215" t="n" s="0">
        <v>1192177.30252</v>
      </c>
    </row>
    <row r="16216">
      <c r="A16216" t="n" s="0">
        <v>62.15</v>
      </c>
      <c r="B16216" t="n" s="0">
        <f>(-5-((((-5*(-5/((-5/(((-5*(62.15--5))-(-5+((-5*62.15)*(((-5--5)+(62.15--5))+62.15))))-(-5+-5)))*-5)))/-5)--5)+(-5*(((62.15*(62.15-(-5/-5)))*(62.15-(62.15/(-5*62.15))))-(-5/-5)))))</f>
        <v>1192754.1468749999</v>
      </c>
      <c r="C16216" t="n" s="0">
        <v>1192754.1468749999</v>
      </c>
    </row>
    <row r="16217">
      <c r="A16217" t="n" s="0">
        <v>62.16</v>
      </c>
      <c r="B16217" t="n" s="0">
        <f>(-5-((((-5*(-5/((-5/(((-5*(62.16--5))-(-5+((-5*62.16)*(((-5--5)+(62.16--5))+62.16))))-(-5+-5)))*-5)))/-5)--5)+(-5*(((62.16*(62.16-(-5/-5)))*(62.16-(62.16/(-5*62.16))))-(-5/-5)))))</f>
        <v>1193331.17728</v>
      </c>
      <c r="C16217" t="n" s="0">
        <v>1193331.1772799997</v>
      </c>
    </row>
    <row r="16218">
      <c r="A16218" t="n" s="0">
        <v>62.17</v>
      </c>
      <c r="B16218" t="n" s="0">
        <f>(-5-((((-5*(-5/((-5/(((-5*(62.17--5))-(-5+((-5*62.17)*(((-5--5)+(62.17--5))+62.17))))-(-5+-5)))*-5)))/-5)--5)+(-5*(((62.17*(62.17-(-5/-5)))*(62.17-(62.17/(-5*62.17))))-(-5/-5)))))</f>
        <v>1193908.393765</v>
      </c>
      <c r="C16218" t="n" s="0">
        <v>1193908.3937650002</v>
      </c>
    </row>
    <row r="16219">
      <c r="A16219" t="n" s="0">
        <v>62.18</v>
      </c>
      <c r="B16219" t="n" s="0">
        <f>(-5-((((-5*(-5/((-5/(((-5*(62.18--5))-(-5+((-5*62.18)*(((-5--5)+(62.18--5))+62.18))))-(-5+-5)))*-5)))/-5)--5)+(-5*(((62.18*(62.18-(-5/-5)))*(62.18-(62.18/(-5*62.18))))-(-5/-5)))))</f>
        <v>1194485.79636</v>
      </c>
      <c r="C16219" t="n" s="0">
        <v>1194485.79636</v>
      </c>
    </row>
    <row r="16220">
      <c r="A16220" t="n" s="0">
        <v>62.19</v>
      </c>
      <c r="B16220" t="n" s="0">
        <f>(-5-((((-5*(-5/((-5/(((-5*(62.19--5))-(-5+((-5*62.19)*(((-5--5)+(62.19--5))+62.19))))-(-5+-5)))*-5)))/-5)--5)+(-5*(((62.19*(62.19-(-5/-5)))*(62.19-(62.19/(-5*62.19))))-(-5/-5)))))</f>
        <v>1195063.385095</v>
      </c>
      <c r="C16220" t="n" s="0">
        <v>1195063.385095</v>
      </c>
    </row>
    <row r="16221">
      <c r="A16221" t="n" s="0">
        <v>62.2</v>
      </c>
      <c r="B16221" t="n" s="0">
        <f>(-5-((((-5*(-5/((-5/(((-5*(62.2--5))-(-5+((-5*62.2)*(((-5--5)+(62.2--5))+62.2))))-(-5+-5)))*-5)))/-5)--5)+(-5*(((62.2*(62.2-(-5/-5)))*(62.2-(62.2/(-5*62.2))))-(-5/-5)))))</f>
        <v>1195641.16</v>
      </c>
      <c r="C16221" t="n" s="0">
        <v>1195641.1600000004</v>
      </c>
    </row>
    <row r="16222">
      <c r="A16222" t="n" s="0">
        <v>62.21</v>
      </c>
      <c r="B16222" t="n" s="0">
        <f>(-5-((((-5*(-5/((-5/(((-5*(62.21--5))-(-5+((-5*62.21)*(((-5--5)+(62.21--5))+62.21))))-(-5+-5)))*-5)))/-5)--5)+(-5*(((62.21*(62.21-(-5/-5)))*(62.21-(62.21/(-5*62.21))))-(-5/-5)))))</f>
        <v>1196219.1211050001</v>
      </c>
      <c r="C16222" t="n" s="0">
        <v>1196219.1211050001</v>
      </c>
    </row>
    <row r="16223">
      <c r="A16223" t="n" s="0">
        <v>62.22</v>
      </c>
      <c r="B16223" t="n" s="0">
        <f>(-5-((((-5*(-5/((-5/(((-5*(62.22--5))-(-5+((-5*62.22)*(((-5--5)+(62.22--5))+62.22))))-(-5+-5)))*-5)))/-5)--5)+(-5*(((62.22*(62.22-(-5/-5)))*(62.22-(62.22/(-5*62.22))))-(-5/-5)))))</f>
        <v>1196797.2684399998</v>
      </c>
      <c r="C16223" t="n" s="0">
        <v>1196797.2684399998</v>
      </c>
    </row>
    <row r="16224">
      <c r="A16224" t="n" s="0">
        <v>62.23</v>
      </c>
      <c r="B16224" t="n" s="0">
        <f>(-5-((((-5*(-5/((-5/(((-5*(62.23--5))-(-5+((-5*62.23)*(((-5--5)+(62.23--5))+62.23))))-(-5+-5)))*-5)))/-5)--5)+(-5*(((62.23*(62.23-(-5/-5)))*(62.23-(62.23/(-5*62.23))))-(-5/-5)))))</f>
        <v>1197375.602035</v>
      </c>
      <c r="C16224" t="n" s="0">
        <v>1197375.6020349998</v>
      </c>
    </row>
    <row r="16225">
      <c r="A16225" t="n" s="0">
        <v>62.24</v>
      </c>
      <c r="B16225" t="n" s="0">
        <f>(-5-((((-5*(-5/((-5/(((-5*(62.24--5))-(-5+((-5*62.24)*(((-5--5)+(62.24--5))+62.24))))-(-5+-5)))*-5)))/-5)--5)+(-5*(((62.24*(62.24-(-5/-5)))*(62.24-(62.24/(-5*62.24))))-(-5/-5)))))</f>
        <v>1197954.12192</v>
      </c>
      <c r="C16225" t="n" s="0">
        <v>1197954.1219200003</v>
      </c>
    </row>
    <row r="16226">
      <c r="A16226" t="n" s="0">
        <v>62.25</v>
      </c>
      <c r="B16226" t="n" s="0">
        <f>(-5-((((-5*(-5/((-5/(((-5*(62.25--5))-(-5+((-5*62.25)*(((-5--5)+(62.25--5))+62.25))))-(-5+-5)))*-5)))/-5)--5)+(-5*(((62.25*(62.25-(-5/-5)))*(62.25-(62.25/(-5*62.25))))-(-5/-5)))))</f>
        <v>1198532.828125</v>
      </c>
      <c r="C16226" t="n" s="0">
        <v>1198532.828125</v>
      </c>
    </row>
    <row r="16227">
      <c r="A16227" t="n" s="0">
        <v>62.26</v>
      </c>
      <c r="B16227" t="n" s="0">
        <f>(-5-((((-5*(-5/((-5/(((-5*(62.26--5))-(-5+((-5*62.26)*(((-5--5)+(62.26--5))+62.26))))-(-5+-5)))*-5)))/-5)--5)+(-5*(((62.26*(62.26-(-5/-5)))*(62.26-(62.26/(-5*62.26))))-(-5/-5)))))</f>
        <v>1199111.72068</v>
      </c>
      <c r="C16227" t="n" s="0">
        <v>1199111.72068</v>
      </c>
    </row>
    <row r="16228">
      <c r="A16228" t="n" s="0">
        <v>62.27</v>
      </c>
      <c r="B16228" t="n" s="0">
        <f>(-5-((((-5*(-5/((-5/(((-5*(62.27--5))-(-5+((-5*62.27)*(((-5--5)+(62.27--5))+62.27))))-(-5+-5)))*-5)))/-5)--5)+(-5*(((62.27*(62.27-(-5/-5)))*(62.27-(62.27/(-5*62.27))))-(-5/-5)))))</f>
        <v>1199690.7996150001</v>
      </c>
      <c r="C16228" t="n" s="0">
        <v>1199690.7996150001</v>
      </c>
    </row>
    <row r="16229">
      <c r="A16229" t="n" s="0">
        <v>62.28</v>
      </c>
      <c r="B16229" t="n" s="0">
        <f>(-5-((((-5*(-5/((-5/(((-5*(62.28--5))-(-5+((-5*62.28)*(((-5--5)+(62.28--5))+62.28))))-(-5+-5)))*-5)))/-5)--5)+(-5*(((62.28*(62.28-(-5/-5)))*(62.28-(62.28/(-5*62.28))))-(-5/-5)))))</f>
        <v>1200270.06496</v>
      </c>
      <c r="C16229" t="n" s="0">
        <v>1200270.0649600003</v>
      </c>
    </row>
    <row r="16230">
      <c r="A16230" t="n" s="0">
        <v>62.29</v>
      </c>
      <c r="B16230" t="n" s="0">
        <f>(-5-((((-5*(-5/((-5/(((-5*(62.29--5))-(-5+((-5*62.29)*(((-5--5)+(62.29--5))+62.29))))-(-5+-5)))*-5)))/-5)--5)+(-5*(((62.29*(62.29-(-5/-5)))*(62.29-(62.29/(-5*62.29))))-(-5/-5)))))</f>
        <v>1200849.5167450001</v>
      </c>
      <c r="C16230" t="n" s="0">
        <v>1200849.516745</v>
      </c>
    </row>
    <row r="16231">
      <c r="A16231" t="n" s="0">
        <v>62.3</v>
      </c>
      <c r="B16231" t="n" s="0">
        <f>(-5-((((-5*(-5/((-5/(((-5*(62.3--5))-(-5+((-5*62.3)*(((-5--5)+(62.3--5))+62.3))))-(-5+-5)))*-5)))/-5)--5)+(-5*(((62.3*(62.3-(-5/-5)))*(62.3-(62.3/(-5*62.3))))-(-5/-5)))))</f>
        <v>1201429.155</v>
      </c>
      <c r="C16231" t="n" s="0">
        <v>1201429.1549999998</v>
      </c>
    </row>
    <row r="16232">
      <c r="A16232" t="n" s="0">
        <v>62.31</v>
      </c>
      <c r="B16232" t="n" s="0">
        <f>(-5-((((-5*(-5/((-5/(((-5*(62.31--5))-(-5+((-5*62.31)*(((-5--5)+(62.31--5))+62.31))))-(-5+-5)))*-5)))/-5)--5)+(-5*(((62.31*(62.31-(-5/-5)))*(62.31-(62.31/(-5*62.31))))-(-5/-5)))))</f>
        <v>1202008.979755</v>
      </c>
      <c r="C16232" t="n" s="0">
        <v>1202008.979755</v>
      </c>
    </row>
    <row r="16233">
      <c r="A16233" t="n" s="0">
        <v>62.32</v>
      </c>
      <c r="B16233" t="n" s="0">
        <f>(-5-((((-5*(-5/((-5/(((-5*(62.32--5))-(-5+((-5*62.32)*(((-5--5)+(62.32--5))+62.32))))-(-5+-5)))*-5)))/-5)--5)+(-5*(((62.32*(62.32-(-5/-5)))*(62.32-(62.32/(-5*62.32))))-(-5/-5)))))</f>
        <v>1202588.99104</v>
      </c>
      <c r="C16233" t="n" s="0">
        <v>1202588.99104</v>
      </c>
    </row>
    <row r="16234">
      <c r="A16234" t="n" s="0">
        <v>62.33</v>
      </c>
      <c r="B16234" t="n" s="0">
        <f>(-5-((((-5*(-5/((-5/(((-5*(62.33--5))-(-5+((-5*62.33)*(((-5--5)+(62.33--5))+62.33))))-(-5+-5)))*-5)))/-5)--5)+(-5*(((62.33*(62.33-(-5/-5)))*(62.33-(62.33/(-5*62.33))))-(-5/-5)))))</f>
        <v>1203169.188885</v>
      </c>
      <c r="C16234" t="n" s="0">
        <v>1203169.1888849998</v>
      </c>
    </row>
    <row r="16235">
      <c r="A16235" t="n" s="0">
        <v>62.34</v>
      </c>
      <c r="B16235" t="n" s="0">
        <f>(-5-((((-5*(-5/((-5/(((-5*(62.34--5))-(-5+((-5*62.34)*(((-5--5)+(62.34--5))+62.34))))-(-5+-5)))*-5)))/-5)--5)+(-5*(((62.34*(62.34-(-5/-5)))*(62.34-(62.34/(-5*62.34))))-(-5/-5)))))</f>
        <v>1203749.57332</v>
      </c>
      <c r="C16235" t="n" s="0">
        <v>1203749.57332</v>
      </c>
    </row>
    <row r="16236">
      <c r="A16236" t="n" s="0">
        <v>62.35</v>
      </c>
      <c r="B16236" t="n" s="0">
        <f>(-5-((((-5*(-5/((-5/(((-5*(62.35--5))-(-5+((-5*62.35)*(((-5--5)+(62.35--5))+62.35))))-(-5+-5)))*-5)))/-5)--5)+(-5*(((62.35*(62.35-(-5/-5)))*(62.35-(62.35/(-5*62.35))))-(-5/-5)))))</f>
        <v>1204330.1443750001</v>
      </c>
      <c r="C16236" t="n" s="0">
        <v>1204330.1443750004</v>
      </c>
    </row>
    <row r="16237">
      <c r="A16237" t="n" s="0">
        <v>62.36</v>
      </c>
      <c r="B16237" t="n" s="0">
        <f>(-5-((((-5*(-5/((-5/(((-5*(62.36--5))-(-5+((-5*62.36)*(((-5--5)+(62.36--5))+62.36))))-(-5+-5)))*-5)))/-5)--5)+(-5*(((62.36*(62.36-(-5/-5)))*(62.36-(62.36/(-5*62.36))))-(-5/-5)))))</f>
        <v>1204910.90208</v>
      </c>
      <c r="C16237" t="n" s="0">
        <v>1204910.90208</v>
      </c>
    </row>
    <row r="16238">
      <c r="A16238" t="n" s="0">
        <v>62.37</v>
      </c>
      <c r="B16238" t="n" s="0">
        <f>(-5-((((-5*(-5/((-5/(((-5*(62.37--5))-(-5+((-5*62.37)*(((-5--5)+(62.37--5))+62.37))))-(-5+-5)))*-5)))/-5)--5)+(-5*(((62.37*(62.37-(-5/-5)))*(62.37-(62.37/(-5*62.37))))-(-5/-5)))))</f>
        <v>1205491.8464650002</v>
      </c>
      <c r="C16238" t="n" s="0">
        <v>1205491.8464649997</v>
      </c>
    </row>
    <row r="16239">
      <c r="A16239" t="n" s="0">
        <v>62.38</v>
      </c>
      <c r="B16239" t="n" s="0">
        <f>(-5-((((-5*(-5/((-5/(((-5*(62.38--5))-(-5+((-5*62.38)*(((-5--5)+(62.38--5))+62.38))))-(-5+-5)))*-5)))/-5)--5)+(-5*(((62.38*(62.38-(-5/-5)))*(62.38-(62.38/(-5*62.38))))-(-5/-5)))))</f>
        <v>1206072.97756</v>
      </c>
      <c r="C16239" t="n" s="0">
        <v>1206072.97756</v>
      </c>
    </row>
    <row r="16240">
      <c r="A16240" t="n" s="0">
        <v>62.39</v>
      </c>
      <c r="B16240" t="n" s="0">
        <f>(-5-((((-5*(-5/((-5/(((-5*(62.39--5))-(-5+((-5*62.39)*(((-5--5)+(62.39--5))+62.39))))-(-5+-5)))*-5)))/-5)--5)+(-5*(((62.39*(62.39-(-5/-5)))*(62.39-(62.39/(-5*62.39))))-(-5/-5)))))</f>
        <v>1206654.295395</v>
      </c>
      <c r="C16240" t="n" s="0">
        <v>1206654.295395</v>
      </c>
    </row>
    <row r="16241">
      <c r="A16241" t="n" s="0">
        <v>62.4</v>
      </c>
      <c r="B16241" t="n" s="0">
        <f>(-5-((((-5*(-5/((-5/(((-5*(62.4--5))-(-5+((-5*62.4)*(((-5--5)+(62.4--5))+62.4))))-(-5+-5)))*-5)))/-5)--5)+(-5*(((62.4*(62.4-(-5/-5)))*(62.4-(62.4/(-5*62.4))))-(-5/-5)))))</f>
        <v>1207235.8</v>
      </c>
      <c r="C16241" t="n" s="0">
        <v>1207235.7999999998</v>
      </c>
    </row>
    <row r="16242">
      <c r="A16242" t="n" s="0">
        <v>62.41</v>
      </c>
      <c r="B16242" t="n" s="0">
        <f>(-5-((((-5*(-5/((-5/(((-5*(62.41--5))-(-5+((-5*62.41)*(((-5--5)+(62.41--5))+62.41))))-(-5+-5)))*-5)))/-5)--5)+(-5*(((62.41*(62.41-(-5/-5)))*(62.41-(62.41/(-5*62.41))))-(-5/-5)))))</f>
        <v>1207817.491405</v>
      </c>
      <c r="C16242" t="n" s="0">
        <v>1207817.491405</v>
      </c>
    </row>
    <row r="16243">
      <c r="A16243" t="n" s="0">
        <v>62.42</v>
      </c>
      <c r="B16243" t="n" s="0">
        <f>(-5-((((-5*(-5/((-5/(((-5*(62.42--5))-(-5+((-5*62.42)*(((-5--5)+(62.42--5))+62.42))))-(-5+-5)))*-5)))/-5)--5)+(-5*(((62.42*(62.42-(-5/-5)))*(62.42-(62.42/(-5*62.42))))-(-5/-5)))))</f>
        <v>1208399.3696400002</v>
      </c>
      <c r="C16243" t="n" s="0">
        <v>1208399.3696400002</v>
      </c>
    </row>
    <row r="16244">
      <c r="A16244" t="n" s="0">
        <v>62.43</v>
      </c>
      <c r="B16244" t="n" s="0">
        <f>(-5-((((-5*(-5/((-5/(((-5*(62.43--5))-(-5+((-5*62.43)*(((-5--5)+(62.43--5))+62.43))))-(-5+-5)))*-5)))/-5)--5)+(-5*(((62.43*(62.43-(-5/-5)))*(62.43-(62.43/(-5*62.43))))-(-5/-5)))))</f>
        <v>1208981.4347350001</v>
      </c>
      <c r="C16244" t="n" s="0">
        <v>1208981.4347350001</v>
      </c>
    </row>
    <row r="16245">
      <c r="A16245" t="n" s="0">
        <v>62.44</v>
      </c>
      <c r="B16245" t="n" s="0">
        <f>(-5-((((-5*(-5/((-5/(((-5*(62.44--5))-(-5+((-5*62.44)*(((-5--5)+(62.44--5))+62.44))))-(-5+-5)))*-5)))/-5)--5)+(-5*(((62.44*(62.44-(-5/-5)))*(62.44-(62.44/(-5*62.44))))-(-5/-5)))))</f>
        <v>1209563.6867199999</v>
      </c>
      <c r="C16245" t="n" s="0">
        <v>1209563.6867199999</v>
      </c>
    </row>
    <row r="16246">
      <c r="A16246" t="n" s="0">
        <v>62.45</v>
      </c>
      <c r="B16246" t="n" s="0">
        <f>(-5-((((-5*(-5/((-5/(((-5*(62.45--5))-(-5+((-5*62.45)*(((-5--5)+(62.45--5))+62.45))))-(-5+-5)))*-5)))/-5)--5)+(-5*(((62.45*(62.45-(-5/-5)))*(62.45-(62.45/(-5*62.45))))-(-5/-5)))))</f>
        <v>1210146.1256249999</v>
      </c>
      <c r="C16246" t="n" s="0">
        <v>1210146.1256250003</v>
      </c>
    </row>
    <row r="16247">
      <c r="A16247" t="n" s="0">
        <v>62.46</v>
      </c>
      <c r="B16247" t="n" s="0">
        <f>(-5-((((-5*(-5/((-5/(((-5*(62.46--5))-(-5+((-5*62.46)*(((-5--5)+(62.46--5))+62.46))))-(-5+-5)))*-5)))/-5)--5)+(-5*(((62.46*(62.46-(-5/-5)))*(62.46-(62.46/(-5*62.46))))-(-5/-5)))))</f>
        <v>1210728.75148</v>
      </c>
      <c r="C16247" t="n" s="0">
        <v>1210728.7514799999</v>
      </c>
    </row>
    <row r="16248">
      <c r="A16248" t="n" s="0">
        <v>62.47</v>
      </c>
      <c r="B16248" t="n" s="0">
        <f>(-5-((((-5*(-5/((-5/(((-5*(62.47--5))-(-5+((-5*62.47)*(((-5--5)+(62.47--5))+62.47))))-(-5+-5)))*-5)))/-5)--5)+(-5*(((62.47*(62.47-(-5/-5)))*(62.47-(62.47/(-5*62.47))))-(-5/-5)))))</f>
        <v>1211311.564315</v>
      </c>
      <c r="C16248" t="n" s="0">
        <v>1211311.5643149999</v>
      </c>
    </row>
    <row r="16249">
      <c r="A16249" t="n" s="0">
        <v>62.48</v>
      </c>
      <c r="B16249" t="n" s="0">
        <f>(-5-((((-5*(-5/((-5/(((-5*(62.48--5))-(-5+((-5*62.48)*(((-5--5)+(62.48--5))+62.48))))-(-5+-5)))*-5)))/-5)--5)+(-5*(((62.48*(62.48-(-5/-5)))*(62.48-(62.48/(-5*62.48))))-(-5/-5)))))</f>
        <v>1211894.56416</v>
      </c>
      <c r="C16249" t="n" s="0">
        <v>1211894.5641599996</v>
      </c>
    </row>
    <row r="16250">
      <c r="A16250" t="n" s="0">
        <v>62.49</v>
      </c>
      <c r="B16250" t="n" s="0">
        <f>(-5-((((-5*(-5/((-5/(((-5*(62.49--5))-(-5+((-5*62.49)*(((-5--5)+(62.49--5))+62.49))))-(-5+-5)))*-5)))/-5)--5)+(-5*(((62.49*(62.49-(-5/-5)))*(62.49-(62.49/(-5*62.49))))-(-5/-5)))))</f>
        <v>1212477.751045</v>
      </c>
      <c r="C16250" t="n" s="0">
        <v>1212477.751045</v>
      </c>
    </row>
    <row r="16251">
      <c r="A16251" t="n" s="0">
        <v>62.5</v>
      </c>
      <c r="B16251" t="n" s="0">
        <f>(-5-((((-5*(-5/((-5/(((-5*(62.5--5))-(-5+((-5*62.5)*(((-5--5)+(62.5--5))+62.5))))-(-5+-5)))*-5)))/-5)--5)+(-5*(((62.5*(62.5-(-5/-5)))*(62.5-(62.5/(-5*62.5))))-(-5/-5)))))</f>
        <v>1213061.125</v>
      </c>
      <c r="C16251" t="n" s="0">
        <v>1213061.125</v>
      </c>
    </row>
    <row r="16252">
      <c r="A16252" t="n" s="0">
        <v>62.51</v>
      </c>
      <c r="B16252" t="n" s="0">
        <f>(-5-((((-5*(-5/((-5/(((-5*(62.51--5))-(-5+((-5*62.51)*(((-5--5)+(62.51--5))+62.51))))-(-5+-5)))*-5)))/-5)--5)+(-5*(((62.51*(62.51-(-5/-5)))*(62.51-(62.51/(-5*62.51))))-(-5/-5)))))</f>
        <v>1213644.686055</v>
      </c>
      <c r="C16252" t="n" s="0">
        <v>1213644.686055</v>
      </c>
    </row>
    <row r="16253">
      <c r="A16253" t="n" s="0">
        <v>62.52</v>
      </c>
      <c r="B16253" t="n" s="0">
        <f>(-5-((((-5*(-5/((-5/(((-5*(62.52--5))-(-5+((-5*62.52)*(((-5--5)+(62.52--5))+62.52))))-(-5+-5)))*-5)))/-5)--5)+(-5*(((62.52*(62.52-(-5/-5)))*(62.52-(62.52/(-5*62.52))))-(-5/-5)))))</f>
        <v>1214228.43424</v>
      </c>
      <c r="C16253" t="n" s="0">
        <v>1214228.4342400003</v>
      </c>
    </row>
    <row r="16254">
      <c r="A16254" t="n" s="0">
        <v>62.53</v>
      </c>
      <c r="B16254" t="n" s="0">
        <f>(-5-((((-5*(-5/((-5/(((-5*(62.53--5))-(-5+((-5*62.53)*(((-5--5)+(62.53--5))+62.53))))-(-5+-5)))*-5)))/-5)--5)+(-5*(((62.53*(62.53-(-5/-5)))*(62.53-(62.53/(-5*62.53))))-(-5/-5)))))</f>
        <v>1214812.369585</v>
      </c>
      <c r="C16254" t="n" s="0">
        <v>1214812.3695850002</v>
      </c>
    </row>
    <row r="16255">
      <c r="A16255" t="n" s="0">
        <v>62.54</v>
      </c>
      <c r="B16255" t="n" s="0">
        <f>(-5-((((-5*(-5/((-5/(((-5*(62.54--5))-(-5+((-5*62.54)*(((-5--5)+(62.54--5))+62.54))))-(-5+-5)))*-5)))/-5)--5)+(-5*(((62.54*(62.54-(-5/-5)))*(62.54-(62.54/(-5*62.54))))-(-5/-5)))))</f>
        <v>1215396.49212</v>
      </c>
      <c r="C16255" t="n" s="0">
        <v>1215396.49212</v>
      </c>
    </row>
    <row r="16256">
      <c r="A16256" t="n" s="0">
        <v>62.55</v>
      </c>
      <c r="B16256" t="n" s="0">
        <f>(-5-((((-5*(-5/((-5/(((-5*(62.55--5))-(-5+((-5*62.55)*(((-5--5)+(62.55--5))+62.55))))-(-5+-5)))*-5)))/-5)--5)+(-5*(((62.55*(62.55-(-5/-5)))*(62.55-(62.55/(-5*62.55))))-(-5/-5)))))</f>
        <v>1215980.8018750001</v>
      </c>
      <c r="C16256" t="n" s="0">
        <v>1215980.801875</v>
      </c>
    </row>
    <row r="16257">
      <c r="A16257" t="n" s="0">
        <v>62.56</v>
      </c>
      <c r="B16257" t="n" s="0">
        <f>(-5-((((-5*(-5/((-5/(((-5*(62.56--5))-(-5+((-5*62.56)*(((-5--5)+(62.56--5))+62.56))))-(-5+-5)))*-5)))/-5)--5)+(-5*(((62.56*(62.56-(-5/-5)))*(62.56-(62.56/(-5*62.56))))-(-5/-5)))))</f>
        <v>1216565.29888</v>
      </c>
      <c r="C16257" t="n" s="0">
        <v>1216565.29888</v>
      </c>
    </row>
    <row r="16258">
      <c r="A16258" t="n" s="0">
        <v>62.57</v>
      </c>
      <c r="B16258" t="n" s="0">
        <f>(-5-((((-5*(-5/((-5/(((-5*(62.57--5))-(-5+((-5*62.57)*(((-5--5)+(62.57--5))+62.57))))-(-5+-5)))*-5)))/-5)--5)+(-5*(((62.57*(62.57-(-5/-5)))*(62.57-(62.57/(-5*62.57))))-(-5/-5)))))</f>
        <v>1217149.9831649999</v>
      </c>
      <c r="C16258" t="n" s="0">
        <v>1217149.983165</v>
      </c>
    </row>
    <row r="16259">
      <c r="A16259" t="n" s="0">
        <v>62.58</v>
      </c>
      <c r="B16259" t="n" s="0">
        <f>(-5-((((-5*(-5/((-5/(((-5*(62.58--5))-(-5+((-5*62.58)*(((-5--5)+(62.58--5))+62.58))))-(-5+-5)))*-5)))/-5)--5)+(-5*(((62.58*(62.58-(-5/-5)))*(62.58-(62.58/(-5*62.58))))-(-5/-5)))))</f>
        <v>1217734.85476</v>
      </c>
      <c r="C16259" t="n" s="0">
        <v>1217734.85476</v>
      </c>
    </row>
    <row r="16260">
      <c r="A16260" t="n" s="0">
        <v>62.59</v>
      </c>
      <c r="B16260" t="n" s="0">
        <f>(-5-((((-5*(-5/((-5/(((-5*(62.59--5))-(-5+((-5*62.59)*(((-5--5)+(62.59--5))+62.59))))-(-5+-5)))*-5)))/-5)--5)+(-5*(((62.59*(62.59-(-5/-5)))*(62.59-(62.59/(-5*62.59))))-(-5/-5)))))</f>
        <v>1218319.913695</v>
      </c>
      <c r="C16260" t="n" s="0">
        <v>1218319.9136950003</v>
      </c>
    </row>
    <row r="16261">
      <c r="A16261" t="n" s="0">
        <v>62.6</v>
      </c>
      <c r="B16261" t="n" s="0">
        <f>(-5-((((-5*(-5/((-5/(((-5*(62.6--5))-(-5+((-5*62.6)*(((-5--5)+(62.6--5))+62.6))))-(-5+-5)))*-5)))/-5)--5)+(-5*(((62.6*(62.6-(-5/-5)))*(62.6-(62.6/(-5*62.6))))-(-5/-5)))))</f>
        <v>1218905.16</v>
      </c>
      <c r="C16261" t="n" s="0">
        <v>1218905.1600000001</v>
      </c>
    </row>
    <row r="16262">
      <c r="A16262" t="n" s="0">
        <v>62.61</v>
      </c>
      <c r="B16262" t="n" s="0">
        <f>(-5-((((-5*(-5/((-5/(((-5*(62.61--5))-(-5+((-5*62.61)*(((-5--5)+(62.61--5))+62.61))))-(-5+-5)))*-5)))/-5)--5)+(-5*(((62.61*(62.61-(-5/-5)))*(62.61-(62.61/(-5*62.61))))-(-5/-5)))))</f>
        <v>1219490.5937050001</v>
      </c>
      <c r="C16262" t="n" s="0">
        <v>1219490.593705</v>
      </c>
    </row>
    <row r="16263">
      <c r="A16263" t="n" s="0">
        <v>62.62</v>
      </c>
      <c r="B16263" t="n" s="0">
        <f>(-5-((((-5*(-5/((-5/(((-5*(62.62--5))-(-5+((-5*62.62)*(((-5--5)+(62.62--5))+62.62))))-(-5+-5)))*-5)))/-5)--5)+(-5*(((62.62*(62.62-(-5/-5)))*(62.62-(62.62/(-5*62.62))))-(-5/-5)))))</f>
        <v>1220076.21484</v>
      </c>
      <c r="C16263" t="n" s="0">
        <v>1220076.2148399998</v>
      </c>
    </row>
    <row r="16264">
      <c r="A16264" t="n" s="0">
        <v>62.63</v>
      </c>
      <c r="B16264" t="n" s="0">
        <f>(-5-((((-5*(-5/((-5/(((-5*(62.63--5))-(-5+((-5*62.63)*(((-5--5)+(62.63--5))+62.63))))-(-5+-5)))*-5)))/-5)--5)+(-5*(((62.63*(62.63-(-5/-5)))*(62.63-(62.63/(-5*62.63))))-(-5/-5)))))</f>
        <v>1220662.0234349999</v>
      </c>
      <c r="C16264" t="n" s="0">
        <v>1220662.0234349999</v>
      </c>
    </row>
    <row r="16265">
      <c r="A16265" t="n" s="0">
        <v>62.64</v>
      </c>
      <c r="B16265" t="n" s="0">
        <f>(-5-((((-5*(-5/((-5/(((-5*(62.64--5))-(-5+((-5*62.64)*(((-5--5)+(62.64--5))+62.64))))-(-5+-5)))*-5)))/-5)--5)+(-5*(((62.64*(62.64-(-5/-5)))*(62.64-(62.64/(-5*62.64))))-(-5/-5)))))</f>
        <v>1221248.01952</v>
      </c>
      <c r="C16265" t="n" s="0">
        <v>1221248.01952</v>
      </c>
    </row>
    <row r="16266">
      <c r="A16266" t="n" s="0">
        <v>62.65</v>
      </c>
      <c r="B16266" t="n" s="0">
        <f>(-5-((((-5*(-5/((-5/(((-5*(62.65--5))-(-5+((-5*62.65)*(((-5--5)+(62.65--5))+62.65))))-(-5+-5)))*-5)))/-5)--5)+(-5*(((62.65*(62.65-(-5/-5)))*(62.65-(62.65/(-5*62.65))))-(-5/-5)))))</f>
        <v>1221834.203125</v>
      </c>
      <c r="C16266" t="n" s="0">
        <v>1221834.2031249998</v>
      </c>
    </row>
    <row r="16267">
      <c r="A16267" t="n" s="0">
        <v>62.66</v>
      </c>
      <c r="B16267" t="n" s="0">
        <f>(-5-((((-5*(-5/((-5/(((-5*(62.66--5))-(-5+((-5*62.66)*(((-5--5)+(62.66--5))+62.66))))-(-5+-5)))*-5)))/-5)--5)+(-5*(((62.66*(62.66-(-5/-5)))*(62.66-(62.66/(-5*62.66))))-(-5/-5)))))</f>
        <v>1222420.57428</v>
      </c>
      <c r="C16267" t="n" s="0">
        <v>1222420.5742799996</v>
      </c>
    </row>
    <row r="16268">
      <c r="A16268" t="n" s="0">
        <v>62.67</v>
      </c>
      <c r="B16268" t="n" s="0">
        <f>(-5-((((-5*(-5/((-5/(((-5*(62.67--5))-(-5+((-5*62.67)*(((-5--5)+(62.67--5))+62.67))))-(-5+-5)))*-5)))/-5)--5)+(-5*(((62.67*(62.67-(-5/-5)))*(62.67-(62.67/(-5*62.67))))-(-5/-5)))))</f>
        <v>1223007.133015</v>
      </c>
      <c r="C16268" t="n" s="0">
        <v>1223007.133015</v>
      </c>
    </row>
    <row r="16269">
      <c r="A16269" t="n" s="0">
        <v>62.68</v>
      </c>
      <c r="B16269" t="n" s="0">
        <f>(-5-((((-5*(-5/((-5/(((-5*(62.68--5))-(-5+((-5*62.68)*(((-5--5)+(62.68--5))+62.68))))-(-5+-5)))*-5)))/-5)--5)+(-5*(((62.68*(62.68-(-5/-5)))*(62.68-(62.68/(-5*62.68))))-(-5/-5)))))</f>
        <v>1223593.8793600001</v>
      </c>
      <c r="C16269" t="n" s="0">
        <v>1223593.87936</v>
      </c>
    </row>
    <row r="16270">
      <c r="A16270" t="n" s="0">
        <v>62.69</v>
      </c>
      <c r="B16270" t="n" s="0">
        <f>(-5-((((-5*(-5/((-5/(((-5*(62.69--5))-(-5+((-5*62.69)*(((-5--5)+(62.69--5))+62.69))))-(-5+-5)))*-5)))/-5)--5)+(-5*(((62.69*(62.69-(-5/-5)))*(62.69-(62.69/(-5*62.69))))-(-5/-5)))))</f>
        <v>1224180.8133450001</v>
      </c>
      <c r="C16270" t="n" s="0">
        <v>1224180.813345</v>
      </c>
    </row>
    <row r="16271">
      <c r="A16271" t="n" s="0">
        <v>62.7</v>
      </c>
      <c r="B16271" t="n" s="0">
        <f>(-5-((((-5*(-5/((-5/(((-5*(62.7--5))-(-5+((-5*62.7)*(((-5--5)+(62.7--5))+62.7))))-(-5+-5)))*-5)))/-5)--5)+(-5*(((62.7*(62.7-(-5/-5)))*(62.7-(62.7/(-5*62.7))))-(-5/-5)))))</f>
        <v>1224767.935</v>
      </c>
      <c r="C16271" t="n" s="0">
        <v>1224767.935</v>
      </c>
    </row>
    <row r="16272">
      <c r="A16272" t="n" s="0">
        <v>62.71</v>
      </c>
      <c r="B16272" t="n" s="0">
        <f>(-5-((((-5*(-5/((-5/(((-5*(62.71--5))-(-5+((-5*62.71)*(((-5--5)+(62.71--5))+62.71))))-(-5+-5)))*-5)))/-5)--5)+(-5*(((62.71*(62.71-(-5/-5)))*(62.71-(62.71/(-5*62.71))))-(-5/-5)))))</f>
        <v>1225355.2443549999</v>
      </c>
      <c r="C16272" t="n" s="0">
        <v>1225355.2443549999</v>
      </c>
    </row>
    <row r="16273">
      <c r="A16273" t="n" s="0">
        <v>62.72</v>
      </c>
      <c r="B16273" t="n" s="0">
        <f>(-5-((((-5*(-5/((-5/(((-5*(62.72--5))-(-5+((-5*62.72)*(((-5--5)+(62.72--5))+62.72))))-(-5+-5)))*-5)))/-5)--5)+(-5*(((62.72*(62.72-(-5/-5)))*(62.72-(62.72/(-5*62.72))))-(-5/-5)))))</f>
        <v>1225942.74144</v>
      </c>
      <c r="C16273" t="n" s="0">
        <v>1225942.7414399998</v>
      </c>
    </row>
    <row r="16274">
      <c r="A16274" t="n" s="0">
        <v>62.73</v>
      </c>
      <c r="B16274" t="n" s="0">
        <f>(-5-((((-5*(-5/((-5/(((-5*(62.73--5))-(-5+((-5*62.73)*(((-5--5)+(62.73--5))+62.73))))-(-5+-5)))*-5)))/-5)--5)+(-5*(((62.73*(62.73-(-5/-5)))*(62.73-(62.73/(-5*62.73))))-(-5/-5)))))</f>
        <v>1226530.426285</v>
      </c>
      <c r="C16274" t="n" s="0">
        <v>1226530.4262849998</v>
      </c>
    </row>
    <row r="16275">
      <c r="A16275" t="n" s="0">
        <v>62.74</v>
      </c>
      <c r="B16275" t="n" s="0">
        <f>(-5-((((-5*(-5/((-5/(((-5*(62.74--5))-(-5+((-5*62.74)*(((-5--5)+(62.74--5))+62.74))))-(-5+-5)))*-5)))/-5)--5)+(-5*(((62.74*(62.74-(-5/-5)))*(62.74-(62.74/(-5*62.74))))-(-5/-5)))))</f>
        <v>1227118.29892</v>
      </c>
      <c r="C16275" t="n" s="0">
        <v>1227118.2989200002</v>
      </c>
    </row>
    <row r="16276">
      <c r="A16276" t="n" s="0">
        <v>62.75</v>
      </c>
      <c r="B16276" t="n" s="0">
        <f>(-5-((((-5*(-5/((-5/(((-5*(62.75--5))-(-5+((-5*62.75)*(((-5--5)+(62.75--5))+62.75))))-(-5+-5)))*-5)))/-5)--5)+(-5*(((62.75*(62.75-(-5/-5)))*(62.75-(62.75/(-5*62.75))))-(-5/-5)))))</f>
        <v>1227706.359375</v>
      </c>
      <c r="C16276" t="n" s="0">
        <v>1227706.359375</v>
      </c>
    </row>
    <row r="16277">
      <c r="A16277" t="n" s="0">
        <v>62.76</v>
      </c>
      <c r="B16277" t="n" s="0">
        <f>(-5-((((-5*(-5/((-5/(((-5*(62.76--5))-(-5+((-5*62.76)*(((-5--5)+(62.76--5))+62.76))))-(-5+-5)))*-5)))/-5)--5)+(-5*(((62.76*(62.76-(-5/-5)))*(62.76-(62.76/(-5*62.76))))-(-5/-5)))))</f>
        <v>1228294.60768</v>
      </c>
      <c r="C16277" t="n" s="0">
        <v>1228294.60768</v>
      </c>
    </row>
    <row r="16278">
      <c r="A16278" t="n" s="0">
        <v>62.77</v>
      </c>
      <c r="B16278" t="n" s="0">
        <f>(-5-((((-5*(-5/((-5/(((-5*(62.77--5))-(-5+((-5*62.77)*(((-5--5)+(62.77--5))+62.77))))-(-5+-5)))*-5)))/-5)--5)+(-5*(((62.77*(62.77-(-5/-5)))*(62.77-(62.77/(-5*62.77))))-(-5/-5)))))</f>
        <v>1228883.043865</v>
      </c>
      <c r="C16278" t="n" s="0">
        <v>1228883.0438650001</v>
      </c>
    </row>
    <row r="16279">
      <c r="A16279" t="n" s="0">
        <v>62.78</v>
      </c>
      <c r="B16279" t="n" s="0">
        <f>(-5-((((-5*(-5/((-5/(((-5*(62.78--5))-(-5+((-5*62.78)*(((-5--5)+(62.78--5))+62.78))))-(-5+-5)))*-5)))/-5)--5)+(-5*(((62.78*(62.78-(-5/-5)))*(62.78-(62.78/(-5*62.78))))-(-5/-5)))))</f>
        <v>1229471.66796</v>
      </c>
      <c r="C16279" t="n" s="0">
        <v>1229471.6679600002</v>
      </c>
    </row>
    <row r="16280">
      <c r="A16280" t="n" s="0">
        <v>62.79</v>
      </c>
      <c r="B16280" t="n" s="0">
        <f>(-5-((((-5*(-5/((-5/(((-5*(62.79--5))-(-5+((-5*62.79)*(((-5--5)+(62.79--5))+62.79))))-(-5+-5)))*-5)))/-5)--5)+(-5*(((62.79*(62.79-(-5/-5)))*(62.79-(62.79/(-5*62.79))))-(-5/-5)))))</f>
        <v>1230060.4799950002</v>
      </c>
      <c r="C16280" t="n" s="0">
        <v>1230060.4799950002</v>
      </c>
    </row>
    <row r="16281">
      <c r="A16281" t="n" s="0">
        <v>62.8</v>
      </c>
      <c r="B16281" t="n" s="0">
        <f>(-5-((((-5*(-5/((-5/(((-5*(62.8--5))-(-5+((-5*62.8)*(((-5--5)+(62.8--5))+62.8))))-(-5+-5)))*-5)))/-5)--5)+(-5*(((62.8*(62.8-(-5/-5)))*(62.8-(62.8/(-5*62.8))))-(-5/-5)))))</f>
        <v>1230649.48</v>
      </c>
      <c r="C16281" t="n" s="0">
        <v>1230649.4799999997</v>
      </c>
    </row>
    <row r="16282">
      <c r="A16282" t="n" s="0">
        <v>62.81</v>
      </c>
      <c r="B16282" t="n" s="0">
        <f>(-5-((((-5*(-5/((-5/(((-5*(62.81--5))-(-5+((-5*62.81)*(((-5--5)+(62.81--5))+62.81))))-(-5+-5)))*-5)))/-5)--5)+(-5*(((62.81*(62.81-(-5/-5)))*(62.81-(62.81/(-5*62.81))))-(-5/-5)))))</f>
        <v>1231238.6680049999</v>
      </c>
      <c r="C16282" t="n" s="0">
        <v>1231238.668005</v>
      </c>
    </row>
    <row r="16283">
      <c r="A16283" t="n" s="0">
        <v>62.82</v>
      </c>
      <c r="B16283" t="n" s="0">
        <f>(-5-((((-5*(-5/((-5/(((-5*(62.82--5))-(-5+((-5*62.82)*(((-5--5)+(62.82--5))+62.82))))-(-5+-5)))*-5)))/-5)--5)+(-5*(((62.82*(62.82-(-5/-5)))*(62.82-(62.82/(-5*62.82))))-(-5/-5)))))</f>
        <v>1231828.04404</v>
      </c>
      <c r="C16283" t="n" s="0">
        <v>1231828.04404</v>
      </c>
    </row>
    <row r="16284">
      <c r="A16284" t="n" s="0">
        <v>62.83</v>
      </c>
      <c r="B16284" t="n" s="0">
        <f>(-5-((((-5*(-5/((-5/(((-5*(62.83--5))-(-5+((-5*62.83)*(((-5--5)+(62.83--5))+62.83))))-(-5+-5)))*-5)))/-5)--5)+(-5*(((62.83*(62.83-(-5/-5)))*(62.83-(62.83/(-5*62.83))))-(-5/-5)))))</f>
        <v>1232417.608135</v>
      </c>
      <c r="C16284" t="n" s="0">
        <v>1232417.6081349999</v>
      </c>
    </row>
    <row r="16285">
      <c r="A16285" t="n" s="0">
        <v>62.84</v>
      </c>
      <c r="B16285" t="n" s="0">
        <f>(-5-((((-5*(-5/((-5/(((-5*(62.84--5))-(-5+((-5*62.84)*(((-5--5)+(62.84--5))+62.84))))-(-5+-5)))*-5)))/-5)--5)+(-5*(((62.84*(62.84-(-5/-5)))*(62.84-(62.84/(-5*62.84))))-(-5/-5)))))</f>
        <v>1233007.36032</v>
      </c>
      <c r="C16285" t="n" s="0">
        <v>1233007.3603200002</v>
      </c>
    </row>
    <row r="16286">
      <c r="A16286" t="n" s="0">
        <v>62.85</v>
      </c>
      <c r="B16286" t="n" s="0">
        <f>(-5-((((-5*(-5/((-5/(((-5*(62.85--5))-(-5+((-5*62.85)*(((-5--5)+(62.85--5))+62.85))))-(-5+-5)))*-5)))/-5)--5)+(-5*(((62.85*(62.85-(-5/-5)))*(62.85-(62.85/(-5*62.85))))-(-5/-5)))))</f>
        <v>1233597.300625</v>
      </c>
      <c r="C16286" t="n" s="0">
        <v>1233597.300625</v>
      </c>
    </row>
    <row r="16287">
      <c r="A16287" t="n" s="0">
        <v>62.86</v>
      </c>
      <c r="B16287" t="n" s="0">
        <f>(-5-((((-5*(-5/((-5/(((-5*(62.86--5))-(-5+((-5*62.86)*(((-5--5)+(62.86--5))+62.86))))-(-5+-5)))*-5)))/-5)--5)+(-5*(((62.86*(62.86-(-5/-5)))*(62.86-(62.86/(-5*62.86))))-(-5/-5)))))</f>
        <v>1234187.4290800001</v>
      </c>
      <c r="C16287" t="n" s="0">
        <v>1234187.42908</v>
      </c>
    </row>
    <row r="16288">
      <c r="A16288" t="n" s="0">
        <v>62.87</v>
      </c>
      <c r="B16288" t="n" s="0">
        <f>(-5-((((-5*(-5/((-5/(((-5*(62.87--5))-(-5+((-5*62.87)*(((-5--5)+(62.87--5))+62.87))))-(-5+-5)))*-5)))/-5)--5)+(-5*(((62.87*(62.87-(-5/-5)))*(62.87-(62.87/(-5*62.87))))-(-5/-5)))))</f>
        <v>1234777.745715</v>
      </c>
      <c r="C16288" t="n" s="0">
        <v>1234777.745715</v>
      </c>
    </row>
    <row r="16289">
      <c r="A16289" t="n" s="0">
        <v>62.88</v>
      </c>
      <c r="B16289" t="n" s="0">
        <f>(-5-((((-5*(-5/((-5/(((-5*(62.88--5))-(-5+((-5*62.88)*(((-5--5)+(62.88--5))+62.88))))-(-5+-5)))*-5)))/-5)--5)+(-5*(((62.88*(62.88-(-5/-5)))*(62.88-(62.88/(-5*62.88))))-(-5/-5)))))</f>
        <v>1235368.25056</v>
      </c>
      <c r="C16289" t="n" s="0">
        <v>1235368.25056</v>
      </c>
    </row>
    <row r="16290">
      <c r="A16290" t="n" s="0">
        <v>62.89</v>
      </c>
      <c r="B16290" t="n" s="0">
        <f>(-5-((((-5*(-5/((-5/(((-5*(62.89--5))-(-5+((-5*62.89)*(((-5--5)+(62.89--5))+62.89))))-(-5+-5)))*-5)))/-5)--5)+(-5*(((62.89*(62.89-(-5/-5)))*(62.89-(62.89/(-5*62.89))))-(-5/-5)))))</f>
        <v>1235958.943645</v>
      </c>
      <c r="C16290" t="n" s="0">
        <v>1235958.943645</v>
      </c>
    </row>
    <row r="16291">
      <c r="A16291" t="n" s="0">
        <v>62.9</v>
      </c>
      <c r="B16291" t="n" s="0">
        <f>(-5-((((-5*(-5/((-5/(((-5*(62.9--5))-(-5+((-5*62.9)*(((-5--5)+(62.9--5))+62.9))))-(-5+-5)))*-5)))/-5)--5)+(-5*(((62.9*(62.9-(-5/-5)))*(62.9-(62.9/(-5*62.9))))-(-5/-5)))))</f>
        <v>1236549.825</v>
      </c>
      <c r="C16291" t="n" s="0">
        <v>1236549.8249999997</v>
      </c>
    </row>
    <row r="16292">
      <c r="A16292" t="n" s="0">
        <v>62.91</v>
      </c>
      <c r="B16292" t="n" s="0">
        <f>(-5-((((-5*(-5/((-5/(((-5*(62.91--5))-(-5+((-5*62.91)*(((-5--5)+(62.91--5))+62.91))))-(-5+-5)))*-5)))/-5)--5)+(-5*(((62.91*(62.91-(-5/-5)))*(62.91-(62.91/(-5*62.91))))-(-5/-5)))))</f>
        <v>1237140.894655</v>
      </c>
      <c r="C16292" t="n" s="0">
        <v>1237140.8946549997</v>
      </c>
    </row>
    <row r="16293">
      <c r="A16293" t="n" s="0">
        <v>62.92</v>
      </c>
      <c r="B16293" t="n" s="0">
        <f>(-5-((((-5*(-5/((-5/(((-5*(62.92--5))-(-5+((-5*62.92)*(((-5--5)+(62.92--5))+62.92))))-(-5+-5)))*-5)))/-5)--5)+(-5*(((62.92*(62.92-(-5/-5)))*(62.92-(62.92/(-5*62.92))))-(-5/-5)))))</f>
        <v>1237732.15264</v>
      </c>
      <c r="C16293" t="n" s="0">
        <v>1237732.1526400002</v>
      </c>
    </row>
    <row r="16294">
      <c r="A16294" t="n" s="0">
        <v>62.93</v>
      </c>
      <c r="B16294" t="n" s="0">
        <f>(-5-((((-5*(-5/((-5/(((-5*(62.93--5))-(-5+((-5*62.93)*(((-5--5)+(62.93--5))+62.93))))-(-5+-5)))*-5)))/-5)--5)+(-5*(((62.93*(62.93-(-5/-5)))*(62.93-(62.93/(-5*62.93))))-(-5/-5)))))</f>
        <v>1238323.598985</v>
      </c>
      <c r="C16294" t="n" s="0">
        <v>1238323.598985</v>
      </c>
    </row>
    <row r="16295">
      <c r="A16295" t="n" s="0">
        <v>62.94</v>
      </c>
      <c r="B16295" t="n" s="0">
        <f>(-5-((((-5*(-5/((-5/(((-5*(62.94--5))-(-5+((-5*62.94)*(((-5--5)+(62.94--5))+62.94))))-(-5+-5)))*-5)))/-5)--5)+(-5*(((62.94*(62.94-(-5/-5)))*(62.94-(62.94/(-5*62.94))))-(-5/-5)))))</f>
        <v>1238915.23372</v>
      </c>
      <c r="C16295" t="n" s="0">
        <v>1238915.23372</v>
      </c>
    </row>
    <row r="16296">
      <c r="A16296" t="n" s="0">
        <v>62.95</v>
      </c>
      <c r="B16296" t="n" s="0">
        <f>(-5-((((-5*(-5/((-5/(((-5*(62.95--5))-(-5+((-5*62.95)*(((-5--5)+(62.95--5))+62.95))))-(-5+-5)))*-5)))/-5)--5)+(-5*(((62.95*(62.95-(-5/-5)))*(62.95-(62.95/(-5*62.95))))-(-5/-5)))))</f>
        <v>1239507.056875</v>
      </c>
      <c r="C16296" t="n" s="0">
        <v>1239507.0568750002</v>
      </c>
    </row>
    <row r="16297">
      <c r="A16297" t="n" s="0">
        <v>62.96</v>
      </c>
      <c r="B16297" t="n" s="0">
        <f>(-5-((((-5*(-5/((-5/(((-5*(62.96--5))-(-5+((-5*62.96)*(((-5--5)+(62.96--5))+62.96))))-(-5+-5)))*-5)))/-5)--5)+(-5*(((62.96*(62.96-(-5/-5)))*(62.96-(62.96/(-5*62.96))))-(-5/-5)))))</f>
        <v>1240099.06848</v>
      </c>
      <c r="C16297" t="n" s="0">
        <v>1240099.06848</v>
      </c>
    </row>
    <row r="16298">
      <c r="A16298" t="n" s="0">
        <v>62.97</v>
      </c>
      <c r="B16298" t="n" s="0">
        <f>(-5-((((-5*(-5/((-5/(((-5*(62.97--5))-(-5+((-5*62.97)*(((-5--5)+(62.97--5))+62.97))))-(-5+-5)))*-5)))/-5)--5)+(-5*(((62.97*(62.97-(-5/-5)))*(62.97-(62.97/(-5*62.97))))-(-5/-5)))))</f>
        <v>1240691.268565</v>
      </c>
      <c r="C16298" t="n" s="0">
        <v>1240691.268565</v>
      </c>
    </row>
    <row r="16299">
      <c r="A16299" t="n" s="0">
        <v>62.98</v>
      </c>
      <c r="B16299" t="n" s="0">
        <f>(-5-((((-5*(-5/((-5/(((-5*(62.98--5))-(-5+((-5*62.98)*(((-5--5)+(62.98--5))+62.98))))-(-5+-5)))*-5)))/-5)--5)+(-5*(((62.98*(62.98-(-5/-5)))*(62.98-(62.98/(-5*62.98))))-(-5/-5)))))</f>
        <v>1241283.65716</v>
      </c>
      <c r="C16299" t="n" s="0">
        <v>1241283.6571599997</v>
      </c>
    </row>
    <row r="16300">
      <c r="A16300" t="n" s="0">
        <v>62.99</v>
      </c>
      <c r="B16300" t="n" s="0">
        <f>(-5-((((-5*(-5/((-5/(((-5*(62.99--5))-(-5+((-5*62.99)*(((-5--5)+(62.99--5))+62.99))))-(-5+-5)))*-5)))/-5)--5)+(-5*(((62.99*(62.99-(-5/-5)))*(62.99-(62.99/(-5*62.99))))-(-5/-5)))))</f>
        <v>1241876.234295</v>
      </c>
      <c r="C16300" t="n" s="0">
        <v>1241876.2342949999</v>
      </c>
    </row>
    <row r="16301">
      <c r="A16301" t="n" s="0">
        <v>63.0</v>
      </c>
      <c r="B16301" t="n" s="0">
        <f>(-5-((((-5*(-5/((-5/(((-5*(63--5))-(-5+((-5*63)*(((-5--5)+(63--5))+63))))-(-5+-5)))*-5)))/-5)--5)+(-5*(((63*(63-(-5/-5)))*(63-(63/(-5*63))))-(-5/-5)))))</f>
        <v>1242469.0</v>
      </c>
      <c r="C16301" t="n" s="0">
        <v>1242469.0</v>
      </c>
    </row>
    <row r="16302">
      <c r="A16302" t="n" s="0">
        <v>63.01</v>
      </c>
      <c r="B16302" t="n" s="0">
        <f>(-5-((((-5*(-5/((-5/(((-5*(63.01--5))-(-5+((-5*63.01)*(((-5--5)+(63.01--5))+63.01))))-(-5+-5)))*-5)))/-5)--5)+(-5*(((63.01*(63.01-(-5/-5)))*(63.01-(63.01/(-5*63.01))))-(-5/-5)))))</f>
        <v>1243061.954305</v>
      </c>
      <c r="C16302" t="n" s="0">
        <v>1243061.9543050001</v>
      </c>
    </row>
    <row r="16303">
      <c r="A16303" t="n" s="0">
        <v>63.02</v>
      </c>
      <c r="B16303" t="n" s="0">
        <f>(-5-((((-5*(-5/((-5/(((-5*(63.02--5))-(-5+((-5*63.02)*(((-5--5)+(63.02--5))+63.02))))-(-5+-5)))*-5)))/-5)--5)+(-5*(((63.02*(63.02-(-5/-5)))*(63.02-(63.02/(-5*63.02))))-(-5/-5)))))</f>
        <v>1243655.0972400003</v>
      </c>
      <c r="C16303" t="n" s="0">
        <v>1243655.09724</v>
      </c>
    </row>
    <row r="16304">
      <c r="A16304" t="n" s="0">
        <v>63.03</v>
      </c>
      <c r="B16304" t="n" s="0">
        <f>(-5-((((-5*(-5/((-5/(((-5*(63.03--5))-(-5+((-5*63.03)*(((-5--5)+(63.03--5))+63.03))))-(-5+-5)))*-5)))/-5)--5)+(-5*(((63.03*(63.03-(-5/-5)))*(63.03-(63.03/(-5*63.03))))-(-5/-5)))))</f>
        <v>1244248.428835</v>
      </c>
      <c r="C16304" t="n" s="0">
        <v>1244248.4288350001</v>
      </c>
    </row>
    <row r="16305">
      <c r="A16305" t="n" s="0">
        <v>63.04</v>
      </c>
      <c r="B16305" t="n" s="0">
        <f>(-5-((((-5*(-5/((-5/(((-5*(63.04--5))-(-5+((-5*63.04)*(((-5--5)+(63.04--5))+63.04))))-(-5+-5)))*-5)))/-5)--5)+(-5*(((63.04*(63.04-(-5/-5)))*(63.04-(63.04/(-5*63.04))))-(-5/-5)))))</f>
        <v>1244841.94912</v>
      </c>
      <c r="C16305" t="n" s="0">
        <v>1244841.94912</v>
      </c>
    </row>
    <row r="16306">
      <c r="A16306" t="n" s="0">
        <v>63.05</v>
      </c>
      <c r="B16306" t="n" s="0">
        <f>(-5-((((-5*(-5/((-5/(((-5*(63.05--5))-(-5+((-5*63.05)*(((-5--5)+(63.05--5))+63.05))))-(-5+-5)))*-5)))/-5)--5)+(-5*(((63.05*(63.05-(-5/-5)))*(63.05-(63.05/(-5*63.05))))-(-5/-5)))))</f>
        <v>1245435.6581249998</v>
      </c>
      <c r="C16306" t="n" s="0">
        <v>1245435.6581249998</v>
      </c>
    </row>
    <row r="16307">
      <c r="A16307" t="n" s="0">
        <v>63.06</v>
      </c>
      <c r="B16307" t="n" s="0">
        <f>(-5-((((-5*(-5/((-5/(((-5*(63.06--5))-(-5+((-5*63.06)*(((-5--5)+(63.06--5))+63.06))))-(-5+-5)))*-5)))/-5)--5)+(-5*(((63.06*(63.06-(-5/-5)))*(63.06-(63.06/(-5*63.06))))-(-5/-5)))))</f>
        <v>1246029.5558799999</v>
      </c>
      <c r="C16307" t="n" s="0">
        <v>1246029.55588</v>
      </c>
    </row>
    <row r="16308">
      <c r="A16308" t="n" s="0">
        <v>63.07</v>
      </c>
      <c r="B16308" t="n" s="0">
        <f>(-5-((((-5*(-5/((-5/(((-5*(63.07--5))-(-5+((-5*63.07)*(((-5--5)+(63.07--5))+63.07))))-(-5+-5)))*-5)))/-5)--5)+(-5*(((63.07*(63.07-(-5/-5)))*(63.07-(63.07/(-5*63.07))))-(-5/-5)))))</f>
        <v>1246623.6424150001</v>
      </c>
      <c r="C16308" t="n" s="0">
        <v>1246623.642415</v>
      </c>
    </row>
    <row r="16309">
      <c r="A16309" t="n" s="0">
        <v>63.08</v>
      </c>
      <c r="B16309" t="n" s="0">
        <f>(-5-((((-5*(-5/((-5/(((-5*(63.08--5))-(-5+((-5*63.08)*(((-5--5)+(63.08--5))+63.08))))-(-5+-5)))*-5)))/-5)--5)+(-5*(((63.08*(63.08-(-5/-5)))*(63.08-(63.08/(-5*63.08))))-(-5/-5)))))</f>
        <v>1247217.91776</v>
      </c>
      <c r="C16309" t="n" s="0">
        <v>1247217.9177599999</v>
      </c>
    </row>
    <row r="16310">
      <c r="A16310" t="n" s="0">
        <v>63.09</v>
      </c>
      <c r="B16310" t="n" s="0">
        <f>(-5-((((-5*(-5/((-5/(((-5*(63.09--5))-(-5+((-5*63.09)*(((-5--5)+(63.09--5))+63.09))))-(-5+-5)))*-5)))/-5)--5)+(-5*(((63.09*(63.09-(-5/-5)))*(63.09-(63.09/(-5*63.09))))-(-5/-5)))))</f>
        <v>1247812.381945</v>
      </c>
      <c r="C16310" t="n" s="0">
        <v>1247812.3819450003</v>
      </c>
    </row>
    <row r="16311">
      <c r="A16311" t="n" s="0">
        <v>63.1</v>
      </c>
      <c r="B16311" t="n" s="0">
        <f>(-5-((((-5*(-5/((-5/(((-5*(63.1--5))-(-5+((-5*63.1)*(((-5--5)+(63.1--5))+63.1))))-(-5+-5)))*-5)))/-5)--5)+(-5*(((63.1*(63.1-(-5/-5)))*(63.1-(63.1/(-5*63.1))))-(-5/-5)))))</f>
        <v>1248407.0350000001</v>
      </c>
      <c r="C16311" t="n" s="0">
        <v>1248407.0350000001</v>
      </c>
    </row>
    <row r="16312">
      <c r="A16312" t="n" s="0">
        <v>63.11</v>
      </c>
      <c r="B16312" t="n" s="0">
        <f>(-5-((((-5*(-5/((-5/(((-5*(63.11--5))-(-5+((-5*63.11)*(((-5--5)+(63.11--5))+63.11))))-(-5+-5)))*-5)))/-5)--5)+(-5*(((63.11*(63.11-(-5/-5)))*(63.11-(63.11/(-5*63.11))))-(-5/-5)))))</f>
        <v>1249001.876955</v>
      </c>
      <c r="C16312" t="n" s="0">
        <v>1249001.876955</v>
      </c>
    </row>
    <row r="16313">
      <c r="A16313" t="n" s="0">
        <v>63.12</v>
      </c>
      <c r="B16313" t="n" s="0">
        <f>(-5-((((-5*(-5/((-5/(((-5*(63.12--5))-(-5+((-5*63.12)*(((-5--5)+(63.12--5))+63.12))))-(-5+-5)))*-5)))/-5)--5)+(-5*(((63.12*(63.12-(-5/-5)))*(63.12-(63.12/(-5*63.12))))-(-5/-5)))))</f>
        <v>1249596.90784</v>
      </c>
      <c r="C16313" t="n" s="0">
        <v>1249596.90784</v>
      </c>
    </row>
    <row r="16314">
      <c r="A16314" t="n" s="0">
        <v>63.13</v>
      </c>
      <c r="B16314" t="n" s="0">
        <f>(-5-((((-5*(-5/((-5/(((-5*(63.13--5))-(-5+((-5*63.13)*(((-5--5)+(63.13--5))+63.13))))-(-5+-5)))*-5)))/-5)--5)+(-5*(((63.13*(63.13-(-5/-5)))*(63.13-(63.13/(-5*63.13))))-(-5/-5)))))</f>
        <v>1250192.127685</v>
      </c>
      <c r="C16314" t="n" s="0">
        <v>1250192.127685</v>
      </c>
    </row>
    <row r="16315">
      <c r="A16315" t="n" s="0">
        <v>63.14</v>
      </c>
      <c r="B16315" t="n" s="0">
        <f>(-5-((((-5*(-5/((-5/(((-5*(63.14--5))-(-5+((-5*63.14)*(((-5--5)+(63.14--5))+63.14))))-(-5+-5)))*-5)))/-5)--5)+(-5*(((63.14*(63.14-(-5/-5)))*(63.14-(63.14/(-5*63.14))))-(-5/-5)))))</f>
        <v>1250787.53652</v>
      </c>
      <c r="C16315" t="n" s="0">
        <v>1250787.5365199998</v>
      </c>
    </row>
    <row r="16316">
      <c r="A16316" t="n" s="0">
        <v>63.15</v>
      </c>
      <c r="B16316" t="n" s="0">
        <f>(-5-((((-5*(-5/((-5/(((-5*(63.15--5))-(-5+((-5*63.15)*(((-5--5)+(63.15--5))+63.15))))-(-5+-5)))*-5)))/-5)--5)+(-5*(((63.15*(63.15-(-5/-5)))*(63.15-(63.15/(-5*63.15))))-(-5/-5)))))</f>
        <v>1251383.1343750001</v>
      </c>
      <c r="C16316" t="n" s="0">
        <v>1251383.134375</v>
      </c>
    </row>
    <row r="16317">
      <c r="A16317" t="n" s="0">
        <v>63.16</v>
      </c>
      <c r="B16317" t="n" s="0">
        <f>(-5-((((-5*(-5/((-5/(((-5*(63.16--5))-(-5+((-5*63.16)*(((-5--5)+(63.16--5))+63.16))))-(-5+-5)))*-5)))/-5)--5)+(-5*(((63.16*(63.16-(-5/-5)))*(63.16-(63.16/(-5*63.16))))-(-5/-5)))))</f>
        <v>1251978.9212800001</v>
      </c>
      <c r="C16317" t="n" s="0">
        <v>1251978.92128</v>
      </c>
    </row>
    <row r="16318">
      <c r="A16318" t="n" s="0">
        <v>63.17</v>
      </c>
      <c r="B16318" t="n" s="0">
        <f>(-5-((((-5*(-5/((-5/(((-5*(63.17--5))-(-5+((-5*63.17)*(((-5--5)+(63.17--5))+63.17))))-(-5+-5)))*-5)))/-5)--5)+(-5*(((63.17*(63.17-(-5/-5)))*(63.17-(63.17/(-5*63.17))))-(-5/-5)))))</f>
        <v>1252574.897265</v>
      </c>
      <c r="C16318" t="n" s="0">
        <v>1252574.8972650003</v>
      </c>
    </row>
    <row r="16319">
      <c r="A16319" t="n" s="0">
        <v>63.18</v>
      </c>
      <c r="B16319" t="n" s="0">
        <f>(-5-((((-5*(-5/((-5/(((-5*(63.18--5))-(-5+((-5*63.18)*(((-5--5)+(63.18--5))+63.18))))-(-5+-5)))*-5)))/-5)--5)+(-5*(((63.18*(63.18-(-5/-5)))*(63.18-(63.18/(-5*63.18))))-(-5/-5)))))</f>
        <v>1253171.0623599999</v>
      </c>
      <c r="C16319" t="n" s="0">
        <v>1253171.06236</v>
      </c>
    </row>
    <row r="16320">
      <c r="A16320" t="n" s="0">
        <v>63.19</v>
      </c>
      <c r="B16320" t="n" s="0">
        <f>(-5-((((-5*(-5/((-5/(((-5*(63.19--5))-(-5+((-5*63.19)*(((-5--5)+(63.19--5))+63.19))))-(-5+-5)))*-5)))/-5)--5)+(-5*(((63.19*(63.19-(-5/-5)))*(63.19-(63.19/(-5*63.19))))-(-5/-5)))))</f>
        <v>1253767.4165949998</v>
      </c>
      <c r="C16320" t="n" s="0">
        <v>1253767.416595</v>
      </c>
    </row>
    <row r="16321">
      <c r="A16321" t="n" s="0">
        <v>63.2</v>
      </c>
      <c r="B16321" t="n" s="0">
        <f>(-5-((((-5*(-5/((-5/(((-5*(63.2--5))-(-5+((-5*63.2)*(((-5--5)+(63.2--5))+63.2))))-(-5+-5)))*-5)))/-5)--5)+(-5*(((63.2*(63.2-(-5/-5)))*(63.2-(63.2/(-5*63.2))))-(-5/-5)))))</f>
        <v>1254363.96</v>
      </c>
      <c r="C16321" t="n" s="0">
        <v>1254363.9600000002</v>
      </c>
    </row>
    <row r="16322">
      <c r="A16322" t="n" s="0">
        <v>63.21</v>
      </c>
      <c r="B16322" t="n" s="0">
        <f>(-5-((((-5*(-5/((-5/(((-5*(63.21--5))-(-5+((-5*63.21)*(((-5--5)+(63.21--5))+63.21))))-(-5+-5)))*-5)))/-5)--5)+(-5*(((63.21*(63.21-(-5/-5)))*(63.21-(63.21/(-5*63.21))))-(-5/-5)))))</f>
        <v>1254960.692605</v>
      </c>
      <c r="C16322" t="n" s="0">
        <v>1254960.692605</v>
      </c>
    </row>
    <row r="16323">
      <c r="A16323" t="n" s="0">
        <v>63.22</v>
      </c>
      <c r="B16323" t="n" s="0">
        <f>(-5-((((-5*(-5/((-5/(((-5*(63.22--5))-(-5+((-5*63.22)*(((-5--5)+(63.22--5))+63.22))))-(-5+-5)))*-5)))/-5)--5)+(-5*(((63.22*(63.22-(-5/-5)))*(63.22-(63.22/(-5*63.22))))-(-5/-5)))))</f>
        <v>1255557.61444</v>
      </c>
      <c r="C16323" t="n" s="0">
        <v>1255557.61444</v>
      </c>
    </row>
    <row r="16324">
      <c r="A16324" t="n" s="0">
        <v>63.23</v>
      </c>
      <c r="B16324" t="n" s="0">
        <f>(-5-((((-5*(-5/((-5/(((-5*(63.23--5))-(-5+((-5*63.23)*(((-5--5)+(63.23--5))+63.23))))-(-5+-5)))*-5)))/-5)--5)+(-5*(((63.23*(63.23-(-5/-5)))*(63.23-(63.23/(-5*63.23))))-(-5/-5)))))</f>
        <v>1256154.725535</v>
      </c>
      <c r="C16324" t="n" s="0">
        <v>1256154.7255349997</v>
      </c>
    </row>
    <row r="16325">
      <c r="A16325" t="n" s="0">
        <v>63.24</v>
      </c>
      <c r="B16325" t="n" s="0">
        <f>(-5-((((-5*(-5/((-5/(((-5*(63.24--5))-(-5+((-5*63.24)*(((-5--5)+(63.24--5))+63.24))))-(-5+-5)))*-5)))/-5)--5)+(-5*(((63.24*(63.24-(-5/-5)))*(63.24-(63.24/(-5*63.24))))-(-5/-5)))))</f>
        <v>1256752.0259200002</v>
      </c>
      <c r="C16325" t="n" s="0">
        <v>1256752.02592</v>
      </c>
    </row>
    <row r="16326">
      <c r="A16326" t="n" s="0">
        <v>63.25</v>
      </c>
      <c r="B16326" t="n" s="0">
        <f>(-5-((((-5*(-5/((-5/(((-5*(63.25--5))-(-5+((-5*63.25)*(((-5--5)+(63.25--5))+63.25))))-(-5+-5)))*-5)))/-5)--5)+(-5*(((63.25*(63.25-(-5/-5)))*(63.25-(63.25/(-5*63.25))))-(-5/-5)))))</f>
        <v>1257349.515625</v>
      </c>
      <c r="C16326" t="n" s="0">
        <v>1257349.515625</v>
      </c>
    </row>
    <row r="16327">
      <c r="A16327" t="n" s="0">
        <v>63.26</v>
      </c>
      <c r="B16327" t="n" s="0">
        <f>(-5-((((-5*(-5/((-5/(((-5*(63.26--5))-(-5+((-5*63.26)*(((-5--5)+(63.26--5))+63.26))))-(-5+-5)))*-5)))/-5)--5)+(-5*(((63.26*(63.26-(-5/-5)))*(63.26-(63.26/(-5*63.26))))-(-5/-5)))))</f>
        <v>1257947.19468</v>
      </c>
      <c r="C16327" t="n" s="0">
        <v>1257947.19468</v>
      </c>
    </row>
    <row r="16328">
      <c r="A16328" t="n" s="0">
        <v>63.27</v>
      </c>
      <c r="B16328" t="n" s="0">
        <f>(-5-((((-5*(-5/((-5/(((-5*(63.27--5))-(-5+((-5*63.27)*(((-5--5)+(63.27--5))+63.27))))-(-5+-5)))*-5)))/-5)--5)+(-5*(((63.27*(63.27-(-5/-5)))*(63.27-(63.27/(-5*63.27))))-(-5/-5)))))</f>
        <v>1258545.063115</v>
      </c>
      <c r="C16328" t="n" s="0">
        <v>1258545.063115</v>
      </c>
    </row>
    <row r="16329">
      <c r="A16329" t="n" s="0">
        <v>63.28</v>
      </c>
      <c r="B16329" t="n" s="0">
        <f>(-5-((((-5*(-5/((-5/(((-5*(63.28--5))-(-5+((-5*63.28)*(((-5--5)+(63.28--5))+63.28))))-(-5+-5)))*-5)))/-5)--5)+(-5*(((63.28*(63.28-(-5/-5)))*(63.28-(63.28/(-5*63.28))))-(-5/-5)))))</f>
        <v>1259143.12096</v>
      </c>
      <c r="C16329" t="n" s="0">
        <v>1259143.1209600002</v>
      </c>
    </row>
    <row r="16330">
      <c r="A16330" t="n" s="0">
        <v>63.29</v>
      </c>
      <c r="B16330" t="n" s="0">
        <f>(-5-((((-5*(-5/((-5/(((-5*(63.29--5))-(-5+((-5*63.29)*(((-5--5)+(63.29--5))+63.29))))-(-5+-5)))*-5)))/-5)--5)+(-5*(((63.29*(63.29-(-5/-5)))*(63.29-(63.29/(-5*63.29))))-(-5/-5)))))</f>
        <v>1259741.368245</v>
      </c>
      <c r="C16330" t="n" s="0">
        <v>1259741.368245</v>
      </c>
    </row>
    <row r="16331">
      <c r="A16331" t="n" s="0">
        <v>63.3</v>
      </c>
      <c r="B16331" t="n" s="0">
        <f>(-5-((((-5*(-5/((-5/(((-5*(63.3--5))-(-5+((-5*63.3)*(((-5--5)+(63.3--5))+63.3))))-(-5+-5)))*-5)))/-5)--5)+(-5*(((63.3*(63.3-(-5/-5)))*(63.3-(63.3/(-5*63.3))))-(-5/-5)))))</f>
        <v>1260339.805</v>
      </c>
      <c r="C16331" t="n" s="0">
        <v>1260339.8049999997</v>
      </c>
    </row>
    <row r="16332">
      <c r="A16332" t="n" s="0">
        <v>63.31</v>
      </c>
      <c r="B16332" t="n" s="0">
        <f>(-5-((((-5*(-5/((-5/(((-5*(63.31--5))-(-5+((-5*63.31)*(((-5--5)+(63.31--5))+63.31))))-(-5+-5)))*-5)))/-5)--5)+(-5*(((63.31*(63.31-(-5/-5)))*(63.31-(63.31/(-5*63.31))))-(-5/-5)))))</f>
        <v>1260938.431255</v>
      </c>
      <c r="C16332" t="n" s="0">
        <v>1260938.431255</v>
      </c>
    </row>
    <row r="16333">
      <c r="A16333" t="n" s="0">
        <v>63.32</v>
      </c>
      <c r="B16333" t="n" s="0">
        <f>(-5-((((-5*(-5/((-5/(((-5*(63.32--5))-(-5+((-5*63.32)*(((-5--5)+(63.32--5))+63.32))))-(-5+-5)))*-5)))/-5)--5)+(-5*(((63.32*(63.32-(-5/-5)))*(63.32-(63.32/(-5*63.32))))-(-5/-5)))))</f>
        <v>1261537.2470399998</v>
      </c>
      <c r="C16333" t="n" s="0">
        <v>1261537.2470399998</v>
      </c>
    </row>
    <row r="16334">
      <c r="A16334" t="n" s="0">
        <v>63.33</v>
      </c>
      <c r="B16334" t="n" s="0">
        <f>(-5-((((-5*(-5/((-5/(((-5*(63.33--5))-(-5+((-5*63.33)*(((-5--5)+(63.33--5))+63.33))))-(-5+-5)))*-5)))/-5)--5)+(-5*(((63.33*(63.33-(-5/-5)))*(63.33-(63.33/(-5*63.33))))-(-5/-5)))))</f>
        <v>1262136.252385</v>
      </c>
      <c r="C16334" t="n" s="0">
        <v>1262136.252385</v>
      </c>
    </row>
    <row r="16335">
      <c r="A16335" t="n" s="0">
        <v>63.34</v>
      </c>
      <c r="B16335" t="n" s="0">
        <f>(-5-((((-5*(-5/((-5/(((-5*(63.34--5))-(-5+((-5*63.34)*(((-5--5)+(63.34--5))+63.34))))-(-5+-5)))*-5)))/-5)--5)+(-5*(((63.34*(63.34-(-5/-5)))*(63.34-(63.34/(-5*63.34))))-(-5/-5)))))</f>
        <v>1262735.4473199998</v>
      </c>
      <c r="C16335" t="n" s="0">
        <v>1262735.4473200003</v>
      </c>
    </row>
    <row r="16336">
      <c r="A16336" t="n" s="0">
        <v>63.35</v>
      </c>
      <c r="B16336" t="n" s="0">
        <f>(-5-((((-5*(-5/((-5/(((-5*(63.35--5))-(-5+((-5*63.35)*(((-5--5)+(63.35--5))+63.35))))-(-5+-5)))*-5)))/-5)--5)+(-5*(((63.35*(63.35-(-5/-5)))*(63.35-(63.35/(-5*63.35))))-(-5/-5)))))</f>
        <v>1263334.831875</v>
      </c>
      <c r="C16336" t="n" s="0">
        <v>1263334.8318750001</v>
      </c>
    </row>
    <row r="16337">
      <c r="A16337" t="n" s="0">
        <v>63.36</v>
      </c>
      <c r="B16337" t="n" s="0">
        <f>(-5-((((-5*(-5/((-5/(((-5*(63.36--5))-(-5+((-5*63.36)*(((-5--5)+(63.36--5))+63.36))))-(-5+-5)))*-5)))/-5)--5)+(-5*(((63.36*(63.36-(-5/-5)))*(63.36-(63.36/(-5*63.36))))-(-5/-5)))))</f>
        <v>1263934.4060799999</v>
      </c>
      <c r="C16337" t="n" s="0">
        <v>1263934.40608</v>
      </c>
    </row>
    <row r="16338">
      <c r="A16338" t="n" s="0">
        <v>63.37</v>
      </c>
      <c r="B16338" t="n" s="0">
        <f>(-5-((((-5*(-5/((-5/(((-5*(63.37--5))-(-5+((-5*63.37)*(((-5--5)+(63.37--5))+63.37))))-(-5+-5)))*-5)))/-5)--5)+(-5*(((63.37*(63.37-(-5/-5)))*(63.37-(63.37/(-5*63.37))))-(-5/-5)))))</f>
        <v>1264534.1699650001</v>
      </c>
      <c r="C16338" t="n" s="0">
        <v>1264534.169965</v>
      </c>
    </row>
    <row r="16339">
      <c r="A16339" t="n" s="0">
        <v>63.38</v>
      </c>
      <c r="B16339" t="n" s="0">
        <f>(-5-((((-5*(-5/((-5/(((-5*(63.38--5))-(-5+((-5*63.38)*(((-5--5)+(63.38--5))+63.38))))-(-5+-5)))*-5)))/-5)--5)+(-5*(((63.38*(63.38-(-5/-5)))*(63.38-(63.38/(-5*63.38))))-(-5/-5)))))</f>
        <v>1265134.12356</v>
      </c>
      <c r="C16339" t="n" s="0">
        <v>1265134.12356</v>
      </c>
    </row>
    <row r="16340">
      <c r="A16340" t="n" s="0">
        <v>63.39</v>
      </c>
      <c r="B16340" t="n" s="0">
        <f>(-5-((((-5*(-5/((-5/(((-5*(63.39--5))-(-5+((-5*63.39)*(((-5--5)+(63.39--5))+63.39))))-(-5+-5)))*-5)))/-5)--5)+(-5*(((63.39*(63.39-(-5/-5)))*(63.39-(63.39/(-5*63.39))))-(-5/-5)))))</f>
        <v>1265734.266895</v>
      </c>
      <c r="C16340" t="n" s="0">
        <v>1265734.266895</v>
      </c>
    </row>
    <row r="16341">
      <c r="A16341" t="n" s="0">
        <v>63.4</v>
      </c>
      <c r="B16341" t="n" s="0">
        <f>(-5-((((-5*(-5/((-5/(((-5*(63.4--5))-(-5+((-5*63.4)*(((-5--5)+(63.4--5))+63.4))))-(-5+-5)))*-5)))/-5)--5)+(-5*(((63.4*(63.4-(-5/-5)))*(63.4-(63.4/(-5*63.4))))-(-5/-5)))))</f>
        <v>1266334.5999999999</v>
      </c>
      <c r="C16341" t="n" s="0">
        <v>1266334.5999999999</v>
      </c>
    </row>
    <row r="16342">
      <c r="A16342" t="n" s="0">
        <v>63.41</v>
      </c>
      <c r="B16342" t="n" s="0">
        <f>(-5-((((-5*(-5/((-5/(((-5*(63.41--5))-(-5+((-5*63.41)*(((-5--5)+(63.41--5))+63.41))))-(-5+-5)))*-5)))/-5)--5)+(-5*(((63.41*(63.41-(-5/-5)))*(63.41-(63.41/(-5*63.41))))-(-5/-5)))))</f>
        <v>1266935.1229049999</v>
      </c>
      <c r="C16342" t="n" s="0">
        <v>1266935.1229049996</v>
      </c>
    </row>
    <row r="16343">
      <c r="A16343" t="n" s="0">
        <v>63.42</v>
      </c>
      <c r="B16343" t="n" s="0">
        <f>(-5-((((-5*(-5/((-5/(((-5*(63.42--5))-(-5+((-5*63.42)*(((-5--5)+(63.42--5))+63.42))))-(-5+-5)))*-5)))/-5)--5)+(-5*(((63.42*(63.42-(-5/-5)))*(63.42-(63.42/(-5*63.42))))-(-5/-5)))))</f>
        <v>1267535.83564</v>
      </c>
      <c r="C16343" t="n" s="0">
        <v>1267535.8356400002</v>
      </c>
    </row>
    <row r="16344">
      <c r="A16344" t="n" s="0">
        <v>63.43</v>
      </c>
      <c r="B16344" t="n" s="0">
        <f>(-5-((((-5*(-5/((-5/(((-5*(63.43--5))-(-5+((-5*63.43)*(((-5--5)+(63.43--5))+63.43))))-(-5+-5)))*-5)))/-5)--5)+(-5*(((63.43*(63.43-(-5/-5)))*(63.43-(63.43/(-5*63.43))))-(-5/-5)))))</f>
        <v>1268136.738235</v>
      </c>
      <c r="C16344" t="n" s="0">
        <v>1268136.7382349998</v>
      </c>
    </row>
    <row r="16345">
      <c r="A16345" t="n" s="0">
        <v>63.44</v>
      </c>
      <c r="B16345" t="n" s="0">
        <f>(-5-((((-5*(-5/((-5/(((-5*(63.44--5))-(-5+((-5*63.44)*(((-5--5)+(63.44--5))+63.44))))-(-5+-5)))*-5)))/-5)--5)+(-5*(((63.44*(63.44-(-5/-5)))*(63.44-(63.44/(-5*63.44))))-(-5/-5)))))</f>
        <v>1268737.83072</v>
      </c>
      <c r="C16345" t="n" s="0">
        <v>1268737.83072</v>
      </c>
    </row>
    <row r="16346">
      <c r="A16346" t="n" s="0">
        <v>63.45</v>
      </c>
      <c r="B16346" t="n" s="0">
        <f>(-5-((((-5*(-5/((-5/(((-5*(63.45--5))-(-5+((-5*63.45)*(((-5--5)+(63.45--5))+63.45))))-(-5+-5)))*-5)))/-5)--5)+(-5*(((63.45*(63.45-(-5/-5)))*(63.45-(63.45/(-5*63.45))))-(-5/-5)))))</f>
        <v>1269339.113125</v>
      </c>
      <c r="C16346" t="n" s="0">
        <v>1269339.1131250004</v>
      </c>
    </row>
    <row r="16347">
      <c r="A16347" t="n" s="0">
        <v>63.46</v>
      </c>
      <c r="B16347" t="n" s="0">
        <f>(-5-((((-5*(-5/((-5/(((-5*(63.46--5))-(-5+((-5*63.46)*(((-5--5)+(63.46--5))+63.46))))-(-5+-5)))*-5)))/-5)--5)+(-5*(((63.46*(63.46-(-5/-5)))*(63.46-(63.46/(-5*63.46))))-(-5/-5)))))</f>
        <v>1269940.5854800001</v>
      </c>
      <c r="C16347" t="n" s="0">
        <v>1269940.58548</v>
      </c>
    </row>
    <row r="16348">
      <c r="A16348" t="n" s="0">
        <v>63.47</v>
      </c>
      <c r="B16348" t="n" s="0">
        <f>(-5-((((-5*(-5/((-5/(((-5*(63.47--5))-(-5+((-5*63.47)*(((-5--5)+(63.47--5))+63.47))))-(-5+-5)))*-5)))/-5)--5)+(-5*(((63.47*(63.47-(-5/-5)))*(63.47-(63.47/(-5*63.47))))-(-5/-5)))))</f>
        <v>1270542.247815</v>
      </c>
      <c r="C16348" t="n" s="0">
        <v>1270542.247815</v>
      </c>
    </row>
    <row r="16349">
      <c r="A16349" t="n" s="0">
        <v>63.48</v>
      </c>
      <c r="B16349" t="n" s="0">
        <f>(-5-((((-5*(-5/((-5/(((-5*(63.48--5))-(-5+((-5*63.48)*(((-5--5)+(63.48--5))+63.48))))-(-5+-5)))*-5)))/-5)--5)+(-5*(((63.48*(63.48-(-5/-5)))*(63.48-(63.48/(-5*63.48))))-(-5/-5)))))</f>
        <v>1271144.10016</v>
      </c>
      <c r="C16349" t="n" s="0">
        <v>1271144.1001599997</v>
      </c>
    </row>
    <row r="16350">
      <c r="A16350" t="n" s="0">
        <v>63.49</v>
      </c>
      <c r="B16350" t="n" s="0">
        <f>(-5-((((-5*(-5/((-5/(((-5*(63.49--5))-(-5+((-5*63.49)*(((-5--5)+(63.49--5))+63.49))))-(-5+-5)))*-5)))/-5)--5)+(-5*(((63.49*(63.49-(-5/-5)))*(63.49-(63.49/(-5*63.49))))-(-5/-5)))))</f>
        <v>1271746.142545</v>
      </c>
      <c r="C16350" t="n" s="0">
        <v>1271746.142545</v>
      </c>
    </row>
    <row r="16351">
      <c r="A16351" t="n" s="0">
        <v>63.5</v>
      </c>
      <c r="B16351" t="n" s="0">
        <f>(-5-((((-5*(-5/((-5/(((-5*(63.5--5))-(-5+((-5*63.5)*(((-5--5)+(63.5--5))+63.5))))-(-5+-5)))*-5)))/-5)--5)+(-5*(((63.5*(63.5-(-5/-5)))*(63.5-(63.5/(-5*63.5))))-(-5/-5)))))</f>
        <v>1272348.375</v>
      </c>
      <c r="C16351" t="n" s="0">
        <v>1272348.375</v>
      </c>
    </row>
    <row r="16352">
      <c r="A16352" t="n" s="0">
        <v>63.51</v>
      </c>
      <c r="B16352" t="n" s="0">
        <f>(-5-((((-5*(-5/((-5/(((-5*(63.51--5))-(-5+((-5*63.51)*(((-5--5)+(63.51--5))+63.51))))-(-5+-5)))*-5)))/-5)--5)+(-5*(((63.51*(63.51-(-5/-5)))*(63.51-(63.51/(-5*63.51))))-(-5/-5)))))</f>
        <v>1272950.797555</v>
      </c>
      <c r="C16352" t="n" s="0">
        <v>1272950.797555</v>
      </c>
    </row>
    <row r="16353">
      <c r="A16353" t="n" s="0">
        <v>63.52</v>
      </c>
      <c r="B16353" t="n" s="0">
        <f>(-5-((((-5*(-5/((-5/(((-5*(63.52--5))-(-5+((-5*63.52)*(((-5--5)+(63.52--5))+63.52))))-(-5+-5)))*-5)))/-5)--5)+(-5*(((63.52*(63.52-(-5/-5)))*(63.52-(63.52/(-5*63.52))))-(-5/-5)))))</f>
        <v>1273553.4102399999</v>
      </c>
      <c r="C16353" t="n" s="0">
        <v>1273553.41024</v>
      </c>
    </row>
    <row r="16354">
      <c r="A16354" t="n" s="0">
        <v>63.53</v>
      </c>
      <c r="B16354" t="n" s="0">
        <f>(-5-((((-5*(-5/((-5/(((-5*(63.53--5))-(-5+((-5*63.53)*(((-5--5)+(63.53--5))+63.53))))-(-5+-5)))*-5)))/-5)--5)+(-5*(((63.53*(63.53-(-5/-5)))*(63.53-(63.53/(-5*63.53))))-(-5/-5)))))</f>
        <v>1274156.213085</v>
      </c>
      <c r="C16354" t="n" s="0">
        <v>1274156.2130850002</v>
      </c>
    </row>
    <row r="16355">
      <c r="A16355" t="n" s="0">
        <v>63.54</v>
      </c>
      <c r="B16355" t="n" s="0">
        <f>(-5-((((-5*(-5/((-5/(((-5*(63.54--5))-(-5+((-5*63.54)*(((-5--5)+(63.54--5))+63.54))))-(-5+-5)))*-5)))/-5)--5)+(-5*(((63.54*(63.54-(-5/-5)))*(63.54-(63.54/(-5*63.54))))-(-5/-5)))))</f>
        <v>1274759.20612</v>
      </c>
      <c r="C16355" t="n" s="0">
        <v>1274759.20612</v>
      </c>
    </row>
    <row r="16356">
      <c r="A16356" t="n" s="0">
        <v>63.55</v>
      </c>
      <c r="B16356" t="n" s="0">
        <f>(-5-((((-5*(-5/((-5/(((-5*(63.55--5))-(-5+((-5*63.55)*(((-5--5)+(63.55--5))+63.55))))-(-5+-5)))*-5)))/-5)--5)+(-5*(((63.55*(63.55-(-5/-5)))*(63.55-(63.55/(-5*63.55))))-(-5/-5)))))</f>
        <v>1275362.389375</v>
      </c>
      <c r="C16356" t="n" s="0">
        <v>1275362.3893749996</v>
      </c>
    </row>
    <row r="16357">
      <c r="A16357" t="n" s="0">
        <v>63.56</v>
      </c>
      <c r="B16357" t="n" s="0">
        <f>(-5-((((-5*(-5/((-5/(((-5*(63.56--5))-(-5+((-5*63.56)*(((-5--5)+(63.56--5))+63.56))))-(-5+-5)))*-5)))/-5)--5)+(-5*(((63.56*(63.56-(-5/-5)))*(63.56-(63.56/(-5*63.56))))-(-5/-5)))))</f>
        <v>1275965.76288</v>
      </c>
      <c r="C16357" t="n" s="0">
        <v>1275965.7628799998</v>
      </c>
    </row>
    <row r="16358">
      <c r="A16358" t="n" s="0">
        <v>63.57</v>
      </c>
      <c r="B16358" t="n" s="0">
        <f>(-5-((((-5*(-5/((-5/(((-5*(63.57--5))-(-5+((-5*63.57)*(((-5--5)+(63.57--5))+63.57))))-(-5+-5)))*-5)))/-5)--5)+(-5*(((63.57*(63.57-(-5/-5)))*(63.57-(63.57/(-5*63.57))))-(-5/-5)))))</f>
        <v>1276569.3266649998</v>
      </c>
      <c r="C16358" t="n" s="0">
        <v>1276569.326665</v>
      </c>
    </row>
    <row r="16359">
      <c r="A16359" t="n" s="0">
        <v>63.58</v>
      </c>
      <c r="B16359" t="n" s="0">
        <f>(-5-((((-5*(-5/((-5/(((-5*(63.58--5))-(-5+((-5*63.58)*(((-5--5)+(63.58--5))+63.58))))-(-5+-5)))*-5)))/-5)--5)+(-5*(((63.58*(63.58-(-5/-5)))*(63.58-(63.58/(-5*63.58))))-(-5/-5)))))</f>
        <v>1277173.08076</v>
      </c>
      <c r="C16359" t="n" s="0">
        <v>1277173.08076</v>
      </c>
    </row>
    <row r="16360">
      <c r="A16360" t="n" s="0">
        <v>63.59</v>
      </c>
      <c r="B16360" t="n" s="0">
        <f>(-5-((((-5*(-5/((-5/(((-5*(63.59--5))-(-5+((-5*63.59)*(((-5--5)+(63.59--5))+63.59))))-(-5+-5)))*-5)))/-5)--5)+(-5*(((63.59*(63.59-(-5/-5)))*(63.59-(63.59/(-5*63.59))))-(-5/-5)))))</f>
        <v>1277777.025195</v>
      </c>
      <c r="C16360" t="n" s="0">
        <v>1277777.0251950002</v>
      </c>
    </row>
    <row r="16361">
      <c r="A16361" t="n" s="0">
        <v>63.6</v>
      </c>
      <c r="B16361" t="n" s="0">
        <f>(-5-((((-5*(-5/((-5/(((-5*(63.6--5))-(-5+((-5*63.6)*(((-5--5)+(63.6--5))+63.6))))-(-5+-5)))*-5)))/-5)--5)+(-5*(((63.6*(63.6-(-5/-5)))*(63.6-(63.6/(-5*63.6))))-(-5/-5)))))</f>
        <v>1278381.1600000001</v>
      </c>
      <c r="C16361" t="n" s="0">
        <v>1278381.1600000001</v>
      </c>
    </row>
    <row r="16362">
      <c r="A16362" t="n" s="0">
        <v>63.61</v>
      </c>
      <c r="B16362" t="n" s="0">
        <f>(-5-((((-5*(-5/((-5/(((-5*(63.61--5))-(-5+((-5*63.61)*(((-5--5)+(63.61--5))+63.61))))-(-5+-5)))*-5)))/-5)--5)+(-5*(((63.61*(63.61-(-5/-5)))*(63.61-(63.61/(-5*63.61))))-(-5/-5)))))</f>
        <v>1278985.485205</v>
      </c>
      <c r="C16362" t="n" s="0">
        <v>1278985.485205</v>
      </c>
    </row>
    <row r="16363">
      <c r="A16363" t="n" s="0">
        <v>63.62</v>
      </c>
      <c r="B16363" t="n" s="0">
        <f>(-5-((((-5*(-5/((-5/(((-5*(63.62--5))-(-5+((-5*63.62)*(((-5--5)+(63.62--5))+63.62))))-(-5+-5)))*-5)))/-5)--5)+(-5*(((63.62*(63.62-(-5/-5)))*(63.62-(63.62/(-5*63.62))))-(-5/-5)))))</f>
        <v>1279590.0008399999</v>
      </c>
      <c r="C16363" t="n" s="0">
        <v>1279590.0008399999</v>
      </c>
    </row>
    <row r="16364">
      <c r="A16364" t="n" s="0">
        <v>63.63</v>
      </c>
      <c r="B16364" t="n" s="0">
        <f>(-5-((((-5*(-5/((-5/(((-5*(63.63--5))-(-5+((-5*63.63)*(((-5--5)+(63.63--5))+63.63))))-(-5+-5)))*-5)))/-5)--5)+(-5*(((63.63*(63.63-(-5/-5)))*(63.63-(63.63/(-5*63.63))))-(-5/-5)))))</f>
        <v>1280194.706935</v>
      </c>
      <c r="C16364" t="n" s="0">
        <v>1280194.706935</v>
      </c>
    </row>
    <row r="16365">
      <c r="A16365" t="n" s="0">
        <v>63.64</v>
      </c>
      <c r="B16365" t="n" s="0">
        <f>(-5-((((-5*(-5/((-5/(((-5*(63.64--5))-(-5+((-5*63.64)*(((-5--5)+(63.64--5))+63.64))))-(-5+-5)))*-5)))/-5)--5)+(-5*(((63.64*(63.64-(-5/-5)))*(63.64-(63.64/(-5*63.64))))-(-5/-5)))))</f>
        <v>1280799.6035200001</v>
      </c>
      <c r="C16365" t="n" s="0">
        <v>1280799.60352</v>
      </c>
    </row>
    <row r="16366">
      <c r="A16366" t="n" s="0">
        <v>63.65</v>
      </c>
      <c r="B16366" t="n" s="0">
        <f>(-5-((((-5*(-5/((-5/(((-5*(63.65--5))-(-5+((-5*63.65)*(((-5--5)+(63.65--5))+63.65))))-(-5+-5)))*-5)))/-5)--5)+(-5*(((63.65*(63.65-(-5/-5)))*(63.65-(63.65/(-5*63.65))))-(-5/-5)))))</f>
        <v>1281404.690625</v>
      </c>
      <c r="C16366" t="n" s="0">
        <v>1281404.6906249998</v>
      </c>
    </row>
    <row r="16367">
      <c r="A16367" t="n" s="0">
        <v>63.66</v>
      </c>
      <c r="B16367" t="n" s="0">
        <f>(-5-((((-5*(-5/((-5/(((-5*(63.66--5))-(-5+((-5*63.66)*(((-5--5)+(63.66--5))+63.66))))-(-5+-5)))*-5)))/-5)--5)+(-5*(((63.66*(63.66-(-5/-5)))*(63.66-(63.66/(-5*63.66))))-(-5/-5)))))</f>
        <v>1282009.96828</v>
      </c>
      <c r="C16367" t="n" s="0">
        <v>1282009.96828</v>
      </c>
    </row>
    <row r="16368">
      <c r="A16368" t="n" s="0">
        <v>63.67</v>
      </c>
      <c r="B16368" t="n" s="0">
        <f>(-5-((((-5*(-5/((-5/(((-5*(63.67--5))-(-5+((-5*63.67)*(((-5--5)+(63.67--5))+63.67))))-(-5+-5)))*-5)))/-5)--5)+(-5*(((63.67*(63.67-(-5/-5)))*(63.67-(63.67/(-5*63.67))))-(-5/-5)))))</f>
        <v>1282615.436515</v>
      </c>
      <c r="C16368" t="n" s="0">
        <v>1282615.4365150002</v>
      </c>
    </row>
    <row r="16369">
      <c r="A16369" t="n" s="0">
        <v>63.68</v>
      </c>
      <c r="B16369" t="n" s="0">
        <f>(-5-((((-5*(-5/((-5/(((-5*(63.68--5))-(-5+((-5*63.68)*(((-5--5)+(63.68--5))+63.68))))-(-5+-5)))*-5)))/-5)--5)+(-5*(((63.68*(63.68-(-5/-5)))*(63.68-(63.68/(-5*63.68))))-(-5/-5)))))</f>
        <v>1283221.09536</v>
      </c>
      <c r="C16369" t="n" s="0">
        <v>1283221.0953600002</v>
      </c>
    </row>
    <row r="16370">
      <c r="A16370" t="n" s="0">
        <v>63.69</v>
      </c>
      <c r="B16370" t="n" s="0">
        <f>(-5-((((-5*(-5/((-5/(((-5*(63.69--5))-(-5+((-5*63.69)*(((-5--5)+(63.69--5))+63.69))))-(-5+-5)))*-5)))/-5)--5)+(-5*(((63.69*(63.69-(-5/-5)))*(63.69-(63.69/(-5*63.69))))-(-5/-5)))))</f>
        <v>1283826.944845</v>
      </c>
      <c r="C16370" t="n" s="0">
        <v>1283826.9448449998</v>
      </c>
    </row>
    <row r="16371">
      <c r="A16371" t="n" s="0">
        <v>63.7</v>
      </c>
      <c r="B16371" t="n" s="0">
        <f>(-5-((((-5*(-5/((-5/(((-5*(63.7--5))-(-5+((-5*63.7)*(((-5--5)+(63.7--5))+63.7))))-(-5+-5)))*-5)))/-5)--5)+(-5*(((63.7*(63.7-(-5/-5)))*(63.7-(63.7/(-5*63.7))))-(-5/-5)))))</f>
        <v>1284432.9849999999</v>
      </c>
      <c r="C16371" t="n" s="0">
        <v>1284432.9850000003</v>
      </c>
    </row>
    <row r="16372">
      <c r="A16372" t="n" s="0">
        <v>63.71</v>
      </c>
      <c r="B16372" t="n" s="0">
        <f>(-5-((((-5*(-5/((-5/(((-5*(63.71--5))-(-5+((-5*63.71)*(((-5--5)+(63.71--5))+63.71))))-(-5+-5)))*-5)))/-5)--5)+(-5*(((63.71*(63.71-(-5/-5)))*(63.71-(63.71/(-5*63.71))))-(-5/-5)))))</f>
        <v>1285039.215855</v>
      </c>
      <c r="C16372" t="n" s="0">
        <v>1285039.215855</v>
      </c>
    </row>
    <row r="16373">
      <c r="A16373" t="n" s="0">
        <v>63.72</v>
      </c>
      <c r="B16373" t="n" s="0">
        <f>(-5-((((-5*(-5/((-5/(((-5*(63.72--5))-(-5+((-5*63.72)*(((-5--5)+(63.72--5))+63.72))))-(-5+-5)))*-5)))/-5)--5)+(-5*(((63.72*(63.72-(-5/-5)))*(63.72-(63.72/(-5*63.72))))-(-5/-5)))))</f>
        <v>1285645.63744</v>
      </c>
      <c r="C16373" t="n" s="0">
        <v>1285645.6374399997</v>
      </c>
    </row>
    <row r="16374">
      <c r="A16374" t="n" s="0">
        <v>63.73</v>
      </c>
      <c r="B16374" t="n" s="0">
        <f>(-5-((((-5*(-5/((-5/(((-5*(63.73--5))-(-5+((-5*63.73)*(((-5--5)+(63.73--5))+63.73))))-(-5+-5)))*-5)))/-5)--5)+(-5*(((63.73*(63.73-(-5/-5)))*(63.73-(63.73/(-5*63.73))))-(-5/-5)))))</f>
        <v>1286252.249785</v>
      </c>
      <c r="C16374" t="n" s="0">
        <v>1286252.2497849998</v>
      </c>
    </row>
    <row r="16375">
      <c r="A16375" t="n" s="0">
        <v>63.74</v>
      </c>
      <c r="B16375" t="n" s="0">
        <f>(-5-((((-5*(-5/((-5/(((-5*(63.74--5))-(-5+((-5*63.74)*(((-5--5)+(63.74--5))+63.74))))-(-5+-5)))*-5)))/-5)--5)+(-5*(((63.74*(63.74-(-5/-5)))*(63.74-(63.74/(-5*63.74))))-(-5/-5)))))</f>
        <v>1286859.05292</v>
      </c>
      <c r="C16375" t="n" s="0">
        <v>1286859.05292</v>
      </c>
    </row>
    <row r="16376">
      <c r="A16376" t="n" s="0">
        <v>63.75</v>
      </c>
      <c r="B16376" t="n" s="0">
        <f>(-5-((((-5*(-5/((-5/(((-5*(63.75--5))-(-5+((-5*63.75)*(((-5--5)+(63.75--5))+63.75))))-(-5+-5)))*-5)))/-5)--5)+(-5*(((63.75*(63.75-(-5/-5)))*(63.75-(63.75/(-5*63.75))))-(-5/-5)))))</f>
        <v>1287466.046875</v>
      </c>
      <c r="C16376" t="n" s="0">
        <v>1287466.046875</v>
      </c>
    </row>
    <row r="16377">
      <c r="A16377" t="n" s="0">
        <v>63.76</v>
      </c>
      <c r="B16377" t="n" s="0">
        <f>(-5-((((-5*(-5/((-5/(((-5*(63.76--5))-(-5+((-5*63.76)*(((-5--5)+(63.76--5))+63.76))))-(-5+-5)))*-5)))/-5)--5)+(-5*(((63.76*(63.76-(-5/-5)))*(63.76-(63.76/(-5*63.76))))-(-5/-5)))))</f>
        <v>1288073.23168</v>
      </c>
      <c r="C16377" t="n" s="0">
        <v>1288073.23168</v>
      </c>
    </row>
    <row r="16378">
      <c r="A16378" t="n" s="0">
        <v>63.77</v>
      </c>
      <c r="B16378" t="n" s="0">
        <f>(-5-((((-5*(-5/((-5/(((-5*(63.77--5))-(-5+((-5*63.77)*(((-5--5)+(63.77--5))+63.77))))-(-5+-5)))*-5)))/-5)--5)+(-5*(((63.77*(63.77-(-5/-5)))*(63.77-(63.77/(-5*63.77))))-(-5/-5)))))</f>
        <v>1288680.607365</v>
      </c>
      <c r="C16378" t="n" s="0">
        <v>1288680.6073650003</v>
      </c>
    </row>
    <row r="16379">
      <c r="A16379" t="n" s="0">
        <v>63.78</v>
      </c>
      <c r="B16379" t="n" s="0">
        <f>(-5-((((-5*(-5/((-5/(((-5*(63.78--5))-(-5+((-5*63.78)*(((-5--5)+(63.78--5))+63.78))))-(-5+-5)))*-5)))/-5)--5)+(-5*(((63.78*(63.78-(-5/-5)))*(63.78-(63.78/(-5*63.78))))-(-5/-5)))))</f>
        <v>1289288.17396</v>
      </c>
      <c r="C16379" t="n" s="0">
        <v>1289288.17396</v>
      </c>
    </row>
    <row r="16380">
      <c r="A16380" t="n" s="0">
        <v>63.79</v>
      </c>
      <c r="B16380" t="n" s="0">
        <f>(-5-((((-5*(-5/((-5/(((-5*(63.79--5))-(-5+((-5*63.79)*(((-5--5)+(63.79--5))+63.79))))-(-5+-5)))*-5)))/-5)--5)+(-5*(((63.79*(63.79-(-5/-5)))*(63.79-(63.79/(-5*63.79))))-(-5/-5)))))</f>
        <v>1289895.931495</v>
      </c>
      <c r="C16380" t="n" s="0">
        <v>1289895.931495</v>
      </c>
    </row>
    <row r="16381">
      <c r="A16381" t="n" s="0">
        <v>63.8</v>
      </c>
      <c r="B16381" t="n" s="0">
        <f>(-5-((((-5*(-5/((-5/(((-5*(63.8--5))-(-5+((-5*63.8)*(((-5--5)+(63.8--5))+63.8))))-(-5+-5)))*-5)))/-5)--5)+(-5*(((63.8*(63.8-(-5/-5)))*(63.8-(63.8/(-5*63.8))))-(-5/-5)))))</f>
        <v>1290503.8800000001</v>
      </c>
      <c r="C16381" t="n" s="0">
        <v>1290503.88</v>
      </c>
    </row>
    <row r="16382">
      <c r="A16382" t="n" s="0">
        <v>63.81</v>
      </c>
      <c r="B16382" t="n" s="0">
        <f>(-5-((((-5*(-5/((-5/(((-5*(63.81--5))-(-5+((-5*63.81)*(((-5--5)+(63.81--5))+63.81))))-(-5+-5)))*-5)))/-5)--5)+(-5*(((63.81*(63.81-(-5/-5)))*(63.81-(63.81/(-5*63.81))))-(-5/-5)))))</f>
        <v>1291112.019505</v>
      </c>
      <c r="C16382" t="n" s="0">
        <v>1291112.0195050002</v>
      </c>
    </row>
    <row r="16383">
      <c r="A16383" t="n" s="0">
        <v>63.82</v>
      </c>
      <c r="B16383" t="n" s="0">
        <f>(-5-((((-5*(-5/((-5/(((-5*(63.82--5))-(-5+((-5*63.82)*(((-5--5)+(63.82--5))+63.82))))-(-5+-5)))*-5)))/-5)--5)+(-5*(((63.82*(63.82-(-5/-5)))*(63.82-(63.82/(-5*63.82))))-(-5/-5)))))</f>
        <v>1291720.35004</v>
      </c>
      <c r="C16383" t="n" s="0">
        <v>1291720.35004</v>
      </c>
    </row>
    <row r="16384">
      <c r="A16384" t="n" s="0">
        <v>63.83</v>
      </c>
      <c r="B16384" t="n" s="0">
        <f>(-5-((((-5*(-5/((-5/(((-5*(63.83--5))-(-5+((-5*63.83)*(((-5--5)+(63.83--5))+63.83))))-(-5+-5)))*-5)))/-5)--5)+(-5*(((63.83*(63.83-(-5/-5)))*(63.83-(63.83/(-5*63.83))))-(-5/-5)))))</f>
        <v>1292328.8716350002</v>
      </c>
      <c r="C16384" t="n" s="0">
        <v>1292328.871635</v>
      </c>
    </row>
    <row r="16385">
      <c r="A16385" t="n" s="0">
        <v>63.84</v>
      </c>
      <c r="B16385" t="n" s="0">
        <f>(-5-((((-5*(-5/((-5/(((-5*(63.84--5))-(-5+((-5*63.84)*(((-5--5)+(63.84--5))+63.84))))-(-5+-5)))*-5)))/-5)--5)+(-5*(((63.84*(63.84-(-5/-5)))*(63.84-(63.84/(-5*63.84))))-(-5/-5)))))</f>
        <v>1292937.58432</v>
      </c>
      <c r="C16385" t="n" s="0">
        <v>1292937.5843200004</v>
      </c>
    </row>
    <row r="16386">
      <c r="A16386" t="n" s="0">
        <v>63.85</v>
      </c>
      <c r="B16386" t="n" s="0">
        <f>(-5-((((-5*(-5/((-5/(((-5*(63.85--5))-(-5+((-5*63.85)*(((-5--5)+(63.85--5))+63.85))))-(-5+-5)))*-5)))/-5)--5)+(-5*(((63.85*(63.85-(-5/-5)))*(63.85-(63.85/(-5*63.85))))-(-5/-5)))))</f>
        <v>1293546.488125</v>
      </c>
      <c r="C16386" t="n" s="0">
        <v>1293546.4881250001</v>
      </c>
    </row>
    <row r="16387">
      <c r="A16387" t="n" s="0">
        <v>63.86</v>
      </c>
      <c r="B16387" t="n" s="0">
        <f>(-5-((((-5*(-5/((-5/(((-5*(63.86--5))-(-5+((-5*63.86)*(((-5--5)+(63.86--5))+63.86))))-(-5+-5)))*-5)))/-5)--5)+(-5*(((63.86*(63.86-(-5/-5)))*(63.86-(63.86/(-5*63.86))))-(-5/-5)))))</f>
        <v>1294155.58308</v>
      </c>
      <c r="C16387" t="n" s="0">
        <v>1294155.58308</v>
      </c>
    </row>
    <row r="16388">
      <c r="A16388" t="n" s="0">
        <v>63.87</v>
      </c>
      <c r="B16388" t="n" s="0">
        <f>(-5-((((-5*(-5/((-5/(((-5*(63.87--5))-(-5+((-5*63.87)*(((-5--5)+(63.87--5))+63.87))))-(-5+-5)))*-5)))/-5)--5)+(-5*(((63.87*(63.87-(-5/-5)))*(63.87-(63.87/(-5*63.87))))-(-5/-5)))))</f>
        <v>1294764.869215</v>
      </c>
      <c r="C16388" t="n" s="0">
        <v>1294764.8692149997</v>
      </c>
    </row>
    <row r="16389">
      <c r="A16389" t="n" s="0">
        <v>63.88</v>
      </c>
      <c r="B16389" t="n" s="0">
        <f>(-5-((((-5*(-5/((-5/(((-5*(63.88--5))-(-5+((-5*63.88)*(((-5--5)+(63.88--5))+63.88))))-(-5+-5)))*-5)))/-5)--5)+(-5*(((63.88*(63.88-(-5/-5)))*(63.88-(63.88/(-5*63.88))))-(-5/-5)))))</f>
        <v>1295374.34656</v>
      </c>
      <c r="C16389" t="n" s="0">
        <v>1295374.34656</v>
      </c>
    </row>
    <row r="16390">
      <c r="A16390" t="n" s="0">
        <v>63.89</v>
      </c>
      <c r="B16390" t="n" s="0">
        <f>(-5-((((-5*(-5/((-5/(((-5*(63.89--5))-(-5+((-5*63.89)*(((-5--5)+(63.89--5))+63.89))))-(-5+-5)))*-5)))/-5)--5)+(-5*(((63.89*(63.89-(-5/-5)))*(63.89-(63.89/(-5*63.89))))-(-5/-5)))))</f>
        <v>1295984.015145</v>
      </c>
      <c r="C16390" t="n" s="0">
        <v>1295984.015145</v>
      </c>
    </row>
    <row r="16391">
      <c r="A16391" t="n" s="0">
        <v>63.9</v>
      </c>
      <c r="B16391" t="n" s="0">
        <f>(-5-((((-5*(-5/((-5/(((-5*(63.9--5))-(-5+((-5*63.9)*(((-5--5)+(63.9--5))+63.9))))-(-5+-5)))*-5)))/-5)--5)+(-5*(((63.9*(63.9-(-5/-5)))*(63.9-(63.9/(-5*63.9))))-(-5/-5)))))</f>
        <v>1296593.875</v>
      </c>
      <c r="C16391" t="n" s="0">
        <v>1296593.875</v>
      </c>
    </row>
    <row r="16392">
      <c r="A16392" t="n" s="0">
        <v>63.91</v>
      </c>
      <c r="B16392" t="n" s="0">
        <f>(-5-((((-5*(-5/((-5/(((-5*(63.91--5))-(-5+((-5*63.91)*(((-5--5)+(63.91--5))+63.91))))-(-5+-5)))*-5)))/-5)--5)+(-5*(((63.91*(63.91-(-5/-5)))*(63.91-(63.91/(-5*63.91))))-(-5/-5)))))</f>
        <v>1297203.926155</v>
      </c>
      <c r="C16392" t="n" s="0">
        <v>1297203.926155</v>
      </c>
    </row>
    <row r="16393">
      <c r="A16393" t="n" s="0">
        <v>63.92</v>
      </c>
      <c r="B16393" t="n" s="0">
        <f>(-5-((((-5*(-5/((-5/(((-5*(63.92--5))-(-5+((-5*63.92)*(((-5--5)+(63.92--5))+63.92))))-(-5+-5)))*-5)))/-5)--5)+(-5*(((63.92*(63.92-(-5/-5)))*(63.92-(63.92/(-5*63.92))))-(-5/-5)))))</f>
        <v>1297814.16864</v>
      </c>
      <c r="C16393" t="n" s="0">
        <v>1297814.1686400003</v>
      </c>
    </row>
    <row r="16394">
      <c r="A16394" t="n" s="0">
        <v>63.93</v>
      </c>
      <c r="B16394" t="n" s="0">
        <f>(-5-((((-5*(-5/((-5/(((-5*(63.93--5))-(-5+((-5*63.93)*(((-5--5)+(63.93--5))+63.93))))-(-5+-5)))*-5)))/-5)--5)+(-5*(((63.93*(63.93-(-5/-5)))*(63.93-(63.93/(-5*63.93))))-(-5/-5)))))</f>
        <v>1298424.602485</v>
      </c>
      <c r="C16394" t="n" s="0">
        <v>1298424.602485</v>
      </c>
    </row>
    <row r="16395">
      <c r="A16395" t="n" s="0">
        <v>63.94</v>
      </c>
      <c r="B16395" t="n" s="0">
        <f>(-5-((((-5*(-5/((-5/(((-5*(63.94--5))-(-5+((-5*63.94)*(((-5--5)+(63.94--5))+63.94))))-(-5+-5)))*-5)))/-5)--5)+(-5*(((63.94*(63.94-(-5/-5)))*(63.94-(63.94/(-5*63.94))))-(-5/-5)))))</f>
        <v>1299035.22772</v>
      </c>
      <c r="C16395" t="n" s="0">
        <v>1299035.2277199998</v>
      </c>
    </row>
    <row r="16396">
      <c r="A16396" t="n" s="0">
        <v>63.95</v>
      </c>
      <c r="B16396" t="n" s="0">
        <f>(-5-((((-5*(-5/((-5/(((-5*(63.95--5))-(-5+((-5*63.95)*(((-5--5)+(63.95--5))+63.95))))-(-5+-5)))*-5)))/-5)--5)+(-5*(((63.95*(63.95-(-5/-5)))*(63.95-(63.95/(-5*63.95))))-(-5/-5)))))</f>
        <v>1299646.044375</v>
      </c>
      <c r="C16396" t="n" s="0">
        <v>1299646.044375</v>
      </c>
    </row>
    <row r="16397">
      <c r="A16397" t="n" s="0">
        <v>63.96</v>
      </c>
      <c r="B16397" t="n" s="0">
        <f>(-5-((((-5*(-5/((-5/(((-5*(63.96--5))-(-5+((-5*63.96)*(((-5--5)+(63.96--5))+63.96))))-(-5+-5)))*-5)))/-5)--5)+(-5*(((63.96*(63.96-(-5/-5)))*(63.96-(63.96/(-5*63.96))))-(-5/-5)))))</f>
        <v>1300257.05248</v>
      </c>
      <c r="C16397" t="n" s="0">
        <v>1300257.05248</v>
      </c>
    </row>
    <row r="16398">
      <c r="A16398" t="n" s="0">
        <v>63.97</v>
      </c>
      <c r="B16398" t="n" s="0">
        <f>(-5-((((-5*(-5/((-5/(((-5*(63.97--5))-(-5+((-5*63.97)*(((-5--5)+(63.97--5))+63.97))))-(-5+-5)))*-5)))/-5)--5)+(-5*(((63.97*(63.97-(-5/-5)))*(63.97-(63.97/(-5*63.97))))-(-5/-5)))))</f>
        <v>1300868.252065</v>
      </c>
      <c r="C16398" t="n" s="0">
        <v>1300868.252065</v>
      </c>
    </row>
    <row r="16399">
      <c r="A16399" t="n" s="0">
        <v>63.98</v>
      </c>
      <c r="B16399" t="n" s="0">
        <f>(-5-((((-5*(-5/((-5/(((-5*(63.98--5))-(-5+((-5*63.98)*(((-5--5)+(63.98--5))+63.98))))-(-5+-5)))*-5)))/-5)--5)+(-5*(((63.98*(63.98-(-5/-5)))*(63.98-(63.98/(-5*63.98))))-(-5/-5)))))</f>
        <v>1301479.64316</v>
      </c>
      <c r="C16399" t="n" s="0">
        <v>1301479.64316</v>
      </c>
    </row>
    <row r="16400">
      <c r="A16400" t="n" s="0">
        <v>63.99</v>
      </c>
      <c r="B16400" t="n" s="0">
        <f>(-5-((((-5*(-5/((-5/(((-5*(63.99--5))-(-5+((-5*63.99)*(((-5--5)+(63.99--5))+63.99))))-(-5+-5)))*-5)))/-5)--5)+(-5*(((63.99*(63.99-(-5/-5)))*(63.99-(63.99/(-5*63.99))))-(-5/-5)))))</f>
        <v>1302091.225795</v>
      </c>
      <c r="C16400" t="n" s="0">
        <v>1302091.225795</v>
      </c>
    </row>
    <row r="16401">
      <c r="A16401" t="n" s="0">
        <v>64.0</v>
      </c>
      <c r="B16401" t="n" s="0">
        <f>(-5-((((-5*(-5/((-5/(((-5*(64--5))-(-5+((-5*64)*(((-5--5)+(64--5))+64))))-(-5+-5)))*-5)))/-5)--5)+(-5*(((64*(64-(-5/-5)))*(64-(64/(-5*64))))-(-5/-5)))))</f>
        <v>1302703.0</v>
      </c>
      <c r="C16401" t="n" s="0">
        <v>1302703.0</v>
      </c>
    </row>
    <row r="16402">
      <c r="A16402" t="n" s="0">
        <v>64.01</v>
      </c>
      <c r="B16402" t="n" s="0">
        <f>(-5-((((-5*(-5/((-5/(((-5*(64.01--5))-(-5+((-5*64.01)*(((-5--5)+(64.01--5))+64.01))))-(-5+-5)))*-5)))/-5)--5)+(-5*(((64.01*(64.01-(-5/-5)))*(64.01-(64.01/(-5*64.01))))-(-5/-5)))))</f>
        <v>1303314.965805</v>
      </c>
      <c r="C16402" t="n" s="0">
        <v>1303314.9658050004</v>
      </c>
    </row>
    <row r="16403">
      <c r="A16403" t="n" s="0">
        <v>64.02</v>
      </c>
      <c r="B16403" t="n" s="0">
        <f>(-5-((((-5*(-5/((-5/(((-5*(64.02--5))-(-5+((-5*64.02)*(((-5--5)+(64.02--5))+64.02))))-(-5+-5)))*-5)))/-5)--5)+(-5*(((64.02*(64.02-(-5/-5)))*(64.02-(64.02/(-5*64.02))))-(-5/-5)))))</f>
        <v>1303927.12324</v>
      </c>
      <c r="C16403" t="n" s="0">
        <v>1303927.1232399999</v>
      </c>
    </row>
    <row r="16404">
      <c r="A16404" t="n" s="0">
        <v>64.03</v>
      </c>
      <c r="B16404" t="n" s="0">
        <f>(-5-((((-5*(-5/((-5/(((-5*(64.03--5))-(-5+((-5*64.03)*(((-5--5)+(64.03--5))+64.03))))-(-5+-5)))*-5)))/-5)--5)+(-5*(((64.03*(64.03-(-5/-5)))*(64.03-(64.03/(-5*64.03))))-(-5/-5)))))</f>
        <v>1304539.472335</v>
      </c>
      <c r="C16404" t="n" s="0">
        <v>1304539.472335</v>
      </c>
    </row>
    <row r="16405">
      <c r="A16405" t="n" s="0">
        <v>64.04</v>
      </c>
      <c r="B16405" t="n" s="0">
        <f>(-5-((((-5*(-5/((-5/(((-5*(64.04--5))-(-5+((-5*64.04)*(((-5--5)+(64.04--5))+64.04))))-(-5+-5)))*-5)))/-5)--5)+(-5*(((64.04*(64.04-(-5/-5)))*(64.04-(64.04/(-5*64.04))))-(-5/-5)))))</f>
        <v>1305152.01312</v>
      </c>
      <c r="C16405" t="n" s="0">
        <v>1305152.0131200007</v>
      </c>
    </row>
    <row r="16406">
      <c r="A16406" t="n" s="0">
        <v>64.05</v>
      </c>
      <c r="B16406" t="n" s="0">
        <f>(-5-((((-5*(-5/((-5/(((-5*(64.05--5))-(-5+((-5*64.05)*(((-5--5)+(64.05--5))+64.05))))-(-5+-5)))*-5)))/-5)--5)+(-5*(((64.05*(64.05-(-5/-5)))*(64.05-(64.05/(-5*64.05))))-(-5/-5)))))</f>
        <v>1305764.7456250002</v>
      </c>
      <c r="C16406" t="n" s="0">
        <v>1305764.7456249997</v>
      </c>
    </row>
    <row r="16407">
      <c r="A16407" t="n" s="0">
        <v>64.06</v>
      </c>
      <c r="B16407" t="n" s="0">
        <f>(-5-((((-5*(-5/((-5/(((-5*(64.06--5))-(-5+((-5*64.06)*(((-5--5)+(64.06--5))+64.06))))-(-5+-5)))*-5)))/-5)--5)+(-5*(((64.06*(64.06-(-5/-5)))*(64.06-(64.06/(-5*64.06))))-(-5/-5)))))</f>
        <v>1306377.66988</v>
      </c>
      <c r="C16407" t="n" s="0">
        <v>1306377.6698800002</v>
      </c>
    </row>
    <row r="16408">
      <c r="A16408" t="n" s="0">
        <v>64.07</v>
      </c>
      <c r="B16408" t="n" s="0">
        <f>(-5-((((-5*(-5/((-5/(((-5*(64.07--5))-(-5+((-5*64.07)*(((-5--5)+(64.07--5))+64.07))))-(-5+-5)))*-5)))/-5)--5)+(-5*(((64.07*(64.07-(-5/-5)))*(64.07-(64.07/(-5*64.07))))-(-5/-5)))))</f>
        <v>1306990.7859150001</v>
      </c>
      <c r="C16408" t="n" s="0">
        <v>1306990.7859149994</v>
      </c>
    </row>
    <row r="16409">
      <c r="A16409" t="n" s="0">
        <v>64.08</v>
      </c>
      <c r="B16409" t="n" s="0">
        <f>(-5-((((-5*(-5/((-5/(((-5*(64.08--5))-(-5+((-5*64.08)*(((-5--5)+(64.08--5))+64.08))))-(-5+-5)))*-5)))/-5)--5)+(-5*(((64.08*(64.08-(-5/-5)))*(64.08-(64.08/(-5*64.08))))-(-5/-5)))))</f>
        <v>1307604.0937599998</v>
      </c>
      <c r="C16409" t="n" s="0">
        <v>1307604.0937599998</v>
      </c>
    </row>
    <row r="16410">
      <c r="A16410" t="n" s="0">
        <v>64.09</v>
      </c>
      <c r="B16410" t="n" s="0">
        <f>(-5-((((-5*(-5/((-5/(((-5*(64.09--5))-(-5+((-5*64.09)*(((-5--5)+(64.09--5))+64.09))))-(-5+-5)))*-5)))/-5)--5)+(-5*(((64.09*(64.09-(-5/-5)))*(64.09-(64.09/(-5*64.09))))-(-5/-5)))))</f>
        <v>1308217.593445</v>
      </c>
      <c r="C16410" t="n" s="0">
        <v>1308217.5934450002</v>
      </c>
    </row>
    <row r="16411">
      <c r="A16411" t="n" s="0">
        <v>64.1</v>
      </c>
      <c r="B16411" t="n" s="0">
        <f>(-5-((((-5*(-5/((-5/(((-5*(64.1--5))-(-5+((-5*64.1)*(((-5--5)+(64.1--5))+64.1))))-(-5+-5)))*-5)))/-5)--5)+(-5*(((64.1*(64.1-(-5/-5)))*(64.1-(64.1/(-5*64.1))))-(-5/-5)))))</f>
        <v>1308831.285</v>
      </c>
      <c r="C16411" t="n" s="0">
        <v>1308831.2849999995</v>
      </c>
    </row>
    <row r="16412">
      <c r="A16412" t="n" s="0">
        <v>64.11</v>
      </c>
      <c r="B16412" t="n" s="0">
        <f>(-5-((((-5*(-5/((-5/(((-5*(64.11--5))-(-5+((-5*64.11)*(((-5--5)+(64.11--5))+64.11))))-(-5+-5)))*-5)))/-5)--5)+(-5*(((64.11*(64.11-(-5/-5)))*(64.11-(64.11/(-5*64.11))))-(-5/-5)))))</f>
        <v>1309445.168455</v>
      </c>
      <c r="C16412" t="n" s="0">
        <v>1309445.168455</v>
      </c>
    </row>
    <row r="16413">
      <c r="A16413" t="n" s="0">
        <v>64.12</v>
      </c>
      <c r="B16413" t="n" s="0">
        <f>(-5-((((-5*(-5/((-5/(((-5*(64.12--5))-(-5+((-5*64.12)*(((-5--5)+(64.12--5))+64.12))))-(-5+-5)))*-5)))/-5)--5)+(-5*(((64.12*(64.12-(-5/-5)))*(64.12-(64.12/(-5*64.12))))-(-5/-5)))))</f>
        <v>1310059.24384</v>
      </c>
      <c r="C16413" t="n" s="0">
        <v>1310059.2438400006</v>
      </c>
    </row>
    <row r="16414">
      <c r="A16414" t="n" s="0">
        <v>64.13</v>
      </c>
      <c r="B16414" t="n" s="0">
        <f>(-5-((((-5*(-5/((-5/(((-5*(64.13--5))-(-5+((-5*64.13)*(((-5--5)+(64.13--5))+64.13))))-(-5+-5)))*-5)))/-5)--5)+(-5*(((64.13*(64.13-(-5/-5)))*(64.13-(64.13/(-5*64.13))))-(-5/-5)))))</f>
        <v>1310673.511185</v>
      </c>
      <c r="C16414" t="n" s="0">
        <v>1310673.5111849997</v>
      </c>
    </row>
    <row r="16415">
      <c r="A16415" t="n" s="0">
        <v>64.14</v>
      </c>
      <c r="B16415" t="n" s="0">
        <f>(-5-((((-5*(-5/((-5/(((-5*(64.14--5))-(-5+((-5*64.14)*(((-5--5)+(64.14--5))+64.14))))-(-5+-5)))*-5)))/-5)--5)+(-5*(((64.14*(64.14-(-5/-5)))*(64.14-(64.14/(-5*64.14))))-(-5/-5)))))</f>
        <v>1311287.97052</v>
      </c>
      <c r="C16415" t="n" s="0">
        <v>1311287.9705199997</v>
      </c>
    </row>
    <row r="16416">
      <c r="A16416" t="n" s="0">
        <v>64.15</v>
      </c>
      <c r="B16416" t="n" s="0">
        <f>(-5-((((-5*(-5/((-5/(((-5*(64.15--5))-(-5+((-5*64.15)*(((-5--5)+(64.15--5))+64.15))))-(-5+-5)))*-5)))/-5)--5)+(-5*(((64.15*(64.15-(-5/-5)))*(64.15-(64.15/(-5*64.15))))-(-5/-5)))))</f>
        <v>1311902.621875</v>
      </c>
      <c r="C16416" t="n" s="0">
        <v>1311902.6218750002</v>
      </c>
    </row>
    <row r="16417">
      <c r="A16417" t="n" s="0">
        <v>64.16</v>
      </c>
      <c r="B16417" t="n" s="0">
        <f>(-5-((((-5*(-5/((-5/(((-5*(64.16--5))-(-5+((-5*64.16)*(((-5--5)+(64.16--5))+64.16))))-(-5+-5)))*-5)))/-5)--5)+(-5*(((64.16*(64.16-(-5/-5)))*(64.16-(64.16/(-5*64.16))))-(-5/-5)))))</f>
        <v>1312517.46528</v>
      </c>
      <c r="C16417" t="n" s="0">
        <v>1312517.4652799997</v>
      </c>
    </row>
    <row r="16418">
      <c r="A16418" t="n" s="0">
        <v>64.17</v>
      </c>
      <c r="B16418" t="n" s="0">
        <f>(-5-((((-5*(-5/((-5/(((-5*(64.17--5))-(-5+((-5*64.17)*(((-5--5)+(64.17--5))+64.17))))-(-5+-5)))*-5)))/-5)--5)+(-5*(((64.17*(64.17-(-5/-5)))*(64.17-(64.17/(-5*64.17))))-(-5/-5)))))</f>
        <v>1313132.500765</v>
      </c>
      <c r="C16418" t="n" s="0">
        <v>1313132.5007649998</v>
      </c>
    </row>
    <row r="16419">
      <c r="A16419" t="n" s="0">
        <v>64.18</v>
      </c>
      <c r="B16419" t="n" s="0">
        <f>(-5-((((-5*(-5/((-5/(((-5*(64.18--5))-(-5+((-5*64.18)*(((-5--5)+(64.18--5))+64.18))))-(-5+-5)))*-5)))/-5)--5)+(-5*(((64.18*(64.18-(-5/-5)))*(64.18-(64.18/(-5*64.18))))-(-5/-5)))))</f>
        <v>1313747.7283599998</v>
      </c>
      <c r="C16419" t="n" s="0">
        <v>1313747.7283600005</v>
      </c>
    </row>
    <row r="16420">
      <c r="A16420" t="n" s="0">
        <v>64.19</v>
      </c>
      <c r="B16420" t="n" s="0">
        <f>(-5-((((-5*(-5/((-5/(((-5*(64.19--5))-(-5+((-5*64.19)*(((-5--5)+(64.19--5))+64.19))))-(-5+-5)))*-5)))/-5)--5)+(-5*(((64.19*(64.19-(-5/-5)))*(64.19-(64.19/(-5*64.19))))-(-5/-5)))))</f>
        <v>1314363.148095</v>
      </c>
      <c r="C16420" t="n" s="0">
        <v>1314363.148095</v>
      </c>
    </row>
    <row r="16421">
      <c r="A16421" t="n" s="0">
        <v>64.2</v>
      </c>
      <c r="B16421" t="n" s="0">
        <f>(-5-((((-5*(-5/((-5/(((-5*(64.2--5))-(-5+((-5*64.2)*(((-5--5)+(64.2--5))+64.2))))-(-5+-5)))*-5)))/-5)--5)+(-5*(((64.2*(64.2-(-5/-5)))*(64.2-(64.2/(-5*64.2))))-(-5/-5)))))</f>
        <v>1314978.76</v>
      </c>
      <c r="C16421" t="n" s="0">
        <v>1314978.7600000005</v>
      </c>
    </row>
    <row r="16422">
      <c r="A16422" t="n" s="0">
        <v>64.21</v>
      </c>
      <c r="B16422" t="n" s="0">
        <f>(-5-((((-5*(-5/((-5/(((-5*(64.21--5))-(-5+((-5*64.21)*(((-5--5)+(64.21--5))+64.21))))-(-5+-5)))*-5)))/-5)--5)+(-5*(((64.21*(64.21-(-5/-5)))*(64.21-(64.21/(-5*64.21))))-(-5/-5)))))</f>
        <v>1315594.5641049999</v>
      </c>
      <c r="C16422" t="n" s="0">
        <v>1315594.5641049994</v>
      </c>
    </row>
    <row r="16423">
      <c r="A16423" t="n" s="0">
        <v>64.22</v>
      </c>
      <c r="B16423" t="n" s="0">
        <f>(-5-((((-5*(-5/((-5/(((-5*(64.22--5))-(-5+((-5*64.22)*(((-5--5)+(64.22--5))+64.22))))-(-5+-5)))*-5)))/-5)--5)+(-5*(((64.22*(64.22-(-5/-5)))*(64.22-(64.22/(-5*64.22))))-(-5/-5)))))</f>
        <v>1316210.5604400001</v>
      </c>
      <c r="C16423" t="n" s="0">
        <v>1316210.5604399997</v>
      </c>
    </row>
    <row r="16424">
      <c r="A16424" t="n" s="0">
        <v>64.23</v>
      </c>
      <c r="B16424" t="n" s="0">
        <f>(-5-((((-5*(-5/((-5/(((-5*(64.23--5))-(-5+((-5*64.23)*(((-5--5)+(64.23--5))+64.23))))-(-5+-5)))*-5)))/-5)--5)+(-5*(((64.23*(64.23-(-5/-5)))*(64.23-(64.23/(-5*64.23))))-(-5/-5)))))</f>
        <v>1316826.749035</v>
      </c>
      <c r="C16424" t="n" s="0">
        <v>1316826.749035</v>
      </c>
    </row>
    <row r="16425">
      <c r="A16425" t="n" s="0">
        <v>64.24</v>
      </c>
      <c r="B16425" t="n" s="0">
        <f>(-5-((((-5*(-5/((-5/(((-5*(64.24--5))-(-5+((-5*64.24)*(((-5--5)+(64.24--5))+64.24))))-(-5+-5)))*-5)))/-5)--5)+(-5*(((64.24*(64.24-(-5/-5)))*(64.24-(64.24/(-5*64.24))))-(-5/-5)))))</f>
        <v>1317443.12992</v>
      </c>
      <c r="C16425" t="n" s="0">
        <v>1317443.1299199995</v>
      </c>
    </row>
    <row r="16426">
      <c r="A16426" t="n" s="0">
        <v>64.25</v>
      </c>
      <c r="B16426" t="n" s="0">
        <f>(-5-((((-5*(-5/((-5/(((-5*(64.25--5))-(-5+((-5*64.25)*(((-5--5)+(64.25--5))+64.25))))-(-5+-5)))*-5)))/-5)--5)+(-5*(((64.25*(64.25-(-5/-5)))*(64.25-(64.25/(-5*64.25))))-(-5/-5)))))</f>
        <v>1318059.703125</v>
      </c>
      <c r="C16426" t="n" s="0">
        <v>1318059.703125</v>
      </c>
    </row>
    <row r="16427">
      <c r="A16427" t="n" s="0">
        <v>64.26</v>
      </c>
      <c r="B16427" t="n" s="0">
        <f>(-5-((((-5*(-5/((-5/(((-5*(64.26--5))-(-5+((-5*64.26)*(((-5--5)+(64.26--5))+64.26))))-(-5+-5)))*-5)))/-5)--5)+(-5*(((64.26*(64.26-(-5/-5)))*(64.26-(64.26/(-5*64.26))))-(-5/-5)))))</f>
        <v>1318676.46868</v>
      </c>
      <c r="C16427" t="n" s="0">
        <v>1318676.4686800004</v>
      </c>
    </row>
    <row r="16428">
      <c r="A16428" t="n" s="0">
        <v>64.27</v>
      </c>
      <c r="B16428" t="n" s="0">
        <f>(-5-((((-5*(-5/((-5/(((-5*(64.27--5))-(-5+((-5*64.27)*(((-5--5)+(64.27--5))+64.27))))-(-5+-5)))*-5)))/-5)--5)+(-5*(((64.27*(64.27-(-5/-5)))*(64.27-(64.27/(-5*64.27))))-(-5/-5)))))</f>
        <v>1319293.426615</v>
      </c>
      <c r="C16428" t="n" s="0">
        <v>1319293.426615</v>
      </c>
    </row>
    <row r="16429">
      <c r="A16429" t="n" s="0">
        <v>64.28</v>
      </c>
      <c r="B16429" t="n" s="0">
        <f>(-5-((((-5*(-5/((-5/(((-5*(64.28--5))-(-5+((-5*64.28)*(((-5--5)+(64.28--5))+64.28))))-(-5+-5)))*-5)))/-5)--5)+(-5*(((64.28*(64.28-(-5/-5)))*(64.28-(64.28/(-5*64.28))))-(-5/-5)))))</f>
        <v>1319910.57696</v>
      </c>
      <c r="C16429" t="n" s="0">
        <v>1319910.5769600002</v>
      </c>
    </row>
    <row r="16430">
      <c r="A16430" t="n" s="0">
        <v>64.29</v>
      </c>
      <c r="B16430" t="n" s="0">
        <f>(-5-((((-5*(-5/((-5/(((-5*(64.29--5))-(-5+((-5*64.29)*(((-5--5)+(64.29--5))+64.29))))-(-5+-5)))*-5)))/-5)--5)+(-5*(((64.29*(64.29-(-5/-5)))*(64.29-(64.29/(-5*64.29))))-(-5/-5)))))</f>
        <v>1320527.919745</v>
      </c>
      <c r="C16430" t="n" s="0">
        <v>1320527.9197450005</v>
      </c>
    </row>
    <row r="16431">
      <c r="A16431" t="n" s="0">
        <v>64.3</v>
      </c>
      <c r="B16431" t="n" s="0">
        <f>(-5-((((-5*(-5/((-5/(((-5*(64.3--5))-(-5+((-5*64.3)*(((-5--5)+(64.3--5))+64.3))))-(-5+-5)))*-5)))/-5)--5)+(-5*(((64.3*(64.3-(-5/-5)))*(64.3-(64.3/(-5*64.3))))-(-5/-5)))))</f>
        <v>1321145.4549999998</v>
      </c>
      <c r="C16431" t="n" s="0">
        <v>1321145.4549999996</v>
      </c>
    </row>
    <row r="16432">
      <c r="A16432" t="n" s="0">
        <v>64.31</v>
      </c>
      <c r="B16432" t="n" s="0">
        <f>(-5-((((-5*(-5/((-5/(((-5*(64.31--5))-(-5+((-5*64.31)*(((-5--5)+(64.31--5))+64.31))))-(-5+-5)))*-5)))/-5)--5)+(-5*(((64.31*(64.31-(-5/-5)))*(64.31-(64.31/(-5*64.31))))-(-5/-5)))))</f>
        <v>1321763.182755</v>
      </c>
      <c r="C16432" t="n" s="0">
        <v>1321763.1827550002</v>
      </c>
    </row>
    <row r="16433">
      <c r="A16433" t="n" s="0">
        <v>64.32</v>
      </c>
      <c r="B16433" t="n" s="0">
        <f>(-5-((((-5*(-5/((-5/(((-5*(64.32--5))-(-5+((-5*64.32)*(((-5--5)+(64.32--5))+64.32))))-(-5+-5)))*-5)))/-5)--5)+(-5*(((64.32*(64.32-(-5/-5)))*(64.32-(64.32/(-5*64.32))))-(-5/-5)))))</f>
        <v>1322381.1030400002</v>
      </c>
      <c r="C16433" t="n" s="0">
        <v>1322381.1030399993</v>
      </c>
    </row>
    <row r="16434">
      <c r="A16434" t="n" s="0">
        <v>64.33</v>
      </c>
      <c r="B16434" t="n" s="0">
        <f>(-5-((((-5*(-5/((-5/(((-5*(64.33--5))-(-5+((-5*64.33)*(((-5--5)+(64.33--5))+64.33))))-(-5+-5)))*-5)))/-5)--5)+(-5*(((64.33*(64.33-(-5/-5)))*(64.33-(64.33/(-5*64.33))))-(-5/-5)))))</f>
        <v>1322999.215885</v>
      </c>
      <c r="C16434" t="n" s="0">
        <v>1322999.2158849998</v>
      </c>
    </row>
    <row r="16435">
      <c r="A16435" t="n" s="0">
        <v>64.34</v>
      </c>
      <c r="B16435" t="n" s="0">
        <f>(-5-((((-5*(-5/((-5/(((-5*(64.34--5))-(-5+((-5*64.34)*(((-5--5)+(64.34--5))+64.34))))-(-5+-5)))*-5)))/-5)--5)+(-5*(((64.34*(64.34-(-5/-5)))*(64.34-(64.34/(-5*64.34))))-(-5/-5)))))</f>
        <v>1323617.52132</v>
      </c>
      <c r="C16435" t="n" s="0">
        <v>1323617.52132</v>
      </c>
    </row>
    <row r="16436">
      <c r="A16436" t="n" s="0">
        <v>64.35</v>
      </c>
      <c r="B16436" t="n" s="0">
        <f>(-5-((((-5*(-5/((-5/(((-5*(64.35--5))-(-5+((-5*64.35)*(((-5--5)+(64.35--5))+64.35))))-(-5+-5)))*-5)))/-5)--5)+(-5*(((64.35*(64.35-(-5/-5)))*(64.35-(64.35/(-5*64.35))))-(-5/-5)))))</f>
        <v>1324236.0193750001</v>
      </c>
      <c r="C16436" t="n" s="0">
        <v>1324236.0193749997</v>
      </c>
    </row>
    <row r="16437">
      <c r="A16437" t="n" s="0">
        <v>64.36</v>
      </c>
      <c r="B16437" t="n" s="0">
        <f>(-5-((((-5*(-5/((-5/(((-5*(64.36--5))-(-5+((-5*64.36)*(((-5--5)+(64.36--5))+64.36))))-(-5+-5)))*-5)))/-5)--5)+(-5*(((64.36*(64.36-(-5/-5)))*(64.36-(64.36/(-5*64.36))))-(-5/-5)))))</f>
        <v>1324854.71008</v>
      </c>
      <c r="C16437" t="n" s="0">
        <v>1324854.71008</v>
      </c>
    </row>
    <row r="16438">
      <c r="A16438" t="n" s="0">
        <v>64.37</v>
      </c>
      <c r="B16438" t="n" s="0">
        <f>(-5-((((-5*(-5/((-5/(((-5*(64.37--5))-(-5+((-5*64.37)*(((-5--5)+(64.37--5))+64.37))))-(-5+-5)))*-5)))/-5)--5)+(-5*(((64.37*(64.37-(-5/-5)))*(64.37-(64.37/(-5*64.37))))-(-5/-5)))))</f>
        <v>1325473.593465</v>
      </c>
      <c r="C16438" t="n" s="0">
        <v>1325473.5934650002</v>
      </c>
    </row>
    <row r="16439">
      <c r="A16439" t="n" s="0">
        <v>64.38</v>
      </c>
      <c r="B16439" t="n" s="0">
        <f>(-5-((((-5*(-5/((-5/(((-5*(64.38--5))-(-5+((-5*64.38)*(((-5--5)+(64.38--5))+64.38))))-(-5+-5)))*-5)))/-5)--5)+(-5*(((64.38*(64.38-(-5/-5)))*(64.38-(64.38/(-5*64.38))))-(-5/-5)))))</f>
        <v>1326092.66956</v>
      </c>
      <c r="C16439" t="n" s="0">
        <v>1326092.6695599996</v>
      </c>
    </row>
    <row r="16440">
      <c r="A16440" t="n" s="0">
        <v>64.39</v>
      </c>
      <c r="B16440" t="n" s="0">
        <f>(-5-((((-5*(-5/((-5/(((-5*(64.39--5))-(-5+((-5*64.39)*(((-5--5)+(64.39--5))+64.39))))-(-5+-5)))*-5)))/-5)--5)+(-5*(((64.39*(64.39-(-5/-5)))*(64.39-(64.39/(-5*64.39))))-(-5/-5)))))</f>
        <v>1326711.938395</v>
      </c>
      <c r="C16440" t="n" s="0">
        <v>1326711.9383949998</v>
      </c>
    </row>
    <row r="16441">
      <c r="A16441" t="n" s="0">
        <v>64.4</v>
      </c>
      <c r="B16441" t="n" s="0">
        <f>(-5-((((-5*(-5/((-5/(((-5*(64.4--5))-(-5+((-5*64.4)*(((-5--5)+(64.4--5))+64.4))))-(-5+-5)))*-5)))/-5)--5)+(-5*(((64.4*(64.4-(-5/-5)))*(64.4-(64.4/(-5*64.4))))-(-5/-5)))))</f>
        <v>1327331.4000000001</v>
      </c>
      <c r="C16441" t="n" s="0">
        <v>1327331.4000000004</v>
      </c>
    </row>
    <row r="16442">
      <c r="A16442" t="n" s="0">
        <v>64.41</v>
      </c>
      <c r="B16442" t="n" s="0">
        <f>(-5-((((-5*(-5/((-5/(((-5*(64.41--5))-(-5+((-5*64.41)*(((-5--5)+(64.41--5))+64.41))))-(-5+-5)))*-5)))/-5)--5)+(-5*(((64.41*(64.41-(-5/-5)))*(64.41-(64.41/(-5*64.41))))-(-5/-5)))))</f>
        <v>1327951.0544049998</v>
      </c>
      <c r="C16442" t="n" s="0">
        <v>1327951.0544049996</v>
      </c>
    </row>
    <row r="16443">
      <c r="A16443" t="n" s="0">
        <v>64.42</v>
      </c>
      <c r="B16443" t="n" s="0">
        <f>(-5-((((-5*(-5/((-5/(((-5*(64.42--5))-(-5+((-5*64.42)*(((-5--5)+(64.42--5))+64.42))))-(-5+-5)))*-5)))/-5)--5)+(-5*(((64.42*(64.42-(-5/-5)))*(64.42-(64.42/(-5*64.42))))-(-5/-5)))))</f>
        <v>1328570.90164</v>
      </c>
      <c r="C16443" t="n" s="0">
        <v>1328570.90164</v>
      </c>
    </row>
    <row r="16444">
      <c r="A16444" t="n" s="0">
        <v>64.43</v>
      </c>
      <c r="B16444" t="n" s="0">
        <f>(-5-((((-5*(-5/((-5/(((-5*(64.43--5))-(-5+((-5*64.43)*(((-5--5)+(64.43--5))+64.43))))-(-5+-5)))*-5)))/-5)--5)+(-5*(((64.43*(64.43-(-5/-5)))*(64.43-(64.43/(-5*64.43))))-(-5/-5)))))</f>
        <v>1329190.9417350001</v>
      </c>
      <c r="C16444" t="n" s="0">
        <v>1329190.9417350006</v>
      </c>
    </row>
    <row r="16445">
      <c r="A16445" t="n" s="0">
        <v>64.44</v>
      </c>
      <c r="B16445" t="n" s="0">
        <f>(-5-((((-5*(-5/((-5/(((-5*(64.44--5))-(-5+((-5*64.44)*(((-5--5)+(64.44--5))+64.44))))-(-5+-5)))*-5)))/-5)--5)+(-5*(((64.44*(64.44-(-5/-5)))*(64.44-(64.44/(-5*64.44))))-(-5/-5)))))</f>
        <v>1329811.17472</v>
      </c>
      <c r="C16445" t="n" s="0">
        <v>1329811.17472</v>
      </c>
    </row>
    <row r="16446">
      <c r="A16446" t="n" s="0">
        <v>64.45</v>
      </c>
      <c r="B16446" t="n" s="0">
        <f>(-5-((((-5*(-5/((-5/(((-5*(64.45--5))-(-5+((-5*64.45)*(((-5--5)+(64.45--5))+64.45))))-(-5+-5)))*-5)))/-5)--5)+(-5*(((64.45*(64.45-(-5/-5)))*(64.45-(64.45/(-5*64.45))))-(-5/-5)))))</f>
        <v>1330431.600625</v>
      </c>
      <c r="C16446" t="n" s="0">
        <v>1330431.6006250002</v>
      </c>
    </row>
    <row r="16447">
      <c r="A16447" t="n" s="0">
        <v>64.46</v>
      </c>
      <c r="B16447" t="n" s="0">
        <f>(-5-((((-5*(-5/((-5/(((-5*(64.46--5))-(-5+((-5*64.46)*(((-5--5)+(64.46--5))+64.46))))-(-5+-5)))*-5)))/-5)--5)+(-5*(((64.46*(64.46-(-5/-5)))*(64.46-(64.46/(-5*64.46))))-(-5/-5)))))</f>
        <v>1331052.21948</v>
      </c>
      <c r="C16447" t="n" s="0">
        <v>1331052.2194799993</v>
      </c>
    </row>
    <row r="16448">
      <c r="A16448" t="n" s="0">
        <v>64.47</v>
      </c>
      <c r="B16448" t="n" s="0">
        <f>(-5-((((-5*(-5/((-5/(((-5*(64.47--5))-(-5+((-5*64.47)*(((-5--5)+(64.47--5))+64.47))))-(-5+-5)))*-5)))/-5)--5)+(-5*(((64.47*(64.47-(-5/-5)))*(64.47-(64.47/(-5*64.47))))-(-5/-5)))))</f>
        <v>1331673.031315</v>
      </c>
      <c r="C16448" t="n" s="0">
        <v>1331673.0313149998</v>
      </c>
    </row>
    <row r="16449">
      <c r="A16449" t="n" s="0">
        <v>64.48</v>
      </c>
      <c r="B16449" t="n" s="0">
        <f>(-5-((((-5*(-5/((-5/(((-5*(64.48--5))-(-5+((-5*64.48)*(((-5--5)+(64.48--5))+64.48))))-(-5+-5)))*-5)))/-5)--5)+(-5*(((64.48*(64.48-(-5/-5)))*(64.48-(64.48/(-5*64.48))))-(-5/-5)))))</f>
        <v>1332294.0361600001</v>
      </c>
      <c r="C16449" t="n" s="0">
        <v>1332294.0361600004</v>
      </c>
    </row>
    <row r="16450">
      <c r="A16450" t="n" s="0">
        <v>64.49</v>
      </c>
      <c r="B16450" t="n" s="0">
        <f>(-5-((((-5*(-5/((-5/(((-5*(64.49--5))-(-5+((-5*64.49)*(((-5--5)+(64.49--5))+64.49))))-(-5+-5)))*-5)))/-5)--5)+(-5*(((64.49*(64.49-(-5/-5)))*(64.49-(64.49/(-5*64.49))))-(-5/-5)))))</f>
        <v>1332915.234045</v>
      </c>
      <c r="C16450" t="n" s="0">
        <v>1332915.2340449996</v>
      </c>
    </row>
    <row r="16451">
      <c r="A16451" t="n" s="0">
        <v>64.5</v>
      </c>
      <c r="B16451" t="n" s="0">
        <f>(-5-((((-5*(-5/((-5/(((-5*(64.5--5))-(-5+((-5*64.5)*(((-5--5)+(64.5--5))+64.5))))-(-5+-5)))*-5)))/-5)--5)+(-5*(((64.5*(64.5-(-5/-5)))*(64.5-(64.5/(-5*64.5))))-(-5/-5)))))</f>
        <v>1333536.625</v>
      </c>
      <c r="C16451" t="n" s="0">
        <v>1333536.625</v>
      </c>
    </row>
    <row r="16452">
      <c r="A16452" t="n" s="0">
        <v>64.51</v>
      </c>
      <c r="B16452" t="n" s="0">
        <f>(-5-((((-5*(-5/((-5/(((-5*(64.51--5))-(-5+((-5*64.51)*(((-5--5)+(64.51--5))+64.51))))-(-5+-5)))*-5)))/-5)--5)+(-5*(((64.51*(64.51-(-5/-5)))*(64.51-(64.51/(-5*64.51))))-(-5/-5)))))</f>
        <v>1334158.209055</v>
      </c>
      <c r="C16452" t="n" s="0">
        <v>1334158.2090550005</v>
      </c>
    </row>
    <row r="16453">
      <c r="A16453" t="n" s="0">
        <v>64.52</v>
      </c>
      <c r="B16453" t="n" s="0">
        <f>(-5-((((-5*(-5/((-5/(((-5*(64.52--5))-(-5+((-5*64.52)*(((-5--5)+(64.52--5))+64.52))))-(-5+-5)))*-5)))/-5)--5)+(-5*(((64.52*(64.52-(-5/-5)))*(64.52-(64.52/(-5*64.52))))-(-5/-5)))))</f>
        <v>1334779.98624</v>
      </c>
      <c r="C16453" t="n" s="0">
        <v>1334779.9862399998</v>
      </c>
    </row>
    <row r="16454">
      <c r="A16454" t="n" s="0">
        <v>64.53</v>
      </c>
      <c r="B16454" t="n" s="0">
        <f>(-5-((((-5*(-5/((-5/(((-5*(64.53--5))-(-5+((-5*64.53)*(((-5--5)+(64.53--5))+64.53))))-(-5+-5)))*-5)))/-5)--5)+(-5*(((64.53*(64.53-(-5/-5)))*(64.53-(64.53/(-5*64.53))))-(-5/-5)))))</f>
        <v>1335401.956585</v>
      </c>
      <c r="C16454" t="n" s="0">
        <v>1335401.956585</v>
      </c>
    </row>
    <row r="16455">
      <c r="A16455" t="n" s="0">
        <v>64.54</v>
      </c>
      <c r="B16455" t="n" s="0">
        <f>(-5-((((-5*(-5/((-5/(((-5*(64.54--5))-(-5+((-5*64.54)*(((-5--5)+(64.54--5))+64.54))))-(-5+-5)))*-5)))/-5)--5)+(-5*(((64.54*(64.54-(-5/-5)))*(64.54-(64.54/(-5*64.54))))-(-5/-5)))))</f>
        <v>1336024.12012</v>
      </c>
      <c r="C16455" t="n" s="0">
        <v>1336024.1201200006</v>
      </c>
    </row>
    <row r="16456">
      <c r="A16456" t="n" s="0">
        <v>64.55</v>
      </c>
      <c r="B16456" t="n" s="0">
        <f>(-5-((((-5*(-5/((-5/(((-5*(64.55--5))-(-5+((-5*64.55)*(((-5--5)+(64.55--5))+64.55))))-(-5+-5)))*-5)))/-5)--5)+(-5*(((64.55*(64.55-(-5/-5)))*(64.55-(64.55/(-5*64.55))))-(-5/-5)))))</f>
        <v>1336646.476875</v>
      </c>
      <c r="C16456" t="n" s="0">
        <v>1336646.4768749997</v>
      </c>
    </row>
    <row r="16457">
      <c r="A16457" t="n" s="0">
        <v>64.56</v>
      </c>
      <c r="B16457" t="n" s="0">
        <f>(-5-((((-5*(-5/((-5/(((-5*(64.56--5))-(-5+((-5*64.56)*(((-5--5)+(64.56--5))+64.56))))-(-5+-5)))*-5)))/-5)--5)+(-5*(((64.56*(64.56-(-5/-5)))*(64.56-(64.56/(-5*64.56))))-(-5/-5)))))</f>
        <v>1337269.02688</v>
      </c>
      <c r="C16457" t="n" s="0">
        <v>1337269.0268799998</v>
      </c>
    </row>
    <row r="16458">
      <c r="A16458" t="n" s="0">
        <v>64.57</v>
      </c>
      <c r="B16458" t="n" s="0">
        <f>(-5-((((-5*(-5/((-5/(((-5*(64.57--5))-(-5+((-5*64.57)*(((-5--5)+(64.57--5))+64.57))))-(-5+-5)))*-5)))/-5)--5)+(-5*(((64.57*(64.57-(-5/-5)))*(64.57-(64.57/(-5*64.57))))-(-5/-5)))))</f>
        <v>1337891.7701649999</v>
      </c>
      <c r="C16458" t="n" s="0">
        <v>1337891.7701649996</v>
      </c>
    </row>
    <row r="16459">
      <c r="A16459" t="n" s="0">
        <v>64.58</v>
      </c>
      <c r="B16459" t="n" s="0">
        <f>(-5-((((-5*(-5/((-5/(((-5*(64.58--5))-(-5+((-5*64.58)*(((-5--5)+(64.58--5))+64.58))))-(-5+-5)))*-5)))/-5)--5)+(-5*(((64.58*(64.58-(-5/-5)))*(64.58-(64.58/(-5*64.58))))-(-5/-5)))))</f>
        <v>1338514.7067600002</v>
      </c>
      <c r="C16459" t="n" s="0">
        <v>1338514.70676</v>
      </c>
    </row>
    <row r="16460">
      <c r="A16460" t="n" s="0">
        <v>64.59</v>
      </c>
      <c r="B16460" t="n" s="0">
        <f>(-5-((((-5*(-5/((-5/(((-5*(64.59--5))-(-5+((-5*64.59)*(((-5--5)+(64.59--5))+64.59))))-(-5+-5)))*-5)))/-5)--5)+(-5*(((64.59*(64.59-(-5/-5)))*(64.59-(64.59/(-5*64.59))))-(-5/-5)))))</f>
        <v>1339137.836695</v>
      </c>
      <c r="C16460" t="n" s="0">
        <v>1339137.8366950003</v>
      </c>
    </row>
    <row r="16461">
      <c r="A16461" t="n" s="0">
        <v>64.6</v>
      </c>
      <c r="B16461" t="n" s="0">
        <f>(-5-((((-5*(-5/((-5/(((-5*(64.6--5))-(-5+((-5*64.6)*(((-5--5)+(64.6--5))+64.6))))-(-5+-5)))*-5)))/-5)--5)+(-5*(((64.6*(64.6-(-5/-5)))*(64.6-(64.6/(-5*64.6))))-(-5/-5)))))</f>
        <v>1339761.16</v>
      </c>
      <c r="C16461" t="n" s="0">
        <v>1339761.1599999997</v>
      </c>
    </row>
    <row r="16462">
      <c r="A16462" t="n" s="0">
        <v>64.61</v>
      </c>
      <c r="B16462" t="n" s="0">
        <f>(-5-((((-5*(-5/((-5/(((-5*(64.61--5))-(-5+((-5*64.61)*(((-5--5)+(64.61--5))+64.61))))-(-5+-5)))*-5)))/-5)--5)+(-5*(((64.61*(64.61-(-5/-5)))*(64.61-(64.61/(-5*64.61))))-(-5/-5)))))</f>
        <v>1340384.676705</v>
      </c>
      <c r="C16462" t="n" s="0">
        <v>1340384.6767050002</v>
      </c>
    </row>
    <row r="16463">
      <c r="A16463" t="n" s="0">
        <v>64.62</v>
      </c>
      <c r="B16463" t="n" s="0">
        <f>(-5-((((-5*(-5/((-5/(((-5*(64.62--5))-(-5+((-5*64.62)*(((-5--5)+(64.62--5))+64.62))))-(-5+-5)))*-5)))/-5)--5)+(-5*(((64.62*(64.62-(-5/-5)))*(64.62-(64.62/(-5*64.62))))-(-5/-5)))))</f>
        <v>1341008.3868399998</v>
      </c>
      <c r="C16463" t="n" s="0">
        <v>1341008.3868400005</v>
      </c>
    </row>
    <row r="16464">
      <c r="A16464" t="n" s="0">
        <v>64.63</v>
      </c>
      <c r="B16464" t="n" s="0">
        <f>(-5-((((-5*(-5/((-5/(((-5*(64.63--5))-(-5+((-5*64.63)*(((-5--5)+(64.63--5))+64.63))))-(-5+-5)))*-5)))/-5)--5)+(-5*(((64.63*(64.63-(-5/-5)))*(64.63-(64.63/(-5*64.63))))-(-5/-5)))))</f>
        <v>1341632.2904349999</v>
      </c>
      <c r="C16464" t="n" s="0">
        <v>1341632.2904349999</v>
      </c>
    </row>
    <row r="16465">
      <c r="A16465" t="n" s="0">
        <v>64.64</v>
      </c>
      <c r="B16465" t="n" s="0">
        <f>(-5-((((-5*(-5/((-5/(((-5*(64.64--5))-(-5+((-5*64.64)*(((-5--5)+(64.64--5))+64.64))))-(-5+-5)))*-5)))/-5)--5)+(-5*(((64.64*(64.64-(-5/-5)))*(64.64-(64.64/(-5*64.64))))-(-5/-5)))))</f>
        <v>1342256.3875199999</v>
      </c>
      <c r="C16465" t="n" s="0">
        <v>1342256.3875199999</v>
      </c>
    </row>
    <row r="16466">
      <c r="A16466" t="n" s="0">
        <v>64.65</v>
      </c>
      <c r="B16466" t="n" s="0">
        <f>(-5-((((-5*(-5/((-5/(((-5*(64.65--5))-(-5+((-5*64.65)*(((-5--5)+(64.65--5))+64.65))))-(-5+-5)))*-5)))/-5)--5)+(-5*(((64.65*(64.65-(-5/-5)))*(64.65-(64.65/(-5*64.65))))-(-5/-5)))))</f>
        <v>1342880.6781249999</v>
      </c>
      <c r="C16466" t="n" s="0">
        <v>1342880.6781250003</v>
      </c>
    </row>
    <row r="16467">
      <c r="A16467" t="n" s="0">
        <v>64.66</v>
      </c>
      <c r="B16467" t="n" s="0">
        <f>(-5-((((-5*(-5/((-5/(((-5*(64.66--5))-(-5+((-5*64.66)*(((-5--5)+(64.66--5))+64.66))))-(-5+-5)))*-5)))/-5)--5)+(-5*(((64.66*(64.66-(-5/-5)))*(64.66-(64.66/(-5*64.66))))-(-5/-5)))))</f>
        <v>1343505.16228</v>
      </c>
      <c r="C16467" t="n" s="0">
        <v>1343505.16228</v>
      </c>
    </row>
    <row r="16468">
      <c r="A16468" t="n" s="0">
        <v>64.67</v>
      </c>
      <c r="B16468" t="n" s="0">
        <f>(-5-((((-5*(-5/((-5/(((-5*(64.67--5))-(-5+((-5*64.67)*(((-5--5)+(64.67--5))+64.67))))-(-5+-5)))*-5)))/-5)--5)+(-5*(((64.67*(64.67-(-5/-5)))*(64.67-(64.67/(-5*64.67))))-(-5/-5)))))</f>
        <v>1344129.8400150002</v>
      </c>
      <c r="C16468" t="n" s="0">
        <v>1344129.840015</v>
      </c>
    </row>
    <row r="16469">
      <c r="A16469" t="n" s="0">
        <v>64.68</v>
      </c>
      <c r="B16469" t="n" s="0">
        <f>(-5-((((-5*(-5/((-5/(((-5*(64.68--5))-(-5+((-5*64.68)*(((-5--5)+(64.68--5))+64.68))))-(-5+-5)))*-5)))/-5)--5)+(-5*(((64.68*(64.68-(-5/-5)))*(64.68-(64.68/(-5*64.68))))-(-5/-5)))))</f>
        <v>1344754.71136</v>
      </c>
      <c r="C16469" t="n" s="0">
        <v>1344754.7113600003</v>
      </c>
    </row>
    <row r="16470">
      <c r="A16470" t="n" s="0">
        <v>64.69</v>
      </c>
      <c r="B16470" t="n" s="0">
        <f>(-5-((((-5*(-5/((-5/(((-5*(64.69--5))-(-5+((-5*64.69)*(((-5--5)+(64.69--5))+64.69))))-(-5+-5)))*-5)))/-5)--5)+(-5*(((64.69*(64.69-(-5/-5)))*(64.69-(64.69/(-5*64.69))))-(-5/-5)))))</f>
        <v>1345379.7763450001</v>
      </c>
      <c r="C16470" t="n" s="0">
        <v>1345379.7763449997</v>
      </c>
    </row>
    <row r="16471">
      <c r="A16471" t="n" s="0">
        <v>64.7</v>
      </c>
      <c r="B16471" t="n" s="0">
        <f>(-5-((((-5*(-5/((-5/(((-5*(64.7--5))-(-5+((-5*64.7)*(((-5--5)+(64.7--5))+64.7))))-(-5+-5)))*-5)))/-5)--5)+(-5*(((64.7*(64.7-(-5/-5)))*(64.7-(64.7/(-5*64.7))))-(-5/-5)))))</f>
        <v>1346005.035</v>
      </c>
      <c r="C16471" t="n" s="0">
        <v>1346005.0350000004</v>
      </c>
    </row>
    <row r="16472">
      <c r="A16472" t="n" s="0">
        <v>64.71</v>
      </c>
      <c r="B16472" t="n" s="0">
        <f>(-5-((((-5*(-5/((-5/(((-5*(64.71--5))-(-5+((-5*64.71)*(((-5--5)+(64.71--5))+64.71))))-(-5+-5)))*-5)))/-5)--5)+(-5*(((64.71*(64.71-(-5/-5)))*(64.71-(64.71/(-5*64.71))))-(-5/-5)))))</f>
        <v>1346630.4873549999</v>
      </c>
      <c r="C16472" t="n" s="0">
        <v>1346630.4873549994</v>
      </c>
    </row>
    <row r="16473">
      <c r="A16473" t="n" s="0">
        <v>64.72</v>
      </c>
      <c r="B16473" t="n" s="0">
        <f>(-5-((((-5*(-5/((-5/(((-5*(64.72--5))-(-5+((-5*64.72)*(((-5--5)+(64.72--5))+64.72))))-(-5+-5)))*-5)))/-5)--5)+(-5*(((64.72*(64.72-(-5/-5)))*(64.72-(64.72/(-5*64.72))))-(-5/-5)))))</f>
        <v>1347256.13344</v>
      </c>
      <c r="C16473" t="n" s="0">
        <v>1347256.1334399998</v>
      </c>
    </row>
    <row r="16474">
      <c r="A16474" t="n" s="0">
        <v>64.73</v>
      </c>
      <c r="B16474" t="n" s="0">
        <f>(-5-((((-5*(-5/((-5/(((-5*(64.73--5))-(-5+((-5*64.73)*(((-5--5)+(64.73--5))+64.73))))-(-5+-5)))*-5)))/-5)--5)+(-5*(((64.73*(64.73-(-5/-5)))*(64.73-(64.73/(-5*64.73))))-(-5/-5)))))</f>
        <v>1347881.973285</v>
      </c>
      <c r="C16474" t="n" s="0">
        <v>1347881.973285</v>
      </c>
    </row>
    <row r="16475">
      <c r="A16475" t="n" s="0">
        <v>64.74</v>
      </c>
      <c r="B16475" t="n" s="0">
        <f>(-5-((((-5*(-5/((-5/(((-5*(64.74--5))-(-5+((-5*64.74)*(((-5--5)+(64.74--5))+64.74))))-(-5+-5)))*-5)))/-5)--5)+(-5*(((64.74*(64.74-(-5/-5)))*(64.74-(64.74/(-5*64.74))))-(-5/-5)))))</f>
        <v>1348508.00692</v>
      </c>
      <c r="C16475" t="n" s="0">
        <v>1348508.0069199996</v>
      </c>
    </row>
    <row r="16476">
      <c r="A16476" t="n" s="0">
        <v>64.75</v>
      </c>
      <c r="B16476" t="n" s="0">
        <f>(-5-((((-5*(-5/((-5/(((-5*(64.75--5))-(-5+((-5*64.75)*(((-5--5)+(64.75--5))+64.75))))-(-5+-5)))*-5)))/-5)--5)+(-5*(((64.75*(64.75-(-5/-5)))*(64.75-(64.75/(-5*64.75))))-(-5/-5)))))</f>
        <v>1349134.234375</v>
      </c>
      <c r="C16476" t="n" s="0">
        <v>1349134.234375</v>
      </c>
    </row>
    <row r="16477">
      <c r="A16477" t="n" s="0">
        <v>64.76</v>
      </c>
      <c r="B16477" t="n" s="0">
        <f>(-5-((((-5*(-5/((-5/(((-5*(64.76--5))-(-5+((-5*64.76)*(((-5--5)+(64.76--5))+64.76))))-(-5+-5)))*-5)))/-5)--5)+(-5*(((64.76*(64.76-(-5/-5)))*(64.76-(64.76/(-5*64.76))))-(-5/-5)))))</f>
        <v>1349760.65568</v>
      </c>
      <c r="C16477" t="n" s="0">
        <v>1349760.6556800003</v>
      </c>
    </row>
    <row r="16478">
      <c r="A16478" t="n" s="0">
        <v>64.77</v>
      </c>
      <c r="B16478" t="n" s="0">
        <f>(-5-((((-5*(-5/((-5/(((-5*(64.77--5))-(-5+((-5*64.77)*(((-5--5)+(64.77--5))+64.77))))-(-5+-5)))*-5)))/-5)--5)+(-5*(((64.77*(64.77-(-5/-5)))*(64.77-(64.77/(-5*64.77))))-(-5/-5)))))</f>
        <v>1350387.270865</v>
      </c>
      <c r="C16478" t="n" s="0">
        <v>1350387.2708649996</v>
      </c>
    </row>
    <row r="16479">
      <c r="A16479" t="n" s="0">
        <v>64.78</v>
      </c>
      <c r="B16479" t="n" s="0">
        <f>(-5-((((-5*(-5/((-5/(((-5*(64.78--5))-(-5+((-5*64.78)*(((-5--5)+(64.78--5))+64.78))))-(-5+-5)))*-5)))/-5)--5)+(-5*(((64.78*(64.78-(-5/-5)))*(64.78-(64.78/(-5*64.78))))-(-5/-5)))))</f>
        <v>1351014.07996</v>
      </c>
      <c r="C16479" t="n" s="0">
        <v>1351014.0799600002</v>
      </c>
    </row>
    <row r="16480">
      <c r="A16480" t="n" s="0">
        <v>64.79</v>
      </c>
      <c r="B16480" t="n" s="0">
        <f>(-5-((((-5*(-5/((-5/(((-5*(64.79--5))-(-5+((-5*64.79)*(((-5--5)+(64.79--5))+64.79))))-(-5+-5)))*-5)))/-5)--5)+(-5*(((64.79*(64.79-(-5/-5)))*(64.79-(64.79/(-5*64.79))))-(-5/-5)))))</f>
        <v>1351641.0829949998</v>
      </c>
      <c r="C16480" t="n" s="0">
        <v>1351641.0829950005</v>
      </c>
    </row>
    <row r="16481">
      <c r="A16481" t="n" s="0">
        <v>64.8</v>
      </c>
      <c r="B16481" t="n" s="0">
        <f>(-5-((((-5*(-5/((-5/(((-5*(64.8--5))-(-5+((-5*64.8)*(((-5--5)+(64.8--5))+64.8))))-(-5+-5)))*-5)))/-5)--5)+(-5*(((64.8*(64.8-(-5/-5)))*(64.8-(64.8/(-5*64.8))))-(-5/-5)))))</f>
        <v>1352268.28</v>
      </c>
      <c r="C16481" t="n" s="0">
        <v>1352268.2799999996</v>
      </c>
    </row>
    <row r="16482">
      <c r="A16482" t="n" s="0">
        <v>64.81</v>
      </c>
      <c r="B16482" t="n" s="0">
        <f>(-5-((((-5*(-5/((-5/(((-5*(64.81--5))-(-5+((-5*64.81)*(((-5--5)+(64.81--5))+64.81))))-(-5+-5)))*-5)))/-5)--5)+(-5*(((64.81*(64.81-(-5/-5)))*(64.81-(64.81/(-5*64.81))))-(-5/-5)))))</f>
        <v>1352895.671005</v>
      </c>
      <c r="C16482" t="n" s="0">
        <v>1352895.6710050004</v>
      </c>
    </row>
    <row r="16483">
      <c r="A16483" t="n" s="0">
        <v>64.82</v>
      </c>
      <c r="B16483" t="n" s="0">
        <f>(-5-((((-5*(-5/((-5/(((-5*(64.82--5))-(-5+((-5*64.82)*(((-5--5)+(64.82--5))+64.82))))-(-5+-5)))*-5)))/-5)--5)+(-5*(((64.82*(64.82-(-5/-5)))*(64.82-(64.82/(-5*64.82))))-(-5/-5)))))</f>
        <v>1353523.2560400001</v>
      </c>
      <c r="C16483" t="n" s="0">
        <v>1353523.2560399994</v>
      </c>
    </row>
    <row r="16484">
      <c r="A16484" t="n" s="0">
        <v>64.83</v>
      </c>
      <c r="B16484" t="n" s="0">
        <f>(-5-((((-5*(-5/((-5/(((-5*(64.83--5))-(-5+((-5*64.83)*(((-5--5)+(64.83--5))+64.83))))-(-5+-5)))*-5)))/-5)--5)+(-5*(((64.83*(64.83-(-5/-5)))*(64.83-(64.83/(-5*64.83))))-(-5/-5)))))</f>
        <v>1354151.035135</v>
      </c>
      <c r="C16484" t="n" s="0">
        <v>1354151.0351349998</v>
      </c>
    </row>
    <row r="16485">
      <c r="A16485" t="n" s="0">
        <v>64.84</v>
      </c>
      <c r="B16485" t="n" s="0">
        <f>(-5-((((-5*(-5/((-5/(((-5*(64.84--5))-(-5+((-5*64.84)*(((-5--5)+(64.84--5))+64.84))))-(-5+-5)))*-5)))/-5)--5)+(-5*(((64.84*(64.84-(-5/-5)))*(64.84-(64.84/(-5*64.84))))-(-5/-5)))))</f>
        <v>1354779.00832</v>
      </c>
      <c r="C16485" t="n" s="0">
        <v>1354779.0083200003</v>
      </c>
    </row>
    <row r="16486">
      <c r="A16486" t="n" s="0">
        <v>64.85</v>
      </c>
      <c r="B16486" t="n" s="0">
        <f>(-5-((((-5*(-5/((-5/(((-5*(64.85--5))-(-5+((-5*64.85)*(((-5--5)+(64.85--5))+64.85))))-(-5+-5)))*-5)))/-5)--5)+(-5*(((64.85*(64.85-(-5/-5)))*(64.85-(64.85/(-5*64.85))))-(-5/-5)))))</f>
        <v>1355407.1756250001</v>
      </c>
      <c r="C16486" t="n" s="0">
        <v>1355407.1756249997</v>
      </c>
    </row>
    <row r="16487">
      <c r="A16487" t="n" s="0">
        <v>64.86</v>
      </c>
      <c r="B16487" t="n" s="0">
        <f>(-5-((((-5*(-5/((-5/(((-5*(64.86--5))-(-5+((-5*64.86)*(((-5--5)+(64.86--5))+64.86))))-(-5+-5)))*-5)))/-5)--5)+(-5*(((64.86*(64.86-(-5/-5)))*(64.86-(64.86/(-5*64.86))))-(-5/-5)))))</f>
        <v>1356035.53708</v>
      </c>
      <c r="C16487" t="n" s="0">
        <v>1356035.53708</v>
      </c>
    </row>
    <row r="16488">
      <c r="A16488" t="n" s="0">
        <v>64.87</v>
      </c>
      <c r="B16488" t="n" s="0">
        <f>(-5-((((-5*(-5/((-5/(((-5*(64.87--5))-(-5+((-5*64.87)*(((-5--5)+(64.87--5))+64.87))))-(-5+-5)))*-5)))/-5)--5)+(-5*(((64.87*(64.87-(-5/-5)))*(64.87-(64.87/(-5*64.87))))-(-5/-5)))))</f>
        <v>1356664.092715</v>
      </c>
      <c r="C16488" t="n" s="0">
        <v>1356664.0927150003</v>
      </c>
    </row>
    <row r="16489">
      <c r="A16489" t="n" s="0">
        <v>64.88</v>
      </c>
      <c r="B16489" t="n" s="0">
        <f>(-5-((((-5*(-5/((-5/(((-5*(64.88--5))-(-5+((-5*64.88)*(((-5--5)+(64.88--5))+64.88))))-(-5+-5)))*-5)))/-5)--5)+(-5*(((64.88*(64.88-(-5/-5)))*(64.88-(64.88/(-5*64.88))))-(-5/-5)))))</f>
        <v>1357292.84256</v>
      </c>
      <c r="C16489" t="n" s="0">
        <v>1357292.8425599998</v>
      </c>
    </row>
    <row r="16490">
      <c r="A16490" t="n" s="0">
        <v>64.89</v>
      </c>
      <c r="B16490" t="n" s="0">
        <f>(-5-((((-5*(-5/((-5/(((-5*(64.89--5))-(-5+((-5*64.89)*(((-5--5)+(64.89--5))+64.89))))-(-5+-5)))*-5)))/-5)--5)+(-5*(((64.89*(64.89-(-5/-5)))*(64.89-(64.89/(-5*64.89))))-(-5/-5)))))</f>
        <v>1357921.786645</v>
      </c>
      <c r="C16490" t="n" s="0">
        <v>1357921.786645</v>
      </c>
    </row>
    <row r="16491">
      <c r="A16491" t="n" s="0">
        <v>64.9</v>
      </c>
      <c r="B16491" t="n" s="0">
        <f>(-5-((((-5*(-5/((-5/(((-5*(64.9--5))-(-5+((-5*64.9)*(((-5--5)+(64.9--5))+64.9))))-(-5+-5)))*-5)))/-5)--5)+(-5*(((64.9*(64.9-(-5/-5)))*(64.9-(64.9/(-5*64.9))))-(-5/-5)))))</f>
        <v>1358550.925</v>
      </c>
      <c r="C16491" t="n" s="0">
        <v>1358550.9250000003</v>
      </c>
    </row>
    <row r="16492">
      <c r="A16492" t="n" s="0">
        <v>64.91</v>
      </c>
      <c r="B16492" t="n" s="0">
        <f>(-5-((((-5*(-5/((-5/(((-5*(64.91--5))-(-5+((-5*64.91)*(((-5--5)+(64.91--5))+64.91))))-(-5+-5)))*-5)))/-5)--5)+(-5*(((64.91*(64.91-(-5/-5)))*(64.91-(64.91/(-5*64.91))))-(-5/-5)))))</f>
        <v>1359180.2576549998</v>
      </c>
      <c r="C16492" t="n" s="0">
        <v>1359180.2576549998</v>
      </c>
    </row>
    <row r="16493">
      <c r="A16493" t="n" s="0">
        <v>64.92</v>
      </c>
      <c r="B16493" t="n" s="0">
        <f>(-5-((((-5*(-5/((-5/(((-5*(64.92--5))-(-5+((-5*64.92)*(((-5--5)+(64.92--5))+64.92))))-(-5+-5)))*-5)))/-5)--5)+(-5*(((64.92*(64.92-(-5/-5)))*(64.92-(64.92/(-5*64.92))))-(-5/-5)))))</f>
        <v>1359809.78464</v>
      </c>
      <c r="C16493" t="n" s="0">
        <v>1359809.78464</v>
      </c>
    </row>
    <row r="16494">
      <c r="A16494" t="n" s="0">
        <v>64.93</v>
      </c>
      <c r="B16494" t="n" s="0">
        <f>(-5-((((-5*(-5/((-5/(((-5*(64.93--5))-(-5+((-5*64.93)*(((-5--5)+(64.93--5))+64.93))))-(-5+-5)))*-5)))/-5)--5)+(-5*(((64.93*(64.93-(-5/-5)))*(64.93-(64.93/(-5*64.93))))-(-5/-5)))))</f>
        <v>1360439.505985</v>
      </c>
      <c r="C16494" t="n" s="0">
        <v>1360439.5059850006</v>
      </c>
    </row>
    <row r="16495">
      <c r="A16495" t="n" s="0">
        <v>64.94</v>
      </c>
      <c r="B16495" t="n" s="0">
        <f>(-5-((((-5*(-5/((-5/(((-5*(64.94--5))-(-5+((-5*64.94)*(((-5--5)+(64.94--5))+64.94))))-(-5+-5)))*-5)))/-5)--5)+(-5*(((64.94*(64.94-(-5/-5)))*(64.94-(64.94/(-5*64.94))))-(-5/-5)))))</f>
        <v>1361069.42172</v>
      </c>
      <c r="C16495" t="n" s="0">
        <v>1361069.42172</v>
      </c>
    </row>
    <row r="16496">
      <c r="A16496" t="n" s="0">
        <v>64.95</v>
      </c>
      <c r="B16496" t="n" s="0">
        <f>(-5-((((-5*(-5/((-5/(((-5*(64.95--5))-(-5+((-5*64.95)*(((-5--5)+(64.95--5))+64.95))))-(-5+-5)))*-5)))/-5)--5)+(-5*(((64.95*(64.95-(-5/-5)))*(64.95-(64.95/(-5*64.95))))-(-5/-5)))))</f>
        <v>1361699.5318749999</v>
      </c>
      <c r="C16496" t="n" s="0">
        <v>1361699.5318750003</v>
      </c>
    </row>
    <row r="16497">
      <c r="A16497" t="n" s="0">
        <v>64.96</v>
      </c>
      <c r="B16497" t="n" s="0">
        <f>(-5-((((-5*(-5/((-5/(((-5*(64.96--5))-(-5+((-5*64.96)*(((-5--5)+(64.96--5))+64.96))))-(-5+-5)))*-5)))/-5)--5)+(-5*(((64.96*(64.96-(-5/-5)))*(64.96-(64.96/(-5*64.96))))-(-5/-5)))))</f>
        <v>1362329.83648</v>
      </c>
      <c r="C16497" t="n" s="0">
        <v>1362329.8364799994</v>
      </c>
    </row>
    <row r="16498">
      <c r="A16498" t="n" s="0">
        <v>64.97</v>
      </c>
      <c r="B16498" t="n" s="0">
        <f>(-5-((((-5*(-5/((-5/(((-5*(64.97--5))-(-5+((-5*64.97)*(((-5--5)+(64.97--5))+64.97))))-(-5+-5)))*-5)))/-5)--5)+(-5*(((64.97*(64.97-(-5/-5)))*(64.97-(64.97/(-5*64.97))))-(-5/-5)))))</f>
        <v>1362960.335565</v>
      </c>
      <c r="C16498" t="n" s="0">
        <v>1362960.3355649998</v>
      </c>
    </row>
    <row r="16499">
      <c r="A16499" t="n" s="0">
        <v>64.98</v>
      </c>
      <c r="B16499" t="n" s="0">
        <f>(-5-((((-5*(-5/((-5/(((-5*(64.98--5))-(-5+((-5*64.98)*(((-5--5)+(64.98--5))+64.98))))-(-5+-5)))*-5)))/-5)--5)+(-5*(((64.98*(64.98-(-5/-5)))*(64.98-(64.98/(-5*64.98))))-(-5/-5)))))</f>
        <v>1363591.02916</v>
      </c>
      <c r="C16499" t="n" s="0">
        <v>1363591.0291600002</v>
      </c>
    </row>
    <row r="16500">
      <c r="A16500" t="n" s="0">
        <v>64.99</v>
      </c>
      <c r="B16500" t="n" s="0">
        <f>(-5-((((-5*(-5/((-5/(((-5*(64.99--5))-(-5+((-5*64.99)*(((-5--5)+(64.99--5))+64.99))))-(-5+-5)))*-5)))/-5)--5)+(-5*(((64.99*(64.99-(-5/-5)))*(64.99-(64.99/(-5*64.99))))-(-5/-5)))))</f>
        <v>1364221.917295</v>
      </c>
      <c r="C16500" t="n" s="0">
        <v>1364221.9172949996</v>
      </c>
    </row>
    <row r="16501">
      <c r="A16501" t="n" s="0">
        <v>65.0</v>
      </c>
      <c r="B16501" t="n" s="0">
        <f>(-5-((((-5*(-5/((-5/(((-5*(65--5))-(-5+((-5*65)*(((-5--5)+(65--5))+65))))-(-5+-5)))*-5)))/-5)--5)+(-5*(((65*(65-(-5/-5)))*(65-(65/(-5*65))))-(-5/-5)))))</f>
        <v>1364853.0</v>
      </c>
      <c r="C16501" t="n" s="0">
        <v>1364853.0</v>
      </c>
    </row>
    <row r="16502">
      <c r="A16502" t="n" s="0">
        <v>65.01</v>
      </c>
      <c r="B16502" t="n" s="0">
        <f>(-5-((((-5*(-5/((-5/(((-5*(65.01--5))-(-5+((-5*65.01)*(((-5--5)+(65.01--5))+65.01))))-(-5+-5)))*-5)))/-5)--5)+(-5*(((65.01*(65.01-(-5/-5)))*(65.01-(65.01/(-5*65.01))))-(-5/-5)))))</f>
        <v>1365484.277305</v>
      </c>
      <c r="C16502" t="n" s="0">
        <v>1365484.2773050005</v>
      </c>
    </row>
    <row r="16503">
      <c r="A16503" t="n" s="0">
        <v>65.02</v>
      </c>
      <c r="B16503" t="n" s="0">
        <f>(-5-((((-5*(-5/((-5/(((-5*(65.02--5))-(-5+((-5*65.02)*(((-5--5)+(65.02--5))+65.02))))-(-5+-5)))*-5)))/-5)--5)+(-5*(((65.02*(65.02-(-5/-5)))*(65.02-(65.02/(-5*65.02))))-(-5/-5)))))</f>
        <v>1366115.74924</v>
      </c>
      <c r="C16503" t="n" s="0">
        <v>1366115.7492399996</v>
      </c>
    </row>
    <row r="16504">
      <c r="A16504" t="n" s="0">
        <v>65.03</v>
      </c>
      <c r="B16504" t="n" s="0">
        <f>(-5-((((-5*(-5/((-5/(((-5*(65.03--5))-(-5+((-5*65.03)*(((-5--5)+(65.03--5))+65.03))))-(-5+-5)))*-5)))/-5)--5)+(-5*(((65.03*(65.03-(-5/-5)))*(65.03-(65.03/(-5*65.03))))-(-5/-5)))))</f>
        <v>1366747.4158349999</v>
      </c>
      <c r="C16504" t="n" s="0">
        <v>1366747.4158350003</v>
      </c>
    </row>
    <row r="16505">
      <c r="A16505" t="n" s="0">
        <v>65.04</v>
      </c>
      <c r="B16505" t="n" s="0">
        <f>(-5-((((-5*(-5/((-5/(((-5*(65.04--5))-(-5+((-5*65.04)*(((-5--5)+(65.04--5))+65.04))))-(-5+-5)))*-5)))/-5)--5)+(-5*(((65.04*(65.04-(-5/-5)))*(65.04-(65.04/(-5*65.04))))-(-5/-5)))))</f>
        <v>1367379.27712</v>
      </c>
      <c r="C16505" t="n" s="0">
        <v>1367379.2771200002</v>
      </c>
    </row>
    <row r="16506">
      <c r="A16506" t="n" s="0">
        <v>65.05</v>
      </c>
      <c r="B16506" t="n" s="0">
        <f>(-5-((((-5*(-5/((-5/(((-5*(65.05--5))-(-5+((-5*65.05)*(((-5--5)+(65.05--5))+65.05))))-(-5+-5)))*-5)))/-5)--5)+(-5*(((65.05*(65.05-(-5/-5)))*(65.05-(65.05/(-5*65.05))))-(-5/-5)))))</f>
        <v>1368011.3331250001</v>
      </c>
      <c r="C16506" t="n" s="0">
        <v>1368011.333125</v>
      </c>
    </row>
    <row r="16507">
      <c r="A16507" t="n" s="0">
        <v>65.06</v>
      </c>
      <c r="B16507" t="n" s="0">
        <f>(-5-((((-5*(-5/((-5/(((-5*(65.06--5))-(-5+((-5*65.06)*(((-5--5)+(65.06--5))+65.06))))-(-5+-5)))*-5)))/-5)--5)+(-5*(((65.06*(65.06-(-5/-5)))*(65.06-(65.06/(-5*65.06))))-(-5/-5)))))</f>
        <v>1368643.58388</v>
      </c>
      <c r="C16507" t="n" s="0">
        <v>1368643.58388</v>
      </c>
    </row>
    <row r="16508">
      <c r="A16508" t="n" s="0">
        <v>65.07</v>
      </c>
      <c r="B16508" t="n" s="0">
        <f>(-5-((((-5*(-5/((-5/(((-5*(65.07--5))-(-5+((-5*65.07)*(((-5--5)+(65.07--5))+65.07))))-(-5+-5)))*-5)))/-5)--5)+(-5*(((65.07*(65.07-(-5/-5)))*(65.07-(65.07/(-5*65.07))))-(-5/-5)))))</f>
        <v>1369276.029415</v>
      </c>
      <c r="C16508" t="n" s="0">
        <v>1369276.0294149995</v>
      </c>
    </row>
    <row r="16509">
      <c r="A16509" t="n" s="0">
        <v>65.08</v>
      </c>
      <c r="B16509" t="n" s="0">
        <f>(-5-((((-5*(-5/((-5/(((-5*(65.08--5))-(-5+((-5*65.08)*(((-5--5)+(65.08--5))+65.08))))-(-5+-5)))*-5)))/-5)--5)+(-5*(((65.08*(65.08-(-5/-5)))*(65.08-(65.08/(-5*65.08))))-(-5/-5)))))</f>
        <v>1369908.66976</v>
      </c>
      <c r="C16509" t="n" s="0">
        <v>1369908.6697599997</v>
      </c>
    </row>
    <row r="16510">
      <c r="A16510" t="n" s="0">
        <v>65.09</v>
      </c>
      <c r="B16510" t="n" s="0">
        <f>(-5-((((-5*(-5/((-5/(((-5*(65.09--5))-(-5+((-5*65.09)*(((-5--5)+(65.09--5))+65.09))))-(-5+-5)))*-5)))/-5)--5)+(-5*(((65.09*(65.09-(-5/-5)))*(65.09-(65.09/(-5*65.09))))-(-5/-5)))))</f>
        <v>1370541.504945</v>
      </c>
      <c r="C16510" t="n" s="0">
        <v>1370541.5049450004</v>
      </c>
    </row>
    <row r="16511">
      <c r="A16511" t="n" s="0">
        <v>65.1</v>
      </c>
      <c r="B16511" t="n" s="0">
        <f>(-5-((((-5*(-5/((-5/(((-5*(65.1--5))-(-5+((-5*65.1)*(((-5--5)+(65.1--5))+65.1))))-(-5+-5)))*-5)))/-5)--5)+(-5*(((65.1*(65.1-(-5/-5)))*(65.1-(65.1/(-5*65.1))))-(-5/-5)))))</f>
        <v>1371174.535</v>
      </c>
      <c r="C16511" t="n" s="0">
        <v>1371174.5349999997</v>
      </c>
    </row>
    <row r="16512">
      <c r="A16512" t="n" s="0">
        <v>65.11</v>
      </c>
      <c r="B16512" t="n" s="0">
        <f>(-5-((((-5*(-5/((-5/(((-5*(65.11--5))-(-5+((-5*65.11)*(((-5--5)+(65.11--5))+65.11))))-(-5+-5)))*-5)))/-5)--5)+(-5*(((65.11*(65.11-(-5/-5)))*(65.11-(65.11/(-5*65.11))))-(-5/-5)))))</f>
        <v>1371807.759955</v>
      </c>
      <c r="C16512" t="n" s="0">
        <v>1371807.759955</v>
      </c>
    </row>
    <row r="16513">
      <c r="A16513" t="n" s="0">
        <v>65.12</v>
      </c>
      <c r="B16513" t="n" s="0">
        <f>(-5-((((-5*(-5/((-5/(((-5*(65.12--5))-(-5+((-5*65.12)*(((-5--5)+(65.12--5))+65.12))))-(-5+-5)))*-5)))/-5)--5)+(-5*(((65.12*(65.12-(-5/-5)))*(65.12-(65.12/(-5*65.12))))-(-5/-5)))))</f>
        <v>1372441.1798399999</v>
      </c>
      <c r="C16513" t="n" s="0">
        <v>1372441.1798400006</v>
      </c>
    </row>
    <row r="16514">
      <c r="A16514" t="n" s="0">
        <v>65.13</v>
      </c>
      <c r="B16514" t="n" s="0">
        <f>(-5-((((-5*(-5/((-5/(((-5*(65.13--5))-(-5+((-5*65.13)*(((-5--5)+(65.13--5))+65.13))))-(-5+-5)))*-5)))/-5)--5)+(-5*(((65.13*(65.13-(-5/-5)))*(65.13-(65.13/(-5*65.13))))-(-5/-5)))))</f>
        <v>1373074.7946849999</v>
      </c>
      <c r="C16514" t="n" s="0">
        <v>1373074.7946849996</v>
      </c>
    </row>
    <row r="16515">
      <c r="A16515" t="n" s="0">
        <v>65.14</v>
      </c>
      <c r="B16515" t="n" s="0">
        <f>(-5-((((-5*(-5/((-5/(((-5*(65.14--5))-(-5+((-5*65.14)*(((-5--5)+(65.14--5))+65.14))))-(-5+-5)))*-5)))/-5)--5)+(-5*(((65.14*(65.14-(-5/-5)))*(65.14-(65.14/(-5*65.14))))-(-5/-5)))))</f>
        <v>1373708.60452</v>
      </c>
      <c r="C16515" t="n" s="0">
        <v>1373708.60452</v>
      </c>
    </row>
    <row r="16516">
      <c r="A16516" t="n" s="0">
        <v>65.15</v>
      </c>
      <c r="B16516" t="n" s="0">
        <f>(-5-((((-5*(-5/((-5/(((-5*(65.15--5))-(-5+((-5*65.15)*(((-5--5)+(65.15--5))+65.15))))-(-5+-5)))*-5)))/-5)--5)+(-5*(((65.15*(65.15-(-5/-5)))*(65.15-(65.15/(-5*65.15))))-(-5/-5)))))</f>
        <v>1374342.609375</v>
      </c>
      <c r="C16516" t="n" s="0">
        <v>1374342.6093750005</v>
      </c>
    </row>
    <row r="16517">
      <c r="A16517" t="n" s="0">
        <v>65.16</v>
      </c>
      <c r="B16517" t="n" s="0">
        <f>(-5-((((-5*(-5/((-5/(((-5*(65.16--5))-(-5+((-5*65.16)*(((-5--5)+(65.16--5))+65.16))))-(-5+-5)))*-5)))/-5)--5)+(-5*(((65.16*(65.16-(-5/-5)))*(65.16-(65.16/(-5*65.16))))-(-5/-5)))))</f>
        <v>1374976.8092800002</v>
      </c>
      <c r="C16517" t="n" s="0">
        <v>1374976.80928</v>
      </c>
    </row>
    <row r="16518">
      <c r="A16518" t="n" s="0">
        <v>65.17</v>
      </c>
      <c r="B16518" t="n" s="0">
        <f>(-5-((((-5*(-5/((-5/(((-5*(65.17--5))-(-5+((-5*65.17)*(((-5--5)+(65.17--5))+65.17))))-(-5+-5)))*-5)))/-5)--5)+(-5*(((65.17*(65.17-(-5/-5)))*(65.17-(65.17/(-5*65.17))))-(-5/-5)))))</f>
        <v>1375611.204265</v>
      </c>
      <c r="C16518" t="n" s="0">
        <v>1375611.204265</v>
      </c>
    </row>
    <row r="16519">
      <c r="A16519" t="n" s="0">
        <v>65.18</v>
      </c>
      <c r="B16519" t="n" s="0">
        <f>(-5-((((-5*(-5/((-5/(((-5*(65.18--5))-(-5+((-5*65.18)*(((-5--5)+(65.18--5))+65.18))))-(-5+-5)))*-5)))/-5)--5)+(-5*(((65.18*(65.18-(-5/-5)))*(65.18-(65.18/(-5*65.18))))-(-5/-5)))))</f>
        <v>1376245.7943600002</v>
      </c>
      <c r="C16519" t="n" s="0">
        <v>1376245.7943600004</v>
      </c>
    </row>
    <row r="16520">
      <c r="A16520" t="n" s="0">
        <v>65.19</v>
      </c>
      <c r="B16520" t="n" s="0">
        <f>(-5-((((-5*(-5/((-5/(((-5*(65.19--5))-(-5+((-5*65.19)*(((-5--5)+(65.19--5))+65.19))))-(-5+-5)))*-5)))/-5)--5)+(-5*(((65.19*(65.19-(-5/-5)))*(65.19-(65.19/(-5*65.19))))-(-5/-5)))))</f>
        <v>1376880.579595</v>
      </c>
      <c r="C16520" t="n" s="0">
        <v>1376880.579595</v>
      </c>
    </row>
    <row r="16521">
      <c r="A16521" t="n" s="0">
        <v>65.2</v>
      </c>
      <c r="B16521" t="n" s="0">
        <f>(-5-((((-5*(-5/((-5/(((-5*(65.2--5))-(-5+((-5*65.2)*(((-5--5)+(65.2--5))+65.2))))-(-5+-5)))*-5)))/-5)--5)+(-5*(((65.2*(65.2-(-5/-5)))*(65.2-(65.2/(-5*65.2))))-(-5/-5)))))</f>
        <v>1377515.5599999998</v>
      </c>
      <c r="C16521" t="n" s="0">
        <v>1377515.56</v>
      </c>
    </row>
    <row r="16522">
      <c r="A16522" t="n" s="0">
        <v>65.21</v>
      </c>
      <c r="B16522" t="n" s="0">
        <f>(-5-((((-5*(-5/((-5/(((-5*(65.21--5))-(-5+((-5*65.21)*(((-5--5)+(65.21--5))+65.21))))-(-5+-5)))*-5)))/-5)--5)+(-5*(((65.21*(65.21-(-5/-5)))*(65.21-(65.21/(-5*65.21))))-(-5/-5)))))</f>
        <v>1378150.735605</v>
      </c>
      <c r="C16522" t="n" s="0">
        <v>1378150.7356049996</v>
      </c>
    </row>
    <row r="16523">
      <c r="A16523" t="n" s="0">
        <v>65.22</v>
      </c>
      <c r="B16523" t="n" s="0">
        <f>(-5-((((-5*(-5/((-5/(((-5*(65.22--5))-(-5+((-5*65.22)*(((-5--5)+(65.22--5))+65.22))))-(-5+-5)))*-5)))/-5)--5)+(-5*(((65.22*(65.22-(-5/-5)))*(65.22-(65.22/(-5*65.22))))-(-5/-5)))))</f>
        <v>1378786.10644</v>
      </c>
      <c r="C16523" t="n" s="0">
        <v>1378786.1064399998</v>
      </c>
    </row>
    <row r="16524">
      <c r="A16524" t="n" s="0">
        <v>65.23</v>
      </c>
      <c r="B16524" t="n" s="0">
        <f>(-5-((((-5*(-5/((-5/(((-5*(65.23--5))-(-5+((-5*65.23)*(((-5--5)+(65.23--5))+65.23))))-(-5+-5)))*-5)))/-5)--5)+(-5*(((65.23*(65.23-(-5/-5)))*(65.23-(65.23/(-5*65.23))))-(-5/-5)))))</f>
        <v>1379421.672535</v>
      </c>
      <c r="C16524" t="n" s="0">
        <v>1379421.6725350001</v>
      </c>
    </row>
    <row r="16525">
      <c r="A16525" t="n" s="0">
        <v>65.24</v>
      </c>
      <c r="B16525" t="n" s="0">
        <f>(-5-((((-5*(-5/((-5/(((-5*(65.24--5))-(-5+((-5*65.24)*(((-5--5)+(65.24--5))+65.24))))-(-5+-5)))*-5)))/-5)--5)+(-5*(((65.24*(65.24-(-5/-5)))*(65.24-(65.24/(-5*65.24))))-(-5/-5)))))</f>
        <v>1380057.43392</v>
      </c>
      <c r="C16525" t="n" s="0">
        <v>1380057.4339199995</v>
      </c>
    </row>
    <row r="16526">
      <c r="A16526" t="n" s="0">
        <v>65.25</v>
      </c>
      <c r="B16526" t="n" s="0">
        <f>(-5-((((-5*(-5/((-5/(((-5*(65.25--5))-(-5+((-5*65.25)*(((-5--5)+(65.25--5))+65.25))))-(-5+-5)))*-5)))/-5)--5)+(-5*(((65.25*(65.25-(-5/-5)))*(65.25-(65.25/(-5*65.25))))-(-5/-5)))))</f>
        <v>1380693.390625</v>
      </c>
      <c r="C16526" t="n" s="0">
        <v>1380693.390625</v>
      </c>
    </row>
    <row r="16527">
      <c r="A16527" t="n" s="0">
        <v>65.26</v>
      </c>
      <c r="B16527" t="n" s="0">
        <f>(-5-((((-5*(-5/((-5/(((-5*(65.26--5))-(-5+((-5*65.26)*(((-5--5)+(65.26--5))+65.26))))-(-5+-5)))*-5)))/-5)--5)+(-5*(((65.26*(65.26-(-5/-5)))*(65.26-(65.26/(-5*65.26))))-(-5/-5)))))</f>
        <v>1381329.54268</v>
      </c>
      <c r="C16527" t="n" s="0">
        <v>1381329.5426800002</v>
      </c>
    </row>
    <row r="16528">
      <c r="A16528" t="n" s="0">
        <v>65.27</v>
      </c>
      <c r="B16528" t="n" s="0">
        <f>(-5-((((-5*(-5/((-5/(((-5*(65.27--5))-(-5+((-5*65.27)*(((-5--5)+(65.27--5))+65.27))))-(-5+-5)))*-5)))/-5)--5)+(-5*(((65.27*(65.27-(-5/-5)))*(65.27-(65.27/(-5*65.27))))-(-5/-5)))))</f>
        <v>1381965.890115</v>
      </c>
      <c r="C16528" t="n" s="0">
        <v>1381965.8901149996</v>
      </c>
    </row>
    <row r="16529">
      <c r="A16529" t="n" s="0">
        <v>65.28</v>
      </c>
      <c r="B16529" t="n" s="0">
        <f>(-5-((((-5*(-5/((-5/(((-5*(65.28--5))-(-5+((-5*65.28)*(((-5--5)+(65.28--5))+65.28))))-(-5+-5)))*-5)))/-5)--5)+(-5*(((65.28*(65.28-(-5/-5)))*(65.28-(65.28/(-5*65.28))))-(-5/-5)))))</f>
        <v>1382602.4329600001</v>
      </c>
      <c r="C16529" t="n" s="0">
        <v>1382602.4329600004</v>
      </c>
    </row>
    <row r="16530">
      <c r="A16530" t="n" s="0">
        <v>65.29</v>
      </c>
      <c r="B16530" t="n" s="0">
        <f>(-5-((((-5*(-5/((-5/(((-5*(65.29--5))-(-5+((-5*65.29)*(((-5--5)+(65.29--5))+65.29))))-(-5+-5)))*-5)))/-5)--5)+(-5*(((65.29*(65.29-(-5/-5)))*(65.29-(65.29/(-5*65.29))))-(-5/-5)))))</f>
        <v>1383239.171245</v>
      </c>
      <c r="C16530" t="n" s="0">
        <v>1383239.1712450003</v>
      </c>
    </row>
    <row r="16531">
      <c r="A16531" t="n" s="0">
        <v>65.3</v>
      </c>
      <c r="B16531" t="n" s="0">
        <f>(-5-((((-5*(-5/((-5/(((-5*(65.3--5))-(-5+((-5*65.3)*(((-5--5)+(65.3--5))+65.3))))-(-5+-5)))*-5)))/-5)--5)+(-5*(((65.3*(65.3-(-5/-5)))*(65.3-(65.3/(-5*65.3))))-(-5/-5)))))</f>
        <v>1383876.105</v>
      </c>
      <c r="C16531" t="n" s="0">
        <v>1383876.105</v>
      </c>
    </row>
    <row r="16532">
      <c r="A16532" t="n" s="0">
        <v>65.31</v>
      </c>
      <c r="B16532" t="n" s="0">
        <f>(-5-((((-5*(-5/((-5/(((-5*(65.31--5))-(-5+((-5*65.31)*(((-5--5)+(65.31--5))+65.31))))-(-5+-5)))*-5)))/-5)--5)+(-5*(((65.31*(65.31-(-5/-5)))*(65.31-(65.31/(-5*65.31))))-(-5/-5)))))</f>
        <v>1384513.234255</v>
      </c>
      <c r="C16532" t="n" s="0">
        <v>1384513.234255</v>
      </c>
    </row>
    <row r="16533">
      <c r="A16533" t="n" s="0">
        <v>65.32</v>
      </c>
      <c r="B16533" t="n" s="0">
        <f>(-5-((((-5*(-5/((-5/(((-5*(65.32--5))-(-5+((-5*65.32)*(((-5--5)+(65.32--5))+65.32))))-(-5+-5)))*-5)))/-5)--5)+(-5*(((65.32*(65.32-(-5/-5)))*(65.32-(65.32/(-5*65.32))))-(-5/-5)))))</f>
        <v>1385150.55904</v>
      </c>
      <c r="C16533" t="n" s="0">
        <v>1385150.5590399995</v>
      </c>
    </row>
    <row r="16534">
      <c r="A16534" t="n" s="0">
        <v>65.33</v>
      </c>
      <c r="B16534" t="n" s="0">
        <f>(-5-((((-5*(-5/((-5/(((-5*(65.33--5))-(-5+((-5*65.33)*(((-5--5)+(65.33--5))+65.33))))-(-5+-5)))*-5)))/-5)--5)+(-5*(((65.33*(65.33-(-5/-5)))*(65.33-(65.33/(-5*65.33))))-(-5/-5)))))</f>
        <v>1385788.079385</v>
      </c>
      <c r="C16534" t="n" s="0">
        <v>1385788.0793849998</v>
      </c>
    </row>
    <row r="16535">
      <c r="A16535" t="n" s="0">
        <v>65.34</v>
      </c>
      <c r="B16535" t="n" s="0">
        <f>(-5-((((-5*(-5/((-5/(((-5*(65.34--5))-(-5+((-5*65.34)*(((-5--5)+(65.34--5))+65.34))))-(-5+-5)))*-5)))/-5)--5)+(-5*(((65.34*(65.34-(-5/-5)))*(65.34-(65.34/(-5*65.34))))-(-5/-5)))))</f>
        <v>1386425.79532</v>
      </c>
      <c r="C16535" t="n" s="0">
        <v>1386425.7953200003</v>
      </c>
    </row>
    <row r="16536">
      <c r="A16536" t="n" s="0">
        <v>65.35</v>
      </c>
      <c r="B16536" t="n" s="0">
        <f>(-5-((((-5*(-5/((-5/(((-5*(65.35--5))-(-5+((-5*65.35)*(((-5--5)+(65.35--5))+65.35))))-(-5+-5)))*-5)))/-5)--5)+(-5*(((65.35*(65.35-(-5/-5)))*(65.35-(65.35/(-5*65.35))))-(-5/-5)))))</f>
        <v>1387063.706875</v>
      </c>
      <c r="C16536" t="n" s="0">
        <v>1387063.7068749997</v>
      </c>
    </row>
    <row r="16537">
      <c r="A16537" t="n" s="0">
        <v>65.36</v>
      </c>
      <c r="B16537" t="n" s="0">
        <f>(-5-((((-5*(-5/((-5/(((-5*(65.36--5))-(-5+((-5*65.36)*(((-5--5)+(65.36--5))+65.36))))-(-5+-5)))*-5)))/-5)--5)+(-5*(((65.36*(65.36-(-5/-5)))*(65.36-(65.36/(-5*65.36))))-(-5/-5)))))</f>
        <v>1387701.81408</v>
      </c>
      <c r="C16537" t="n" s="0">
        <v>1387701.8140800002</v>
      </c>
    </row>
    <row r="16538">
      <c r="A16538" t="n" s="0">
        <v>65.37</v>
      </c>
      <c r="B16538" t="n" s="0">
        <f>(-5-((((-5*(-5/((-5/(((-5*(65.37--5))-(-5+((-5*65.37)*(((-5--5)+(65.37--5))+65.37))))-(-5+-5)))*-5)))/-5)--5)+(-5*(((65.37*(65.37-(-5/-5)))*(65.37-(65.37/(-5*65.37))))-(-5/-5)))))</f>
        <v>1388340.116965</v>
      </c>
      <c r="C16538" t="n" s="0">
        <v>1388340.1169650003</v>
      </c>
    </row>
    <row r="16539">
      <c r="A16539" t="n" s="0">
        <v>65.38</v>
      </c>
      <c r="B16539" t="n" s="0">
        <f>(-5-((((-5*(-5/((-5/(((-5*(65.38--5))-(-5+((-5*65.38)*(((-5--5)+(65.38--5))+65.38))))-(-5+-5)))*-5)))/-5)--5)+(-5*(((65.38*(65.38-(-5/-5)))*(65.38-(65.38/(-5*65.38))))-(-5/-5)))))</f>
        <v>1388978.61556</v>
      </c>
      <c r="C16539" t="n" s="0">
        <v>1388978.6155599996</v>
      </c>
    </row>
    <row r="16540">
      <c r="A16540" t="n" s="0">
        <v>65.39</v>
      </c>
      <c r="B16540" t="n" s="0">
        <f>(-5-((((-5*(-5/((-5/(((-5*(65.39--5))-(-5+((-5*65.39)*(((-5--5)+(65.39--5))+65.39))))-(-5+-5)))*-5)))/-5)--5)+(-5*(((65.39*(65.39-(-5/-5)))*(65.39-(65.39/(-5*65.39))))-(-5/-5)))))</f>
        <v>1389617.309895</v>
      </c>
      <c r="C16540" t="n" s="0">
        <v>1389617.309895</v>
      </c>
    </row>
    <row r="16541">
      <c r="A16541" t="n" s="0">
        <v>65.4</v>
      </c>
      <c r="B16541" t="n" s="0">
        <f>(-5-((((-5*(-5/((-5/(((-5*(65.4--5))-(-5+((-5*65.4)*(((-5--5)+(65.4--5))+65.4))))-(-5+-5)))*-5)))/-5)--5)+(-5*(((65.4*(65.4-(-5/-5)))*(65.4-(65.4/(-5*65.4))))-(-5/-5)))))</f>
        <v>1390256.2</v>
      </c>
      <c r="C16541" t="n" s="0">
        <v>1390256.2000000002</v>
      </c>
    </row>
    <row r="16542">
      <c r="A16542" t="n" s="0">
        <v>65.41</v>
      </c>
      <c r="B16542" t="n" s="0">
        <f>(-5-((((-5*(-5/((-5/(((-5*(65.41--5))-(-5+((-5*65.41)*(((-5--5)+(65.41--5))+65.41))))-(-5+-5)))*-5)))/-5)--5)+(-5*(((65.41*(65.41-(-5/-5)))*(65.41-(65.41/(-5*65.41))))-(-5/-5)))))</f>
        <v>1390895.285905</v>
      </c>
      <c r="C16542" t="n" s="0">
        <v>1390895.2859049996</v>
      </c>
    </row>
    <row r="16543">
      <c r="A16543" t="n" s="0">
        <v>65.42</v>
      </c>
      <c r="B16543" t="n" s="0">
        <f>(-5-((((-5*(-5/((-5/(((-5*(65.42--5))-(-5+((-5*65.42)*(((-5--5)+(65.42--5))+65.42))))-(-5+-5)))*-5)))/-5)--5)+(-5*(((65.42*(65.42-(-5/-5)))*(65.42-(65.42/(-5*65.42))))-(-5/-5)))))</f>
        <v>1391534.5676399998</v>
      </c>
      <c r="C16543" t="n" s="0">
        <v>1391534.5676400003</v>
      </c>
    </row>
    <row r="16544">
      <c r="A16544" t="n" s="0">
        <v>65.43</v>
      </c>
      <c r="B16544" t="n" s="0">
        <f>(-5-((((-5*(-5/((-5/(((-5*(65.43--5))-(-5+((-5*65.43)*(((-5--5)+(65.43--5))+65.43))))-(-5+-5)))*-5)))/-5)--5)+(-5*(((65.43*(65.43-(-5/-5)))*(65.43-(65.43/(-5*65.43))))-(-5/-5)))))</f>
        <v>1392174.045235</v>
      </c>
      <c r="C16544" t="n" s="0">
        <v>1392174.0452350003</v>
      </c>
    </row>
    <row r="16545">
      <c r="A16545" t="n" s="0">
        <v>65.44</v>
      </c>
      <c r="B16545" t="n" s="0">
        <f>(-5-((((-5*(-5/((-5/(((-5*(65.44--5))-(-5+((-5*65.44)*(((-5--5)+(65.44--5))+65.44))))-(-5+-5)))*-5)))/-5)--5)+(-5*(((65.44*(65.44-(-5/-5)))*(65.44-(65.44/(-5*65.44))))-(-5/-5)))))</f>
        <v>1392813.71872</v>
      </c>
      <c r="C16545" t="n" s="0">
        <v>1392813.7187199998</v>
      </c>
    </row>
    <row r="16546">
      <c r="A16546" t="n" s="0">
        <v>65.45</v>
      </c>
      <c r="B16546" t="n" s="0">
        <f>(-5-((((-5*(-5/((-5/(((-5*(65.45--5))-(-5+((-5*65.45)*(((-5--5)+(65.45--5))+65.45))))-(-5+-5)))*-5)))/-5)--5)+(-5*(((65.45*(65.45-(-5/-5)))*(65.45-(65.45/(-5*65.45))))-(-5/-5)))))</f>
        <v>1393453.588125</v>
      </c>
      <c r="C16546" t="n" s="0">
        <v>1393453.5881250002</v>
      </c>
    </row>
    <row r="16547">
      <c r="A16547" t="n" s="0">
        <v>65.46</v>
      </c>
      <c r="B16547" t="n" s="0">
        <f>(-5-((((-5*(-5/((-5/(((-5*(65.46--5))-(-5+((-5*65.46)*(((-5--5)+(65.46--5))+65.46))))-(-5+-5)))*-5)))/-5)--5)+(-5*(((65.46*(65.46-(-5/-5)))*(65.46-(65.46/(-5*65.46))))-(-5/-5)))))</f>
        <v>1394093.65348</v>
      </c>
      <c r="C16547" t="n" s="0">
        <v>1394093.6534799996</v>
      </c>
    </row>
    <row r="16548">
      <c r="A16548" t="n" s="0">
        <v>65.47</v>
      </c>
      <c r="B16548" t="n" s="0">
        <f>(-5-((((-5*(-5/((-5/(((-5*(65.47--5))-(-5+((-5*65.47)*(((-5--5)+(65.47--5))+65.47))))-(-5+-5)))*-5)))/-5)--5)+(-5*(((65.47*(65.47-(-5/-5)))*(65.47-(65.47/(-5*65.47))))-(-5/-5)))))</f>
        <v>1394733.914815</v>
      </c>
      <c r="C16548" t="n" s="0">
        <v>1394733.9148149996</v>
      </c>
    </row>
    <row r="16549">
      <c r="A16549" t="n" s="0">
        <v>65.48</v>
      </c>
      <c r="B16549" t="n" s="0">
        <f>(-5-((((-5*(-5/((-5/(((-5*(65.48--5))-(-5+((-5*65.48)*(((-5--5)+(65.48--5))+65.48))))-(-5+-5)))*-5)))/-5)--5)+(-5*(((65.48*(65.48-(-5/-5)))*(65.48-(65.48/(-5*65.48))))-(-5/-5)))))</f>
        <v>1395374.37216</v>
      </c>
      <c r="C16549" t="n" s="0">
        <v>1395374.37216</v>
      </c>
    </row>
    <row r="16550">
      <c r="A16550" t="n" s="0">
        <v>65.49</v>
      </c>
      <c r="B16550" t="n" s="0">
        <f>(-5-((((-5*(-5/((-5/(((-5*(65.49--5))-(-5+((-5*65.49)*(((-5--5)+(65.49--5))+65.49))))-(-5+-5)))*-5)))/-5)--5)+(-5*(((65.49*(65.49-(-5/-5)))*(65.49-(65.49/(-5*65.49))))-(-5/-5)))))</f>
        <v>1396015.0255449999</v>
      </c>
      <c r="C16550" t="n" s="0">
        <v>1396015.0255449996</v>
      </c>
    </row>
    <row r="16551">
      <c r="A16551" t="n" s="0">
        <v>65.5</v>
      </c>
      <c r="B16551" t="n" s="0">
        <f>(-5-((((-5*(-5/((-5/(((-5*(65.5--5))-(-5+((-5*65.5)*(((-5--5)+(65.5--5))+65.5))))-(-5+-5)))*-5)))/-5)--5)+(-5*(((65.5*(65.5-(-5/-5)))*(65.5-(65.5/(-5*65.5))))-(-5/-5)))))</f>
        <v>1396655.875</v>
      </c>
      <c r="C16551" t="n" s="0">
        <v>1396655.875</v>
      </c>
    </row>
    <row r="16552">
      <c r="A16552" t="n" s="0">
        <v>65.51</v>
      </c>
      <c r="B16552" t="n" s="0">
        <f>(-5-((((-5*(-5/((-5/(((-5*(65.51--5))-(-5+((-5*65.51)*(((-5--5)+(65.51--5))+65.51))))-(-5+-5)))*-5)))/-5)--5)+(-5*(((65.51*(65.51-(-5/-5)))*(65.51-(65.51/(-5*65.51))))-(-5/-5)))))</f>
        <v>1397296.920555</v>
      </c>
      <c r="C16552" t="n" s="0">
        <v>1397296.9205550002</v>
      </c>
    </row>
    <row r="16553">
      <c r="A16553" t="n" s="0">
        <v>65.52</v>
      </c>
      <c r="B16553" t="n" s="0">
        <f>(-5-((((-5*(-5/((-5/(((-5*(65.52--5))-(-5+((-5*65.52)*(((-5--5)+(65.52--5))+65.52))))-(-5+-5)))*-5)))/-5)--5)+(-5*(((65.52*(65.52-(-5/-5)))*(65.52-(65.52/(-5*65.52))))-(-5/-5)))))</f>
        <v>1397938.16224</v>
      </c>
      <c r="C16553" t="n" s="0">
        <v>1397938.1622399997</v>
      </c>
    </row>
    <row r="16554">
      <c r="A16554" t="n" s="0">
        <v>65.53</v>
      </c>
      <c r="B16554" t="n" s="0">
        <f>(-5-((((-5*(-5/((-5/(((-5*(65.53--5))-(-5+((-5*65.53)*(((-5--5)+(65.53--5))+65.53))))-(-5+-5)))*-5)))/-5)--5)+(-5*(((65.53*(65.53-(-5/-5)))*(65.53-(65.53/(-5*65.53))))-(-5/-5)))))</f>
        <v>1398579.600085</v>
      </c>
      <c r="C16554" t="n" s="0">
        <v>1398579.600085</v>
      </c>
    </row>
    <row r="16555">
      <c r="A16555" t="n" s="0">
        <v>65.54</v>
      </c>
      <c r="B16555" t="n" s="0">
        <f>(-5-((((-5*(-5/((-5/(((-5*(65.54--5))-(-5+((-5*65.54)*(((-5--5)+(65.54--5))+65.54))))-(-5+-5)))*-5)))/-5)--5)+(-5*(((65.54*(65.54-(-5/-5)))*(65.54-(65.54/(-5*65.54))))-(-5/-5)))))</f>
        <v>1399221.2341200002</v>
      </c>
      <c r="C16555" t="n" s="0">
        <v>1399221.2341200006</v>
      </c>
    </row>
    <row r="16556">
      <c r="A16556" t="n" s="0">
        <v>65.55</v>
      </c>
      <c r="B16556" t="n" s="0">
        <f>(-5-((((-5*(-5/((-5/(((-5*(65.55--5))-(-5+((-5*65.55)*(((-5--5)+(65.55--5))+65.55))))-(-5+-5)))*-5)))/-5)--5)+(-5*(((65.55*(65.55-(-5/-5)))*(65.55-(65.55/(-5*65.55))))-(-5/-5)))))</f>
        <v>1399863.0643749998</v>
      </c>
      <c r="C16556" t="n" s="0">
        <v>1399863.0643749996</v>
      </c>
    </row>
    <row r="16557">
      <c r="A16557" t="n" s="0">
        <v>65.56</v>
      </c>
      <c r="B16557" t="n" s="0">
        <f>(-5-((((-5*(-5/((-5/(((-5*(65.56--5))-(-5+((-5*65.56)*(((-5--5)+(65.56--5))+65.56))))-(-5+-5)))*-5)))/-5)--5)+(-5*(((65.56*(65.56-(-5/-5)))*(65.56-(65.56/(-5*65.56))))-(-5/-5)))))</f>
        <v>1400505.09088</v>
      </c>
      <c r="C16557" t="n" s="0">
        <v>1400505.09088</v>
      </c>
    </row>
    <row r="16558">
      <c r="A16558" t="n" s="0">
        <v>65.57</v>
      </c>
      <c r="B16558" t="n" s="0">
        <f>(-5-((((-5*(-5/((-5/(((-5*(65.57--5))-(-5+((-5*65.57)*(((-5--5)+(65.57--5))+65.57))))-(-5+-5)))*-5)))/-5)--5)+(-5*(((65.57*(65.57-(-5/-5)))*(65.57-(65.57/(-5*65.57))))-(-5/-5)))))</f>
        <v>1401147.313665</v>
      </c>
      <c r="C16558" t="n" s="0">
        <v>1401147.3136649996</v>
      </c>
    </row>
    <row r="16559">
      <c r="A16559" t="n" s="0">
        <v>65.58</v>
      </c>
      <c r="B16559" t="n" s="0">
        <f>(-5-((((-5*(-5/((-5/(((-5*(65.58--5))-(-5+((-5*65.58)*(((-5--5)+(65.58--5))+65.58))))-(-5+-5)))*-5)))/-5)--5)+(-5*(((65.58*(65.58-(-5/-5)))*(65.58-(65.58/(-5*65.58))))-(-5/-5)))))</f>
        <v>1401789.73276</v>
      </c>
      <c r="C16559" t="n" s="0">
        <v>1401789.7327599998</v>
      </c>
    </row>
    <row r="16560">
      <c r="A16560" t="n" s="0">
        <v>65.59</v>
      </c>
      <c r="B16560" t="n" s="0">
        <f>(-5-((((-5*(-5/((-5/(((-5*(65.59--5))-(-5+((-5*65.59)*(((-5--5)+(65.59--5))+65.59))))-(-5+-5)))*-5)))/-5)--5)+(-5*(((65.59*(65.59-(-5/-5)))*(65.59-(65.59/(-5*65.59))))-(-5/-5)))))</f>
        <v>1402432.3481949999</v>
      </c>
      <c r="C16560" t="n" s="0">
        <v>1402432.348195</v>
      </c>
    </row>
    <row r="16561">
      <c r="A16561" t="n" s="0">
        <v>65.6</v>
      </c>
      <c r="B16561" t="n" s="0">
        <f>(-5-((((-5*(-5/((-5/(((-5*(65.6--5))-(-5+((-5*65.6)*(((-5--5)+(65.6--5))+65.6))))-(-5+-5)))*-5)))/-5)--5)+(-5*(((65.6*(65.6-(-5/-5)))*(65.6-(65.6/(-5*65.6))))-(-5/-5)))))</f>
        <v>1403075.1600000001</v>
      </c>
      <c r="C16561" t="n" s="0">
        <v>1403075.1599999997</v>
      </c>
    </row>
    <row r="16562">
      <c r="A16562" t="n" s="0">
        <v>65.61</v>
      </c>
      <c r="B16562" t="n" s="0">
        <f>(-5-((((-5*(-5/((-5/(((-5*(65.61--5))-(-5+((-5*65.61)*(((-5--5)+(65.61--5))+65.61))))-(-5+-5)))*-5)))/-5)--5)+(-5*(((65.61*(65.61-(-5/-5)))*(65.61-(65.61/(-5*65.61))))-(-5/-5)))))</f>
        <v>1403718.168205</v>
      </c>
      <c r="C16562" t="n" s="0">
        <v>1403718.1682050002</v>
      </c>
    </row>
    <row r="16563">
      <c r="A16563" t="n" s="0">
        <v>65.62</v>
      </c>
      <c r="B16563" t="n" s="0">
        <f>(-5-((((-5*(-5/((-5/(((-5*(65.62--5))-(-5+((-5*65.62)*(((-5--5)+(65.62--5))+65.62))))-(-5+-5)))*-5)))/-5)--5)+(-5*(((65.62*(65.62-(-5/-5)))*(65.62-(65.62/(-5*65.62))))-(-5/-5)))))</f>
        <v>1404361.37284</v>
      </c>
      <c r="C16563" t="n" s="0">
        <v>1404361.3728400005</v>
      </c>
    </row>
    <row r="16564">
      <c r="A16564" t="n" s="0">
        <v>65.63</v>
      </c>
      <c r="B16564" t="n" s="0">
        <f>(-5-((((-5*(-5/((-5/(((-5*(65.63--5))-(-5+((-5*65.63)*(((-5--5)+(65.63--5))+65.63))))-(-5+-5)))*-5)))/-5)--5)+(-5*(((65.63*(65.63-(-5/-5)))*(65.63-(65.63/(-5*65.63))))-(-5/-5)))))</f>
        <v>1405004.773935</v>
      </c>
      <c r="C16564" t="n" s="0">
        <v>1405004.7739349997</v>
      </c>
    </row>
    <row r="16565">
      <c r="A16565" t="n" s="0">
        <v>65.64</v>
      </c>
      <c r="B16565" t="n" s="0">
        <f>(-5-((((-5*(-5/((-5/(((-5*(65.64--5))-(-5+((-5*65.64)*(((-5--5)+(65.64--5))+65.64))))-(-5+-5)))*-5)))/-5)--5)+(-5*(((65.64*(65.64-(-5/-5)))*(65.64-(65.64/(-5*65.64))))-(-5/-5)))))</f>
        <v>1405648.37152</v>
      </c>
      <c r="C16565" t="n" s="0">
        <v>1405648.37152</v>
      </c>
    </row>
    <row r="16566">
      <c r="A16566" t="n" s="0">
        <v>65.65</v>
      </c>
      <c r="B16566" t="n" s="0">
        <f>(-5-((((-5*(-5/((-5/(((-5*(65.65--5))-(-5+((-5*65.65)*(((-5--5)+(65.65--5))+65.65))))-(-5+-5)))*-5)))/-5)--5)+(-5*(((65.65*(65.65-(-5/-5)))*(65.65-(65.65/(-5*65.65))))-(-5/-5)))))</f>
        <v>1406292.1656250001</v>
      </c>
      <c r="C16566" t="n" s="0">
        <v>1406292.1656250004</v>
      </c>
    </row>
    <row r="16567">
      <c r="A16567" t="n" s="0">
        <v>65.66</v>
      </c>
      <c r="B16567" t="n" s="0">
        <f>(-5-((((-5*(-5/((-5/(((-5*(65.66--5))-(-5+((-5*65.66)*(((-5--5)+(65.66--5))+65.66))))-(-5+-5)))*-5)))/-5)--5)+(-5*(((65.66*(65.66-(-5/-5)))*(65.66-(65.66/(-5*65.66))))-(-5/-5)))))</f>
        <v>1406936.15628</v>
      </c>
      <c r="C16567" t="n" s="0">
        <v>1406936.1562799995</v>
      </c>
    </row>
    <row r="16568">
      <c r="A16568" t="n" s="0">
        <v>65.67</v>
      </c>
      <c r="B16568" t="n" s="0">
        <f>(-5-((((-5*(-5/((-5/(((-5*(65.67--5))-(-5+((-5*65.67)*(((-5--5)+(65.67--5))+65.67))))-(-5+-5)))*-5)))/-5)--5)+(-5*(((65.67*(65.67-(-5/-5)))*(65.67-(65.67/(-5*65.67))))-(-5/-5)))))</f>
        <v>1407580.343515</v>
      </c>
      <c r="C16568" t="n" s="0">
        <v>1407580.343515</v>
      </c>
    </row>
    <row r="16569">
      <c r="A16569" t="n" s="0">
        <v>65.68</v>
      </c>
      <c r="B16569" t="n" s="0">
        <f>(-5-((((-5*(-5/((-5/(((-5*(65.68--5))-(-5+((-5*65.68)*(((-5--5)+(65.68--5))+65.68))))-(-5+-5)))*-5)))/-5)--5)+(-5*(((65.68*(65.68-(-5/-5)))*(65.68-(65.68/(-5*65.68))))-(-5/-5)))))</f>
        <v>1408224.72736</v>
      </c>
      <c r="C16569" t="n" s="0">
        <v>1408224.7273600006</v>
      </c>
    </row>
    <row r="16570">
      <c r="A16570" t="n" s="0">
        <v>65.69</v>
      </c>
      <c r="B16570" t="n" s="0">
        <f>(-5-((((-5*(-5/((-5/(((-5*(65.69--5))-(-5+((-5*65.69)*(((-5--5)+(65.69--5))+65.69))))-(-5+-5)))*-5)))/-5)--5)+(-5*(((65.69*(65.69-(-5/-5)))*(65.69-(65.69/(-5*65.69))))-(-5/-5)))))</f>
        <v>1408869.3078450002</v>
      </c>
      <c r="C16570" t="n" s="0">
        <v>1408869.3078449997</v>
      </c>
    </row>
    <row r="16571">
      <c r="A16571" t="n" s="0">
        <v>65.7</v>
      </c>
      <c r="B16571" t="n" s="0">
        <f>(-5-((((-5*(-5/((-5/(((-5*(65.7--5))-(-5+((-5*65.7)*(((-5--5)+(65.7--5))+65.7))))-(-5+-5)))*-5)))/-5)--5)+(-5*(((65.7*(65.7-(-5/-5)))*(65.7-(65.7/(-5*65.7))))-(-5/-5)))))</f>
        <v>1409514.085</v>
      </c>
      <c r="C16571" t="n" s="0">
        <v>1409514.0850000004</v>
      </c>
    </row>
    <row r="16572">
      <c r="A16572" t="n" s="0">
        <v>65.71</v>
      </c>
      <c r="B16572" t="n" s="0">
        <f>(-5-((((-5*(-5/((-5/(((-5*(65.71--5))-(-5+((-5*65.71)*(((-5--5)+(65.71--5))+65.71))))-(-5+-5)))*-5)))/-5)--5)+(-5*(((65.71*(65.71-(-5/-5)))*(65.71-(65.71/(-5*65.71))))-(-5/-5)))))</f>
        <v>1410159.058855</v>
      </c>
      <c r="C16572" t="n" s="0">
        <v>1410159.0588549997</v>
      </c>
    </row>
    <row r="16573">
      <c r="A16573" t="n" s="0">
        <v>65.72</v>
      </c>
      <c r="B16573" t="n" s="0">
        <f>(-5-((((-5*(-5/((-5/(((-5*(65.72--5))-(-5+((-5*65.72)*(((-5--5)+(65.72--5))+65.72))))-(-5+-5)))*-5)))/-5)--5)+(-5*(((65.72*(65.72-(-5/-5)))*(65.72-(65.72/(-5*65.72))))-(-5/-5)))))</f>
        <v>1410804.22944</v>
      </c>
      <c r="C16573" t="n" s="0">
        <v>1410804.2294399997</v>
      </c>
    </row>
    <row r="16574">
      <c r="A16574" t="n" s="0">
        <v>65.73</v>
      </c>
      <c r="B16574" t="n" s="0">
        <f>(-5-((((-5*(-5/((-5/(((-5*(65.73--5))-(-5+((-5*65.73)*(((-5--5)+(65.73--5))+65.73))))-(-5+-5)))*-5)))/-5)--5)+(-5*(((65.73*(65.73-(-5/-5)))*(65.73-(65.73/(-5*65.73))))-(-5/-5)))))</f>
        <v>1411449.596785</v>
      </c>
      <c r="C16574" t="n" s="0">
        <v>1411449.596785</v>
      </c>
    </row>
    <row r="16575">
      <c r="A16575" t="n" s="0">
        <v>65.74</v>
      </c>
      <c r="B16575" t="n" s="0">
        <f>(-5-((((-5*(-5/((-5/(((-5*(65.74--5))-(-5+((-5*65.74)*(((-5--5)+(65.74--5))+65.74))))-(-5+-5)))*-5)))/-5)--5)+(-5*(((65.74*(65.74-(-5/-5)))*(65.74-(65.74/(-5*65.74))))-(-5/-5)))))</f>
        <v>1412095.16092</v>
      </c>
      <c r="C16575" t="n" s="0">
        <v>1412095.1609199997</v>
      </c>
    </row>
    <row r="16576">
      <c r="A16576" t="n" s="0">
        <v>65.75</v>
      </c>
      <c r="B16576" t="n" s="0">
        <f>(-5-((((-5*(-5/((-5/(((-5*(65.75--5))-(-5+((-5*65.75)*(((-5--5)+(65.75--5))+65.75))))-(-5+-5)))*-5)))/-5)--5)+(-5*(((65.75*(65.75-(-5/-5)))*(65.75-(65.75/(-5*65.75))))-(-5/-5)))))</f>
        <v>1412740.921875</v>
      </c>
      <c r="C16576" t="n" s="0">
        <v>1412740.921875</v>
      </c>
    </row>
    <row r="16577">
      <c r="A16577" t="n" s="0">
        <v>65.76</v>
      </c>
      <c r="B16577" t="n" s="0">
        <f>(-5-((((-5*(-5/((-5/(((-5*(65.76--5))-(-5+((-5*65.76)*(((-5--5)+(65.76--5))+65.76))))-(-5+-5)))*-5)))/-5)--5)+(-5*(((65.76*(65.76-(-5/-5)))*(65.76-(65.76/(-5*65.76))))-(-5/-5)))))</f>
        <v>1413386.87968</v>
      </c>
      <c r="C16577" t="n" s="0">
        <v>1413386.8796800002</v>
      </c>
    </row>
    <row r="16578">
      <c r="A16578" t="n" s="0">
        <v>65.77</v>
      </c>
      <c r="B16578" t="n" s="0">
        <f>(-5-((((-5*(-5/((-5/(((-5*(65.77--5))-(-5+((-5*65.77)*(((-5--5)+(65.77--5))+65.77))))-(-5+-5)))*-5)))/-5)--5)+(-5*(((65.77*(65.77-(-5/-5)))*(65.77-(65.77/(-5*65.77))))-(-5/-5)))))</f>
        <v>1414033.0343650002</v>
      </c>
      <c r="C16578" t="n" s="0">
        <v>1414033.0343649997</v>
      </c>
    </row>
    <row r="16579">
      <c r="A16579" t="n" s="0">
        <v>65.78</v>
      </c>
      <c r="B16579" t="n" s="0">
        <f>(-5-((((-5*(-5/((-5/(((-5*(65.78--5))-(-5+((-5*65.78)*(((-5--5)+(65.78--5))+65.78))))-(-5+-5)))*-5)))/-5)--5)+(-5*(((65.78*(65.78-(-5/-5)))*(65.78-(65.78/(-5*65.78))))-(-5/-5)))))</f>
        <v>1414679.3859599999</v>
      </c>
      <c r="C16579" t="n" s="0">
        <v>1414679.38596</v>
      </c>
    </row>
    <row r="16580">
      <c r="A16580" t="n" s="0">
        <v>65.79</v>
      </c>
      <c r="B16580" t="n" s="0">
        <f>(-5-((((-5*(-5/((-5/(((-5*(65.79--5))-(-5+((-5*65.79)*(((-5--5)+(65.79--5))+65.79))))-(-5+-5)))*-5)))/-5)--5)+(-5*(((65.79*(65.79-(-5/-5)))*(65.79-(65.79/(-5*65.79))))-(-5/-5)))))</f>
        <v>1415325.9344950002</v>
      </c>
      <c r="C16580" t="n" s="0">
        <v>1415325.9344950004</v>
      </c>
    </row>
    <row r="16581">
      <c r="A16581" t="n" s="0">
        <v>65.8</v>
      </c>
      <c r="B16581" t="n" s="0">
        <f>(-5-((((-5*(-5/((-5/(((-5*(65.8--5))-(-5+((-5*65.8)*(((-5--5)+(65.8--5))+65.8))))-(-5+-5)))*-5)))/-5)--5)+(-5*(((65.8*(65.8-(-5/-5)))*(65.8-(65.8/(-5*65.8))))-(-5/-5)))))</f>
        <v>1415972.68</v>
      </c>
      <c r="C16581" t="n" s="0">
        <v>1415972.6799999997</v>
      </c>
    </row>
    <row r="16582">
      <c r="A16582" t="n" s="0">
        <v>65.81</v>
      </c>
      <c r="B16582" t="n" s="0">
        <f>(-5-((((-5*(-5/((-5/(((-5*(65.81--5))-(-5+((-5*65.81)*(((-5--5)+(65.81--5))+65.81))))-(-5+-5)))*-5)))/-5)--5)+(-5*(((65.81*(65.81-(-5/-5)))*(65.81-(65.81/(-5*65.81))))-(-5/-5)))))</f>
        <v>1416619.622505</v>
      </c>
      <c r="C16582" t="n" s="0">
        <v>1416619.6225050003</v>
      </c>
    </row>
    <row r="16583">
      <c r="A16583" t="n" s="0">
        <v>65.82</v>
      </c>
      <c r="B16583" t="n" s="0">
        <f>(-5-((((-5*(-5/((-5/(((-5*(65.82--5))-(-5+((-5*65.82)*(((-5--5)+(65.82--5))+65.82))))-(-5+-5)))*-5)))/-5)--5)+(-5*(((65.82*(65.82-(-5/-5)))*(65.82-(65.82/(-5*65.82))))-(-5/-5)))))</f>
        <v>1417266.7620400002</v>
      </c>
      <c r="C16583" t="n" s="0">
        <v>1417266.7620399992</v>
      </c>
    </row>
    <row r="16584">
      <c r="A16584" t="n" s="0">
        <v>65.83</v>
      </c>
      <c r="B16584" t="n" s="0">
        <f>(-5-((((-5*(-5/((-5/(((-5*(65.83--5))-(-5+((-5*65.83)*(((-5--5)+(65.83--5))+65.83))))-(-5+-5)))*-5)))/-5)--5)+(-5*(((65.83*(65.83-(-5/-5)))*(65.83-(65.83/(-5*65.83))))-(-5/-5)))))</f>
        <v>1417914.098635</v>
      </c>
      <c r="C16584" t="n" s="0">
        <v>1417914.098635</v>
      </c>
    </row>
    <row r="16585">
      <c r="A16585" t="n" s="0">
        <v>65.84</v>
      </c>
      <c r="B16585" t="n" s="0">
        <f>(-5-((((-5*(-5/((-5/(((-5*(65.84--5))-(-5+((-5*65.84)*(((-5--5)+(65.84--5))+65.84))))-(-5+-5)))*-5)))/-5)--5)+(-5*(((65.84*(65.84-(-5/-5)))*(65.84-(65.84/(-5*65.84))))-(-5/-5)))))</f>
        <v>1418561.63232</v>
      </c>
      <c r="C16585" t="n" s="0">
        <v>1418561.6323200003</v>
      </c>
    </row>
    <row r="16586">
      <c r="A16586" t="n" s="0">
        <v>65.85</v>
      </c>
      <c r="B16586" t="n" s="0">
        <f>(-5-((((-5*(-5/((-5/(((-5*(65.85--5))-(-5+((-5*65.85)*(((-5--5)+(65.85--5))+65.85))))-(-5+-5)))*-5)))/-5)--5)+(-5*(((65.85*(65.85-(-5/-5)))*(65.85-(65.85/(-5*65.85))))-(-5/-5)))))</f>
        <v>1419209.363125</v>
      </c>
      <c r="C16586" t="n" s="0">
        <v>1419209.3631249997</v>
      </c>
    </row>
    <row r="16587">
      <c r="A16587" t="n" s="0">
        <v>65.86</v>
      </c>
      <c r="B16587" t="n" s="0">
        <f>(-5-((((-5*(-5/((-5/(((-5*(65.86--5))-(-5+((-5*65.86)*(((-5--5)+(65.86--5))+65.86))))-(-5+-5)))*-5)))/-5)--5)+(-5*(((65.86*(65.86-(-5/-5)))*(65.86-(65.86/(-5*65.86))))-(-5/-5)))))</f>
        <v>1419857.2910799999</v>
      </c>
      <c r="C16587" t="n" s="0">
        <v>1419857.2910799999</v>
      </c>
    </row>
    <row r="16588">
      <c r="A16588" t="n" s="0">
        <v>65.87</v>
      </c>
      <c r="B16588" t="n" s="0">
        <f>(-5-((((-5*(-5/((-5/(((-5*(65.87--5))-(-5+((-5*65.87)*(((-5--5)+(65.87--5))+65.87))))-(-5+-5)))*-5)))/-5)--5)+(-5*(((65.87*(65.87-(-5/-5)))*(65.87-(65.87/(-5*65.87))))-(-5/-5)))))</f>
        <v>1420505.416215</v>
      </c>
      <c r="C16588" t="n" s="0">
        <v>1420505.4162150002</v>
      </c>
    </row>
    <row r="16589">
      <c r="A16589" t="n" s="0">
        <v>65.88</v>
      </c>
      <c r="B16589" t="n" s="0">
        <f>(-5-((((-5*(-5/((-5/(((-5*(65.88--5))-(-5+((-5*65.88)*(((-5--5)+(65.88--5))+65.88))))-(-5+-5)))*-5)))/-5)--5)+(-5*(((65.88*(65.88-(-5/-5)))*(65.88-(65.88/(-5*65.88))))-(-5/-5)))))</f>
        <v>1421153.73856</v>
      </c>
      <c r="C16589" t="n" s="0">
        <v>1421153.7385599995</v>
      </c>
    </row>
    <row r="16590">
      <c r="A16590" t="n" s="0">
        <v>65.89</v>
      </c>
      <c r="B16590" t="n" s="0">
        <f>(-5-((((-5*(-5/((-5/(((-5*(65.89--5))-(-5+((-5*65.89)*(((-5--5)+(65.89--5))+65.89))))-(-5+-5)))*-5)))/-5)--5)+(-5*(((65.89*(65.89-(-5/-5)))*(65.89-(65.89/(-5*65.89))))-(-5/-5)))))</f>
        <v>1421802.2581449999</v>
      </c>
      <c r="C16590" t="n" s="0">
        <v>1421802.2581449999</v>
      </c>
    </row>
    <row r="16591">
      <c r="A16591" t="n" s="0">
        <v>65.9</v>
      </c>
      <c r="B16591" t="n" s="0">
        <f>(-5-((((-5*(-5/((-5/(((-5*(65.9--5))-(-5+((-5*65.9)*(((-5--5)+(65.9--5))+65.9))))-(-5+-5)))*-5)))/-5)--5)+(-5*(((65.9*(65.9-(-5/-5)))*(65.9-(65.9/(-5*65.9))))-(-5/-5)))))</f>
        <v>1422450.9749999999</v>
      </c>
      <c r="C16591" t="n" s="0">
        <v>1422450.975</v>
      </c>
    </row>
    <row r="16592">
      <c r="A16592" t="n" s="0">
        <v>65.91</v>
      </c>
      <c r="B16592" t="n" s="0">
        <f>(-5-((((-5*(-5/((-5/(((-5*(65.91--5))-(-5+((-5*65.91)*(((-5--5)+(65.91--5))+65.91))))-(-5+-5)))*-5)))/-5)--5)+(-5*(((65.91*(65.91-(-5/-5)))*(65.91-(65.91/(-5*65.91))))-(-5/-5)))))</f>
        <v>1423099.889155</v>
      </c>
      <c r="C16592" t="n" s="0">
        <v>1423099.8891549997</v>
      </c>
    </row>
    <row r="16593">
      <c r="A16593" t="n" s="0">
        <v>65.92</v>
      </c>
      <c r="B16593" t="n" s="0">
        <f>(-5-((((-5*(-5/((-5/(((-5*(65.92--5))-(-5+((-5*65.92)*(((-5--5)+(65.92--5))+65.92))))-(-5+-5)))*-5)))/-5)--5)+(-5*(((65.92*(65.92-(-5/-5)))*(65.92-(65.92/(-5*65.92))))-(-5/-5)))))</f>
        <v>1423749.00064</v>
      </c>
      <c r="C16593" t="n" s="0">
        <v>1423749.00064</v>
      </c>
    </row>
    <row r="16594">
      <c r="A16594" t="n" s="0">
        <v>65.93</v>
      </c>
      <c r="B16594" t="n" s="0">
        <f>(-5-((((-5*(-5/((-5/(((-5*(65.93--5))-(-5+((-5*65.93)*(((-5--5)+(65.93--5))+65.93))))-(-5+-5)))*-5)))/-5)--5)+(-5*(((65.93*(65.93-(-5/-5)))*(65.93-(65.93/(-5*65.93))))-(-5/-5)))))</f>
        <v>1424398.3094849999</v>
      </c>
      <c r="C16594" t="n" s="0">
        <v>1424398.3094850006</v>
      </c>
    </row>
    <row r="16595">
      <c r="A16595" t="n" s="0">
        <v>65.94</v>
      </c>
      <c r="B16595" t="n" s="0">
        <f>(-5-((((-5*(-5/((-5/(((-5*(65.94--5))-(-5+((-5*65.94)*(((-5--5)+(65.94--5))+65.94))))-(-5+-5)))*-5)))/-5)--5)+(-5*(((65.94*(65.94-(-5/-5)))*(65.94-(65.94/(-5*65.94))))-(-5/-5)))))</f>
        <v>1425047.81572</v>
      </c>
      <c r="C16595" t="n" s="0">
        <v>1425047.8157199998</v>
      </c>
    </row>
    <row r="16596">
      <c r="A16596" t="n" s="0">
        <v>65.95</v>
      </c>
      <c r="B16596" t="n" s="0">
        <f>(-5-((((-5*(-5/((-5/(((-5*(65.95--5))-(-5+((-5*65.95)*(((-5--5)+(65.95--5))+65.95))))-(-5+-5)))*-5)))/-5)--5)+(-5*(((65.95*(65.95-(-5/-5)))*(65.95-(65.95/(-5*65.95))))-(-5/-5)))))</f>
        <v>1425697.519375</v>
      </c>
      <c r="C16596" t="n" s="0">
        <v>1425697.5193750001</v>
      </c>
    </row>
    <row r="16597">
      <c r="A16597" t="n" s="0">
        <v>65.96</v>
      </c>
      <c r="B16597" t="n" s="0">
        <f>(-5-((((-5*(-5/((-5/(((-5*(65.96--5))-(-5+((-5*65.96)*(((-5--5)+(65.96--5))+65.96))))-(-5+-5)))*-5)))/-5)--5)+(-5*(((65.96*(65.96-(-5/-5)))*(65.96-(65.96/(-5*65.96))))-(-5/-5)))))</f>
        <v>1426347.4204799999</v>
      </c>
      <c r="C16597" t="n" s="0">
        <v>1426347.4204799994</v>
      </c>
    </row>
    <row r="16598">
      <c r="A16598" t="n" s="0">
        <v>65.97</v>
      </c>
      <c r="B16598" t="n" s="0">
        <f>(-5-((((-5*(-5/((-5/(((-5*(65.97--5))-(-5+((-5*65.97)*(((-5--5)+(65.97--5))+65.97))))-(-5+-5)))*-5)))/-5)--5)+(-5*(((65.97*(65.97-(-5/-5)))*(65.97-(65.97/(-5*65.97))))-(-5/-5)))))</f>
        <v>1426997.519065</v>
      </c>
      <c r="C16598" t="n" s="0">
        <v>1426997.519065</v>
      </c>
    </row>
    <row r="16599">
      <c r="A16599" t="n" s="0">
        <v>65.98</v>
      </c>
      <c r="B16599" t="n" s="0">
        <f>(-5-((((-5*(-5/((-5/(((-5*(65.98--5))-(-5+((-5*65.98)*(((-5--5)+(65.98--5))+65.98))))-(-5+-5)))*-5)))/-5)--5)+(-5*(((65.98*(65.98-(-5/-5)))*(65.98-(65.98/(-5*65.98))))-(-5/-5)))))</f>
        <v>1427647.81516</v>
      </c>
      <c r="C16599" t="n" s="0">
        <v>1427647.8151600002</v>
      </c>
    </row>
    <row r="16600">
      <c r="A16600" t="n" s="0">
        <v>65.99</v>
      </c>
      <c r="B16600" t="n" s="0">
        <f>(-5-((((-5*(-5/((-5/(((-5*(65.99--5))-(-5+((-5*65.99)*(((-5--5)+(65.99--5))+65.99))))-(-5+-5)))*-5)))/-5)--5)+(-5*(((65.99*(65.99-(-5/-5)))*(65.99-(65.99/(-5*65.99))))-(-5/-5)))))</f>
        <v>1428298.308795</v>
      </c>
      <c r="C16600" t="n" s="0">
        <v>1428298.3087949997</v>
      </c>
    </row>
    <row r="16601">
      <c r="A16601" t="n" s="0">
        <v>66.0</v>
      </c>
      <c r="B16601" t="n" s="0">
        <f>(-5-((((-5*(-5/((-5/(((-5*(66--5))-(-5+((-5*66)*(((-5--5)+(66--5))+66))))-(-5+-5)))*-5)))/-5)--5)+(-5*(((66*(66-(-5/-5)))*(66-(66/(-5*66))))-(-5/-5)))))</f>
        <v>1428949.0</v>
      </c>
      <c r="C16601" t="n" s="0">
        <v>1428949.0</v>
      </c>
    </row>
    <row r="16602">
      <c r="A16602" t="n" s="0">
        <v>66.01</v>
      </c>
      <c r="B16602" t="n" s="0">
        <f>(-5-((((-5*(-5/((-5/(((-5*(66.01--5))-(-5+((-5*66.01)*(((-5--5)+(66.01--5))+66.01))))-(-5+-5)))*-5)))/-5)--5)+(-5*(((66.01*(66.01-(-5/-5)))*(66.01-(66.01/(-5*66.01))))-(-5/-5)))))</f>
        <v>1429599.888805</v>
      </c>
      <c r="C16602" t="n" s="0">
        <v>1429599.8888050003</v>
      </c>
    </row>
    <row r="16603">
      <c r="A16603" t="n" s="0">
        <v>66.02</v>
      </c>
      <c r="B16603" t="n" s="0">
        <f>(-5-((((-5*(-5/((-5/(((-5*(66.02--5))-(-5+((-5*66.02)*(((-5--5)+(66.02--5))+66.02))))-(-5+-5)))*-5)))/-5)--5)+(-5*(((66.02*(66.02-(-5/-5)))*(66.02-(66.02/(-5*66.02))))-(-5/-5)))))</f>
        <v>1430250.9752399998</v>
      </c>
      <c r="C16603" t="n" s="0">
        <v>1430250.9752399998</v>
      </c>
    </row>
    <row r="16604">
      <c r="A16604" t="n" s="0">
        <v>66.03</v>
      </c>
      <c r="B16604" t="n" s="0">
        <f>(-5-((((-5*(-5/((-5/(((-5*(66.03--5))-(-5+((-5*66.03)*(((-5--5)+(66.03--5))+66.03))))-(-5+-5)))*-5)))/-5)--5)+(-5*(((66.03*(66.03-(-5/-5)))*(66.03-(66.03/(-5*66.03))))-(-5/-5)))))</f>
        <v>1430902.259335</v>
      </c>
      <c r="C16604" t="n" s="0">
        <v>1430902.2593350003</v>
      </c>
    </row>
    <row r="16605">
      <c r="A16605" t="n" s="0">
        <v>66.04</v>
      </c>
      <c r="B16605" t="n" s="0">
        <f>(-5-((((-5*(-5/((-5/(((-5*(66.04--5))-(-5+((-5*66.04)*(((-5--5)+(66.04--5))+66.04))))-(-5+-5)))*-5)))/-5)--5)+(-5*(((66.04*(66.04-(-5/-5)))*(66.04-(66.04/(-5*66.04))))-(-5/-5)))))</f>
        <v>1431553.74112</v>
      </c>
      <c r="C16605" t="n" s="0">
        <v>1431553.7411200006</v>
      </c>
    </row>
    <row r="16606">
      <c r="A16606" t="n" s="0">
        <v>66.05</v>
      </c>
      <c r="B16606" t="n" s="0">
        <f>(-5-((((-5*(-5/((-5/(((-5*(66.05--5))-(-5+((-5*66.05)*(((-5--5)+(66.05--5))+66.05))))-(-5+-5)))*-5)))/-5)--5)+(-5*(((66.05*(66.05-(-5/-5)))*(66.05-(66.05/(-5*66.05))))-(-5/-5)))))</f>
        <v>1432205.420625</v>
      </c>
      <c r="C16606" t="n" s="0">
        <v>1432205.4206249998</v>
      </c>
    </row>
    <row r="16607">
      <c r="A16607" t="n" s="0">
        <v>66.06</v>
      </c>
      <c r="B16607" t="n" s="0">
        <f>(-5-((((-5*(-5/((-5/(((-5*(66.06--5))-(-5+((-5*66.06)*(((-5--5)+(66.06--5))+66.06))))-(-5+-5)))*-5)))/-5)--5)+(-5*(((66.06*(66.06-(-5/-5)))*(66.06-(66.06/(-5*66.06))))-(-5/-5)))))</f>
        <v>1432857.29788</v>
      </c>
      <c r="C16607" t="n" s="0">
        <v>1432857.29788</v>
      </c>
    </row>
    <row r="16608">
      <c r="A16608" t="n" s="0">
        <v>66.07</v>
      </c>
      <c r="B16608" t="n" s="0">
        <f>(-5-((((-5*(-5/((-5/(((-5*(66.07--5))-(-5+((-5*66.07)*(((-5--5)+(66.07--5))+66.07))))-(-5+-5)))*-5)))/-5)--5)+(-5*(((66.07*(66.07-(-5/-5)))*(66.07-(66.07/(-5*66.07))))-(-5/-5)))))</f>
        <v>1433509.372915</v>
      </c>
      <c r="C16608" t="n" s="0">
        <v>1433509.3729149995</v>
      </c>
    </row>
    <row r="16609">
      <c r="A16609" t="n" s="0">
        <v>66.08</v>
      </c>
      <c r="B16609" t="n" s="0">
        <f>(-5-((((-5*(-5/((-5/(((-5*(66.08--5))-(-5+((-5*66.08)*(((-5--5)+(66.08--5))+66.08))))-(-5+-5)))*-5)))/-5)--5)+(-5*(((66.08*(66.08-(-5/-5)))*(66.08-(66.08/(-5*66.08))))-(-5/-5)))))</f>
        <v>1434161.64576</v>
      </c>
      <c r="C16609" t="n" s="0">
        <v>1434161.64576</v>
      </c>
    </row>
    <row r="16610">
      <c r="A16610" t="n" s="0">
        <v>66.09</v>
      </c>
      <c r="B16610" t="n" s="0">
        <f>(-5-((((-5*(-5/((-5/(((-5*(66.09--5))-(-5+((-5*66.09)*(((-5--5)+(66.09--5))+66.09))))-(-5+-5)))*-5)))/-5)--5)+(-5*(((66.09*(66.09-(-5/-5)))*(66.09-(66.09/(-5*66.09))))-(-5/-5)))))</f>
        <v>1434814.116445</v>
      </c>
      <c r="C16610" t="n" s="0">
        <v>1434814.1164450003</v>
      </c>
    </row>
    <row r="16611">
      <c r="A16611" t="n" s="0">
        <v>66.1</v>
      </c>
      <c r="B16611" t="n" s="0">
        <f>(-5-((((-5*(-5/((-5/(((-5*(66.1--5))-(-5+((-5*66.1)*(((-5--5)+(66.1--5))+66.1))))-(-5+-5)))*-5)))/-5)--5)+(-5*(((66.1*(66.1-(-5/-5)))*(66.1-(66.1/(-5*66.1))))-(-5/-5)))))</f>
        <v>1435466.7850000001</v>
      </c>
      <c r="C16611" t="n" s="0">
        <v>1435466.7849999997</v>
      </c>
    </row>
    <row r="16612">
      <c r="A16612" t="n" s="0">
        <v>66.11</v>
      </c>
      <c r="B16612" t="n" s="0">
        <f>(-5-((((-5*(-5/((-5/(((-5*(66.11--5))-(-5+((-5*66.11)*(((-5--5)+(66.11--5))+66.11))))-(-5+-5)))*-5)))/-5)--5)+(-5*(((66.11*(66.11-(-5/-5)))*(66.11-(66.11/(-5*66.11))))-(-5/-5)))))</f>
        <v>1436119.6514549998</v>
      </c>
      <c r="C16612" t="n" s="0">
        <v>1436119.651455</v>
      </c>
    </row>
    <row r="16613">
      <c r="A16613" t="n" s="0">
        <v>66.12</v>
      </c>
      <c r="B16613" t="n" s="0">
        <f>(-5-((((-5*(-5/((-5/(((-5*(66.12--5))-(-5+((-5*66.12)*(((-5--5)+(66.12--5))+66.12))))-(-5+-5)))*-5)))/-5)--5)+(-5*(((66.12*(66.12-(-5/-5)))*(66.12-(66.12/(-5*66.12))))-(-5/-5)))))</f>
        <v>1436772.7158400002</v>
      </c>
      <c r="C16613" t="n" s="0">
        <v>1436772.7158400007</v>
      </c>
    </row>
    <row r="16614">
      <c r="A16614" t="n" s="0">
        <v>66.13</v>
      </c>
      <c r="B16614" t="n" s="0">
        <f>(-5-((((-5*(-5/((-5/(((-5*(66.13--5))-(-5+((-5*66.13)*(((-5--5)+(66.13--5))+66.13))))-(-5+-5)))*-5)))/-5)--5)+(-5*(((66.13*(66.13-(-5/-5)))*(66.13-(66.13/(-5*66.13))))-(-5/-5)))))</f>
        <v>1437425.978185</v>
      </c>
      <c r="C16614" t="n" s="0">
        <v>1437425.978185</v>
      </c>
    </row>
    <row r="16615">
      <c r="A16615" t="n" s="0">
        <v>66.14</v>
      </c>
      <c r="B16615" t="n" s="0">
        <f>(-5-((((-5*(-5/((-5/(((-5*(66.14--5))-(-5+((-5*66.14)*(((-5--5)+(66.14--5))+66.14))))-(-5+-5)))*-5)))/-5)--5)+(-5*(((66.14*(66.14-(-5/-5)))*(66.14-(66.14/(-5*66.14))))-(-5/-5)))))</f>
        <v>1438079.43852</v>
      </c>
      <c r="C16615" t="n" s="0">
        <v>1438079.4385199999</v>
      </c>
    </row>
    <row r="16616">
      <c r="A16616" t="n" s="0">
        <v>66.15</v>
      </c>
      <c r="B16616" t="n" s="0">
        <f>(-5-((((-5*(-5/((-5/(((-5*(66.15--5))-(-5+((-5*66.15)*(((-5--5)+(66.15--5))+66.15))))-(-5+-5)))*-5)))/-5)--5)+(-5*(((66.15*(66.15-(-5/-5)))*(66.15-(66.15/(-5*66.15))))-(-5/-5)))))</f>
        <v>1438733.0968749998</v>
      </c>
      <c r="C16616" t="n" s="0">
        <v>1438733.0968750003</v>
      </c>
    </row>
    <row r="16617">
      <c r="A16617" t="n" s="0">
        <v>66.16</v>
      </c>
      <c r="B16617" t="n" s="0">
        <f>(-5-((((-5*(-5/((-5/(((-5*(66.16--5))-(-5+((-5*66.16)*(((-5--5)+(66.16--5))+66.16))))-(-5+-5)))*-5)))/-5)--5)+(-5*(((66.16*(66.16-(-5/-5)))*(66.16-(66.16/(-5*66.16))))-(-5/-5)))))</f>
        <v>1439386.95328</v>
      </c>
      <c r="C16617" t="n" s="0">
        <v>1439386.9532799996</v>
      </c>
    </row>
    <row r="16618">
      <c r="A16618" t="n" s="0">
        <v>66.17</v>
      </c>
      <c r="B16618" t="n" s="0">
        <f>(-5-((((-5*(-5/((-5/(((-5*(66.17--5))-(-5+((-5*66.17)*(((-5--5)+(66.17--5))+66.17))))-(-5+-5)))*-5)))/-5)--5)+(-5*(((66.17*(66.17-(-5/-5)))*(66.17-(66.17/(-5*66.17))))-(-5/-5)))))</f>
        <v>1440041.0077650002</v>
      </c>
      <c r="C16618" t="n" s="0">
        <v>1440041.007765</v>
      </c>
    </row>
    <row r="16619">
      <c r="A16619" t="n" s="0">
        <v>66.18</v>
      </c>
      <c r="B16619" t="n" s="0">
        <f>(-5-((((-5*(-5/((-5/(((-5*(66.18--5))-(-5+((-5*66.18)*(((-5--5)+(66.18--5))+66.18))))-(-5+-5)))*-5)))/-5)--5)+(-5*(((66.18*(66.18-(-5/-5)))*(66.18-(66.18/(-5*66.18))))-(-5/-5)))))</f>
        <v>1440695.26036</v>
      </c>
      <c r="C16619" t="n" s="0">
        <v>1440695.2603600004</v>
      </c>
    </row>
    <row r="16620">
      <c r="A16620" t="n" s="0">
        <v>66.19</v>
      </c>
      <c r="B16620" t="n" s="0">
        <f>(-5-((((-5*(-5/((-5/(((-5*(66.19--5))-(-5+((-5*66.19)*(((-5--5)+(66.19--5))+66.19))))-(-5+-5)))*-5)))/-5)--5)+(-5*(((66.19*(66.19-(-5/-5)))*(66.19-(66.19/(-5*66.19))))-(-5/-5)))))</f>
        <v>1441349.711095</v>
      </c>
      <c r="C16620" t="n" s="0">
        <v>1441349.711095</v>
      </c>
    </row>
    <row r="16621">
      <c r="A16621" t="n" s="0">
        <v>66.2</v>
      </c>
      <c r="B16621" t="n" s="0">
        <f>(-5-((((-5*(-5/((-5/(((-5*(66.2--5))-(-5+((-5*66.2)*(((-5--5)+(66.2--5))+66.2))))-(-5+-5)))*-5)))/-5)--5)+(-5*(((66.2*(66.2-(-5/-5)))*(66.2-(66.2/(-5*66.2))))-(-5/-5)))))</f>
        <v>1442004.3599999999</v>
      </c>
      <c r="C16621" t="n" s="0">
        <v>1442004.3600000003</v>
      </c>
    </row>
    <row r="16622">
      <c r="A16622" t="n" s="0">
        <v>66.21</v>
      </c>
      <c r="B16622" t="n" s="0">
        <f>(-5-((((-5*(-5/((-5/(((-5*(66.21--5))-(-5+((-5*66.21)*(((-5--5)+(66.21--5))+66.21))))-(-5+-5)))*-5)))/-5)--5)+(-5*(((66.21*(66.21-(-5/-5)))*(66.21-(66.21/(-5*66.21))))-(-5/-5)))))</f>
        <v>1442659.2071049998</v>
      </c>
      <c r="C16622" t="n" s="0">
        <v>1442659.2071049993</v>
      </c>
    </row>
    <row r="16623">
      <c r="A16623" t="n" s="0">
        <v>66.22</v>
      </c>
      <c r="B16623" t="n" s="0">
        <f>(-5-((((-5*(-5/((-5/(((-5*(66.22--5))-(-5+((-5*66.22)*(((-5--5)+(66.22--5))+66.22))))-(-5+-5)))*-5)))/-5)--5)+(-5*(((66.22*(66.22-(-5/-5)))*(66.22-(66.22/(-5*66.22))))-(-5/-5)))))</f>
        <v>1443314.25244</v>
      </c>
      <c r="C16623" t="n" s="0">
        <v>1443314.25244</v>
      </c>
    </row>
    <row r="16624">
      <c r="A16624" t="n" s="0">
        <v>66.23</v>
      </c>
      <c r="B16624" t="n" s="0">
        <f>(-5-((((-5*(-5/((-5/(((-5*(66.23--5))-(-5+((-5*66.23)*(((-5--5)+(66.23--5))+66.23))))-(-5+-5)))*-5)))/-5)--5)+(-5*(((66.23*(66.23-(-5/-5)))*(66.23-(66.23/(-5*66.23))))-(-5/-5)))))</f>
        <v>1443969.4960349998</v>
      </c>
      <c r="C16624" t="n" s="0">
        <v>1443969.496035</v>
      </c>
    </row>
    <row r="16625">
      <c r="A16625" t="n" s="0">
        <v>66.24</v>
      </c>
      <c r="B16625" t="n" s="0">
        <f>(-5-((((-5*(-5/((-5/(((-5*(66.24--5))-(-5+((-5*66.24)*(((-5--5)+(66.24--5))+66.24))))-(-5+-5)))*-5)))/-5)--5)+(-5*(((66.24*(66.24-(-5/-5)))*(66.24-(66.24/(-5*66.24))))-(-5/-5)))))</f>
        <v>1444624.93792</v>
      </c>
      <c r="C16625" t="n" s="0">
        <v>1444624.9379199997</v>
      </c>
    </row>
    <row r="16626">
      <c r="A16626" t="n" s="0">
        <v>66.25</v>
      </c>
      <c r="B16626" t="n" s="0">
        <f>(-5-((((-5*(-5/((-5/(((-5*(66.25--5))-(-5+((-5*66.25)*(((-5--5)+(66.25--5))+66.25))))-(-5+-5)))*-5)))/-5)--5)+(-5*(((66.25*(66.25-(-5/-5)))*(66.25-(66.25/(-5*66.25))))-(-5/-5)))))</f>
        <v>1445280.578125</v>
      </c>
      <c r="C16626" t="n" s="0">
        <v>1445280.578125</v>
      </c>
    </row>
    <row r="16627">
      <c r="A16627" t="n" s="0">
        <v>66.26</v>
      </c>
      <c r="B16627" t="n" s="0">
        <f>(-5-((((-5*(-5/((-5/(((-5*(66.26--5))-(-5+((-5*66.26)*(((-5--5)+(66.26--5))+66.26))))-(-5+-5)))*-5)))/-5)--5)+(-5*(((66.26*(66.26-(-5/-5)))*(66.26-(66.26/(-5*66.26))))-(-5/-5)))))</f>
        <v>1445936.41668</v>
      </c>
      <c r="C16627" t="n" s="0">
        <v>1445936.4166800003</v>
      </c>
    </row>
    <row r="16628">
      <c r="A16628" t="n" s="0">
        <v>66.27</v>
      </c>
      <c r="B16628" t="n" s="0">
        <f>(-5-((((-5*(-5/((-5/(((-5*(66.27--5))-(-5+((-5*66.27)*(((-5--5)+(66.27--5))+66.27))))-(-5+-5)))*-5)))/-5)--5)+(-5*(((66.27*(66.27-(-5/-5)))*(66.27-(66.27/(-5*66.27))))-(-5/-5)))))</f>
        <v>1446592.453615</v>
      </c>
      <c r="C16628" t="n" s="0">
        <v>1446592.4536149998</v>
      </c>
    </row>
    <row r="16629">
      <c r="A16629" t="n" s="0">
        <v>66.28</v>
      </c>
      <c r="B16629" t="n" s="0">
        <f>(-5-((((-5*(-5/((-5/(((-5*(66.28--5))-(-5+((-5*66.28)*(((-5--5)+(66.28--5))+66.28))))-(-5+-5)))*-5)))/-5)--5)+(-5*(((66.28*(66.28-(-5/-5)))*(66.28-(66.28/(-5*66.28))))-(-5/-5)))))</f>
        <v>1447248.68896</v>
      </c>
      <c r="C16629" t="n" s="0">
        <v>1447248.6889600002</v>
      </c>
    </row>
    <row r="16630">
      <c r="A16630" t="n" s="0">
        <v>66.29</v>
      </c>
      <c r="B16630" t="n" s="0">
        <f>(-5-((((-5*(-5/((-5/(((-5*(66.29--5))-(-5+((-5*66.29)*(((-5--5)+(66.29--5))+66.29))))-(-5+-5)))*-5)))/-5)--5)+(-5*(((66.29*(66.29-(-5/-5)))*(66.29-(66.29/(-5*66.29))))-(-5/-5)))))</f>
        <v>1447905.1227449998</v>
      </c>
      <c r="C16630" t="n" s="0">
        <v>1447905.1227450005</v>
      </c>
    </row>
    <row r="16631">
      <c r="A16631" t="n" s="0">
        <v>66.3</v>
      </c>
      <c r="B16631" t="n" s="0">
        <f>(-5-((((-5*(-5/((-5/(((-5*(66.3--5))-(-5+((-5*66.3)*(((-5--5)+(66.3--5))+66.3))))-(-5+-5)))*-5)))/-5)--5)+(-5*(((66.3*(66.3-(-5/-5)))*(66.3-(66.3/(-5*66.3))))-(-5/-5)))))</f>
        <v>1448561.7550000001</v>
      </c>
      <c r="C16631" t="n" s="0">
        <v>1448561.755</v>
      </c>
    </row>
    <row r="16632">
      <c r="A16632" t="n" s="0">
        <v>66.31</v>
      </c>
      <c r="B16632" t="n" s="0">
        <f>(-5-((((-5*(-5/((-5/(((-5*(66.31--5))-(-5+((-5*66.31)*(((-5--5)+(66.31--5))+66.31))))-(-5+-5)))*-5)))/-5)--5)+(-5*(((66.31*(66.31-(-5/-5)))*(66.31-(66.31/(-5*66.31))))-(-5/-5)))))</f>
        <v>1449218.585755</v>
      </c>
      <c r="C16632" t="n" s="0">
        <v>1449218.585755</v>
      </c>
    </row>
    <row r="16633">
      <c r="A16633" t="n" s="0">
        <v>66.32</v>
      </c>
      <c r="B16633" t="n" s="0">
        <f>(-5-((((-5*(-5/((-5/(((-5*(66.32--5))-(-5+((-5*66.32)*(((-5--5)+(66.32--5))+66.32))))-(-5+-5)))*-5)))/-5)--5)+(-5*(((66.32*(66.32-(-5/-5)))*(66.32-(66.32/(-5*66.32))))-(-5/-5)))))</f>
        <v>1449875.61504</v>
      </c>
      <c r="C16633" t="n" s="0">
        <v>1449875.6150399996</v>
      </c>
    </row>
    <row r="16634">
      <c r="A16634" t="n" s="0">
        <v>66.33</v>
      </c>
      <c r="B16634" t="n" s="0">
        <f>(-5-((((-5*(-5/((-5/(((-5*(66.33--5))-(-5+((-5*66.33)*(((-5--5)+(66.33--5))+66.33))))-(-5+-5)))*-5)))/-5)--5)+(-5*(((66.33*(66.33-(-5/-5)))*(66.33-(66.33/(-5*66.33))))-(-5/-5)))))</f>
        <v>1450532.842885</v>
      </c>
      <c r="C16634" t="n" s="0">
        <v>1450532.842885</v>
      </c>
    </row>
    <row r="16635">
      <c r="A16635" t="n" s="0">
        <v>66.34</v>
      </c>
      <c r="B16635" t="n" s="0">
        <f>(-5-((((-5*(-5/((-5/(((-5*(66.34--5))-(-5+((-5*66.34)*(((-5--5)+(66.34--5))+66.34))))-(-5+-5)))*-5)))/-5)--5)+(-5*(((66.34*(66.34-(-5/-5)))*(66.34-(66.34/(-5*66.34))))-(-5/-5)))))</f>
        <v>1451190.26932</v>
      </c>
      <c r="C16635" t="n" s="0">
        <v>1451190.2693200002</v>
      </c>
    </row>
    <row r="16636">
      <c r="A16636" t="n" s="0">
        <v>66.35</v>
      </c>
      <c r="B16636" t="n" s="0">
        <f>(-5-((((-5*(-5/((-5/(((-5*(66.35--5))-(-5+((-5*66.35)*(((-5--5)+(66.35--5))+66.35))))-(-5+-5)))*-5)))/-5)--5)+(-5*(((66.35*(66.35-(-5/-5)))*(66.35-(66.35/(-5*66.35))))-(-5/-5)))))</f>
        <v>1451847.894375</v>
      </c>
      <c r="C16636" t="n" s="0">
        <v>1451847.8943749997</v>
      </c>
    </row>
    <row r="16637">
      <c r="A16637" t="n" s="0">
        <v>66.36</v>
      </c>
      <c r="B16637" t="n" s="0">
        <f>(-5-((((-5*(-5/((-5/(((-5*(66.36--5))-(-5+((-5*66.36)*(((-5--5)+(66.36--5))+66.36))))-(-5+-5)))*-5)))/-5)--5)+(-5*(((66.36*(66.36-(-5/-5)))*(66.36-(66.36/(-5*66.36))))-(-5/-5)))))</f>
        <v>1452505.71808</v>
      </c>
      <c r="C16637" t="n" s="0">
        <v>1452505.7180800003</v>
      </c>
    </row>
    <row r="16638">
      <c r="A16638" t="n" s="0">
        <v>66.37</v>
      </c>
      <c r="B16638" t="n" s="0">
        <f>(-5-((((-5*(-5/((-5/(((-5*(66.37--5))-(-5+((-5*66.37)*(((-5--5)+(66.37--5))+66.37))))-(-5+-5)))*-5)))/-5)--5)+(-5*(((66.37*(66.37-(-5/-5)))*(66.37-(66.37/(-5*66.37))))-(-5/-5)))))</f>
        <v>1453163.740465</v>
      </c>
      <c r="C16638" t="n" s="0">
        <v>1453163.7404650005</v>
      </c>
    </row>
    <row r="16639">
      <c r="A16639" t="n" s="0">
        <v>66.38</v>
      </c>
      <c r="B16639" t="n" s="0">
        <f>(-5-((((-5*(-5/((-5/(((-5*(66.38--5))-(-5+((-5*66.38)*(((-5--5)+(66.38--5))+66.38))))-(-5+-5)))*-5)))/-5)--5)+(-5*(((66.38*(66.38-(-5/-5)))*(66.38-(66.38/(-5*66.38))))-(-5/-5)))))</f>
        <v>1453821.96156</v>
      </c>
      <c r="C16639" t="n" s="0">
        <v>1453821.9615599995</v>
      </c>
    </row>
    <row r="16640">
      <c r="A16640" t="n" s="0">
        <v>66.39</v>
      </c>
      <c r="B16640" t="n" s="0">
        <f>(-5-((((-5*(-5/((-5/(((-5*(66.39--5))-(-5+((-5*66.39)*(((-5--5)+(66.39--5))+66.39))))-(-5+-5)))*-5)))/-5)--5)+(-5*(((66.39*(66.39-(-5/-5)))*(66.39-(66.39/(-5*66.39))))-(-5/-5)))))</f>
        <v>1454480.3813949998</v>
      </c>
      <c r="C16640" t="n" s="0">
        <v>1454480.3813949998</v>
      </c>
    </row>
    <row r="16641">
      <c r="A16641" t="n" s="0">
        <v>66.4</v>
      </c>
      <c r="B16641" t="n" s="0">
        <f>(-5-((((-5*(-5/((-5/(((-5*(66.4--5))-(-5+((-5*66.4)*(((-5--5)+(66.4--5))+66.4))))-(-5+-5)))*-5)))/-5)--5)+(-5*(((66.4*(66.4-(-5/-5)))*(66.4-(66.4/(-5*66.4))))-(-5/-5)))))</f>
        <v>1455139.0</v>
      </c>
      <c r="C16641" t="n" s="0">
        <v>1455139.0000000005</v>
      </c>
    </row>
    <row r="16642">
      <c r="A16642" t="n" s="0">
        <v>66.41</v>
      </c>
      <c r="B16642" t="n" s="0">
        <f>(-5-((((-5*(-5/((-5/(((-5*(66.41--5))-(-5+((-5*66.41)*(((-5--5)+(66.41--5))+66.41))))-(-5+-5)))*-5)))/-5)--5)+(-5*(((66.41*(66.41-(-5/-5)))*(66.41-(66.41/(-5*66.41))))-(-5/-5)))))</f>
        <v>1455797.8174049999</v>
      </c>
      <c r="C16642" t="n" s="0">
        <v>1455797.8174049999</v>
      </c>
    </row>
    <row r="16643">
      <c r="A16643" t="n" s="0">
        <v>66.42</v>
      </c>
      <c r="B16643" t="n" s="0">
        <f>(-5-((((-5*(-5/((-5/(((-5*(66.42--5))-(-5+((-5*66.42)*(((-5--5)+(66.42--5))+66.42))))-(-5+-5)))*-5)))/-5)--5)+(-5*(((66.42*(66.42-(-5/-5)))*(66.42-(66.42/(-5*66.42))))-(-5/-5)))))</f>
        <v>1456456.83364</v>
      </c>
      <c r="C16643" t="n" s="0">
        <v>1456456.83364</v>
      </c>
    </row>
    <row r="16644">
      <c r="A16644" t="n" s="0">
        <v>66.43</v>
      </c>
      <c r="B16644" t="n" s="0">
        <f>(-5-((((-5*(-5/((-5/(((-5*(66.43--5))-(-5+((-5*66.43)*(((-5--5)+(66.43--5))+66.43))))-(-5+-5)))*-5)))/-5)--5)+(-5*(((66.43*(66.43-(-5/-5)))*(66.43-(66.43/(-5*66.43))))-(-5/-5)))))</f>
        <v>1457116.048735</v>
      </c>
      <c r="C16644" t="n" s="0">
        <v>1457116.0487350004</v>
      </c>
    </row>
    <row r="16645">
      <c r="A16645" t="n" s="0">
        <v>66.44</v>
      </c>
      <c r="B16645" t="n" s="0">
        <f>(-5-((((-5*(-5/((-5/(((-5*(66.44--5))-(-5+((-5*66.44)*(((-5--5)+(66.44--5))+66.44))))-(-5+-5)))*-5)))/-5)--5)+(-5*(((66.44*(66.44-(-5/-5)))*(66.44-(66.44/(-5*66.44))))-(-5/-5)))))</f>
        <v>1457775.46272</v>
      </c>
      <c r="C16645" t="n" s="0">
        <v>1457775.46272</v>
      </c>
    </row>
    <row r="16646">
      <c r="A16646" t="n" s="0">
        <v>66.45</v>
      </c>
      <c r="B16646" t="n" s="0">
        <f>(-5-((((-5*(-5/((-5/(((-5*(66.45--5))-(-5+((-5*66.45)*(((-5--5)+(66.45--5))+66.45))))-(-5+-5)))*-5)))/-5)--5)+(-5*(((66.45*(66.45-(-5/-5)))*(66.45-(66.45/(-5*66.45))))-(-5/-5)))))</f>
        <v>1458435.075625</v>
      </c>
      <c r="C16646" t="n" s="0">
        <v>1458435.0756250003</v>
      </c>
    </row>
    <row r="16647">
      <c r="A16647" t="n" s="0">
        <v>66.46</v>
      </c>
      <c r="B16647" t="n" s="0">
        <f>(-5-((((-5*(-5/((-5/(((-5*(66.46--5))-(-5+((-5*66.46)*(((-5--5)+(66.46--5))+66.46))))-(-5+-5)))*-5)))/-5)--5)+(-5*(((66.46*(66.46-(-5/-5)))*(66.46-(66.46/(-5*66.46))))-(-5/-5)))))</f>
        <v>1459094.88748</v>
      </c>
      <c r="C16647" t="n" s="0">
        <v>1459094.8874799993</v>
      </c>
    </row>
    <row r="16648">
      <c r="A16648" t="n" s="0">
        <v>66.47</v>
      </c>
      <c r="B16648" t="n" s="0">
        <f>(-5-((((-5*(-5/((-5/(((-5*(66.47--5))-(-5+((-5*66.47)*(((-5--5)+(66.47--5))+66.47))))-(-5+-5)))*-5)))/-5)--5)+(-5*(((66.47*(66.47-(-5/-5)))*(66.47-(66.47/(-5*66.47))))-(-5/-5)))))</f>
        <v>1459754.898315</v>
      </c>
      <c r="C16648" t="n" s="0">
        <v>1459754.8983149999</v>
      </c>
    </row>
    <row r="16649">
      <c r="A16649" t="n" s="0">
        <v>66.48</v>
      </c>
      <c r="B16649" t="n" s="0">
        <f>(-5-((((-5*(-5/((-5/(((-5*(66.48--5))-(-5+((-5*66.48)*(((-5--5)+(66.48--5))+66.48))))-(-5+-5)))*-5)))/-5)--5)+(-5*(((66.48*(66.48-(-5/-5)))*(66.48-(66.48/(-5*66.48))))-(-5/-5)))))</f>
        <v>1460415.10816</v>
      </c>
      <c r="C16649" t="n" s="0">
        <v>1460415.10816</v>
      </c>
    </row>
    <row r="16650">
      <c r="A16650" t="n" s="0">
        <v>66.49</v>
      </c>
      <c r="B16650" t="n" s="0">
        <f>(-5-((((-5*(-5/((-5/(((-5*(66.49--5))-(-5+((-5*66.49)*(((-5--5)+(66.49--5))+66.49))))-(-5+-5)))*-5)))/-5)--5)+(-5*(((66.49*(66.49-(-5/-5)))*(66.49-(66.49/(-5*66.49))))-(-5/-5)))))</f>
        <v>1461075.5170449999</v>
      </c>
      <c r="C16650" t="n" s="0">
        <v>1461075.5170449996</v>
      </c>
    </row>
    <row r="16651">
      <c r="A16651" t="n" s="0">
        <v>66.5</v>
      </c>
      <c r="B16651" t="n" s="0">
        <f>(-5-((((-5*(-5/((-5/(((-5*(66.5--5))-(-5+((-5*66.5)*(((-5--5)+(66.5--5))+66.5))))-(-5+-5)))*-5)))/-5)--5)+(-5*(((66.5*(66.5-(-5/-5)))*(66.5-(66.5/(-5*66.5))))-(-5/-5)))))</f>
        <v>1461736.125</v>
      </c>
      <c r="C16651" t="n" s="0">
        <v>1461736.125</v>
      </c>
    </row>
    <row r="16652">
      <c r="A16652" t="n" s="0">
        <v>66.51</v>
      </c>
      <c r="B16652" t="n" s="0">
        <f>(-5-((((-5*(-5/((-5/(((-5*(66.51--5))-(-5+((-5*66.51)*(((-5--5)+(66.51--5))+66.51))))-(-5+-5)))*-5)))/-5)--5)+(-5*(((66.51*(66.51-(-5/-5)))*(66.51-(66.51/(-5*66.51))))-(-5/-5)))))</f>
        <v>1462396.932055</v>
      </c>
      <c r="C16652" t="n" s="0">
        <v>1462396.9320550004</v>
      </c>
    </row>
    <row r="16653">
      <c r="A16653" t="n" s="0">
        <v>66.52</v>
      </c>
      <c r="B16653" t="n" s="0">
        <f>(-5-((((-5*(-5/((-5/(((-5*(66.52--5))-(-5+((-5*66.52)*(((-5--5)+(66.52--5))+66.52))))-(-5+-5)))*-5)))/-5)--5)+(-5*(((66.52*(66.52-(-5/-5)))*(66.52-(66.52/(-5*66.52))))-(-5/-5)))))</f>
        <v>1463057.93824</v>
      </c>
      <c r="C16653" t="n" s="0">
        <v>1463057.9382399998</v>
      </c>
    </row>
    <row r="16654">
      <c r="A16654" t="n" s="0">
        <v>66.53</v>
      </c>
      <c r="B16654" t="n" s="0">
        <f>(-5-((((-5*(-5/((-5/(((-5*(66.53--5))-(-5+((-5*66.53)*(((-5--5)+(66.53--5))+66.53))))-(-5+-5)))*-5)))/-5)--5)+(-5*(((66.53*(66.53-(-5/-5)))*(66.53-(66.53/(-5*66.53))))-(-5/-5)))))</f>
        <v>1463719.143585</v>
      </c>
      <c r="C16654" t="n" s="0">
        <v>1463719.1435850002</v>
      </c>
    </row>
    <row r="16655">
      <c r="A16655" t="n" s="0">
        <v>66.54</v>
      </c>
      <c r="B16655" t="n" s="0">
        <f>(-5-((((-5*(-5/((-5/(((-5*(66.54--5))-(-5+((-5*66.54)*(((-5--5)+(66.54--5))+66.54))))-(-5+-5)))*-5)))/-5)--5)+(-5*(((66.54*(66.54-(-5/-5)))*(66.54-(66.54/(-5*66.54))))-(-5/-5)))))</f>
        <v>1464380.54812</v>
      </c>
      <c r="C16655" t="n" s="0">
        <v>1464380.5481200006</v>
      </c>
    </row>
    <row r="16656">
      <c r="A16656" t="n" s="0">
        <v>66.55</v>
      </c>
      <c r="B16656" t="n" s="0">
        <f>(-5-((((-5*(-5/((-5/(((-5*(66.55--5))-(-5+((-5*66.55)*(((-5--5)+(66.55--5))+66.55))))-(-5+-5)))*-5)))/-5)--5)+(-5*(((66.55*(66.55-(-5/-5)))*(66.55-(66.55/(-5*66.55))))-(-5/-5)))))</f>
        <v>1465042.1518750002</v>
      </c>
      <c r="C16656" t="n" s="0">
        <v>1465042.1518749997</v>
      </c>
    </row>
    <row r="16657">
      <c r="A16657" t="n" s="0">
        <v>66.56</v>
      </c>
      <c r="B16657" t="n" s="0">
        <f>(-5-((((-5*(-5/((-5/(((-5*(66.56--5))-(-5+((-5*66.56)*(((-5--5)+(66.56--5))+66.56))))-(-5+-5)))*-5)))/-5)--5)+(-5*(((66.56*(66.56-(-5/-5)))*(66.56-(66.56/(-5*66.56))))-(-5/-5)))))</f>
        <v>1465703.95488</v>
      </c>
      <c r="C16657" t="n" s="0">
        <v>1465703.95488</v>
      </c>
    </row>
    <row r="16658">
      <c r="A16658" t="n" s="0">
        <v>66.57</v>
      </c>
      <c r="B16658" t="n" s="0">
        <f>(-5-((((-5*(-5/((-5/(((-5*(66.57--5))-(-5+((-5*66.57)*(((-5--5)+(66.57--5))+66.57))))-(-5+-5)))*-5)))/-5)--5)+(-5*(((66.57*(66.57-(-5/-5)))*(66.57-(66.57/(-5*66.57))))-(-5/-5)))))</f>
        <v>1466365.957165</v>
      </c>
      <c r="C16658" t="n" s="0">
        <v>1466365.9571649996</v>
      </c>
    </row>
    <row r="16659">
      <c r="A16659" t="n" s="0">
        <v>66.58</v>
      </c>
      <c r="B16659" t="n" s="0">
        <f>(-5-((((-5*(-5/((-5/(((-5*(66.58--5))-(-5+((-5*66.58)*(((-5--5)+(66.58--5))+66.58))))-(-5+-5)))*-5)))/-5)--5)+(-5*(((66.58*(66.58-(-5/-5)))*(66.58-(66.58/(-5*66.58))))-(-5/-5)))))</f>
        <v>1467028.15876</v>
      </c>
      <c r="C16659" t="n" s="0">
        <v>1467028.1587599998</v>
      </c>
    </row>
    <row r="16660">
      <c r="A16660" t="n" s="0">
        <v>66.59</v>
      </c>
      <c r="B16660" t="n" s="0">
        <f>(-5-((((-5*(-5/((-5/(((-5*(66.59--5))-(-5+((-5*66.59)*(((-5--5)+(66.59--5))+66.59))))-(-5+-5)))*-5)))/-5)--5)+(-5*(((66.59*(66.59-(-5/-5)))*(66.59-(66.59/(-5*66.59))))-(-5/-5)))))</f>
        <v>1467690.559695</v>
      </c>
      <c r="C16660" t="n" s="0">
        <v>1467690.5596950003</v>
      </c>
    </row>
    <row r="16661">
      <c r="A16661" t="n" s="0">
        <v>66.6</v>
      </c>
      <c r="B16661" t="n" s="0">
        <f>(-5-((((-5*(-5/((-5/(((-5*(66.6--5))-(-5+((-5*66.6)*(((-5--5)+(66.6--5))+66.6))))-(-5+-5)))*-5)))/-5)--5)+(-5*(((66.6*(66.6-(-5/-5)))*(66.6-(66.6/(-5*66.6))))-(-5/-5)))))</f>
        <v>1468353.16</v>
      </c>
      <c r="C16661" t="n" s="0">
        <v>1468353.1599999995</v>
      </c>
    </row>
    <row r="16662">
      <c r="A16662" t="n" s="0">
        <v>66.61</v>
      </c>
      <c r="B16662" t="n" s="0">
        <f>(-5-((((-5*(-5/((-5/(((-5*(66.61--5))-(-5+((-5*66.61)*(((-5--5)+(66.61--5))+66.61))))-(-5+-5)))*-5)))/-5)--5)+(-5*(((66.61*(66.61-(-5/-5)))*(66.61-(66.61/(-5*66.61))))-(-5/-5)))))</f>
        <v>1469015.959705</v>
      </c>
      <c r="C16662" t="n" s="0">
        <v>1469015.9597049998</v>
      </c>
    </row>
    <row r="16663">
      <c r="A16663" t="n" s="0">
        <v>66.62</v>
      </c>
      <c r="B16663" t="n" s="0">
        <f>(-5-((((-5*(-5/((-5/(((-5*(66.62--5))-(-5+((-5*66.62)*(((-5--5)+(66.62--5))+66.62))))-(-5+-5)))*-5)))/-5)--5)+(-5*(((66.62*(66.62-(-5/-5)))*(66.62-(66.62/(-5*66.62))))-(-5/-5)))))</f>
        <v>1469678.9588400002</v>
      </c>
      <c r="C16663" t="n" s="0">
        <v>1469678.9588400007</v>
      </c>
    </row>
    <row r="16664">
      <c r="A16664" t="n" s="0">
        <v>66.63</v>
      </c>
      <c r="B16664" t="n" s="0">
        <f>(-5-((((-5*(-5/((-5/(((-5*(66.63--5))-(-5+((-5*66.63)*(((-5--5)+(66.63--5))+66.63))))-(-5+-5)))*-5)))/-5)--5)+(-5*(((66.63*(66.63-(-5/-5)))*(66.63-(66.63/(-5*66.63))))-(-5/-5)))))</f>
        <v>1470342.157435</v>
      </c>
      <c r="C16664" t="n" s="0">
        <v>1470342.1574349997</v>
      </c>
    </row>
    <row r="16665">
      <c r="A16665" t="n" s="0">
        <v>66.64</v>
      </c>
      <c r="B16665" t="n" s="0">
        <f>(-5-((((-5*(-5/((-5/(((-5*(66.64--5))-(-5+((-5*66.64)*(((-5--5)+(66.64--5))+66.64))))-(-5+-5)))*-5)))/-5)--5)+(-5*(((66.64*(66.64-(-5/-5)))*(66.64-(66.64/(-5*66.64))))-(-5/-5)))))</f>
        <v>1471005.55552</v>
      </c>
      <c r="C16665" t="n" s="0">
        <v>1471005.55552</v>
      </c>
    </row>
    <row r="16666">
      <c r="A16666" t="n" s="0">
        <v>66.65</v>
      </c>
      <c r="B16666" t="n" s="0">
        <f>(-5-((((-5*(-5/((-5/(((-5*(66.65--5))-(-5+((-5*66.65)*(((-5--5)+(66.65--5))+66.65))))-(-5+-5)))*-5)))/-5)--5)+(-5*(((66.65*(66.65-(-5/-5)))*(66.65-(66.65/(-5*66.65))))-(-5/-5)))))</f>
        <v>1471669.153125</v>
      </c>
      <c r="C16666" t="n" s="0">
        <v>1471669.1531250002</v>
      </c>
    </row>
    <row r="16667">
      <c r="A16667" t="n" s="0">
        <v>66.66</v>
      </c>
      <c r="B16667" t="n" s="0">
        <f>(-5-((((-5*(-5/((-5/(((-5*(66.66--5))-(-5+((-5*66.66)*(((-5--5)+(66.66--5))+66.66))))-(-5+-5)))*-5)))/-5)--5)+(-5*(((66.66*(66.66-(-5/-5)))*(66.66-(66.66/(-5*66.66))))-(-5/-5)))))</f>
        <v>1472332.95028</v>
      </c>
      <c r="C16667" t="n" s="0">
        <v>1472332.9502799998</v>
      </c>
    </row>
    <row r="16668">
      <c r="A16668" t="n" s="0">
        <v>66.67</v>
      </c>
      <c r="B16668" t="n" s="0">
        <f>(-5-((((-5*(-5/((-5/(((-5*(66.67--5))-(-5+((-5*66.67)*(((-5--5)+(66.67--5))+66.67))))-(-5+-5)))*-5)))/-5)--5)+(-5*(((66.67*(66.67-(-5/-5)))*(66.67-(66.67/(-5*66.67))))-(-5/-5)))))</f>
        <v>1472996.947015</v>
      </c>
      <c r="C16668" t="n" s="0">
        <v>1472996.947015</v>
      </c>
    </row>
    <row r="16669">
      <c r="A16669" t="n" s="0">
        <v>66.68</v>
      </c>
      <c r="B16669" t="n" s="0">
        <f>(-5-((((-5*(-5/((-5/(((-5*(66.68--5))-(-5+((-5*66.68)*(((-5--5)+(66.68--5))+66.68))))-(-5+-5)))*-5)))/-5)--5)+(-5*(((66.68*(66.68-(-5/-5)))*(66.68-(66.68/(-5*66.68))))-(-5/-5)))))</f>
        <v>1473661.1433599999</v>
      </c>
      <c r="C16669" t="n" s="0">
        <v>1473661.1433600006</v>
      </c>
    </row>
    <row r="16670">
      <c r="A16670" t="n" s="0">
        <v>66.69</v>
      </c>
      <c r="B16670" t="n" s="0">
        <f>(-5-((((-5*(-5/((-5/(((-5*(66.69--5))-(-5+((-5*66.69)*(((-5--5)+(66.69--5))+66.69))))-(-5+-5)))*-5)))/-5)--5)+(-5*(((66.69*(66.69-(-5/-5)))*(66.69-(66.69/(-5*66.69))))-(-5/-5)))))</f>
        <v>1474325.5393450002</v>
      </c>
      <c r="C16670" t="n" s="0">
        <v>1474325.539345</v>
      </c>
    </row>
    <row r="16671">
      <c r="A16671" t="n" s="0">
        <v>66.7</v>
      </c>
      <c r="B16671" t="n" s="0">
        <f>(-5-((((-5*(-5/((-5/(((-5*(66.7--5))-(-5+((-5*66.7)*(((-5--5)+(66.7--5))+66.7))))-(-5+-5)))*-5)))/-5)--5)+(-5*(((66.7*(66.7-(-5/-5)))*(66.7-(66.7/(-5*66.7))))-(-5/-5)))))</f>
        <v>1474990.135</v>
      </c>
      <c r="C16671" t="n" s="0">
        <v>1474990.1350000002</v>
      </c>
    </row>
    <row r="16672">
      <c r="A16672" t="n" s="0">
        <v>66.71</v>
      </c>
      <c r="B16672" t="n" s="0">
        <f>(-5-((((-5*(-5/((-5/(((-5*(66.71--5))-(-5+((-5*66.71)*(((-5--5)+(66.71--5))+66.71))))-(-5+-5)))*-5)))/-5)--5)+(-5*(((66.71*(66.71-(-5/-5)))*(66.71-(66.71/(-5*66.71))))-(-5/-5)))))</f>
        <v>1475654.930355</v>
      </c>
      <c r="C16672" t="n" s="0">
        <v>1475654.9303549994</v>
      </c>
    </row>
    <row r="16673">
      <c r="A16673" t="n" s="0">
        <v>66.72</v>
      </c>
      <c r="B16673" t="n" s="0">
        <f>(-5-((((-5*(-5/((-5/(((-5*(66.72--5))-(-5+((-5*66.72)*(((-5--5)+(66.72--5))+66.72))))-(-5+-5)))*-5)))/-5)--5)+(-5*(((66.72*(66.72-(-5/-5)))*(66.72-(66.72/(-5*66.72))))-(-5/-5)))))</f>
        <v>1476319.9254400001</v>
      </c>
      <c r="C16673" t="n" s="0">
        <v>1476319.92544</v>
      </c>
    </row>
    <row r="16674">
      <c r="A16674" t="n" s="0">
        <v>66.73</v>
      </c>
      <c r="B16674" t="n" s="0">
        <f>(-5-((((-5*(-5/((-5/(((-5*(66.73--5))-(-5+((-5*66.73)*(((-5--5)+(66.73--5))+66.73))))-(-5+-5)))*-5)))/-5)--5)+(-5*(((66.73*(66.73-(-5/-5)))*(66.73-(66.73/(-5*66.73))))-(-5/-5)))))</f>
        <v>1476985.1202850002</v>
      </c>
      <c r="C16674" t="n" s="0">
        <v>1476985.1202850002</v>
      </c>
    </row>
    <row r="16675">
      <c r="A16675" t="n" s="0">
        <v>66.74</v>
      </c>
      <c r="B16675" t="n" s="0">
        <f>(-5-((((-5*(-5/((-5/(((-5*(66.74--5))-(-5+((-5*66.74)*(((-5--5)+(66.74--5))+66.74))))-(-5+-5)))*-5)))/-5)--5)+(-5*(((66.74*(66.74-(-5/-5)))*(66.74-(66.74/(-5*66.74))))-(-5/-5)))))</f>
        <v>1477650.51492</v>
      </c>
      <c r="C16675" t="n" s="0">
        <v>1477650.5149199995</v>
      </c>
    </row>
    <row r="16676">
      <c r="A16676" t="n" s="0">
        <v>66.75</v>
      </c>
      <c r="B16676" t="n" s="0">
        <f>(-5-((((-5*(-5/((-5/(((-5*(66.75--5))-(-5+((-5*66.75)*(((-5--5)+(66.75--5))+66.75))))-(-5+-5)))*-5)))/-5)--5)+(-5*(((66.75*(66.75-(-5/-5)))*(66.75-(66.75/(-5*66.75))))-(-5/-5)))))</f>
        <v>1478316.109375</v>
      </c>
      <c r="C16676" t="n" s="0">
        <v>1478316.109375</v>
      </c>
    </row>
    <row r="16677">
      <c r="A16677" t="n" s="0">
        <v>66.76</v>
      </c>
      <c r="B16677" t="n" s="0">
        <f>(-5-((((-5*(-5/((-5/(((-5*(66.76--5))-(-5+((-5*66.76)*(((-5--5)+(66.76--5))+66.76))))-(-5+-5)))*-5)))/-5)--5)+(-5*(((66.76*(66.76-(-5/-5)))*(66.76-(66.76/(-5*66.76))))-(-5/-5)))))</f>
        <v>1478981.90368</v>
      </c>
      <c r="C16677" t="n" s="0">
        <v>1478981.9036800005</v>
      </c>
    </row>
    <row r="16678">
      <c r="A16678" t="n" s="0">
        <v>66.77</v>
      </c>
      <c r="B16678" t="n" s="0">
        <f>(-5-((((-5*(-5/((-5/(((-5*(66.77--5))-(-5+((-5*66.77)*(((-5--5)+(66.77--5))+66.77))))-(-5+-5)))*-5)))/-5)--5)+(-5*(((66.77*(66.77-(-5/-5)))*(66.77-(66.77/(-5*66.77))))-(-5/-5)))))</f>
        <v>1479647.897865</v>
      </c>
      <c r="C16678" t="n" s="0">
        <v>1479647.897865</v>
      </c>
    </row>
    <row r="16679">
      <c r="A16679" t="n" s="0">
        <v>66.78</v>
      </c>
      <c r="B16679" t="n" s="0">
        <f>(-5-((((-5*(-5/((-5/(((-5*(66.78--5))-(-5+((-5*66.78)*(((-5--5)+(66.78--5))+66.78))))-(-5+-5)))*-5)))/-5)--5)+(-5*(((66.78*(66.78-(-5/-5)))*(66.78-(66.78/(-5*66.78))))-(-5/-5)))))</f>
        <v>1480314.09196</v>
      </c>
      <c r="C16679" t="n" s="0">
        <v>1480314.0919600003</v>
      </c>
    </row>
    <row r="16680">
      <c r="A16680" t="n" s="0">
        <v>66.79</v>
      </c>
      <c r="B16680" t="n" s="0">
        <f>(-5-((((-5*(-5/((-5/(((-5*(66.79--5))-(-5+((-5*66.79)*(((-5--5)+(66.79--5))+66.79))))-(-5+-5)))*-5)))/-5)--5)+(-5*(((66.79*(66.79-(-5/-5)))*(66.79-(66.79/(-5*66.79))))-(-5/-5)))))</f>
        <v>1480980.485995</v>
      </c>
      <c r="C16680" t="n" s="0">
        <v>1480980.4859950005</v>
      </c>
    </row>
    <row r="16681">
      <c r="A16681" t="n" s="0">
        <v>66.8</v>
      </c>
      <c r="B16681" t="n" s="0">
        <f>(-5-((((-5*(-5/((-5/(((-5*(66.8--5))-(-5+((-5*66.8)*(((-5--5)+(66.8--5))+66.8))))-(-5+-5)))*-5)))/-5)--5)+(-5*(((66.8*(66.8-(-5/-5)))*(66.8-(66.8/(-5*66.8))))-(-5/-5)))))</f>
        <v>1481647.0799999998</v>
      </c>
      <c r="C16681" t="n" s="0">
        <v>1481647.0799999998</v>
      </c>
    </row>
    <row r="16682">
      <c r="A16682" t="n" s="0">
        <v>66.81</v>
      </c>
      <c r="B16682" t="n" s="0">
        <f>(-5-((((-5*(-5/((-5/(((-5*(66.81--5))-(-5+((-5*66.81)*(((-5--5)+(66.81--5))+66.81))))-(-5+-5)))*-5)))/-5)--5)+(-5*(((66.81*(66.81-(-5/-5)))*(66.81-(66.81/(-5*66.81))))-(-5/-5)))))</f>
        <v>1482313.8740049999</v>
      </c>
      <c r="C16682" t="n" s="0">
        <v>1482313.874005</v>
      </c>
    </row>
    <row r="16683">
      <c r="A16683" t="n" s="0">
        <v>66.82</v>
      </c>
      <c r="B16683" t="n" s="0">
        <f>(-5-((((-5*(-5/((-5/(((-5*(66.82--5))-(-5+((-5*66.82)*(((-5--5)+(66.82--5))+66.82))))-(-5+-5)))*-5)))/-5)--5)+(-5*(((66.82*(66.82-(-5/-5)))*(66.82-(66.82/(-5*66.82))))-(-5/-5)))))</f>
        <v>1482980.86804</v>
      </c>
      <c r="C16683" t="n" s="0">
        <v>1482980.8680399994</v>
      </c>
    </row>
    <row r="16684">
      <c r="A16684" t="n" s="0">
        <v>66.83</v>
      </c>
      <c r="B16684" t="n" s="0">
        <f>(-5-((((-5*(-5/((-5/(((-5*(66.83--5))-(-5+((-5*66.83)*(((-5--5)+(66.83--5))+66.83))))-(-5+-5)))*-5)))/-5)--5)+(-5*(((66.83*(66.83-(-5/-5)))*(66.83-(66.83/(-5*66.83))))-(-5/-5)))))</f>
        <v>1483648.062135</v>
      </c>
      <c r="C16684" t="n" s="0">
        <v>1483648.0621349998</v>
      </c>
    </row>
    <row r="16685">
      <c r="A16685" t="n" s="0">
        <v>66.84</v>
      </c>
      <c r="B16685" t="n" s="0">
        <f>(-5-((((-5*(-5/((-5/(((-5*(66.84--5))-(-5+((-5*66.84)*(((-5--5)+(66.84--5))+66.84))))-(-5+-5)))*-5)))/-5)--5)+(-5*(((66.84*(66.84-(-5/-5)))*(66.84-(66.84/(-5*66.84))))-(-5/-5)))))</f>
        <v>1484315.45632</v>
      </c>
      <c r="C16685" t="n" s="0">
        <v>1484315.45632</v>
      </c>
    </row>
    <row r="16686">
      <c r="A16686" t="n" s="0">
        <v>66.85</v>
      </c>
      <c r="B16686" t="n" s="0">
        <f>(-5-((((-5*(-5/((-5/(((-5*(66.85--5))-(-5+((-5*66.85)*(((-5--5)+(66.85--5))+66.85))))-(-5+-5)))*-5)))/-5)--5)+(-5*(((66.85*(66.85-(-5/-5)))*(66.85-(66.85/(-5*66.85))))-(-5/-5)))))</f>
        <v>1484983.0506250001</v>
      </c>
      <c r="C16686" t="n" s="0">
        <v>1484983.0506249997</v>
      </c>
    </row>
    <row r="16687">
      <c r="A16687" t="n" s="0">
        <v>66.86</v>
      </c>
      <c r="B16687" t="n" s="0">
        <f>(-5-((((-5*(-5/((-5/(((-5*(66.86--5))-(-5+((-5*66.86)*(((-5--5)+(66.86--5))+66.86))))-(-5+-5)))*-5)))/-5)--5)+(-5*(((66.86*(66.86-(-5/-5)))*(66.86-(66.86/(-5*66.86))))-(-5/-5)))))</f>
        <v>1485650.8450799999</v>
      </c>
      <c r="C16687" t="n" s="0">
        <v>1485650.8450799999</v>
      </c>
    </row>
    <row r="16688">
      <c r="A16688" t="n" s="0">
        <v>66.87</v>
      </c>
      <c r="B16688" t="n" s="0">
        <f>(-5-((((-5*(-5/((-5/(((-5*(66.87--5))-(-5+((-5*66.87)*(((-5--5)+(66.87--5))+66.87))))-(-5+-5)))*-5)))/-5)--5)+(-5*(((66.87*(66.87-(-5/-5)))*(66.87-(66.87/(-5*66.87))))-(-5/-5)))))</f>
        <v>1486318.839715</v>
      </c>
      <c r="C16688" t="n" s="0">
        <v>1486318.8397150005</v>
      </c>
    </row>
    <row r="16689">
      <c r="A16689" t="n" s="0">
        <v>66.88</v>
      </c>
      <c r="B16689" t="n" s="0">
        <f>(-5-((((-5*(-5/((-5/(((-5*(66.88--5))-(-5+((-5*66.88)*(((-5--5)+(66.88--5))+66.88))))-(-5+-5)))*-5)))/-5)--5)+(-5*(((66.88*(66.88-(-5/-5)))*(66.88-(66.88/(-5*66.88))))-(-5/-5)))))</f>
        <v>1486987.03456</v>
      </c>
      <c r="C16689" t="n" s="0">
        <v>1486987.0345599996</v>
      </c>
    </row>
    <row r="16690">
      <c r="A16690" t="n" s="0">
        <v>66.89</v>
      </c>
      <c r="B16690" t="n" s="0">
        <f>(-5-((((-5*(-5/((-5/(((-5*(66.89--5))-(-5+((-5*66.89)*(((-5--5)+(66.89--5))+66.89))))-(-5+-5)))*-5)))/-5)--5)+(-5*(((66.89*(66.89-(-5/-5)))*(66.89-(66.89/(-5*66.89))))-(-5/-5)))))</f>
        <v>1487655.429645</v>
      </c>
      <c r="C16690" t="n" s="0">
        <v>1487655.4296450003</v>
      </c>
    </row>
    <row r="16691">
      <c r="A16691" t="n" s="0">
        <v>66.9</v>
      </c>
      <c r="B16691" t="n" s="0">
        <f>(-5-((((-5*(-5/((-5/(((-5*(66.9--5))-(-5+((-5*66.9)*(((-5--5)+(66.9--5))+66.9))))-(-5+-5)))*-5)))/-5)--5)+(-5*(((66.9*(66.9-(-5/-5)))*(66.9-(66.9/(-5*66.9))))-(-5/-5)))))</f>
        <v>1488324.0250000001</v>
      </c>
      <c r="C16691" t="n" s="0">
        <v>1488324.0250000004</v>
      </c>
    </row>
    <row r="16692">
      <c r="A16692" t="n" s="0">
        <v>66.91</v>
      </c>
      <c r="B16692" t="n" s="0">
        <f>(-5-((((-5*(-5/((-5/(((-5*(66.91--5))-(-5+((-5*66.91)*(((-5--5)+(66.91--5))+66.91))))-(-5+-5)))*-5)))/-5)--5)+(-5*(((66.91*(66.91-(-5/-5)))*(66.91-(66.91/(-5*66.91))))-(-5/-5)))))</f>
        <v>1488992.820655</v>
      </c>
      <c r="C16692" t="n" s="0">
        <v>1488992.8206549997</v>
      </c>
    </row>
    <row r="16693">
      <c r="A16693" t="n" s="0">
        <v>66.92</v>
      </c>
      <c r="B16693" t="n" s="0">
        <f>(-5-((((-5*(-5/((-5/(((-5*(66.92--5))-(-5+((-5*66.92)*(((-5--5)+(66.92--5))+66.92))))-(-5+-5)))*-5)))/-5)--5)+(-5*(((66.92*(66.92-(-5/-5)))*(66.92-(66.92/(-5*66.92))))-(-5/-5)))))</f>
        <v>1489661.8166399999</v>
      </c>
      <c r="C16693" t="n" s="0">
        <v>1489661.81664</v>
      </c>
    </row>
    <row r="16694">
      <c r="A16694" t="n" s="0">
        <v>66.93</v>
      </c>
      <c r="B16694" t="n" s="0">
        <f>(-5-((((-5*(-5/((-5/(((-5*(66.93--5))-(-5+((-5*66.93)*(((-5--5)+(66.93--5))+66.93))))-(-5+-5)))*-5)))/-5)--5)+(-5*(((66.93*(66.93-(-5/-5)))*(66.93-(66.93/(-5*66.93))))-(-5/-5)))))</f>
        <v>1490331.0129850002</v>
      </c>
      <c r="C16694" t="n" s="0">
        <v>1490331.0129850004</v>
      </c>
    </row>
    <row r="16695">
      <c r="A16695" t="n" s="0">
        <v>66.94</v>
      </c>
      <c r="B16695" t="n" s="0">
        <f>(-5-((((-5*(-5/((-5/(((-5*(66.94--5))-(-5+((-5*66.94)*(((-5--5)+(66.94--5))+66.94))))-(-5+-5)))*-5)))/-5)--5)+(-5*(((66.94*(66.94-(-5/-5)))*(66.94-(66.94/(-5*66.94))))-(-5/-5)))))</f>
        <v>1491000.40972</v>
      </c>
      <c r="C16695" t="n" s="0">
        <v>1491000.4097199999</v>
      </c>
    </row>
    <row r="16696">
      <c r="A16696" t="n" s="0">
        <v>66.95</v>
      </c>
      <c r="B16696" t="n" s="0">
        <f>(-5-((((-5*(-5/((-5/(((-5*(66.95--5))-(-5+((-5*66.95)*(((-5--5)+(66.95--5))+66.95))))-(-5+-5)))*-5)))/-5)--5)+(-5*(((66.95*(66.95-(-5/-5)))*(66.95-(66.95/(-5*66.95))))-(-5/-5)))))</f>
        <v>1491670.006875</v>
      </c>
      <c r="C16696" t="n" s="0">
        <v>1491670.0068750004</v>
      </c>
    </row>
    <row r="16697">
      <c r="A16697" t="n" s="0">
        <v>66.96</v>
      </c>
      <c r="B16697" t="n" s="0">
        <f>(-5-((((-5*(-5/((-5/(((-5*(66.96--5))-(-5+((-5*66.96)*(((-5--5)+(66.96--5))+66.96))))-(-5+-5)))*-5)))/-5)--5)+(-5*(((66.96*(66.96-(-5/-5)))*(66.96-(66.96/(-5*66.96))))-(-5/-5)))))</f>
        <v>1492339.80448</v>
      </c>
      <c r="C16697" t="n" s="0">
        <v>1492339.8044799995</v>
      </c>
    </row>
    <row r="16698">
      <c r="A16698" t="n" s="0">
        <v>66.97</v>
      </c>
      <c r="B16698" t="n" s="0">
        <f>(-5-((((-5*(-5/((-5/(((-5*(66.97--5))-(-5+((-5*66.97)*(((-5--5)+(66.97--5))+66.97))))-(-5+-5)))*-5)))/-5)--5)+(-5*(((66.97*(66.97-(-5/-5)))*(66.97-(66.97/(-5*66.97))))-(-5/-5)))))</f>
        <v>1493009.802565</v>
      </c>
      <c r="C16698" t="n" s="0">
        <v>1493009.802565</v>
      </c>
    </row>
    <row r="16699">
      <c r="A16699" t="n" s="0">
        <v>66.98</v>
      </c>
      <c r="B16699" t="n" s="0">
        <f>(-5-((((-5*(-5/((-5/(((-5*(66.98--5))-(-5+((-5*66.98)*(((-5--5)+(66.98--5))+66.98))))-(-5+-5)))*-5)))/-5)--5)+(-5*(((66.98*(66.98-(-5/-5)))*(66.98-(66.98/(-5*66.98))))-(-5/-5)))))</f>
        <v>1493680.00116</v>
      </c>
      <c r="C16699" t="n" s="0">
        <v>1493680.0011600002</v>
      </c>
    </row>
    <row r="16700">
      <c r="A16700" t="n" s="0">
        <v>66.99</v>
      </c>
      <c r="B16700" t="n" s="0">
        <f>(-5-((((-5*(-5/((-5/(((-5*(66.99--5))-(-5+((-5*66.99)*(((-5--5)+(66.99--5))+66.99))))-(-5+-5)))*-5)))/-5)--5)+(-5*(((66.99*(66.99-(-5/-5)))*(66.99-(66.99/(-5*66.99))))-(-5/-5)))))</f>
        <v>1494350.4002949998</v>
      </c>
      <c r="C16700" t="n" s="0">
        <v>1494350.4002949996</v>
      </c>
    </row>
    <row r="16701">
      <c r="A16701" t="n" s="0">
        <v>67.0</v>
      </c>
      <c r="B16701" t="n" s="0">
        <f>(-5-((((-5*(-5/((-5/(((-5*(67--5))-(-5+((-5*67)*(((-5--5)+(67--5))+67))))-(-5+-5)))*-5)))/-5)--5)+(-5*(((67*(67-(-5/-5)))*(67-(67/(-5*67))))-(-5/-5)))))</f>
        <v>1495021.0</v>
      </c>
      <c r="C16701" t="n" s="0">
        <v>1495021.0</v>
      </c>
    </row>
    <row r="16702">
      <c r="A16702" t="n" s="0">
        <v>67.01</v>
      </c>
      <c r="B16702" t="n" s="0">
        <f>(-5-((((-5*(-5/((-5/(((-5*(67.01--5))-(-5+((-5*67.01)*(((-5--5)+(67.01--5))+67.01))))-(-5+-5)))*-5)))/-5)--5)+(-5*(((67.01*(67.01-(-5/-5)))*(67.01-(67.01/(-5*67.01))))-(-5/-5)))))</f>
        <v>1495691.800305</v>
      </c>
      <c r="C16702" t="n" s="0">
        <v>1495691.8003050003</v>
      </c>
    </row>
    <row r="16703">
      <c r="A16703" t="n" s="0">
        <v>67.02</v>
      </c>
      <c r="B16703" t="n" s="0">
        <f>(-5-((((-5*(-5/((-5/(((-5*(67.02--5))-(-5+((-5*67.02)*(((-5--5)+(67.02--5))+67.02))))-(-5+-5)))*-5)))/-5)--5)+(-5*(((67.02*(67.02-(-5/-5)))*(67.02-(67.02/(-5*67.02))))-(-5/-5)))))</f>
        <v>1496362.80124</v>
      </c>
      <c r="C16703" t="n" s="0">
        <v>1496362.80124</v>
      </c>
    </row>
    <row r="16704">
      <c r="A16704" t="n" s="0">
        <v>67.03</v>
      </c>
      <c r="B16704" t="n" s="0">
        <f>(-5-((((-5*(-5/((-5/(((-5*(67.03--5))-(-5+((-5*67.03)*(((-5--5)+(67.03--5))+67.03))))-(-5+-5)))*-5)))/-5)--5)+(-5*(((67.03*(67.03-(-5/-5)))*(67.03-(67.03/(-5*67.03))))-(-5/-5)))))</f>
        <v>1497034.002835</v>
      </c>
      <c r="C16704" t="n" s="0">
        <v>1497034.0028350002</v>
      </c>
    </row>
    <row r="16705">
      <c r="A16705" t="n" s="0">
        <v>67.04</v>
      </c>
      <c r="B16705" t="n" s="0">
        <f>(-5-((((-5*(-5/((-5/(((-5*(67.04--5))-(-5+((-5*67.04)*(((-5--5)+(67.04--5))+67.04))))-(-5+-5)))*-5)))/-5)--5)+(-5*(((67.04*(67.04-(-5/-5)))*(67.04-(67.04/(-5*67.04))))-(-5/-5)))))</f>
        <v>1497705.40512</v>
      </c>
      <c r="C16705" t="n" s="0">
        <v>1497705.4051200007</v>
      </c>
    </row>
    <row r="16706">
      <c r="A16706" t="n" s="0">
        <v>67.05</v>
      </c>
      <c r="B16706" t="n" s="0">
        <f>(-5-((((-5*(-5/((-5/(((-5*(67.05--5))-(-5+((-5*67.05)*(((-5--5)+(67.05--5))+67.05))))-(-5+-5)))*-5)))/-5)--5)+(-5*(((67.05*(67.05-(-5/-5)))*(67.05-(67.05/(-5*67.05))))-(-5/-5)))))</f>
        <v>1498377.008125</v>
      </c>
      <c r="C16706" t="n" s="0">
        <v>1498377.0081249995</v>
      </c>
    </row>
    <row r="16707">
      <c r="A16707" t="n" s="0">
        <v>67.06</v>
      </c>
      <c r="B16707" t="n" s="0">
        <f>(-5-((((-5*(-5/((-5/(((-5*(67.06--5))-(-5+((-5*67.06)*(((-5--5)+(67.06--5))+67.06))))-(-5+-5)))*-5)))/-5)--5)+(-5*(((67.06*(67.06-(-5/-5)))*(67.06-(67.06/(-5*67.06))))-(-5/-5)))))</f>
        <v>1499048.81188</v>
      </c>
      <c r="C16707" t="n" s="0">
        <v>1499048.81188</v>
      </c>
    </row>
    <row r="16708">
      <c r="A16708" t="n" s="0">
        <v>67.07</v>
      </c>
      <c r="B16708" t="n" s="0">
        <f>(-5-((((-5*(-5/((-5/(((-5*(67.07--5))-(-5+((-5*67.07)*(((-5--5)+(67.07--5))+67.07))))-(-5+-5)))*-5)))/-5)--5)+(-5*(((67.07*(67.07-(-5/-5)))*(67.07-(67.07/(-5*67.07))))-(-5/-5)))))</f>
        <v>1499720.816415</v>
      </c>
      <c r="C16708" t="n" s="0">
        <v>1499720.8164149998</v>
      </c>
    </row>
    <row r="16709">
      <c r="A16709" t="n" s="0">
        <v>67.08</v>
      </c>
      <c r="B16709" t="n" s="0">
        <f>(-5-((((-5*(-5/((-5/(((-5*(67.08--5))-(-5+((-5*67.08)*(((-5--5)+(67.08--5))+67.08))))-(-5+-5)))*-5)))/-5)--5)+(-5*(((67.08*(67.08-(-5/-5)))*(67.08-(67.08/(-5*67.08))))-(-5/-5)))))</f>
        <v>1500393.02176</v>
      </c>
      <c r="C16709" t="n" s="0">
        <v>1500393.0217599997</v>
      </c>
    </row>
    <row r="16710">
      <c r="A16710" t="n" s="0">
        <v>67.09</v>
      </c>
      <c r="B16710" t="n" s="0">
        <f>(-5-((((-5*(-5/((-5/(((-5*(67.09--5))-(-5+((-5*67.09)*(((-5--5)+(67.09--5))+67.09))))-(-5+-5)))*-5)))/-5)--5)+(-5*(((67.09*(67.09-(-5/-5)))*(67.09-(67.09/(-5*67.09))))-(-5/-5)))))</f>
        <v>1501065.427945</v>
      </c>
      <c r="C16710" t="n" s="0">
        <v>1501065.4279450001</v>
      </c>
    </row>
    <row r="16711">
      <c r="A16711" t="n" s="0">
        <v>67.1</v>
      </c>
      <c r="B16711" t="n" s="0">
        <f>(-5-((((-5*(-5/((-5/(((-5*(67.1--5))-(-5+((-5*67.1)*(((-5--5)+(67.1--5))+67.1))))-(-5+-5)))*-5)))/-5)--5)+(-5*(((67.1*(67.1-(-5/-5)))*(67.1-(67.1/(-5*67.1))))-(-5/-5)))))</f>
        <v>1501738.035</v>
      </c>
      <c r="C16711" t="n" s="0">
        <v>1501738.0349999997</v>
      </c>
    </row>
    <row r="16712">
      <c r="A16712" t="n" s="0">
        <v>67.11</v>
      </c>
      <c r="B16712" t="n" s="0">
        <f>(-5-((((-5*(-5/((-5/(((-5*(67.11--5))-(-5+((-5*67.11)*(((-5--5)+(67.11--5))+67.11))))-(-5+-5)))*-5)))/-5)--5)+(-5*(((67.11*(67.11-(-5/-5)))*(67.11-(67.11/(-5*67.11))))-(-5/-5)))))</f>
        <v>1502410.842955</v>
      </c>
      <c r="C16712" t="n" s="0">
        <v>1502410.842955</v>
      </c>
    </row>
    <row r="16713">
      <c r="A16713" t="n" s="0">
        <v>67.12</v>
      </c>
      <c r="B16713" t="n" s="0">
        <f>(-5-((((-5*(-5/((-5/(((-5*(67.12--5))-(-5+((-5*67.12)*(((-5--5)+(67.12--5))+67.12))))-(-5+-5)))*-5)))/-5)--5)+(-5*(((67.12*(67.12-(-5/-5)))*(67.12-(67.12/(-5*67.12))))-(-5/-5)))))</f>
        <v>1503083.8518400001</v>
      </c>
      <c r="C16713" t="n" s="0">
        <v>1503083.8518400006</v>
      </c>
    </row>
    <row r="16714">
      <c r="A16714" t="n" s="0">
        <v>67.13</v>
      </c>
      <c r="B16714" t="n" s="0">
        <f>(-5-((((-5*(-5/((-5/(((-5*(67.13--5))-(-5+((-5*67.13)*(((-5--5)+(67.13--5))+67.13))))-(-5+-5)))*-5)))/-5)--5)+(-5*(((67.13*(67.13-(-5/-5)))*(67.13-(67.13/(-5*67.13))))-(-5/-5)))))</f>
        <v>1503757.0616849998</v>
      </c>
      <c r="C16714" t="n" s="0">
        <v>1503757.0616849996</v>
      </c>
    </row>
    <row r="16715">
      <c r="A16715" t="n" s="0">
        <v>67.14</v>
      </c>
      <c r="B16715" t="n" s="0">
        <f>(-5-((((-5*(-5/((-5/(((-5*(67.14--5))-(-5+((-5*67.14)*(((-5--5)+(67.14--5))+67.14))))-(-5+-5)))*-5)))/-5)--5)+(-5*(((67.14*(67.14-(-5/-5)))*(67.14-(67.14/(-5*67.14))))-(-5/-5)))))</f>
        <v>1504430.47252</v>
      </c>
      <c r="C16715" t="n" s="0">
        <v>1504430.4725199998</v>
      </c>
    </row>
    <row r="16716">
      <c r="A16716" t="n" s="0">
        <v>67.15</v>
      </c>
      <c r="B16716" t="n" s="0">
        <f>(-5-((((-5*(-5/((-5/(((-5*(67.15--5))-(-5+((-5*67.15)*(((-5--5)+(67.15--5))+67.15))))-(-5+-5)))*-5)))/-5)--5)+(-5*(((67.15*(67.15-(-5/-5)))*(67.15-(67.15/(-5*67.15))))-(-5/-5)))))</f>
        <v>1505104.0843749999</v>
      </c>
      <c r="C16716" t="n" s="0">
        <v>1505104.0843750003</v>
      </c>
    </row>
    <row r="16717">
      <c r="A16717" t="n" s="0">
        <v>67.16</v>
      </c>
      <c r="B16717" t="n" s="0">
        <f>(-5-((((-5*(-5/((-5/(((-5*(67.16--5))-(-5+((-5*67.16)*(((-5--5)+(67.16--5))+67.16))))-(-5+-5)))*-5)))/-5)--5)+(-5*(((67.16*(67.16-(-5/-5)))*(67.16-(67.16/(-5*67.16))))-(-5/-5)))))</f>
        <v>1505777.89728</v>
      </c>
      <c r="C16717" t="n" s="0">
        <v>1505777.8972799997</v>
      </c>
    </row>
    <row r="16718">
      <c r="A16718" t="n" s="0">
        <v>67.17</v>
      </c>
      <c r="B16718" t="n" s="0">
        <f>(-5-((((-5*(-5/((-5/(((-5*(67.17--5))-(-5+((-5*67.17)*(((-5--5)+(67.17--5))+67.17))))-(-5+-5)))*-5)))/-5)--5)+(-5*(((67.17*(67.17-(-5/-5)))*(67.17-(67.17/(-5*67.17))))-(-5/-5)))))</f>
        <v>1506451.911265</v>
      </c>
      <c r="C16718" t="n" s="0">
        <v>1506451.9112650002</v>
      </c>
    </row>
    <row r="16719">
      <c r="A16719" t="n" s="0">
        <v>67.18</v>
      </c>
      <c r="B16719" t="n" s="0">
        <f>(-5-((((-5*(-5/((-5/(((-5*(67.18--5))-(-5+((-5*67.18)*(((-5--5)+(67.18--5))+67.18))))-(-5+-5)))*-5)))/-5)--5)+(-5*(((67.18*(67.18-(-5/-5)))*(67.18-(67.18/(-5*67.18))))-(-5/-5)))))</f>
        <v>1507126.12636</v>
      </c>
      <c r="C16719" t="n" s="0">
        <v>1507126.1263600006</v>
      </c>
    </row>
    <row r="16720">
      <c r="A16720" t="n" s="0">
        <v>67.19</v>
      </c>
      <c r="B16720" t="n" s="0">
        <f>(-5-((((-5*(-5/((-5/(((-5*(67.19--5))-(-5+((-5*67.19)*(((-5--5)+(67.19--5))+67.19))))-(-5+-5)))*-5)))/-5)--5)+(-5*(((67.19*(67.19-(-5/-5)))*(67.19-(67.19/(-5*67.19))))-(-5/-5)))))</f>
        <v>1507800.542595</v>
      </c>
      <c r="C16720" t="n" s="0">
        <v>1507800.542595</v>
      </c>
    </row>
    <row r="16721">
      <c r="A16721" t="n" s="0">
        <v>67.2</v>
      </c>
      <c r="B16721" t="n" s="0">
        <f>(-5-((((-5*(-5/((-5/(((-5*(67.2--5))-(-5+((-5*67.2)*(((-5--5)+(67.2--5))+67.2))))-(-5+-5)))*-5)))/-5)--5)+(-5*(((67.2*(67.2-(-5/-5)))*(67.2-(67.2/(-5*67.2))))-(-5/-5)))))</f>
        <v>1508475.16</v>
      </c>
      <c r="C16721" t="n" s="0">
        <v>1508475.1600000004</v>
      </c>
    </row>
    <row r="16722">
      <c r="A16722" t="n" s="0">
        <v>67.21</v>
      </c>
      <c r="B16722" t="n" s="0">
        <f>(-5-((((-5*(-5/((-5/(((-5*(67.21--5))-(-5+((-5*67.21)*(((-5--5)+(67.21--5))+67.21))))-(-5+-5)))*-5)))/-5)--5)+(-5*(((67.21*(67.21-(-5/-5)))*(67.21-(67.21/(-5*67.21))))-(-5/-5)))))</f>
        <v>1509149.978605</v>
      </c>
      <c r="C16722" t="n" s="0">
        <v>1509149.9786049996</v>
      </c>
    </row>
    <row r="16723">
      <c r="A16723" t="n" s="0">
        <v>67.22</v>
      </c>
      <c r="B16723" t="n" s="0">
        <f>(-5-((((-5*(-5/((-5/(((-5*(67.22--5))-(-5+((-5*67.22)*(((-5--5)+(67.22--5))+67.22))))-(-5+-5)))*-5)))/-5)--5)+(-5*(((67.22*(67.22-(-5/-5)))*(67.22-(67.22/(-5*67.22))))-(-5/-5)))))</f>
        <v>1509824.99844</v>
      </c>
      <c r="C16723" t="n" s="0">
        <v>1509824.99844</v>
      </c>
    </row>
    <row r="16724">
      <c r="A16724" t="n" s="0">
        <v>67.23</v>
      </c>
      <c r="B16724" t="n" s="0">
        <f>(-5-((((-5*(-5/((-5/(((-5*(67.23--5))-(-5+((-5*67.23)*(((-5--5)+(67.23--5))+67.23))))-(-5+-5)))*-5)))/-5)--5)+(-5*(((67.23*(67.23-(-5/-5)))*(67.23-(67.23/(-5*67.23))))-(-5/-5)))))</f>
        <v>1510500.2195350002</v>
      </c>
      <c r="C16724" t="n" s="0">
        <v>1510500.2195350002</v>
      </c>
    </row>
    <row r="16725">
      <c r="A16725" t="n" s="0">
        <v>67.24</v>
      </c>
      <c r="B16725" t="n" s="0">
        <f>(-5-((((-5*(-5/((-5/(((-5*(67.24--5))-(-5+((-5*67.24)*(((-5--5)+(67.24--5))+67.24))))-(-5+-5)))*-5)))/-5)--5)+(-5*(((67.24*(67.24-(-5/-5)))*(67.24-(67.24/(-5*67.24))))-(-5/-5)))))</f>
        <v>1511175.6419199998</v>
      </c>
      <c r="C16725" t="n" s="0">
        <v>1511175.6419199998</v>
      </c>
    </row>
    <row r="16726">
      <c r="A16726" t="n" s="0">
        <v>67.25</v>
      </c>
      <c r="B16726" t="n" s="0">
        <f>(-5-((((-5*(-5/((-5/(((-5*(67.25--5))-(-5+((-5*67.25)*(((-5--5)+(67.25--5))+67.25))))-(-5+-5)))*-5)))/-5)--5)+(-5*(((67.25*(67.25-(-5/-5)))*(67.25-(67.25/(-5*67.25))))-(-5/-5)))))</f>
        <v>1511851.265625</v>
      </c>
      <c r="C16726" t="n" s="0">
        <v>1511851.265625</v>
      </c>
    </row>
    <row r="16727">
      <c r="A16727" t="n" s="0">
        <v>67.26</v>
      </c>
      <c r="B16727" t="n" s="0">
        <f>(-5-((((-5*(-5/((-5/(((-5*(67.26--5))-(-5+((-5*67.26)*(((-5--5)+(67.26--5))+67.26))))-(-5+-5)))*-5)))/-5)--5)+(-5*(((67.26*(67.26-(-5/-5)))*(67.26-(67.26/(-5*67.26))))-(-5/-5)))))</f>
        <v>1512527.0906800001</v>
      </c>
      <c r="C16727" t="n" s="0">
        <v>1512527.0906800004</v>
      </c>
    </row>
    <row r="16728">
      <c r="A16728" t="n" s="0">
        <v>67.27</v>
      </c>
      <c r="B16728" t="n" s="0">
        <f>(-5-((((-5*(-5/((-5/(((-5*(67.27--5))-(-5+((-5*67.27)*(((-5--5)+(67.27--5))+67.27))))-(-5+-5)))*-5)))/-5)--5)+(-5*(((67.27*(67.27-(-5/-5)))*(67.27-(67.27/(-5*67.27))))-(-5/-5)))))</f>
        <v>1513203.117115</v>
      </c>
      <c r="C16728" t="n" s="0">
        <v>1513203.1171149998</v>
      </c>
    </row>
    <row r="16729">
      <c r="A16729" t="n" s="0">
        <v>67.28</v>
      </c>
      <c r="B16729" t="n" s="0">
        <f>(-5-((((-5*(-5/((-5/(((-5*(67.28--5))-(-5+((-5*67.28)*(((-5--5)+(67.28--5))+67.28))))-(-5+-5)))*-5)))/-5)--5)+(-5*(((67.28*(67.28-(-5/-5)))*(67.28-(67.28/(-5*67.28))))-(-5/-5)))))</f>
        <v>1513879.34496</v>
      </c>
      <c r="C16729" t="n" s="0">
        <v>1513879.3449600001</v>
      </c>
    </row>
    <row r="16730">
      <c r="A16730" t="n" s="0">
        <v>67.29</v>
      </c>
      <c r="B16730" t="n" s="0">
        <f>(-5-((((-5*(-5/((-5/(((-5*(67.29--5))-(-5+((-5*67.29)*(((-5--5)+(67.29--5))+67.29))))-(-5+-5)))*-5)))/-5)--5)+(-5*(((67.29*(67.29-(-5/-5)))*(67.29-(67.29/(-5*67.29))))-(-5/-5)))))</f>
        <v>1514555.7742449997</v>
      </c>
      <c r="C16730" t="n" s="0">
        <v>1514555.7742450004</v>
      </c>
    </row>
    <row r="16731">
      <c r="A16731" t="n" s="0">
        <v>67.3</v>
      </c>
      <c r="B16731" t="n" s="0">
        <f>(-5-((((-5*(-5/((-5/(((-5*(67.3--5))-(-5+((-5*67.3)*(((-5--5)+(67.3--5))+67.3))))-(-5+-5)))*-5)))/-5)--5)+(-5*(((67.3*(67.3-(-5/-5)))*(67.3-(67.3/(-5*67.3))))-(-5/-5)))))</f>
        <v>1515232.405</v>
      </c>
      <c r="C16731" t="n" s="0">
        <v>1515232.4049999996</v>
      </c>
    </row>
    <row r="16732">
      <c r="A16732" t="n" s="0">
        <v>67.31</v>
      </c>
      <c r="B16732" t="n" s="0">
        <f>(-5-((((-5*(-5/((-5/(((-5*(67.31--5))-(-5+((-5*67.31)*(((-5--5)+(67.31--5))+67.31))))-(-5+-5)))*-5)))/-5)--5)+(-5*(((67.31*(67.31-(-5/-5)))*(67.31-(67.31/(-5*67.31))))-(-5/-5)))))</f>
        <v>1515909.237255</v>
      </c>
      <c r="C16732" t="n" s="0">
        <v>1515909.237255</v>
      </c>
    </row>
    <row r="16733">
      <c r="A16733" t="n" s="0">
        <v>67.32</v>
      </c>
      <c r="B16733" t="n" s="0">
        <f>(-5-((((-5*(-5/((-5/(((-5*(67.32--5))-(-5+((-5*67.32)*(((-5--5)+(67.32--5))+67.32))))-(-5+-5)))*-5)))/-5)--5)+(-5*(((67.32*(67.32-(-5/-5)))*(67.32-(67.32/(-5*67.32))))-(-5/-5)))))</f>
        <v>1516586.27104</v>
      </c>
      <c r="C16733" t="n" s="0">
        <v>1516586.2710399998</v>
      </c>
    </row>
    <row r="16734">
      <c r="A16734" t="n" s="0">
        <v>67.33</v>
      </c>
      <c r="B16734" t="n" s="0">
        <f>(-5-((((-5*(-5/((-5/(((-5*(67.33--5))-(-5+((-5*67.33)*(((-5--5)+(67.33--5))+67.33))))-(-5+-5)))*-5)))/-5)--5)+(-5*(((67.33*(67.33-(-5/-5)))*(67.33-(67.33/(-5*67.33))))-(-5/-5)))))</f>
        <v>1517263.506385</v>
      </c>
      <c r="C16734" t="n" s="0">
        <v>1517263.506385</v>
      </c>
    </row>
    <row r="16735">
      <c r="A16735" t="n" s="0">
        <v>67.34</v>
      </c>
      <c r="B16735" t="n" s="0">
        <f>(-5-((((-5*(-5/((-5/(((-5*(67.34--5))-(-5+((-5*67.34)*(((-5--5)+(67.34--5))+67.34))))-(-5+-5)))*-5)))/-5)--5)+(-5*(((67.34*(67.34-(-5/-5)))*(67.34-(67.34/(-5*67.34))))-(-5/-5)))))</f>
        <v>1517940.94332</v>
      </c>
      <c r="C16735" t="n" s="0">
        <v>1517940.94332</v>
      </c>
    </row>
    <row r="16736">
      <c r="A16736" t="n" s="0">
        <v>67.35</v>
      </c>
      <c r="B16736" t="n" s="0">
        <f>(-5-((((-5*(-5/((-5/(((-5*(67.35--5))-(-5+((-5*67.35)*(((-5--5)+(67.35--5))+67.35))))-(-5+-5)))*-5)))/-5)--5)+(-5*(((67.35*(67.35-(-5/-5)))*(67.35-(67.35/(-5*67.35))))-(-5/-5)))))</f>
        <v>1518618.5818750001</v>
      </c>
      <c r="C16736" t="n" s="0">
        <v>1518618.581875</v>
      </c>
    </row>
    <row r="16737">
      <c r="A16737" t="n" s="0">
        <v>67.36</v>
      </c>
      <c r="B16737" t="n" s="0">
        <f>(-5-((((-5*(-5/((-5/(((-5*(67.36--5))-(-5+((-5*67.36)*(((-5--5)+(67.36--5))+67.36))))-(-5+-5)))*-5)))/-5)--5)+(-5*(((67.36*(67.36-(-5/-5)))*(67.36-(67.36/(-5*67.36))))-(-5/-5)))))</f>
        <v>1519296.42208</v>
      </c>
      <c r="C16737" t="n" s="0">
        <v>1519296.4220800002</v>
      </c>
    </row>
    <row r="16738">
      <c r="A16738" t="n" s="0">
        <v>67.37</v>
      </c>
      <c r="B16738" t="n" s="0">
        <f>(-5-((((-5*(-5/((-5/(((-5*(67.37--5))-(-5+((-5*67.37)*(((-5--5)+(67.37--5))+67.37))))-(-5+-5)))*-5)))/-5)--5)+(-5*(((67.37*(67.37-(-5/-5)))*(67.37-(67.37/(-5*67.37))))-(-5/-5)))))</f>
        <v>1519974.463965</v>
      </c>
      <c r="C16738" t="n" s="0">
        <v>1519974.4639650004</v>
      </c>
    </row>
    <row r="16739">
      <c r="A16739" t="n" s="0">
        <v>67.38</v>
      </c>
      <c r="B16739" t="n" s="0">
        <f>(-5-((((-5*(-5/((-5/(((-5*(67.38--5))-(-5+((-5*67.38)*(((-5--5)+(67.38--5))+67.38))))-(-5+-5)))*-5)))/-5)--5)+(-5*(((67.38*(67.38-(-5/-5)))*(67.38-(67.38/(-5*67.38))))-(-5/-5)))))</f>
        <v>1520652.70756</v>
      </c>
      <c r="C16739" t="n" s="0">
        <v>1520652.7075599998</v>
      </c>
    </row>
    <row r="16740">
      <c r="A16740" t="n" s="0">
        <v>67.39</v>
      </c>
      <c r="B16740" t="n" s="0">
        <f>(-5-((((-5*(-5/((-5/(((-5*(67.39--5))-(-5+((-5*67.39)*(((-5--5)+(67.39--5))+67.39))))-(-5+-5)))*-5)))/-5)--5)+(-5*(((67.39*(67.39-(-5/-5)))*(67.39-(67.39/(-5*67.39))))-(-5/-5)))))</f>
        <v>1521331.152895</v>
      </c>
      <c r="C16740" t="n" s="0">
        <v>1521331.152895</v>
      </c>
    </row>
    <row r="16741">
      <c r="A16741" t="n" s="0">
        <v>67.4</v>
      </c>
      <c r="B16741" t="n" s="0">
        <f>(-5-((((-5*(-5/((-5/(((-5*(67.4--5))-(-5+((-5*67.4)*(((-5--5)+(67.4--5))+67.4))))-(-5+-5)))*-5)))/-5)--5)+(-5*(((67.4*(67.4-(-5/-5)))*(67.4-(67.4/(-5*67.4))))-(-5/-5)))))</f>
        <v>1522009.8</v>
      </c>
      <c r="C16741" t="n" s="0">
        <v>1522009.8000000005</v>
      </c>
    </row>
    <row r="16742">
      <c r="A16742" t="n" s="0">
        <v>67.41</v>
      </c>
      <c r="B16742" t="n" s="0">
        <f>(-5-((((-5*(-5/((-5/(((-5*(67.41--5))-(-5+((-5*67.41)*(((-5--5)+(67.41--5))+67.41))))-(-5+-5)))*-5)))/-5)--5)+(-5*(((67.41*(67.41-(-5/-5)))*(67.41-(67.41/(-5*67.41))))-(-5/-5)))))</f>
        <v>1522688.648905</v>
      </c>
      <c r="C16742" t="n" s="0">
        <v>1522688.648905</v>
      </c>
    </row>
    <row r="16743">
      <c r="A16743" t="n" s="0">
        <v>67.42</v>
      </c>
      <c r="B16743" t="n" s="0">
        <f>(-5-((((-5*(-5/((-5/(((-5*(67.42--5))-(-5+((-5*67.42)*(((-5--5)+(67.42--5))+67.42))))-(-5+-5)))*-5)))/-5)--5)+(-5*(((67.42*(67.42-(-5/-5)))*(67.42-(67.42/(-5*67.42))))-(-5/-5)))))</f>
        <v>1523367.69964</v>
      </c>
      <c r="C16743" t="n" s="0">
        <v>1523367.69964</v>
      </c>
    </row>
    <row r="16744">
      <c r="A16744" t="n" s="0">
        <v>67.43</v>
      </c>
      <c r="B16744" t="n" s="0">
        <f>(-5-((((-5*(-5/((-5/(((-5*(67.43--5))-(-5+((-5*67.43)*(((-5--5)+(67.43--5))+67.43))))-(-5+-5)))*-5)))/-5)--5)+(-5*(((67.43*(67.43-(-5/-5)))*(67.43-(67.43/(-5*67.43))))-(-5/-5)))))</f>
        <v>1524046.952235</v>
      </c>
      <c r="C16744" t="n" s="0">
        <v>1524046.9522350004</v>
      </c>
    </row>
    <row r="16745">
      <c r="A16745" t="n" s="0">
        <v>67.44</v>
      </c>
      <c r="B16745" t="n" s="0">
        <f>(-5-((((-5*(-5/((-5/(((-5*(67.44--5))-(-5+((-5*67.44)*(((-5--5)+(67.44--5))+67.44))))-(-5+-5)))*-5)))/-5)--5)+(-5*(((67.44*(67.44-(-5/-5)))*(67.44-(67.44/(-5*67.44))))-(-5/-5)))))</f>
        <v>1524726.4067199999</v>
      </c>
      <c r="C16745" t="n" s="0">
        <v>1524726.40672</v>
      </c>
    </row>
    <row r="16746">
      <c r="A16746" t="n" s="0">
        <v>67.45</v>
      </c>
      <c r="B16746" t="n" s="0">
        <f>(-5-((((-5*(-5/((-5/(((-5*(67.45--5))-(-5+((-5*67.45)*(((-5--5)+(67.45--5))+67.45))))-(-5+-5)))*-5)))/-5)--5)+(-5*(((67.45*(67.45-(-5/-5)))*(67.45-(67.45/(-5*67.45))))-(-5/-5)))))</f>
        <v>1525406.0631249999</v>
      </c>
      <c r="C16746" t="n" s="0">
        <v>1525406.0631250003</v>
      </c>
    </row>
    <row r="16747">
      <c r="A16747" t="n" s="0">
        <v>67.46</v>
      </c>
      <c r="B16747" t="n" s="0">
        <f>(-5-((((-5*(-5/((-5/(((-5*(67.46--5))-(-5+((-5*67.46)*(((-5--5)+(67.46--5))+67.46))))-(-5+-5)))*-5)))/-5)--5)+(-5*(((67.46*(67.46-(-5/-5)))*(67.46-(67.46/(-5*67.46))))-(-5/-5)))))</f>
        <v>1526085.92148</v>
      </c>
      <c r="C16747" t="n" s="0">
        <v>1526085.9214799996</v>
      </c>
    </row>
    <row r="16748">
      <c r="A16748" t="n" s="0">
        <v>67.47</v>
      </c>
      <c r="B16748" t="n" s="0">
        <f>(-5-((((-5*(-5/((-5/(((-5*(67.47--5))-(-5+((-5*67.47)*(((-5--5)+(67.47--5))+67.47))))-(-5+-5)))*-5)))/-5)--5)+(-5*(((67.47*(67.47-(-5/-5)))*(67.47-(67.47/(-5*67.47))))-(-5/-5)))))</f>
        <v>1526765.981815</v>
      </c>
      <c r="C16748" t="n" s="0">
        <v>1526765.9818149998</v>
      </c>
    </row>
    <row r="16749">
      <c r="A16749" t="n" s="0">
        <v>67.48</v>
      </c>
      <c r="B16749" t="n" s="0">
        <f>(-5-((((-5*(-5/((-5/(((-5*(67.48--5))-(-5+((-5*67.48)*(((-5--5)+(67.48--5))+67.48))))-(-5+-5)))*-5)))/-5)--5)+(-5*(((67.48*(67.48-(-5/-5)))*(67.48-(67.48/(-5*67.48))))-(-5/-5)))))</f>
        <v>1527446.24416</v>
      </c>
      <c r="C16749" t="n" s="0">
        <v>1527446.2441600005</v>
      </c>
    </row>
    <row r="16750">
      <c r="A16750" t="n" s="0">
        <v>67.49</v>
      </c>
      <c r="B16750" t="n" s="0">
        <f>(-5-((((-5*(-5/((-5/(((-5*(67.49--5))-(-5+((-5*67.49)*(((-5--5)+(67.49--5))+67.49))))-(-5+-5)))*-5)))/-5)--5)+(-5*(((67.49*(67.49-(-5/-5)))*(67.49-(67.49/(-5*67.49))))-(-5/-5)))))</f>
        <v>1528126.7085449998</v>
      </c>
      <c r="C16750" t="n" s="0">
        <v>1528126.7085449996</v>
      </c>
    </row>
    <row r="16751">
      <c r="A16751" t="n" s="0">
        <v>67.5</v>
      </c>
      <c r="B16751" t="n" s="0">
        <f>(-5-((((-5*(-5/((-5/(((-5*(67.5--5))-(-5+((-5*67.5)*(((-5--5)+(67.5--5))+67.5))))-(-5+-5)))*-5)))/-5)--5)+(-5*(((67.5*(67.5-(-5/-5)))*(67.5-(67.5/(-5*67.5))))-(-5/-5)))))</f>
        <v>1528807.375</v>
      </c>
      <c r="C16751" t="n" s="0">
        <v>1528807.375</v>
      </c>
    </row>
    <row r="16752">
      <c r="A16752" t="n" s="0">
        <v>67.51</v>
      </c>
      <c r="B16752" t="n" s="0">
        <f>(-5-((((-5*(-5/((-5/(((-5*(67.51--5))-(-5+((-5*67.51)*(((-5--5)+(67.51--5))+67.51))))-(-5+-5)))*-5)))/-5)--5)+(-5*(((67.51*(67.51-(-5/-5)))*(67.51-(67.51/(-5*67.51))))-(-5/-5)))))</f>
        <v>1529488.2435549998</v>
      </c>
      <c r="C16752" t="n" s="0">
        <v>1529488.2435550003</v>
      </c>
    </row>
    <row r="16753">
      <c r="A16753" t="n" s="0">
        <v>67.52</v>
      </c>
      <c r="B16753" t="n" s="0">
        <f>(-5-((((-5*(-5/((-5/(((-5*(67.52--5))-(-5+((-5*67.52)*(((-5--5)+(67.52--5))+67.52))))-(-5+-5)))*-5)))/-5)--5)+(-5*(((67.52*(67.52-(-5/-5)))*(67.52-(67.52/(-5*67.52))))-(-5/-5)))))</f>
        <v>1530169.31424</v>
      </c>
      <c r="C16753" t="n" s="0">
        <v>1530169.3142399997</v>
      </c>
    </row>
    <row r="16754">
      <c r="A16754" t="n" s="0">
        <v>67.53</v>
      </c>
      <c r="B16754" t="n" s="0">
        <f>(-5-((((-5*(-5/((-5/(((-5*(67.53--5))-(-5+((-5*67.53)*(((-5--5)+(67.53--5))+67.53))))-(-5+-5)))*-5)))/-5)--5)+(-5*(((67.53*(67.53-(-5/-5)))*(67.53-(67.53/(-5*67.53))))-(-5/-5)))))</f>
        <v>1530850.587085</v>
      </c>
      <c r="C16754" t="n" s="0">
        <v>1530850.5870850002</v>
      </c>
    </row>
    <row r="16755">
      <c r="A16755" t="n" s="0">
        <v>67.54</v>
      </c>
      <c r="B16755" t="n" s="0">
        <f>(-5-((((-5*(-5/((-5/(((-5*(67.54--5))-(-5+((-5*67.54)*(((-5--5)+(67.54--5))+67.54))))-(-5+-5)))*-5)))/-5)--5)+(-5*(((67.54*(67.54-(-5/-5)))*(67.54-(67.54/(-5*67.54))))-(-5/-5)))))</f>
        <v>1531532.0621200001</v>
      </c>
      <c r="C16755" t="n" s="0">
        <v>1531532.0621200006</v>
      </c>
    </row>
    <row r="16756">
      <c r="A16756" t="n" s="0">
        <v>67.55</v>
      </c>
      <c r="B16756" t="n" s="0">
        <f>(-5-((((-5*(-5/((-5/(((-5*(67.55--5))-(-5+((-5*67.55)*(((-5--5)+(67.55--5))+67.55))))-(-5+-5)))*-5)))/-5)--5)+(-5*(((67.55*(67.55-(-5/-5)))*(67.55-(67.55/(-5*67.55))))-(-5/-5)))))</f>
        <v>1532213.7393750001</v>
      </c>
      <c r="C16756" t="n" s="0">
        <v>1532213.7393749997</v>
      </c>
    </row>
    <row r="16757">
      <c r="A16757" t="n" s="0">
        <v>67.56</v>
      </c>
      <c r="B16757" t="n" s="0">
        <f>(-5-((((-5*(-5/((-5/(((-5*(67.56--5))-(-5+((-5*67.56)*(((-5--5)+(67.56--5))+67.56))))-(-5+-5)))*-5)))/-5)--5)+(-5*(((67.56*(67.56-(-5/-5)))*(67.56-(67.56/(-5*67.56))))-(-5/-5)))))</f>
        <v>1532895.61888</v>
      </c>
      <c r="C16757" t="n" s="0">
        <v>1532895.61888</v>
      </c>
    </row>
    <row r="16758">
      <c r="A16758" t="n" s="0">
        <v>67.57</v>
      </c>
      <c r="B16758" t="n" s="0">
        <f>(-5-((((-5*(-5/((-5/(((-5*(67.57--5))-(-5+((-5*67.57)*(((-5--5)+(67.57--5))+67.57))))-(-5+-5)))*-5)))/-5)--5)+(-5*(((67.57*(67.57-(-5/-5)))*(67.57-(67.57/(-5*67.57))))-(-5/-5)))))</f>
        <v>1533577.7006650001</v>
      </c>
      <c r="C16758" t="n" s="0">
        <v>1533577.7006649994</v>
      </c>
    </row>
    <row r="16759">
      <c r="A16759" t="n" s="0">
        <v>67.58</v>
      </c>
      <c r="B16759" t="n" s="0">
        <f>(-5-((((-5*(-5/((-5/(((-5*(67.58--5))-(-5+((-5*67.58)*(((-5--5)+(67.58--5))+67.58))))-(-5+-5)))*-5)))/-5)--5)+(-5*(((67.58*(67.58-(-5/-5)))*(67.58-(67.58/(-5*67.58))))-(-5/-5)))))</f>
        <v>1534259.9847600001</v>
      </c>
      <c r="C16759" t="n" s="0">
        <v>1534259.98476</v>
      </c>
    </row>
    <row r="16760">
      <c r="A16760" t="n" s="0">
        <v>67.59</v>
      </c>
      <c r="B16760" t="n" s="0">
        <f>(-5-((((-5*(-5/((-5/(((-5*(67.59--5))-(-5+((-5*67.59)*(((-5--5)+(67.59--5))+67.59))))-(-5+-5)))*-5)))/-5)--5)+(-5*(((67.59*(67.59-(-5/-5)))*(67.59-(67.59/(-5*67.59))))-(-5/-5)))))</f>
        <v>1534942.471195</v>
      </c>
      <c r="C16760" t="n" s="0">
        <v>1534942.471195</v>
      </c>
    </row>
    <row r="16761">
      <c r="A16761" t="n" s="0">
        <v>67.6</v>
      </c>
      <c r="B16761" t="n" s="0">
        <f>(-5-((((-5*(-5/((-5/(((-5*(67.6--5))-(-5+((-5*67.6)*(((-5--5)+(67.6--5))+67.6))))-(-5+-5)))*-5)))/-5)--5)+(-5*(((67.6*(67.6-(-5/-5)))*(67.6-(67.6/(-5*67.6))))-(-5/-5)))))</f>
        <v>1535625.16</v>
      </c>
      <c r="C16761" t="n" s="0">
        <v>1535625.1599999995</v>
      </c>
    </row>
    <row r="16762">
      <c r="A16762" t="n" s="0">
        <v>67.61</v>
      </c>
      <c r="B16762" t="n" s="0">
        <f>(-5-((((-5*(-5/((-5/(((-5*(67.61--5))-(-5+((-5*67.61)*(((-5--5)+(67.61--5))+67.61))))-(-5+-5)))*-5)))/-5)--5)+(-5*(((67.61*(67.61-(-5/-5)))*(67.61-(67.61/(-5*67.61))))-(-5/-5)))))</f>
        <v>1536308.051205</v>
      </c>
      <c r="C16762" t="n" s="0">
        <v>1536308.051205</v>
      </c>
    </row>
    <row r="16763">
      <c r="A16763" t="n" s="0">
        <v>67.62</v>
      </c>
      <c r="B16763" t="n" s="0">
        <f>(-5-((((-5*(-5/((-5/(((-5*(67.62--5))-(-5+((-5*67.62)*(((-5--5)+(67.62--5))+67.62))))-(-5+-5)))*-5)))/-5)--5)+(-5*(((67.62*(67.62-(-5/-5)))*(67.62-(67.62/(-5*67.62))))-(-5/-5)))))</f>
        <v>1536991.1448400002</v>
      </c>
      <c r="C16763" t="n" s="0">
        <v>1536991.1448400004</v>
      </c>
    </row>
    <row r="16764">
      <c r="A16764" t="n" s="0">
        <v>67.63</v>
      </c>
      <c r="B16764" t="n" s="0">
        <f>(-5-((((-5*(-5/((-5/(((-5*(67.63--5))-(-5+((-5*67.63)*(((-5--5)+(67.63--5))+67.63))))-(-5+-5)))*-5)))/-5)--5)+(-5*(((67.63*(67.63-(-5/-5)))*(67.63-(67.63/(-5*67.63))))-(-5/-5)))))</f>
        <v>1537674.440935</v>
      </c>
      <c r="C16764" t="n" s="0">
        <v>1537674.4409349996</v>
      </c>
    </row>
    <row r="16765">
      <c r="A16765" t="n" s="0">
        <v>67.64</v>
      </c>
      <c r="B16765" t="n" s="0">
        <f>(-5-((((-5*(-5/((-5/(((-5*(67.64--5))-(-5+((-5*67.64)*(((-5--5)+(67.64--5))+67.64))))-(-5+-5)))*-5)))/-5)--5)+(-5*(((67.64*(67.64-(-5/-5)))*(67.64-(67.64/(-5*67.64))))-(-5/-5)))))</f>
        <v>1538357.93952</v>
      </c>
      <c r="C16765" t="n" s="0">
        <v>1538357.9395199998</v>
      </c>
    </row>
    <row r="16766">
      <c r="A16766" t="n" s="0">
        <v>67.65</v>
      </c>
      <c r="B16766" t="n" s="0">
        <f>(-5-((((-5*(-5/((-5/(((-5*(67.65--5))-(-5+((-5*67.65)*(((-5--5)+(67.65--5))+67.65))))-(-5+-5)))*-5)))/-5)--5)+(-5*(((67.65*(67.65-(-5/-5)))*(67.65-(67.65/(-5*67.65))))-(-5/-5)))))</f>
        <v>1539041.640625</v>
      </c>
      <c r="C16766" t="n" s="0">
        <v>1539041.6406250002</v>
      </c>
    </row>
    <row r="16767">
      <c r="A16767" t="n" s="0">
        <v>67.66</v>
      </c>
      <c r="B16767" t="n" s="0">
        <f>(-5-((((-5*(-5/((-5/(((-5*(67.66--5))-(-5+((-5*67.66)*(((-5--5)+(67.66--5))+67.66))))-(-5+-5)))*-5)))/-5)--5)+(-5*(((67.66*(67.66-(-5/-5)))*(67.66-(67.66/(-5*67.66))))-(-5/-5)))))</f>
        <v>1539725.54428</v>
      </c>
      <c r="C16767" t="n" s="0">
        <v>1539725.5442799996</v>
      </c>
    </row>
    <row r="16768">
      <c r="A16768" t="n" s="0">
        <v>67.67</v>
      </c>
      <c r="B16768" t="n" s="0">
        <f>(-5-((((-5*(-5/((-5/(((-5*(67.67--5))-(-5+((-5*67.67)*(((-5--5)+(67.67--5))+67.67))))-(-5+-5)))*-5)))/-5)--5)+(-5*(((67.67*(67.67-(-5/-5)))*(67.67-(67.67/(-5*67.67))))-(-5/-5)))))</f>
        <v>1540409.6505149999</v>
      </c>
      <c r="C16768" t="n" s="0">
        <v>1540409.650515</v>
      </c>
    </row>
    <row r="16769">
      <c r="A16769" t="n" s="0">
        <v>67.68</v>
      </c>
      <c r="B16769" t="n" s="0">
        <f>(-5-((((-5*(-5/((-5/(((-5*(67.68--5))-(-5+((-5*67.68)*(((-5--5)+(67.68--5))+67.68))))-(-5+-5)))*-5)))/-5)--5)+(-5*(((67.68*(67.68-(-5/-5)))*(67.68-(67.68/(-5*67.68))))-(-5/-5)))))</f>
        <v>1541093.9593600002</v>
      </c>
      <c r="C16769" t="n" s="0">
        <v>1541093.9593600007</v>
      </c>
    </row>
    <row r="16770">
      <c r="A16770" t="n" s="0">
        <v>67.69</v>
      </c>
      <c r="B16770" t="n" s="0">
        <f>(-5-((((-5*(-5/((-5/(((-5*(67.69--5))-(-5+((-5*67.69)*(((-5--5)+(67.69--5))+67.69))))-(-5+-5)))*-5)))/-5)--5)+(-5*(((67.69*(67.69-(-5/-5)))*(67.69-(67.69/(-5*67.69))))-(-5/-5)))))</f>
        <v>1541778.470845</v>
      </c>
      <c r="C16770" t="n" s="0">
        <v>1541778.470845</v>
      </c>
    </row>
    <row r="16771">
      <c r="A16771" t="n" s="0">
        <v>67.7</v>
      </c>
      <c r="B16771" t="n" s="0">
        <f>(-5-((((-5*(-5/((-5/(((-5*(67.7--5))-(-5+((-5*67.7)*(((-5--5)+(67.7--5))+67.7))))-(-5+-5)))*-5)))/-5)--5)+(-5*(((67.7*(67.7-(-5/-5)))*(67.7-(67.7/(-5*67.7))))-(-5/-5)))))</f>
        <v>1542463.1849999998</v>
      </c>
      <c r="C16771" t="n" s="0">
        <v>1542463.1850000003</v>
      </c>
    </row>
    <row r="16772">
      <c r="A16772" t="n" s="0">
        <v>67.71</v>
      </c>
      <c r="B16772" t="n" s="0">
        <f>(-5-((((-5*(-5/((-5/(((-5*(67.71--5))-(-5+((-5*67.71)*(((-5--5)+(67.71--5))+67.71))))-(-5+-5)))*-5)))/-5)--5)+(-5*(((67.71*(67.71-(-5/-5)))*(67.71-(67.71/(-5*67.71))))-(-5/-5)))))</f>
        <v>1543148.101855</v>
      </c>
      <c r="C16772" t="n" s="0">
        <v>1543148.1018549993</v>
      </c>
    </row>
    <row r="16773">
      <c r="A16773" t="n" s="0">
        <v>67.72</v>
      </c>
      <c r="B16773" t="n" s="0">
        <f>(-5-((((-5*(-5/((-5/(((-5*(67.72--5))-(-5+((-5*67.72)*(((-5--5)+(67.72--5))+67.72))))-(-5+-5)))*-5)))/-5)--5)+(-5*(((67.72*(67.72-(-5/-5)))*(67.72-(67.72/(-5*67.72))))-(-5/-5)))))</f>
        <v>1543833.22144</v>
      </c>
      <c r="C16773" t="n" s="0">
        <v>1543833.2214399998</v>
      </c>
    </row>
    <row r="16774">
      <c r="A16774" t="n" s="0">
        <v>67.73</v>
      </c>
      <c r="B16774" t="n" s="0">
        <f>(-5-((((-5*(-5/((-5/(((-5*(67.73--5))-(-5+((-5*67.73)*(((-5--5)+(67.73--5))+67.73))))-(-5+-5)))*-5)))/-5)--5)+(-5*(((67.73*(67.73-(-5/-5)))*(67.73-(67.73/(-5*67.73))))-(-5/-5)))))</f>
        <v>1544518.543785</v>
      </c>
      <c r="C16774" t="n" s="0">
        <v>1544518.5437850002</v>
      </c>
    </row>
    <row r="16775">
      <c r="A16775" t="n" s="0">
        <v>67.74</v>
      </c>
      <c r="B16775" t="n" s="0">
        <f>(-5-((((-5*(-5/((-5/(((-5*(67.74--5))-(-5+((-5*67.74)*(((-5--5)+(67.74--5))+67.74))))-(-5+-5)))*-5)))/-5)--5)+(-5*(((67.74*(67.74-(-5/-5)))*(67.74-(67.74/(-5*67.74))))-(-5/-5)))))</f>
        <v>1545204.0689200002</v>
      </c>
      <c r="C16775" t="n" s="0">
        <v>1545204.0689199998</v>
      </c>
    </row>
    <row r="16776">
      <c r="A16776" t="n" s="0">
        <v>67.75</v>
      </c>
      <c r="B16776" t="n" s="0">
        <f>(-5-((((-5*(-5/((-5/(((-5*(67.75--5))-(-5+((-5*67.75)*(((-5--5)+(67.75--5))+67.75))))-(-5+-5)))*-5)))/-5)--5)+(-5*(((67.75*(67.75-(-5/-5)))*(67.75-(67.75/(-5*67.75))))-(-5/-5)))))</f>
        <v>1545889.796875</v>
      </c>
      <c r="C16776" t="n" s="0">
        <v>1545889.796875</v>
      </c>
    </row>
    <row r="16777">
      <c r="A16777" t="n" s="0">
        <v>67.76</v>
      </c>
      <c r="B16777" t="n" s="0">
        <f>(-5-((((-5*(-5/((-5/(((-5*(67.76--5))-(-5+((-5*67.76)*(((-5--5)+(67.76--5))+67.76))))-(-5+-5)))*-5)))/-5)--5)+(-5*(((67.76*(67.76-(-5/-5)))*(67.76-(67.76/(-5*67.76))))-(-5/-5)))))</f>
        <v>1546575.72768</v>
      </c>
      <c r="C16777" t="n" s="0">
        <v>1546575.7276800002</v>
      </c>
    </row>
    <row r="16778">
      <c r="A16778" t="n" s="0">
        <v>67.77</v>
      </c>
      <c r="B16778" t="n" s="0">
        <f>(-5-((((-5*(-5/((-5/(((-5*(67.77--5))-(-5+((-5*67.77)*(((-5--5)+(67.77--5))+67.77))))-(-5+-5)))*-5)))/-5)--5)+(-5*(((67.77*(67.77-(-5/-5)))*(67.77-(67.77/(-5*67.77))))-(-5/-5)))))</f>
        <v>1547261.861365</v>
      </c>
      <c r="C16778" t="n" s="0">
        <v>1547261.8613649998</v>
      </c>
    </row>
    <row r="16779">
      <c r="A16779" t="n" s="0">
        <v>67.78</v>
      </c>
      <c r="B16779" t="n" s="0">
        <f>(-5-((((-5*(-5/((-5/(((-5*(67.78--5))-(-5+((-5*67.78)*(((-5--5)+(67.78--5))+67.78))))-(-5+-5)))*-5)))/-5)--5)+(-5*(((67.78*(67.78-(-5/-5)))*(67.78-(67.78/(-5*67.78))))-(-5/-5)))))</f>
        <v>1547948.19796</v>
      </c>
      <c r="C16779" t="n" s="0">
        <v>1547948.1979600003</v>
      </c>
    </row>
    <row r="16780">
      <c r="A16780" t="n" s="0">
        <v>67.79</v>
      </c>
      <c r="B16780" t="n" s="0">
        <f>(-5-((((-5*(-5/((-5/(((-5*(67.79--5))-(-5+((-5*67.79)*(((-5--5)+(67.79--5))+67.79))))-(-5+-5)))*-5)))/-5)--5)+(-5*(((67.79*(67.79-(-5/-5)))*(67.79-(67.79/(-5*67.79))))-(-5/-5)))))</f>
        <v>1548634.737495</v>
      </c>
      <c r="C16780" t="n" s="0">
        <v>1548634.7374950005</v>
      </c>
    </row>
    <row r="16781">
      <c r="A16781" t="n" s="0">
        <v>67.8</v>
      </c>
      <c r="B16781" t="n" s="0">
        <f>(-5-((((-5*(-5/((-5/(((-5*(67.8--5))-(-5+((-5*67.8)*(((-5--5)+(67.8--5))+67.8))))-(-5+-5)))*-5)))/-5)--5)+(-5*(((67.8*(67.8-(-5/-5)))*(67.8-(67.8/(-5*67.8))))-(-5/-5)))))</f>
        <v>1549321.48</v>
      </c>
      <c r="C16781" t="n" s="0">
        <v>1549321.4799999997</v>
      </c>
    </row>
    <row r="16782">
      <c r="A16782" t="n" s="0">
        <v>67.81</v>
      </c>
      <c r="B16782" t="n" s="0">
        <f>(-5-((((-5*(-5/((-5/(((-5*(67.81--5))-(-5+((-5*67.81)*(((-5--5)+(67.81--5))+67.81))))-(-5+-5)))*-5)))/-5)--5)+(-5*(((67.81*(67.81-(-5/-5)))*(67.81-(67.81/(-5*67.81))))-(-5/-5)))))</f>
        <v>1550008.425505</v>
      </c>
      <c r="C16782" t="n" s="0">
        <v>1550008.4255050002</v>
      </c>
    </row>
    <row r="16783">
      <c r="A16783" t="n" s="0">
        <v>67.82</v>
      </c>
      <c r="B16783" t="n" s="0">
        <f>(-5-((((-5*(-5/((-5/(((-5*(67.82--5))-(-5+((-5*67.82)*(((-5--5)+(67.82--5))+67.82))))-(-5+-5)))*-5)))/-5)--5)+(-5*(((67.82*(67.82-(-5/-5)))*(67.82-(67.82/(-5*67.82))))-(-5/-5)))))</f>
        <v>1550695.5740399999</v>
      </c>
      <c r="C16783" t="n" s="0">
        <v>1550695.5740399994</v>
      </c>
    </row>
    <row r="16784">
      <c r="A16784" t="n" s="0">
        <v>67.83</v>
      </c>
      <c r="B16784" t="n" s="0">
        <f>(-5-((((-5*(-5/((-5/(((-5*(67.83--5))-(-5+((-5*67.83)*(((-5--5)+(67.83--5))+67.83))))-(-5+-5)))*-5)))/-5)--5)+(-5*(((67.83*(67.83-(-5/-5)))*(67.83-(67.83/(-5*67.83))))-(-5/-5)))))</f>
        <v>1551382.925635</v>
      </c>
      <c r="C16784" t="n" s="0">
        <v>1551382.9256349998</v>
      </c>
    </row>
    <row r="16785">
      <c r="A16785" t="n" s="0">
        <v>67.84</v>
      </c>
      <c r="B16785" t="n" s="0">
        <f>(-5-((((-5*(-5/((-5/(((-5*(67.84--5))-(-5+((-5*67.84)*(((-5--5)+(67.84--5))+67.84))))-(-5+-5)))*-5)))/-5)--5)+(-5*(((67.84*(67.84-(-5/-5)))*(67.84-(67.84/(-5*67.84))))-(-5/-5)))))</f>
        <v>1552070.4803199999</v>
      </c>
      <c r="C16785" t="n" s="0">
        <v>1552070.48032</v>
      </c>
    </row>
    <row r="16786">
      <c r="A16786" t="n" s="0">
        <v>67.85</v>
      </c>
      <c r="B16786" t="n" s="0">
        <f>(-5-((((-5*(-5/((-5/(((-5*(67.85--5))-(-5+((-5*67.85)*(((-5--5)+(67.85--5))+67.85))))-(-5+-5)))*-5)))/-5)--5)+(-5*(((67.85*(67.85-(-5/-5)))*(67.85-(67.85/(-5*67.85))))-(-5/-5)))))</f>
        <v>1552758.238125</v>
      </c>
      <c r="C16786" t="n" s="0">
        <v>1552758.2381249997</v>
      </c>
    </row>
    <row r="16787">
      <c r="A16787" t="n" s="0">
        <v>67.86</v>
      </c>
      <c r="B16787" t="n" s="0">
        <f>(-5-((((-5*(-5/((-5/(((-5*(67.86--5))-(-5+((-5*67.86)*(((-5--5)+(67.86--5))+67.86))))-(-5+-5)))*-5)))/-5)--5)+(-5*(((67.86*(67.86-(-5/-5)))*(67.86-(67.86/(-5*67.86))))-(-5/-5)))))</f>
        <v>1553446.1990800002</v>
      </c>
      <c r="C16787" t="n" s="0">
        <v>1553446.19908</v>
      </c>
    </row>
    <row r="16788">
      <c r="A16788" t="n" s="0">
        <v>67.87</v>
      </c>
      <c r="B16788" t="n" s="0">
        <f>(-5-((((-5*(-5/((-5/(((-5*(67.87--5))-(-5+((-5*67.87)*(((-5--5)+(67.87--5))+67.87))))-(-5+-5)))*-5)))/-5)--5)+(-5*(((67.87*(67.87-(-5/-5)))*(67.87-(67.87/(-5*67.87))))-(-5/-5)))))</f>
        <v>1554134.363215</v>
      </c>
      <c r="C16788" t="n" s="0">
        <v>1554134.3632150004</v>
      </c>
    </row>
    <row r="16789">
      <c r="A16789" t="n" s="0">
        <v>67.88</v>
      </c>
      <c r="B16789" t="n" s="0">
        <f>(-5-((((-5*(-5/((-5/(((-5*(67.88--5))-(-5+((-5*67.88)*(((-5--5)+(67.88--5))+67.88))))-(-5+-5)))*-5)))/-5)--5)+(-5*(((67.88*(67.88-(-5/-5)))*(67.88-(67.88/(-5*67.88))))-(-5/-5)))))</f>
        <v>1554822.73056</v>
      </c>
      <c r="C16789" t="n" s="0">
        <v>1554822.7305599996</v>
      </c>
    </row>
    <row r="16790">
      <c r="A16790" t="n" s="0">
        <v>67.89</v>
      </c>
      <c r="B16790" t="n" s="0">
        <f>(-5-((((-5*(-5/((-5/(((-5*(67.89--5))-(-5+((-5*67.89)*(((-5--5)+(67.89--5))+67.89))))-(-5+-5)))*-5)))/-5)--5)+(-5*(((67.89*(67.89-(-5/-5)))*(67.89-(67.89/(-5*67.89))))-(-5/-5)))))</f>
        <v>1555511.301145</v>
      </c>
      <c r="C16790" t="n" s="0">
        <v>1555511.3011450002</v>
      </c>
    </row>
    <row r="16791">
      <c r="A16791" t="n" s="0">
        <v>67.9</v>
      </c>
      <c r="B16791" t="n" s="0">
        <f>(-5-((((-5*(-5/((-5/(((-5*(67.9--5))-(-5+((-5*67.9)*(((-5--5)+(67.9--5))+67.9))))-(-5+-5)))*-5)))/-5)--5)+(-5*(((67.9*(67.9-(-5/-5)))*(67.9-(67.9/(-5*67.9))))-(-5/-5)))))</f>
        <v>1556200.075</v>
      </c>
      <c r="C16791" t="n" s="0">
        <v>1556200.0750000004</v>
      </c>
    </row>
    <row r="16792">
      <c r="A16792" t="n" s="0">
        <v>67.91</v>
      </c>
      <c r="B16792" t="n" s="0">
        <f>(-5-((((-5*(-5/((-5/(((-5*(67.91--5))-(-5+((-5*67.91)*(((-5--5)+(67.91--5))+67.91))))-(-5+-5)))*-5)))/-5)--5)+(-5*(((67.91*(67.91-(-5/-5)))*(67.91-(67.91/(-5*67.91))))-(-5/-5)))))</f>
        <v>1556889.0521550002</v>
      </c>
      <c r="C16792" t="n" s="0">
        <v>1556889.0521549997</v>
      </c>
    </row>
    <row r="16793">
      <c r="A16793" t="n" s="0">
        <v>67.92</v>
      </c>
      <c r="B16793" t="n" s="0">
        <f>(-5-((((-5*(-5/((-5/(((-5*(67.92--5))-(-5+((-5*67.92)*(((-5--5)+(67.92--5))+67.92))))-(-5+-5)))*-5)))/-5)--5)+(-5*(((67.92*(67.92-(-5/-5)))*(67.92-(67.92/(-5*67.92))))-(-5/-5)))))</f>
        <v>1557578.23264</v>
      </c>
      <c r="C16793" t="n" s="0">
        <v>1557578.2326400003</v>
      </c>
    </row>
    <row r="16794">
      <c r="A16794" t="n" s="0">
        <v>67.93</v>
      </c>
      <c r="B16794" t="n" s="0">
        <f>(-5-((((-5*(-5/((-5/(((-5*(67.93--5))-(-5+((-5*67.93)*(((-5--5)+(67.93--5))+67.93))))-(-5+-5)))*-5)))/-5)--5)+(-5*(((67.93*(67.93-(-5/-5)))*(67.93-(67.93/(-5*67.93))))-(-5/-5)))))</f>
        <v>1558267.6164850001</v>
      </c>
      <c r="C16794" t="n" s="0">
        <v>1558267.6164850004</v>
      </c>
    </row>
    <row r="16795">
      <c r="A16795" t="n" s="0">
        <v>67.94</v>
      </c>
      <c r="B16795" t="n" s="0">
        <f>(-5-((((-5*(-5/((-5/(((-5*(67.94--5))-(-5+((-5*67.94)*(((-5--5)+(67.94--5))+67.94))))-(-5+-5)))*-5)))/-5)--5)+(-5*(((67.94*(67.94-(-5/-5)))*(67.94-(67.94/(-5*67.94))))-(-5/-5)))))</f>
        <v>1558957.20372</v>
      </c>
      <c r="C16795" t="n" s="0">
        <v>1558957.2037199999</v>
      </c>
    </row>
    <row r="16796">
      <c r="A16796" t="n" s="0">
        <v>67.95</v>
      </c>
      <c r="B16796" t="n" s="0">
        <f>(-5-((((-5*(-5/((-5/(((-5*(67.95--5))-(-5+((-5*67.95)*(((-5--5)+(67.95--5))+67.95))))-(-5+-5)))*-5)))/-5)--5)+(-5*(((67.95*(67.95-(-5/-5)))*(67.95-(67.95/(-5*67.95))))-(-5/-5)))))</f>
        <v>1559646.994375</v>
      </c>
      <c r="C16796" t="n" s="0">
        <v>1559646.994375</v>
      </c>
    </row>
    <row r="16797">
      <c r="A16797" t="n" s="0">
        <v>67.96</v>
      </c>
      <c r="B16797" t="n" s="0">
        <f>(-5-((((-5*(-5/((-5/(((-5*(67.96--5))-(-5+((-5*67.96)*(((-5--5)+(67.96--5))+67.96))))-(-5+-5)))*-5)))/-5)--5)+(-5*(((67.96*(67.96-(-5/-5)))*(67.96-(67.96/(-5*67.96))))-(-5/-5)))))</f>
        <v>1560336.98848</v>
      </c>
      <c r="C16797" t="n" s="0">
        <v>1560336.9884799996</v>
      </c>
    </row>
    <row r="16798">
      <c r="A16798" t="n" s="0">
        <v>67.97</v>
      </c>
      <c r="B16798" t="n" s="0">
        <f>(-5-((((-5*(-5/((-5/(((-5*(67.97--5))-(-5+((-5*67.97)*(((-5--5)+(67.97--5))+67.97))))-(-5+-5)))*-5)))/-5)--5)+(-5*(((67.97*(67.97-(-5/-5)))*(67.97-(67.97/(-5*67.97))))-(-5/-5)))))</f>
        <v>1561027.186065</v>
      </c>
      <c r="C16798" t="n" s="0">
        <v>1561027.1860649998</v>
      </c>
    </row>
    <row r="16799">
      <c r="A16799" t="n" s="0">
        <v>67.98</v>
      </c>
      <c r="B16799" t="n" s="0">
        <f>(-5-((((-5*(-5/((-5/(((-5*(67.98--5))-(-5+((-5*67.98)*(((-5--5)+(67.98--5))+67.98))))-(-5+-5)))*-5)))/-5)--5)+(-5*(((67.98*(67.98-(-5/-5)))*(67.98-(67.98/(-5*67.98))))-(-5/-5)))))</f>
        <v>1561717.58716</v>
      </c>
      <c r="C16799" t="n" s="0">
        <v>1561717.58716</v>
      </c>
    </row>
    <row r="16800">
      <c r="A16800" t="n" s="0">
        <v>67.99</v>
      </c>
      <c r="B16800" t="n" s="0">
        <f>(-5-((((-5*(-5/((-5/(((-5*(67.99--5))-(-5+((-5*67.99)*(((-5--5)+(67.99--5))+67.99))))-(-5+-5)))*-5)))/-5)--5)+(-5*(((67.99*(67.99-(-5/-5)))*(67.99-(67.99/(-5*67.99))))-(-5/-5)))))</f>
        <v>1562408.1917949999</v>
      </c>
      <c r="C16800" t="n" s="0">
        <v>1562408.1917949996</v>
      </c>
    </row>
    <row r="16801">
      <c r="A16801" t="n" s="0">
        <v>68.0</v>
      </c>
      <c r="B16801" t="n" s="0">
        <f>(-5-((((-5*(-5/((-5/(((-5*(68--5))-(-5+((-5*68)*(((-5--5)+(68--5))+68))))-(-5+-5)))*-5)))/-5)--5)+(-5*(((68*(68-(-5/-5)))*(68-(68/(-5*68))))-(-5/-5)))))</f>
        <v>1563099.0</v>
      </c>
      <c r="C16801" t="n" s="0">
        <v>1563099.0</v>
      </c>
    </row>
    <row r="16802">
      <c r="A16802" t="n" s="0">
        <v>68.01</v>
      </c>
      <c r="B16802" t="n" s="0">
        <f>(-5-((((-5*(-5/((-5/(((-5*(68.01--5))-(-5+((-5*68.01)*(((-5--5)+(68.01--5))+68.01))))-(-5+-5)))*-5)))/-5)--5)+(-5*(((68.01*(68.01-(-5/-5)))*(68.01-(68.01/(-5*68.01))))-(-5/-5)))))</f>
        <v>1563790.011805</v>
      </c>
      <c r="C16802" t="n" s="0">
        <v>1563790.0118050002</v>
      </c>
    </row>
    <row r="16803">
      <c r="A16803" t="n" s="0">
        <v>68.02</v>
      </c>
      <c r="B16803" t="n" s="0">
        <f>(-5-((((-5*(-5/((-5/(((-5*(68.02--5))-(-5+((-5*68.02)*(((-5--5)+(68.02--5))+68.02))))-(-5+-5)))*-5)))/-5)--5)+(-5*(((68.02*(68.02-(-5/-5)))*(68.02-(68.02/(-5*68.02))))-(-5/-5)))))</f>
        <v>1564481.2272400002</v>
      </c>
      <c r="C16803" t="n" s="0">
        <v>1564481.2272399997</v>
      </c>
    </row>
    <row r="16804">
      <c r="A16804" t="n" s="0">
        <v>68.03</v>
      </c>
      <c r="B16804" t="n" s="0">
        <f>(-5-((((-5*(-5/((-5/(((-5*(68.03--5))-(-5+((-5*68.03)*(((-5--5)+(68.03--5))+68.03))))-(-5+-5)))*-5)))/-5)--5)+(-5*(((68.03*(68.03-(-5/-5)))*(68.03-(68.03/(-5*68.03))))-(-5/-5)))))</f>
        <v>1565172.646335</v>
      </c>
      <c r="C16804" t="n" s="0">
        <v>1565172.6463350002</v>
      </c>
    </row>
    <row r="16805">
      <c r="A16805" t="n" s="0">
        <v>68.04</v>
      </c>
      <c r="B16805" t="n" s="0">
        <f>(-5-((((-5*(-5/((-5/(((-5*(68.04--5))-(-5+((-5*68.04)*(((-5--5)+(68.04--5))+68.04))))-(-5+-5)))*-5)))/-5)--5)+(-5*(((68.04*(68.04-(-5/-5)))*(68.04-(68.04/(-5*68.04))))-(-5/-5)))))</f>
        <v>1565864.26912</v>
      </c>
      <c r="C16805" t="n" s="0">
        <v>1565864.2691200005</v>
      </c>
    </row>
    <row r="16806">
      <c r="A16806" t="n" s="0">
        <v>68.05</v>
      </c>
      <c r="B16806" t="n" s="0">
        <f>(-5-((((-5*(-5/((-5/(((-5*(68.05--5))-(-5+((-5*68.05)*(((-5--5)+(68.05--5))+68.05))))-(-5+-5)))*-5)))/-5)--5)+(-5*(((68.05*(68.05-(-5/-5)))*(68.05-(68.05/(-5*68.05))))-(-5/-5)))))</f>
        <v>1566556.0956249998</v>
      </c>
      <c r="C16806" t="n" s="0">
        <v>1566556.0956249996</v>
      </c>
    </row>
    <row r="16807">
      <c r="A16807" t="n" s="0">
        <v>68.06</v>
      </c>
      <c r="B16807" t="n" s="0">
        <f>(-5-((((-5*(-5/((-5/(((-5*(68.06--5))-(-5+((-5*68.06)*(((-5--5)+(68.06--5))+68.06))))-(-5+-5)))*-5)))/-5)--5)+(-5*(((68.06*(68.06-(-5/-5)))*(68.06-(68.06/(-5*68.06))))-(-5/-5)))))</f>
        <v>1567248.12588</v>
      </c>
      <c r="C16807" t="n" s="0">
        <v>1567248.1258800002</v>
      </c>
    </row>
    <row r="16808">
      <c r="A16808" t="n" s="0">
        <v>68.07</v>
      </c>
      <c r="B16808" t="n" s="0">
        <f>(-5-((((-5*(-5/((-5/(((-5*(68.07--5))-(-5+((-5*68.07)*(((-5--5)+(68.07--5))+68.07))))-(-5+-5)))*-5)))/-5)--5)+(-5*(((68.07*(68.07-(-5/-5)))*(68.07-(68.07/(-5*68.07))))-(-5/-5)))))</f>
        <v>1567940.359915</v>
      </c>
      <c r="C16808" t="n" s="0">
        <v>1567940.3599149995</v>
      </c>
    </row>
    <row r="16809">
      <c r="A16809" t="n" s="0">
        <v>68.08</v>
      </c>
      <c r="B16809" t="n" s="0">
        <f>(-5-((((-5*(-5/((-5/(((-5*(68.08--5))-(-5+((-5*68.08)*(((-5--5)+(68.08--5))+68.08))))-(-5+-5)))*-5)))/-5)--5)+(-5*(((68.08*(68.08-(-5/-5)))*(68.08-(68.08/(-5*68.08))))-(-5/-5)))))</f>
        <v>1568632.79776</v>
      </c>
      <c r="C16809" t="n" s="0">
        <v>1568632.79776</v>
      </c>
    </row>
    <row r="16810">
      <c r="A16810" t="n" s="0">
        <v>68.09</v>
      </c>
      <c r="B16810" t="n" s="0">
        <f>(-5-((((-5*(-5/((-5/(((-5*(68.09--5))-(-5+((-5*68.09)*(((-5--5)+(68.09--5))+68.09))))-(-5+-5)))*-5)))/-5)--5)+(-5*(((68.09*(68.09-(-5/-5)))*(68.09-(68.09/(-5*68.09))))-(-5/-5)))))</f>
        <v>1569325.4394450001</v>
      </c>
      <c r="C16810" t="n" s="0">
        <v>1569325.4394450001</v>
      </c>
    </row>
    <row r="16811">
      <c r="A16811" t="n" s="0">
        <v>68.1</v>
      </c>
      <c r="B16811" t="n" s="0">
        <f>(-5-((((-5*(-5/((-5/(((-5*(68.1--5))-(-5+((-5*68.1)*(((-5--5)+(68.1--5))+68.1))))-(-5+-5)))*-5)))/-5)--5)+(-5*(((68.1*(68.1-(-5/-5)))*(68.1-(68.1/(-5*68.1))))-(-5/-5)))))</f>
        <v>1570018.2850000001</v>
      </c>
      <c r="C16811" t="n" s="0">
        <v>1570018.2849999997</v>
      </c>
    </row>
    <row r="16812">
      <c r="A16812" t="n" s="0">
        <v>68.11</v>
      </c>
      <c r="B16812" t="n" s="0">
        <f>(-5-((((-5*(-5/((-5/(((-5*(68.11--5))-(-5+((-5*68.11)*(((-5--5)+(68.11--5))+68.11))))-(-5+-5)))*-5)))/-5)--5)+(-5*(((68.11*(68.11-(-5/-5)))*(68.11-(68.11/(-5*68.11))))-(-5/-5)))))</f>
        <v>1570711.334455</v>
      </c>
      <c r="C16812" t="n" s="0">
        <v>1570711.334455</v>
      </c>
    </row>
    <row r="16813">
      <c r="A16813" t="n" s="0">
        <v>68.12</v>
      </c>
      <c r="B16813" t="n" s="0">
        <f>(-5-((((-5*(-5/((-5/(((-5*(68.12--5))-(-5+((-5*68.12)*(((-5--5)+(68.12--5))+68.12))))-(-5+-5)))*-5)))/-5)--5)+(-5*(((68.12*(68.12-(-5/-5)))*(68.12-(68.12/(-5*68.12))))-(-5/-5)))))</f>
        <v>1571404.5878400002</v>
      </c>
      <c r="C16813" t="n" s="0">
        <v>1571404.5878400004</v>
      </c>
    </row>
    <row r="16814">
      <c r="A16814" t="n" s="0">
        <v>68.13</v>
      </c>
      <c r="B16814" t="n" s="0">
        <f>(-5-((((-5*(-5/((-5/(((-5*(68.13--5))-(-5+((-5*68.13)*(((-5--5)+(68.13--5))+68.13))))-(-5+-5)))*-5)))/-5)--5)+(-5*(((68.13*(68.13-(-5/-5)))*(68.13-(68.13/(-5*68.13))))-(-5/-5)))))</f>
        <v>1572098.045185</v>
      </c>
      <c r="C16814" t="n" s="0">
        <v>1572098.0451849997</v>
      </c>
    </row>
    <row r="16815">
      <c r="A16815" t="n" s="0">
        <v>68.14</v>
      </c>
      <c r="B16815" t="n" s="0">
        <f>(-5-((((-5*(-5/((-5/(((-5*(68.14--5))-(-5+((-5*68.14)*(((-5--5)+(68.14--5))+68.14))))-(-5+-5)))*-5)))/-5)--5)+(-5*(((68.14*(68.14-(-5/-5)))*(68.14-(68.14/(-5*68.14))))-(-5/-5)))))</f>
        <v>1572791.70652</v>
      </c>
      <c r="C16815" t="n" s="0">
        <v>1572791.7065199998</v>
      </c>
    </row>
    <row r="16816">
      <c r="A16816" t="n" s="0">
        <v>68.15</v>
      </c>
      <c r="B16816" t="n" s="0">
        <f>(-5-((((-5*(-5/((-5/(((-5*(68.15--5))-(-5+((-5*68.15)*(((-5--5)+(68.15--5))+68.15))))-(-5+-5)))*-5)))/-5)--5)+(-5*(((68.15*(68.15-(-5/-5)))*(68.15-(68.15/(-5*68.15))))-(-5/-5)))))</f>
        <v>1573485.5718750001</v>
      </c>
      <c r="C16816" t="n" s="0">
        <v>1573485.5718750004</v>
      </c>
    </row>
    <row r="16817">
      <c r="A16817" t="n" s="0">
        <v>68.16</v>
      </c>
      <c r="B16817" t="n" s="0">
        <f>(-5-((((-5*(-5/((-5/(((-5*(68.16--5))-(-5+((-5*68.16)*(((-5--5)+(68.16--5))+68.16))))-(-5+-5)))*-5)))/-5)--5)+(-5*(((68.16*(68.16-(-5/-5)))*(68.16-(68.16/(-5*68.16))))-(-5/-5)))))</f>
        <v>1574179.64128</v>
      </c>
      <c r="C16817" t="n" s="0">
        <v>1574179.6412799999</v>
      </c>
    </row>
    <row r="16818">
      <c r="A16818" t="n" s="0">
        <v>68.17</v>
      </c>
      <c r="B16818" t="n" s="0">
        <f>(-5-((((-5*(-5/((-5/(((-5*(68.17--5))-(-5+((-5*68.17)*(((-5--5)+(68.17--5))+68.17))))-(-5+-5)))*-5)))/-5)--5)+(-5*(((68.17*(68.17-(-5/-5)))*(68.17-(68.17/(-5*68.17))))-(-5/-5)))))</f>
        <v>1574873.9147649999</v>
      </c>
      <c r="C16818" t="n" s="0">
        <v>1574873.914765</v>
      </c>
    </row>
    <row r="16819">
      <c r="A16819" t="n" s="0">
        <v>68.18</v>
      </c>
      <c r="B16819" t="n" s="0">
        <f>(-5-((((-5*(-5/((-5/(((-5*(68.18--5))-(-5+((-5*68.18)*(((-5--5)+(68.18--5))+68.18))))-(-5+-5)))*-5)))/-5)--5)+(-5*(((68.18*(68.18-(-5/-5)))*(68.18-(68.18/(-5*68.18))))-(-5/-5)))))</f>
        <v>1575568.39236</v>
      </c>
      <c r="C16819" t="n" s="0">
        <v>1575568.3923600006</v>
      </c>
    </row>
    <row r="16820">
      <c r="A16820" t="n" s="0">
        <v>68.19</v>
      </c>
      <c r="B16820" t="n" s="0">
        <f>(-5-((((-5*(-5/((-5/(((-5*(68.19--5))-(-5+((-5*68.19)*(((-5--5)+(68.19--5))+68.19))))-(-5+-5)))*-5)))/-5)--5)+(-5*(((68.19*(68.19-(-5/-5)))*(68.19-(68.19/(-5*68.19))))-(-5/-5)))))</f>
        <v>1576263.074095</v>
      </c>
      <c r="C16820" t="n" s="0">
        <v>1576263.0740949998</v>
      </c>
    </row>
    <row r="16821">
      <c r="A16821" t="n" s="0">
        <v>68.2</v>
      </c>
      <c r="B16821" t="n" s="0">
        <f>(-5-((((-5*(-5/((-5/(((-5*(68.2--5))-(-5+((-5*68.2)*(((-5--5)+(68.2--5))+68.2))))-(-5+-5)))*-5)))/-5)--5)+(-5*(((68.2*(68.2-(-5/-5)))*(68.2-(68.2/(-5*68.2))))-(-5/-5)))))</f>
        <v>1576957.96</v>
      </c>
      <c r="C16821" t="n" s="0">
        <v>1576957.9600000002</v>
      </c>
    </row>
    <row r="16822">
      <c r="A16822" t="n" s="0">
        <v>68.21</v>
      </c>
      <c r="B16822" t="n" s="0">
        <f>(-5-((((-5*(-5/((-5/(((-5*(68.21--5))-(-5+((-5*68.21)*(((-5--5)+(68.21--5))+68.21))))-(-5+-5)))*-5)))/-5)--5)+(-5*(((68.21*(68.21-(-5/-5)))*(68.21-(68.21/(-5*68.21))))-(-5/-5)))))</f>
        <v>1577653.0501050001</v>
      </c>
      <c r="C16822" t="n" s="0">
        <v>1577653.0501049994</v>
      </c>
    </row>
    <row r="16823">
      <c r="A16823" t="n" s="0">
        <v>68.22</v>
      </c>
      <c r="B16823" t="n" s="0">
        <f>(-5-((((-5*(-5/((-5/(((-5*(68.22--5))-(-5+((-5*68.22)*(((-5--5)+(68.22--5))+68.22))))-(-5+-5)))*-5)))/-5)--5)+(-5*(((68.22*(68.22-(-5/-5)))*(68.22-(68.22/(-5*68.22))))-(-5/-5)))))</f>
        <v>1578348.34444</v>
      </c>
      <c r="C16823" t="n" s="0">
        <v>1578348.34444</v>
      </c>
    </row>
    <row r="16824">
      <c r="A16824" t="n" s="0">
        <v>68.23</v>
      </c>
      <c r="B16824" t="n" s="0">
        <f>(-5-((((-5*(-5/((-5/(((-5*(68.23--5))-(-5+((-5*68.23)*(((-5--5)+(68.23--5))+68.23))))-(-5+-5)))*-5)))/-5)--5)+(-5*(((68.23*(68.23-(-5/-5)))*(68.23-(68.23/(-5*68.23))))-(-5/-5)))))</f>
        <v>1579043.843035</v>
      </c>
      <c r="C16824" t="n" s="0">
        <v>1579043.843035</v>
      </c>
    </row>
    <row r="16825">
      <c r="A16825" t="n" s="0">
        <v>68.24</v>
      </c>
      <c r="B16825" t="n" s="0">
        <f>(-5-((((-5*(-5/((-5/(((-5*(68.24--5))-(-5+((-5*68.24)*(((-5--5)+(68.24--5))+68.24))))-(-5+-5)))*-5)))/-5)--5)+(-5*(((68.24*(68.24-(-5/-5)))*(68.24-(68.24/(-5*68.24))))-(-5/-5)))))</f>
        <v>1579739.54592</v>
      </c>
      <c r="C16825" t="n" s="0">
        <v>1579739.54592</v>
      </c>
    </row>
    <row r="16826">
      <c r="A16826" t="n" s="0">
        <v>68.25</v>
      </c>
      <c r="B16826" t="n" s="0">
        <f>(-5-((((-5*(-5/((-5/(((-5*(68.25--5))-(-5+((-5*68.25)*(((-5--5)+(68.25--5))+68.25))))-(-5+-5)))*-5)))/-5)--5)+(-5*(((68.25*(68.25-(-5/-5)))*(68.25-(68.25/(-5*68.25))))-(-5/-5)))))</f>
        <v>1580435.453125</v>
      </c>
      <c r="C16826" t="n" s="0">
        <v>1580435.453125</v>
      </c>
    </row>
    <row r="16827">
      <c r="A16827" t="n" s="0">
        <v>68.26</v>
      </c>
      <c r="B16827" t="n" s="0">
        <f>(-5-((((-5*(-5/((-5/(((-5*(68.26--5))-(-5+((-5*68.26)*(((-5--5)+(68.26--5))+68.26))))-(-5+-5)))*-5)))/-5)--5)+(-5*(((68.26*(68.26-(-5/-5)))*(68.26-(68.26/(-5*68.26))))-(-5/-5)))))</f>
        <v>1581131.56468</v>
      </c>
      <c r="C16827" t="n" s="0">
        <v>1581131.5646800005</v>
      </c>
    </row>
    <row r="16828">
      <c r="A16828" t="n" s="0">
        <v>68.27</v>
      </c>
      <c r="B16828" t="n" s="0">
        <f>(-5-((((-5*(-5/((-5/(((-5*(68.27--5))-(-5+((-5*68.27)*(((-5--5)+(68.27--5))+68.27))))-(-5+-5)))*-5)))/-5)--5)+(-5*(((68.27*(68.27-(-5/-5)))*(68.27-(68.27/(-5*68.27))))-(-5/-5)))))</f>
        <v>1581827.8806150001</v>
      </c>
      <c r="C16828" t="n" s="0">
        <v>1581827.8806149997</v>
      </c>
    </row>
    <row r="16829">
      <c r="A16829" t="n" s="0">
        <v>68.28</v>
      </c>
      <c r="B16829" t="n" s="0">
        <f>(-5-((((-5*(-5/((-5/(((-5*(68.28--5))-(-5+((-5*68.28)*(((-5--5)+(68.28--5))+68.28))))-(-5+-5)))*-5)))/-5)--5)+(-5*(((68.28*(68.28-(-5/-5)))*(68.28-(68.28/(-5*68.28))))-(-5/-5)))))</f>
        <v>1582524.40096</v>
      </c>
      <c r="C16829" t="n" s="0">
        <v>1582524.4009600002</v>
      </c>
    </row>
    <row r="16830">
      <c r="A16830" t="n" s="0">
        <v>68.29</v>
      </c>
      <c r="B16830" t="n" s="0">
        <f>(-5-((((-5*(-5/((-5/(((-5*(68.29--5))-(-5+((-5*68.29)*(((-5--5)+(68.29--5))+68.29))))-(-5+-5)))*-5)))/-5)--5)+(-5*(((68.29*(68.29-(-5/-5)))*(68.29-(68.29/(-5*68.29))))-(-5/-5)))))</f>
        <v>1583221.125745</v>
      </c>
      <c r="C16830" t="n" s="0">
        <v>1583221.1257450003</v>
      </c>
    </row>
    <row r="16831">
      <c r="A16831" t="n" s="0">
        <v>68.3</v>
      </c>
      <c r="B16831" t="n" s="0">
        <f>(-5-((((-5*(-5/((-5/(((-5*(68.3--5))-(-5+((-5*68.3)*(((-5--5)+(68.3--5))+68.3))))-(-5+-5)))*-5)))/-5)--5)+(-5*(((68.3*(68.3-(-5/-5)))*(68.3-(68.3/(-5*68.3))))-(-5/-5)))))</f>
        <v>1583918.055</v>
      </c>
      <c r="C16831" t="n" s="0">
        <v>1583918.0549999997</v>
      </c>
    </row>
    <row r="16832">
      <c r="A16832" t="n" s="0">
        <v>68.31</v>
      </c>
      <c r="B16832" t="n" s="0">
        <f>(-5-((((-5*(-5/((-5/(((-5*(68.31--5))-(-5+((-5*68.31)*(((-5--5)+(68.31--5))+68.31))))-(-5+-5)))*-5)))/-5)--5)+(-5*(((68.31*(68.31-(-5/-5)))*(68.31-(68.31/(-5*68.31))))-(-5/-5)))))</f>
        <v>1584615.188755</v>
      </c>
      <c r="C16832" t="n" s="0">
        <v>1584615.188755</v>
      </c>
    </row>
    <row r="16833">
      <c r="A16833" t="n" s="0">
        <v>68.32</v>
      </c>
      <c r="B16833" t="n" s="0">
        <f>(-5-((((-5*(-5/((-5/(((-5*(68.32--5))-(-5+((-5*68.32)*(((-5--5)+(68.32--5))+68.32))))-(-5+-5)))*-5)))/-5)--5)+(-5*(((68.32*(68.32-(-5/-5)))*(68.32-(68.32/(-5*68.32))))-(-5/-5)))))</f>
        <v>1585312.52704</v>
      </c>
      <c r="C16833" t="n" s="0">
        <v>1585312.5270399994</v>
      </c>
    </row>
    <row r="16834">
      <c r="A16834" t="n" s="0">
        <v>68.33</v>
      </c>
      <c r="B16834" t="n" s="0">
        <f>(-5-((((-5*(-5/((-5/(((-5*(68.33--5))-(-5+((-5*68.33)*(((-5--5)+(68.33--5))+68.33))))-(-5+-5)))*-5)))/-5)--5)+(-5*(((68.33*(68.33-(-5/-5)))*(68.33-(68.33/(-5*68.33))))-(-5/-5)))))</f>
        <v>1586010.0698850001</v>
      </c>
      <c r="C16834" t="n" s="0">
        <v>1586010.069885</v>
      </c>
    </row>
    <row r="16835">
      <c r="A16835" t="n" s="0">
        <v>68.34</v>
      </c>
      <c r="B16835" t="n" s="0">
        <f>(-5-((((-5*(-5/((-5/(((-5*(68.34--5))-(-5+((-5*68.34)*(((-5--5)+(68.34--5))+68.34))))-(-5+-5)))*-5)))/-5)--5)+(-5*(((68.34*(68.34-(-5/-5)))*(68.34-(68.34/(-5*68.34))))-(-5/-5)))))</f>
        <v>1586707.81732</v>
      </c>
      <c r="C16835" t="n" s="0">
        <v>1586707.8173200001</v>
      </c>
    </row>
    <row r="16836">
      <c r="A16836" t="n" s="0">
        <v>68.35</v>
      </c>
      <c r="B16836" t="n" s="0">
        <f>(-5-((((-5*(-5/((-5/(((-5*(68.35--5))-(-5+((-5*68.35)*(((-5--5)+(68.35--5))+68.35))))-(-5+-5)))*-5)))/-5)--5)+(-5*(((68.35*(68.35-(-5/-5)))*(68.35-(68.35/(-5*68.35))))-(-5/-5)))))</f>
        <v>1587405.769375</v>
      </c>
      <c r="C16836" t="n" s="0">
        <v>1587405.7693749997</v>
      </c>
    </row>
    <row r="16837">
      <c r="A16837" t="n" s="0">
        <v>68.36</v>
      </c>
      <c r="B16837" t="n" s="0">
        <f>(-5-((((-5*(-5/((-5/(((-5*(68.36--5))-(-5+((-5*68.36)*(((-5--5)+(68.36--5))+68.36))))-(-5+-5)))*-5)))/-5)--5)+(-5*(((68.36*(68.36-(-5/-5)))*(68.36-(68.36/(-5*68.36))))-(-5/-5)))))</f>
        <v>1588103.9260800001</v>
      </c>
      <c r="C16837" t="n" s="0">
        <v>1588103.9260800001</v>
      </c>
    </row>
    <row r="16838">
      <c r="A16838" t="n" s="0">
        <v>68.37</v>
      </c>
      <c r="B16838" t="n" s="0">
        <f>(-5-((((-5*(-5/((-5/(((-5*(68.37--5))-(-5+((-5*68.37)*(((-5--5)+(68.37--5))+68.37))))-(-5+-5)))*-5)))/-5)--5)+(-5*(((68.37*(68.37-(-5/-5)))*(68.37-(68.37/(-5*68.37))))-(-5/-5)))))</f>
        <v>1588802.287465</v>
      </c>
      <c r="C16838" t="n" s="0">
        <v>1588802.2874650005</v>
      </c>
    </row>
    <row r="16839">
      <c r="A16839" t="n" s="0">
        <v>68.38</v>
      </c>
      <c r="B16839" t="n" s="0">
        <f>(-5-((((-5*(-5/((-5/(((-5*(68.38--5))-(-5+((-5*68.38)*(((-5--5)+(68.38--5))+68.38))))-(-5+-5)))*-5)))/-5)--5)+(-5*(((68.38*(68.38-(-5/-5)))*(68.38-(68.38/(-5*68.38))))-(-5/-5)))))</f>
        <v>1589500.8535600002</v>
      </c>
      <c r="C16839" t="n" s="0">
        <v>1589500.8535599995</v>
      </c>
    </row>
    <row r="16840">
      <c r="A16840" t="n" s="0">
        <v>68.39</v>
      </c>
      <c r="B16840" t="n" s="0">
        <f>(-5-((((-5*(-5/((-5/(((-5*(68.39--5))-(-5+((-5*68.39)*(((-5--5)+(68.39--5))+68.39))))-(-5+-5)))*-5)))/-5)--5)+(-5*(((68.39*(68.39-(-5/-5)))*(68.39-(68.39/(-5*68.39))))-(-5/-5)))))</f>
        <v>1590199.624395</v>
      </c>
      <c r="C16840" t="n" s="0">
        <v>1590199.624395</v>
      </c>
    </row>
    <row r="16841">
      <c r="A16841" t="n" s="0">
        <v>68.4</v>
      </c>
      <c r="B16841" t="n" s="0">
        <f>(-5-((((-5*(-5/((-5/(((-5*(68.4--5))-(-5+((-5*68.4)*(((-5--5)+(68.4--5))+68.4))))-(-5+-5)))*-5)))/-5)--5)+(-5*(((68.4*(68.4-(-5/-5)))*(68.4-(68.4/(-5*68.4))))-(-5/-5)))))</f>
        <v>1590898.5999999999</v>
      </c>
      <c r="C16841" t="n" s="0">
        <v>1590898.6000000003</v>
      </c>
    </row>
    <row r="16842">
      <c r="A16842" t="n" s="0">
        <v>68.41</v>
      </c>
      <c r="B16842" t="n" s="0">
        <f>(-5-((((-5*(-5/((-5/(((-5*(68.41--5))-(-5+((-5*68.41)*(((-5--5)+(68.41--5))+68.41))))-(-5+-5)))*-5)))/-5)--5)+(-5*(((68.41*(68.41-(-5/-5)))*(68.41-(68.41/(-5*68.41))))-(-5/-5)))))</f>
        <v>1591597.7804049999</v>
      </c>
      <c r="C16842" t="n" s="0">
        <v>1591597.7804049996</v>
      </c>
    </row>
    <row r="16843">
      <c r="A16843" t="n" s="0">
        <v>68.42</v>
      </c>
      <c r="B16843" t="n" s="0">
        <f>(-5-((((-5*(-5/((-5/(((-5*(68.42--5))-(-5+((-5*68.42)*(((-5--5)+(68.42--5))+68.42))))-(-5+-5)))*-5)))/-5)--5)+(-5*(((68.42*(68.42-(-5/-5)))*(68.42-(68.42/(-5*68.42))))-(-5/-5)))))</f>
        <v>1592297.16564</v>
      </c>
      <c r="C16843" t="n" s="0">
        <v>1592297.16564</v>
      </c>
    </row>
    <row r="16844">
      <c r="A16844" t="n" s="0">
        <v>68.43</v>
      </c>
      <c r="B16844" t="n" s="0">
        <f>(-5-((((-5*(-5/((-5/(((-5*(68.43--5))-(-5+((-5*68.43)*(((-5--5)+(68.43--5))+68.43))))-(-5+-5)))*-5)))/-5)--5)+(-5*(((68.43*(68.43-(-5/-5)))*(68.43-(68.43/(-5*68.43))))-(-5/-5)))))</f>
        <v>1592996.755735</v>
      </c>
      <c r="C16844" t="n" s="0">
        <v>1592996.7557350006</v>
      </c>
    </row>
    <row r="16845">
      <c r="A16845" t="n" s="0">
        <v>68.44</v>
      </c>
      <c r="B16845" t="n" s="0">
        <f>(-5-((((-5*(-5/((-5/(((-5*(68.44--5))-(-5+((-5*68.44)*(((-5--5)+(68.44--5))+68.44))))-(-5+-5)))*-5)))/-5)--5)+(-5*(((68.44*(68.44-(-5/-5)))*(68.44-(68.44/(-5*68.44))))-(-5/-5)))))</f>
        <v>1593696.55072</v>
      </c>
      <c r="C16845" t="n" s="0">
        <v>1593696.55072</v>
      </c>
    </row>
    <row r="16846">
      <c r="A16846" t="n" s="0">
        <v>68.45</v>
      </c>
      <c r="B16846" t="n" s="0">
        <f>(-5-((((-5*(-5/((-5/(((-5*(68.45--5))-(-5+((-5*68.45)*(((-5--5)+(68.45--5))+68.45))))-(-5+-5)))*-5)))/-5)--5)+(-5*(((68.45*(68.45-(-5/-5)))*(68.45-(68.45/(-5*68.45))))-(-5/-5)))))</f>
        <v>1594396.550625</v>
      </c>
      <c r="C16846" t="n" s="0">
        <v>1594396.5506250004</v>
      </c>
    </row>
    <row r="16847">
      <c r="A16847" t="n" s="0">
        <v>68.46</v>
      </c>
      <c r="B16847" t="n" s="0">
        <f>(-5-((((-5*(-5/((-5/(((-5*(68.46--5))-(-5+((-5*68.46)*(((-5--5)+(68.46--5))+68.46))))-(-5+-5)))*-5)))/-5)--5)+(-5*(((68.46*(68.46-(-5/-5)))*(68.46-(68.46/(-5*68.46))))-(-5/-5)))))</f>
        <v>1595096.75548</v>
      </c>
      <c r="C16847" t="n" s="0">
        <v>1595096.7554799996</v>
      </c>
    </row>
    <row r="16848">
      <c r="A16848" t="n" s="0">
        <v>68.47</v>
      </c>
      <c r="B16848" t="n" s="0">
        <f>(-5-((((-5*(-5/((-5/(((-5*(68.47--5))-(-5+((-5*68.47)*(((-5--5)+(68.47--5))+68.47))))-(-5+-5)))*-5)))/-5)--5)+(-5*(((68.47*(68.47-(-5/-5)))*(68.47-(68.47/(-5*68.47))))-(-5/-5)))))</f>
        <v>1595797.1653149999</v>
      </c>
      <c r="C16848" t="n" s="0">
        <v>1595797.1653149999</v>
      </c>
    </row>
    <row r="16849">
      <c r="A16849" t="n" s="0">
        <v>68.48</v>
      </c>
      <c r="B16849" t="n" s="0">
        <f>(-5-((((-5*(-5/((-5/(((-5*(68.48--5))-(-5+((-5*68.48)*(((-5--5)+(68.48--5))+68.48))))-(-5+-5)))*-5)))/-5)--5)+(-5*(((68.48*(68.48-(-5/-5)))*(68.48-(68.48/(-5*68.48))))-(-5/-5)))))</f>
        <v>1596497.78016</v>
      </c>
      <c r="C16849" t="n" s="0">
        <v>1596497.78016</v>
      </c>
    </row>
    <row r="16850">
      <c r="A16850" t="n" s="0">
        <v>68.49</v>
      </c>
      <c r="B16850" t="n" s="0">
        <f>(-5-((((-5*(-5/((-5/(((-5*(68.49--5))-(-5+((-5*68.49)*(((-5--5)+(68.49--5))+68.49))))-(-5+-5)))*-5)))/-5)--5)+(-5*(((68.49*(68.49-(-5/-5)))*(68.49-(68.49/(-5*68.49))))-(-5/-5)))))</f>
        <v>1597198.600045</v>
      </c>
      <c r="C16850" t="n" s="0">
        <v>1597198.6000449997</v>
      </c>
    </row>
    <row r="16851">
      <c r="A16851" t="n" s="0">
        <v>68.5</v>
      </c>
      <c r="B16851" t="n" s="0">
        <f>(-5-((((-5*(-5/((-5/(((-5*(68.5--5))-(-5+((-5*68.5)*(((-5--5)+(68.5--5))+68.5))))-(-5+-5)))*-5)))/-5)--5)+(-5*(((68.5*(68.5-(-5/-5)))*(68.5-(68.5/(-5*68.5))))-(-5/-5)))))</f>
        <v>1597899.625</v>
      </c>
      <c r="C16851" t="n" s="0">
        <v>1597899.625</v>
      </c>
    </row>
    <row r="16852">
      <c r="A16852" t="n" s="0">
        <v>68.51</v>
      </c>
      <c r="B16852" t="n" s="0">
        <f>(-5-((((-5*(-5/((-5/(((-5*(68.51--5))-(-5+((-5*68.51)*(((-5--5)+(68.51--5))+68.51))))-(-5+-5)))*-5)))/-5)--5)+(-5*(((68.51*(68.51-(-5/-5)))*(68.51-(68.51/(-5*68.51))))-(-5/-5)))))</f>
        <v>1598600.855055</v>
      </c>
      <c r="C16852" t="n" s="0">
        <v>1598600.8550550004</v>
      </c>
    </row>
    <row r="16853">
      <c r="A16853" t="n" s="0">
        <v>68.52</v>
      </c>
      <c r="B16853" t="n" s="0">
        <f>(-5-((((-5*(-5/((-5/(((-5*(68.52--5))-(-5+((-5*68.52)*(((-5--5)+(68.52--5))+68.52))))-(-5+-5)))*-5)))/-5)--5)+(-5*(((68.52*(68.52-(-5/-5)))*(68.52-(68.52/(-5*68.52))))-(-5/-5)))))</f>
        <v>1599302.29024</v>
      </c>
      <c r="C16853" t="n" s="0">
        <v>1599302.2902399995</v>
      </c>
    </row>
    <row r="16854">
      <c r="A16854" t="n" s="0">
        <v>68.53</v>
      </c>
      <c r="B16854" t="n" s="0">
        <f>(-5-((((-5*(-5/((-5/(((-5*(68.53--5))-(-5+((-5*68.53)*(((-5--5)+(68.53--5))+68.53))))-(-5+-5)))*-5)))/-5)--5)+(-5*(((68.53*(68.53-(-5/-5)))*(68.53-(68.53/(-5*68.53))))-(-5/-5)))))</f>
        <v>1600003.930585</v>
      </c>
      <c r="C16854" t="n" s="0">
        <v>1600003.930585</v>
      </c>
    </row>
    <row r="16855">
      <c r="A16855" t="n" s="0">
        <v>68.54</v>
      </c>
      <c r="B16855" t="n" s="0">
        <f>(-5-((((-5*(-5/((-5/(((-5*(68.54--5))-(-5+((-5*68.54)*(((-5--5)+(68.54--5))+68.54))))-(-5+-5)))*-5)))/-5)--5)+(-5*(((68.54*(68.54-(-5/-5)))*(68.54-(68.54/(-5*68.54))))-(-5/-5)))))</f>
        <v>1600705.77612</v>
      </c>
      <c r="C16855" t="n" s="0">
        <v>1600705.7761200005</v>
      </c>
    </row>
    <row r="16856">
      <c r="A16856" t="n" s="0">
        <v>68.55</v>
      </c>
      <c r="B16856" t="n" s="0">
        <f>(-5-((((-5*(-5/((-5/(((-5*(68.55--5))-(-5+((-5*68.55)*(((-5--5)+(68.55--5))+68.55))))-(-5+-5)))*-5)))/-5)--5)+(-5*(((68.55*(68.55-(-5/-5)))*(68.55-(68.55/(-5*68.55))))-(-5/-5)))))</f>
        <v>1601407.826875</v>
      </c>
      <c r="C16856" t="n" s="0">
        <v>1601407.8268749998</v>
      </c>
    </row>
    <row r="16857">
      <c r="A16857" t="n" s="0">
        <v>68.56</v>
      </c>
      <c r="B16857" t="n" s="0">
        <f>(-5-((((-5*(-5/((-5/(((-5*(68.56--5))-(-5+((-5*68.56)*(((-5--5)+(68.56--5))+68.56))))-(-5+-5)))*-5)))/-5)--5)+(-5*(((68.56*(68.56-(-5/-5)))*(68.56-(68.56/(-5*68.56))))-(-5/-5)))))</f>
        <v>1602110.0828800001</v>
      </c>
      <c r="C16857" t="n" s="0">
        <v>1602110.0828800001</v>
      </c>
    </row>
    <row r="16858">
      <c r="A16858" t="n" s="0">
        <v>68.57</v>
      </c>
      <c r="B16858" t="n" s="0">
        <f>(-5-((((-5*(-5/((-5/(((-5*(68.57--5))-(-5+((-5*68.57)*(((-5--5)+(68.57--5))+68.57))))-(-5+-5)))*-5)))/-5)--5)+(-5*(((68.57*(68.57-(-5/-5)))*(68.57-(68.57/(-5*68.57))))-(-5/-5)))))</f>
        <v>1602812.544165</v>
      </c>
      <c r="C16858" t="n" s="0">
        <v>1602812.5441649994</v>
      </c>
    </row>
    <row r="16859">
      <c r="A16859" t="n" s="0">
        <v>68.58</v>
      </c>
      <c r="B16859" t="n" s="0">
        <f>(-5-((((-5*(-5/((-5/(((-5*(68.58--5))-(-5+((-5*68.58)*(((-5--5)+(68.58--5))+68.58))))-(-5+-5)))*-5)))/-5)--5)+(-5*(((68.58*(68.58-(-5/-5)))*(68.58-(68.58/(-5*68.58))))-(-5/-5)))))</f>
        <v>1603515.2107600002</v>
      </c>
      <c r="C16859" t="n" s="0">
        <v>1603515.2107599997</v>
      </c>
    </row>
    <row r="16860">
      <c r="A16860" t="n" s="0">
        <v>68.59</v>
      </c>
      <c r="B16860" t="n" s="0">
        <f>(-5-((((-5*(-5/((-5/(((-5*(68.59--5))-(-5+((-5*68.59)*(((-5--5)+(68.59--5))+68.59))))-(-5+-5)))*-5)))/-5)--5)+(-5*(((68.59*(68.59-(-5/-5)))*(68.59-(68.59/(-5*68.59))))-(-5/-5)))))</f>
        <v>1604218.0826949999</v>
      </c>
      <c r="C16860" t="n" s="0">
        <v>1604218.082695</v>
      </c>
    </row>
    <row r="16861">
      <c r="A16861" t="n" s="0">
        <v>68.6</v>
      </c>
      <c r="B16861" t="n" s="0">
        <f>(-5-((((-5*(-5/((-5/(((-5*(68.6--5))-(-5+((-5*68.6)*(((-5--5)+(68.6--5))+68.6))))-(-5+-5)))*-5)))/-5)--5)+(-5*(((68.6*(68.6-(-5/-5)))*(68.6-(68.6/(-5*68.6))))-(-5/-5)))))</f>
        <v>1604921.1600000001</v>
      </c>
      <c r="C16861" t="n" s="0">
        <v>1604921.1599999997</v>
      </c>
    </row>
    <row r="16862">
      <c r="A16862" t="n" s="0">
        <v>68.61</v>
      </c>
      <c r="B16862" t="n" s="0">
        <f>(-5-((((-5*(-5/((-5/(((-5*(68.61--5))-(-5+((-5*68.61)*(((-5--5)+(68.61--5))+68.61))))-(-5+-5)))*-5)))/-5)--5)+(-5*(((68.61*(68.61-(-5/-5)))*(68.61-(68.61/(-5*68.61))))-(-5/-5)))))</f>
        <v>1605624.442705</v>
      </c>
      <c r="C16862" t="n" s="0">
        <v>1605624.442705</v>
      </c>
    </row>
    <row r="16863">
      <c r="A16863" t="n" s="0">
        <v>68.62</v>
      </c>
      <c r="B16863" t="n" s="0">
        <f>(-5-((((-5*(-5/((-5/(((-5*(68.62--5))-(-5+((-5*68.62)*(((-5--5)+(68.62--5))+68.62))))-(-5+-5)))*-5)))/-5)--5)+(-5*(((68.62*(68.62-(-5/-5)))*(68.62-(68.62/(-5*68.62))))-(-5/-5)))))</f>
        <v>1606327.93084</v>
      </c>
      <c r="C16863" t="n" s="0">
        <v>1606327.9308400003</v>
      </c>
    </row>
    <row r="16864">
      <c r="A16864" t="n" s="0">
        <v>68.63</v>
      </c>
      <c r="B16864" t="n" s="0">
        <f>(-5-((((-5*(-5/((-5/(((-5*(68.63--5))-(-5+((-5*68.63)*(((-5--5)+(68.63--5))+68.63))))-(-5+-5)))*-5)))/-5)--5)+(-5*(((68.63*(68.63-(-5/-5)))*(68.63-(68.63/(-5*68.63))))-(-5/-5)))))</f>
        <v>1607031.624435</v>
      </c>
      <c r="C16864" t="n" s="0">
        <v>1607031.6244349994</v>
      </c>
    </row>
    <row r="16865">
      <c r="A16865" t="n" s="0">
        <v>68.64</v>
      </c>
      <c r="B16865" t="n" s="0">
        <f>(-5-((((-5*(-5/((-5/(((-5*(68.64--5))-(-5+((-5*68.64)*(((-5--5)+(68.64--5))+68.64))))-(-5+-5)))*-5)))/-5)--5)+(-5*(((68.64*(68.64-(-5/-5)))*(68.64-(68.64/(-5*68.64))))-(-5/-5)))))</f>
        <v>1607735.5235199998</v>
      </c>
      <c r="C16865" t="n" s="0">
        <v>1607735.52352</v>
      </c>
    </row>
    <row r="16866">
      <c r="A16866" t="n" s="0">
        <v>68.65</v>
      </c>
      <c r="B16866" t="n" s="0">
        <f>(-5-((((-5*(-5/((-5/(((-5*(68.65--5))-(-5+((-5*68.65)*(((-5--5)+(68.65--5))+68.65))))-(-5+-5)))*-5)))/-5)--5)+(-5*(((68.65*(68.65-(-5/-5)))*(68.65-(68.65/(-5*68.65))))-(-5/-5)))))</f>
        <v>1608439.628125</v>
      </c>
      <c r="C16866" t="n" s="0">
        <v>1608439.6281250003</v>
      </c>
    </row>
    <row r="16867">
      <c r="A16867" t="n" s="0">
        <v>68.66</v>
      </c>
      <c r="B16867" t="n" s="0">
        <f>(-5-((((-5*(-5/((-5/(((-5*(68.66--5))-(-5+((-5*68.66)*(((-5--5)+(68.66--5))+68.66))))-(-5+-5)))*-5)))/-5)--5)+(-5*(((68.66*(68.66-(-5/-5)))*(68.66-(68.66/(-5*68.66))))-(-5/-5)))))</f>
        <v>1609143.9382800001</v>
      </c>
      <c r="C16867" t="n" s="0">
        <v>1609143.93828</v>
      </c>
    </row>
    <row r="16868">
      <c r="A16868" t="n" s="0">
        <v>68.67</v>
      </c>
      <c r="B16868" t="n" s="0">
        <f>(-5-((((-5*(-5/((-5/(((-5*(68.67--5))-(-5+((-5*68.67)*(((-5--5)+(68.67--5))+68.67))))-(-5+-5)))*-5)))/-5)--5)+(-5*(((68.67*(68.67-(-5/-5)))*(68.67-(68.67/(-5*68.67))))-(-5/-5)))))</f>
        <v>1609848.454015</v>
      </c>
      <c r="C16868" t="n" s="0">
        <v>1609848.4540150003</v>
      </c>
    </row>
    <row r="16869">
      <c r="A16869" t="n" s="0">
        <v>68.68</v>
      </c>
      <c r="B16869" t="n" s="0">
        <f>(-5-((((-5*(-5/((-5/(((-5*(68.68--5))-(-5+((-5*68.68)*(((-5--5)+(68.68--5))+68.68))))-(-5+-5)))*-5)))/-5)--5)+(-5*(((68.68*(68.68-(-5/-5)))*(68.68-(68.68/(-5*68.68))))-(-5/-5)))))</f>
        <v>1610553.17536</v>
      </c>
      <c r="C16869" t="n" s="0">
        <v>1610553.1753600005</v>
      </c>
    </row>
    <row r="16870">
      <c r="A16870" t="n" s="0">
        <v>68.69</v>
      </c>
      <c r="B16870" t="n" s="0">
        <f>(-5-((((-5*(-5/((-5/(((-5*(68.69--5))-(-5+((-5*68.69)*(((-5--5)+(68.69--5))+68.69))))-(-5+-5)))*-5)))/-5)--5)+(-5*(((68.69*(68.69-(-5/-5)))*(68.69-(68.69/(-5*68.69))))-(-5/-5)))))</f>
        <v>1611258.1023449998</v>
      </c>
      <c r="C16870" t="n" s="0">
        <v>1611258.1023449998</v>
      </c>
    </row>
    <row r="16871">
      <c r="A16871" t="n" s="0">
        <v>68.7</v>
      </c>
      <c r="B16871" t="n" s="0">
        <f>(-5-((((-5*(-5/((-5/(((-5*(68.7--5))-(-5+((-5*68.7)*(((-5--5)+(68.7--5))+68.7))))-(-5+-5)))*-5)))/-5)--5)+(-5*(((68.7*(68.7-(-5/-5)))*(68.7-(68.7/(-5*68.7))))-(-5/-5)))))</f>
        <v>1611963.2349999999</v>
      </c>
      <c r="C16871" t="n" s="0">
        <v>1611963.2350000003</v>
      </c>
    </row>
    <row r="16872">
      <c r="A16872" t="n" s="0">
        <v>68.71</v>
      </c>
      <c r="B16872" t="n" s="0">
        <f>(-5-((((-5*(-5/((-5/(((-5*(68.71--5))-(-5+((-5*68.71)*(((-5--5)+(68.71--5))+68.71))))-(-5+-5)))*-5)))/-5)--5)+(-5*(((68.71*(68.71-(-5/-5)))*(68.71-(68.71/(-5*68.71))))-(-5/-5)))))</f>
        <v>1612668.573355</v>
      </c>
      <c r="C16872" t="n" s="0">
        <v>1612668.5733549998</v>
      </c>
    </row>
    <row r="16873">
      <c r="A16873" t="n" s="0">
        <v>68.72</v>
      </c>
      <c r="B16873" t="n" s="0">
        <f>(-5-((((-5*(-5/((-5/(((-5*(68.72--5))-(-5+((-5*68.72)*(((-5--5)+(68.72--5))+68.72))))-(-5+-5)))*-5)))/-5)--5)+(-5*(((68.72*(68.72-(-5/-5)))*(68.72-(68.72/(-5*68.72))))-(-5/-5)))))</f>
        <v>1613374.1174400002</v>
      </c>
      <c r="C16873" t="n" s="0">
        <v>1613374.11744</v>
      </c>
    </row>
    <row r="16874">
      <c r="A16874" t="n" s="0">
        <v>68.73</v>
      </c>
      <c r="B16874" t="n" s="0">
        <f>(-5-((((-5*(-5/((-5/(((-5*(68.73--5))-(-5+((-5*68.73)*(((-5--5)+(68.73--5))+68.73))))-(-5+-5)))*-5)))/-5)--5)+(-5*(((68.73*(68.73-(-5/-5)))*(68.73-(68.73/(-5*68.73))))-(-5/-5)))))</f>
        <v>1614079.867285</v>
      </c>
      <c r="C16874" t="n" s="0">
        <v>1614079.8672850002</v>
      </c>
    </row>
    <row r="16875">
      <c r="A16875" t="n" s="0">
        <v>68.74</v>
      </c>
      <c r="B16875" t="n" s="0">
        <f>(-5-((((-5*(-5/((-5/(((-5*(68.74--5))-(-5+((-5*68.74)*(((-5--5)+(68.74--5))+68.74))))-(-5+-5)))*-5)))/-5)--5)+(-5*(((68.74*(68.74-(-5/-5)))*(68.74-(68.74/(-5*68.74))))-(-5/-5)))))</f>
        <v>1614785.8229200002</v>
      </c>
      <c r="C16875" t="n" s="0">
        <v>1614785.8229199997</v>
      </c>
    </row>
    <row r="16876">
      <c r="A16876" t="n" s="0">
        <v>68.75</v>
      </c>
      <c r="B16876" t="n" s="0">
        <f>(-5-((((-5*(-5/((-5/(((-5*(68.75--5))-(-5+((-5*68.75)*(((-5--5)+(68.75--5))+68.75))))-(-5+-5)))*-5)))/-5)--5)+(-5*(((68.75*(68.75-(-5/-5)))*(68.75-(68.75/(-5*68.75))))-(-5/-5)))))</f>
        <v>1615491.984375</v>
      </c>
      <c r="C16876" t="n" s="0">
        <v>1615491.984375</v>
      </c>
    </row>
    <row r="16877">
      <c r="A16877" t="n" s="0">
        <v>68.76</v>
      </c>
      <c r="B16877" t="n" s="0">
        <f>(-5-((((-5*(-5/((-5/(((-5*(68.76--5))-(-5+((-5*68.76)*(((-5--5)+(68.76--5))+68.76))))-(-5+-5)))*-5)))/-5)--5)+(-5*(((68.76*(68.76-(-5/-5)))*(68.76-(68.76/(-5*68.76))))-(-5/-5)))))</f>
        <v>1616198.3516799998</v>
      </c>
      <c r="C16877" t="n" s="0">
        <v>1616198.3516800005</v>
      </c>
    </row>
    <row r="16878">
      <c r="A16878" t="n" s="0">
        <v>68.77</v>
      </c>
      <c r="B16878" t="n" s="0">
        <f>(-5-((((-5*(-5/((-5/(((-5*(68.77--5))-(-5+((-5*68.77)*(((-5--5)+(68.77--5))+68.77))))-(-5+-5)))*-5)))/-5)--5)+(-5*(((68.77*(68.77-(-5/-5)))*(68.77-(68.77/(-5*68.77))))-(-5/-5)))))</f>
        <v>1616904.924865</v>
      </c>
      <c r="C16878" t="n" s="0">
        <v>1616904.924865</v>
      </c>
    </row>
    <row r="16879">
      <c r="A16879" t="n" s="0">
        <v>68.78</v>
      </c>
      <c r="B16879" t="n" s="0">
        <f>(-5-((((-5*(-5/((-5/(((-5*(68.78--5))-(-5+((-5*68.78)*(((-5--5)+(68.78--5))+68.78))))-(-5+-5)))*-5)))/-5)--5)+(-5*(((68.78*(68.78-(-5/-5)))*(68.78-(68.78/(-5*68.78))))-(-5/-5)))))</f>
        <v>1617611.70396</v>
      </c>
      <c r="C16879" t="n" s="0">
        <v>1617611.70396</v>
      </c>
    </row>
    <row r="16880">
      <c r="A16880" t="n" s="0">
        <v>68.79</v>
      </c>
      <c r="B16880" t="n" s="0">
        <f>(-5-((((-5*(-5/((-5/(((-5*(68.79--5))-(-5+((-5*68.79)*(((-5--5)+(68.79--5))+68.79))))-(-5+-5)))*-5)))/-5)--5)+(-5*(((68.79*(68.79-(-5/-5)))*(68.79-(68.79/(-5*68.79))))-(-5/-5)))))</f>
        <v>1618318.688995</v>
      </c>
      <c r="C16880" t="n" s="0">
        <v>1618318.6889950007</v>
      </c>
    </row>
    <row r="16881">
      <c r="A16881" t="n" s="0">
        <v>68.8</v>
      </c>
      <c r="B16881" t="n" s="0">
        <f>(-5-((((-5*(-5/((-5/(((-5*(68.8--5))-(-5+((-5*68.8)*(((-5--5)+(68.8--5))+68.8))))-(-5+-5)))*-5)))/-5)--5)+(-5*(((68.8*(68.8-(-5/-5)))*(68.8-(68.8/(-5*68.8))))-(-5/-5)))))</f>
        <v>1619025.8800000001</v>
      </c>
      <c r="C16881" t="n" s="0">
        <v>1619025.88</v>
      </c>
    </row>
    <row r="16882">
      <c r="A16882" t="n" s="0">
        <v>68.81</v>
      </c>
      <c r="B16882" t="n" s="0">
        <f>(-5-((((-5*(-5/((-5/(((-5*(68.81--5))-(-5+((-5*68.81)*(((-5--5)+(68.81--5))+68.81))))-(-5+-5)))*-5)))/-5)--5)+(-5*(((68.81*(68.81-(-5/-5)))*(68.81-(68.81/(-5*68.81))))-(-5/-5)))))</f>
        <v>1619733.2770049998</v>
      </c>
      <c r="C16882" t="n" s="0">
        <v>1619733.2770049998</v>
      </c>
    </row>
    <row r="16883">
      <c r="A16883" t="n" s="0">
        <v>68.82</v>
      </c>
      <c r="B16883" t="n" s="0">
        <f>(-5-((((-5*(-5/((-5/(((-5*(68.82--5))-(-5+((-5*68.82)*(((-5--5)+(68.82--5))+68.82))))-(-5+-5)))*-5)))/-5)--5)+(-5*(((68.82*(68.82-(-5/-5)))*(68.82-(68.82/(-5*68.82))))-(-5/-5)))))</f>
        <v>1620440.88004</v>
      </c>
      <c r="C16883" t="n" s="0">
        <v>1620440.8800399997</v>
      </c>
    </row>
    <row r="16884">
      <c r="A16884" t="n" s="0">
        <v>68.83</v>
      </c>
      <c r="B16884" t="n" s="0">
        <f>(-5-((((-5*(-5/((-5/(((-5*(68.83--5))-(-5+((-5*68.83)*(((-5--5)+(68.83--5))+68.83))))-(-5+-5)))*-5)))/-5)--5)+(-5*(((68.83*(68.83-(-5/-5)))*(68.83-(68.83/(-5*68.83))))-(-5/-5)))))</f>
        <v>1621148.6891349999</v>
      </c>
      <c r="C16884" t="n" s="0">
        <v>1621148.6891349999</v>
      </c>
    </row>
    <row r="16885">
      <c r="A16885" t="n" s="0">
        <v>68.84</v>
      </c>
      <c r="B16885" t="n" s="0">
        <f>(-5-((((-5*(-5/((-5/(((-5*(68.84--5))-(-5+((-5*68.84)*(((-5--5)+(68.84--5))+68.84))))-(-5+-5)))*-5)))/-5)--5)+(-5*(((68.84*(68.84-(-5/-5)))*(68.84-(68.84/(-5*68.84))))-(-5/-5)))))</f>
        <v>1621856.70432</v>
      </c>
      <c r="C16885" t="n" s="0">
        <v>1621856.7043200003</v>
      </c>
    </row>
    <row r="16886">
      <c r="A16886" t="n" s="0">
        <v>68.85</v>
      </c>
      <c r="B16886" t="n" s="0">
        <f>(-5-((((-5*(-5/((-5/(((-5*(68.85--5))-(-5+((-5*68.85)*(((-5--5)+(68.85--5))+68.85))))-(-5+-5)))*-5)))/-5)--5)+(-5*(((68.85*(68.85-(-5/-5)))*(68.85-(68.85/(-5*68.85))))-(-5/-5)))))</f>
        <v>1622564.925625</v>
      </c>
      <c r="C16886" t="n" s="0">
        <v>1622564.9256249997</v>
      </c>
    </row>
    <row r="16887">
      <c r="A16887" t="n" s="0">
        <v>68.86</v>
      </c>
      <c r="B16887" t="n" s="0">
        <f>(-5-((((-5*(-5/((-5/(((-5*(68.86--5))-(-5+((-5*68.86)*(((-5--5)+(68.86--5))+68.86))))-(-5+-5)))*-5)))/-5)--5)+(-5*(((68.86*(68.86-(-5/-5)))*(68.86-(68.86/(-5*68.86))))-(-5/-5)))))</f>
        <v>1623273.35308</v>
      </c>
      <c r="C16887" t="n" s="0">
        <v>1623273.35308</v>
      </c>
    </row>
    <row r="16888">
      <c r="A16888" t="n" s="0">
        <v>68.87</v>
      </c>
      <c r="B16888" t="n" s="0">
        <f>(-5-((((-5*(-5/((-5/(((-5*(68.87--5))-(-5+((-5*68.87)*(((-5--5)+(68.87--5))+68.87))))-(-5+-5)))*-5)))/-5)--5)+(-5*(((68.87*(68.87-(-5/-5)))*(68.87-(68.87/(-5*68.87))))-(-5/-5)))))</f>
        <v>1623981.986715</v>
      </c>
      <c r="C16888" t="n" s="0">
        <v>1623981.9867150006</v>
      </c>
    </row>
    <row r="16889">
      <c r="A16889" t="n" s="0">
        <v>68.88</v>
      </c>
      <c r="B16889" t="n" s="0">
        <f>(-5-((((-5*(-5/((-5/(((-5*(68.88--5))-(-5+((-5*68.88)*(((-5--5)+(68.88--5))+68.88))))-(-5+-5)))*-5)))/-5)--5)+(-5*(((68.88*(68.88-(-5/-5)))*(68.88-(68.88/(-5*68.88))))-(-5/-5)))))</f>
        <v>1624690.82656</v>
      </c>
      <c r="C16889" t="n" s="0">
        <v>1624690.8265599995</v>
      </c>
    </row>
    <row r="16890">
      <c r="A16890" t="n" s="0">
        <v>68.89</v>
      </c>
      <c r="B16890" t="n" s="0">
        <f>(-5-((((-5*(-5/((-5/(((-5*(68.89--5))-(-5+((-5*68.89)*(((-5--5)+(68.89--5))+68.89))))-(-5+-5)))*-5)))/-5)--5)+(-5*(((68.89*(68.89-(-5/-5)))*(68.89-(68.89/(-5*68.89))))-(-5/-5)))))</f>
        <v>1625399.872645</v>
      </c>
      <c r="C16890" t="n" s="0">
        <v>1625399.8726449998</v>
      </c>
    </row>
    <row r="16891">
      <c r="A16891" t="n" s="0">
        <v>68.9</v>
      </c>
      <c r="B16891" t="n" s="0">
        <f>(-5-((((-5*(-5/((-5/(((-5*(68.9--5))-(-5+((-5*68.9)*(((-5--5)+(68.9--5))+68.9))))-(-5+-5)))*-5)))/-5)--5)+(-5*(((68.9*(68.9-(-5/-5)))*(68.9-(68.9/(-5*68.9))))-(-5/-5)))))</f>
        <v>1626109.125</v>
      </c>
      <c r="C16891" t="n" s="0">
        <v>1626109.1250000005</v>
      </c>
    </row>
    <row r="16892">
      <c r="A16892" t="n" s="0">
        <v>68.91</v>
      </c>
      <c r="B16892" t="n" s="0">
        <f>(-5-((((-5*(-5/((-5/(((-5*(68.91--5))-(-5+((-5*68.91)*(((-5--5)+(68.91--5))+68.91))))-(-5+-5)))*-5)))/-5)--5)+(-5*(((68.91*(68.91-(-5/-5)))*(68.91-(68.91/(-5*68.91))))-(-5/-5)))))</f>
        <v>1626818.583655</v>
      </c>
      <c r="C16892" t="n" s="0">
        <v>1626818.5836549997</v>
      </c>
    </row>
    <row r="16893">
      <c r="A16893" t="n" s="0">
        <v>68.92</v>
      </c>
      <c r="B16893" t="n" s="0">
        <f>(-5-((((-5*(-5/((-5/(((-5*(68.92--5))-(-5+((-5*68.92)*(((-5--5)+(68.92--5))+68.92))))-(-5+-5)))*-5)))/-5)--5)+(-5*(((68.92*(68.92-(-5/-5)))*(68.92-(68.92/(-5*68.92))))-(-5/-5)))))</f>
        <v>1627528.24864</v>
      </c>
      <c r="C16893" t="n" s="0">
        <v>1627528.2486400001</v>
      </c>
    </row>
    <row r="16894">
      <c r="A16894" t="n" s="0">
        <v>68.93</v>
      </c>
      <c r="B16894" t="n" s="0">
        <f>(-5-((((-5*(-5/((-5/(((-5*(68.93--5))-(-5+((-5*68.93)*(((-5--5)+(68.93--5))+68.93))))-(-5+-5)))*-5)))/-5)--5)+(-5*(((68.93*(68.93-(-5/-5)))*(68.93-(68.93/(-5*68.93))))-(-5/-5)))))</f>
        <v>1628238.119985</v>
      </c>
      <c r="C16894" t="n" s="0">
        <v>1628238.1199850005</v>
      </c>
    </row>
    <row r="16895">
      <c r="A16895" t="n" s="0">
        <v>68.94</v>
      </c>
      <c r="B16895" t="n" s="0">
        <f>(-5-((((-5*(-5/((-5/(((-5*(68.94--5))-(-5+((-5*68.94)*(((-5--5)+(68.94--5))+68.94))))-(-5+-5)))*-5)))/-5)--5)+(-5*(((68.94*(68.94-(-5/-5)))*(68.94-(68.94/(-5*68.94))))-(-5/-5)))))</f>
        <v>1628948.19772</v>
      </c>
      <c r="C16895" t="n" s="0">
        <v>1628948.1977199998</v>
      </c>
    </row>
    <row r="16896">
      <c r="A16896" t="n" s="0">
        <v>68.95</v>
      </c>
      <c r="B16896" t="n" s="0">
        <f>(-5-((((-5*(-5/((-5/(((-5*(68.95--5))-(-5+((-5*68.95)*(((-5--5)+(68.95--5))+68.95))))-(-5+-5)))*-5)))/-5)--5)+(-5*(((68.95*(68.95-(-5/-5)))*(68.95-(68.95/(-5*68.95))))-(-5/-5)))))</f>
        <v>1629658.4818749998</v>
      </c>
      <c r="C16896" t="n" s="0">
        <v>1629658.481875</v>
      </c>
    </row>
    <row r="16897">
      <c r="A16897" t="n" s="0">
        <v>68.96</v>
      </c>
      <c r="B16897" t="n" s="0">
        <f>(-5-((((-5*(-5/((-5/(((-5*(68.96--5))-(-5+((-5*68.96)*(((-5--5)+(68.96--5))+68.96))))-(-5+-5)))*-5)))/-5)--5)+(-5*(((68.96*(68.96-(-5/-5)))*(68.96-(68.96/(-5*68.96))))-(-5/-5)))))</f>
        <v>1630368.97248</v>
      </c>
      <c r="C16897" t="n" s="0">
        <v>1630368.9724799995</v>
      </c>
    </row>
    <row r="16898">
      <c r="A16898" t="n" s="0">
        <v>68.97</v>
      </c>
      <c r="B16898" t="n" s="0">
        <f>(-5-((((-5*(-5/((-5/(((-5*(68.97--5))-(-5+((-5*68.97)*(((-5--5)+(68.97--5))+68.97))))-(-5+-5)))*-5)))/-5)--5)+(-5*(((68.97*(68.97-(-5/-5)))*(68.97-(68.97/(-5*68.97))))-(-5/-5)))))</f>
        <v>1631079.669565</v>
      </c>
      <c r="C16898" t="n" s="0">
        <v>1631079.6695649999</v>
      </c>
    </row>
    <row r="16899">
      <c r="A16899" t="n" s="0">
        <v>68.98</v>
      </c>
      <c r="B16899" t="n" s="0">
        <f>(-5-((((-5*(-5/((-5/(((-5*(68.98--5))-(-5+((-5*68.98)*(((-5--5)+(68.98--5))+68.98))))-(-5+-5)))*-5)))/-5)--5)+(-5*(((68.98*(68.98-(-5/-5)))*(68.98-(68.98/(-5*68.98))))-(-5/-5)))))</f>
        <v>1631790.57316</v>
      </c>
      <c r="C16899" t="n" s="0">
        <v>1631790.5731600001</v>
      </c>
    </row>
    <row r="16900">
      <c r="A16900" t="n" s="0">
        <v>68.99</v>
      </c>
      <c r="B16900" t="n" s="0">
        <f>(-5-((((-5*(-5/((-5/(((-5*(68.99--5))-(-5+((-5*68.99)*(((-5--5)+(68.99--5))+68.99))))-(-5+-5)))*-5)))/-5)--5)+(-5*(((68.99*(68.99-(-5/-5)))*(68.99-(68.99/(-5*68.99))))-(-5/-5)))))</f>
        <v>1632501.6832949999</v>
      </c>
      <c r="C16900" t="n" s="0">
        <v>1632501.6832949996</v>
      </c>
    </row>
    <row r="16901">
      <c r="A16901" t="n" s="0">
        <v>69.0</v>
      </c>
      <c r="B16901" t="n" s="0">
        <f>(-5-((((-5*(-5/((-5/(((-5*(69--5))-(-5+((-5*69)*(((-5--5)+(69--5))+69))))-(-5+-5)))*-5)))/-5)--5)+(-5*(((69*(69-(-5/-5)))*(69-(69/(-5*69))))-(-5/-5)))))</f>
        <v>1633213.0</v>
      </c>
      <c r="C16901" t="n" s="0">
        <v>1633213.0</v>
      </c>
    </row>
    <row r="16902">
      <c r="A16902" t="n" s="0">
        <v>69.01</v>
      </c>
      <c r="B16902" t="n" s="0">
        <f>(-5-((((-5*(-5/((-5/(((-5*(69.01--5))-(-5+((-5*69.01)*(((-5--5)+(69.01--5))+69.01))))-(-5+-5)))*-5)))/-5)--5)+(-5*(((69.01*(69.01-(-5/-5)))*(69.01-(69.01/(-5*69.01))))-(-5/-5)))))</f>
        <v>1633924.523305</v>
      </c>
      <c r="C16902" t="n" s="0">
        <v>1633924.5233050005</v>
      </c>
    </row>
    <row r="16903">
      <c r="A16903" t="n" s="0">
        <v>69.02</v>
      </c>
      <c r="B16903" t="n" s="0">
        <f>(-5-((((-5*(-5/((-5/(((-5*(69.02--5))-(-5+((-5*69.02)*(((-5--5)+(69.02--5))+69.02))))-(-5+-5)))*-5)))/-5)--5)+(-5*(((69.02*(69.02-(-5/-5)))*(69.02-(69.02/(-5*69.02))))-(-5/-5)))))</f>
        <v>1634636.25324</v>
      </c>
      <c r="C16903" t="n" s="0">
        <v>1634636.2532399998</v>
      </c>
    </row>
    <row r="16904">
      <c r="A16904" t="n" s="0">
        <v>69.03</v>
      </c>
      <c r="B16904" t="n" s="0">
        <f>(-5-((((-5*(-5/((-5/(((-5*(69.03--5))-(-5+((-5*69.03)*(((-5--5)+(69.03--5))+69.03))))-(-5+-5)))*-5)))/-5)--5)+(-5*(((69.03*(69.03-(-5/-5)))*(69.03-(69.03/(-5*69.03))))-(-5/-5)))))</f>
        <v>1635348.189835</v>
      </c>
      <c r="C16904" t="n" s="0">
        <v>1635348.189835</v>
      </c>
    </row>
    <row r="16905">
      <c r="A16905" t="n" s="0">
        <v>69.04</v>
      </c>
      <c r="B16905" t="n" s="0">
        <f>(-5-((((-5*(-5/((-5/(((-5*(69.04--5))-(-5+((-5*69.04)*(((-5--5)+(69.04--5))+69.04))))-(-5+-5)))*-5)))/-5)--5)+(-5*(((69.04*(69.04-(-5/-5)))*(69.04-(69.04/(-5*69.04))))-(-5/-5)))))</f>
        <v>1636060.3331199999</v>
      </c>
      <c r="C16905" t="n" s="0">
        <v>1636060.3331200008</v>
      </c>
    </row>
    <row r="16906">
      <c r="A16906" t="n" s="0">
        <v>69.05</v>
      </c>
      <c r="B16906" t="n" s="0">
        <f>(-5-((((-5*(-5/((-5/(((-5*(69.05--5))-(-5+((-5*69.05)*(((-5--5)+(69.05--5))+69.05))))-(-5+-5)))*-5)))/-5)--5)+(-5*(((69.05*(69.05-(-5/-5)))*(69.05-(69.05/(-5*69.05))))-(-5/-5)))))</f>
        <v>1636772.683125</v>
      </c>
      <c r="C16906" t="n" s="0">
        <v>1636772.6831249997</v>
      </c>
    </row>
    <row r="16907">
      <c r="A16907" t="n" s="0">
        <v>69.06</v>
      </c>
      <c r="B16907" t="n" s="0">
        <f>(-5-((((-5*(-5/((-5/(((-5*(69.06--5))-(-5+((-5*69.06)*(((-5--5)+(69.06--5))+69.06))))-(-5+-5)))*-5)))/-5)--5)+(-5*(((69.06*(69.06-(-5/-5)))*(69.06-(69.06/(-5*69.06))))-(-5/-5)))))</f>
        <v>1637485.23988</v>
      </c>
      <c r="C16907" t="n" s="0">
        <v>1637485.2398800002</v>
      </c>
    </row>
    <row r="16908">
      <c r="A16908" t="n" s="0">
        <v>69.07</v>
      </c>
      <c r="B16908" t="n" s="0">
        <f>(-5-((((-5*(-5/((-5/(((-5*(69.07--5))-(-5+((-5*69.07)*(((-5--5)+(69.07--5))+69.07))))-(-5+-5)))*-5)))/-5)--5)+(-5*(((69.07*(69.07-(-5/-5)))*(69.07-(69.07/(-5*69.07))))-(-5/-5)))))</f>
        <v>1638198.003415</v>
      </c>
      <c r="C16908" t="n" s="0">
        <v>1638198.0034149997</v>
      </c>
    </row>
    <row r="16909">
      <c r="A16909" t="n" s="0">
        <v>69.08</v>
      </c>
      <c r="B16909" t="n" s="0">
        <f>(-5-((((-5*(-5/((-5/(((-5*(69.08--5))-(-5+((-5*69.08)*(((-5--5)+(69.08--5))+69.08))))-(-5+-5)))*-5)))/-5)--5)+(-5*(((69.08*(69.08-(-5/-5)))*(69.08-(69.08/(-5*69.08))))-(-5/-5)))))</f>
        <v>1638910.97376</v>
      </c>
      <c r="C16909" t="n" s="0">
        <v>1638910.9737599997</v>
      </c>
    </row>
    <row r="16910">
      <c r="A16910" t="n" s="0">
        <v>69.09</v>
      </c>
      <c r="B16910" t="n" s="0">
        <f>(-5-((((-5*(-5/((-5/(((-5*(69.09--5))-(-5+((-5*69.09)*(((-5--5)+(69.09--5))+69.09))))-(-5+-5)))*-5)))/-5)--5)+(-5*(((69.09*(69.09-(-5/-5)))*(69.09-(69.09/(-5*69.09))))-(-5/-5)))))</f>
        <v>1639624.150945</v>
      </c>
      <c r="C16910" t="n" s="0">
        <v>1639624.1509450004</v>
      </c>
    </row>
    <row r="16911">
      <c r="A16911" t="n" s="0">
        <v>69.1</v>
      </c>
      <c r="B16911" t="n" s="0">
        <f>(-5-((((-5*(-5/((-5/(((-5*(69.1--5))-(-5+((-5*69.1)*(((-5--5)+(69.1--5))+69.1))))-(-5+-5)))*-5)))/-5)--5)+(-5*(((69.1*(69.1-(-5/-5)))*(69.1-(69.1/(-5*69.1))))-(-5/-5)))))</f>
        <v>1640337.535</v>
      </c>
      <c r="C16911" t="n" s="0">
        <v>1640337.5349999995</v>
      </c>
    </row>
    <row r="16912">
      <c r="A16912" t="n" s="0">
        <v>69.11</v>
      </c>
      <c r="B16912" t="n" s="0">
        <f>(-5-((((-5*(-5/((-5/(((-5*(69.11--5))-(-5+((-5*69.11)*(((-5--5)+(69.11--5))+69.11))))-(-5+-5)))*-5)))/-5)--5)+(-5*(((69.11*(69.11-(-5/-5)))*(69.11-(69.11/(-5*69.11))))-(-5/-5)))))</f>
        <v>1641051.1259549998</v>
      </c>
      <c r="C16912" t="n" s="0">
        <v>1641051.125955</v>
      </c>
    </row>
    <row r="16913">
      <c r="A16913" t="n" s="0">
        <v>69.12</v>
      </c>
      <c r="B16913" t="n" s="0">
        <f>(-5-((((-5*(-5/((-5/(((-5*(69.12--5))-(-5+((-5*69.12)*(((-5--5)+(69.12--5))+69.12))))-(-5+-5)))*-5)))/-5)--5)+(-5*(((69.12*(69.12-(-5/-5)))*(69.12-(69.12/(-5*69.12))))-(-5/-5)))))</f>
        <v>1641764.92384</v>
      </c>
      <c r="C16913" t="n" s="0">
        <v>1641764.9238400003</v>
      </c>
    </row>
    <row r="16914">
      <c r="A16914" t="n" s="0">
        <v>69.13</v>
      </c>
      <c r="B16914" t="n" s="0">
        <f>(-5-((((-5*(-5/((-5/(((-5*(69.13--5))-(-5+((-5*69.13)*(((-5--5)+(69.13--5))+69.13))))-(-5+-5)))*-5)))/-5)--5)+(-5*(((69.13*(69.13-(-5/-5)))*(69.13-(69.13/(-5*69.13))))-(-5/-5)))))</f>
        <v>1642478.928685</v>
      </c>
      <c r="C16914" t="n" s="0">
        <v>1642478.9286849995</v>
      </c>
    </row>
    <row r="16915">
      <c r="A16915" t="n" s="0">
        <v>69.14</v>
      </c>
      <c r="B16915" t="n" s="0">
        <f>(-5-((((-5*(-5/((-5/(((-5*(69.14--5))-(-5+((-5*69.14)*(((-5--5)+(69.14--5))+69.14))))-(-5+-5)))*-5)))/-5)--5)+(-5*(((69.14*(69.14-(-5/-5)))*(69.14-(69.14/(-5*69.14))))-(-5/-5)))))</f>
        <v>1643193.14052</v>
      </c>
      <c r="C16915" t="n" s="0">
        <v>1643193.1405200001</v>
      </c>
    </row>
    <row r="16916">
      <c r="A16916" t="n" s="0">
        <v>69.15</v>
      </c>
      <c r="B16916" t="n" s="0">
        <f>(-5-((((-5*(-5/((-5/(((-5*(69.15--5))-(-5+((-5*69.15)*(((-5--5)+(69.15--5))+69.15))))-(-5+-5)))*-5)))/-5)--5)+(-5*(((69.15*(69.15-(-5/-5)))*(69.15-(69.15/(-5*69.15))))-(-5/-5)))))</f>
        <v>1643907.559375</v>
      </c>
      <c r="C16916" t="n" s="0">
        <v>1643907.5593750002</v>
      </c>
    </row>
    <row r="16917">
      <c r="A16917" t="n" s="0">
        <v>69.16</v>
      </c>
      <c r="B16917" t="n" s="0">
        <f>(-5-((((-5*(-5/((-5/(((-5*(69.16--5))-(-5+((-5*69.16)*(((-5--5)+(69.16--5))+69.16))))-(-5+-5)))*-5)))/-5)--5)+(-5*(((69.16*(69.16-(-5/-5)))*(69.16-(69.16/(-5*69.16))))-(-5/-5)))))</f>
        <v>1644622.1852799999</v>
      </c>
      <c r="C16917" t="n" s="0">
        <v>1644622.1852799999</v>
      </c>
    </row>
    <row r="16918">
      <c r="A16918" t="n" s="0">
        <v>69.17</v>
      </c>
      <c r="B16918" t="n" s="0">
        <f>(-5-((((-5*(-5/((-5/(((-5*(69.17--5))-(-5+((-5*69.17)*(((-5--5)+(69.17--5))+69.17))))-(-5+-5)))*-5)))/-5)--5)+(-5*(((69.17*(69.17-(-5/-5)))*(69.17-(69.17/(-5*69.17))))-(-5/-5)))))</f>
        <v>1645337.0182649998</v>
      </c>
      <c r="C16918" t="n" s="0">
        <v>1645337.018265</v>
      </c>
    </row>
    <row r="16919">
      <c r="A16919" t="n" s="0">
        <v>69.18</v>
      </c>
      <c r="B16919" t="n" s="0">
        <f>(-5-((((-5*(-5/((-5/(((-5*(69.18--5))-(-5+((-5*69.18)*(((-5--5)+(69.18--5))+69.18))))-(-5+-5)))*-5)))/-5)--5)+(-5*(((69.18*(69.18-(-5/-5)))*(69.18-(69.18/(-5*69.18))))-(-5/-5)))))</f>
        <v>1646052.05836</v>
      </c>
      <c r="C16919" t="n" s="0">
        <v>1646052.0583600006</v>
      </c>
    </row>
    <row r="16920">
      <c r="A16920" t="n" s="0">
        <v>69.19</v>
      </c>
      <c r="B16920" t="n" s="0">
        <f>(-5-((((-5*(-5/((-5/(((-5*(69.19--5))-(-5+((-5*69.19)*(((-5--5)+(69.19--5))+69.19))))-(-5+-5)))*-5)))/-5)--5)+(-5*(((69.19*(69.19-(-5/-5)))*(69.19-(69.19/(-5*69.19))))-(-5/-5)))))</f>
        <v>1646767.305595</v>
      </c>
      <c r="C16920" t="n" s="0">
        <v>1646767.3055949998</v>
      </c>
    </row>
    <row r="16921">
      <c r="A16921" t="n" s="0">
        <v>69.2</v>
      </c>
      <c r="B16921" t="n" s="0">
        <f>(-5-((((-5*(-5/((-5/(((-5*(69.2--5))-(-5+((-5*69.2)*(((-5--5)+(69.2--5))+69.2))))-(-5+-5)))*-5)))/-5)--5)+(-5*(((69.2*(69.2-(-5/-5)))*(69.2-(69.2/(-5*69.2))))-(-5/-5)))))</f>
        <v>1647482.76</v>
      </c>
      <c r="C16921" t="n" s="0">
        <v>1647482.7600000002</v>
      </c>
    </row>
    <row r="16922">
      <c r="A16922" t="n" s="0">
        <v>69.21</v>
      </c>
      <c r="B16922" t="n" s="0">
        <f>(-5-((((-5*(-5/((-5/(((-5*(69.21--5))-(-5+((-5*69.21)*(((-5--5)+(69.21--5))+69.21))))-(-5+-5)))*-5)))/-5)--5)+(-5*(((69.21*(69.21-(-5/-5)))*(69.21-(69.21/(-5*69.21))))-(-5/-5)))))</f>
        <v>1648198.421605</v>
      </c>
      <c r="C16922" t="n" s="0">
        <v>1648198.4216049993</v>
      </c>
    </row>
    <row r="16923">
      <c r="A16923" t="n" s="0">
        <v>69.22</v>
      </c>
      <c r="B16923" t="n" s="0">
        <f>(-5-((((-5*(-5/((-5/(((-5*(69.22--5))-(-5+((-5*69.22)*(((-5--5)+(69.22--5))+69.22))))-(-5+-5)))*-5)))/-5)--5)+(-5*(((69.22*(69.22-(-5/-5)))*(69.22-(69.22/(-5*69.22))))-(-5/-5)))))</f>
        <v>1648914.2904400001</v>
      </c>
      <c r="C16923" t="n" s="0">
        <v>1648914.29044</v>
      </c>
    </row>
    <row r="16924">
      <c r="A16924" t="n" s="0">
        <v>69.23</v>
      </c>
      <c r="B16924" t="n" s="0">
        <f>(-5-((((-5*(-5/((-5/(((-5*(69.23--5))-(-5+((-5*69.23)*(((-5--5)+(69.23--5))+69.23))))-(-5+-5)))*-5)))/-5)--5)+(-5*(((69.23*(69.23-(-5/-5)))*(69.23-(69.23/(-5*69.23))))-(-5/-5)))))</f>
        <v>1649630.366535</v>
      </c>
      <c r="C16924" t="n" s="0">
        <v>1649630.366535</v>
      </c>
    </row>
    <row r="16925">
      <c r="A16925" t="n" s="0">
        <v>69.24</v>
      </c>
      <c r="B16925" t="n" s="0">
        <f>(-5-((((-5*(-5/((-5/(((-5*(69.24--5))-(-5+((-5*69.24)*(((-5--5)+(69.24--5))+69.24))))-(-5+-5)))*-5)))/-5)--5)+(-5*(((69.24*(69.24-(-5/-5)))*(69.24-(69.24/(-5*69.24))))-(-5/-5)))))</f>
        <v>1650346.64992</v>
      </c>
      <c r="C16925" t="n" s="0">
        <v>1650346.6499199995</v>
      </c>
    </row>
    <row r="16926">
      <c r="A16926" t="n" s="0">
        <v>69.25</v>
      </c>
      <c r="B16926" t="n" s="0">
        <f>(-5-((((-5*(-5/((-5/(((-5*(69.25--5))-(-5+((-5*69.25)*(((-5--5)+(69.25--5))+69.25))))-(-5+-5)))*-5)))/-5)--5)+(-5*(((69.25*(69.25-(-5/-5)))*(69.25-(69.25/(-5*69.25))))-(-5/-5)))))</f>
        <v>1651063.140625</v>
      </c>
      <c r="C16926" t="n" s="0">
        <v>1651063.140625</v>
      </c>
    </row>
    <row r="16927">
      <c r="A16927" t="n" s="0">
        <v>69.26</v>
      </c>
      <c r="B16927" t="n" s="0">
        <f>(-5-((((-5*(-5/((-5/(((-5*(69.26--5))-(-5+((-5*69.26)*(((-5--5)+(69.26--5))+69.26))))-(-5+-5)))*-5)))/-5)--5)+(-5*(((69.26*(69.26-(-5/-5)))*(69.26-(69.26/(-5*69.26))))-(-5/-5)))))</f>
        <v>1651779.83868</v>
      </c>
      <c r="C16927" t="n" s="0">
        <v>1651779.8386800005</v>
      </c>
    </row>
    <row r="16928">
      <c r="A16928" t="n" s="0">
        <v>69.27</v>
      </c>
      <c r="B16928" t="n" s="0">
        <f>(-5-((((-5*(-5/((-5/(((-5*(69.27--5))-(-5+((-5*69.27)*(((-5--5)+(69.27--5))+69.27))))-(-5+-5)))*-5)))/-5)--5)+(-5*(((69.27*(69.27-(-5/-5)))*(69.27-(69.27/(-5*69.27))))-(-5/-5)))))</f>
        <v>1652496.744115</v>
      </c>
      <c r="C16928" t="n" s="0">
        <v>1652496.7441149997</v>
      </c>
    </row>
    <row r="16929">
      <c r="A16929" t="n" s="0">
        <v>69.28</v>
      </c>
      <c r="B16929" t="n" s="0">
        <f>(-5-((((-5*(-5/((-5/(((-5*(69.28--5))-(-5+((-5*69.28)*(((-5--5)+(69.28--5))+69.28))))-(-5+-5)))*-5)))/-5)--5)+(-5*(((69.28*(69.28-(-5/-5)))*(69.28-(69.28/(-5*69.28))))-(-5/-5)))))</f>
        <v>1653213.85696</v>
      </c>
      <c r="C16929" t="n" s="0">
        <v>1653213.85696</v>
      </c>
    </row>
    <row r="16930">
      <c r="A16930" t="n" s="0">
        <v>69.29</v>
      </c>
      <c r="B16930" t="n" s="0">
        <f>(-5-((((-5*(-5/((-5/(((-5*(69.29--5))-(-5+((-5*69.29)*(((-5--5)+(69.29--5))+69.29))))-(-5+-5)))*-5)))/-5)--5)+(-5*(((69.29*(69.29-(-5/-5)))*(69.29-(69.29/(-5*69.29))))-(-5/-5)))))</f>
        <v>1653931.1772450001</v>
      </c>
      <c r="C16930" t="n" s="0">
        <v>1653931.1772450004</v>
      </c>
    </row>
    <row r="16931">
      <c r="A16931" t="n" s="0">
        <v>69.3</v>
      </c>
      <c r="B16931" t="n" s="0">
        <f>(-5-((((-5*(-5/((-5/(((-5*(69.3--5))-(-5+((-5*69.3)*(((-5--5)+(69.3--5))+69.3))))-(-5+-5)))*-5)))/-5)--5)+(-5*(((69.3*(69.3-(-5/-5)))*(69.3-(69.3/(-5*69.3))))-(-5/-5)))))</f>
        <v>1654648.7049999998</v>
      </c>
      <c r="C16931" t="n" s="0">
        <v>1654648.7049999998</v>
      </c>
    </row>
    <row r="16932">
      <c r="A16932" t="n" s="0">
        <v>69.31</v>
      </c>
      <c r="B16932" t="n" s="0">
        <f>(-5-((((-5*(-5/((-5/(((-5*(69.31--5))-(-5+((-5*69.31)*(((-5--5)+(69.31--5))+69.31))))-(-5+-5)))*-5)))/-5)--5)+(-5*(((69.31*(69.31-(-5/-5)))*(69.31-(69.31/(-5*69.31))))-(-5/-5)))))</f>
        <v>1655366.440255</v>
      </c>
      <c r="C16932" t="n" s="0">
        <v>1655366.440255</v>
      </c>
    </row>
    <row r="16933">
      <c r="A16933" t="n" s="0">
        <v>69.32</v>
      </c>
      <c r="B16933" t="n" s="0">
        <f>(-5-((((-5*(-5/((-5/(((-5*(69.32--5))-(-5+((-5*69.32)*(((-5--5)+(69.32--5))+69.32))))-(-5+-5)))*-5)))/-5)--5)+(-5*(((69.32*(69.32-(-5/-5)))*(69.32-(69.32/(-5*69.32))))-(-5/-5)))))</f>
        <v>1656084.38304</v>
      </c>
      <c r="C16933" t="n" s="0">
        <v>1656084.3830399995</v>
      </c>
    </row>
    <row r="16934">
      <c r="A16934" t="n" s="0">
        <v>69.33</v>
      </c>
      <c r="B16934" t="n" s="0">
        <f>(-5-((((-5*(-5/((-5/(((-5*(69.33--5))-(-5+((-5*69.33)*(((-5--5)+(69.33--5))+69.33))))-(-5+-5)))*-5)))/-5)--5)+(-5*(((69.33*(69.33-(-5/-5)))*(69.33-(69.33/(-5*69.33))))-(-5/-5)))))</f>
        <v>1656802.5333850002</v>
      </c>
      <c r="C16934" t="n" s="0">
        <v>1656802.533385</v>
      </c>
    </row>
    <row r="16935">
      <c r="A16935" t="n" s="0">
        <v>69.34</v>
      </c>
      <c r="B16935" t="n" s="0">
        <f>(-5-((((-5*(-5/((-5/(((-5*(69.34--5))-(-5+((-5*69.34)*(((-5--5)+(69.34--5))+69.34))))-(-5+-5)))*-5)))/-5)--5)+(-5*(((69.34*(69.34-(-5/-5)))*(69.34-(69.34/(-5*69.34))))-(-5/-5)))))</f>
        <v>1657520.89132</v>
      </c>
      <c r="C16935" t="n" s="0">
        <v>1657520.8913200006</v>
      </c>
    </row>
    <row r="16936">
      <c r="A16936" t="n" s="0">
        <v>69.35</v>
      </c>
      <c r="B16936" t="n" s="0">
        <f>(-5-((((-5*(-5/((-5/(((-5*(69.35--5))-(-5+((-5*69.35)*(((-5--5)+(69.35--5))+69.35))))-(-5+-5)))*-5)))/-5)--5)+(-5*(((69.35*(69.35-(-5/-5)))*(69.35-(69.35/(-5*69.35))))-(-5/-5)))))</f>
        <v>1658239.4568750001</v>
      </c>
      <c r="C16936" t="n" s="0">
        <v>1658239.4568749997</v>
      </c>
    </row>
    <row r="16937">
      <c r="A16937" t="n" s="0">
        <v>69.36</v>
      </c>
      <c r="B16937" t="n" s="0">
        <f>(-5-((((-5*(-5/((-5/(((-5*(69.36--5))-(-5+((-5*69.36)*(((-5--5)+(69.36--5))+69.36))))-(-5+-5)))*-5)))/-5)--5)+(-5*(((69.36*(69.36-(-5/-5)))*(69.36-(69.36/(-5*69.36))))-(-5/-5)))))</f>
        <v>1658958.2300800001</v>
      </c>
      <c r="C16937" t="n" s="0">
        <v>1658958.23008</v>
      </c>
    </row>
    <row r="16938">
      <c r="A16938" t="n" s="0">
        <v>69.37</v>
      </c>
      <c r="B16938" t="n" s="0">
        <f>(-5-((((-5*(-5/((-5/(((-5*(69.37--5))-(-5+((-5*69.37)*(((-5--5)+(69.37--5))+69.37))))-(-5+-5)))*-5)))/-5)--5)+(-5*(((69.37*(69.37-(-5/-5)))*(69.37-(69.37/(-5*69.37))))-(-5/-5)))))</f>
        <v>1659677.2109649999</v>
      </c>
      <c r="C16938" t="n" s="0">
        <v>1659677.2109650003</v>
      </c>
    </row>
    <row r="16939">
      <c r="A16939" t="n" s="0">
        <v>69.38</v>
      </c>
      <c r="B16939" t="n" s="0">
        <f>(-5-((((-5*(-5/((-5/(((-5*(69.38--5))-(-5+((-5*69.38)*(((-5--5)+(69.38--5))+69.38))))-(-5+-5)))*-5)))/-5)--5)+(-5*(((69.38*(69.38-(-5/-5)))*(69.38-(69.38/(-5*69.38))))-(-5/-5)))))</f>
        <v>1660396.39956</v>
      </c>
      <c r="C16939" t="n" s="0">
        <v>1660396.3995599994</v>
      </c>
    </row>
    <row r="16940">
      <c r="A16940" t="n" s="0">
        <v>69.39</v>
      </c>
      <c r="B16940" t="n" s="0">
        <f>(-5-((((-5*(-5/((-5/(((-5*(69.39--5))-(-5+((-5*69.39)*(((-5--5)+(69.39--5))+69.39))))-(-5+-5)))*-5)))/-5)--5)+(-5*(((69.39*(69.39-(-5/-5)))*(69.39-(69.39/(-5*69.39))))-(-5/-5)))))</f>
        <v>1661115.795895</v>
      </c>
      <c r="C16940" t="n" s="0">
        <v>1661115.795895</v>
      </c>
    </row>
    <row r="16941">
      <c r="A16941" t="n" s="0">
        <v>69.4</v>
      </c>
      <c r="B16941" t="n" s="0">
        <f>(-5-((((-5*(-5/((-5/(((-5*(69.4--5))-(-5+((-5*69.4)*(((-5--5)+(69.4--5))+69.4))))-(-5+-5)))*-5)))/-5)--5)+(-5*(((69.4*(69.4-(-5/-5)))*(69.4-(69.4/(-5*69.4))))-(-5/-5)))))</f>
        <v>1661835.4000000001</v>
      </c>
      <c r="C16941" t="n" s="0">
        <v>1661835.4000000004</v>
      </c>
    </row>
    <row r="16942">
      <c r="A16942" t="n" s="0">
        <v>69.41</v>
      </c>
      <c r="B16942" t="n" s="0">
        <f>(-5-((((-5*(-5/((-5/(((-5*(69.41--5))-(-5+((-5*69.41)*(((-5--5)+(69.41--5))+69.41))))-(-5+-5)))*-5)))/-5)--5)+(-5*(((69.41*(69.41-(-5/-5)))*(69.41-(69.41/(-5*69.41))))-(-5/-5)))))</f>
        <v>1662555.211905</v>
      </c>
      <c r="C16942" t="n" s="0">
        <v>1662555.2119049998</v>
      </c>
    </row>
    <row r="16943">
      <c r="A16943" t="n" s="0">
        <v>69.42</v>
      </c>
      <c r="B16943" t="n" s="0">
        <f>(-5-((((-5*(-5/((-5/(((-5*(69.42--5))-(-5+((-5*69.42)*(((-5--5)+(69.42--5))+69.42))))-(-5+-5)))*-5)))/-5)--5)+(-5*(((69.42*(69.42-(-5/-5)))*(69.42-(69.42/(-5*69.42))))-(-5/-5)))))</f>
        <v>1663275.2316400001</v>
      </c>
      <c r="C16943" t="n" s="0">
        <v>1663275.2316400004</v>
      </c>
    </row>
    <row r="16944">
      <c r="A16944" t="n" s="0">
        <v>69.43</v>
      </c>
      <c r="B16944" t="n" s="0">
        <f>(-5-((((-5*(-5/((-5/(((-5*(69.43--5))-(-5+((-5*69.43)*(((-5--5)+(69.43--5))+69.43))))-(-5+-5)))*-5)))/-5)--5)+(-5*(((69.43*(69.43-(-5/-5)))*(69.43-(69.43/(-5*69.43))))-(-5/-5)))))</f>
        <v>1663995.459235</v>
      </c>
      <c r="C16944" t="n" s="0">
        <v>1663995.4592350007</v>
      </c>
    </row>
    <row r="16945">
      <c r="A16945" t="n" s="0">
        <v>69.44</v>
      </c>
      <c r="B16945" t="n" s="0">
        <f>(-5-((((-5*(-5/((-5/(((-5*(69.44--5))-(-5+((-5*69.44)*(((-5--5)+(69.44--5))+69.44))))-(-5+-5)))*-5)))/-5)--5)+(-5*(((69.44*(69.44-(-5/-5)))*(69.44-(69.44/(-5*69.44))))-(-5/-5)))))</f>
        <v>1664715.89472</v>
      </c>
      <c r="C16945" t="n" s="0">
        <v>1664715.8947199997</v>
      </c>
    </row>
    <row r="16946">
      <c r="A16946" t="n" s="0">
        <v>69.45</v>
      </c>
      <c r="B16946" t="n" s="0">
        <f>(-5-((((-5*(-5/((-5/(((-5*(69.45--5))-(-5+((-5*69.45)*(((-5--5)+(69.45--5))+69.45))))-(-5+-5)))*-5)))/-5)--5)+(-5*(((69.45*(69.45-(-5/-5)))*(69.45-(69.45/(-5*69.45))))-(-5/-5)))))</f>
        <v>1665436.538125</v>
      </c>
      <c r="C16946" t="n" s="0">
        <v>1665436.5381250004</v>
      </c>
    </row>
    <row r="16947">
      <c r="A16947" t="n" s="0">
        <v>69.46</v>
      </c>
      <c r="B16947" t="n" s="0">
        <f>(-5-((((-5*(-5/((-5/(((-5*(69.46--5))-(-5+((-5*69.46)*(((-5--5)+(69.46--5))+69.46))))-(-5+-5)))*-5)))/-5)--5)+(-5*(((69.46*(69.46-(-5/-5)))*(69.46-(69.46/(-5*69.46))))-(-5/-5)))))</f>
        <v>1666157.3894800001</v>
      </c>
      <c r="C16947" t="n" s="0">
        <v>1666157.3894799994</v>
      </c>
    </row>
    <row r="16948">
      <c r="A16948" t="n" s="0">
        <v>69.47</v>
      </c>
      <c r="B16948" t="n" s="0">
        <f>(-5-((((-5*(-5/((-5/(((-5*(69.47--5))-(-5+((-5*69.47)*(((-5--5)+(69.47--5))+69.47))))-(-5+-5)))*-5)))/-5)--5)+(-5*(((69.47*(69.47-(-5/-5)))*(69.47-(69.47/(-5*69.47))))-(-5/-5)))))</f>
        <v>1666878.448815</v>
      </c>
      <c r="C16948" t="n" s="0">
        <v>1666878.448815</v>
      </c>
    </row>
    <row r="16949">
      <c r="A16949" t="n" s="0">
        <v>69.48</v>
      </c>
      <c r="B16949" t="n" s="0">
        <f>(-5-((((-5*(-5/((-5/(((-5*(69.48--5))-(-5+((-5*69.48)*(((-5--5)+(69.48--5))+69.48))))-(-5+-5)))*-5)))/-5)--5)+(-5*(((69.48*(69.48-(-5/-5)))*(69.48-(69.48/(-5*69.48))))-(-5/-5)))))</f>
        <v>1667599.7161599998</v>
      </c>
      <c r="C16949" t="n" s="0">
        <v>1667599.7161600003</v>
      </c>
    </row>
    <row r="16950">
      <c r="A16950" t="n" s="0">
        <v>69.49</v>
      </c>
      <c r="B16950" t="n" s="0">
        <f>(-5-((((-5*(-5/((-5/(((-5*(69.49--5))-(-5+((-5*69.49)*(((-5--5)+(69.49--5))+69.49))))-(-5+-5)))*-5)))/-5)--5)+(-5*(((69.49*(69.49-(-5/-5)))*(69.49-(69.49/(-5*69.49))))-(-5/-5)))))</f>
        <v>1668321.191545</v>
      </c>
      <c r="C16950" t="n" s="0">
        <v>1668321.1915449996</v>
      </c>
    </row>
    <row r="16951">
      <c r="A16951" t="n" s="0">
        <v>69.5</v>
      </c>
      <c r="B16951" t="n" s="0">
        <f>(-5-((((-5*(-5/((-5/(((-5*(69.5--5))-(-5+((-5*69.5)*(((-5--5)+(69.5--5))+69.5))))-(-5+-5)))*-5)))/-5)--5)+(-5*(((69.5*(69.5-(-5/-5)))*(69.5-(69.5/(-5*69.5))))-(-5/-5)))))</f>
        <v>1669042.875</v>
      </c>
      <c r="C16951" t="n" s="0">
        <v>1669042.875</v>
      </c>
    </row>
    <row r="16952">
      <c r="A16952" t="n" s="0">
        <v>69.51</v>
      </c>
      <c r="B16952" t="n" s="0">
        <f>(-5-((((-5*(-5/((-5/(((-5*(69.51--5))-(-5+((-5*69.51)*(((-5--5)+(69.51--5))+69.51))))-(-5+-5)))*-5)))/-5)--5)+(-5*(((69.51*(69.51-(-5/-5)))*(69.51-(69.51/(-5*69.51))))-(-5/-5)))))</f>
        <v>1669764.7665549999</v>
      </c>
      <c r="C16952" t="n" s="0">
        <v>1669764.7665550003</v>
      </c>
    </row>
    <row r="16953">
      <c r="A16953" t="n" s="0">
        <v>69.52</v>
      </c>
      <c r="B16953" t="n" s="0">
        <f>(-5-((((-5*(-5/((-5/(((-5*(69.52--5))-(-5+((-5*69.52)*(((-5--5)+(69.52--5))+69.52))))-(-5+-5)))*-5)))/-5)--5)+(-5*(((69.52*(69.52-(-5/-5)))*(69.52-(69.52/(-5*69.52))))-(-5/-5)))))</f>
        <v>1670486.86624</v>
      </c>
      <c r="C16953" t="n" s="0">
        <v>1670486.8662399997</v>
      </c>
    </row>
    <row r="16954">
      <c r="A16954" t="n" s="0">
        <v>69.53</v>
      </c>
      <c r="B16954" t="n" s="0">
        <f>(-5-((((-5*(-5/((-5/(((-5*(69.53--5))-(-5+((-5*69.53)*(((-5--5)+(69.53--5))+69.53))))-(-5+-5)))*-5)))/-5)--5)+(-5*(((69.53*(69.53-(-5/-5)))*(69.53-(69.53/(-5*69.53))))-(-5/-5)))))</f>
        <v>1671209.1740849998</v>
      </c>
      <c r="C16954" t="n" s="0">
        <v>1671209.1740850003</v>
      </c>
    </row>
    <row r="16955">
      <c r="A16955" t="n" s="0">
        <v>69.54</v>
      </c>
      <c r="B16955" t="n" s="0">
        <f>(-5-((((-5*(-5/((-5/(((-5*(69.54--5))-(-5+((-5*69.54)*(((-5--5)+(69.54--5))+69.54))))-(-5+-5)))*-5)))/-5)--5)+(-5*(((69.54*(69.54-(-5/-5)))*(69.54-(69.54/(-5*69.54))))-(-5/-5)))))</f>
        <v>1671931.69012</v>
      </c>
      <c r="C16955" t="n" s="0">
        <v>1671931.6901200006</v>
      </c>
    </row>
    <row r="16956">
      <c r="A16956" t="n" s="0">
        <v>69.55</v>
      </c>
      <c r="B16956" t="n" s="0">
        <f>(-5-((((-5*(-5/((-5/(((-5*(69.55--5))-(-5+((-5*69.55)*(((-5--5)+(69.55--5))+69.55))))-(-5+-5)))*-5)))/-5)--5)+(-5*(((69.55*(69.55-(-5/-5)))*(69.55-(69.55/(-5*69.55))))-(-5/-5)))))</f>
        <v>1672654.414375</v>
      </c>
      <c r="C16956" t="n" s="0">
        <v>1672654.4143749995</v>
      </c>
    </row>
    <row r="16957">
      <c r="A16957" t="n" s="0">
        <v>69.56</v>
      </c>
      <c r="B16957" t="n" s="0">
        <f>(-5-((((-5*(-5/((-5/(((-5*(69.56--5))-(-5+((-5*69.56)*(((-5--5)+(69.56--5))+69.56))))-(-5+-5)))*-5)))/-5)--5)+(-5*(((69.56*(69.56-(-5/-5)))*(69.56-(69.56/(-5*69.56))))-(-5/-5)))))</f>
        <v>1673377.34688</v>
      </c>
      <c r="C16957" t="n" s="0">
        <v>1673377.34688</v>
      </c>
    </row>
    <row r="16958">
      <c r="A16958" t="n" s="0">
        <v>69.57</v>
      </c>
      <c r="B16958" t="n" s="0">
        <f>(-5-((((-5*(-5/((-5/(((-5*(69.57--5))-(-5+((-5*69.57)*(((-5--5)+(69.57--5))+69.57))))-(-5+-5)))*-5)))/-5)--5)+(-5*(((69.57*(69.57-(-5/-5)))*(69.57-(69.57/(-5*69.57))))-(-5/-5)))))</f>
        <v>1674100.4876650001</v>
      </c>
      <c r="C16958" t="n" s="0">
        <v>1674100.4876649994</v>
      </c>
    </row>
    <row r="16959">
      <c r="A16959" t="n" s="0">
        <v>69.58</v>
      </c>
      <c r="B16959" t="n" s="0">
        <f>(-5-((((-5*(-5/((-5/(((-5*(69.58--5))-(-5+((-5*69.58)*(((-5--5)+(69.58--5))+69.58))))-(-5+-5)))*-5)))/-5)--5)+(-5*(((69.58*(69.58-(-5/-5)))*(69.58-(69.58/(-5*69.58))))-(-5/-5)))))</f>
        <v>1674823.8367599999</v>
      </c>
      <c r="C16959" t="n" s="0">
        <v>1674823.83676</v>
      </c>
    </row>
    <row r="16960">
      <c r="A16960" t="n" s="0">
        <v>69.59</v>
      </c>
      <c r="B16960" t="n" s="0">
        <f>(-5-((((-5*(-5/((-5/(((-5*(69.59--5))-(-5+((-5*69.59)*(((-5--5)+(69.59--5))+69.59))))-(-5+-5)))*-5)))/-5)--5)+(-5*(((69.59*(69.59-(-5/-5)))*(69.59-(69.59/(-5*69.59))))-(-5/-5)))))</f>
        <v>1675547.3941950002</v>
      </c>
      <c r="C16960" t="n" s="0">
        <v>1675547.3941950002</v>
      </c>
    </row>
    <row r="16961">
      <c r="A16961" t="n" s="0">
        <v>69.6</v>
      </c>
      <c r="B16961" t="n" s="0">
        <f>(-5-((((-5*(-5/((-5/(((-5*(69.6--5))-(-5+((-5*69.6)*(((-5--5)+(69.6--5))+69.6))))-(-5+-5)))*-5)))/-5)--5)+(-5*(((69.6*(69.6-(-5/-5)))*(69.6-(69.6/(-5*69.6))))-(-5/-5)))))</f>
        <v>1676271.16</v>
      </c>
      <c r="C16961" t="n" s="0">
        <v>1676271.1599999995</v>
      </c>
    </row>
    <row r="16962">
      <c r="A16962" t="n" s="0">
        <v>69.61</v>
      </c>
      <c r="B16962" t="n" s="0">
        <f>(-5-((((-5*(-5/((-5/(((-5*(69.61--5))-(-5+((-5*69.61)*(((-5--5)+(69.61--5))+69.61))))-(-5+-5)))*-5)))/-5)--5)+(-5*(((69.61*(69.61-(-5/-5)))*(69.61-(69.61/(-5*69.61))))-(-5/-5)))))</f>
        <v>1676995.1342049998</v>
      </c>
      <c r="C16962" t="n" s="0">
        <v>1676995.134205</v>
      </c>
    </row>
    <row r="16963">
      <c r="A16963" t="n" s="0">
        <v>69.62</v>
      </c>
      <c r="B16963" t="n" s="0">
        <f>(-5-((((-5*(-5/((-5/(((-5*(69.62--5))-(-5+((-5*69.62)*(((-5--5)+(69.62--5))+69.62))))-(-5+-5)))*-5)))/-5)--5)+(-5*(((69.62*(69.62-(-5/-5)))*(69.62-(69.62/(-5*69.62))))-(-5/-5)))))</f>
        <v>1677719.31684</v>
      </c>
      <c r="C16963" t="n" s="0">
        <v>1677719.3168400005</v>
      </c>
    </row>
    <row r="16964">
      <c r="A16964" t="n" s="0">
        <v>69.63</v>
      </c>
      <c r="B16964" t="n" s="0">
        <f>(-5-((((-5*(-5/((-5/(((-5*(69.63--5))-(-5+((-5*69.63)*(((-5--5)+(69.63--5))+69.63))))-(-5+-5)))*-5)))/-5)--5)+(-5*(((69.63*(69.63-(-5/-5)))*(69.63-(69.63/(-5*69.63))))-(-5/-5)))))</f>
        <v>1678443.707935</v>
      </c>
      <c r="C16964" t="n" s="0">
        <v>1678443.7079349996</v>
      </c>
    </row>
    <row r="16965">
      <c r="A16965" t="n" s="0">
        <v>69.64</v>
      </c>
      <c r="B16965" t="n" s="0">
        <f>(-5-((((-5*(-5/((-5/(((-5*(69.64--5))-(-5+((-5*69.64)*(((-5--5)+(69.64--5))+69.64))))-(-5+-5)))*-5)))/-5)--5)+(-5*(((69.64*(69.64-(-5/-5)))*(69.64-(69.64/(-5*69.64))))-(-5/-5)))))</f>
        <v>1679168.30752</v>
      </c>
      <c r="C16965" t="n" s="0">
        <v>1679168.30752</v>
      </c>
    </row>
    <row r="16966">
      <c r="A16966" t="n" s="0">
        <v>69.65</v>
      </c>
      <c r="B16966" t="n" s="0">
        <f>(-5-((((-5*(-5/((-5/(((-5*(69.65--5))-(-5+((-5*69.65)*(((-5--5)+(69.65--5))+69.65))))-(-5+-5)))*-5)))/-5)--5)+(-5*(((69.65*(69.65-(-5/-5)))*(69.65-(69.65/(-5*69.65))))-(-5/-5)))))</f>
        <v>1679893.1156249999</v>
      </c>
      <c r="C16966" t="n" s="0">
        <v>1679893.1156250003</v>
      </c>
    </row>
    <row r="16967">
      <c r="A16967" t="n" s="0">
        <v>69.66</v>
      </c>
      <c r="B16967" t="n" s="0">
        <f>(-5-((((-5*(-5/((-5/(((-5*(69.66--5))-(-5+((-5*69.66)*(((-5--5)+(69.66--5))+69.66))))-(-5+-5)))*-5)))/-5)--5)+(-5*(((69.66*(69.66-(-5/-5)))*(69.66-(69.66/(-5*69.66))))-(-5/-5)))))</f>
        <v>1680618.13228</v>
      </c>
      <c r="C16967" t="n" s="0">
        <v>1680618.1322799998</v>
      </c>
    </row>
    <row r="16968">
      <c r="A16968" t="n" s="0">
        <v>69.67</v>
      </c>
      <c r="B16968" t="n" s="0">
        <f>(-5-((((-5*(-5/((-5/(((-5*(69.67--5))-(-5+((-5*69.67)*(((-5--5)+(69.67--5))+69.67))))-(-5+-5)))*-5)))/-5)--5)+(-5*(((69.67*(69.67-(-5/-5)))*(69.67-(69.67/(-5*69.67))))-(-5/-5)))))</f>
        <v>1681343.357515</v>
      </c>
      <c r="C16968" t="n" s="0">
        <v>1681343.3575149998</v>
      </c>
    </row>
    <row r="16969">
      <c r="A16969" t="n" s="0">
        <v>69.68</v>
      </c>
      <c r="B16969" t="n" s="0">
        <f>(-5-((((-5*(-5/((-5/(((-5*(69.68--5))-(-5+((-5*69.68)*(((-5--5)+(69.68--5))+69.68))))-(-5+-5)))*-5)))/-5)--5)+(-5*(((69.68*(69.68-(-5/-5)))*(69.68-(69.68/(-5*69.68))))-(-5/-5)))))</f>
        <v>1682068.7913600001</v>
      </c>
      <c r="C16969" t="n" s="0">
        <v>1682068.7913600004</v>
      </c>
    </row>
    <row r="16970">
      <c r="A16970" t="n" s="0">
        <v>69.69</v>
      </c>
      <c r="B16970" t="n" s="0">
        <f>(-5-((((-5*(-5/((-5/(((-5*(69.69--5))-(-5+((-5*69.69)*(((-5--5)+(69.69--5))+69.69))))-(-5+-5)))*-5)))/-5)--5)+(-5*(((69.69*(69.69-(-5/-5)))*(69.69-(69.69/(-5*69.69))))-(-5/-5)))))</f>
        <v>1682794.4338449999</v>
      </c>
      <c r="C16970" t="n" s="0">
        <v>1682794.433845</v>
      </c>
    </row>
    <row r="16971">
      <c r="A16971" t="n" s="0">
        <v>69.7</v>
      </c>
      <c r="B16971" t="n" s="0">
        <f>(-5-((((-5*(-5/((-5/(((-5*(69.7--5))-(-5+((-5*69.7)*(((-5--5)+(69.7--5))+69.7))))-(-5+-5)))*-5)))/-5)--5)+(-5*(((69.7*(69.7-(-5/-5)))*(69.7-(69.7/(-5*69.7))))-(-5/-5)))))</f>
        <v>1683520.285</v>
      </c>
      <c r="C16971" t="n" s="0">
        <v>1683520.2850000004</v>
      </c>
    </row>
    <row r="16972">
      <c r="A16972" t="n" s="0">
        <v>69.71</v>
      </c>
      <c r="B16972" t="n" s="0">
        <f>(-5-((((-5*(-5/((-5/(((-5*(69.71--5))-(-5+((-5*69.71)*(((-5--5)+(69.71--5))+69.71))))-(-5+-5)))*-5)))/-5)--5)+(-5*(((69.71*(69.71-(-5/-5)))*(69.71-(69.71/(-5*69.71))))-(-5/-5)))))</f>
        <v>1684246.344855</v>
      </c>
      <c r="C16972" t="n" s="0">
        <v>1684246.3448549996</v>
      </c>
    </row>
    <row r="16973">
      <c r="A16973" t="n" s="0">
        <v>69.72</v>
      </c>
      <c r="B16973" t="n" s="0">
        <f>(-5-((((-5*(-5/((-5/(((-5*(69.72--5))-(-5+((-5*69.72)*(((-5--5)+(69.72--5))+69.72))))-(-5+-5)))*-5)))/-5)--5)+(-5*(((69.72*(69.72-(-5/-5)))*(69.72-(69.72/(-5*69.72))))-(-5/-5)))))</f>
        <v>1684972.61344</v>
      </c>
      <c r="C16973" t="n" s="0">
        <v>1684972.6134399998</v>
      </c>
    </row>
    <row r="16974">
      <c r="A16974" t="n" s="0">
        <v>69.73</v>
      </c>
      <c r="B16974" t="n" s="0">
        <f>(-5-((((-5*(-5/((-5/(((-5*(69.73--5))-(-5+((-5*69.73)*(((-5--5)+(69.73--5))+69.73))))-(-5+-5)))*-5)))/-5)--5)+(-5*(((69.73*(69.73-(-5/-5)))*(69.73-(69.73/(-5*69.73))))-(-5/-5)))))</f>
        <v>1685699.0907849998</v>
      </c>
      <c r="C16974" t="n" s="0">
        <v>1685699.0907850005</v>
      </c>
    </row>
    <row r="16975">
      <c r="A16975" t="n" s="0">
        <v>69.74</v>
      </c>
      <c r="B16975" t="n" s="0">
        <f>(-5-((((-5*(-5/((-5/(((-5*(69.74--5))-(-5+((-5*69.74)*(((-5--5)+(69.74--5))+69.74))))-(-5+-5)))*-5)))/-5)--5)+(-5*(((69.74*(69.74-(-5/-5)))*(69.74-(69.74/(-5*69.74))))-(-5/-5)))))</f>
        <v>1686425.77692</v>
      </c>
      <c r="C16975" t="n" s="0">
        <v>1686425.7769199994</v>
      </c>
    </row>
    <row r="16976">
      <c r="A16976" t="n" s="0">
        <v>69.75</v>
      </c>
      <c r="B16976" t="n" s="0">
        <f>(-5-((((-5*(-5/((-5/(((-5*(69.75--5))-(-5+((-5*69.75)*(((-5--5)+(69.75--5))+69.75))))-(-5+-5)))*-5)))/-5)--5)+(-5*(((69.75*(69.75-(-5/-5)))*(69.75-(69.75/(-5*69.75))))-(-5/-5)))))</f>
        <v>1687152.671875</v>
      </c>
      <c r="C16976" t="n" s="0">
        <v>1687152.671875</v>
      </c>
    </row>
    <row r="16977">
      <c r="A16977" t="n" s="0">
        <v>69.76</v>
      </c>
      <c r="B16977" t="n" s="0">
        <f>(-5-((((-5*(-5/((-5/(((-5*(69.76--5))-(-5+((-5*69.76)*(((-5--5)+(69.76--5))+69.76))))-(-5+-5)))*-5)))/-5)--5)+(-5*(((69.76*(69.76-(-5/-5)))*(69.76-(69.76/(-5*69.76))))-(-5/-5)))))</f>
        <v>1687879.77568</v>
      </c>
      <c r="C16977" t="n" s="0">
        <v>1687879.7756800004</v>
      </c>
    </row>
    <row r="16978">
      <c r="A16978" t="n" s="0">
        <v>69.77</v>
      </c>
      <c r="B16978" t="n" s="0">
        <f>(-5-((((-5*(-5/((-5/(((-5*(69.77--5))-(-5+((-5*69.77)*(((-5--5)+(69.77--5))+69.77))))-(-5+-5)))*-5)))/-5)--5)+(-5*(((69.77*(69.77-(-5/-5)))*(69.77-(69.77/(-5*69.77))))-(-5/-5)))))</f>
        <v>1688607.088365</v>
      </c>
      <c r="C16978" t="n" s="0">
        <v>1688607.0883649997</v>
      </c>
    </row>
    <row r="16979">
      <c r="A16979" t="n" s="0">
        <v>69.78</v>
      </c>
      <c r="B16979" t="n" s="0">
        <f>(-5-((((-5*(-5/((-5/(((-5*(69.78--5))-(-5+((-5*69.78)*(((-5--5)+(69.78--5))+69.78))))-(-5+-5)))*-5)))/-5)--5)+(-5*(((69.78*(69.78-(-5/-5)))*(69.78-(69.78/(-5*69.78))))-(-5/-5)))))</f>
        <v>1689334.60996</v>
      </c>
      <c r="C16979" t="n" s="0">
        <v>1689334.60996</v>
      </c>
    </row>
    <row r="16980">
      <c r="A16980" t="n" s="0">
        <v>69.79</v>
      </c>
      <c r="B16980" t="n" s="0">
        <f>(-5-((((-5*(-5/((-5/(((-5*(69.79--5))-(-5+((-5*69.79)*(((-5--5)+(69.79--5))+69.79))))-(-5+-5)))*-5)))/-5)--5)+(-5*(((69.79*(69.79-(-5/-5)))*(69.79-(69.79/(-5*69.79))))-(-5/-5)))))</f>
        <v>1690062.340495</v>
      </c>
      <c r="C16980" t="n" s="0">
        <v>1690062.3404950004</v>
      </c>
    </row>
    <row r="16981">
      <c r="A16981" t="n" s="0">
        <v>69.8</v>
      </c>
      <c r="B16981" t="n" s="0">
        <f>(-5-((((-5*(-5/((-5/(((-5*(69.8--5))-(-5+((-5*69.8)*(((-5--5)+(69.8--5))+69.8))))-(-5+-5)))*-5)))/-5)--5)+(-5*(((69.8*(69.8-(-5/-5)))*(69.8-(69.8/(-5*69.8))))-(-5/-5)))))</f>
        <v>1690790.28</v>
      </c>
      <c r="C16981" t="n" s="0">
        <v>1690790.2799999996</v>
      </c>
    </row>
    <row r="16982">
      <c r="A16982" t="n" s="0">
        <v>69.81</v>
      </c>
      <c r="B16982" t="n" s="0">
        <f>(-5-((((-5*(-5/((-5/(((-5*(69.81--5))-(-5+((-5*69.81)*(((-5--5)+(69.81--5))+69.81))))-(-5+-5)))*-5)))/-5)--5)+(-5*(((69.81*(69.81-(-5/-5)))*(69.81-(69.81/(-5*69.81))))-(-5/-5)))))</f>
        <v>1691518.4285050002</v>
      </c>
      <c r="C16982" t="n" s="0">
        <v>1691518.428505</v>
      </c>
    </row>
    <row r="16983">
      <c r="A16983" t="n" s="0">
        <v>69.82</v>
      </c>
      <c r="B16983" t="n" s="0">
        <f>(-5-((((-5*(-5/((-5/(((-5*(69.82--5))-(-5+((-5*69.82)*(((-5--5)+(69.82--5))+69.82))))-(-5+-5)))*-5)))/-5)--5)+(-5*(((69.82*(69.82-(-5/-5)))*(69.82-(69.82/(-5*69.82))))-(-5/-5)))))</f>
        <v>1692246.78604</v>
      </c>
      <c r="C16983" t="n" s="0">
        <v>1692246.7860399995</v>
      </c>
    </row>
    <row r="16984">
      <c r="A16984" t="n" s="0">
        <v>69.83</v>
      </c>
      <c r="B16984" t="n" s="0">
        <f>(-5-((((-5*(-5/((-5/(((-5*(69.83--5))-(-5+((-5*69.83)*(((-5--5)+(69.83--5))+69.83))))-(-5+-5)))*-5)))/-5)--5)+(-5*(((69.83*(69.83-(-5/-5)))*(69.83-(69.83/(-5*69.83))))-(-5/-5)))))</f>
        <v>1692975.3526350001</v>
      </c>
      <c r="C16984" t="n" s="0">
        <v>1692975.352635</v>
      </c>
    </row>
    <row r="16985">
      <c r="A16985" t="n" s="0">
        <v>69.84</v>
      </c>
      <c r="B16985" t="n" s="0">
        <f>(-5-((((-5*(-5/((-5/(((-5*(69.84--5))-(-5+((-5*69.84)*(((-5--5)+(69.84--5))+69.84))))-(-5+-5)))*-5)))/-5)--5)+(-5*(((69.84*(69.84-(-5/-5)))*(69.84-(69.84/(-5*69.84))))-(-5/-5)))))</f>
        <v>1693704.12832</v>
      </c>
      <c r="C16985" t="n" s="0">
        <v>1693704.1283200004</v>
      </c>
    </row>
    <row r="16986">
      <c r="A16986" t="n" s="0">
        <v>69.85</v>
      </c>
      <c r="B16986" t="n" s="0">
        <f>(-5-((((-5*(-5/((-5/(((-5*(69.85--5))-(-5+((-5*69.85)*(((-5--5)+(69.85--5))+69.85))))-(-5+-5)))*-5)))/-5)--5)+(-5*(((69.85*(69.85-(-5/-5)))*(69.85-(69.85/(-5*69.85))))-(-5/-5)))))</f>
        <v>1694433.1131250001</v>
      </c>
      <c r="C16986" t="n" s="0">
        <v>1694433.1131249995</v>
      </c>
    </row>
    <row r="16987">
      <c r="A16987" t="n" s="0">
        <v>69.86</v>
      </c>
      <c r="B16987" t="n" s="0">
        <f>(-5-((((-5*(-5/((-5/(((-5*(69.86--5))-(-5+((-5*69.86)*(((-5--5)+(69.86--5))+69.86))))-(-5+-5)))*-5)))/-5)--5)+(-5*(((69.86*(69.86-(-5/-5)))*(69.86-(69.86/(-5*69.86))))-(-5/-5)))))</f>
        <v>1695162.30708</v>
      </c>
      <c r="C16987" t="n" s="0">
        <v>1695162.30708</v>
      </c>
    </row>
    <row r="16988">
      <c r="A16988" t="n" s="0">
        <v>69.87</v>
      </c>
      <c r="B16988" t="n" s="0">
        <f>(-5-((((-5*(-5/((-5/(((-5*(69.87--5))-(-5+((-5*69.87)*(((-5--5)+(69.87--5))+69.87))))-(-5+-5)))*-5)))/-5)--5)+(-5*(((69.87*(69.87-(-5/-5)))*(69.87-(69.87/(-5*69.87))))-(-5/-5)))))</f>
        <v>1695891.710215</v>
      </c>
      <c r="C16988" t="n" s="0">
        <v>1695891.7102150007</v>
      </c>
    </row>
    <row r="16989">
      <c r="A16989" t="n" s="0">
        <v>69.88</v>
      </c>
      <c r="B16989" t="n" s="0">
        <f>(-5-((((-5*(-5/((-5/(((-5*(69.88--5))-(-5+((-5*69.88)*(((-5--5)+(69.88--5))+69.88))))-(-5+-5)))*-5)))/-5)--5)+(-5*(((69.88*(69.88-(-5/-5)))*(69.88-(69.88/(-5*69.88))))-(-5/-5)))))</f>
        <v>1696621.32256</v>
      </c>
      <c r="C16989" t="n" s="0">
        <v>1696621.3225599993</v>
      </c>
    </row>
    <row r="16990">
      <c r="A16990" t="n" s="0">
        <v>69.89</v>
      </c>
      <c r="B16990" t="n" s="0">
        <f>(-5-((((-5*(-5/((-5/(((-5*(69.89--5))-(-5+((-5*69.89)*(((-5--5)+(69.89--5))+69.89))))-(-5+-5)))*-5)))/-5)--5)+(-5*(((69.89*(69.89-(-5/-5)))*(69.89-(69.89/(-5*69.89))))-(-5/-5)))))</f>
        <v>1697351.144145</v>
      </c>
      <c r="C16990" t="n" s="0">
        <v>1697351.144145</v>
      </c>
    </row>
    <row r="16991">
      <c r="A16991" t="n" s="0">
        <v>69.9</v>
      </c>
      <c r="B16991" t="n" s="0">
        <f>(-5-((((-5*(-5/((-5/(((-5*(69.9--5))-(-5+((-5*69.9)*(((-5--5)+(69.9--5))+69.9))))-(-5+-5)))*-5)))/-5)--5)+(-5*(((69.9*(69.9-(-5/-5)))*(69.9-(69.9/(-5*69.9))))-(-5/-5)))))</f>
        <v>1698081.175</v>
      </c>
      <c r="C16991" t="n" s="0">
        <v>1698081.1750000005</v>
      </c>
    </row>
    <row r="16992">
      <c r="A16992" t="n" s="0">
        <v>69.91</v>
      </c>
      <c r="B16992" t="n" s="0">
        <f>(-5-((((-5*(-5/((-5/(((-5*(69.91--5))-(-5+((-5*69.91)*(((-5--5)+(69.91--5))+69.91))))-(-5+-5)))*-5)))/-5)--5)+(-5*(((69.91*(69.91-(-5/-5)))*(69.91-(69.91/(-5*69.91))))-(-5/-5)))))</f>
        <v>1698811.4151549998</v>
      </c>
      <c r="C16992" t="n" s="0">
        <v>1698811.4151549996</v>
      </c>
    </row>
    <row r="16993">
      <c r="A16993" t="n" s="0">
        <v>69.92</v>
      </c>
      <c r="B16993" t="n" s="0">
        <f>(-5-((((-5*(-5/((-5/(((-5*(69.92--5))-(-5+((-5*69.92)*(((-5--5)+(69.92--5))+69.92))))-(-5+-5)))*-5)))/-5)--5)+(-5*(((69.92*(69.92-(-5/-5)))*(69.92-(69.92/(-5*69.92))))-(-5/-5)))))</f>
        <v>1699541.86464</v>
      </c>
      <c r="C16993" t="n" s="0">
        <v>1699541.8646400003</v>
      </c>
    </row>
    <row r="16994">
      <c r="A16994" t="n" s="0">
        <v>69.93</v>
      </c>
      <c r="B16994" t="n" s="0">
        <f>(-5-((((-5*(-5/((-5/(((-5*(69.93--5))-(-5+((-5*69.93)*(((-5--5)+(69.93--5))+69.93))))-(-5+-5)))*-5)))/-5)--5)+(-5*(((69.93*(69.93-(-5/-5)))*(69.93-(69.93/(-5*69.93))))-(-5/-5)))))</f>
        <v>1700272.523485</v>
      </c>
      <c r="C16994" t="n" s="0">
        <v>1700272.5234850005</v>
      </c>
    </row>
    <row r="16995">
      <c r="A16995" t="n" s="0">
        <v>69.94</v>
      </c>
      <c r="B16995" t="n" s="0">
        <f>(-5-((((-5*(-5/((-5/(((-5*(69.94--5))-(-5+((-5*69.94)*(((-5--5)+(69.94--5))+69.94))))-(-5+-5)))*-5)))/-5)--5)+(-5*(((69.94*(69.94-(-5/-5)))*(69.94-(69.94/(-5*69.94))))-(-5/-5)))))</f>
        <v>1701003.39172</v>
      </c>
      <c r="C16995" t="n" s="0">
        <v>1701003.39172</v>
      </c>
    </row>
    <row r="16996">
      <c r="A16996" t="n" s="0">
        <v>69.95</v>
      </c>
      <c r="B16996" t="n" s="0">
        <f>(-5-((((-5*(-5/((-5/(((-5*(69.95--5))-(-5+((-5*69.95)*(((-5--5)+(69.95--5))+69.95))))-(-5+-5)))*-5)))/-5)--5)+(-5*(((69.95*(69.95-(-5/-5)))*(69.95-(69.95/(-5*69.95))))-(-5/-5)))))</f>
        <v>1701734.4693749999</v>
      </c>
      <c r="C16996" t="n" s="0">
        <v>1701734.4693750006</v>
      </c>
    </row>
    <row r="16997">
      <c r="A16997" t="n" s="0">
        <v>69.96</v>
      </c>
      <c r="B16997" t="n" s="0">
        <f>(-5-((((-5*(-5/((-5/(((-5*(69.96--5))-(-5+((-5*69.96)*(((-5--5)+(69.96--5))+69.96))))-(-5+-5)))*-5)))/-5)--5)+(-5*(((69.96*(69.96-(-5/-5)))*(69.96-(69.96/(-5*69.96))))-(-5/-5)))))</f>
        <v>1702465.75648</v>
      </c>
      <c r="C16997" t="n" s="0">
        <v>1702465.7564799995</v>
      </c>
    </row>
    <row r="16998">
      <c r="A16998" t="n" s="0">
        <v>69.97</v>
      </c>
      <c r="B16998" t="n" s="0">
        <f>(-5-((((-5*(-5/((-5/(((-5*(69.97--5))-(-5+((-5*69.97)*(((-5--5)+(69.97--5))+69.97))))-(-5+-5)))*-5)))/-5)--5)+(-5*(((69.97*(69.97-(-5/-5)))*(69.97-(69.97/(-5*69.97))))-(-5/-5)))))</f>
        <v>1703197.253065</v>
      </c>
      <c r="C16998" t="n" s="0">
        <v>1703197.2530649998</v>
      </c>
    </row>
    <row r="16999">
      <c r="A16999" t="n" s="0">
        <v>69.98</v>
      </c>
      <c r="B16999" t="n" s="0">
        <f>(-5-((((-5*(-5/((-5/(((-5*(69.98--5))-(-5+((-5*69.98)*(((-5--5)+(69.98--5))+69.98))))-(-5+-5)))*-5)))/-5)--5)+(-5*(((69.98*(69.98-(-5/-5)))*(69.98-(69.98/(-5*69.98))))-(-5/-5)))))</f>
        <v>1703928.95916</v>
      </c>
      <c r="C16999" t="n" s="0">
        <v>1703928.9591600006</v>
      </c>
    </row>
    <row r="17000">
      <c r="A17000" t="n" s="0">
        <v>69.99</v>
      </c>
      <c r="B17000" t="n" s="0">
        <f>(-5-((((-5*(-5/((-5/(((-5*(69.99--5))-(-5+((-5*69.99)*(((-5--5)+(69.99--5))+69.99))))-(-5+-5)))*-5)))/-5)--5)+(-5*(((69.99*(69.99-(-5/-5)))*(69.99-(69.99/(-5*69.99))))-(-5/-5)))))</f>
        <v>1704660.874795</v>
      </c>
      <c r="C17000" t="n" s="0">
        <v>1704660.8747949996</v>
      </c>
    </row>
    <row r="17001">
      <c r="A17001" t="n" s="0">
        <v>70.0</v>
      </c>
      <c r="B17001" t="n" s="0">
        <f>(-5-((((-5*(-5/((-5/(((-5*(70--5))-(-5+((-5*70)*(((-5--5)+(70--5))+70))))-(-5+-5)))*-5)))/-5)--5)+(-5*(((70*(70-(-5/-5)))*(70-(70/(-5*70))))-(-5/-5)))))</f>
        <v>1705393.0</v>
      </c>
      <c r="C17001" t="n" s="0">
        <v>1705393.0</v>
      </c>
    </row>
    <row r="17002">
      <c r="A17002" t="n" s="0">
        <v>70.01</v>
      </c>
      <c r="B17002" t="n" s="0">
        <f>(-5-((((-5*(-5/((-5/(((-5*(70.01--5))-(-5+((-5*70.01)*(((-5--5)+(70.01--5))+70.01))))-(-5+-5)))*-5)))/-5)--5)+(-5*(((70.01*(70.01-(-5/-5)))*(70.01-(70.01/(-5*70.01))))-(-5/-5)))))</f>
        <v>1706125.3348049999</v>
      </c>
      <c r="C17002" t="n" s="0">
        <v>1706125.3348050003</v>
      </c>
    </row>
    <row r="17003">
      <c r="A17003" t="n" s="0">
        <v>70.02</v>
      </c>
      <c r="B17003" t="n" s="0">
        <f>(-5-((((-5*(-5/((-5/(((-5*(70.02--5))-(-5+((-5*70.02)*(((-5--5)+(70.02--5))+70.02))))-(-5+-5)))*-5)))/-5)--5)+(-5*(((70.02*(70.02-(-5/-5)))*(70.02-(70.02/(-5*70.02))))-(-5/-5)))))</f>
        <v>1706857.87924</v>
      </c>
      <c r="C17003" t="n" s="0">
        <v>1706857.8792399997</v>
      </c>
    </row>
    <row r="17004">
      <c r="A17004" t="n" s="0">
        <v>70.03</v>
      </c>
      <c r="B17004" t="n" s="0">
        <f>(-5-((((-5*(-5/((-5/(((-5*(70.03--5))-(-5+((-5*70.03)*(((-5--5)+(70.03--5))+70.03))))-(-5+-5)))*-5)))/-5)--5)+(-5*(((70.03*(70.03-(-5/-5)))*(70.03-(70.03/(-5*70.03))))-(-5/-5)))))</f>
        <v>1707590.633335</v>
      </c>
      <c r="C17004" t="n" s="0">
        <v>1707590.6333350001</v>
      </c>
    </row>
    <row r="17005">
      <c r="A17005" t="n" s="0">
        <v>70.04</v>
      </c>
      <c r="B17005" t="n" s="0">
        <f>(-5-((((-5*(-5/((-5/(((-5*(70.04--5))-(-5+((-5*70.04)*(((-5--5)+(70.04--5))+70.04))))-(-5+-5)))*-5)))/-5)--5)+(-5*(((70.04*(70.04-(-5/-5)))*(70.04-(70.04/(-5*70.04))))-(-5/-5)))))</f>
        <v>1708323.59712</v>
      </c>
      <c r="C17005" t="n" s="0">
        <v>1708323.5971200005</v>
      </c>
    </row>
    <row r="17006">
      <c r="A17006" t="n" s="0">
        <v>70.05</v>
      </c>
      <c r="B17006" t="n" s="0">
        <f>(-5-((((-5*(-5/((-5/(((-5*(70.05--5))-(-5+((-5*70.05)*(((-5--5)+(70.05--5))+70.05))))-(-5+-5)))*-5)))/-5)--5)+(-5*(((70.05*(70.05-(-5/-5)))*(70.05-(70.05/(-5*70.05))))-(-5/-5)))))</f>
        <v>1709056.7706250001</v>
      </c>
      <c r="C17006" t="n" s="0">
        <v>1709056.770625</v>
      </c>
    </row>
    <row r="17007">
      <c r="A17007" t="n" s="0">
        <v>70.06</v>
      </c>
      <c r="B17007" t="n" s="0">
        <f>(-5-((((-5*(-5/((-5/(((-5*(70.06--5))-(-5+((-5*70.06)*(((-5--5)+(70.06--5))+70.06))))-(-5+-5)))*-5)))/-5)--5)+(-5*(((70.06*(70.06-(-5/-5)))*(70.06-(70.06/(-5*70.06))))-(-5/-5)))))</f>
        <v>1709790.1538799999</v>
      </c>
      <c r="C17007" t="n" s="0">
        <v>1709790.15388</v>
      </c>
    </row>
    <row r="17008">
      <c r="A17008" t="n" s="0">
        <v>70.07</v>
      </c>
      <c r="B17008" t="n" s="0">
        <f>(-5-((((-5*(-5/((-5/(((-5*(70.07--5))-(-5+((-5*70.07)*(((-5--5)+(70.07--5))+70.07))))-(-5+-5)))*-5)))/-5)--5)+(-5*(((70.07*(70.07-(-5/-5)))*(70.07-(70.07/(-5*70.07))))-(-5/-5)))))</f>
        <v>1710523.746915</v>
      </c>
      <c r="C17008" t="n" s="0">
        <v>1710523.7469149996</v>
      </c>
    </row>
    <row r="17009">
      <c r="A17009" t="n" s="0">
        <v>70.08</v>
      </c>
      <c r="B17009" t="n" s="0">
        <f>(-5-((((-5*(-5/((-5/(((-5*(70.08--5))-(-5+((-5*70.08)*(((-5--5)+(70.08--5))+70.08))))-(-5+-5)))*-5)))/-5)--5)+(-5*(((70.08*(70.08-(-5/-5)))*(70.08-(70.08/(-5*70.08))))-(-5/-5)))))</f>
        <v>1711257.54976</v>
      </c>
      <c r="C17009" t="n" s="0">
        <v>1711257.5497599998</v>
      </c>
    </row>
    <row r="17010">
      <c r="A17010" t="n" s="0">
        <v>70.09</v>
      </c>
      <c r="B17010" t="n" s="0">
        <f>(-5-((((-5*(-5/((-5/(((-5*(70.09--5))-(-5+((-5*70.09)*(((-5--5)+(70.09--5))+70.09))))-(-5+-5)))*-5)))/-5)--5)+(-5*(((70.09*(70.09-(-5/-5)))*(70.09-(70.09/(-5*70.09))))-(-5/-5)))))</f>
        <v>1711991.562445</v>
      </c>
      <c r="C17010" t="n" s="0">
        <v>1711991.5624450003</v>
      </c>
    </row>
    <row r="17011">
      <c r="A17011" t="n" s="0">
        <v>70.1</v>
      </c>
      <c r="B17011" t="n" s="0">
        <f>(-5-((((-5*(-5/((-5/(((-5*(70.1--5))-(-5+((-5*70.1)*(((-5--5)+(70.1--5))+70.1))))-(-5+-5)))*-5)))/-5)--5)+(-5*(((70.1*(70.1-(-5/-5)))*(70.1-(70.1/(-5*70.1))))-(-5/-5)))))</f>
        <v>1712725.785</v>
      </c>
      <c r="C17011" t="n" s="0">
        <v>1712725.7849999995</v>
      </c>
    </row>
    <row r="17012">
      <c r="A17012" t="n" s="0">
        <v>70.11</v>
      </c>
      <c r="B17012" t="n" s="0">
        <f>(-5-((((-5*(-5/((-5/(((-5*(70.11--5))-(-5+((-5*70.11)*(((-5--5)+(70.11--5))+70.11))))-(-5+-5)))*-5)))/-5)--5)+(-5*(((70.11*(70.11-(-5/-5)))*(70.11-(70.11/(-5*70.11))))-(-5/-5)))))</f>
        <v>1713460.2174550002</v>
      </c>
      <c r="C17012" t="n" s="0">
        <v>1713460.217455</v>
      </c>
    </row>
    <row r="17013">
      <c r="A17013" t="n" s="0">
        <v>70.12</v>
      </c>
      <c r="B17013" t="n" s="0">
        <f>(-5-((((-5*(-5/((-5/(((-5*(70.12--5))-(-5+((-5*70.12)*(((-5--5)+(70.12--5))+70.12))))-(-5+-5)))*-5)))/-5)--5)+(-5*(((70.12*(70.12-(-5/-5)))*(70.12-(70.12/(-5*70.12))))-(-5/-5)))))</f>
        <v>1714194.85984</v>
      </c>
      <c r="C17013" t="n" s="0">
        <v>1714194.8598400005</v>
      </c>
    </row>
    <row r="17014">
      <c r="A17014" t="n" s="0">
        <v>70.13</v>
      </c>
      <c r="B17014" t="n" s="0">
        <f>(-5-((((-5*(-5/((-5/(((-5*(70.13--5))-(-5+((-5*70.13)*(((-5--5)+(70.13--5))+70.13))))-(-5+-5)))*-5)))/-5)--5)+(-5*(((70.13*(70.13-(-5/-5)))*(70.13-(70.13/(-5*70.13))))-(-5/-5)))))</f>
        <v>1714929.712185</v>
      </c>
      <c r="C17014" t="n" s="0">
        <v>1714929.7121849994</v>
      </c>
    </row>
    <row r="17015">
      <c r="A17015" t="n" s="0">
        <v>70.14</v>
      </c>
      <c r="B17015" t="n" s="0">
        <f>(-5-((((-5*(-5/((-5/(((-5*(70.14--5))-(-5+((-5*70.14)*(((-5--5)+(70.14--5))+70.14))))-(-5+-5)))*-5)))/-5)--5)+(-5*(((70.14*(70.14-(-5/-5)))*(70.14-(70.14/(-5*70.14))))-(-5/-5)))))</f>
        <v>1715664.77452</v>
      </c>
      <c r="C17015" t="n" s="0">
        <v>1715664.7745200002</v>
      </c>
    </row>
    <row r="17016">
      <c r="A17016" t="n" s="0">
        <v>70.15</v>
      </c>
      <c r="B17016" t="n" s="0">
        <f>(-5-((((-5*(-5/((-5/(((-5*(70.15--5))-(-5+((-5*70.15)*(((-5--5)+(70.15--5))+70.15))))-(-5+-5)))*-5)))/-5)--5)+(-5*(((70.15*(70.15-(-5/-5)))*(70.15-(70.15/(-5*70.15))))-(-5/-5)))))</f>
        <v>1716400.046875</v>
      </c>
      <c r="C17016" t="n" s="0">
        <v>1716400.0468750002</v>
      </c>
    </row>
    <row r="17017">
      <c r="A17017" t="n" s="0">
        <v>70.16</v>
      </c>
      <c r="B17017" t="n" s="0">
        <f>(-5-((((-5*(-5/((-5/(((-5*(70.16--5))-(-5+((-5*70.16)*(((-5--5)+(70.16--5))+70.16))))-(-5+-5)))*-5)))/-5)--5)+(-5*(((70.16*(70.16-(-5/-5)))*(70.16-(70.16/(-5*70.16))))-(-5/-5)))))</f>
        <v>1717135.5292800001</v>
      </c>
      <c r="C17017" t="n" s="0">
        <v>1717135.5292799997</v>
      </c>
    </row>
    <row r="17018">
      <c r="A17018" t="n" s="0">
        <v>70.17</v>
      </c>
      <c r="B17018" t="n" s="0">
        <f>(-5-((((-5*(-5/((-5/(((-5*(70.17--5))-(-5+((-5*70.17)*(((-5--5)+(70.17--5))+70.17))))-(-5+-5)))*-5)))/-5)--5)+(-5*(((70.17*(70.17-(-5/-5)))*(70.17-(70.17/(-5*70.17))))-(-5/-5)))))</f>
        <v>1717871.2217650001</v>
      </c>
      <c r="C17018" t="n" s="0">
        <v>1717871.2217650001</v>
      </c>
    </row>
    <row r="17019">
      <c r="A17019" t="n" s="0">
        <v>70.18</v>
      </c>
      <c r="B17019" t="n" s="0">
        <f>(-5-((((-5*(-5/((-5/(((-5*(70.18--5))-(-5+((-5*70.18)*(((-5--5)+(70.18--5))+70.18))))-(-5+-5)))*-5)))/-5)--5)+(-5*(((70.18*(70.18-(-5/-5)))*(70.18-(70.18/(-5*70.18))))-(-5/-5)))))</f>
        <v>1718607.12436</v>
      </c>
      <c r="C17019" t="n" s="0">
        <v>1718607.1243600007</v>
      </c>
    </row>
    <row r="17020">
      <c r="A17020" t="n" s="0">
        <v>70.19</v>
      </c>
      <c r="B17020" t="n" s="0">
        <f>(-5-((((-5*(-5/((-5/(((-5*(70.19--5))-(-5+((-5*70.19)*(((-5--5)+(70.19--5))+70.19))))-(-5+-5)))*-5)))/-5)--5)+(-5*(((70.19*(70.19-(-5/-5)))*(70.19-(70.19/(-5*70.19))))-(-5/-5)))))</f>
        <v>1719343.237095</v>
      </c>
      <c r="C17020" t="n" s="0">
        <v>1719343.237095</v>
      </c>
    </row>
    <row r="17021">
      <c r="A17021" t="n" s="0">
        <v>70.2</v>
      </c>
      <c r="B17021" t="n" s="0">
        <f>(-5-((((-5*(-5/((-5/(((-5*(70.2--5))-(-5+((-5*70.2)*(((-5--5)+(70.2--5))+70.2))))-(-5+-5)))*-5)))/-5)--5)+(-5*(((70.2*(70.2-(-5/-5)))*(70.2-(70.2/(-5*70.2))))-(-5/-5)))))</f>
        <v>1720079.5599999998</v>
      </c>
      <c r="C17021" t="n" s="0">
        <v>1720079.5600000003</v>
      </c>
    </row>
    <row r="17022">
      <c r="A17022" t="n" s="0">
        <v>70.21</v>
      </c>
      <c r="B17022" t="n" s="0">
        <f>(-5-((((-5*(-5/((-5/(((-5*(70.21--5))-(-5+((-5*70.21)*(((-5--5)+(70.21--5))+70.21))))-(-5+-5)))*-5)))/-5)--5)+(-5*(((70.21*(70.21-(-5/-5)))*(70.21-(70.21/(-5*70.21))))-(-5/-5)))))</f>
        <v>1720816.093105</v>
      </c>
      <c r="C17022" t="n" s="0">
        <v>1720816.0931049995</v>
      </c>
    </row>
    <row r="17023">
      <c r="A17023" t="n" s="0">
        <v>70.22</v>
      </c>
      <c r="B17023" t="n" s="0">
        <f>(-5-((((-5*(-5/((-5/(((-5*(70.22--5))-(-5+((-5*70.22)*(((-5--5)+(70.22--5))+70.22))))-(-5+-5)))*-5)))/-5)--5)+(-5*(((70.22*(70.22-(-5/-5)))*(70.22-(70.22/(-5*70.22))))-(-5/-5)))))</f>
        <v>1721552.83644</v>
      </c>
      <c r="C17023" t="n" s="0">
        <v>1721552.8364399998</v>
      </c>
    </row>
    <row r="17024">
      <c r="A17024" t="n" s="0">
        <v>70.23</v>
      </c>
      <c r="B17024" t="n" s="0">
        <f>(-5-((((-5*(-5/((-5/(((-5*(70.23--5))-(-5+((-5*70.23)*(((-5--5)+(70.23--5))+70.23))))-(-5+-5)))*-5)))/-5)--5)+(-5*(((70.23*(70.23-(-5/-5)))*(70.23-(70.23/(-5*70.23))))-(-5/-5)))))</f>
        <v>1722289.790035</v>
      </c>
      <c r="C17024" t="n" s="0">
        <v>1722289.790035</v>
      </c>
    </row>
    <row r="17025">
      <c r="A17025" t="n" s="0">
        <v>70.24</v>
      </c>
      <c r="B17025" t="n" s="0">
        <f>(-5-((((-5*(-5/((-5/(((-5*(70.24--5))-(-5+((-5*70.24)*(((-5--5)+(70.24--5))+70.24))))-(-5+-5)))*-5)))/-5)--5)+(-5*(((70.24*(70.24-(-5/-5)))*(70.24-(70.24/(-5*70.24))))-(-5/-5)))))</f>
        <v>1723026.95392</v>
      </c>
      <c r="C17025" t="n" s="0">
        <v>1723026.9539199995</v>
      </c>
    </row>
    <row r="17026">
      <c r="A17026" t="n" s="0">
        <v>70.25</v>
      </c>
      <c r="B17026" t="n" s="0">
        <f>(-5-((((-5*(-5/((-5/(((-5*(70.25--5))-(-5+((-5*70.25)*(((-5--5)+(70.25--5))+70.25))))-(-5+-5)))*-5)))/-5)--5)+(-5*(((70.25*(70.25-(-5/-5)))*(70.25-(70.25/(-5*70.25))))-(-5/-5)))))</f>
        <v>1723764.328125</v>
      </c>
      <c r="C17026" t="n" s="0">
        <v>1723764.328125</v>
      </c>
    </row>
    <row r="17027">
      <c r="A17027" t="n" s="0">
        <v>70.26</v>
      </c>
      <c r="B17027" t="n" s="0">
        <f>(-5-((((-5*(-5/((-5/(((-5*(70.26--5))-(-5+((-5*70.26)*(((-5--5)+(70.26--5))+70.26))))-(-5+-5)))*-5)))/-5)--5)+(-5*(((70.26*(70.26-(-5/-5)))*(70.26-(70.26/(-5*70.26))))-(-5/-5)))))</f>
        <v>1724501.91268</v>
      </c>
      <c r="C17027" t="n" s="0">
        <v>1724501.9126800005</v>
      </c>
    </row>
    <row r="17028">
      <c r="A17028" t="n" s="0">
        <v>70.27</v>
      </c>
      <c r="B17028" t="n" s="0">
        <f>(-5-((((-5*(-5/((-5/(((-5*(70.27--5))-(-5+((-5*70.27)*(((-5--5)+(70.27--5))+70.27))))-(-5+-5)))*-5)))/-5)--5)+(-5*(((70.27*(70.27-(-5/-5)))*(70.27-(70.27/(-5*70.27))))-(-5/-5)))))</f>
        <v>1725239.707615</v>
      </c>
      <c r="C17028" t="n" s="0">
        <v>1725239.707615</v>
      </c>
    </row>
    <row r="17029">
      <c r="A17029" t="n" s="0">
        <v>70.28</v>
      </c>
      <c r="B17029" t="n" s="0">
        <f>(-5-((((-5*(-5/((-5/(((-5*(70.28--5))-(-5+((-5*70.28)*(((-5--5)+(70.28--5))+70.28))))-(-5+-5)))*-5)))/-5)--5)+(-5*(((70.28*(70.28-(-5/-5)))*(70.28-(70.28/(-5*70.28))))-(-5/-5)))))</f>
        <v>1725977.71296</v>
      </c>
      <c r="C17029" t="n" s="0">
        <v>1725977.7129600004</v>
      </c>
    </row>
    <row r="17030">
      <c r="A17030" t="n" s="0">
        <v>70.29</v>
      </c>
      <c r="B17030" t="n" s="0">
        <f>(-5-((((-5*(-5/((-5/(((-5*(70.29--5))-(-5+((-5*70.29)*(((-5--5)+(70.29--5))+70.29))))-(-5+-5)))*-5)))/-5)--5)+(-5*(((70.29*(70.29-(-5/-5)))*(70.29-(70.29/(-5*70.29))))-(-5/-5)))))</f>
        <v>1726715.9287450002</v>
      </c>
      <c r="C17030" t="n" s="0">
        <v>1726715.9287450006</v>
      </c>
    </row>
    <row r="17031">
      <c r="A17031" t="n" s="0">
        <v>70.3</v>
      </c>
      <c r="B17031" t="n" s="0">
        <f>(-5-((((-5*(-5/((-5/(((-5*(70.3--5))-(-5+((-5*70.3)*(((-5--5)+(70.3--5))+70.3))))-(-5+-5)))*-5)))/-5)--5)+(-5*(((70.3*(70.3-(-5/-5)))*(70.3-(70.3/(-5*70.3))))-(-5/-5)))))</f>
        <v>1727454.355</v>
      </c>
      <c r="C17031" t="n" s="0">
        <v>1727454.3549999997</v>
      </c>
    </row>
    <row r="17032">
      <c r="A17032" t="n" s="0">
        <v>70.31</v>
      </c>
      <c r="B17032" t="n" s="0">
        <f>(-5-((((-5*(-5/((-5/(((-5*(70.31--5))-(-5+((-5*70.31)*(((-5--5)+(70.31--5))+70.31))))-(-5+-5)))*-5)))/-5)--5)+(-5*(((70.31*(70.31-(-5/-5)))*(70.31-(70.31/(-5*70.31))))-(-5/-5)))))</f>
        <v>1728192.991755</v>
      </c>
      <c r="C17032" t="n" s="0">
        <v>1728192.9917550003</v>
      </c>
    </row>
    <row r="17033">
      <c r="A17033" t="n" s="0">
        <v>70.32</v>
      </c>
      <c r="B17033" t="n" s="0">
        <f>(-5-((((-5*(-5/((-5/(((-5*(70.32--5))-(-5+((-5*70.32)*(((-5--5)+(70.32--5))+70.32))))-(-5+-5)))*-5)))/-5)--5)+(-5*(((70.32*(70.32-(-5/-5)))*(70.32-(70.32/(-5*70.32))))-(-5/-5)))))</f>
        <v>1728931.83904</v>
      </c>
      <c r="C17033" t="n" s="0">
        <v>1728931.8390399993</v>
      </c>
    </row>
    <row r="17034">
      <c r="A17034" t="n" s="0">
        <v>70.33</v>
      </c>
      <c r="B17034" t="n" s="0">
        <f>(-5-((((-5*(-5/((-5/(((-5*(70.33--5))-(-5+((-5*70.33)*(((-5--5)+(70.33--5))+70.33))))-(-5+-5)))*-5)))/-5)--5)+(-5*(((70.33*(70.33-(-5/-5)))*(70.33-(70.33/(-5*70.33))))-(-5/-5)))))</f>
        <v>1729670.896885</v>
      </c>
      <c r="C17034" t="n" s="0">
        <v>1729670.896885</v>
      </c>
    </row>
    <row r="17035">
      <c r="A17035" t="n" s="0">
        <v>70.34</v>
      </c>
      <c r="B17035" t="n" s="0">
        <f>(-5-((((-5*(-5/((-5/(((-5*(70.34--5))-(-5+((-5*70.34)*(((-5--5)+(70.34--5))+70.34))))-(-5+-5)))*-5)))/-5)--5)+(-5*(((70.34*(70.34-(-5/-5)))*(70.34-(70.34/(-5*70.34))))-(-5/-5)))))</f>
        <v>1730410.1653200001</v>
      </c>
      <c r="C17035" t="n" s="0">
        <v>1730410.1653200001</v>
      </c>
    </row>
    <row r="17036">
      <c r="A17036" t="n" s="0">
        <v>70.35</v>
      </c>
      <c r="B17036" t="n" s="0">
        <f>(-5-((((-5*(-5/((-5/(((-5*(70.35--5))-(-5+((-5*70.35)*(((-5--5)+(70.35--5))+70.35))))-(-5+-5)))*-5)))/-5)--5)+(-5*(((70.35*(70.35-(-5/-5)))*(70.35-(70.35/(-5*70.35))))-(-5/-5)))))</f>
        <v>1731149.644375</v>
      </c>
      <c r="C17036" t="n" s="0">
        <v>1731149.6443749995</v>
      </c>
    </row>
    <row r="17037">
      <c r="A17037" t="n" s="0">
        <v>70.36</v>
      </c>
      <c r="B17037" t="n" s="0">
        <f>(-5-((((-5*(-5/((-5/(((-5*(70.36--5))-(-5+((-5*70.36)*(((-5--5)+(70.36--5))+70.36))))-(-5+-5)))*-5)))/-5)--5)+(-5*(((70.36*(70.36-(-5/-5)))*(70.36-(70.36/(-5*70.36))))-(-5/-5)))))</f>
        <v>1731889.33408</v>
      </c>
      <c r="C17037" t="n" s="0">
        <v>1731889.33408</v>
      </c>
    </row>
    <row r="17038">
      <c r="A17038" t="n" s="0">
        <v>70.37</v>
      </c>
      <c r="B17038" t="n" s="0">
        <f>(-5-((((-5*(-5/((-5/(((-5*(70.37--5))-(-5+((-5*70.37)*(((-5--5)+(70.37--5))+70.37))))-(-5+-5)))*-5)))/-5)--5)+(-5*(((70.37*(70.37-(-5/-5)))*(70.37-(70.37/(-5*70.37))))-(-5/-5)))))</f>
        <v>1732629.234465</v>
      </c>
      <c r="C17038" t="n" s="0">
        <v>1732629.2344650007</v>
      </c>
    </row>
    <row r="17039">
      <c r="A17039" t="n" s="0">
        <v>70.38</v>
      </c>
      <c r="B17039" t="n" s="0">
        <f>(-5-((((-5*(-5/((-5/(((-5*(70.38--5))-(-5+((-5*70.38)*(((-5--5)+(70.38--5))+70.38))))-(-5+-5)))*-5)))/-5)--5)+(-5*(((70.38*(70.38-(-5/-5)))*(70.38-(70.38/(-5*70.38))))-(-5/-5)))))</f>
        <v>1733369.3455599998</v>
      </c>
      <c r="C17039" t="n" s="0">
        <v>1733369.3455599996</v>
      </c>
    </row>
    <row r="17040">
      <c r="A17040" t="n" s="0">
        <v>70.39</v>
      </c>
      <c r="B17040" t="n" s="0">
        <f>(-5-((((-5*(-5/((-5/(((-5*(70.39--5))-(-5+((-5*70.39)*(((-5--5)+(70.39--5))+70.39))))-(-5+-5)))*-5)))/-5)--5)+(-5*(((70.39*(70.39-(-5/-5)))*(70.39-(70.39/(-5*70.39))))-(-5/-5)))))</f>
        <v>1734109.6673949999</v>
      </c>
      <c r="C17040" t="n" s="0">
        <v>1734109.6673949996</v>
      </c>
    </row>
    <row r="17041">
      <c r="A17041" t="n" s="0">
        <v>70.4</v>
      </c>
      <c r="B17041" t="n" s="0">
        <f>(-5-((((-5*(-5/((-5/(((-5*(70.4--5))-(-5+((-5*70.4)*(((-5--5)+(70.4--5))+70.4))))-(-5+-5)))*-5)))/-5)--5)+(-5*(((70.4*(70.4-(-5/-5)))*(70.4-(70.4/(-5*70.4))))-(-5/-5)))))</f>
        <v>1734850.2</v>
      </c>
      <c r="C17041" t="n" s="0">
        <v>1734850.2000000004</v>
      </c>
    </row>
    <row r="17042">
      <c r="A17042" t="n" s="0">
        <v>70.41</v>
      </c>
      <c r="B17042" t="n" s="0">
        <f>(-5-((((-5*(-5/((-5/(((-5*(70.41--5))-(-5+((-5*70.41)*(((-5--5)+(70.41--5))+70.41))))-(-5+-5)))*-5)))/-5)--5)+(-5*(((70.41*(70.41-(-5/-5)))*(70.41-(70.41/(-5*70.41))))-(-5/-5)))))</f>
        <v>1735590.943405</v>
      </c>
      <c r="C17042" t="n" s="0">
        <v>1735590.9434049998</v>
      </c>
    </row>
    <row r="17043">
      <c r="A17043" t="n" s="0">
        <v>70.42</v>
      </c>
      <c r="B17043" t="n" s="0">
        <f>(-5-((((-5*(-5/((-5/(((-5*(70.42--5))-(-5+((-5*70.42)*(((-5--5)+(70.42--5))+70.42))))-(-5+-5)))*-5)))/-5)--5)+(-5*(((70.42*(70.42-(-5/-5)))*(70.42-(70.42/(-5*70.42))))-(-5/-5)))))</f>
        <v>1736331.89764</v>
      </c>
      <c r="C17043" t="n" s="0">
        <v>1736331.89764</v>
      </c>
    </row>
    <row r="17044">
      <c r="A17044" t="n" s="0">
        <v>70.43</v>
      </c>
      <c r="B17044" t="n" s="0">
        <f>(-5-((((-5*(-5/((-5/(((-5*(70.43--5))-(-5+((-5*70.43)*(((-5--5)+(70.43--5))+70.43))))-(-5+-5)))*-5)))/-5)--5)+(-5*(((70.43*(70.43-(-5/-5)))*(70.43-(70.43/(-5*70.43))))-(-5/-5)))))</f>
        <v>1737073.0627350002</v>
      </c>
      <c r="C17044" t="n" s="0">
        <v>1737073.0627350006</v>
      </c>
    </row>
    <row r="17045">
      <c r="A17045" t="n" s="0">
        <v>70.44</v>
      </c>
      <c r="B17045" t="n" s="0">
        <f>(-5-((((-5*(-5/((-5/(((-5*(70.44--5))-(-5+((-5*70.44)*(((-5--5)+(70.44--5))+70.44))))-(-5+-5)))*-5)))/-5)--5)+(-5*(((70.44*(70.44-(-5/-5)))*(70.44-(70.44/(-5*70.44))))-(-5/-5)))))</f>
        <v>1737814.43872</v>
      </c>
      <c r="C17045" t="n" s="0">
        <v>1737814.43872</v>
      </c>
    </row>
    <row r="17046">
      <c r="A17046" t="n" s="0">
        <v>70.45</v>
      </c>
      <c r="B17046" t="n" s="0">
        <f>(-5-((((-5*(-5/((-5/(((-5*(70.45--5))-(-5+((-5*70.45)*(((-5--5)+(70.45--5))+70.45))))-(-5+-5)))*-5)))/-5)--5)+(-5*(((70.45*(70.45-(-5/-5)))*(70.45-(70.45/(-5*70.45))))-(-5/-5)))))</f>
        <v>1738556.025625</v>
      </c>
      <c r="C17046" t="n" s="0">
        <v>1738556.0256250005</v>
      </c>
    </row>
    <row r="17047">
      <c r="A17047" t="n" s="0">
        <v>70.46</v>
      </c>
      <c r="B17047" t="n" s="0">
        <f>(-5-((((-5*(-5/((-5/(((-5*(70.46--5))-(-5+((-5*70.46)*(((-5--5)+(70.46--5))+70.46))))-(-5+-5)))*-5)))/-5)--5)+(-5*(((70.46*(70.46-(-5/-5)))*(70.46-(70.46/(-5*70.46))))-(-5/-5)))))</f>
        <v>1739297.82348</v>
      </c>
      <c r="C17047" t="n" s="0">
        <v>1739297.8234799998</v>
      </c>
    </row>
    <row r="17048">
      <c r="A17048" t="n" s="0">
        <v>70.47</v>
      </c>
      <c r="B17048" t="n" s="0">
        <f>(-5-((((-5*(-5/((-5/(((-5*(70.47--5))-(-5+((-5*70.47)*(((-5--5)+(70.47--5))+70.47))))-(-5+-5)))*-5)))/-5)--5)+(-5*(((70.47*(70.47-(-5/-5)))*(70.47-(70.47/(-5*70.47))))-(-5/-5)))))</f>
        <v>1740039.832315</v>
      </c>
      <c r="C17048" t="n" s="0">
        <v>1740039.832315</v>
      </c>
    </row>
    <row r="17049">
      <c r="A17049" t="n" s="0">
        <v>70.48</v>
      </c>
      <c r="B17049" t="n" s="0">
        <f>(-5-((((-5*(-5/((-5/(((-5*(70.48--5))-(-5+((-5*70.48)*(((-5--5)+(70.48--5))+70.48))))-(-5+-5)))*-5)))/-5)--5)+(-5*(((70.48*(70.48-(-5/-5)))*(70.48-(70.48/(-5*70.48))))-(-5/-5)))))</f>
        <v>1740782.05216</v>
      </c>
      <c r="C17049" t="n" s="0">
        <v>1740782.0521600002</v>
      </c>
    </row>
    <row r="17050">
      <c r="A17050" t="n" s="0">
        <v>70.49</v>
      </c>
      <c r="B17050" t="n" s="0">
        <f>(-5-((((-5*(-5/((-5/(((-5*(70.49--5))-(-5+((-5*70.49)*(((-5--5)+(70.49--5))+70.49))))-(-5+-5)))*-5)))/-5)--5)+(-5*(((70.49*(70.49-(-5/-5)))*(70.49-(70.49/(-5*70.49))))-(-5/-5)))))</f>
        <v>1741524.4830450001</v>
      </c>
      <c r="C17050" t="n" s="0">
        <v>1741524.4830449997</v>
      </c>
    </row>
    <row r="17051">
      <c r="A17051" t="n" s="0">
        <v>70.5</v>
      </c>
      <c r="B17051" t="n" s="0">
        <f>(-5-((((-5*(-5/((-5/(((-5*(70.5--5))-(-5+((-5*70.5)*(((-5--5)+(70.5--5))+70.5))))-(-5+-5)))*-5)))/-5)--5)+(-5*(((70.5*(70.5-(-5/-5)))*(70.5-(70.5/(-5*70.5))))-(-5/-5)))))</f>
        <v>1742267.125</v>
      </c>
      <c r="C17051" t="n" s="0">
        <v>1742267.125</v>
      </c>
    </row>
    <row r="17052">
      <c r="A17052" t="n" s="0">
        <v>70.51</v>
      </c>
      <c r="B17052" t="n" s="0">
        <f>(-5-((((-5*(-5/((-5/(((-5*(70.51--5))-(-5+((-5*70.51)*(((-5--5)+(70.51--5))+70.51))))-(-5+-5)))*-5)))/-5)--5)+(-5*(((70.51*(70.51-(-5/-5)))*(70.51-(70.51/(-5*70.51))))-(-5/-5)))))</f>
        <v>1743009.978055</v>
      </c>
      <c r="C17052" t="n" s="0">
        <v>1743009.9780550005</v>
      </c>
    </row>
    <row r="17053">
      <c r="A17053" t="n" s="0">
        <v>70.52</v>
      </c>
      <c r="B17053" t="n" s="0">
        <f>(-5-((((-5*(-5/((-5/(((-5*(70.52--5))-(-5+((-5*70.52)*(((-5--5)+(70.52--5))+70.52))))-(-5+-5)))*-5)))/-5)--5)+(-5*(((70.52*(70.52-(-5/-5)))*(70.52-(70.52/(-5*70.52))))-(-5/-5)))))</f>
        <v>1743753.04224</v>
      </c>
      <c r="C17053" t="n" s="0">
        <v>1743753.0422399996</v>
      </c>
    </row>
    <row r="17054">
      <c r="A17054" t="n" s="0">
        <v>70.53</v>
      </c>
      <c r="B17054" t="n" s="0">
        <f>(-5-((((-5*(-5/((-5/(((-5*(70.53--5))-(-5+((-5*70.53)*(((-5--5)+(70.53--5))+70.53))))-(-5+-5)))*-5)))/-5)--5)+(-5*(((70.53*(70.53-(-5/-5)))*(70.53-(70.53/(-5*70.53))))-(-5/-5)))))</f>
        <v>1744496.317585</v>
      </c>
      <c r="C17054" t="n" s="0">
        <v>1744496.3175850003</v>
      </c>
    </row>
    <row r="17055">
      <c r="A17055" t="n" s="0">
        <v>70.54</v>
      </c>
      <c r="B17055" t="n" s="0">
        <f>(-5-((((-5*(-5/((-5/(((-5*(70.54--5))-(-5+((-5*70.54)*(((-5--5)+(70.54--5))+70.54))))-(-5+-5)))*-5)))/-5)--5)+(-5*(((70.54*(70.54-(-5/-5)))*(70.54-(70.54/(-5*70.54))))-(-5/-5)))))</f>
        <v>1745239.80412</v>
      </c>
      <c r="C17055" t="n" s="0">
        <v>1745239.8041200005</v>
      </c>
    </row>
    <row r="17056">
      <c r="A17056" t="n" s="0">
        <v>70.55</v>
      </c>
      <c r="B17056" t="n" s="0">
        <f>(-5-((((-5*(-5/((-5/(((-5*(70.55--5))-(-5+((-5*70.55)*(((-5--5)+(70.55--5))+70.55))))-(-5+-5)))*-5)))/-5)--5)+(-5*(((70.55*(70.55-(-5/-5)))*(70.55-(70.55/(-5*70.55))))-(-5/-5)))))</f>
        <v>1745983.5018749998</v>
      </c>
      <c r="C17056" t="n" s="0">
        <v>1745983.5018749996</v>
      </c>
    </row>
    <row r="17057">
      <c r="A17057" t="n" s="0">
        <v>70.56</v>
      </c>
      <c r="B17057" t="n" s="0">
        <f>(-5-((((-5*(-5/((-5/(((-5*(70.56--5))-(-5+((-5*70.56)*(((-5--5)+(70.56--5))+70.56))))-(-5+-5)))*-5)))/-5)--5)+(-5*(((70.56*(70.56-(-5/-5)))*(70.56-(70.56/(-5*70.56))))-(-5/-5)))))</f>
        <v>1746727.41088</v>
      </c>
      <c r="C17057" t="n" s="0">
        <v>1746727.41088</v>
      </c>
    </row>
    <row r="17058">
      <c r="A17058" t="n" s="0">
        <v>70.57</v>
      </c>
      <c r="B17058" t="n" s="0">
        <f>(-5-((((-5*(-5/((-5/(((-5*(70.57--5))-(-5+((-5*70.57)*(((-5--5)+(70.57--5))+70.57))))-(-5+-5)))*-5)))/-5)--5)+(-5*(((70.57*(70.57-(-5/-5)))*(70.57-(70.57/(-5*70.57))))-(-5/-5)))))</f>
        <v>1747471.5311649998</v>
      </c>
      <c r="C17058" t="n" s="0">
        <v>1747471.5311649994</v>
      </c>
    </row>
    <row r="17059">
      <c r="A17059" t="n" s="0">
        <v>70.58</v>
      </c>
      <c r="B17059" t="n" s="0">
        <f>(-5-((((-5*(-5/((-5/(((-5*(70.58--5))-(-5+((-5*70.58)*(((-5--5)+(70.58--5))+70.58))))-(-5+-5)))*-5)))/-5)--5)+(-5*(((70.58*(70.58-(-5/-5)))*(70.58-(70.58/(-5*70.58))))-(-5/-5)))))</f>
        <v>1748215.86276</v>
      </c>
      <c r="C17059" t="n" s="0">
        <v>1748215.86276</v>
      </c>
    </row>
    <row r="17060">
      <c r="A17060" t="n" s="0">
        <v>70.59</v>
      </c>
      <c r="B17060" t="n" s="0">
        <f>(-5-((((-5*(-5/((-5/(((-5*(70.59--5))-(-5+((-5*70.59)*(((-5--5)+(70.59--5))+70.59))))-(-5+-5)))*-5)))/-5)--5)+(-5*(((70.59*(70.59-(-5/-5)))*(70.59-(70.59/(-5*70.59))))-(-5/-5)))))</f>
        <v>1748960.405695</v>
      </c>
      <c r="C17060" t="n" s="0">
        <v>1748960.4056950004</v>
      </c>
    </row>
    <row r="17061">
      <c r="A17061" t="n" s="0">
        <v>70.6</v>
      </c>
      <c r="B17061" t="n" s="0">
        <f>(-5-((((-5*(-5/((-5/(((-5*(70.6--5))-(-5+((-5*70.6)*(((-5--5)+(70.6--5))+70.6))))-(-5+-5)))*-5)))/-5)--5)+(-5*(((70.6*(70.6-(-5/-5)))*(70.6-(70.6/(-5*70.6))))-(-5/-5)))))</f>
        <v>1749705.1600000001</v>
      </c>
      <c r="C17061" t="n" s="0">
        <v>1749705.1599999997</v>
      </c>
    </row>
    <row r="17062">
      <c r="A17062" t="n" s="0">
        <v>70.61</v>
      </c>
      <c r="B17062" t="n" s="0">
        <f>(-5-((((-5*(-5/((-5/(((-5*(70.61--5))-(-5+((-5*70.61)*(((-5--5)+(70.61--5))+70.61))))-(-5+-5)))*-5)))/-5)--5)+(-5*(((70.61*(70.61-(-5/-5)))*(70.61-(70.61/(-5*70.61))))-(-5/-5)))))</f>
        <v>1750450.125705</v>
      </c>
      <c r="C17062" t="n" s="0">
        <v>1750450.125705</v>
      </c>
    </row>
    <row r="17063">
      <c r="A17063" t="n" s="0">
        <v>70.62</v>
      </c>
      <c r="B17063" t="n" s="0">
        <f>(-5-((((-5*(-5/((-5/(((-5*(70.62--5))-(-5+((-5*70.62)*(((-5--5)+(70.62--5))+70.62))))-(-5+-5)))*-5)))/-5)--5)+(-5*(((70.62*(70.62-(-5/-5)))*(70.62-(70.62/(-5*70.62))))-(-5/-5)))))</f>
        <v>1751195.30284</v>
      </c>
      <c r="C17063" t="n" s="0">
        <v>1751195.3028400003</v>
      </c>
    </row>
    <row r="17064">
      <c r="A17064" t="n" s="0">
        <v>70.63</v>
      </c>
      <c r="B17064" t="n" s="0">
        <f>(-5-((((-5*(-5/((-5/(((-5*(70.63--5))-(-5+((-5*70.63)*(((-5--5)+(70.63--5))+70.63))))-(-5+-5)))*-5)))/-5)--5)+(-5*(((70.63*(70.63-(-5/-5)))*(70.63-(70.63/(-5*70.63))))-(-5/-5)))))</f>
        <v>1751940.691435</v>
      </c>
      <c r="C17064" t="n" s="0">
        <v>1751940.6914349997</v>
      </c>
    </row>
    <row r="17065">
      <c r="A17065" t="n" s="0">
        <v>70.64</v>
      </c>
      <c r="B17065" t="n" s="0">
        <f>(-5-((((-5*(-5/((-5/(((-5*(70.64--5))-(-5+((-5*70.64)*(((-5--5)+(70.64--5))+70.64))))-(-5+-5)))*-5)))/-5)--5)+(-5*(((70.64*(70.64-(-5/-5)))*(70.64-(70.64/(-5*70.64))))-(-5/-5)))))</f>
        <v>1752686.29152</v>
      </c>
      <c r="C17065" t="n" s="0">
        <v>1752686.29152</v>
      </c>
    </row>
    <row r="17066">
      <c r="A17066" t="n" s="0">
        <v>70.65</v>
      </c>
      <c r="B17066" t="n" s="0">
        <f>(-5-((((-5*(-5/((-5/(((-5*(70.65--5))-(-5+((-5*70.65)*(((-5--5)+(70.65--5))+70.65))))-(-5+-5)))*-5)))/-5)--5)+(-5*(((70.65*(70.65-(-5/-5)))*(70.65-(70.65/(-5*70.65))))-(-5/-5)))))</f>
        <v>1753432.1031250001</v>
      </c>
      <c r="C17066" t="n" s="0">
        <v>1753432.1031250006</v>
      </c>
    </row>
    <row r="17067">
      <c r="A17067" t="n" s="0">
        <v>70.66</v>
      </c>
      <c r="B17067" t="n" s="0">
        <f>(-5-((((-5*(-5/((-5/(((-5*(70.66--5))-(-5+((-5*70.66)*(((-5--5)+(70.66--5))+70.66))))-(-5+-5)))*-5)))/-5)--5)+(-5*(((70.66*(70.66-(-5/-5)))*(70.66-(70.66/(-5*70.66))))-(-5/-5)))))</f>
        <v>1754178.1262800002</v>
      </c>
      <c r="C17067" t="n" s="0">
        <v>1754178.1262799997</v>
      </c>
    </row>
    <row r="17068">
      <c r="A17068" t="n" s="0">
        <v>70.67</v>
      </c>
      <c r="B17068" t="n" s="0">
        <f>(-5-((((-5*(-5/((-5/(((-5*(70.67--5))-(-5+((-5*70.67)*(((-5--5)+(70.67--5))+70.67))))-(-5+-5)))*-5)))/-5)--5)+(-5*(((70.67*(70.67-(-5/-5)))*(70.67-(70.67/(-5*70.67))))-(-5/-5)))))</f>
        <v>1754924.361015</v>
      </c>
      <c r="C17068" t="n" s="0">
        <v>1754924.3610150001</v>
      </c>
    </row>
    <row r="17069">
      <c r="A17069" t="n" s="0">
        <v>70.68</v>
      </c>
      <c r="B17069" t="n" s="0">
        <f>(-5-((((-5*(-5/((-5/(((-5*(70.68--5))-(-5+((-5*70.68)*(((-5--5)+(70.68--5))+70.68))))-(-5+-5)))*-5)))/-5)--5)+(-5*(((70.68*(70.68-(-5/-5)))*(70.68-(70.68/(-5*70.68))))-(-5/-5)))))</f>
        <v>1755670.80736</v>
      </c>
      <c r="C17069" t="n" s="0">
        <v>1755670.8073600004</v>
      </c>
    </row>
    <row r="17070">
      <c r="A17070" t="n" s="0">
        <v>70.69</v>
      </c>
      <c r="B17070" t="n" s="0">
        <f>(-5-((((-5*(-5/((-5/(((-5*(70.69--5))-(-5+((-5*70.69)*(((-5--5)+(70.69--5))+70.69))))-(-5+-5)))*-5)))/-5)--5)+(-5*(((70.69*(70.69-(-5/-5)))*(70.69-(70.69/(-5*70.69))))-(-5/-5)))))</f>
        <v>1756417.465345</v>
      </c>
      <c r="C17070" t="n" s="0">
        <v>1756417.4653450001</v>
      </c>
    </row>
    <row r="17071">
      <c r="A17071" t="n" s="0">
        <v>70.7</v>
      </c>
      <c r="B17071" t="n" s="0">
        <f>(-5-((((-5*(-5/((-5/(((-5*(70.7--5))-(-5+((-5*70.7)*(((-5--5)+(70.7--5))+70.7))))-(-5+-5)))*-5)))/-5)--5)+(-5*(((70.7*(70.7-(-5/-5)))*(70.7-(70.7/(-5*70.7))))-(-5/-5)))))</f>
        <v>1757164.335</v>
      </c>
      <c r="C17071" t="n" s="0">
        <v>1757164.3350000002</v>
      </c>
    </row>
    <row r="17072">
      <c r="A17072" t="n" s="0">
        <v>70.71</v>
      </c>
      <c r="B17072" t="n" s="0">
        <f>(-5-((((-5*(-5/((-5/(((-5*(70.71--5))-(-5+((-5*70.71)*(((-5--5)+(70.71--5))+70.71))))-(-5+-5)))*-5)))/-5)--5)+(-5*(((70.71*(70.71-(-5/-5)))*(70.71-(70.71/(-5*70.71))))-(-5/-5)))))</f>
        <v>1757911.4163549999</v>
      </c>
      <c r="C17072" t="n" s="0">
        <v>1757911.4163549992</v>
      </c>
    </row>
    <row r="17073">
      <c r="A17073" t="n" s="0">
        <v>70.72</v>
      </c>
      <c r="B17073" t="n" s="0">
        <f>(-5-((((-5*(-5/((-5/(((-5*(70.72--5))-(-5+((-5*70.72)*(((-5--5)+(70.72--5))+70.72))))-(-5+-5)))*-5)))/-5)--5)+(-5*(((70.72*(70.72-(-5/-5)))*(70.72-(70.72/(-5*70.72))))-(-5/-5)))))</f>
        <v>1758658.7094400001</v>
      </c>
      <c r="C17073" t="n" s="0">
        <v>1758658.70944</v>
      </c>
    </row>
    <row r="17074">
      <c r="A17074" t="n" s="0">
        <v>70.73</v>
      </c>
      <c r="B17074" t="n" s="0">
        <f>(-5-((((-5*(-5/((-5/(((-5*(70.73--5))-(-5+((-5*70.73)*(((-5--5)+(70.73--5))+70.73))))-(-5+-5)))*-5)))/-5)--5)+(-5*(((70.73*(70.73-(-5/-5)))*(70.73-(70.73/(-5*70.73))))-(-5/-5)))))</f>
        <v>1759406.214285</v>
      </c>
      <c r="C17074" t="n" s="0">
        <v>1759406.2142850005</v>
      </c>
    </row>
    <row r="17075">
      <c r="A17075" t="n" s="0">
        <v>70.74</v>
      </c>
      <c r="B17075" t="n" s="0">
        <f>(-5-((((-5*(-5/((-5/(((-5*(70.74--5))-(-5+((-5*70.74)*(((-5--5)+(70.74--5))+70.74))))-(-5+-5)))*-5)))/-5)--5)+(-5*(((70.74*(70.74-(-5/-5)))*(70.74-(70.74/(-5*70.74))))-(-5/-5)))))</f>
        <v>1760153.93092</v>
      </c>
      <c r="C17075" t="n" s="0">
        <v>1760153.9309199995</v>
      </c>
    </row>
    <row r="17076">
      <c r="A17076" t="n" s="0">
        <v>70.75</v>
      </c>
      <c r="B17076" t="n" s="0">
        <f>(-5-((((-5*(-5/((-5/(((-5*(70.75--5))-(-5+((-5*70.75)*(((-5--5)+(70.75--5))+70.75))))-(-5+-5)))*-5)))/-5)--5)+(-5*(((70.75*(70.75-(-5/-5)))*(70.75-(70.75/(-5*70.75))))-(-5/-5)))))</f>
        <v>1760901.859375</v>
      </c>
      <c r="C17076" t="n" s="0">
        <v>1760901.859375</v>
      </c>
    </row>
    <row r="17077">
      <c r="A17077" t="n" s="0">
        <v>70.76</v>
      </c>
      <c r="B17077" t="n" s="0">
        <f>(-5-((((-5*(-5/((-5/(((-5*(70.76--5))-(-5+((-5*70.76)*(((-5--5)+(70.76--5))+70.76))))-(-5+-5)))*-5)))/-5)--5)+(-5*(((70.76*(70.76-(-5/-5)))*(70.76-(70.76/(-5*70.76))))-(-5/-5)))))</f>
        <v>1761649.99968</v>
      </c>
      <c r="C17077" t="n" s="0">
        <v>1761649.9996800006</v>
      </c>
    </row>
    <row r="17078">
      <c r="A17078" t="n" s="0">
        <v>70.77</v>
      </c>
      <c r="B17078" t="n" s="0">
        <f>(-5-((((-5*(-5/((-5/(((-5*(70.77--5))-(-5+((-5*70.77)*(((-5--5)+(70.77--5))+70.77))))-(-5+-5)))*-5)))/-5)--5)+(-5*(((70.77*(70.77-(-5/-5)))*(70.77-(70.77/(-5*70.77))))-(-5/-5)))))</f>
        <v>1762398.351865</v>
      </c>
      <c r="C17078" t="n" s="0">
        <v>1762398.3518649999</v>
      </c>
    </row>
    <row r="17079">
      <c r="A17079" t="n" s="0">
        <v>70.78</v>
      </c>
      <c r="B17079" t="n" s="0">
        <f>(-5-((((-5*(-5/((-5/(((-5*(70.78--5))-(-5+((-5*70.78)*(((-5--5)+(70.78--5))+70.78))))-(-5+-5)))*-5)))/-5)--5)+(-5*(((70.78*(70.78-(-5/-5)))*(70.78-(70.78/(-5*70.78))))-(-5/-5)))))</f>
        <v>1763146.9159600001</v>
      </c>
      <c r="C17079" t="n" s="0">
        <v>1763146.9159600001</v>
      </c>
    </row>
    <row r="17080">
      <c r="A17080" t="n" s="0">
        <v>70.79</v>
      </c>
      <c r="B17080" t="n" s="0">
        <f>(-5-((((-5*(-5/((-5/(((-5*(70.79--5))-(-5+((-5*70.79)*(((-5--5)+(70.79--5))+70.79))))-(-5+-5)))*-5)))/-5)--5)+(-5*(((70.79*(70.79-(-5/-5)))*(70.79-(70.79/(-5*70.79))))-(-5/-5)))))</f>
        <v>1763895.691995</v>
      </c>
      <c r="C17080" t="n" s="0">
        <v>1763895.6919950005</v>
      </c>
    </row>
    <row r="17081">
      <c r="A17081" t="n" s="0">
        <v>70.8</v>
      </c>
      <c r="B17081" t="n" s="0">
        <f>(-5-((((-5*(-5/((-5/(((-5*(70.8--5))-(-5+((-5*70.8)*(((-5--5)+(70.8--5))+70.8))))-(-5+-5)))*-5)))/-5)--5)+(-5*(((70.8*(70.8-(-5/-5)))*(70.8-(70.8/(-5*70.8))))-(-5/-5)))))</f>
        <v>1764644.68</v>
      </c>
      <c r="C17081" t="n" s="0">
        <v>1764644.6799999997</v>
      </c>
    </row>
    <row r="17082">
      <c r="A17082" t="n" s="0">
        <v>70.81</v>
      </c>
      <c r="B17082" t="n" s="0">
        <f>(-5-((((-5*(-5/((-5/(((-5*(70.81--5))-(-5+((-5*70.81)*(((-5--5)+(70.81--5))+70.81))))-(-5+-5)))*-5)))/-5)--5)+(-5*(((70.81*(70.81-(-5/-5)))*(70.81-(70.81/(-5*70.81))))-(-5/-5)))))</f>
        <v>1765393.8800050002</v>
      </c>
      <c r="C17082" t="n" s="0">
        <v>1765393.880005</v>
      </c>
    </row>
    <row r="17083">
      <c r="A17083" t="n" s="0">
        <v>70.82</v>
      </c>
      <c r="B17083" t="n" s="0">
        <f>(-5-((((-5*(-5/((-5/(((-5*(70.82--5))-(-5+((-5*70.82)*(((-5--5)+(70.82--5))+70.82))))-(-5+-5)))*-5)))/-5)--5)+(-5*(((70.82*(70.82-(-5/-5)))*(70.82-(70.82/(-5*70.82))))-(-5/-5)))))</f>
        <v>1766143.29204</v>
      </c>
      <c r="C17083" t="n" s="0">
        <v>1766143.2920399995</v>
      </c>
    </row>
    <row r="17084">
      <c r="A17084" t="n" s="0">
        <v>70.83</v>
      </c>
      <c r="B17084" t="n" s="0">
        <f>(-5-((((-5*(-5/((-5/(((-5*(70.83--5))-(-5+((-5*70.83)*(((-5--5)+(70.83--5))+70.83))))-(-5+-5)))*-5)))/-5)--5)+(-5*(((70.83*(70.83-(-5/-5)))*(70.83-(70.83/(-5*70.83))))-(-5/-5)))))</f>
        <v>1766892.916135</v>
      </c>
      <c r="C17084" t="n" s="0">
        <v>1766892.9161349998</v>
      </c>
    </row>
    <row r="17085">
      <c r="A17085" t="n" s="0">
        <v>70.84</v>
      </c>
      <c r="B17085" t="n" s="0">
        <f>(-5-((((-5*(-5/((-5/(((-5*(70.84--5))-(-5+((-5*70.84)*(((-5--5)+(70.84--5))+70.84))))-(-5+-5)))*-5)))/-5)--5)+(-5*(((70.84*(70.84-(-5/-5)))*(70.84-(70.84/(-5*70.84))))-(-5/-5)))))</f>
        <v>1767642.75232</v>
      </c>
      <c r="C17085" t="n" s="0">
        <v>1767642.7523200002</v>
      </c>
    </row>
    <row r="17086">
      <c r="A17086" t="n" s="0">
        <v>70.85</v>
      </c>
      <c r="B17086" t="n" s="0">
        <f>(-5-((((-5*(-5/((-5/(((-5*(70.85--5))-(-5+((-5*70.85)*(((-5--5)+(70.85--5))+70.85))))-(-5+-5)))*-5)))/-5)--5)+(-5*(((70.85*(70.85-(-5/-5)))*(70.85-(70.85/(-5*70.85))))-(-5/-5)))))</f>
        <v>1768392.800625</v>
      </c>
      <c r="C17086" t="n" s="0">
        <v>1768392.8006249997</v>
      </c>
    </row>
    <row r="17087">
      <c r="A17087" t="n" s="0">
        <v>70.86</v>
      </c>
      <c r="B17087" t="n" s="0">
        <f>(-5-((((-5*(-5/((-5/(((-5*(70.86--5))-(-5+((-5*70.86)*(((-5--5)+(70.86--5))+70.86))))-(-5+-5)))*-5)))/-5)--5)+(-5*(((70.86*(70.86-(-5/-5)))*(70.86-(70.86/(-5*70.86))))-(-5/-5)))))</f>
        <v>1769143.06108</v>
      </c>
      <c r="C17087" t="n" s="0">
        <v>1769143.0610800001</v>
      </c>
    </row>
    <row r="17088">
      <c r="A17088" t="n" s="0">
        <v>70.87</v>
      </c>
      <c r="B17088" t="n" s="0">
        <f>(-5-((((-5*(-5/((-5/(((-5*(70.87--5))-(-5+((-5*70.87)*(((-5--5)+(70.87--5))+70.87))))-(-5+-5)))*-5)))/-5)--5)+(-5*(((70.87*(70.87-(-5/-5)))*(70.87-(70.87/(-5*70.87))))-(-5/-5)))))</f>
        <v>1769893.533715</v>
      </c>
      <c r="C17088" t="n" s="0">
        <v>1769893.5337150006</v>
      </c>
    </row>
    <row r="17089">
      <c r="A17089" t="n" s="0">
        <v>70.88</v>
      </c>
      <c r="B17089" t="n" s="0">
        <f>(-5-((((-5*(-5/((-5/(((-5*(70.88--5))-(-5+((-5*70.88)*(((-5--5)+(70.88--5))+70.88))))-(-5+-5)))*-5)))/-5)--5)+(-5*(((70.88*(70.88-(-5/-5)))*(70.88-(70.88/(-5*70.88))))-(-5/-5)))))</f>
        <v>1770644.21856</v>
      </c>
      <c r="C17089" t="n" s="0">
        <v>1770644.2185599997</v>
      </c>
    </row>
    <row r="17090">
      <c r="A17090" t="n" s="0">
        <v>70.89</v>
      </c>
      <c r="B17090" t="n" s="0">
        <f>(-5-((((-5*(-5/((-5/(((-5*(70.89--5))-(-5+((-5*70.89)*(((-5--5)+(70.89--5))+70.89))))-(-5+-5)))*-5)))/-5)--5)+(-5*(((70.89*(70.89-(-5/-5)))*(70.89-(70.89/(-5*70.89))))-(-5/-5)))))</f>
        <v>1771395.115645</v>
      </c>
      <c r="C17090" t="n" s="0">
        <v>1771395.115645</v>
      </c>
    </row>
    <row r="17091">
      <c r="A17091" t="n" s="0">
        <v>70.9</v>
      </c>
      <c r="B17091" t="n" s="0">
        <f>(-5-((((-5*(-5/((-5/(((-5*(70.9--5))-(-5+((-5*70.9)*(((-5--5)+(70.9--5))+70.9))))-(-5+-5)))*-5)))/-5)--5)+(-5*(((70.9*(70.9-(-5/-5)))*(70.9-(70.9/(-5*70.9))))-(-5/-5)))))</f>
        <v>1772146.2249999999</v>
      </c>
      <c r="C17091" t="n" s="0">
        <v>1772146.2250000003</v>
      </c>
    </row>
    <row r="17092">
      <c r="A17092" t="n" s="0">
        <v>70.91</v>
      </c>
      <c r="B17092" t="n" s="0">
        <f>(-5-((((-5*(-5/((-5/(((-5*(70.91--5))-(-5+((-5*70.91)*(((-5--5)+(70.91--5))+70.91))))-(-5+-5)))*-5)))/-5)--5)+(-5*(((70.91*(70.91-(-5/-5)))*(70.91-(70.91/(-5*70.91))))-(-5/-5)))))</f>
        <v>1772897.546655</v>
      </c>
      <c r="C17092" t="n" s="0">
        <v>1772897.546655</v>
      </c>
    </row>
    <row r="17093">
      <c r="A17093" t="n" s="0">
        <v>70.92</v>
      </c>
      <c r="B17093" t="n" s="0">
        <f>(-5-((((-5*(-5/((-5/(((-5*(70.92--5))-(-5+((-5*70.92)*(((-5--5)+(70.92--5))+70.92))))-(-5+-5)))*-5)))/-5)--5)+(-5*(((70.92*(70.92-(-5/-5)))*(70.92-(70.92/(-5*70.92))))-(-5/-5)))))</f>
        <v>1773649.08064</v>
      </c>
      <c r="C17093" t="n" s="0">
        <v>1773649.08064</v>
      </c>
    </row>
    <row r="17094">
      <c r="A17094" t="n" s="0">
        <v>70.93</v>
      </c>
      <c r="B17094" t="n" s="0">
        <f>(-5-((((-5*(-5/((-5/(((-5*(70.93--5))-(-5+((-5*70.93)*(((-5--5)+(70.93--5))+70.93))))-(-5+-5)))*-5)))/-5)--5)+(-5*(((70.93*(70.93-(-5/-5)))*(70.93-(70.93/(-5*70.93))))-(-5/-5)))))</f>
        <v>1774400.826985</v>
      </c>
      <c r="C17094" t="n" s="0">
        <v>1774400.8269850006</v>
      </c>
    </row>
    <row r="17095">
      <c r="A17095" t="n" s="0">
        <v>70.94</v>
      </c>
      <c r="B17095" t="n" s="0">
        <f>(-5-((((-5*(-5/((-5/(((-5*(70.94--5))-(-5+((-5*70.94)*(((-5--5)+(70.94--5))+70.94))))-(-5+-5)))*-5)))/-5)--5)+(-5*(((70.94*(70.94-(-5/-5)))*(70.94-(70.94/(-5*70.94))))-(-5/-5)))))</f>
        <v>1775152.78572</v>
      </c>
      <c r="C17095" t="n" s="0">
        <v>1775152.7857199998</v>
      </c>
    </row>
    <row r="17096">
      <c r="A17096" t="n" s="0">
        <v>70.95</v>
      </c>
      <c r="B17096" t="n" s="0">
        <f>(-5-((((-5*(-5/((-5/(((-5*(70.95--5))-(-5+((-5*70.95)*(((-5--5)+(70.95--5))+70.95))))-(-5+-5)))*-5)))/-5)--5)+(-5*(((70.95*(70.95-(-5/-5)))*(70.95-(70.95/(-5*70.95))))-(-5/-5)))))</f>
        <v>1775904.956875</v>
      </c>
      <c r="C17096" t="n" s="0">
        <v>1775904.9568750004</v>
      </c>
    </row>
    <row r="17097">
      <c r="A17097" t="n" s="0">
        <v>70.96</v>
      </c>
      <c r="B17097" t="n" s="0">
        <f>(-5-((((-5*(-5/((-5/(((-5*(70.96--5))-(-5+((-5*70.96)*(((-5--5)+(70.96--5))+70.96))))-(-5+-5)))*-5)))/-5)--5)+(-5*(((70.96*(70.96-(-5/-5)))*(70.96-(70.96/(-5*70.96))))-(-5/-5)))))</f>
        <v>1776657.34048</v>
      </c>
      <c r="C17097" t="n" s="0">
        <v>1776657.3404799993</v>
      </c>
    </row>
    <row r="17098">
      <c r="A17098" t="n" s="0">
        <v>70.97</v>
      </c>
      <c r="B17098" t="n" s="0">
        <f>(-5-((((-5*(-5/((-5/(((-5*(70.97--5))-(-5+((-5*70.97)*(((-5--5)+(70.97--5))+70.97))))-(-5+-5)))*-5)))/-5)--5)+(-5*(((70.97*(70.97-(-5/-5)))*(70.97-(70.97/(-5*70.97))))-(-5/-5)))))</f>
        <v>1777409.936565</v>
      </c>
      <c r="C17098" t="n" s="0">
        <v>1777409.9365649999</v>
      </c>
    </row>
    <row r="17099">
      <c r="A17099" t="n" s="0">
        <v>70.98</v>
      </c>
      <c r="B17099" t="n" s="0">
        <f>(-5-((((-5*(-5/((-5/(((-5*(70.98--5))-(-5+((-5*70.98)*(((-5--5)+(70.98--5))+70.98))))-(-5+-5)))*-5)))/-5)--5)+(-5*(((70.98*(70.98-(-5/-5)))*(70.98-(70.98/(-5*70.98))))-(-5/-5)))))</f>
        <v>1778162.74516</v>
      </c>
      <c r="C17099" t="n" s="0">
        <v>1778162.7451600002</v>
      </c>
    </row>
    <row r="17100">
      <c r="A17100" t="n" s="0">
        <v>70.99</v>
      </c>
      <c r="B17100" t="n" s="0">
        <f>(-5-((((-5*(-5/((-5/(((-5*(70.99--5))-(-5+((-5*70.99)*(((-5--5)+(70.99--5))+70.99))))-(-5+-5)))*-5)))/-5)--5)+(-5*(((70.99*(70.99-(-5/-5)))*(70.99-(70.99/(-5*70.99))))-(-5/-5)))))</f>
        <v>1778915.766295</v>
      </c>
      <c r="C17100" t="n" s="0">
        <v>1778915.7662949995</v>
      </c>
    </row>
    <row r="17101">
      <c r="A17101" t="n" s="0">
        <v>71.0</v>
      </c>
      <c r="B17101" t="n" s="0">
        <f>(-5-((((-5*(-5/((-5/(((-5*(71--5))-(-5+((-5*71)*(((-5--5)+(71--5))+71))))-(-5+-5)))*-5)))/-5)--5)+(-5*(((71*(71-(-5/-5)))*(71-(71/(-5*71))))-(-5/-5)))))</f>
        <v>1779669.0</v>
      </c>
      <c r="C17101" t="n" s="0">
        <v>1779669.0</v>
      </c>
    </row>
    <row r="17102">
      <c r="A17102" t="n" s="0">
        <v>71.01</v>
      </c>
      <c r="B17102" t="n" s="0">
        <f>(-5-((((-5*(-5/((-5/(((-5*(71.01--5))-(-5+((-5*71.01)*(((-5--5)+(71.01--5))+71.01))))-(-5+-5)))*-5)))/-5)--5)+(-5*(((71.01*(71.01-(-5/-5)))*(71.01-(71.01/(-5*71.01))))-(-5/-5)))))</f>
        <v>1780422.446305</v>
      </c>
      <c r="C17102" t="n" s="0">
        <v>1780422.4463050005</v>
      </c>
    </row>
    <row r="17103">
      <c r="A17103" t="n" s="0">
        <v>71.02</v>
      </c>
      <c r="B17103" t="n" s="0">
        <f>(-5-((((-5*(-5/((-5/(((-5*(71.02--5))-(-5+((-5*71.02)*(((-5--5)+(71.02--5))+71.02))))-(-5+-5)))*-5)))/-5)--5)+(-5*(((71.02*(71.02-(-5/-5)))*(71.02-(71.02/(-5*71.02))))-(-5/-5)))))</f>
        <v>1781176.10524</v>
      </c>
      <c r="C17103" t="n" s="0">
        <v>1781176.1052399997</v>
      </c>
    </row>
    <row r="17104">
      <c r="A17104" t="n" s="0">
        <v>71.03</v>
      </c>
      <c r="B17104" t="n" s="0">
        <f>(-5-((((-5*(-5/((-5/(((-5*(71.03--5))-(-5+((-5*71.03)*(((-5--5)+(71.03--5))+71.03))))-(-5+-5)))*-5)))/-5)--5)+(-5*(((71.03*(71.03-(-5/-5)))*(71.03-(71.03/(-5*71.03))))-(-5/-5)))))</f>
        <v>1781929.976835</v>
      </c>
      <c r="C17104" t="n" s="0">
        <v>1781929.976835</v>
      </c>
    </row>
    <row r="17105">
      <c r="A17105" t="n" s="0">
        <v>71.04</v>
      </c>
      <c r="B17105" t="n" s="0">
        <f>(-5-((((-5*(-5/((-5/(((-5*(71.04--5))-(-5+((-5*71.04)*(((-5--5)+(71.04--5))+71.04))))-(-5+-5)))*-5)))/-5)--5)+(-5*(((71.04*(71.04-(-5/-5)))*(71.04-(71.04/(-5*71.04))))-(-5/-5)))))</f>
        <v>1782684.06112</v>
      </c>
      <c r="C17105" t="n" s="0">
        <v>1782684.0611200004</v>
      </c>
    </row>
    <row r="17106">
      <c r="A17106" t="n" s="0">
        <v>71.05</v>
      </c>
      <c r="B17106" t="n" s="0">
        <f>(-5-((((-5*(-5/((-5/(((-5*(71.05--5))-(-5+((-5*71.05)*(((-5--5)+(71.05--5))+71.05))))-(-5+-5)))*-5)))/-5)--5)+(-5*(((71.05*(71.05-(-5/-5)))*(71.05-(71.05/(-5*71.05))))-(-5/-5)))))</f>
        <v>1783438.358125</v>
      </c>
      <c r="C17106" t="n" s="0">
        <v>1783438.3581249996</v>
      </c>
    </row>
    <row r="17107">
      <c r="A17107" t="n" s="0">
        <v>71.06</v>
      </c>
      <c r="B17107" t="n" s="0">
        <f>(-5-((((-5*(-5/((-5/(((-5*(71.06--5))-(-5+((-5*71.06)*(((-5--5)+(71.06--5))+71.06))))-(-5+-5)))*-5)))/-5)--5)+(-5*(((71.06*(71.06-(-5/-5)))*(71.06-(71.06/(-5*71.06))))-(-5/-5)))))</f>
        <v>1784192.8678799998</v>
      </c>
      <c r="C17107" t="n" s="0">
        <v>1784192.8678800003</v>
      </c>
    </row>
    <row r="17108">
      <c r="A17108" t="n" s="0">
        <v>71.07</v>
      </c>
      <c r="B17108" t="n" s="0">
        <f>(-5-((((-5*(-5/((-5/(((-5*(71.07--5))-(-5+((-5*71.07)*(((-5--5)+(71.07--5))+71.07))))-(-5+-5)))*-5)))/-5)--5)+(-5*(((71.07*(71.07-(-5/-5)))*(71.07-(71.07/(-5*71.07))))-(-5/-5)))))</f>
        <v>1784947.590415</v>
      </c>
      <c r="C17108" t="n" s="0">
        <v>1784947.5904149995</v>
      </c>
    </row>
    <row r="17109">
      <c r="A17109" t="n" s="0">
        <v>71.08</v>
      </c>
      <c r="B17109" t="n" s="0">
        <f>(-5-((((-5*(-5/((-5/(((-5*(71.08--5))-(-5+((-5*71.08)*(((-5--5)+(71.08--5))+71.08))))-(-5+-5)))*-5)))/-5)--5)+(-5*(((71.08*(71.08-(-5/-5)))*(71.08-(71.08/(-5*71.08))))-(-5/-5)))))</f>
        <v>1785702.5257599999</v>
      </c>
      <c r="C17109" t="n" s="0">
        <v>1785702.5257599999</v>
      </c>
    </row>
    <row r="17110">
      <c r="A17110" t="n" s="0">
        <v>71.09</v>
      </c>
      <c r="B17110" t="n" s="0">
        <f>(-5-((((-5*(-5/((-5/(((-5*(71.09--5))-(-5+((-5*71.09)*(((-5--5)+(71.09--5))+71.09))))-(-5+-5)))*-5)))/-5)--5)+(-5*(((71.09*(71.09-(-5/-5)))*(71.09-(71.09/(-5*71.09))))-(-5/-5)))))</f>
        <v>1786457.6739450002</v>
      </c>
      <c r="C17110" t="n" s="0">
        <v>1786457.6739450004</v>
      </c>
    </row>
    <row r="17111">
      <c r="A17111" t="n" s="0">
        <v>71.1</v>
      </c>
      <c r="B17111" t="n" s="0">
        <f>(-5-((((-5*(-5/((-5/(((-5*(71.1--5))-(-5+((-5*71.1)*(((-5--5)+(71.1--5))+71.1))))-(-5+-5)))*-5)))/-5)--5)+(-5*(((71.1*(71.1-(-5/-5)))*(71.1-(71.1/(-5*71.1))))-(-5/-5)))))</f>
        <v>1787213.0350000001</v>
      </c>
      <c r="C17111" t="n" s="0">
        <v>1787213.0349999997</v>
      </c>
    </row>
    <row r="17112">
      <c r="A17112" t="n" s="0">
        <v>71.11</v>
      </c>
      <c r="B17112" t="n" s="0">
        <f>(-5-((((-5*(-5/((-5/(((-5*(71.11--5))-(-5+((-5*71.11)*(((-5--5)+(71.11--5))+71.11))))-(-5+-5)))*-5)))/-5)--5)+(-5*(((71.11*(71.11-(-5/-5)))*(71.11-(71.11/(-5*71.11))))-(-5/-5)))))</f>
        <v>1787968.608955</v>
      </c>
      <c r="C17112" t="n" s="0">
        <v>1787968.6089549998</v>
      </c>
    </row>
    <row r="17113">
      <c r="A17113" t="n" s="0">
        <v>71.12</v>
      </c>
      <c r="B17113" t="n" s="0">
        <f>(-5-((((-5*(-5/((-5/(((-5*(71.12--5))-(-5+((-5*71.12)*(((-5--5)+(71.12--5))+71.12))))-(-5+-5)))*-5)))/-5)--5)+(-5*(((71.12*(71.12-(-5/-5)))*(71.12-(71.12/(-5*71.12))))-(-5/-5)))))</f>
        <v>1788724.3958400001</v>
      </c>
      <c r="C17113" t="n" s="0">
        <v>1788724.3958400004</v>
      </c>
    </row>
    <row r="17114">
      <c r="A17114" t="n" s="0">
        <v>71.13</v>
      </c>
      <c r="B17114" t="n" s="0">
        <f>(-5-((((-5*(-5/((-5/(((-5*(71.13--5))-(-5+((-5*71.13)*(((-5--5)+(71.13--5))+71.13))))-(-5+-5)))*-5)))/-5)--5)+(-5*(((71.13*(71.13-(-5/-5)))*(71.13-(71.13/(-5*71.13))))-(-5/-5)))))</f>
        <v>1789480.395685</v>
      </c>
      <c r="C17114" t="n" s="0">
        <v>1789480.3956849994</v>
      </c>
    </row>
    <row r="17115">
      <c r="A17115" t="n" s="0">
        <v>71.14</v>
      </c>
      <c r="B17115" t="n" s="0">
        <f>(-5-((((-5*(-5/((-5/(((-5*(71.14--5))-(-5+((-5*71.14)*(((-5--5)+(71.14--5))+71.14))))-(-5+-5)))*-5)))/-5)--5)+(-5*(((71.14*(71.14-(-5/-5)))*(71.14-(71.14/(-5*71.14))))-(-5/-5)))))</f>
        <v>1790236.60852</v>
      </c>
      <c r="C17115" t="n" s="0">
        <v>1790236.60852</v>
      </c>
    </row>
    <row r="17116">
      <c r="A17116" t="n" s="0">
        <v>71.15</v>
      </c>
      <c r="B17116" t="n" s="0">
        <f>(-5-((((-5*(-5/((-5/(((-5*(71.15--5))-(-5+((-5*71.15)*(((-5--5)+(71.15--5))+71.15))))-(-5+-5)))*-5)))/-5)--5)+(-5*(((71.15*(71.15-(-5/-5)))*(71.15-(71.15/(-5*71.15))))-(-5/-5)))))</f>
        <v>1790993.034375</v>
      </c>
      <c r="C17116" t="n" s="0">
        <v>1790993.0343750003</v>
      </c>
    </row>
    <row r="17117">
      <c r="A17117" t="n" s="0">
        <v>71.16</v>
      </c>
      <c r="B17117" t="n" s="0">
        <f>(-5-((((-5*(-5/((-5/(((-5*(71.16--5))-(-5+((-5*71.16)*(((-5--5)+(71.16--5))+71.16))))-(-5+-5)))*-5)))/-5)--5)+(-5*(((71.16*(71.16-(-5/-5)))*(71.16-(71.16/(-5*71.16))))-(-5/-5)))))</f>
        <v>1791749.67328</v>
      </c>
      <c r="C17117" t="n" s="0">
        <v>1791749.6732799998</v>
      </c>
    </row>
    <row r="17118">
      <c r="A17118" t="n" s="0">
        <v>71.17</v>
      </c>
      <c r="B17118" t="n" s="0">
        <f>(-5-((((-5*(-5/((-5/(((-5*(71.17--5))-(-5+((-5*71.17)*(((-5--5)+(71.17--5))+71.17))))-(-5+-5)))*-5)))/-5)--5)+(-5*(((71.17*(71.17-(-5/-5)))*(71.17-(71.17/(-5*71.17))))-(-5/-5)))))</f>
        <v>1792506.525265</v>
      </c>
      <c r="C17118" t="n" s="0">
        <v>1792506.525265</v>
      </c>
    </row>
    <row r="17119">
      <c r="A17119" t="n" s="0">
        <v>71.18</v>
      </c>
      <c r="B17119" t="n" s="0">
        <f>(-5-((((-5*(-5/((-5/(((-5*(71.18--5))-(-5+((-5*71.18)*(((-5--5)+(71.18--5))+71.18))))-(-5+-5)))*-5)))/-5)--5)+(-5*(((71.18*(71.18-(-5/-5)))*(71.18-(71.18/(-5*71.18))))-(-5/-5)))))</f>
        <v>1793263.5903599998</v>
      </c>
      <c r="C17119" t="n" s="0">
        <v>1793263.5903600005</v>
      </c>
    </row>
    <row r="17120">
      <c r="A17120" t="n" s="0">
        <v>71.19</v>
      </c>
      <c r="B17120" t="n" s="0">
        <f>(-5-((((-5*(-5/((-5/(((-5*(71.19--5))-(-5+((-5*71.19)*(((-5--5)+(71.19--5))+71.19))))-(-5+-5)))*-5)))/-5)--5)+(-5*(((71.19*(71.19-(-5/-5)))*(71.19-(71.19/(-5*71.19))))-(-5/-5)))))</f>
        <v>1794020.8685950001</v>
      </c>
      <c r="C17120" t="n" s="0">
        <v>1794020.868595</v>
      </c>
    </row>
    <row r="17121">
      <c r="A17121" t="n" s="0">
        <v>71.2</v>
      </c>
      <c r="B17121" t="n" s="0">
        <f>(-5-((((-5*(-5/((-5/(((-5*(71.2--5))-(-5+((-5*71.2)*(((-5--5)+(71.2--5))+71.2))))-(-5+-5)))*-5)))/-5)--5)+(-5*(((71.2*(71.2-(-5/-5)))*(71.2-(71.2/(-5*71.2))))-(-5/-5)))))</f>
        <v>1794778.3599999999</v>
      </c>
      <c r="C17121" t="n" s="0">
        <v>1794778.3600000003</v>
      </c>
    </row>
    <row r="17122">
      <c r="A17122" t="n" s="0">
        <v>71.21</v>
      </c>
      <c r="B17122" t="n" s="0">
        <f>(-5-((((-5*(-5/((-5/(((-5*(71.21--5))-(-5+((-5*71.21)*(((-5--5)+(71.21--5))+71.21))))-(-5+-5)))*-5)))/-5)--5)+(-5*(((71.21*(71.21-(-5/-5)))*(71.21-(71.21/(-5*71.21))))-(-5/-5)))))</f>
        <v>1795536.0646050002</v>
      </c>
      <c r="C17122" t="n" s="0">
        <v>1795536.0646049995</v>
      </c>
    </row>
    <row r="17123">
      <c r="A17123" t="n" s="0">
        <v>71.22</v>
      </c>
      <c r="B17123" t="n" s="0">
        <f>(-5-((((-5*(-5/((-5/(((-5*(71.22--5))-(-5+((-5*71.22)*(((-5--5)+(71.22--5))+71.22))))-(-5+-5)))*-5)))/-5)--5)+(-5*(((71.22*(71.22-(-5/-5)))*(71.22-(71.22/(-5*71.22))))-(-5/-5)))))</f>
        <v>1796293.98244</v>
      </c>
      <c r="C17123" t="n" s="0">
        <v>1796293.9824400002</v>
      </c>
    </row>
    <row r="17124">
      <c r="A17124" t="n" s="0">
        <v>71.23</v>
      </c>
      <c r="B17124" t="n" s="0">
        <f>(-5-((((-5*(-5/((-5/(((-5*(71.23--5))-(-5+((-5*71.23)*(((-5--5)+(71.23--5))+71.23))))-(-5+-5)))*-5)))/-5)--5)+(-5*(((71.23*(71.23-(-5/-5)))*(71.23-(71.23/(-5*71.23))))-(-5/-5)))))</f>
        <v>1797052.113535</v>
      </c>
      <c r="C17124" t="n" s="0">
        <v>1797052.113535</v>
      </c>
    </row>
    <row r="17125">
      <c r="A17125" t="n" s="0">
        <v>71.24</v>
      </c>
      <c r="B17125" t="n" s="0">
        <f>(-5-((((-5*(-5/((-5/(((-5*(71.24--5))-(-5+((-5*71.24)*(((-5--5)+(71.24--5))+71.24))))-(-5+-5)))*-5)))/-5)--5)+(-5*(((71.24*(71.24-(-5/-5)))*(71.24-(71.24/(-5*71.24))))-(-5/-5)))))</f>
        <v>1797810.45792</v>
      </c>
      <c r="C17125" t="n" s="0">
        <v>1797810.4579199997</v>
      </c>
    </row>
    <row r="17126">
      <c r="A17126" t="n" s="0">
        <v>71.25</v>
      </c>
      <c r="B17126" t="n" s="0">
        <f>(-5-((((-5*(-5/((-5/(((-5*(71.25--5))-(-5+((-5*71.25)*(((-5--5)+(71.25--5))+71.25))))-(-5+-5)))*-5)))/-5)--5)+(-5*(((71.25*(71.25-(-5/-5)))*(71.25-(71.25/(-5*71.25))))-(-5/-5)))))</f>
        <v>1798569.015625</v>
      </c>
      <c r="C17126" t="n" s="0">
        <v>1798569.015625</v>
      </c>
    </row>
    <row r="17127">
      <c r="A17127" t="n" s="0">
        <v>71.26</v>
      </c>
      <c r="B17127" t="n" s="0">
        <f>(-5-((((-5*(-5/((-5/(((-5*(71.26--5))-(-5+((-5*71.26)*(((-5--5)+(71.26--5))+71.26))))-(-5+-5)))*-5)))/-5)--5)+(-5*(((71.26*(71.26-(-5/-5)))*(71.26-(71.26/(-5*71.26))))-(-5/-5)))))</f>
        <v>1799327.7866800001</v>
      </c>
      <c r="C17127" t="n" s="0">
        <v>1799327.7866800004</v>
      </c>
    </row>
    <row r="17128">
      <c r="A17128" t="n" s="0">
        <v>71.27</v>
      </c>
      <c r="B17128" t="n" s="0">
        <f>(-5-((((-5*(-5/((-5/(((-5*(71.27--5))-(-5+((-5*71.27)*(((-5--5)+(71.27--5))+71.27))))-(-5+-5)))*-5)))/-5)--5)+(-5*(((71.27*(71.27-(-5/-5)))*(71.27-(71.27/(-5*71.27))))-(-5/-5)))))</f>
        <v>1800086.7711150001</v>
      </c>
      <c r="C17128" t="n" s="0">
        <v>1800086.7711149997</v>
      </c>
    </row>
    <row r="17129">
      <c r="A17129" t="n" s="0">
        <v>71.28</v>
      </c>
      <c r="B17129" t="n" s="0">
        <f>(-5-((((-5*(-5/((-5/(((-5*(71.28--5))-(-5+((-5*71.28)*(((-5--5)+(71.28--5))+71.28))))-(-5+-5)))*-5)))/-5)--5)+(-5*(((71.28*(71.28-(-5/-5)))*(71.28-(71.28/(-5*71.28))))-(-5/-5)))))</f>
        <v>1800845.96896</v>
      </c>
      <c r="C17129" t="n" s="0">
        <v>1800845.9689600002</v>
      </c>
    </row>
    <row r="17130">
      <c r="A17130" t="n" s="0">
        <v>71.29</v>
      </c>
      <c r="B17130" t="n" s="0">
        <f>(-5-((((-5*(-5/((-5/(((-5*(71.29--5))-(-5+((-5*71.29)*(((-5--5)+(71.29--5))+71.29))))-(-5+-5)))*-5)))/-5)--5)+(-5*(((71.29*(71.29-(-5/-5)))*(71.29-(71.29/(-5*71.29))))-(-5/-5)))))</f>
        <v>1801605.380245</v>
      </c>
      <c r="C17130" t="n" s="0">
        <v>1801605.3802450006</v>
      </c>
    </row>
    <row r="17131">
      <c r="A17131" t="n" s="0">
        <v>71.3</v>
      </c>
      <c r="B17131" t="n" s="0">
        <f>(-5-((((-5*(-5/((-5/(((-5*(71.3--5))-(-5+((-5*71.3)*(((-5--5)+(71.3--5))+71.3))))-(-5+-5)))*-5)))/-5)--5)+(-5*(((71.3*(71.3-(-5/-5)))*(71.3-(71.3/(-5*71.3))))-(-5/-5)))))</f>
        <v>1802365.0050000001</v>
      </c>
      <c r="C17131" t="n" s="0">
        <v>1802365.005</v>
      </c>
    </row>
    <row r="17132">
      <c r="A17132" t="n" s="0">
        <v>71.31</v>
      </c>
      <c r="B17132" t="n" s="0">
        <f>(-5-((((-5*(-5/((-5/(((-5*(71.31--5))-(-5+((-5*71.31)*(((-5--5)+(71.31--5))+71.31))))-(-5+-5)))*-5)))/-5)--5)+(-5*(((71.31*(71.31-(-5/-5)))*(71.31-(71.31/(-5*71.31))))-(-5/-5)))))</f>
        <v>1803124.843255</v>
      </c>
      <c r="C17132" t="n" s="0">
        <v>1803124.843255</v>
      </c>
    </row>
    <row r="17133">
      <c r="A17133" t="n" s="0">
        <v>71.32</v>
      </c>
      <c r="B17133" t="n" s="0">
        <f>(-5-((((-5*(-5/((-5/(((-5*(71.32--5))-(-5+((-5*71.32)*(((-5--5)+(71.32--5))+71.32))))-(-5+-5)))*-5)))/-5)--5)+(-5*(((71.32*(71.32-(-5/-5)))*(71.32-(71.32/(-5*71.32))))-(-5/-5)))))</f>
        <v>1803884.89504</v>
      </c>
      <c r="C17133" t="n" s="0">
        <v>1803884.8950399994</v>
      </c>
    </row>
    <row r="17134">
      <c r="A17134" t="n" s="0">
        <v>71.33</v>
      </c>
      <c r="B17134" t="n" s="0">
        <f>(-5-((((-5*(-5/((-5/(((-5*(71.33--5))-(-5+((-5*71.33)*(((-5--5)+(71.33--5))+71.33))))-(-5+-5)))*-5)))/-5)--5)+(-5*(((71.33*(71.33-(-5/-5)))*(71.33-(71.33/(-5*71.33))))-(-5/-5)))))</f>
        <v>1804645.160385</v>
      </c>
      <c r="C17134" t="n" s="0">
        <v>1804645.1603849998</v>
      </c>
    </row>
    <row r="17135">
      <c r="A17135" t="n" s="0">
        <v>71.34</v>
      </c>
      <c r="B17135" t="n" s="0">
        <f>(-5-((((-5*(-5/((-5/(((-5*(71.34--5))-(-5+((-5*71.34)*(((-5--5)+(71.34--5))+71.34))))-(-5+-5)))*-5)))/-5)--5)+(-5*(((71.34*(71.34-(-5/-5)))*(71.34-(71.34/(-5*71.34))))-(-5/-5)))))</f>
        <v>1805405.63932</v>
      </c>
      <c r="C17135" t="n" s="0">
        <v>1805405.6393200003</v>
      </c>
    </row>
    <row r="17136">
      <c r="A17136" t="n" s="0">
        <v>71.35</v>
      </c>
      <c r="B17136" t="n" s="0">
        <f>(-5-((((-5*(-5/((-5/(((-5*(71.35--5))-(-5+((-5*71.35)*(((-5--5)+(71.35--5))+71.35))))-(-5+-5)))*-5)))/-5)--5)+(-5*(((71.35*(71.35-(-5/-5)))*(71.35-(71.35/(-5*71.35))))-(-5/-5)))))</f>
        <v>1806166.331875</v>
      </c>
      <c r="C17136" t="n" s="0">
        <v>1806166.3318749995</v>
      </c>
    </row>
    <row r="17137">
      <c r="A17137" t="n" s="0">
        <v>71.36</v>
      </c>
      <c r="B17137" t="n" s="0">
        <f>(-5-((((-5*(-5/((-5/(((-5*(71.36--5))-(-5+((-5*71.36)*(((-5--5)+(71.36--5))+71.36))))-(-5+-5)))*-5)))/-5)--5)+(-5*(((71.36*(71.36-(-5/-5)))*(71.36-(71.36/(-5*71.36))))-(-5/-5)))))</f>
        <v>1806927.2380799998</v>
      </c>
      <c r="C17137" t="n" s="0">
        <v>1806927.2380800003</v>
      </c>
    </row>
    <row r="17138">
      <c r="A17138" t="n" s="0">
        <v>71.37</v>
      </c>
      <c r="B17138" t="n" s="0">
        <f>(-5-((((-5*(-5/((-5/(((-5*(71.37--5))-(-5+((-5*71.37)*(((-5--5)+(71.37--5))+71.37))))-(-5+-5)))*-5)))/-5)--5)+(-5*(((71.37*(71.37-(-5/-5)))*(71.37-(71.37/(-5*71.37))))-(-5/-5)))))</f>
        <v>1807688.357965</v>
      </c>
      <c r="C17138" t="n" s="0">
        <v>1807688.3579650004</v>
      </c>
    </row>
    <row r="17139">
      <c r="A17139" t="n" s="0">
        <v>71.38</v>
      </c>
      <c r="B17139" t="n" s="0">
        <f>(-5-((((-5*(-5/((-5/(((-5*(71.38--5))-(-5+((-5*71.38)*(((-5--5)+(71.38--5))+71.38))))-(-5+-5)))*-5)))/-5)--5)+(-5*(((71.38*(71.38-(-5/-5)))*(71.38-(71.38/(-5*71.38))))-(-5/-5)))))</f>
        <v>1808449.69156</v>
      </c>
      <c r="C17139" t="n" s="0">
        <v>1808449.6915599997</v>
      </c>
    </row>
    <row r="17140">
      <c r="A17140" t="n" s="0">
        <v>71.39</v>
      </c>
      <c r="B17140" t="n" s="0">
        <f>(-5-((((-5*(-5/((-5/(((-5*(71.39--5))-(-5+((-5*71.39)*(((-5--5)+(71.39--5))+71.39))))-(-5+-5)))*-5)))/-5)--5)+(-5*(((71.39*(71.39-(-5/-5)))*(71.39-(71.39/(-5*71.39))))-(-5/-5)))))</f>
        <v>1809211.238895</v>
      </c>
      <c r="C17140" t="n" s="0">
        <v>1809211.2388950002</v>
      </c>
    </row>
    <row r="17141">
      <c r="A17141" t="n" s="0">
        <v>71.4</v>
      </c>
      <c r="B17141" t="n" s="0">
        <f>(-5-((((-5*(-5/((-5/(((-5*(71.4--5))-(-5+((-5*71.4)*(((-5--5)+(71.4--5))+71.4))))-(-5+-5)))*-5)))/-5)--5)+(-5*(((71.4*(71.4-(-5/-5)))*(71.4-(71.4/(-5*71.4))))-(-5/-5)))))</f>
        <v>1809973.0</v>
      </c>
      <c r="C17141" t="n" s="0">
        <v>1809973.0000000005</v>
      </c>
    </row>
    <row r="17142">
      <c r="A17142" t="n" s="0">
        <v>71.41</v>
      </c>
      <c r="B17142" t="n" s="0">
        <f>(-5-((((-5*(-5/((-5/(((-5*(71.41--5))-(-5+((-5*71.41)*(((-5--5)+(71.41--5))+71.41))))-(-5+-5)))*-5)))/-5)--5)+(-5*(((71.41*(71.41-(-5/-5)))*(71.41-(71.41/(-5*71.41))))-(-5/-5)))))</f>
        <v>1810734.974905</v>
      </c>
      <c r="C17142" t="n" s="0">
        <v>1810734.9749049998</v>
      </c>
    </row>
    <row r="17143">
      <c r="A17143" t="n" s="0">
        <v>71.42</v>
      </c>
      <c r="B17143" t="n" s="0">
        <f>(-5-((((-5*(-5/((-5/(((-5*(71.42--5))-(-5+((-5*71.42)*(((-5--5)+(71.42--5))+71.42))))-(-5+-5)))*-5)))/-5)--5)+(-5*(((71.42*(71.42-(-5/-5)))*(71.42-(71.42/(-5*71.42))))-(-5/-5)))))</f>
        <v>1811497.16364</v>
      </c>
      <c r="C17143" t="n" s="0">
        <v>1811497.16364</v>
      </c>
    </row>
    <row r="17144">
      <c r="A17144" t="n" s="0">
        <v>71.43</v>
      </c>
      <c r="B17144" t="n" s="0">
        <f>(-5-((((-5*(-5/((-5/(((-5*(71.43--5))-(-5+((-5*71.43)*(((-5--5)+(71.43--5))+71.43))))-(-5+-5)))*-5)))/-5)--5)+(-5*(((71.43*(71.43-(-5/-5)))*(71.43-(71.43/(-5*71.43))))-(-5/-5)))))</f>
        <v>1812259.566235</v>
      </c>
      <c r="C17144" t="n" s="0">
        <v>1812259.5662350005</v>
      </c>
    </row>
    <row r="17145">
      <c r="A17145" t="n" s="0">
        <v>71.44</v>
      </c>
      <c r="B17145" t="n" s="0">
        <f>(-5-((((-5*(-5/((-5/(((-5*(71.44--5))-(-5+((-5*71.44)*(((-5--5)+(71.44--5))+71.44))))-(-5+-5)))*-5)))/-5)--5)+(-5*(((71.44*(71.44-(-5/-5)))*(71.44-(71.44/(-5*71.44))))-(-5/-5)))))</f>
        <v>1813022.18272</v>
      </c>
      <c r="C17145" t="n" s="0">
        <v>1813022.18272</v>
      </c>
    </row>
    <row r="17146">
      <c r="A17146" t="n" s="0">
        <v>71.45</v>
      </c>
      <c r="B17146" t="n" s="0">
        <f>(-5-((((-5*(-5/((-5/(((-5*(71.45--5))-(-5+((-5*71.45)*(((-5--5)+(71.45--5))+71.45))))-(-5+-5)))*-5)))/-5)--5)+(-5*(((71.45*(71.45-(-5/-5)))*(71.45-(71.45/(-5*71.45))))-(-5/-5)))))</f>
        <v>1813785.0131249998</v>
      </c>
      <c r="C17146" t="n" s="0">
        <v>1813785.013125</v>
      </c>
    </row>
    <row r="17147">
      <c r="A17147" t="n" s="0">
        <v>71.46</v>
      </c>
      <c r="B17147" t="n" s="0">
        <f>(-5-((((-5*(-5/((-5/(((-5*(71.46--5))-(-5+((-5*71.46)*(((-5--5)+(71.46--5))+71.46))))-(-5+-5)))*-5)))/-5)--5)+(-5*(((71.46*(71.46-(-5/-5)))*(71.46-(71.46/(-5*71.46))))-(-5/-5)))))</f>
        <v>1814548.05748</v>
      </c>
      <c r="C17147" t="n" s="0">
        <v>1814548.0574799993</v>
      </c>
    </row>
    <row r="17148">
      <c r="A17148" t="n" s="0">
        <v>71.47</v>
      </c>
      <c r="B17148" t="n" s="0">
        <f>(-5-((((-5*(-5/((-5/(((-5*(71.47--5))-(-5+((-5*71.47)*(((-5--5)+(71.47--5))+71.47))))-(-5+-5)))*-5)))/-5)--5)+(-5*(((71.47*(71.47-(-5/-5)))*(71.47-(71.47/(-5*71.47))))-(-5/-5)))))</f>
        <v>1815311.315815</v>
      </c>
      <c r="C17148" t="n" s="0">
        <v>1815311.3158149999</v>
      </c>
    </row>
    <row r="17149">
      <c r="A17149" t="n" s="0">
        <v>71.48</v>
      </c>
      <c r="B17149" t="n" s="0">
        <f>(-5-((((-5*(-5/((-5/(((-5*(71.48--5))-(-5+((-5*71.48)*(((-5--5)+(71.48--5))+71.48))))-(-5+-5)))*-5)))/-5)--5)+(-5*(((71.48*(71.48-(-5/-5)))*(71.48-(71.48/(-5*71.48))))-(-5/-5)))))</f>
        <v>1816074.78816</v>
      </c>
      <c r="C17149" t="n" s="0">
        <v>1816074.7881600002</v>
      </c>
    </row>
    <row r="17150">
      <c r="A17150" t="n" s="0">
        <v>71.49</v>
      </c>
      <c r="B17150" t="n" s="0">
        <f>(-5-((((-5*(-5/((-5/(((-5*(71.49--5))-(-5+((-5*71.49)*(((-5--5)+(71.49--5))+71.49))))-(-5+-5)))*-5)))/-5)--5)+(-5*(((71.49*(71.49-(-5/-5)))*(71.49-(71.49/(-5*71.49))))-(-5/-5)))))</f>
        <v>1816838.474545</v>
      </c>
      <c r="C17150" t="n" s="0">
        <v>1816838.4745449997</v>
      </c>
    </row>
    <row r="17151">
      <c r="A17151" t="n" s="0">
        <v>71.5</v>
      </c>
      <c r="B17151" t="n" s="0">
        <f>(-5-((((-5*(-5/((-5/(((-5*(71.5--5))-(-5+((-5*71.5)*(((-5--5)+(71.5--5))+71.5))))-(-5+-5)))*-5)))/-5)--5)+(-5*(((71.5*(71.5-(-5/-5)))*(71.5-(71.5/(-5*71.5))))-(-5/-5)))))</f>
        <v>1817602.375</v>
      </c>
      <c r="C17151" t="n" s="0">
        <v>1817602.375</v>
      </c>
    </row>
    <row r="17152">
      <c r="A17152" t="n" s="0">
        <v>71.51</v>
      </c>
      <c r="B17152" t="n" s="0">
        <f>(-5-((((-5*(-5/((-5/(((-5*(71.51--5))-(-5+((-5*71.51)*(((-5--5)+(71.51--5))+71.51))))-(-5+-5)))*-5)))/-5)--5)+(-5*(((71.51*(71.51-(-5/-5)))*(71.51-(71.51/(-5*71.51))))-(-5/-5)))))</f>
        <v>1818366.489555</v>
      </c>
      <c r="C17152" t="n" s="0">
        <v>1818366.4895550003</v>
      </c>
    </row>
    <row r="17153">
      <c r="A17153" t="n" s="0">
        <v>71.52</v>
      </c>
      <c r="B17153" t="n" s="0">
        <f>(-5-((((-5*(-5/((-5/(((-5*(71.52--5))-(-5+((-5*71.52)*(((-5--5)+(71.52--5))+71.52))))-(-5+-5)))*-5)))/-5)--5)+(-5*(((71.52*(71.52-(-5/-5)))*(71.52-(71.52/(-5*71.52))))-(-5/-5)))))</f>
        <v>1819130.8182400002</v>
      </c>
      <c r="C17153" t="n" s="0">
        <v>1819130.8182399997</v>
      </c>
    </row>
    <row r="17154">
      <c r="A17154" t="n" s="0">
        <v>71.53</v>
      </c>
      <c r="B17154" t="n" s="0">
        <f>(-5-((((-5*(-5/((-5/(((-5*(71.53--5))-(-5+((-5*71.53)*(((-5--5)+(71.53--5))+71.53))))-(-5+-5)))*-5)))/-5)--5)+(-5*(((71.53*(71.53-(-5/-5)))*(71.53-(71.53/(-5*71.53))))-(-5/-5)))))</f>
        <v>1819895.361085</v>
      </c>
      <c r="C17154" t="n" s="0">
        <v>1819895.361085</v>
      </c>
    </row>
    <row r="17155">
      <c r="A17155" t="n" s="0">
        <v>71.54</v>
      </c>
      <c r="B17155" t="n" s="0">
        <f>(-5-((((-5*(-5/((-5/(((-5*(71.54--5))-(-5+((-5*71.54)*(((-5--5)+(71.54--5))+71.54))))-(-5+-5)))*-5)))/-5)--5)+(-5*(((71.54*(71.54-(-5/-5)))*(71.54-(71.54/(-5*71.54))))-(-5/-5)))))</f>
        <v>1820660.11812</v>
      </c>
      <c r="C17155" t="n" s="0">
        <v>1820660.1181200007</v>
      </c>
    </row>
    <row r="17156">
      <c r="A17156" t="n" s="0">
        <v>71.55</v>
      </c>
      <c r="B17156" t="n" s="0">
        <f>(-5-((((-5*(-5/((-5/(((-5*(71.55--5))-(-5+((-5*71.55)*(((-5--5)+(71.55--5))+71.55))))-(-5+-5)))*-5)))/-5)--5)+(-5*(((71.55*(71.55-(-5/-5)))*(71.55-(71.55/(-5*71.55))))-(-5/-5)))))</f>
        <v>1821425.089375</v>
      </c>
      <c r="C17156" t="n" s="0">
        <v>1821425.0893749997</v>
      </c>
    </row>
    <row r="17157">
      <c r="A17157" t="n" s="0">
        <v>71.56</v>
      </c>
      <c r="B17157" t="n" s="0">
        <f>(-5-((((-5*(-5/((-5/(((-5*(71.56--5))-(-5+((-5*71.56)*(((-5--5)+(71.56--5))+71.56))))-(-5+-5)))*-5)))/-5)--5)+(-5*(((71.56*(71.56-(-5/-5)))*(71.56-(71.56/(-5*71.56))))-(-5/-5)))))</f>
        <v>1822190.27488</v>
      </c>
      <c r="C17157" t="n" s="0">
        <v>1822190.2748800002</v>
      </c>
    </row>
    <row r="17158">
      <c r="A17158" t="n" s="0">
        <v>71.57</v>
      </c>
      <c r="B17158" t="n" s="0">
        <f>(-5-((((-5*(-5/((-5/(((-5*(71.57--5))-(-5+((-5*71.57)*(((-5--5)+(71.57--5))+71.57))))-(-5+-5)))*-5)))/-5)--5)+(-5*(((71.57*(71.57-(-5/-5)))*(71.57-(71.57/(-5*71.57))))-(-5/-5)))))</f>
        <v>1822955.6746649998</v>
      </c>
      <c r="C17158" t="n" s="0">
        <v>1822955.6746649996</v>
      </c>
    </row>
    <row r="17159">
      <c r="A17159" t="n" s="0">
        <v>71.58</v>
      </c>
      <c r="B17159" t="n" s="0">
        <f>(-5-((((-5*(-5/((-5/(((-5*(71.58--5))-(-5+((-5*71.58)*(((-5--5)+(71.58--5))+71.58))))-(-5+-5)))*-5)))/-5)--5)+(-5*(((71.58*(71.58-(-5/-5)))*(71.58-(71.58/(-5*71.58))))-(-5/-5)))))</f>
        <v>1823721.2887600001</v>
      </c>
      <c r="C17159" t="n" s="0">
        <v>1823721.2887599997</v>
      </c>
    </row>
    <row r="17160">
      <c r="A17160" t="n" s="0">
        <v>71.59</v>
      </c>
      <c r="B17160" t="n" s="0">
        <f>(-5-((((-5*(-5/((-5/(((-5*(71.59--5))-(-5+((-5*71.59)*(((-5--5)+(71.59--5))+71.59))))-(-5+-5)))*-5)))/-5)--5)+(-5*(((71.59*(71.59-(-5/-5)))*(71.59-(71.59/(-5*71.59))))-(-5/-5)))))</f>
        <v>1824487.117195</v>
      </c>
      <c r="C17160" t="n" s="0">
        <v>1824487.1171950002</v>
      </c>
    </row>
    <row r="17161">
      <c r="A17161" t="n" s="0">
        <v>71.6</v>
      </c>
      <c r="B17161" t="n" s="0">
        <f>(-5-((((-5*(-5/((-5/(((-5*(71.6--5))-(-5+((-5*71.6)*(((-5--5)+(71.6--5))+71.6))))-(-5+-5)))*-5)))/-5)--5)+(-5*(((71.6*(71.6-(-5/-5)))*(71.6-(71.6/(-5*71.6))))-(-5/-5)))))</f>
        <v>1825253.16</v>
      </c>
      <c r="C17161" t="n" s="0">
        <v>1825253.1599999997</v>
      </c>
    </row>
    <row r="17162">
      <c r="A17162" t="n" s="0">
        <v>71.61</v>
      </c>
      <c r="B17162" t="n" s="0">
        <f>(-5-((((-5*(-5/((-5/(((-5*(71.61--5))-(-5+((-5*71.61)*(((-5--5)+(71.61--5))+71.61))))-(-5+-5)))*-5)))/-5)--5)+(-5*(((71.61*(71.61-(-5/-5)))*(71.61-(71.61/(-5*71.61))))-(-5/-5)))))</f>
        <v>1826019.417205</v>
      </c>
      <c r="C17162" t="n" s="0">
        <v>1826019.417205</v>
      </c>
    </row>
    <row r="17163">
      <c r="A17163" t="n" s="0">
        <v>71.62</v>
      </c>
      <c r="B17163" t="n" s="0">
        <f>(-5-((((-5*(-5/((-5/(((-5*(71.62--5))-(-5+((-5*71.62)*(((-5--5)+(71.62--5))+71.62))))-(-5+-5)))*-5)))/-5)--5)+(-5*(((71.62*(71.62-(-5/-5)))*(71.62-(71.62/(-5*71.62))))-(-5/-5)))))</f>
        <v>1826785.88884</v>
      </c>
      <c r="C17163" t="n" s="0">
        <v>1826785.8888400004</v>
      </c>
    </row>
    <row r="17164">
      <c r="A17164" t="n" s="0">
        <v>71.63</v>
      </c>
      <c r="B17164" t="n" s="0">
        <f>(-5-((((-5*(-5/((-5/(((-5*(71.63--5))-(-5+((-5*71.63)*(((-5--5)+(71.63--5))+71.63))))-(-5+-5)))*-5)))/-5)--5)+(-5*(((71.63*(71.63-(-5/-5)))*(71.63-(71.63/(-5*71.63))))-(-5/-5)))))</f>
        <v>1827552.5749350002</v>
      </c>
      <c r="C17164" t="n" s="0">
        <v>1827552.5749349995</v>
      </c>
    </row>
    <row r="17165">
      <c r="A17165" t="n" s="0">
        <v>71.64</v>
      </c>
      <c r="B17165" t="n" s="0">
        <f>(-5-((((-5*(-5/((-5/(((-5*(71.64--5))-(-5+((-5*71.64)*(((-5--5)+(71.64--5))+71.64))))-(-5+-5)))*-5)))/-5)--5)+(-5*(((71.64*(71.64-(-5/-5)))*(71.64-(71.64/(-5*71.64))))-(-5/-5)))))</f>
        <v>1828319.47552</v>
      </c>
      <c r="C17165" t="n" s="0">
        <v>1828319.4755199999</v>
      </c>
    </row>
    <row r="17166">
      <c r="A17166" t="n" s="0">
        <v>71.65</v>
      </c>
      <c r="B17166" t="n" s="0">
        <f>(-5-((((-5*(-5/((-5/(((-5*(71.65--5))-(-5+((-5*71.65)*(((-5--5)+(71.65--5))+71.65))))-(-5+-5)))*-5)))/-5)--5)+(-5*(((71.65*(71.65-(-5/-5)))*(71.65-(71.65/(-5*71.65))))-(-5/-5)))))</f>
        <v>1829086.590625</v>
      </c>
      <c r="C17166" t="n" s="0">
        <v>1829086.5906250002</v>
      </c>
    </row>
    <row r="17167">
      <c r="A17167" t="n" s="0">
        <v>71.66</v>
      </c>
      <c r="B17167" t="n" s="0">
        <f>(-5-((((-5*(-5/((-5/(((-5*(71.66--5))-(-5+((-5*71.66)*(((-5--5)+(71.66--5))+71.66))))-(-5+-5)))*-5)))/-5)--5)+(-5*(((71.66*(71.66-(-5/-5)))*(71.66-(71.66/(-5*71.66))))-(-5/-5)))))</f>
        <v>1829853.92028</v>
      </c>
      <c r="C17167" t="n" s="0">
        <v>1829853.9202799995</v>
      </c>
    </row>
    <row r="17168">
      <c r="A17168" t="n" s="0">
        <v>71.67</v>
      </c>
      <c r="B17168" t="n" s="0">
        <f>(-5-((((-5*(-5/((-5/(((-5*(71.67--5))-(-5+((-5*71.67)*(((-5--5)+(71.67--5))+71.67))))-(-5+-5)))*-5)))/-5)--5)+(-5*(((71.67*(71.67-(-5/-5)))*(71.67-(71.67/(-5*71.67))))-(-5/-5)))))</f>
        <v>1830621.464515</v>
      </c>
      <c r="C17168" t="n" s="0">
        <v>1830621.464515</v>
      </c>
    </row>
    <row r="17169">
      <c r="A17169" t="n" s="0">
        <v>71.68</v>
      </c>
      <c r="B17169" t="n" s="0">
        <f>(-5-((((-5*(-5/((-5/(((-5*(71.68--5))-(-5+((-5*71.68)*(((-5--5)+(71.68--5))+71.68))))-(-5+-5)))*-5)))/-5)--5)+(-5*(((71.68*(71.68-(-5/-5)))*(71.68-(71.68/(-5*71.68))))-(-5/-5)))))</f>
        <v>1831389.22336</v>
      </c>
      <c r="C17169" t="n" s="0">
        <v>1831389.2233600004</v>
      </c>
    </row>
    <row r="17170">
      <c r="A17170" t="n" s="0">
        <v>71.69</v>
      </c>
      <c r="B17170" t="n" s="0">
        <f>(-5-((((-5*(-5/((-5/(((-5*(71.69--5))-(-5+((-5*71.69)*(((-5--5)+(71.69--5))+71.69))))-(-5+-5)))*-5)))/-5)--5)+(-5*(((71.69*(71.69-(-5/-5)))*(71.69-(71.69/(-5*71.69))))-(-5/-5)))))</f>
        <v>1832157.196845</v>
      </c>
      <c r="C17170" t="n" s="0">
        <v>1832157.196845</v>
      </c>
    </row>
    <row r="17171">
      <c r="A17171" t="n" s="0">
        <v>71.7</v>
      </c>
      <c r="B17171" t="n" s="0">
        <f>(-5-((((-5*(-5/((-5/(((-5*(71.7--5))-(-5+((-5*71.7)*(((-5--5)+(71.7--5))+71.7))))-(-5+-5)))*-5)))/-5)--5)+(-5*(((71.7*(71.7-(-5/-5)))*(71.7-(71.7/(-5*71.7))))-(-5/-5)))))</f>
        <v>1832925.385</v>
      </c>
      <c r="C17171" t="n" s="0">
        <v>1832925.3850000002</v>
      </c>
    </row>
    <row r="17172">
      <c r="A17172" t="n" s="0">
        <v>71.71</v>
      </c>
      <c r="B17172" t="n" s="0">
        <f>(-5-((((-5*(-5/((-5/(((-5*(71.71--5))-(-5+((-5*71.71)*(((-5--5)+(71.71--5))+71.71))))-(-5+-5)))*-5)))/-5)--5)+(-5*(((71.71*(71.71-(-5/-5)))*(71.71-(71.71/(-5*71.71))))-(-5/-5)))))</f>
        <v>1833693.787855</v>
      </c>
      <c r="C17172" t="n" s="0">
        <v>1833693.7878549995</v>
      </c>
    </row>
    <row r="17173">
      <c r="A17173" t="n" s="0">
        <v>71.72</v>
      </c>
      <c r="B17173" t="n" s="0">
        <f>(-5-((((-5*(-5/((-5/(((-5*(71.72--5))-(-5+((-5*71.72)*(((-5--5)+(71.72--5))+71.72))))-(-5+-5)))*-5)))/-5)--5)+(-5*(((71.72*(71.72-(-5/-5)))*(71.72-(71.72/(-5*71.72))))-(-5/-5)))))</f>
        <v>1834462.40544</v>
      </c>
      <c r="C17173" t="n" s="0">
        <v>1834462.40544</v>
      </c>
    </row>
    <row r="17174">
      <c r="A17174" t="n" s="0">
        <v>71.73</v>
      </c>
      <c r="B17174" t="n" s="0">
        <f>(-5-((((-5*(-5/((-5/(((-5*(71.73--5))-(-5+((-5*71.73)*(((-5--5)+(71.73--5))+71.73))))-(-5+-5)))*-5)))/-5)--5)+(-5*(((71.73*(71.73-(-5/-5)))*(71.73-(71.73/(-5*71.73))))-(-5/-5)))))</f>
        <v>1835231.237785</v>
      </c>
      <c r="C17174" t="n" s="0">
        <v>1835231.2377850001</v>
      </c>
    </row>
    <row r="17175">
      <c r="A17175" t="n" s="0">
        <v>71.74</v>
      </c>
      <c r="B17175" t="n" s="0">
        <f>(-5-((((-5*(-5/((-5/(((-5*(71.74--5))-(-5+((-5*71.74)*(((-5--5)+(71.74--5))+71.74))))-(-5+-5)))*-5)))/-5)--5)+(-5*(((71.74*(71.74-(-5/-5)))*(71.74-(71.74/(-5*71.74))))-(-5/-5)))))</f>
        <v>1836000.28492</v>
      </c>
      <c r="C17175" t="n" s="0">
        <v>1836000.2849199995</v>
      </c>
    </row>
    <row r="17176">
      <c r="A17176" t="n" s="0">
        <v>71.75</v>
      </c>
      <c r="B17176" t="n" s="0">
        <f>(-5-((((-5*(-5/((-5/(((-5*(71.75--5))-(-5+((-5*71.75)*(((-5--5)+(71.75--5))+71.75))))-(-5+-5)))*-5)))/-5)--5)+(-5*(((71.75*(71.75-(-5/-5)))*(71.75-(71.75/(-5*71.75))))-(-5/-5)))))</f>
        <v>1836769.546875</v>
      </c>
      <c r="C17176" t="n" s="0">
        <v>1836769.546875</v>
      </c>
    </row>
    <row r="17177">
      <c r="A17177" t="n" s="0">
        <v>71.76</v>
      </c>
      <c r="B17177" t="n" s="0">
        <f>(-5-((((-5*(-5/((-5/(((-5*(71.76--5))-(-5+((-5*71.76)*(((-5--5)+(71.76--5))+71.76))))-(-5+-5)))*-5)))/-5)--5)+(-5*(((71.76*(71.76-(-5/-5)))*(71.76-(71.76/(-5*71.76))))-(-5/-5)))))</f>
        <v>1837539.02368</v>
      </c>
      <c r="C17177" t="n" s="0">
        <v>1837539.0236800003</v>
      </c>
    </row>
    <row r="17178">
      <c r="A17178" t="n" s="0">
        <v>71.77</v>
      </c>
      <c r="B17178" t="n" s="0">
        <f>(-5-((((-5*(-5/((-5/(((-5*(71.77--5))-(-5+((-5*71.77)*(((-5--5)+(71.77--5))+71.77))))-(-5+-5)))*-5)))/-5)--5)+(-5*(((71.77*(71.77-(-5/-5)))*(71.77-(71.77/(-5*71.77))))-(-5/-5)))))</f>
        <v>1838308.715365</v>
      </c>
      <c r="C17178" t="n" s="0">
        <v>1838308.7153649998</v>
      </c>
    </row>
    <row r="17179">
      <c r="A17179" t="n" s="0">
        <v>71.78</v>
      </c>
      <c r="B17179" t="n" s="0">
        <f>(-5-((((-5*(-5/((-5/(((-5*(71.78--5))-(-5+((-5*71.78)*(((-5--5)+(71.78--5))+71.78))))-(-5+-5)))*-5)))/-5)--5)+(-5*(((71.78*(71.78-(-5/-5)))*(71.78-(71.78/(-5*71.78))))-(-5/-5)))))</f>
        <v>1839078.62196</v>
      </c>
      <c r="C17179" t="n" s="0">
        <v>1839078.62196</v>
      </c>
    </row>
    <row r="17180">
      <c r="A17180" t="n" s="0">
        <v>71.79</v>
      </c>
      <c r="B17180" t="n" s="0">
        <f>(-5-((((-5*(-5/((-5/(((-5*(71.79--5))-(-5+((-5*71.79)*(((-5--5)+(71.79--5))+71.79))))-(-5+-5)))*-5)))/-5)--5)+(-5*(((71.79*(71.79-(-5/-5)))*(71.79-(71.79/(-5*71.79))))-(-5/-5)))))</f>
        <v>1839848.743495</v>
      </c>
      <c r="C17180" t="n" s="0">
        <v>1839848.7434950008</v>
      </c>
    </row>
    <row r="17181">
      <c r="A17181" t="n" s="0">
        <v>71.8</v>
      </c>
      <c r="B17181" t="n" s="0">
        <f>(-5-((((-5*(-5/((-5/(((-5*(71.8--5))-(-5+((-5*71.8)*(((-5--5)+(71.8--5))+71.8))))-(-5+-5)))*-5)))/-5)--5)+(-5*(((71.8*(71.8-(-5/-5)))*(71.8-(71.8/(-5*71.8))))-(-5/-5)))))</f>
        <v>1840619.0799999998</v>
      </c>
      <c r="C17181" t="n" s="0">
        <v>1840619.0799999996</v>
      </c>
    </row>
    <row r="17182">
      <c r="A17182" t="n" s="0">
        <v>71.81</v>
      </c>
      <c r="B17182" t="n" s="0">
        <f>(-5-((((-5*(-5/((-5/(((-5*(71.81--5))-(-5+((-5*71.81)*(((-5--5)+(71.81--5))+71.81))))-(-5+-5)))*-5)))/-5)--5)+(-5*(((71.81*(71.81-(-5/-5)))*(71.81-(71.81/(-5*71.81))))-(-5/-5)))))</f>
        <v>1841389.6315050002</v>
      </c>
      <c r="C17182" t="n" s="0">
        <v>1841389.631505</v>
      </c>
    </row>
    <row r="17183">
      <c r="A17183" t="n" s="0">
        <v>71.82</v>
      </c>
      <c r="B17183" t="n" s="0">
        <f>(-5-((((-5*(-5/((-5/(((-5*(71.82--5))-(-5+((-5*71.82)*(((-5--5)+(71.82--5))+71.82))))-(-5+-5)))*-5)))/-5)--5)+(-5*(((71.82*(71.82-(-5/-5)))*(71.82-(71.82/(-5*71.82))))-(-5/-5)))))</f>
        <v>1842160.39804</v>
      </c>
      <c r="C17183" t="n" s="0">
        <v>1842160.3980399994</v>
      </c>
    </row>
    <row r="17184">
      <c r="A17184" t="n" s="0">
        <v>71.83</v>
      </c>
      <c r="B17184" t="n" s="0">
        <f>(-5-((((-5*(-5/((-5/(((-5*(71.83--5))-(-5+((-5*71.83)*(((-5--5)+(71.83--5))+71.83))))-(-5+-5)))*-5)))/-5)--5)+(-5*(((71.83*(71.83-(-5/-5)))*(71.83-(71.83/(-5*71.83))))-(-5/-5)))))</f>
        <v>1842931.379635</v>
      </c>
      <c r="C17184" t="n" s="0">
        <v>1842931.379635</v>
      </c>
    </row>
    <row r="17185">
      <c r="A17185" t="n" s="0">
        <v>71.84</v>
      </c>
      <c r="B17185" t="n" s="0">
        <f>(-5-((((-5*(-5/((-5/(((-5*(71.84--5))-(-5+((-5*71.84)*(((-5--5)+(71.84--5))+71.84))))-(-5+-5)))*-5)))/-5)--5)+(-5*(((71.84*(71.84-(-5/-5)))*(71.84-(71.84/(-5*71.84))))-(-5/-5)))))</f>
        <v>1843702.57632</v>
      </c>
      <c r="C17185" t="n" s="0">
        <v>1843702.5763200005</v>
      </c>
    </row>
    <row r="17186">
      <c r="A17186" t="n" s="0">
        <v>71.85</v>
      </c>
      <c r="B17186" t="n" s="0">
        <f>(-5-((((-5*(-5/((-5/(((-5*(71.85--5))-(-5+((-5*71.85)*(((-5--5)+(71.85--5))+71.85))))-(-5+-5)))*-5)))/-5)--5)+(-5*(((71.85*(71.85-(-5/-5)))*(71.85-(71.85/(-5*71.85))))-(-5/-5)))))</f>
        <v>1844473.9881250001</v>
      </c>
      <c r="C17186" t="n" s="0">
        <v>1844473.9881249997</v>
      </c>
    </row>
    <row r="17187">
      <c r="A17187" t="n" s="0">
        <v>71.86</v>
      </c>
      <c r="B17187" t="n" s="0">
        <f>(-5-((((-5*(-5/((-5/(((-5*(71.86--5))-(-5+((-5*71.86)*(((-5--5)+(71.86--5))+71.86))))-(-5+-5)))*-5)))/-5)--5)+(-5*(((71.86*(71.86-(-5/-5)))*(71.86-(71.86/(-5*71.86))))-(-5/-5)))))</f>
        <v>1845245.6150800001</v>
      </c>
      <c r="C17187" t="n" s="0">
        <v>1845245.6150800001</v>
      </c>
    </row>
    <row r="17188">
      <c r="A17188" t="n" s="0">
        <v>71.87</v>
      </c>
      <c r="B17188" t="n" s="0">
        <f>(-5-((((-5*(-5/((-5/(((-5*(71.87--5))-(-5+((-5*71.87)*(((-5--5)+(71.87--5))+71.87))))-(-5+-5)))*-5)))/-5)--5)+(-5*(((71.87*(71.87-(-5/-5)))*(71.87-(71.87/(-5*71.87))))-(-5/-5)))))</f>
        <v>1846017.457215</v>
      </c>
      <c r="C17188" t="n" s="0">
        <v>1846017.4572150006</v>
      </c>
    </row>
    <row r="17189">
      <c r="A17189" t="n" s="0">
        <v>71.88</v>
      </c>
      <c r="B17189" t="n" s="0">
        <f>(-5-((((-5*(-5/((-5/(((-5*(71.88--5))-(-5+((-5*71.88)*(((-5--5)+(71.88--5))+71.88))))-(-5+-5)))*-5)))/-5)--5)+(-5*(((71.88*(71.88-(-5/-5)))*(71.88-(71.88/(-5*71.88))))-(-5/-5)))))</f>
        <v>1846789.51456</v>
      </c>
      <c r="C17189" t="n" s="0">
        <v>1846789.5145599998</v>
      </c>
    </row>
    <row r="17190">
      <c r="A17190" t="n" s="0">
        <v>71.89</v>
      </c>
      <c r="B17190" t="n" s="0">
        <f>(-5-((((-5*(-5/((-5/(((-5*(71.89--5))-(-5+((-5*71.89)*(((-5--5)+(71.89--5))+71.89))))-(-5+-5)))*-5)))/-5)--5)+(-5*(((71.89*(71.89-(-5/-5)))*(71.89-(71.89/(-5*71.89))))-(-5/-5)))))</f>
        <v>1847561.787145</v>
      </c>
      <c r="C17190" t="n" s="0">
        <v>1847561.787145</v>
      </c>
    </row>
    <row r="17191">
      <c r="A17191" t="n" s="0">
        <v>71.9</v>
      </c>
      <c r="B17191" t="n" s="0">
        <f>(-5-((((-5*(-5/((-5/(((-5*(71.9--5))-(-5+((-5*71.9)*(((-5--5)+(71.9--5))+71.9))))-(-5+-5)))*-5)))/-5)--5)+(-5*(((71.9*(71.9-(-5/-5)))*(71.9-(71.9/(-5*71.9))))-(-5/-5)))))</f>
        <v>1848334.2750000001</v>
      </c>
      <c r="C17191" t="n" s="0">
        <v>1848334.2750000004</v>
      </c>
    </row>
    <row r="17192">
      <c r="A17192" t="n" s="0">
        <v>71.91</v>
      </c>
      <c r="B17192" t="n" s="0">
        <f>(-5-((((-5*(-5/((-5/(((-5*(71.91--5))-(-5+((-5*71.91)*(((-5--5)+(71.91--5))+71.91))))-(-5+-5)))*-5)))/-5)--5)+(-5*(((71.91*(71.91-(-5/-5)))*(71.91-(71.91/(-5*71.91))))-(-5/-5)))))</f>
        <v>1849106.978155</v>
      </c>
      <c r="C17192" t="n" s="0">
        <v>1849106.9781549997</v>
      </c>
    </row>
    <row r="17193">
      <c r="A17193" t="n" s="0">
        <v>71.92</v>
      </c>
      <c r="B17193" t="n" s="0">
        <f>(-5-((((-5*(-5/((-5/(((-5*(71.92--5))-(-5+((-5*71.92)*(((-5--5)+(71.92--5))+71.92))))-(-5+-5)))*-5)))/-5)--5)+(-5*(((71.92*(71.92-(-5/-5)))*(71.92-(71.92/(-5*71.92))))-(-5/-5)))))</f>
        <v>1849879.89664</v>
      </c>
      <c r="C17193" t="n" s="0">
        <v>1849879.8966400002</v>
      </c>
    </row>
    <row r="17194">
      <c r="A17194" t="n" s="0">
        <v>71.93</v>
      </c>
      <c r="B17194" t="n" s="0">
        <f>(-5-((((-5*(-5/((-5/(((-5*(71.93--5))-(-5+((-5*71.93)*(((-5--5)+(71.93--5))+71.93))))-(-5+-5)))*-5)))/-5)--5)+(-5*(((71.93*(71.93-(-5/-5)))*(71.93-(71.93/(-5*71.93))))-(-5/-5)))))</f>
        <v>1850653.030485</v>
      </c>
      <c r="C17194" t="n" s="0">
        <v>1850653.0304850005</v>
      </c>
    </row>
    <row r="17195">
      <c r="A17195" t="n" s="0">
        <v>71.94</v>
      </c>
      <c r="B17195" t="n" s="0">
        <f>(-5-((((-5*(-5/((-5/(((-5*(71.94--5))-(-5+((-5*71.94)*(((-5--5)+(71.94--5))+71.94))))-(-5+-5)))*-5)))/-5)--5)+(-5*(((71.94*(71.94-(-5/-5)))*(71.94-(71.94/(-5*71.94))))-(-5/-5)))))</f>
        <v>1851426.37972</v>
      </c>
      <c r="C17195" t="n" s="0">
        <v>1851426.3797199999</v>
      </c>
    </row>
    <row r="17196">
      <c r="A17196" t="n" s="0">
        <v>71.95</v>
      </c>
      <c r="B17196" t="n" s="0">
        <f>(-5-((((-5*(-5/((-5/(((-5*(71.95--5))-(-5+((-5*71.95)*(((-5--5)+(71.95--5))+71.95))))-(-5+-5)))*-5)))/-5)--5)+(-5*(((71.95*(71.95-(-5/-5)))*(71.95-(71.95/(-5*71.95))))-(-5/-5)))))</f>
        <v>1852199.944375</v>
      </c>
      <c r="C17196" t="n" s="0">
        <v>1852199.9443750004</v>
      </c>
    </row>
    <row r="17197">
      <c r="A17197" t="n" s="0">
        <v>71.96</v>
      </c>
      <c r="B17197" t="n" s="0">
        <f>(-5-((((-5*(-5/((-5/(((-5*(71.96--5))-(-5+((-5*71.96)*(((-5--5)+(71.96--5))+71.96))))-(-5+-5)))*-5)))/-5)--5)+(-5*(((71.96*(71.96-(-5/-5)))*(71.96-(71.96/(-5*71.96))))-(-5/-5)))))</f>
        <v>1852973.72448</v>
      </c>
      <c r="C17197" t="n" s="0">
        <v>1852973.7244799996</v>
      </c>
    </row>
    <row r="17198">
      <c r="A17198" t="n" s="0">
        <v>71.97</v>
      </c>
      <c r="B17198" t="n" s="0">
        <f>(-5-((((-5*(-5/((-5/(((-5*(71.97--5))-(-5+((-5*71.97)*(((-5--5)+(71.97--5))+71.97))))-(-5+-5)))*-5)))/-5)--5)+(-5*(((71.97*(71.97-(-5/-5)))*(71.97-(71.97/(-5*71.97))))-(-5/-5)))))</f>
        <v>1853747.720065</v>
      </c>
      <c r="C17198" t="n" s="0">
        <v>1853747.7200649998</v>
      </c>
    </row>
    <row r="17199">
      <c r="A17199" t="n" s="0">
        <v>71.98</v>
      </c>
      <c r="B17199" t="n" s="0">
        <f>(-5-((((-5*(-5/((-5/(((-5*(71.98--5))-(-5+((-5*71.98)*(((-5--5)+(71.98--5))+71.98))))-(-5+-5)))*-5)))/-5)--5)+(-5*(((71.98*(71.98-(-5/-5)))*(71.98-(71.98/(-5*71.98))))-(-5/-5)))))</f>
        <v>1854521.93116</v>
      </c>
      <c r="C17199" t="n" s="0">
        <v>1854521.9311600002</v>
      </c>
    </row>
    <row r="17200">
      <c r="A17200" t="n" s="0">
        <v>71.99</v>
      </c>
      <c r="B17200" t="n" s="0">
        <f>(-5-((((-5*(-5/((-5/(((-5*(71.99--5))-(-5+((-5*71.99)*(((-5--5)+(71.99--5))+71.99))))-(-5+-5)))*-5)))/-5)--5)+(-5*(((71.99*(71.99-(-5/-5)))*(71.99-(71.99/(-5*71.99))))-(-5/-5)))))</f>
        <v>1855296.357795</v>
      </c>
      <c r="C17200" t="n" s="0">
        <v>1855296.3577949994</v>
      </c>
    </row>
    <row r="17201">
      <c r="A17201" t="n" s="0">
        <v>72.0</v>
      </c>
      <c r="B17201" t="n" s="0">
        <f>(-5-((((-5*(-5/((-5/(((-5*(72--5))-(-5+((-5*72)*(((-5--5)+(72--5))+72))))-(-5+-5)))*-5)))/-5)--5)+(-5*(((72*(72-(-5/-5)))*(72-(72/(-5*72))))-(-5/-5)))))</f>
        <v>1856071.0</v>
      </c>
      <c r="C17201" t="n" s="0">
        <v>1856071.0</v>
      </c>
    </row>
    <row r="17202">
      <c r="A17202" t="n" s="0">
        <v>72.01</v>
      </c>
      <c r="B17202" t="n" s="0">
        <f>(-5-((((-5*(-5/((-5/(((-5*(72.01--5))-(-5+((-5*72.01)*(((-5--5)+(72.01--5))+72.01))))-(-5+-5)))*-5)))/-5)--5)+(-5*(((72.01*(72.01-(-5/-5)))*(72.01-(72.01/(-5*72.01))))-(-5/-5)))))</f>
        <v>1856845.8578050002</v>
      </c>
      <c r="C17202" t="n" s="0">
        <v>1856845.8578050004</v>
      </c>
    </row>
    <row r="17203">
      <c r="A17203" t="n" s="0">
        <v>72.02</v>
      </c>
      <c r="B17203" t="n" s="0">
        <f>(-5-((((-5*(-5/((-5/(((-5*(72.02--5))-(-5+((-5*72.02)*(((-5--5)+(72.02--5))+72.02))))-(-5+-5)))*-5)))/-5)--5)+(-5*(((72.02*(72.02-(-5/-5)))*(72.02-(72.02/(-5*72.02))))-(-5/-5)))))</f>
        <v>1857620.9312399998</v>
      </c>
      <c r="C17203" t="n" s="0">
        <v>1857620.9312399998</v>
      </c>
    </row>
    <row r="17204">
      <c r="A17204" t="n" s="0">
        <v>72.03</v>
      </c>
      <c r="B17204" t="n" s="0">
        <f>(-5-((((-5*(-5/((-5/(((-5*(72.03--5))-(-5+((-5*72.03)*(((-5--5)+(72.03--5))+72.03))))-(-5+-5)))*-5)))/-5)--5)+(-5*(((72.03*(72.03-(-5/-5)))*(72.03-(72.03/(-5*72.03))))-(-5/-5)))))</f>
        <v>1858396.220335</v>
      </c>
      <c r="C17204" t="n" s="0">
        <v>1858396.220335</v>
      </c>
    </row>
    <row r="17205">
      <c r="A17205" t="n" s="0">
        <v>72.04</v>
      </c>
      <c r="B17205" t="n" s="0">
        <f>(-5-((((-5*(-5/((-5/(((-5*(72.04--5))-(-5+((-5*72.04)*(((-5--5)+(72.04--5))+72.04))))-(-5+-5)))*-5)))/-5)--5)+(-5*(((72.04*(72.04-(-5/-5)))*(72.04-(72.04/(-5*72.04))))-(-5/-5)))))</f>
        <v>1859171.72512</v>
      </c>
      <c r="C17205" t="n" s="0">
        <v>1859171.7251200008</v>
      </c>
    </row>
    <row r="17206">
      <c r="A17206" t="n" s="0">
        <v>72.05</v>
      </c>
      <c r="B17206" t="n" s="0">
        <f>(-5-((((-5*(-5/((-5/(((-5*(72.05--5))-(-5+((-5*72.05)*(((-5--5)+(72.05--5))+72.05))))-(-5+-5)))*-5)))/-5)--5)+(-5*(((72.05*(72.05-(-5/-5)))*(72.05-(72.05/(-5*72.05))))-(-5/-5)))))</f>
        <v>1859947.445625</v>
      </c>
      <c r="C17206" t="n" s="0">
        <v>1859947.4456249997</v>
      </c>
    </row>
    <row r="17207">
      <c r="A17207" t="n" s="0">
        <v>72.06</v>
      </c>
      <c r="B17207" t="n" s="0">
        <f>(-5-((((-5*(-5/((-5/(((-5*(72.06--5))-(-5+((-5*72.06)*(((-5--5)+(72.06--5))+72.06))))-(-5+-5)))*-5)))/-5)--5)+(-5*(((72.06*(72.06-(-5/-5)))*(72.06-(72.06/(-5*72.06))))-(-5/-5)))))</f>
        <v>1860723.38188</v>
      </c>
      <c r="C17207" t="n" s="0">
        <v>1860723.3818800002</v>
      </c>
    </row>
    <row r="17208">
      <c r="A17208" t="n" s="0">
        <v>72.07</v>
      </c>
      <c r="B17208" t="n" s="0">
        <f>(-5-((((-5*(-5/((-5/(((-5*(72.07--5))-(-5+((-5*72.07)*(((-5--5)+(72.07--5))+72.07))))-(-5+-5)))*-5)))/-5)--5)+(-5*(((72.07*(72.07-(-5/-5)))*(72.07-(72.07/(-5*72.07))))-(-5/-5)))))</f>
        <v>1861499.533915</v>
      </c>
      <c r="C17208" t="n" s="0">
        <v>1861499.5339149993</v>
      </c>
    </row>
    <row r="17209">
      <c r="A17209" t="n" s="0">
        <v>72.08</v>
      </c>
      <c r="B17209" t="n" s="0">
        <f>(-5-((((-5*(-5/((-5/(((-5*(72.08--5))-(-5+((-5*72.08)*(((-5--5)+(72.08--5))+72.08))))-(-5+-5)))*-5)))/-5)--5)+(-5*(((72.08*(72.08-(-5/-5)))*(72.08-(72.08/(-5*72.08))))-(-5/-5)))))</f>
        <v>1862275.90176</v>
      </c>
      <c r="C17209" t="n" s="0">
        <v>1862275.9017599998</v>
      </c>
    </row>
    <row r="17210">
      <c r="A17210" t="n" s="0">
        <v>72.09</v>
      </c>
      <c r="B17210" t="n" s="0">
        <f>(-5-((((-5*(-5/((-5/(((-5*(72.09--5))-(-5+((-5*72.09)*(((-5--5)+(72.09--5))+72.09))))-(-5+-5)))*-5)))/-5)--5)+(-5*(((72.09*(72.09-(-5/-5)))*(72.09-(72.09/(-5*72.09))))-(-5/-5)))))</f>
        <v>1863052.485445</v>
      </c>
      <c r="C17210" t="n" s="0">
        <v>1863052.4854450002</v>
      </c>
    </row>
    <row r="17211">
      <c r="A17211" t="n" s="0">
        <v>72.1</v>
      </c>
      <c r="B17211" t="n" s="0">
        <f>(-5-((((-5*(-5/((-5/(((-5*(72.1--5))-(-5+((-5*72.1)*(((-5--5)+(72.1--5))+72.1))))-(-5+-5)))*-5)))/-5)--5)+(-5*(((72.1*(72.1-(-5/-5)))*(72.1-(72.1/(-5*72.1))))-(-5/-5)))))</f>
        <v>1863829.285</v>
      </c>
      <c r="C17211" t="n" s="0">
        <v>1863829.2849999997</v>
      </c>
    </row>
    <row r="17212">
      <c r="A17212" t="n" s="0">
        <v>72.11</v>
      </c>
      <c r="B17212" t="n" s="0">
        <f>(-5-((((-5*(-5/((-5/(((-5*(72.11--5))-(-5+((-5*72.11)*(((-5--5)+(72.11--5))+72.11))))-(-5+-5)))*-5)))/-5)--5)+(-5*(((72.11*(72.11-(-5/-5)))*(72.11-(72.11/(-5*72.11))))-(-5/-5)))))</f>
        <v>1864606.300455</v>
      </c>
      <c r="C17212" t="n" s="0">
        <v>1864606.3004550003</v>
      </c>
    </row>
    <row r="17213">
      <c r="A17213" t="n" s="0">
        <v>72.12</v>
      </c>
      <c r="B17213" t="n" s="0">
        <f>(-5-((((-5*(-5/((-5/(((-5*(72.12--5))-(-5+((-5*72.12)*(((-5--5)+(72.12--5))+72.12))))-(-5+-5)))*-5)))/-5)--5)+(-5*(((72.12*(72.12-(-5/-5)))*(72.12-(72.12/(-5*72.12))))-(-5/-5)))))</f>
        <v>1865383.53184</v>
      </c>
      <c r="C17213" t="n" s="0">
        <v>1865383.5318400003</v>
      </c>
    </row>
    <row r="17214">
      <c r="A17214" t="n" s="0">
        <v>72.13</v>
      </c>
      <c r="B17214" t="n" s="0">
        <f>(-5-((((-5*(-5/((-5/(((-5*(72.13--5))-(-5+((-5*72.13)*(((-5--5)+(72.13--5))+72.13))))-(-5+-5)))*-5)))/-5)--5)+(-5*(((72.13*(72.13-(-5/-5)))*(72.13-(72.13/(-5*72.13))))-(-5/-5)))))</f>
        <v>1866160.979185</v>
      </c>
      <c r="C17214" t="n" s="0">
        <v>1866160.9791849994</v>
      </c>
    </row>
    <row r="17215">
      <c r="A17215" t="n" s="0">
        <v>72.14</v>
      </c>
      <c r="B17215" t="n" s="0">
        <f>(-5-((((-5*(-5/((-5/(((-5*(72.14--5))-(-5+((-5*72.14)*(((-5--5)+(72.14--5))+72.14))))-(-5+-5)))*-5)))/-5)--5)+(-5*(((72.14*(72.14-(-5/-5)))*(72.14-(72.14/(-5*72.14))))-(-5/-5)))))</f>
        <v>1866938.64252</v>
      </c>
      <c r="C17215" t="n" s="0">
        <v>1866938.64252</v>
      </c>
    </row>
    <row r="17216">
      <c r="A17216" t="n" s="0">
        <v>72.15</v>
      </c>
      <c r="B17216" t="n" s="0">
        <f>(-5-((((-5*(-5/((-5/(((-5*(72.15--5))-(-5+((-5*72.15)*(((-5--5)+(72.15--5))+72.15))))-(-5+-5)))*-5)))/-5)--5)+(-5*(((72.15*(72.15-(-5/-5)))*(72.15-(72.15/(-5*72.15))))-(-5/-5)))))</f>
        <v>1867716.5218749999</v>
      </c>
      <c r="C17216" t="n" s="0">
        <v>1867716.521875</v>
      </c>
    </row>
    <row r="17217">
      <c r="A17217" t="n" s="0">
        <v>72.16</v>
      </c>
      <c r="B17217" t="n" s="0">
        <f>(-5-((((-5*(-5/((-5/(((-5*(72.16--5))-(-5+((-5*72.16)*(((-5--5)+(72.16--5))+72.16))))-(-5+-5)))*-5)))/-5)--5)+(-5*(((72.16*(72.16-(-5/-5)))*(72.16-(72.16/(-5*72.16))))-(-5/-5)))))</f>
        <v>1868494.6172800001</v>
      </c>
      <c r="C17217" t="n" s="0">
        <v>1868494.6172799997</v>
      </c>
    </row>
    <row r="17218">
      <c r="A17218" t="n" s="0">
        <v>72.17</v>
      </c>
      <c r="B17218" t="n" s="0">
        <f>(-5-((((-5*(-5/((-5/(((-5*(72.17--5))-(-5+((-5*72.17)*(((-5--5)+(72.17--5))+72.17))))-(-5+-5)))*-5)))/-5)--5)+(-5*(((72.17*(72.17-(-5/-5)))*(72.17-(72.17/(-5*72.17))))-(-5/-5)))))</f>
        <v>1869272.928765</v>
      </c>
      <c r="C17218" t="n" s="0">
        <v>1869272.9287650003</v>
      </c>
    </row>
    <row r="17219">
      <c r="A17219" t="n" s="0">
        <v>72.18</v>
      </c>
      <c r="B17219" t="n" s="0">
        <f>(-5-((((-5*(-5/((-5/(((-5*(72.18--5))-(-5+((-5*72.18)*(((-5--5)+(72.18--5))+72.18))))-(-5+-5)))*-5)))/-5)--5)+(-5*(((72.18*(72.18-(-5/-5)))*(72.18-(72.18/(-5*72.18))))-(-5/-5)))))</f>
        <v>1870051.4563600002</v>
      </c>
      <c r="C17219" t="n" s="0">
        <v>1870051.4563600004</v>
      </c>
    </row>
    <row r="17220">
      <c r="A17220" t="n" s="0">
        <v>72.19</v>
      </c>
      <c r="B17220" t="n" s="0">
        <f>(-5-((((-5*(-5/((-5/(((-5*(72.19--5))-(-5+((-5*72.19)*(((-5--5)+(72.19--5))+72.19))))-(-5+-5)))*-5)))/-5)--5)+(-5*(((72.19*(72.19-(-5/-5)))*(72.19-(72.19/(-5*72.19))))-(-5/-5)))))</f>
        <v>1870830.200095</v>
      </c>
      <c r="C17220" t="n" s="0">
        <v>1870830.2000949997</v>
      </c>
    </row>
    <row r="17221">
      <c r="A17221" t="n" s="0">
        <v>72.2</v>
      </c>
      <c r="B17221" t="n" s="0">
        <f>(-5-((((-5*(-5/((-5/(((-5*(72.2--5))-(-5+((-5*72.2)*(((-5--5)+(72.2--5))+72.2))))-(-5+-5)))*-5)))/-5)--5)+(-5*(((72.2*(72.2-(-5/-5)))*(72.2-(72.2/(-5*72.2))))-(-5/-5)))))</f>
        <v>1871609.16</v>
      </c>
      <c r="C17221" t="n" s="0">
        <v>1871609.1600000004</v>
      </c>
    </row>
    <row r="17222">
      <c r="A17222" t="n" s="0">
        <v>72.21</v>
      </c>
      <c r="B17222" t="n" s="0">
        <f>(-5-((((-5*(-5/((-5/(((-5*(72.21--5))-(-5+((-5*72.21)*(((-5--5)+(72.21--5))+72.21))))-(-5+-5)))*-5)))/-5)--5)+(-5*(((72.21*(72.21-(-5/-5)))*(72.21-(72.21/(-5*72.21))))-(-5/-5)))))</f>
        <v>1872388.336105</v>
      </c>
      <c r="C17222" t="n" s="0">
        <v>1872388.3361049993</v>
      </c>
    </row>
    <row r="17223">
      <c r="A17223" t="n" s="0">
        <v>72.22</v>
      </c>
      <c r="B17223" t="n" s="0">
        <f>(-5-((((-5*(-5/((-5/(((-5*(72.22--5))-(-5+((-5*72.22)*(((-5--5)+(72.22--5))+72.22))))-(-5+-5)))*-5)))/-5)--5)+(-5*(((72.22*(72.22-(-5/-5)))*(72.22-(72.22/(-5*72.22))))-(-5/-5)))))</f>
        <v>1873167.72844</v>
      </c>
      <c r="C17223" t="n" s="0">
        <v>1873167.7284399997</v>
      </c>
    </row>
    <row r="17224">
      <c r="A17224" t="n" s="0">
        <v>72.23</v>
      </c>
      <c r="B17224" t="n" s="0">
        <f>(-5-((((-5*(-5/((-5/(((-5*(72.23--5))-(-5+((-5*72.23)*(((-5--5)+(72.23--5))+72.23))))-(-5+-5)))*-5)))/-5)--5)+(-5*(((72.23*(72.23-(-5/-5)))*(72.23-(72.23/(-5*72.23))))-(-5/-5)))))</f>
        <v>1873947.3370349999</v>
      </c>
      <c r="C17224" t="n" s="0">
        <v>1873947.337035</v>
      </c>
    </row>
    <row r="17225">
      <c r="A17225" t="n" s="0">
        <v>72.24</v>
      </c>
      <c r="B17225" t="n" s="0">
        <f>(-5-((((-5*(-5/((-5/(((-5*(72.24--5))-(-5+((-5*72.24)*(((-5--5)+(72.24--5))+72.24))))-(-5+-5)))*-5)))/-5)--5)+(-5*(((72.24*(72.24-(-5/-5)))*(72.24-(72.24/(-5*72.24))))-(-5/-5)))))</f>
        <v>1874727.1619199999</v>
      </c>
      <c r="C17225" t="n" s="0">
        <v>1874727.1619199996</v>
      </c>
    </row>
    <row r="17226">
      <c r="A17226" t="n" s="0">
        <v>72.25</v>
      </c>
      <c r="B17226" t="n" s="0">
        <f>(-5-((((-5*(-5/((-5/(((-5*(72.25--5))-(-5+((-5*72.25)*(((-5--5)+(72.25--5))+72.25))))-(-5+-5)))*-5)))/-5)--5)+(-5*(((72.25*(72.25-(-5/-5)))*(72.25-(72.25/(-5*72.25))))-(-5/-5)))))</f>
        <v>1875507.203125</v>
      </c>
      <c r="C17226" t="n" s="0">
        <v>1875507.203125</v>
      </c>
    </row>
    <row r="17227">
      <c r="A17227" t="n" s="0">
        <v>72.26</v>
      </c>
      <c r="B17227" t="n" s="0">
        <f>(-5-((((-5*(-5/((-5/(((-5*(72.26--5))-(-5+((-5*72.26)*(((-5--5)+(72.26--5))+72.26))))-(-5+-5)))*-5)))/-5)--5)+(-5*(((72.26*(72.26-(-5/-5)))*(72.26-(72.26/(-5*72.26))))-(-5/-5)))))</f>
        <v>1876287.46068</v>
      </c>
      <c r="C17227" t="n" s="0">
        <v>1876287.4606800005</v>
      </c>
    </row>
    <row r="17228">
      <c r="A17228" t="n" s="0">
        <v>72.27</v>
      </c>
      <c r="B17228" t="n" s="0">
        <f>(-5-((((-5*(-5/((-5/(((-5*(72.27--5))-(-5+((-5*72.27)*(((-5--5)+(72.27--5))+72.27))))-(-5+-5)))*-5)))/-5)--5)+(-5*(((72.27*(72.27-(-5/-5)))*(72.27-(72.27/(-5*72.27))))-(-5/-5)))))</f>
        <v>1877067.934615</v>
      </c>
      <c r="C17228" t="n" s="0">
        <v>1877067.9346149995</v>
      </c>
    </row>
    <row r="17229">
      <c r="A17229" t="n" s="0">
        <v>72.28</v>
      </c>
      <c r="B17229" t="n" s="0">
        <f>(-5-((((-5*(-5/((-5/(((-5*(72.28--5))-(-5+((-5*72.28)*(((-5--5)+(72.28--5))+72.28))))-(-5+-5)))*-5)))/-5)--5)+(-5*(((72.28*(72.28-(-5/-5)))*(72.28-(72.28/(-5*72.28))))-(-5/-5)))))</f>
        <v>1877848.62496</v>
      </c>
      <c r="C17229" t="n" s="0">
        <v>1877848.6249600002</v>
      </c>
    </row>
    <row r="17230">
      <c r="A17230" t="n" s="0">
        <v>72.29</v>
      </c>
      <c r="B17230" t="n" s="0">
        <f>(-5-((((-5*(-5/((-5/(((-5*(72.29--5))-(-5+((-5*72.29)*(((-5--5)+(72.29--5))+72.29))))-(-5+-5)))*-5)))/-5)--5)+(-5*(((72.29*(72.29-(-5/-5)))*(72.29-(72.29/(-5*72.29))))-(-5/-5)))))</f>
        <v>1878629.5317449998</v>
      </c>
      <c r="C17230" t="n" s="0">
        <v>1878629.5317450007</v>
      </c>
    </row>
    <row r="17231">
      <c r="A17231" t="n" s="0">
        <v>72.3</v>
      </c>
      <c r="B17231" t="n" s="0">
        <f>(-5-((((-5*(-5/((-5/(((-5*(72.3--5))-(-5+((-5*72.3)*(((-5--5)+(72.3--5))+72.3))))-(-5+-5)))*-5)))/-5)--5)+(-5*(((72.3*(72.3-(-5/-5)))*(72.3-(72.3/(-5*72.3))))-(-5/-5)))))</f>
        <v>1879410.655</v>
      </c>
      <c r="C17231" t="n" s="0">
        <v>1879410.6549999998</v>
      </c>
    </row>
    <row r="17232">
      <c r="A17232" t="n" s="0">
        <v>72.31</v>
      </c>
      <c r="B17232" t="n" s="0">
        <f>(-5-((((-5*(-5/((-5/(((-5*(72.31--5))-(-5+((-5*72.31)*(((-5--5)+(72.31--5))+72.31))))-(-5+-5)))*-5)))/-5)--5)+(-5*(((72.31*(72.31-(-5/-5)))*(72.31-(72.31/(-5*72.31))))-(-5/-5)))))</f>
        <v>1880191.9947549999</v>
      </c>
      <c r="C17232" t="n" s="0">
        <v>1880191.994755</v>
      </c>
    </row>
    <row r="17233">
      <c r="A17233" t="n" s="0">
        <v>72.32</v>
      </c>
      <c r="B17233" t="n" s="0">
        <f>(-5-((((-5*(-5/((-5/(((-5*(72.32--5))-(-5+((-5*72.32)*(((-5--5)+(72.32--5))+72.32))))-(-5+-5)))*-5)))/-5)--5)+(-5*(((72.32*(72.32-(-5/-5)))*(72.32-(72.32/(-5*72.32))))-(-5/-5)))))</f>
        <v>1880973.5510399998</v>
      </c>
      <c r="C17233" t="n" s="0">
        <v>1880973.5510399994</v>
      </c>
    </row>
    <row r="17234">
      <c r="A17234" t="n" s="0">
        <v>72.33</v>
      </c>
      <c r="B17234" t="n" s="0">
        <f>(-5-((((-5*(-5/((-5/(((-5*(72.33--5))-(-5+((-5*72.33)*(((-5--5)+(72.33--5))+72.33))))-(-5+-5)))*-5)))/-5)--5)+(-5*(((72.33*(72.33-(-5/-5)))*(72.33-(72.33/(-5*72.33))))-(-5/-5)))))</f>
        <v>1881755.323885</v>
      </c>
      <c r="C17234" t="n" s="0">
        <v>1881755.3238849998</v>
      </c>
    </row>
    <row r="17235">
      <c r="A17235" t="n" s="0">
        <v>72.34</v>
      </c>
      <c r="B17235" t="n" s="0">
        <f>(-5-((((-5*(-5/((-5/(((-5*(72.34--5))-(-5+((-5*72.34)*(((-5--5)+(72.34--5))+72.34))))-(-5+-5)))*-5)))/-5)--5)+(-5*(((72.34*(72.34-(-5/-5)))*(72.34-(72.34/(-5*72.34))))-(-5/-5)))))</f>
        <v>1882537.31332</v>
      </c>
      <c r="C17235" t="n" s="0">
        <v>1882537.3133200002</v>
      </c>
    </row>
    <row r="17236">
      <c r="A17236" t="n" s="0">
        <v>72.35</v>
      </c>
      <c r="B17236" t="n" s="0">
        <f>(-5-((((-5*(-5/((-5/(((-5*(72.35--5))-(-5+((-5*72.35)*(((-5--5)+(72.35--5))+72.35))))-(-5+-5)))*-5)))/-5)--5)+(-5*(((72.35*(72.35-(-5/-5)))*(72.35-(72.35/(-5*72.35))))-(-5/-5)))))</f>
        <v>1883319.5193750001</v>
      </c>
      <c r="C17236" t="n" s="0">
        <v>1883319.5193749997</v>
      </c>
    </row>
    <row r="17237">
      <c r="A17237" t="n" s="0">
        <v>72.36</v>
      </c>
      <c r="B17237" t="n" s="0">
        <f>(-5-((((-5*(-5/((-5/(((-5*(72.36--5))-(-5+((-5*72.36)*(((-5--5)+(72.36--5))+72.36))))-(-5+-5)))*-5)))/-5)--5)+(-5*(((72.36*(72.36-(-5/-5)))*(72.36-(72.36/(-5*72.36))))-(-5/-5)))))</f>
        <v>1884101.9420800002</v>
      </c>
      <c r="C17237" t="n" s="0">
        <v>1884101.94208</v>
      </c>
    </row>
    <row r="17238">
      <c r="A17238" t="n" s="0">
        <v>72.37</v>
      </c>
      <c r="B17238" t="n" s="0">
        <f>(-5-((((-5*(-5/((-5/(((-5*(72.37--5))-(-5+((-5*72.37)*(((-5--5)+(72.37--5))+72.37))))-(-5+-5)))*-5)))/-5)--5)+(-5*(((72.37*(72.37-(-5/-5)))*(72.37-(72.37/(-5*72.37))))-(-5/-5)))))</f>
        <v>1884884.5814649998</v>
      </c>
      <c r="C17238" t="n" s="0">
        <v>1884884.5814650008</v>
      </c>
    </row>
    <row r="17239">
      <c r="A17239" t="n" s="0">
        <v>72.38</v>
      </c>
      <c r="B17239" t="n" s="0">
        <f>(-5-((((-5*(-5/((-5/(((-5*(72.38--5))-(-5+((-5*72.38)*(((-5--5)+(72.38--5))+72.38))))-(-5+-5)))*-5)))/-5)--5)+(-5*(((72.38*(72.38-(-5/-5)))*(72.38-(72.38/(-5*72.38))))-(-5/-5)))))</f>
        <v>1885667.43756</v>
      </c>
      <c r="C17239" t="n" s="0">
        <v>1885667.4375599995</v>
      </c>
    </row>
    <row r="17240">
      <c r="A17240" t="n" s="0">
        <v>72.39</v>
      </c>
      <c r="B17240" t="n" s="0">
        <f>(-5-((((-5*(-5/((-5/(((-5*(72.39--5))-(-5+((-5*72.39)*(((-5--5)+(72.39--5))+72.39))))-(-5+-5)))*-5)))/-5)--5)+(-5*(((72.39*(72.39-(-5/-5)))*(72.39-(72.39/(-5*72.39))))-(-5/-5)))))</f>
        <v>1886450.510395</v>
      </c>
      <c r="C17240" t="n" s="0">
        <v>1886450.510395</v>
      </c>
    </row>
    <row r="17241">
      <c r="A17241" t="n" s="0">
        <v>72.4</v>
      </c>
      <c r="B17241" t="n" s="0">
        <f>(-5-((((-5*(-5/((-5/(((-5*(72.4--5))-(-5+((-5*72.4)*(((-5--5)+(72.4--5))+72.4))))-(-5+-5)))*-5)))/-5)--5)+(-5*(((72.4*(72.4-(-5/-5)))*(72.4-(72.4/(-5*72.4))))-(-5/-5)))))</f>
        <v>1887233.8</v>
      </c>
      <c r="C17241" t="n" s="0">
        <v>1887233.8000000005</v>
      </c>
    </row>
    <row r="17242">
      <c r="A17242" t="n" s="0">
        <v>72.41</v>
      </c>
      <c r="B17242" t="n" s="0">
        <f>(-5-((((-5*(-5/((-5/(((-5*(72.41--5))-(-5+((-5*72.41)*(((-5--5)+(72.41--5))+72.41))))-(-5+-5)))*-5)))/-5)--5)+(-5*(((72.41*(72.41-(-5/-5)))*(72.41-(72.41/(-5*72.41))))-(-5/-5)))))</f>
        <v>1888017.306405</v>
      </c>
      <c r="C17242" t="n" s="0">
        <v>1888017.3064049995</v>
      </c>
    </row>
    <row r="17243">
      <c r="A17243" t="n" s="0">
        <v>72.42</v>
      </c>
      <c r="B17243" t="n" s="0">
        <f>(-5-((((-5*(-5/((-5/(((-5*(72.42--5))-(-5+((-5*72.42)*(((-5--5)+(72.42--5))+72.42))))-(-5+-5)))*-5)))/-5)--5)+(-5*(((72.42*(72.42-(-5/-5)))*(72.42-(72.42/(-5*72.42))))-(-5/-5)))))</f>
        <v>1888801.0296399998</v>
      </c>
      <c r="C17243" t="n" s="0">
        <v>1888801.0296400003</v>
      </c>
    </row>
    <row r="17244">
      <c r="A17244" t="n" s="0">
        <v>72.43</v>
      </c>
      <c r="B17244" t="n" s="0">
        <f>(-5-((((-5*(-5/((-5/(((-5*(72.43--5))-(-5+((-5*72.43)*(((-5--5)+(72.43--5))+72.43))))-(-5+-5)))*-5)))/-5)--5)+(-5*(((72.43*(72.43-(-5/-5)))*(72.43-(72.43/(-5*72.43))))-(-5/-5)))))</f>
        <v>1889584.969735</v>
      </c>
      <c r="C17244" t="n" s="0">
        <v>1889584.9697350005</v>
      </c>
    </row>
    <row r="17245">
      <c r="A17245" t="n" s="0">
        <v>72.44</v>
      </c>
      <c r="B17245" t="n" s="0">
        <f>(-5-((((-5*(-5/((-5/(((-5*(72.44--5))-(-5+((-5*72.44)*(((-5--5)+(72.44--5))+72.44))))-(-5+-5)))*-5)))/-5)--5)+(-5*(((72.44*(72.44-(-5/-5)))*(72.44-(72.44/(-5*72.44))))-(-5/-5)))))</f>
        <v>1890369.12672</v>
      </c>
      <c r="C17245" t="n" s="0">
        <v>1890369.12672</v>
      </c>
    </row>
    <row r="17246">
      <c r="A17246" t="n" s="0">
        <v>72.45</v>
      </c>
      <c r="B17246" t="n" s="0">
        <f>(-5-((((-5*(-5/((-5/(((-5*(72.45--5))-(-5+((-5*72.45)*(((-5--5)+(72.45--5))+72.45))))-(-5+-5)))*-5)))/-5)--5)+(-5*(((72.45*(72.45-(-5/-5)))*(72.45-(72.45/(-5*72.45))))-(-5/-5)))))</f>
        <v>1891153.5006249999</v>
      </c>
      <c r="C17246" t="n" s="0">
        <v>1891153.5006250003</v>
      </c>
    </row>
    <row r="17247">
      <c r="A17247" t="n" s="0">
        <v>72.46</v>
      </c>
      <c r="B17247" t="n" s="0">
        <f>(-5-((((-5*(-5/((-5/(((-5*(72.46--5))-(-5+((-5*72.46)*(((-5--5)+(72.46--5))+72.46))))-(-5+-5)))*-5)))/-5)--5)+(-5*(((72.46*(72.46-(-5/-5)))*(72.46-(72.46/(-5*72.46))))-(-5/-5)))))</f>
        <v>1891938.09148</v>
      </c>
      <c r="C17247" t="n" s="0">
        <v>1891938.0914799995</v>
      </c>
    </row>
    <row r="17248">
      <c r="A17248" t="n" s="0">
        <v>72.47</v>
      </c>
      <c r="B17248" t="n" s="0">
        <f>(-5-((((-5*(-5/((-5/(((-5*(72.47--5))-(-5+((-5*72.47)*(((-5--5)+(72.47--5))+72.47))))-(-5+-5)))*-5)))/-5)--5)+(-5*(((72.47*(72.47-(-5/-5)))*(72.47-(72.47/(-5*72.47))))-(-5/-5)))))</f>
        <v>1892722.8993149998</v>
      </c>
      <c r="C17248" t="n" s="0">
        <v>1892722.8993149998</v>
      </c>
    </row>
    <row r="17249">
      <c r="A17249" t="n" s="0">
        <v>72.48</v>
      </c>
      <c r="B17249" t="n" s="0">
        <f>(-5-((((-5*(-5/((-5/(((-5*(72.48--5))-(-5+((-5*72.48)*(((-5--5)+(72.48--5))+72.48))))-(-5+-5)))*-5)))/-5)--5)+(-5*(((72.48*(72.48-(-5/-5)))*(72.48-(72.48/(-5*72.48))))-(-5/-5)))))</f>
        <v>1893507.92416</v>
      </c>
      <c r="C17249" t="n" s="0">
        <v>1893507.9241600002</v>
      </c>
    </row>
    <row r="17250">
      <c r="A17250" t="n" s="0">
        <v>72.49</v>
      </c>
      <c r="B17250" t="n" s="0">
        <f>(-5-((((-5*(-5/((-5/(((-5*(72.49--5))-(-5+((-5*72.49)*(((-5--5)+(72.49--5))+72.49))))-(-5+-5)))*-5)))/-5)--5)+(-5*(((72.49*(72.49-(-5/-5)))*(72.49-(72.49/(-5*72.49))))-(-5/-5)))))</f>
        <v>1894293.1660449998</v>
      </c>
      <c r="C17250" t="n" s="0">
        <v>1894293.1660449994</v>
      </c>
    </row>
    <row r="17251">
      <c r="A17251" t="n" s="0">
        <v>72.5</v>
      </c>
      <c r="B17251" t="n" s="0">
        <f>(-5-((((-5*(-5/((-5/(((-5*(72.5--5))-(-5+((-5*72.5)*(((-5--5)+(72.5--5))+72.5))))-(-5+-5)))*-5)))/-5)--5)+(-5*(((72.5*(72.5-(-5/-5)))*(72.5-(72.5/(-5*72.5))))-(-5/-5)))))</f>
        <v>1895078.625</v>
      </c>
      <c r="C17251" t="n" s="0">
        <v>1895078.625</v>
      </c>
    </row>
    <row r="17252">
      <c r="A17252" t="n" s="0">
        <v>72.51</v>
      </c>
      <c r="B17252" t="n" s="0">
        <f>(-5-((((-5*(-5/((-5/(((-5*(72.51--5))-(-5+((-5*72.51)*(((-5--5)+(72.51--5))+72.51))))-(-5+-5)))*-5)))/-5)--5)+(-5*(((72.51*(72.51-(-5/-5)))*(72.51-(72.51/(-5*72.51))))-(-5/-5)))))</f>
        <v>1895864.3010550002</v>
      </c>
      <c r="C17252" t="n" s="0">
        <v>1895864.3010550004</v>
      </c>
    </row>
    <row r="17253">
      <c r="A17253" t="n" s="0">
        <v>72.52</v>
      </c>
      <c r="B17253" t="n" s="0">
        <f>(-5-((((-5*(-5/((-5/(((-5*(72.52--5))-(-5+((-5*72.52)*(((-5--5)+(72.52--5))+72.52))))-(-5+-5)))*-5)))/-5)--5)+(-5*(((72.52*(72.52-(-5/-5)))*(72.52-(72.52/(-5*72.52))))-(-5/-5)))))</f>
        <v>1896650.1942399999</v>
      </c>
      <c r="C17253" t="n" s="0">
        <v>1896650.1942399996</v>
      </c>
    </row>
    <row r="17254">
      <c r="A17254" t="n" s="0">
        <v>72.53</v>
      </c>
      <c r="B17254" t="n" s="0">
        <f>(-5-((((-5*(-5/((-5/(((-5*(72.53--5))-(-5+((-5*72.53)*(((-5--5)+(72.53--5))+72.53))))-(-5+-5)))*-5)))/-5)--5)+(-5*(((72.53*(72.53-(-5/-5)))*(72.53-(72.53/(-5*72.53))))-(-5/-5)))))</f>
        <v>1897436.304585</v>
      </c>
      <c r="C17254" t="n" s="0">
        <v>1897436.3045850003</v>
      </c>
    </row>
    <row r="17255">
      <c r="A17255" t="n" s="0">
        <v>72.54</v>
      </c>
      <c r="B17255" t="n" s="0">
        <f>(-5-((((-5*(-5/((-5/(((-5*(72.54--5))-(-5+((-5*72.54)*(((-5--5)+(72.54--5))+72.54))))-(-5+-5)))*-5)))/-5)--5)+(-5*(((72.54*(72.54-(-5/-5)))*(72.54-(72.54/(-5*72.54))))-(-5/-5)))))</f>
        <v>1898222.63212</v>
      </c>
      <c r="C17255" t="n" s="0">
        <v>1898222.6321200004</v>
      </c>
    </row>
    <row r="17256">
      <c r="A17256" t="n" s="0">
        <v>72.55</v>
      </c>
      <c r="B17256" t="n" s="0">
        <f>(-5-((((-5*(-5/((-5/(((-5*(72.55--5))-(-5+((-5*72.55)*(((-5--5)+(72.55--5))+72.55))))-(-5+-5)))*-5)))/-5)--5)+(-5*(((72.55*(72.55-(-5/-5)))*(72.55-(72.55/(-5*72.55))))-(-5/-5)))))</f>
        <v>1899009.1768750001</v>
      </c>
      <c r="C17256" t="n" s="0">
        <v>1899009.176875</v>
      </c>
    </row>
    <row r="17257">
      <c r="A17257" t="n" s="0">
        <v>72.56</v>
      </c>
      <c r="B17257" t="n" s="0">
        <f>(-5-((((-5*(-5/((-5/(((-5*(72.56--5))-(-5+((-5*72.56)*(((-5--5)+(72.56--5))+72.56))))-(-5+-5)))*-5)))/-5)--5)+(-5*(((72.56*(72.56-(-5/-5)))*(72.56-(72.56/(-5*72.56))))-(-5/-5)))))</f>
        <v>1899795.93888</v>
      </c>
      <c r="C17257" t="n" s="0">
        <v>1899795.93888</v>
      </c>
    </row>
    <row r="17258">
      <c r="A17258" t="n" s="0">
        <v>72.57</v>
      </c>
      <c r="B17258" t="n" s="0">
        <f>(-5-((((-5*(-5/((-5/(((-5*(72.57--5))-(-5+((-5*72.57)*(((-5--5)+(72.57--5))+72.57))))-(-5+-5)))*-5)))/-5)--5)+(-5*(((72.57*(72.57-(-5/-5)))*(72.57-(72.57/(-5*72.57))))-(-5/-5)))))</f>
        <v>1900582.918165</v>
      </c>
      <c r="C17258" t="n" s="0">
        <v>1900582.9181649995</v>
      </c>
    </row>
    <row r="17259">
      <c r="A17259" t="n" s="0">
        <v>72.58</v>
      </c>
      <c r="B17259" t="n" s="0">
        <f>(-5-((((-5*(-5/((-5/(((-5*(72.58--5))-(-5+((-5*72.58)*(((-5--5)+(72.58--5))+72.58))))-(-5+-5)))*-5)))/-5)--5)+(-5*(((72.58*(72.58-(-5/-5)))*(72.58-(72.58/(-5*72.58))))-(-5/-5)))))</f>
        <v>1901370.11476</v>
      </c>
      <c r="C17259" t="n" s="0">
        <v>1901370.1147599998</v>
      </c>
    </row>
    <row r="17260">
      <c r="A17260" t="n" s="0">
        <v>72.59</v>
      </c>
      <c r="B17260" t="n" s="0">
        <f>(-5-((((-5*(-5/((-5/(((-5*(72.59--5))-(-5+((-5*72.59)*(((-5--5)+(72.59--5))+72.59))))-(-5+-5)))*-5)))/-5)--5)+(-5*(((72.59*(72.59-(-5/-5)))*(72.59-(72.59/(-5*72.59))))-(-5/-5)))))</f>
        <v>1902157.5286949999</v>
      </c>
      <c r="C17260" t="n" s="0">
        <v>1902157.528695</v>
      </c>
    </row>
    <row r="17261">
      <c r="A17261" t="n" s="0">
        <v>72.6</v>
      </c>
      <c r="B17261" t="n" s="0">
        <f>(-5-((((-5*(-5/((-5/(((-5*(72.6--5))-(-5+((-5*72.6)*(((-5--5)+(72.6--5))+72.6))))-(-5+-5)))*-5)))/-5)--5)+(-5*(((72.6*(72.6-(-5/-5)))*(72.6-(72.6/(-5*72.6))))-(-5/-5)))))</f>
        <v>1902945.16</v>
      </c>
      <c r="C17261" t="n" s="0">
        <v>1902945.1599999997</v>
      </c>
    </row>
    <row r="17262">
      <c r="A17262" t="n" s="0">
        <v>72.61</v>
      </c>
      <c r="B17262" t="n" s="0">
        <f>(-5-((((-5*(-5/((-5/(((-5*(72.61--5))-(-5+((-5*72.61)*(((-5--5)+(72.61--5))+72.61))))-(-5+-5)))*-5)))/-5)--5)+(-5*(((72.61*(72.61-(-5/-5)))*(72.61-(72.61/(-5*72.61))))-(-5/-5)))))</f>
        <v>1903733.008705</v>
      </c>
      <c r="C17262" t="n" s="0">
        <v>1903733.0087050002</v>
      </c>
    </row>
    <row r="17263">
      <c r="A17263" t="n" s="0">
        <v>72.62</v>
      </c>
      <c r="B17263" t="n" s="0">
        <f>(-5-((((-5*(-5/((-5/(((-5*(72.62--5))-(-5+((-5*72.62)*(((-5--5)+(72.62--5))+72.62))))-(-5+-5)))*-5)))/-5)--5)+(-5*(((72.62*(72.62-(-5/-5)))*(72.62-(72.62/(-5*72.62))))-(-5/-5)))))</f>
        <v>1904521.07484</v>
      </c>
      <c r="C17263" t="n" s="0">
        <v>1904521.0748400004</v>
      </c>
    </row>
    <row r="17264">
      <c r="A17264" t="n" s="0">
        <v>72.63</v>
      </c>
      <c r="B17264" t="n" s="0">
        <f>(-5-((((-5*(-5/((-5/(((-5*(72.63--5))-(-5+((-5*72.63)*(((-5--5)+(72.63--5))+72.63))))-(-5+-5)))*-5)))/-5)--5)+(-5*(((72.63*(72.63-(-5/-5)))*(72.63-(72.63/(-5*72.63))))-(-5/-5)))))</f>
        <v>1905309.358435</v>
      </c>
      <c r="C17264" t="n" s="0">
        <v>1905309.3584349994</v>
      </c>
    </row>
    <row r="17265">
      <c r="A17265" t="n" s="0">
        <v>72.64</v>
      </c>
      <c r="B17265" t="n" s="0">
        <f>(-5-((((-5*(-5/((-5/(((-5*(72.64--5))-(-5+((-5*72.64)*(((-5--5)+(72.64--5))+72.64))))-(-5+-5)))*-5)))/-5)--5)+(-5*(((72.64*(72.64-(-5/-5)))*(72.64-(72.64/(-5*72.64))))-(-5/-5)))))</f>
        <v>1906097.85952</v>
      </c>
      <c r="C17265" t="n" s="0">
        <v>1906097.85952</v>
      </c>
    </row>
    <row r="17266">
      <c r="A17266" t="n" s="0">
        <v>72.65</v>
      </c>
      <c r="B17266" t="n" s="0">
        <f>(-5-((((-5*(-5/((-5/(((-5*(72.65--5))-(-5+((-5*72.65)*(((-5--5)+(72.65--5))+72.65))))-(-5+-5)))*-5)))/-5)--5)+(-5*(((72.65*(72.65-(-5/-5)))*(72.65-(72.65/(-5*72.65))))-(-5/-5)))))</f>
        <v>1906886.578125</v>
      </c>
      <c r="C17266" t="n" s="0">
        <v>1906886.5781250005</v>
      </c>
    </row>
    <row r="17267">
      <c r="A17267" t="n" s="0">
        <v>72.66</v>
      </c>
      <c r="B17267" t="n" s="0">
        <f>(-5-((((-5*(-5/((-5/(((-5*(72.66--5))-(-5+((-5*72.66)*(((-5--5)+(72.66--5))+72.66))))-(-5+-5)))*-5)))/-5)--5)+(-5*(((72.66*(72.66-(-5/-5)))*(72.66-(72.66/(-5*72.66))))-(-5/-5)))))</f>
        <v>1907675.51428</v>
      </c>
      <c r="C17267" t="n" s="0">
        <v>1907675.5142799998</v>
      </c>
    </row>
    <row r="17268">
      <c r="A17268" t="n" s="0">
        <v>72.67</v>
      </c>
      <c r="B17268" t="n" s="0">
        <f>(-5-((((-5*(-5/((-5/(((-5*(72.67--5))-(-5+((-5*72.67)*(((-5--5)+(72.67--5))+72.67))))-(-5+-5)))*-5)))/-5)--5)+(-5*(((72.67*(72.67-(-5/-5)))*(72.67-(72.67/(-5*72.67))))-(-5/-5)))))</f>
        <v>1908464.668015</v>
      </c>
      <c r="C17268" t="n" s="0">
        <v>1908464.668015</v>
      </c>
    </row>
    <row r="17269">
      <c r="A17269" t="n" s="0">
        <v>72.68</v>
      </c>
      <c r="B17269" t="n" s="0">
        <f>(-5-((((-5*(-5/((-5/(((-5*(72.68--5))-(-5+((-5*72.68)*(((-5--5)+(72.68--5))+72.68))))-(-5+-5)))*-5)))/-5)--5)+(-5*(((72.68*(72.68-(-5/-5)))*(72.68-(72.68/(-5*72.68))))-(-5/-5)))))</f>
        <v>1909254.03936</v>
      </c>
      <c r="C17269" t="n" s="0">
        <v>1909254.0393600008</v>
      </c>
    </row>
    <row r="17270">
      <c r="A17270" t="n" s="0">
        <v>72.69</v>
      </c>
      <c r="B17270" t="n" s="0">
        <f>(-5-((((-5*(-5/((-5/(((-5*(72.69--5))-(-5+((-5*72.69)*(((-5--5)+(72.69--5))+72.69))))-(-5+-5)))*-5)))/-5)--5)+(-5*(((72.69*(72.69-(-5/-5)))*(72.69-(72.69/(-5*72.69))))-(-5/-5)))))</f>
        <v>1910043.6283449999</v>
      </c>
      <c r="C17270" t="n" s="0">
        <v>1910043.628345</v>
      </c>
    </row>
    <row r="17271">
      <c r="A17271" t="n" s="0">
        <v>72.7</v>
      </c>
      <c r="B17271" t="n" s="0">
        <f>(-5-((((-5*(-5/((-5/(((-5*(72.7--5))-(-5+((-5*72.7)*(((-5--5)+(72.7--5))+72.7))))-(-5+-5)))*-5)))/-5)--5)+(-5*(((72.7*(72.7-(-5/-5)))*(72.7-(72.7/(-5*72.7))))-(-5/-5)))))</f>
        <v>1910833.4349999998</v>
      </c>
      <c r="C17271" t="n" s="0">
        <v>1910833.4350000003</v>
      </c>
    </row>
    <row r="17272">
      <c r="A17272" t="n" s="0">
        <v>72.71</v>
      </c>
      <c r="B17272" t="n" s="0">
        <f>(-5-((((-5*(-5/((-5/(((-5*(72.71--5))-(-5+((-5*72.71)*(((-5--5)+(72.71--5))+72.71))))-(-5+-5)))*-5)))/-5)--5)+(-5*(((72.71*(72.71-(-5/-5)))*(72.71-(72.71/(-5*72.71))))-(-5/-5)))))</f>
        <v>1911623.4593550002</v>
      </c>
      <c r="C17272" t="n" s="0">
        <v>1911623.4593549992</v>
      </c>
    </row>
    <row r="17273">
      <c r="A17273" t="n" s="0">
        <v>72.72</v>
      </c>
      <c r="B17273" t="n" s="0">
        <f>(-5-((((-5*(-5/((-5/(((-5*(72.72--5))-(-5+((-5*72.72)*(((-5--5)+(72.72--5))+72.72))))-(-5+-5)))*-5)))/-5)--5)+(-5*(((72.72*(72.72-(-5/-5)))*(72.72-(72.72/(-5*72.72))))-(-5/-5)))))</f>
        <v>1912413.7014400002</v>
      </c>
      <c r="C17273" t="n" s="0">
        <v>1912413.70144</v>
      </c>
    </row>
    <row r="17274">
      <c r="A17274" t="n" s="0">
        <v>72.73</v>
      </c>
      <c r="B17274" t="n" s="0">
        <f>(-5-((((-5*(-5/((-5/(((-5*(72.73--5))-(-5+((-5*72.73)*(((-5--5)+(72.73--5))+72.73))))-(-5+-5)))*-5)))/-5)--5)+(-5*(((72.73*(72.73-(-5/-5)))*(72.73-(72.73/(-5*72.73))))-(-5/-5)))))</f>
        <v>1913204.161285</v>
      </c>
      <c r="C17274" t="n" s="0">
        <v>1913204.1612850002</v>
      </c>
    </row>
    <row r="17275">
      <c r="A17275" t="n" s="0">
        <v>72.74</v>
      </c>
      <c r="B17275" t="n" s="0">
        <f>(-5-((((-5*(-5/((-5/(((-5*(72.74--5))-(-5+((-5*72.74)*(((-5--5)+(72.74--5))+72.74))))-(-5+-5)))*-5)))/-5)--5)+(-5*(((72.74*(72.74-(-5/-5)))*(72.74-(72.74/(-5*72.74))))-(-5/-5)))))</f>
        <v>1913994.83892</v>
      </c>
      <c r="C17275" t="n" s="0">
        <v>1913994.8389199995</v>
      </c>
    </row>
    <row r="17276">
      <c r="A17276" t="n" s="0">
        <v>72.75</v>
      </c>
      <c r="B17276" t="n" s="0">
        <f>(-5-((((-5*(-5/((-5/(((-5*(72.75--5))-(-5+((-5*72.75)*(((-5--5)+(72.75--5))+72.75))))-(-5+-5)))*-5)))/-5)--5)+(-5*(((72.75*(72.75-(-5/-5)))*(72.75-(72.75/(-5*72.75))))-(-5/-5)))))</f>
        <v>1914785.734375</v>
      </c>
      <c r="C17276" t="n" s="0">
        <v>1914785.734375</v>
      </c>
    </row>
    <row r="17277">
      <c r="A17277" t="n" s="0">
        <v>72.76</v>
      </c>
      <c r="B17277" t="n" s="0">
        <f>(-5-((((-5*(-5/((-5/(((-5*(72.76--5))-(-5+((-5*72.76)*(((-5--5)+(72.76--5))+72.76))))-(-5+-5)))*-5)))/-5)--5)+(-5*(((72.76*(72.76-(-5/-5)))*(72.76-(72.76/(-5*72.76))))-(-5/-5)))))</f>
        <v>1915576.8476800001</v>
      </c>
      <c r="C17277" t="n" s="0">
        <v>1915576.8476800006</v>
      </c>
    </row>
    <row r="17278">
      <c r="A17278" t="n" s="0">
        <v>72.77</v>
      </c>
      <c r="B17278" t="n" s="0">
        <f>(-5-((((-5*(-5/((-5/(((-5*(72.77--5))-(-5+((-5*72.77)*(((-5--5)+(72.77--5))+72.77))))-(-5+-5)))*-5)))/-5)--5)+(-5*(((72.77*(72.77-(-5/-5)))*(72.77-(72.77/(-5*72.77))))-(-5/-5)))))</f>
        <v>1916368.178865</v>
      </c>
      <c r="C17278" t="n" s="0">
        <v>1916368.1788649994</v>
      </c>
    </row>
    <row r="17279">
      <c r="A17279" t="n" s="0">
        <v>72.78</v>
      </c>
      <c r="B17279" t="n" s="0">
        <f>(-5-((((-5*(-5/((-5/(((-5*(72.78--5))-(-5+((-5*72.78)*(((-5--5)+(72.78--5))+72.78))))-(-5+-5)))*-5)))/-5)--5)+(-5*(((72.78*(72.78-(-5/-5)))*(72.78-(72.78/(-5*72.78))))-(-5/-5)))))</f>
        <v>1917159.72796</v>
      </c>
      <c r="C17279" t="n" s="0">
        <v>1917159.7279600003</v>
      </c>
    </row>
    <row r="17280">
      <c r="A17280" t="n" s="0">
        <v>72.79</v>
      </c>
      <c r="B17280" t="n" s="0">
        <f>(-5-((((-5*(-5/((-5/(((-5*(72.79--5))-(-5+((-5*72.79)*(((-5--5)+(72.79--5))+72.79))))-(-5+-5)))*-5)))/-5)--5)+(-5*(((72.79*(72.79-(-5/-5)))*(72.79-(72.79/(-5*72.79))))-(-5/-5)))))</f>
        <v>1917951.494995</v>
      </c>
      <c r="C17280" t="n" s="0">
        <v>1917951.4949950005</v>
      </c>
    </row>
    <row r="17281">
      <c r="A17281" t="n" s="0">
        <v>72.8</v>
      </c>
      <c r="B17281" t="n" s="0">
        <f>(-5-((((-5*(-5/((-5/(((-5*(72.8--5))-(-5+((-5*72.8)*(((-5--5)+(72.8--5))+72.8))))-(-5+-5)))*-5)))/-5)--5)+(-5*(((72.8*(72.8-(-5/-5)))*(72.8-(72.8/(-5*72.8))))-(-5/-5)))))</f>
        <v>1918743.48</v>
      </c>
      <c r="C17281" t="n" s="0">
        <v>1918743.4799999997</v>
      </c>
    </row>
    <row r="17282">
      <c r="A17282" t="n" s="0">
        <v>72.81</v>
      </c>
      <c r="B17282" t="n" s="0">
        <f>(-5-((((-5*(-5/((-5/(((-5*(72.81--5))-(-5+((-5*72.81)*(((-5--5)+(72.81--5))+72.81))))-(-5+-5)))*-5)))/-5)--5)+(-5*(((72.81*(72.81-(-5/-5)))*(72.81-(72.81/(-5*72.81))))-(-5/-5)))))</f>
        <v>1919535.683005</v>
      </c>
      <c r="C17282" t="n" s="0">
        <v>1919535.683005</v>
      </c>
    </row>
    <row r="17283">
      <c r="A17283" t="n" s="0">
        <v>72.82</v>
      </c>
      <c r="B17283" t="n" s="0">
        <f>(-5-((((-5*(-5/((-5/(((-5*(72.82--5))-(-5+((-5*72.82)*(((-5--5)+(72.82--5))+72.82))))-(-5+-5)))*-5)))/-5)--5)+(-5*(((72.82*(72.82-(-5/-5)))*(72.82-(72.82/(-5*72.82))))-(-5/-5)))))</f>
        <v>1920328.1040400001</v>
      </c>
      <c r="C17283" t="n" s="0">
        <v>1920328.1040399994</v>
      </c>
    </row>
    <row r="17284">
      <c r="A17284" t="n" s="0">
        <v>72.83</v>
      </c>
      <c r="B17284" t="n" s="0">
        <f>(-5-((((-5*(-5/((-5/(((-5*(72.83--5))-(-5+((-5*72.83)*(((-5--5)+(72.83--5))+72.83))))-(-5+-5)))*-5)))/-5)--5)+(-5*(((72.83*(72.83-(-5/-5)))*(72.83-(72.83/(-5*72.83))))-(-5/-5)))))</f>
        <v>1921120.743135</v>
      </c>
      <c r="C17284" t="n" s="0">
        <v>1921120.7431349999</v>
      </c>
    </row>
    <row r="17285">
      <c r="A17285" t="n" s="0">
        <v>72.84</v>
      </c>
      <c r="B17285" t="n" s="0">
        <f>(-5-((((-5*(-5/((-5/(((-5*(72.84--5))-(-5+((-5*72.84)*(((-5--5)+(72.84--5))+72.84))))-(-5+-5)))*-5)))/-5)--5)+(-5*(((72.84*(72.84-(-5/-5)))*(72.84-(72.84/(-5*72.84))))-(-5/-5)))))</f>
        <v>1921913.60032</v>
      </c>
      <c r="C17285" t="n" s="0">
        <v>1921913.6003200004</v>
      </c>
    </row>
    <row r="17286">
      <c r="A17286" t="n" s="0">
        <v>72.85</v>
      </c>
      <c r="B17286" t="n" s="0">
        <f>(-5-((((-5*(-5/((-5/(((-5*(72.85--5))-(-5+((-5*72.85)*(((-5--5)+(72.85--5))+72.85))))-(-5+-5)))*-5)))/-5)--5)+(-5*(((72.85*(72.85-(-5/-5)))*(72.85-(72.85/(-5*72.85))))-(-5/-5)))))</f>
        <v>1922706.675625</v>
      </c>
      <c r="C17286" t="n" s="0">
        <v>1922706.6756249995</v>
      </c>
    </row>
    <row r="17287">
      <c r="A17287" t="n" s="0">
        <v>72.86</v>
      </c>
      <c r="B17287" t="n" s="0">
        <f>(-5-((((-5*(-5/((-5/(((-5*(72.86--5))-(-5+((-5*72.86)*(((-5--5)+(72.86--5))+72.86))))-(-5+-5)))*-5)))/-5)--5)+(-5*(((72.86*(72.86-(-5/-5)))*(72.86-(72.86/(-5*72.86))))-(-5/-5)))))</f>
        <v>1923499.96908</v>
      </c>
      <c r="C17287" t="n" s="0">
        <v>1923499.96908</v>
      </c>
    </row>
    <row r="17288">
      <c r="A17288" t="n" s="0">
        <v>72.87</v>
      </c>
      <c r="B17288" t="n" s="0">
        <f>(-5-((((-5*(-5/((-5/(((-5*(72.87--5))-(-5+((-5*72.87)*(((-5--5)+(72.87--5))+72.87))))-(-5+-5)))*-5)))/-5)--5)+(-5*(((72.87*(72.87-(-5/-5)))*(72.87-(72.87/(-5*72.87))))-(-5/-5)))))</f>
        <v>1924293.480715</v>
      </c>
      <c r="C17288" t="n" s="0">
        <v>1924293.4807150008</v>
      </c>
    </row>
    <row r="17289">
      <c r="A17289" t="n" s="0">
        <v>72.88</v>
      </c>
      <c r="B17289" t="n" s="0">
        <f>(-5-((((-5*(-5/((-5/(((-5*(72.88--5))-(-5+((-5*72.88)*(((-5--5)+(72.88--5))+72.88))))-(-5+-5)))*-5)))/-5)--5)+(-5*(((72.88*(72.88-(-5/-5)))*(72.88-(72.88/(-5*72.88))))-(-5/-5)))))</f>
        <v>1925087.21056</v>
      </c>
      <c r="C17289" t="n" s="0">
        <v>1925087.2105599998</v>
      </c>
    </row>
    <row r="17290">
      <c r="A17290" t="n" s="0">
        <v>72.89</v>
      </c>
      <c r="B17290" t="n" s="0">
        <f>(-5-((((-5*(-5/((-5/(((-5*(72.89--5))-(-5+((-5*72.89)*(((-5--5)+(72.89--5))+72.89))))-(-5+-5)))*-5)))/-5)--5)+(-5*(((72.89*(72.89-(-5/-5)))*(72.89-(72.89/(-5*72.89))))-(-5/-5)))))</f>
        <v>1925881.158645</v>
      </c>
      <c r="C17290" t="n" s="0">
        <v>1925881.158645</v>
      </c>
    </row>
    <row r="17291">
      <c r="A17291" t="n" s="0">
        <v>72.9</v>
      </c>
      <c r="B17291" t="n" s="0">
        <f>(-5-((((-5*(-5/((-5/(((-5*(72.9--5))-(-5+((-5*72.9)*(((-5--5)+(72.9--5))+72.9))))-(-5+-5)))*-5)))/-5)--5)+(-5*(((72.9*(72.9-(-5/-5)))*(72.9-(72.9/(-5*72.9))))-(-5/-5)))))</f>
        <v>1926675.325</v>
      </c>
      <c r="C17291" t="n" s="0">
        <v>1926675.3250000004</v>
      </c>
    </row>
    <row r="17292">
      <c r="A17292" t="n" s="0">
        <v>72.91</v>
      </c>
      <c r="B17292" t="n" s="0">
        <f>(-5-((((-5*(-5/((-5/(((-5*(72.91--5))-(-5+((-5*72.91)*(((-5--5)+(72.91--5))+72.91))))-(-5+-5)))*-5)))/-5)--5)+(-5*(((72.91*(72.91-(-5/-5)))*(72.91-(72.91/(-5*72.91))))-(-5/-5)))))</f>
        <v>1927469.7096550001</v>
      </c>
      <c r="C17292" t="n" s="0">
        <v>1927469.7096549997</v>
      </c>
    </row>
    <row r="17293">
      <c r="A17293" t="n" s="0">
        <v>72.92</v>
      </c>
      <c r="B17293" t="n" s="0">
        <f>(-5-((((-5*(-5/((-5/(((-5*(72.92--5))-(-5+((-5*72.92)*(((-5--5)+(72.92--5))+72.92))))-(-5+-5)))*-5)))/-5)--5)+(-5*(((72.92*(72.92-(-5/-5)))*(72.92-(72.92/(-5*72.92))))-(-5/-5)))))</f>
        <v>1928264.31264</v>
      </c>
      <c r="C17293" t="n" s="0">
        <v>1928264.3126400001</v>
      </c>
    </row>
    <row r="17294">
      <c r="A17294" t="n" s="0">
        <v>72.93</v>
      </c>
      <c r="B17294" t="n" s="0">
        <f>(-5-((((-5*(-5/((-5/(((-5*(72.93--5))-(-5+((-5*72.93)*(((-5--5)+(72.93--5))+72.93))))-(-5+-5)))*-5)))/-5)--5)+(-5*(((72.93*(72.93-(-5/-5)))*(72.93-(72.93/(-5*72.93))))-(-5/-5)))))</f>
        <v>1929059.133985</v>
      </c>
      <c r="C17294" t="n" s="0">
        <v>1929059.133985001</v>
      </c>
    </row>
    <row r="17295">
      <c r="A17295" t="n" s="0">
        <v>72.94</v>
      </c>
      <c r="B17295" t="n" s="0">
        <f>(-5-((((-5*(-5/((-5/(((-5*(72.94--5))-(-5+((-5*72.94)*(((-5--5)+(72.94--5))+72.94))))-(-5+-5)))*-5)))/-5)--5)+(-5*(((72.94*(72.94-(-5/-5)))*(72.94-(72.94/(-5*72.94))))-(-5/-5)))))</f>
        <v>1929854.17372</v>
      </c>
      <c r="C17295" t="n" s="0">
        <v>1929854.1737199998</v>
      </c>
    </row>
    <row r="17296">
      <c r="A17296" t="n" s="0">
        <v>72.95</v>
      </c>
      <c r="B17296" t="n" s="0">
        <f>(-5-((((-5*(-5/((-5/(((-5*(72.95--5))-(-5+((-5*72.95)*(((-5--5)+(72.95--5))+72.95))))-(-5+-5)))*-5)))/-5)--5)+(-5*(((72.95*(72.95-(-5/-5)))*(72.95-(72.95/(-5*72.95))))-(-5/-5)))))</f>
        <v>1930649.431875</v>
      </c>
      <c r="C17296" t="n" s="0">
        <v>1930649.4318750002</v>
      </c>
    </row>
    <row r="17297">
      <c r="A17297" t="n" s="0">
        <v>72.96</v>
      </c>
      <c r="B17297" t="n" s="0">
        <f>(-5-((((-5*(-5/((-5/(((-5*(72.96--5))-(-5+((-5*72.96)*(((-5--5)+(72.96--5))+72.96))))-(-5+-5)))*-5)))/-5)--5)+(-5*(((72.96*(72.96-(-5/-5)))*(72.96-(72.96/(-5*72.96))))-(-5/-5)))))</f>
        <v>1931444.90848</v>
      </c>
      <c r="C17297" t="n" s="0">
        <v>1931444.9084799993</v>
      </c>
    </row>
    <row r="17298">
      <c r="A17298" t="n" s="0">
        <v>72.97</v>
      </c>
      <c r="B17298" t="n" s="0">
        <f>(-5-((((-5*(-5/((-5/(((-5*(72.97--5))-(-5+((-5*72.97)*(((-5--5)+(72.97--5))+72.97))))-(-5+-5)))*-5)))/-5)--5)+(-5*(((72.97*(72.97-(-5/-5)))*(72.97-(72.97/(-5*72.97))))-(-5/-5)))))</f>
        <v>1932240.603565</v>
      </c>
      <c r="C17298" t="n" s="0">
        <v>1932240.6035649998</v>
      </c>
    </row>
    <row r="17299">
      <c r="A17299" t="n" s="0">
        <v>72.98</v>
      </c>
      <c r="B17299" t="n" s="0">
        <f>(-5-((((-5*(-5/((-5/(((-5*(72.98--5))-(-5+((-5*72.98)*(((-5--5)+(72.98--5))+72.98))))-(-5+-5)))*-5)))/-5)--5)+(-5*(((72.98*(72.98-(-5/-5)))*(72.98-(72.98/(-5*72.98))))-(-5/-5)))))</f>
        <v>1933036.51716</v>
      </c>
      <c r="C17299" t="n" s="0">
        <v>1933036.51716</v>
      </c>
    </row>
    <row r="17300">
      <c r="A17300" t="n" s="0">
        <v>72.99</v>
      </c>
      <c r="B17300" t="n" s="0">
        <f>(-5-((((-5*(-5/((-5/(((-5*(72.99--5))-(-5+((-5*72.99)*(((-5--5)+(72.99--5))+72.99))))-(-5+-5)))*-5)))/-5)--5)+(-5*(((72.99*(72.99-(-5/-5)))*(72.99-(72.99/(-5*72.99))))-(-5/-5)))))</f>
        <v>1933832.649295</v>
      </c>
      <c r="C17300" t="n" s="0">
        <v>1933832.6492949997</v>
      </c>
    </row>
    <row r="17301">
      <c r="A17301" t="n" s="0">
        <v>73.0</v>
      </c>
      <c r="B17301" t="n" s="0">
        <f>(-5-((((-5*(-5/((-5/(((-5*(73--5))-(-5+((-5*73)*(((-5--5)+(73--5))+73))))-(-5+-5)))*-5)))/-5)--5)+(-5*(((73*(73-(-5/-5)))*(73-(73/(-5*73))))-(-5/-5)))))</f>
        <v>1934629.0</v>
      </c>
      <c r="C17301" t="n" s="0">
        <v>1934629.0</v>
      </c>
    </row>
    <row r="17302">
      <c r="A17302" t="n" s="0">
        <v>73.01</v>
      </c>
      <c r="B17302" t="n" s="0">
        <f>(-5-((((-5*(-5/((-5/(((-5*(73.01--5))-(-5+((-5*73.01)*(((-5--5)+(73.01--5))+73.01))))-(-5+-5)))*-5)))/-5)--5)+(-5*(((73.01*(73.01-(-5/-5)))*(73.01-(73.01/(-5*73.01))))-(-5/-5)))))</f>
        <v>1935425.5693050001</v>
      </c>
      <c r="C17302" t="n" s="0">
        <v>1935425.5693050001</v>
      </c>
    </row>
    <row r="17303">
      <c r="A17303" t="n" s="0">
        <v>73.02</v>
      </c>
      <c r="B17303" t="n" s="0">
        <f>(-5-((((-5*(-5/((-5/(((-5*(73.02--5))-(-5+((-5*73.02)*(((-5--5)+(73.02--5))+73.02))))-(-5+-5)))*-5)))/-5)--5)+(-5*(((73.02*(73.02-(-5/-5)))*(73.02-(73.02/(-5*73.02))))-(-5/-5)))))</f>
        <v>1936222.35724</v>
      </c>
      <c r="C17303" t="n" s="0">
        <v>1936222.35724</v>
      </c>
    </row>
    <row r="17304">
      <c r="A17304" t="n" s="0">
        <v>73.03</v>
      </c>
      <c r="B17304" t="n" s="0">
        <f>(-5-((((-5*(-5/((-5/(((-5*(73.03--5))-(-5+((-5*73.03)*(((-5--5)+(73.03--5))+73.03))))-(-5+-5)))*-5)))/-5)--5)+(-5*(((73.03*(73.03-(-5/-5)))*(73.03-(73.03/(-5*73.03))))-(-5/-5)))))</f>
        <v>1937019.3638350002</v>
      </c>
      <c r="C17304" t="n" s="0">
        <v>1937019.3638350002</v>
      </c>
    </row>
    <row r="17305">
      <c r="A17305" t="n" s="0">
        <v>73.04</v>
      </c>
      <c r="B17305" t="n" s="0">
        <f>(-5-((((-5*(-5/((-5/(((-5*(73.04--5))-(-5+((-5*73.04)*(((-5--5)+(73.04--5))+73.04))))-(-5+-5)))*-5)))/-5)--5)+(-5*(((73.04*(73.04-(-5/-5)))*(73.04-(73.04/(-5*73.04))))-(-5/-5)))))</f>
        <v>1937816.58912</v>
      </c>
      <c r="C17305" t="n" s="0">
        <v>1937816.5891200006</v>
      </c>
    </row>
    <row r="17306">
      <c r="A17306" t="n" s="0">
        <v>73.05</v>
      </c>
      <c r="B17306" t="n" s="0">
        <f>(-5-((((-5*(-5/((-5/(((-5*(73.05--5))-(-5+((-5*73.05)*(((-5--5)+(73.05--5))+73.05))))-(-5+-5)))*-5)))/-5)--5)+(-5*(((73.05*(73.05-(-5/-5)))*(73.05-(73.05/(-5*73.05))))-(-5/-5)))))</f>
        <v>1938614.0331249998</v>
      </c>
      <c r="C17306" t="n" s="0">
        <v>1938614.0331249998</v>
      </c>
    </row>
    <row r="17307">
      <c r="A17307" t="n" s="0">
        <v>73.06</v>
      </c>
      <c r="B17307" t="n" s="0">
        <f>(-5-((((-5*(-5/((-5/(((-5*(73.06--5))-(-5+((-5*73.06)*(((-5--5)+(73.06--5))+73.06))))-(-5+-5)))*-5)))/-5)--5)+(-5*(((73.06*(73.06-(-5/-5)))*(73.06-(73.06/(-5*73.06))))-(-5/-5)))))</f>
        <v>1939411.6958799998</v>
      </c>
      <c r="C17307" t="n" s="0">
        <v>1939411.6958800002</v>
      </c>
    </row>
    <row r="17308">
      <c r="A17308" t="n" s="0">
        <v>73.07</v>
      </c>
      <c r="B17308" t="n" s="0">
        <f>(-5-((((-5*(-5/((-5/(((-5*(73.07--5))-(-5+((-5*73.07)*(((-5--5)+(73.07--5))+73.07))))-(-5+-5)))*-5)))/-5)--5)+(-5*(((73.07*(73.07-(-5/-5)))*(73.07-(73.07/(-5*73.07))))-(-5/-5)))))</f>
        <v>1940209.5774150002</v>
      </c>
      <c r="C17308" t="n" s="0">
        <v>1940209.5774149993</v>
      </c>
    </row>
    <row r="17309">
      <c r="A17309" t="n" s="0">
        <v>73.08</v>
      </c>
      <c r="B17309" t="n" s="0">
        <f>(-5-((((-5*(-5/((-5/(((-5*(73.08--5))-(-5+((-5*73.08)*(((-5--5)+(73.08--5))+73.08))))-(-5+-5)))*-5)))/-5)--5)+(-5*(((73.08*(73.08-(-5/-5)))*(73.08-(73.08/(-5*73.08))))-(-5/-5)))))</f>
        <v>1941007.67776</v>
      </c>
      <c r="C17309" t="n" s="0">
        <v>1941007.6777599996</v>
      </c>
    </row>
    <row r="17310">
      <c r="A17310" t="n" s="0">
        <v>73.09</v>
      </c>
      <c r="B17310" t="n" s="0">
        <f>(-5-((((-5*(-5/((-5/(((-5*(73.09--5))-(-5+((-5*73.09)*(((-5--5)+(73.09--5))+73.09))))-(-5+-5)))*-5)))/-5)--5)+(-5*(((73.09*(73.09-(-5/-5)))*(73.09-(73.09/(-5*73.09))))-(-5/-5)))))</f>
        <v>1941805.996945</v>
      </c>
      <c r="C17310" t="n" s="0">
        <v>1941805.9969450005</v>
      </c>
    </row>
    <row r="17311">
      <c r="A17311" t="n" s="0">
        <v>73.1</v>
      </c>
      <c r="B17311" t="n" s="0">
        <f>(-5-((((-5*(-5/((-5/(((-5*(73.1--5))-(-5+((-5*73.1)*(((-5--5)+(73.1--5))+73.1))))-(-5+-5)))*-5)))/-5)--5)+(-5*(((73.1*(73.1-(-5/-5)))*(73.1-(73.1/(-5*73.1))))-(-5/-5)))))</f>
        <v>1942604.5350000001</v>
      </c>
      <c r="C17311" t="n" s="0">
        <v>1942604.5349999995</v>
      </c>
    </row>
    <row r="17312">
      <c r="A17312" t="n" s="0">
        <v>73.11</v>
      </c>
      <c r="B17312" t="n" s="0">
        <f>(-5-((((-5*(-5/((-5/(((-5*(73.11--5))-(-5+((-5*73.11)*(((-5--5)+(73.11--5))+73.11))))-(-5+-5)))*-5)))/-5)--5)+(-5*(((73.11*(73.11-(-5/-5)))*(73.11-(73.11/(-5*73.11))))-(-5/-5)))))</f>
        <v>1943403.291955</v>
      </c>
      <c r="C17312" t="n" s="0">
        <v>1943403.291955</v>
      </c>
    </row>
    <row r="17313">
      <c r="A17313" t="n" s="0">
        <v>73.12</v>
      </c>
      <c r="B17313" t="n" s="0">
        <f>(-5-((((-5*(-5/((-5/(((-5*(73.12--5))-(-5+((-5*73.12)*(((-5--5)+(73.12--5))+73.12))))-(-5+-5)))*-5)))/-5)--5)+(-5*(((73.12*(73.12-(-5/-5)))*(73.12-(73.12/(-5*73.12))))-(-5/-5)))))</f>
        <v>1944202.26784</v>
      </c>
      <c r="C17313" t="n" s="0">
        <v>1944202.2678400006</v>
      </c>
    </row>
    <row r="17314">
      <c r="A17314" t="n" s="0">
        <v>73.13</v>
      </c>
      <c r="B17314" t="n" s="0">
        <f>(-5-((((-5*(-5/((-5/(((-5*(73.13--5))-(-5+((-5*73.13)*(((-5--5)+(73.13--5))+73.13))))-(-5+-5)))*-5)))/-5)--5)+(-5*(((73.13*(73.13-(-5/-5)))*(73.13-(73.13/(-5*73.13))))-(-5/-5)))))</f>
        <v>1945001.4626850002</v>
      </c>
      <c r="C17314" t="n" s="0">
        <v>1945001.4626849995</v>
      </c>
    </row>
    <row r="17315">
      <c r="A17315" t="n" s="0">
        <v>73.14</v>
      </c>
      <c r="B17315" t="n" s="0">
        <f>(-5-((((-5*(-5/((-5/(((-5*(73.14--5))-(-5+((-5*73.14)*(((-5--5)+(73.14--5))+73.14))))-(-5+-5)))*-5)))/-5)--5)+(-5*(((73.14*(73.14-(-5/-5)))*(73.14-(73.14/(-5*73.14))))-(-5/-5)))))</f>
        <v>1945800.87652</v>
      </c>
      <c r="C17315" t="n" s="0">
        <v>1945800.8765200002</v>
      </c>
    </row>
    <row r="17316">
      <c r="A17316" t="n" s="0">
        <v>73.15</v>
      </c>
      <c r="B17316" t="n" s="0">
        <f>(-5-((((-5*(-5/((-5/(((-5*(73.15--5))-(-5+((-5*73.15)*(((-5--5)+(73.15--5))+73.15))))-(-5+-5)))*-5)))/-5)--5)+(-5*(((73.15*(73.15-(-5/-5)))*(73.15-(73.15/(-5*73.15))))-(-5/-5)))))</f>
        <v>1946600.5093750001</v>
      </c>
      <c r="C17316" t="n" s="0">
        <v>1946600.5093750004</v>
      </c>
    </row>
    <row r="17317">
      <c r="A17317" t="n" s="0">
        <v>73.16</v>
      </c>
      <c r="B17317" t="n" s="0">
        <f>(-5-((((-5*(-5/((-5/(((-5*(73.16--5))-(-5+((-5*73.16)*(((-5--5)+(73.16--5))+73.16))))-(-5+-5)))*-5)))/-5)--5)+(-5*(((73.16*(73.16-(-5/-5)))*(73.16-(73.16/(-5*73.16))))-(-5/-5)))))</f>
        <v>1947400.36128</v>
      </c>
      <c r="C17317" t="n" s="0">
        <v>1947400.3612799996</v>
      </c>
    </row>
    <row r="17318">
      <c r="A17318" t="n" s="0">
        <v>73.17</v>
      </c>
      <c r="B17318" t="n" s="0">
        <f>(-5-((((-5*(-5/((-5/(((-5*(73.17--5))-(-5+((-5*73.17)*(((-5--5)+(73.17--5))+73.17))))-(-5+-5)))*-5)))/-5)--5)+(-5*(((73.17*(73.17-(-5/-5)))*(73.17-(73.17/(-5*73.17))))-(-5/-5)))))</f>
        <v>1948200.432265</v>
      </c>
      <c r="C17318" t="n" s="0">
        <v>1948200.4322650004</v>
      </c>
    </row>
    <row r="17319">
      <c r="A17319" t="n" s="0">
        <v>73.18</v>
      </c>
      <c r="B17319" t="n" s="0">
        <f>(-5-((((-5*(-5/((-5/(((-5*(73.18--5))-(-5+((-5*73.18)*(((-5--5)+(73.18--5))+73.18))))-(-5+-5)))*-5)))/-5)--5)+(-5*(((73.18*(73.18-(-5/-5)))*(73.18-(73.18/(-5*73.18))))-(-5/-5)))))</f>
        <v>1949000.72236</v>
      </c>
      <c r="C17319" t="n" s="0">
        <v>1949000.7223600002</v>
      </c>
    </row>
    <row r="17320">
      <c r="A17320" t="n" s="0">
        <v>73.19</v>
      </c>
      <c r="B17320" t="n" s="0">
        <f>(-5-((((-5*(-5/((-5/(((-5*(73.19--5))-(-5+((-5*73.19)*(((-5--5)+(73.19--5))+73.19))))-(-5+-5)))*-5)))/-5)--5)+(-5*(((73.19*(73.19-(-5/-5)))*(73.19-(73.19/(-5*73.19))))-(-5/-5)))))</f>
        <v>1949801.231595</v>
      </c>
      <c r="C17320" t="n" s="0">
        <v>1949801.2315949998</v>
      </c>
    </row>
    <row r="17321">
      <c r="A17321" t="n" s="0">
        <v>73.2</v>
      </c>
      <c r="B17321" t="n" s="0">
        <f>(-5-((((-5*(-5/((-5/(((-5*(73.2--5))-(-5+((-5*73.2)*(((-5--5)+(73.2--5))+73.2))))-(-5+-5)))*-5)))/-5)--5)+(-5*(((73.2*(73.2-(-5/-5)))*(73.2-(73.2/(-5*73.2))))-(-5/-5)))))</f>
        <v>1950601.96</v>
      </c>
      <c r="C17321" t="n" s="0">
        <v>1950601.9600000004</v>
      </c>
    </row>
    <row r="17322">
      <c r="A17322" t="n" s="0">
        <v>73.21</v>
      </c>
      <c r="B17322" t="n" s="0">
        <f>(-5-((((-5*(-5/((-5/(((-5*(73.21--5))-(-5+((-5*73.21)*(((-5--5)+(73.21--5))+73.21))))-(-5+-5)))*-5)))/-5)--5)+(-5*(((73.21*(73.21-(-5/-5)))*(73.21-(73.21/(-5*73.21))))-(-5/-5)))))</f>
        <v>1951402.907605</v>
      </c>
      <c r="C17322" t="n" s="0">
        <v>1951402.9076049996</v>
      </c>
    </row>
    <row r="17323">
      <c r="A17323" t="n" s="0">
        <v>73.22</v>
      </c>
      <c r="B17323" t="n" s="0">
        <f>(-5-((((-5*(-5/((-5/(((-5*(73.22--5))-(-5+((-5*73.22)*(((-5--5)+(73.22--5))+73.22))))-(-5+-5)))*-5)))/-5)--5)+(-5*(((73.22*(73.22-(-5/-5)))*(73.22-(73.22/(-5*73.22))))-(-5/-5)))))</f>
        <v>1952204.07444</v>
      </c>
      <c r="C17323" t="n" s="0">
        <v>1952204.0744399999</v>
      </c>
    </row>
    <row r="17324">
      <c r="A17324" t="n" s="0">
        <v>73.23</v>
      </c>
      <c r="B17324" t="n" s="0">
        <f>(-5-((((-5*(-5/((-5/(((-5*(73.23--5))-(-5+((-5*73.23)*(((-5--5)+(73.23--5))+73.23))))-(-5+-5)))*-5)))/-5)--5)+(-5*(((73.23*(73.23-(-5/-5)))*(73.23-(73.23/(-5*73.23))))-(-5/-5)))))</f>
        <v>1953005.460535</v>
      </c>
      <c r="C17324" t="n" s="0">
        <v>1953005.4605350003</v>
      </c>
    </row>
    <row r="17325">
      <c r="A17325" t="n" s="0">
        <v>73.24</v>
      </c>
      <c r="B17325" t="n" s="0">
        <f>(-5-((((-5*(-5/((-5/(((-5*(73.24--5))-(-5+((-5*73.24)*(((-5--5)+(73.24--5))+73.24))))-(-5+-5)))*-5)))/-5)--5)+(-5*(((73.24*(73.24-(-5/-5)))*(73.24-(73.24/(-5*73.24))))-(-5/-5)))))</f>
        <v>1953807.06592</v>
      </c>
      <c r="C17325" t="n" s="0">
        <v>1953807.0659199997</v>
      </c>
    </row>
    <row r="17326">
      <c r="A17326" t="n" s="0">
        <v>73.25</v>
      </c>
      <c r="B17326" t="n" s="0">
        <f>(-5-((((-5*(-5/((-5/(((-5*(73.25--5))-(-5+((-5*73.25)*(((-5--5)+(73.25--5))+73.25))))-(-5+-5)))*-5)))/-5)--5)+(-5*(((73.25*(73.25-(-5/-5)))*(73.25-(73.25/(-5*73.25))))-(-5/-5)))))</f>
        <v>1954608.890625</v>
      </c>
      <c r="C17326" t="n" s="0">
        <v>1954608.890625</v>
      </c>
    </row>
    <row r="17327">
      <c r="A17327" t="n" s="0">
        <v>73.26</v>
      </c>
      <c r="B17327" t="n" s="0">
        <f>(-5-((((-5*(-5/((-5/(((-5*(73.26--5))-(-5+((-5*73.26)*(((-5--5)+(73.26--5))+73.26))))-(-5+-5)))*-5)))/-5)--5)+(-5*(((73.26*(73.26-(-5/-5)))*(73.26-(73.26/(-5*73.26))))-(-5/-5)))))</f>
        <v>1955410.9346800002</v>
      </c>
      <c r="C17327" t="n" s="0">
        <v>1955410.9346800004</v>
      </c>
    </row>
    <row r="17328">
      <c r="A17328" t="n" s="0">
        <v>73.27</v>
      </c>
      <c r="B17328" t="n" s="0">
        <f>(-5-((((-5*(-5/((-5/(((-5*(73.27--5))-(-5+((-5*73.27)*(((-5--5)+(73.27--5))+73.27))))-(-5+-5)))*-5)))/-5)--5)+(-5*(((73.27*(73.27-(-5/-5)))*(73.27-(73.27/(-5*73.27))))-(-5/-5)))))</f>
        <v>1956213.198115</v>
      </c>
      <c r="C17328" t="n" s="0">
        <v>1956213.198115</v>
      </c>
    </row>
    <row r="17329">
      <c r="A17329" t="n" s="0">
        <v>73.28</v>
      </c>
      <c r="B17329" t="n" s="0">
        <f>(-5-((((-5*(-5/((-5/(((-5*(73.28--5))-(-5+((-5*73.28)*(((-5--5)+(73.28--5))+73.28))))-(-5+-5)))*-5)))/-5)--5)+(-5*(((73.28*(73.28-(-5/-5)))*(73.28-(73.28/(-5*73.28))))-(-5/-5)))))</f>
        <v>1957015.6809599998</v>
      </c>
      <c r="C17329" t="n" s="0">
        <v>1957015.68096</v>
      </c>
    </row>
    <row r="17330">
      <c r="A17330" t="n" s="0">
        <v>73.29</v>
      </c>
      <c r="B17330" t="n" s="0">
        <f>(-5-((((-5*(-5/((-5/(((-5*(73.29--5))-(-5+((-5*73.29)*(((-5--5)+(73.29--5))+73.29))))-(-5+-5)))*-5)))/-5)--5)+(-5*(((73.29*(73.29-(-5/-5)))*(73.29-(73.29/(-5*73.29))))-(-5/-5)))))</f>
        <v>1957818.3832450002</v>
      </c>
      <c r="C17330" t="n" s="0">
        <v>1957818.3832450008</v>
      </c>
    </row>
    <row r="17331">
      <c r="A17331" t="n" s="0">
        <v>73.3</v>
      </c>
      <c r="B17331" t="n" s="0">
        <f>(-5-((((-5*(-5/((-5/(((-5*(73.3--5))-(-5+((-5*73.3)*(((-5--5)+(73.3--5))+73.3))))-(-5+-5)))*-5)))/-5)--5)+(-5*(((73.3*(73.3-(-5/-5)))*(73.3-(73.3/(-5*73.3))))-(-5/-5)))))</f>
        <v>1958621.305</v>
      </c>
      <c r="C17331" t="n" s="0">
        <v>1958621.3049999995</v>
      </c>
    </row>
    <row r="17332">
      <c r="A17332" t="n" s="0">
        <v>73.31</v>
      </c>
      <c r="B17332" t="n" s="0">
        <f>(-5-((((-5*(-5/((-5/(((-5*(73.31--5))-(-5+((-5*73.31)*(((-5--5)+(73.31--5))+73.31))))-(-5+-5)))*-5)))/-5)--5)+(-5*(((73.31*(73.31-(-5/-5)))*(73.31-(73.31/(-5*73.31))))-(-5/-5)))))</f>
        <v>1959424.4462549998</v>
      </c>
      <c r="C17332" t="n" s="0">
        <v>1959424.4462550003</v>
      </c>
    </row>
    <row r="17333">
      <c r="A17333" t="n" s="0">
        <v>73.32</v>
      </c>
      <c r="B17333" t="n" s="0">
        <f>(-5-((((-5*(-5/((-5/(((-5*(73.32--5))-(-5+((-5*73.32)*(((-5--5)+(73.32--5))+73.32))))-(-5+-5)))*-5)))/-5)--5)+(-5*(((73.32*(73.32-(-5/-5)))*(73.32-(73.32/(-5*73.32))))-(-5/-5)))))</f>
        <v>1960227.8070399999</v>
      </c>
      <c r="C17333" t="n" s="0">
        <v>1960227.8070399996</v>
      </c>
    </row>
    <row r="17334">
      <c r="A17334" t="n" s="0">
        <v>73.33</v>
      </c>
      <c r="B17334" t="n" s="0">
        <f>(-5-((((-5*(-5/((-5/(((-5*(73.33--5))-(-5+((-5*73.33)*(((-5--5)+(73.33--5))+73.33))))-(-5+-5)))*-5)))/-5)--5)+(-5*(((73.33*(73.33-(-5/-5)))*(73.33-(73.33/(-5*73.33))))-(-5/-5)))))</f>
        <v>1961031.387385</v>
      </c>
      <c r="C17334" t="n" s="0">
        <v>1961031.3873849998</v>
      </c>
    </row>
    <row r="17335">
      <c r="A17335" t="n" s="0">
        <v>73.34</v>
      </c>
      <c r="B17335" t="n" s="0">
        <f>(-5-((((-5*(-5/((-5/(((-5*(73.34--5))-(-5+((-5*73.34)*(((-5--5)+(73.34--5))+73.34))))-(-5+-5)))*-5)))/-5)--5)+(-5*(((73.34*(73.34-(-5/-5)))*(73.34-(73.34/(-5*73.34))))-(-5/-5)))))</f>
        <v>1961835.18732</v>
      </c>
      <c r="C17335" t="n" s="0">
        <v>1961835.1873200003</v>
      </c>
    </row>
    <row r="17336">
      <c r="A17336" t="n" s="0">
        <v>73.35</v>
      </c>
      <c r="B17336" t="n" s="0">
        <f>(-5-((((-5*(-5/((-5/(((-5*(73.35--5))-(-5+((-5*73.35)*(((-5--5)+(73.35--5))+73.35))))-(-5+-5)))*-5)))/-5)--5)+(-5*(((73.35*(73.35-(-5/-5)))*(73.35-(73.35/(-5*73.35))))-(-5/-5)))))</f>
        <v>1962639.206875</v>
      </c>
      <c r="C17336" t="n" s="0">
        <v>1962639.2068749995</v>
      </c>
    </row>
    <row r="17337">
      <c r="A17337" t="n" s="0">
        <v>73.36</v>
      </c>
      <c r="B17337" t="n" s="0">
        <f>(-5-((((-5*(-5/((-5/(((-5*(73.36--5))-(-5+((-5*73.36)*(((-5--5)+(73.36--5))+73.36))))-(-5+-5)))*-5)))/-5)--5)+(-5*(((73.36*(73.36-(-5/-5)))*(73.36-(73.36/(-5*73.36))))-(-5/-5)))))</f>
        <v>1963443.4460800001</v>
      </c>
      <c r="C17337" t="n" s="0">
        <v>1963443.44608</v>
      </c>
    </row>
    <row r="17338">
      <c r="A17338" t="n" s="0">
        <v>73.37</v>
      </c>
      <c r="B17338" t="n" s="0">
        <f>(-5-((((-5*(-5/((-5/(((-5*(73.37--5))-(-5+((-5*73.37)*(((-5--5)+(73.37--5))+73.37))))-(-5+-5)))*-5)))/-5)--5)+(-5*(((73.37*(73.37-(-5/-5)))*(73.37-(73.37/(-5*73.37))))-(-5/-5)))))</f>
        <v>1964247.904965</v>
      </c>
      <c r="C17338" t="n" s="0">
        <v>1964247.9049650005</v>
      </c>
    </row>
    <row r="17339">
      <c r="A17339" t="n" s="0">
        <v>73.38</v>
      </c>
      <c r="B17339" t="n" s="0">
        <f>(-5-((((-5*(-5/((-5/(((-5*(73.38--5))-(-5+((-5*73.38)*(((-5--5)+(73.38--5))+73.38))))-(-5+-5)))*-5)))/-5)--5)+(-5*(((73.38*(73.38-(-5/-5)))*(73.38-(73.38/(-5*73.38))))-(-5/-5)))))</f>
        <v>1965052.58356</v>
      </c>
      <c r="C17339" t="n" s="0">
        <v>1965052.5835599997</v>
      </c>
    </row>
    <row r="17340">
      <c r="A17340" t="n" s="0">
        <v>73.39</v>
      </c>
      <c r="B17340" t="n" s="0">
        <f>(-5-((((-5*(-5/((-5/(((-5*(73.39--5))-(-5+((-5*73.39)*(((-5--5)+(73.39--5))+73.39))))-(-5+-5)))*-5)))/-5)--5)+(-5*(((73.39*(73.39-(-5/-5)))*(73.39-(73.39/(-5*73.39))))-(-5/-5)))))</f>
        <v>1965857.481895</v>
      </c>
      <c r="C17340" t="n" s="0">
        <v>1965857.4818950002</v>
      </c>
    </row>
    <row r="17341">
      <c r="A17341" t="n" s="0">
        <v>73.4</v>
      </c>
      <c r="B17341" t="n" s="0">
        <f>(-5-((((-5*(-5/((-5/(((-5*(73.4--5))-(-5+((-5*73.4)*(((-5--5)+(73.4--5))+73.4))))-(-5+-5)))*-5)))/-5)--5)+(-5*(((73.4*(73.4-(-5/-5)))*(73.4-(73.4/(-5*73.4))))-(-5/-5)))))</f>
        <v>1966662.5999999999</v>
      </c>
      <c r="C17341" t="n" s="0">
        <v>1966662.6000000003</v>
      </c>
    </row>
    <row r="17342">
      <c r="A17342" t="n" s="0">
        <v>73.41</v>
      </c>
      <c r="B17342" t="n" s="0">
        <f>(-5-((((-5*(-5/((-5/(((-5*(73.41--5))-(-5+((-5*73.41)*(((-5--5)+(73.41--5))+73.41))))-(-5+-5)))*-5)))/-5)--5)+(-5*(((73.41*(73.41-(-5/-5)))*(73.41-(73.41/(-5*73.41))))-(-5/-5)))))</f>
        <v>1967467.9379049998</v>
      </c>
      <c r="C17342" t="n" s="0">
        <v>1967467.9379049996</v>
      </c>
    </row>
    <row r="17343">
      <c r="A17343" t="n" s="0">
        <v>73.42</v>
      </c>
      <c r="B17343" t="n" s="0">
        <f>(-5-((((-5*(-5/((-5/(((-5*(73.42--5))-(-5+((-5*73.42)*(((-5--5)+(73.42--5))+73.42))))-(-5+-5)))*-5)))/-5)--5)+(-5*(((73.42*(73.42-(-5/-5)))*(73.42-(73.42/(-5*73.42))))-(-5/-5)))))</f>
        <v>1968273.49564</v>
      </c>
      <c r="C17343" t="n" s="0">
        <v>1968273.4956400003</v>
      </c>
    </row>
    <row r="17344">
      <c r="A17344" t="n" s="0">
        <v>73.43</v>
      </c>
      <c r="B17344" t="n" s="0">
        <f>(-5-((((-5*(-5/((-5/(((-5*(73.43--5))-(-5+((-5*73.43)*(((-5--5)+(73.43--5))+73.43))))-(-5+-5)))*-5)))/-5)--5)+(-5*(((73.43*(73.43-(-5/-5)))*(73.43-(73.43/(-5*73.43))))-(-5/-5)))))</f>
        <v>1969079.273235</v>
      </c>
      <c r="C17344" t="n" s="0">
        <v>1969079.2732350004</v>
      </c>
    </row>
    <row r="17345">
      <c r="A17345" t="n" s="0">
        <v>73.44</v>
      </c>
      <c r="B17345" t="n" s="0">
        <f>(-5-((((-5*(-5/((-5/(((-5*(73.44--5))-(-5+((-5*73.44)*(((-5--5)+(73.44--5))+73.44))))-(-5+-5)))*-5)))/-5)--5)+(-5*(((73.44*(73.44-(-5/-5)))*(73.44-(73.44/(-5*73.44))))-(-5/-5)))))</f>
        <v>1969885.27072</v>
      </c>
      <c r="C17345" t="n" s="0">
        <v>1969885.27072</v>
      </c>
    </row>
    <row r="17346">
      <c r="A17346" t="n" s="0">
        <v>73.45</v>
      </c>
      <c r="B17346" t="n" s="0">
        <f>(-5-((((-5*(-5/((-5/(((-5*(73.45--5))-(-5+((-5*73.45)*(((-5--5)+(73.45--5))+73.45))))-(-5+-5)))*-5)))/-5)--5)+(-5*(((73.45*(73.45-(-5/-5)))*(73.45-(73.45/(-5*73.45))))-(-5/-5)))))</f>
        <v>1970691.488125</v>
      </c>
      <c r="C17346" t="n" s="0">
        <v>1970691.4881250004</v>
      </c>
    </row>
    <row r="17347">
      <c r="A17347" t="n" s="0">
        <v>73.46</v>
      </c>
      <c r="B17347" t="n" s="0">
        <f>(-5-((((-5*(-5/((-5/(((-5*(73.46--5))-(-5+((-5*73.46)*(((-5--5)+(73.46--5))+73.46))))-(-5+-5)))*-5)))/-5)--5)+(-5*(((73.46*(73.46-(-5/-5)))*(73.46-(73.46/(-5*73.46))))-(-5/-5)))))</f>
        <v>1971497.92548</v>
      </c>
      <c r="C17347" t="n" s="0">
        <v>1971497.9254799995</v>
      </c>
    </row>
    <row r="17348">
      <c r="A17348" t="n" s="0">
        <v>73.47</v>
      </c>
      <c r="B17348" t="n" s="0">
        <f>(-5-((((-5*(-5/((-5/(((-5*(73.47--5))-(-5+((-5*73.47)*(((-5--5)+(73.47--5))+73.47))))-(-5+-5)))*-5)))/-5)--5)+(-5*(((73.47*(73.47-(-5/-5)))*(73.47-(73.47/(-5*73.47))))-(-5/-5)))))</f>
        <v>1972304.582815</v>
      </c>
      <c r="C17348" t="n" s="0">
        <v>1972304.5828149999</v>
      </c>
    </row>
    <row r="17349">
      <c r="A17349" t="n" s="0">
        <v>73.48</v>
      </c>
      <c r="B17349" t="n" s="0">
        <f>(-5-((((-5*(-5/((-5/(((-5*(73.48--5))-(-5+((-5*73.48)*(((-5--5)+(73.48--5))+73.48))))-(-5+-5)))*-5)))/-5)--5)+(-5*(((73.48*(73.48-(-5/-5)))*(73.48-(73.48/(-5*73.48))))-(-5/-5)))))</f>
        <v>1973111.46016</v>
      </c>
      <c r="C17349" t="n" s="0">
        <v>1973111.4601600002</v>
      </c>
    </row>
    <row r="17350">
      <c r="A17350" t="n" s="0">
        <v>73.49</v>
      </c>
      <c r="B17350" t="n" s="0">
        <f>(-5-((((-5*(-5/((-5/(((-5*(73.49--5))-(-5+((-5*73.49)*(((-5--5)+(73.49--5))+73.49))))-(-5+-5)))*-5)))/-5)--5)+(-5*(((73.49*(73.49-(-5/-5)))*(73.49-(73.49/(-5*73.49))))-(-5/-5)))))</f>
        <v>1973918.557545</v>
      </c>
      <c r="C17350" t="n" s="0">
        <v>1973918.5575449995</v>
      </c>
    </row>
    <row r="17351">
      <c r="A17351" t="n" s="0">
        <v>73.5</v>
      </c>
      <c r="B17351" t="n" s="0">
        <f>(-5-((((-5*(-5/((-5/(((-5*(73.5--5))-(-5+((-5*73.5)*(((-5--5)+(73.5--5))+73.5))))-(-5+-5)))*-5)))/-5)--5)+(-5*(((73.5*(73.5-(-5/-5)))*(73.5-(73.5/(-5*73.5))))-(-5/-5)))))</f>
        <v>1974725.875</v>
      </c>
      <c r="C17351" t="n" s="0">
        <v>1974725.875</v>
      </c>
    </row>
    <row r="17352">
      <c r="A17352" t="n" s="0">
        <v>73.51</v>
      </c>
      <c r="B17352" t="n" s="0">
        <f>(-5-((((-5*(-5/((-5/(((-5*(73.51--5))-(-5+((-5*73.51)*(((-5--5)+(73.51--5))+73.51))))-(-5+-5)))*-5)))/-5)--5)+(-5*(((73.51*(73.51-(-5/-5)))*(73.51-(73.51/(-5*73.51))))-(-5/-5)))))</f>
        <v>1975533.412555</v>
      </c>
      <c r="C17352" t="n" s="0">
        <v>1975533.4125550005</v>
      </c>
    </row>
    <row r="17353">
      <c r="A17353" t="n" s="0">
        <v>73.52</v>
      </c>
      <c r="B17353" t="n" s="0">
        <f>(-5-((((-5*(-5/((-5/(((-5*(73.52--5))-(-5+((-5*73.52)*(((-5--5)+(73.52--5))+73.52))))-(-5+-5)))*-5)))/-5)--5)+(-5*(((73.52*(73.52-(-5/-5)))*(73.52-(73.52/(-5*73.52))))-(-5/-5)))))</f>
        <v>1976341.17024</v>
      </c>
      <c r="C17353" t="n" s="0">
        <v>1976341.17024</v>
      </c>
    </row>
    <row r="17354">
      <c r="A17354" t="n" s="0">
        <v>73.53</v>
      </c>
      <c r="B17354" t="n" s="0">
        <f>(-5-((((-5*(-5/((-5/(((-5*(73.53--5))-(-5+((-5*73.53)*(((-5--5)+(73.53--5))+73.53))))-(-5+-5)))*-5)))/-5)--5)+(-5*(((73.53*(73.53-(-5/-5)))*(73.53-(73.53/(-5*73.53))))-(-5/-5)))))</f>
        <v>1977149.148085</v>
      </c>
      <c r="C17354" t="n" s="0">
        <v>1977149.1480850002</v>
      </c>
    </row>
    <row r="17355">
      <c r="A17355" t="n" s="0">
        <v>73.54</v>
      </c>
      <c r="B17355" t="n" s="0">
        <f>(-5-((((-5*(-5/((-5/(((-5*(73.54--5))-(-5+((-5*73.54)*(((-5--5)+(73.54--5))+73.54))))-(-5+-5)))*-5)))/-5)--5)+(-5*(((73.54*(73.54-(-5/-5)))*(73.54-(73.54/(-5*73.54))))-(-5/-5)))))</f>
        <v>1977957.3461200001</v>
      </c>
      <c r="C17355" t="n" s="0">
        <v>1977957.3461200006</v>
      </c>
    </row>
    <row r="17356">
      <c r="A17356" t="n" s="0">
        <v>73.55</v>
      </c>
      <c r="B17356" t="n" s="0">
        <f>(-5-((((-5*(-5/((-5/(((-5*(73.55--5))-(-5+((-5*73.55)*(((-5--5)+(73.55--5))+73.55))))-(-5+-5)))*-5)))/-5)--5)+(-5*(((73.55*(73.55-(-5/-5)))*(73.55-(73.55/(-5*73.55))))-(-5/-5)))))</f>
        <v>1978765.764375</v>
      </c>
      <c r="C17356" t="n" s="0">
        <v>1978765.7643749996</v>
      </c>
    </row>
    <row r="17357">
      <c r="A17357" t="n" s="0">
        <v>73.56</v>
      </c>
      <c r="B17357" t="n" s="0">
        <f>(-5-((((-5*(-5/((-5/(((-5*(73.56--5))-(-5+((-5*73.56)*(((-5--5)+(73.56--5))+73.56))))-(-5+-5)))*-5)))/-5)--5)+(-5*(((73.56*(73.56-(-5/-5)))*(73.56-(73.56/(-5*73.56))))-(-5/-5)))))</f>
        <v>1979574.40288</v>
      </c>
      <c r="C17357" t="n" s="0">
        <v>1979574.4028800002</v>
      </c>
    </row>
    <row r="17358">
      <c r="A17358" t="n" s="0">
        <v>73.57</v>
      </c>
      <c r="B17358" t="n" s="0">
        <f>(-5-((((-5*(-5/((-5/(((-5*(73.57--5))-(-5+((-5*73.57)*(((-5--5)+(73.57--5))+73.57))))-(-5+-5)))*-5)))/-5)--5)+(-5*(((73.57*(73.57-(-5/-5)))*(73.57-(73.57/(-5*73.57))))-(-5/-5)))))</f>
        <v>1980383.2616649999</v>
      </c>
      <c r="C17358" t="n" s="0">
        <v>1980383.2616649996</v>
      </c>
    </row>
    <row r="17359">
      <c r="A17359" t="n" s="0">
        <v>73.58</v>
      </c>
      <c r="B17359" t="n" s="0">
        <f>(-5-((((-5*(-5/((-5/(((-5*(73.58--5))-(-5+((-5*73.58)*(((-5--5)+(73.58--5))+73.58))))-(-5+-5)))*-5)))/-5)--5)+(-5*(((73.58*(73.58-(-5/-5)))*(73.58-(73.58/(-5*73.58))))-(-5/-5)))))</f>
        <v>1981192.34076</v>
      </c>
      <c r="C17359" t="n" s="0">
        <v>1981192.3407599998</v>
      </c>
    </row>
    <row r="17360">
      <c r="A17360" t="n" s="0">
        <v>73.59</v>
      </c>
      <c r="B17360" t="n" s="0">
        <f>(-5-((((-5*(-5/((-5/(((-5*(73.59--5))-(-5+((-5*73.59)*(((-5--5)+(73.59--5))+73.59))))-(-5+-5)))*-5)))/-5)--5)+(-5*(((73.59*(73.59-(-5/-5)))*(73.59-(73.59/(-5*73.59))))-(-5/-5)))))</f>
        <v>1982001.640195</v>
      </c>
      <c r="C17360" t="n" s="0">
        <v>1982001.6401950005</v>
      </c>
    </row>
    <row r="17361">
      <c r="A17361" t="n" s="0">
        <v>73.6</v>
      </c>
      <c r="B17361" t="n" s="0">
        <f>(-5-((((-5*(-5/((-5/(((-5*(73.6--5))-(-5+((-5*73.6)*(((-5--5)+(73.6--5))+73.6))))-(-5+-5)))*-5)))/-5)--5)+(-5*(((73.6*(73.6-(-5/-5)))*(73.6-(73.6/(-5*73.6))))-(-5/-5)))))</f>
        <v>1982811.1600000001</v>
      </c>
      <c r="C17361" t="n" s="0">
        <v>1982811.16</v>
      </c>
    </row>
    <row r="17362">
      <c r="A17362" t="n" s="0">
        <v>73.61</v>
      </c>
      <c r="B17362" t="n" s="0">
        <f>(-5-((((-5*(-5/((-5/(((-5*(73.61--5))-(-5+((-5*73.61)*(((-5--5)+(73.61--5))+73.61))))-(-5+-5)))*-5)))/-5)--5)+(-5*(((73.61*(73.61-(-5/-5)))*(73.61-(73.61/(-5*73.61))))-(-5/-5)))))</f>
        <v>1983620.9002049998</v>
      </c>
      <c r="C17362" t="n" s="0">
        <v>1983620.900205</v>
      </c>
    </row>
    <row r="17363">
      <c r="A17363" t="n" s="0">
        <v>73.62</v>
      </c>
      <c r="B17363" t="n" s="0">
        <f>(-5-((((-5*(-5/((-5/(((-5*(73.62--5))-(-5+((-5*73.62)*(((-5--5)+(73.62--5))+73.62))))-(-5+-5)))*-5)))/-5)--5)+(-5*(((73.62*(73.62-(-5/-5)))*(73.62-(73.62/(-5*73.62))))-(-5/-5)))))</f>
        <v>1984430.86084</v>
      </c>
      <c r="C17363" t="n" s="0">
        <v>1984430.8608400004</v>
      </c>
    </row>
    <row r="17364">
      <c r="A17364" t="n" s="0">
        <v>73.63</v>
      </c>
      <c r="B17364" t="n" s="0">
        <f>(-5-((((-5*(-5/((-5/(((-5*(73.63--5))-(-5+((-5*73.63)*(((-5--5)+(73.63--5))+73.63))))-(-5+-5)))*-5)))/-5)--5)+(-5*(((73.63*(73.63-(-5/-5)))*(73.63-(73.63/(-5*73.63))))-(-5/-5)))))</f>
        <v>1985241.041935</v>
      </c>
      <c r="C17364" t="n" s="0">
        <v>1985241.0419349994</v>
      </c>
    </row>
    <row r="17365">
      <c r="A17365" t="n" s="0">
        <v>73.64</v>
      </c>
      <c r="B17365" t="n" s="0">
        <f>(-5-((((-5*(-5/((-5/(((-5*(73.64--5))-(-5+((-5*73.64)*(((-5--5)+(73.64--5))+73.64))))-(-5+-5)))*-5)))/-5)--5)+(-5*(((73.64*(73.64-(-5/-5)))*(73.64-(73.64/(-5*73.64))))-(-5/-5)))))</f>
        <v>1986051.44352</v>
      </c>
      <c r="C17365" t="n" s="0">
        <v>1986051.44352</v>
      </c>
    </row>
    <row r="17366">
      <c r="A17366" t="n" s="0">
        <v>73.65</v>
      </c>
      <c r="B17366" t="n" s="0">
        <f>(-5-((((-5*(-5/((-5/(((-5*(73.65--5))-(-5+((-5*73.65)*(((-5--5)+(73.65--5))+73.65))))-(-5+-5)))*-5)))/-5)--5)+(-5*(((73.65*(73.65-(-5/-5)))*(73.65-(73.65/(-5*73.65))))-(-5/-5)))))</f>
        <v>1986862.065625</v>
      </c>
      <c r="C17366" t="n" s="0">
        <v>1986862.0656250005</v>
      </c>
    </row>
    <row r="17367">
      <c r="A17367" t="n" s="0">
        <v>73.66</v>
      </c>
      <c r="B17367" t="n" s="0">
        <f>(-5-((((-5*(-5/((-5/(((-5*(73.66--5))-(-5+((-5*73.66)*(((-5--5)+(73.66--5))+73.66))))-(-5+-5)))*-5)))/-5)--5)+(-5*(((73.66*(73.66-(-5/-5)))*(73.66-(73.66/(-5*73.66))))-(-5/-5)))))</f>
        <v>1987672.90828</v>
      </c>
      <c r="C17367" t="n" s="0">
        <v>1987672.9082799999</v>
      </c>
    </row>
    <row r="17368">
      <c r="A17368" t="n" s="0">
        <v>73.67</v>
      </c>
      <c r="B17368" t="n" s="0">
        <f>(-5-((((-5*(-5/((-5/(((-5*(73.67--5))-(-5+((-5*73.67)*(((-5--5)+(73.67--5))+73.67))))-(-5+-5)))*-5)))/-5)--5)+(-5*(((73.67*(73.67-(-5/-5)))*(73.67-(73.67/(-5*73.67))))-(-5/-5)))))</f>
        <v>1988483.971515</v>
      </c>
      <c r="C17368" t="n" s="0">
        <v>1988483.971515</v>
      </c>
    </row>
    <row r="17369">
      <c r="A17369" t="n" s="0">
        <v>73.68</v>
      </c>
      <c r="B17369" t="n" s="0">
        <f>(-5-((((-5*(-5/((-5/(((-5*(73.68--5))-(-5+((-5*73.68)*(((-5--5)+(73.68--5))+73.68))))-(-5+-5)))*-5)))/-5)--5)+(-5*(((73.68*(73.68-(-5/-5)))*(73.68-(73.68/(-5*73.68))))-(-5/-5)))))</f>
        <v>1989295.2553599998</v>
      </c>
      <c r="C17369" t="n" s="0">
        <v>1989295.2553600005</v>
      </c>
    </row>
    <row r="17370">
      <c r="A17370" t="n" s="0">
        <v>73.69</v>
      </c>
      <c r="B17370" t="n" s="0">
        <f>(-5-((((-5*(-5/((-5/(((-5*(73.69--5))-(-5+((-5*73.69)*(((-5--5)+(73.69--5))+73.69))))-(-5+-5)))*-5)))/-5)--5)+(-5*(((73.69*(73.69-(-5/-5)))*(73.69-(73.69/(-5*73.69))))-(-5/-5)))))</f>
        <v>1990106.759845</v>
      </c>
      <c r="C17370" t="n" s="0">
        <v>1990106.759845</v>
      </c>
    </row>
    <row r="17371">
      <c r="A17371" t="n" s="0">
        <v>73.7</v>
      </c>
      <c r="B17371" t="n" s="0">
        <f>(-5-((((-5*(-5/((-5/(((-5*(73.7--5))-(-5+((-5*73.7)*(((-5--5)+(73.7--5))+73.7))))-(-5+-5)))*-5)))/-5)--5)+(-5*(((73.7*(73.7-(-5/-5)))*(73.7-(73.7/(-5*73.7))))-(-5/-5)))))</f>
        <v>1990918.4849999999</v>
      </c>
      <c r="C17371" t="n" s="0">
        <v>1990918.4850000006</v>
      </c>
    </row>
    <row r="17372">
      <c r="A17372" t="n" s="0">
        <v>73.71</v>
      </c>
      <c r="B17372" t="n" s="0">
        <f>(-5-((((-5*(-5/((-5/(((-5*(73.71--5))-(-5+((-5*73.71)*(((-5--5)+(73.71--5))+73.71))))-(-5+-5)))*-5)))/-5)--5)+(-5*(((73.71*(73.71-(-5/-5)))*(73.71-(73.71/(-5*73.71))))-(-5/-5)))))</f>
        <v>1991730.430855</v>
      </c>
      <c r="C17372" t="n" s="0">
        <v>1991730.4308549992</v>
      </c>
    </row>
    <row r="17373">
      <c r="A17373" t="n" s="0">
        <v>73.72</v>
      </c>
      <c r="B17373" t="n" s="0">
        <f>(-5-((((-5*(-5/((-5/(((-5*(73.72--5))-(-5+((-5*73.72)*(((-5--5)+(73.72--5))+73.72))))-(-5+-5)))*-5)))/-5)--5)+(-5*(((73.72*(73.72-(-5/-5)))*(73.72-(73.72/(-5*73.72))))-(-5/-5)))))</f>
        <v>1992542.59744</v>
      </c>
      <c r="C17373" t="n" s="0">
        <v>1992542.5974399995</v>
      </c>
    </row>
    <row r="17374">
      <c r="A17374" t="n" s="0">
        <v>73.73</v>
      </c>
      <c r="B17374" t="n" s="0">
        <f>(-5-((((-5*(-5/((-5/(((-5*(73.73--5))-(-5+((-5*73.73)*(((-5--5)+(73.73--5))+73.73))))-(-5+-5)))*-5)))/-5)--5)+(-5*(((73.73*(73.73-(-5/-5)))*(73.73-(73.73/(-5*73.73))))-(-5/-5)))))</f>
        <v>1993354.984785</v>
      </c>
      <c r="C17374" t="n" s="0">
        <v>1993354.9847850003</v>
      </c>
    </row>
    <row r="17375">
      <c r="A17375" t="n" s="0">
        <v>73.74</v>
      </c>
      <c r="B17375" t="n" s="0">
        <f>(-5-((((-5*(-5/((-5/(((-5*(73.74--5))-(-5+((-5*73.74)*(((-5--5)+(73.74--5))+73.74))))-(-5+-5)))*-5)))/-5)--5)+(-5*(((73.74*(73.74-(-5/-5)))*(73.74-(73.74/(-5*73.74))))-(-5/-5)))))</f>
        <v>1994167.59292</v>
      </c>
      <c r="C17375" t="n" s="0">
        <v>1994167.5929199995</v>
      </c>
    </row>
    <row r="17376">
      <c r="A17376" t="n" s="0">
        <v>73.75</v>
      </c>
      <c r="B17376" t="n" s="0">
        <f>(-5-((((-5*(-5/((-5/(((-5*(73.75--5))-(-5+((-5*73.75)*(((-5--5)+(73.75--5))+73.75))))-(-5+-5)))*-5)))/-5)--5)+(-5*(((73.75*(73.75-(-5/-5)))*(73.75-(73.75/(-5*73.75))))-(-5/-5)))))</f>
        <v>1994980.421875</v>
      </c>
      <c r="C17376" t="n" s="0">
        <v>1994980.421875</v>
      </c>
    </row>
    <row r="17377">
      <c r="A17377" t="n" s="0">
        <v>73.76</v>
      </c>
      <c r="B17377" t="n" s="0">
        <f>(-5-((((-5*(-5/((-5/(((-5*(73.76--5))-(-5+((-5*73.76)*(((-5--5)+(73.76--5))+73.76))))-(-5+-5)))*-5)))/-5)--5)+(-5*(((73.76*(73.76-(-5/-5)))*(73.76-(73.76/(-5*73.76))))-(-5/-5)))))</f>
        <v>1995793.47168</v>
      </c>
      <c r="C17377" t="n" s="0">
        <v>1995793.4716800004</v>
      </c>
    </row>
    <row r="17378">
      <c r="A17378" t="n" s="0">
        <v>73.77</v>
      </c>
      <c r="B17378" t="n" s="0">
        <f>(-5-((((-5*(-5/((-5/(((-5*(73.77--5))-(-5+((-5*73.77)*(((-5--5)+(73.77--5))+73.77))))-(-5+-5)))*-5)))/-5)--5)+(-5*(((73.77*(73.77-(-5/-5)))*(73.77-(73.77/(-5*73.77))))-(-5/-5)))))</f>
        <v>1996606.742365</v>
      </c>
      <c r="C17378" t="n" s="0">
        <v>1996606.7423649998</v>
      </c>
    </row>
    <row r="17379">
      <c r="A17379" t="n" s="0">
        <v>73.78</v>
      </c>
      <c r="B17379" t="n" s="0">
        <f>(-5-((((-5*(-5/((-5/(((-5*(73.78--5))-(-5+((-5*73.78)*(((-5--5)+(73.78--5))+73.78))))-(-5+-5)))*-5)))/-5)--5)+(-5*(((73.78*(73.78-(-5/-5)))*(73.78-(73.78/(-5*73.78))))-(-5/-5)))))</f>
        <v>1997420.2339599999</v>
      </c>
      <c r="C17379" t="n" s="0">
        <v>1997420.23396</v>
      </c>
    </row>
    <row r="17380">
      <c r="A17380" t="n" s="0">
        <v>73.79</v>
      </c>
      <c r="B17380" t="n" s="0">
        <f>(-5-((((-5*(-5/((-5/(((-5*(73.79--5))-(-5+((-5*73.79)*(((-5--5)+(73.79--5))+73.79))))-(-5+-5)))*-5)))/-5)--5)+(-5*(((73.79*(73.79-(-5/-5)))*(73.79-(73.79/(-5*73.79))))-(-5/-5)))))</f>
        <v>1998233.946495</v>
      </c>
      <c r="C17380" t="n" s="0">
        <v>1998233.9464950007</v>
      </c>
    </row>
    <row r="17381">
      <c r="A17381" t="n" s="0">
        <v>73.8</v>
      </c>
      <c r="B17381" t="n" s="0">
        <f>(-5-((((-5*(-5/((-5/(((-5*(73.8--5))-(-5+((-5*73.8)*(((-5--5)+(73.8--5))+73.8))))-(-5+-5)))*-5)))/-5)--5)+(-5*(((73.8*(73.8-(-5/-5)))*(73.8-(73.8/(-5*73.8))))-(-5/-5)))))</f>
        <v>1999047.8800000001</v>
      </c>
      <c r="C17381" t="n" s="0">
        <v>1999047.8799999997</v>
      </c>
    </row>
    <row r="17382">
      <c r="A17382" t="n" s="0">
        <v>73.81</v>
      </c>
      <c r="B17382" t="n" s="0">
        <f>(-5-((((-5*(-5/((-5/(((-5*(73.81--5))-(-5+((-5*73.81)*(((-5--5)+(73.81--5))+73.81))))-(-5+-5)))*-5)))/-5)--5)+(-5*(((73.81*(73.81-(-5/-5)))*(73.81-(73.81/(-5*73.81))))-(-5/-5)))))</f>
        <v>1999862.034505</v>
      </c>
      <c r="C17382" t="n" s="0">
        <v>1999862.0345049999</v>
      </c>
    </row>
    <row r="17383">
      <c r="A17383" t="n" s="0">
        <v>73.82</v>
      </c>
      <c r="B17383" t="n" s="0">
        <f>(-5-((((-5*(-5/((-5/(((-5*(73.82--5))-(-5+((-5*73.82)*(((-5--5)+(73.82--5))+73.82))))-(-5+-5)))*-5)))/-5)--5)+(-5*(((73.82*(73.82-(-5/-5)))*(73.82-(73.82/(-5*73.82))))-(-5/-5)))))</f>
        <v>2000676.41004</v>
      </c>
      <c r="C17383" t="n" s="0">
        <v>2000676.4100399993</v>
      </c>
    </row>
    <row r="17384">
      <c r="A17384" t="n" s="0">
        <v>73.83</v>
      </c>
      <c r="B17384" t="n" s="0">
        <f>(-5-((((-5*(-5/((-5/(((-5*(73.83--5))-(-5+((-5*73.83)*(((-5--5)+(73.83--5))+73.83))))-(-5+-5)))*-5)))/-5)--5)+(-5*(((73.83*(73.83-(-5/-5)))*(73.83-(73.83/(-5*73.83))))-(-5/-5)))))</f>
        <v>2001491.006635</v>
      </c>
      <c r="C17384" t="n" s="0">
        <v>2001491.0066349998</v>
      </c>
    </row>
    <row r="17385">
      <c r="A17385" t="n" s="0">
        <v>73.84</v>
      </c>
      <c r="B17385" t="n" s="0">
        <f>(-5-((((-5*(-5/((-5/(((-5*(73.84--5))-(-5+((-5*73.84)*(((-5--5)+(73.84--5))+73.84))))-(-5+-5)))*-5)))/-5)--5)+(-5*(((73.84*(73.84-(-5/-5)))*(73.84-(73.84/(-5*73.84))))-(-5/-5)))))</f>
        <v>2002305.8243200001</v>
      </c>
      <c r="C17385" t="n" s="0">
        <v>2002305.8243200004</v>
      </c>
    </row>
    <row r="17386">
      <c r="A17386" t="n" s="0">
        <v>73.85</v>
      </c>
      <c r="B17386" t="n" s="0">
        <f>(-5-((((-5*(-5/((-5/(((-5*(73.85--5))-(-5+((-5*73.85)*(((-5--5)+(73.85--5))+73.85))))-(-5+-5)))*-5)))/-5)--5)+(-5*(((73.85*(73.85-(-5/-5)))*(73.85-(73.85/(-5*73.85))))-(-5/-5)))))</f>
        <v>2003120.863125</v>
      </c>
      <c r="C17386" t="n" s="0">
        <v>2003120.8631249995</v>
      </c>
    </row>
    <row r="17387">
      <c r="A17387" t="n" s="0">
        <v>73.86</v>
      </c>
      <c r="B17387" t="n" s="0">
        <f>(-5-((((-5*(-5/((-5/(((-5*(73.86--5))-(-5+((-5*73.86)*(((-5--5)+(73.86--5))+73.86))))-(-5+-5)))*-5)))/-5)--5)+(-5*(((73.86*(73.86-(-5/-5)))*(73.86-(73.86/(-5*73.86))))-(-5/-5)))))</f>
        <v>2003936.12308</v>
      </c>
      <c r="C17387" t="n" s="0">
        <v>2003936.12308</v>
      </c>
    </row>
    <row r="17388">
      <c r="A17388" t="n" s="0">
        <v>73.87</v>
      </c>
      <c r="B17388" t="n" s="0">
        <f>(-5-((((-5*(-5/((-5/(((-5*(73.87--5))-(-5+((-5*73.87)*(((-5--5)+(73.87--5))+73.87))))-(-5+-5)))*-5)))/-5)--5)+(-5*(((73.87*(73.87-(-5/-5)))*(73.87-(73.87/(-5*73.87))))-(-5/-5)))))</f>
        <v>2004751.604215</v>
      </c>
      <c r="C17388" t="n" s="0">
        <v>2004751.6042150003</v>
      </c>
    </row>
    <row r="17389">
      <c r="A17389" t="n" s="0">
        <v>73.88</v>
      </c>
      <c r="B17389" t="n" s="0">
        <f>(-5-((((-5*(-5/((-5/(((-5*(73.88--5))-(-5+((-5*73.88)*(((-5--5)+(73.88--5))+73.88))))-(-5+-5)))*-5)))/-5)--5)+(-5*(((73.88*(73.88-(-5/-5)))*(73.88-(73.88/(-5*73.88))))-(-5/-5)))))</f>
        <v>2005567.30656</v>
      </c>
      <c r="C17389" t="n" s="0">
        <v>2005567.3065599997</v>
      </c>
    </row>
    <row r="17390">
      <c r="A17390" t="n" s="0">
        <v>73.89</v>
      </c>
      <c r="B17390" t="n" s="0">
        <f>(-5-((((-5*(-5/((-5/(((-5*(73.89--5))-(-5+((-5*73.89)*(((-5--5)+(73.89--5))+73.89))))-(-5+-5)))*-5)))/-5)--5)+(-5*(((73.89*(73.89-(-5/-5)))*(73.89-(73.89/(-5*73.89))))-(-5/-5)))))</f>
        <v>2006383.2301450002</v>
      </c>
      <c r="C17390" t="n" s="0">
        <v>2006383.2301450002</v>
      </c>
    </row>
    <row r="17391">
      <c r="A17391" t="n" s="0">
        <v>73.9</v>
      </c>
      <c r="B17391" t="n" s="0">
        <f>(-5-((((-5*(-5/((-5/(((-5*(73.9--5))-(-5+((-5*73.9)*(((-5--5)+(73.9--5))+73.9))))-(-5+-5)))*-5)))/-5)--5)+(-5*(((73.9*(73.9-(-5/-5)))*(73.9-(73.9/(-5*73.9))))-(-5/-5)))))</f>
        <v>2007199.375</v>
      </c>
      <c r="C17391" t="n" s="0">
        <v>2007199.3750000007</v>
      </c>
    </row>
    <row r="17392">
      <c r="A17392" t="n" s="0">
        <v>73.91</v>
      </c>
      <c r="B17392" t="n" s="0">
        <f>(-5-((((-5*(-5/((-5/(((-5*(73.91--5))-(-5+((-5*73.91)*(((-5--5)+(73.91--5))+73.91))))-(-5+-5)))*-5)))/-5)--5)+(-5*(((73.91*(73.91-(-5/-5)))*(73.91-(73.91/(-5*73.91))))-(-5/-5)))))</f>
        <v>2008015.741155</v>
      </c>
      <c r="C17392" t="n" s="0">
        <v>2008015.7411549995</v>
      </c>
    </row>
    <row r="17393">
      <c r="A17393" t="n" s="0">
        <v>73.92</v>
      </c>
      <c r="B17393" t="n" s="0">
        <f>(-5-((((-5*(-5/((-5/(((-5*(73.92--5))-(-5+((-5*73.92)*(((-5--5)+(73.92--5))+73.92))))-(-5+-5)))*-5)))/-5)--5)+(-5*(((73.92*(73.92-(-5/-5)))*(73.92-(73.92/(-5*73.92))))-(-5/-5)))))</f>
        <v>2008832.32864</v>
      </c>
      <c r="C17393" t="n" s="0">
        <v>2008832.3286400002</v>
      </c>
    </row>
    <row r="17394">
      <c r="A17394" t="n" s="0">
        <v>73.93</v>
      </c>
      <c r="B17394" t="n" s="0">
        <f>(-5-((((-5*(-5/((-5/(((-5*(73.93--5))-(-5+((-5*73.93)*(((-5--5)+(73.93--5))+73.93))))-(-5+-5)))*-5)))/-5)--5)+(-5*(((73.93*(73.93-(-5/-5)))*(73.93-(73.93/(-5*73.93))))-(-5/-5)))))</f>
        <v>2009649.1374849998</v>
      </c>
      <c r="C17394" t="n" s="0">
        <v>2009649.1374850008</v>
      </c>
    </row>
    <row r="17395">
      <c r="A17395" t="n" s="0">
        <v>73.94</v>
      </c>
      <c r="B17395" t="n" s="0">
        <f>(-5-((((-5*(-5/((-5/(((-5*(73.94--5))-(-5+((-5*73.94)*(((-5--5)+(73.94--5))+73.94))))-(-5+-5)))*-5)))/-5)--5)+(-5*(((73.94*(73.94-(-5/-5)))*(73.94-(73.94/(-5*73.94))))-(-5/-5)))))</f>
        <v>2010466.16772</v>
      </c>
      <c r="C17395" t="n" s="0">
        <v>2010466.1677199996</v>
      </c>
    </row>
    <row r="17396">
      <c r="A17396" t="n" s="0">
        <v>73.95</v>
      </c>
      <c r="B17396" t="n" s="0">
        <f>(-5-((((-5*(-5/((-5/(((-5*(73.95--5))-(-5+((-5*73.95)*(((-5--5)+(73.95--5))+73.95))))-(-5+-5)))*-5)))/-5)--5)+(-5*(((73.95*(73.95-(-5/-5)))*(73.95-(73.95/(-5*73.95))))-(-5/-5)))))</f>
        <v>2011283.4193749998</v>
      </c>
      <c r="C17396" t="n" s="0">
        <v>2011283.4193750003</v>
      </c>
    </row>
    <row r="17397">
      <c r="A17397" t="n" s="0">
        <v>73.96</v>
      </c>
      <c r="B17397" t="n" s="0">
        <f>(-5-((((-5*(-5/((-5/(((-5*(73.96--5))-(-5+((-5*73.96)*(((-5--5)+(73.96--5))+73.96))))-(-5+-5)))*-5)))/-5)--5)+(-5*(((73.96*(73.96-(-5/-5)))*(73.96-(73.96/(-5*73.96))))-(-5/-5)))))</f>
        <v>2012100.89248</v>
      </c>
      <c r="C17397" t="n" s="0">
        <v>2012100.8924799995</v>
      </c>
    </row>
    <row r="17398">
      <c r="A17398" t="n" s="0">
        <v>73.97</v>
      </c>
      <c r="B17398" t="n" s="0">
        <f>(-5-((((-5*(-5/((-5/(((-5*(73.97--5))-(-5+((-5*73.97)*(((-5--5)+(73.97--5))+73.97))))-(-5+-5)))*-5)))/-5)--5)+(-5*(((73.97*(73.97-(-5/-5)))*(73.97-(73.97/(-5*73.97))))-(-5/-5)))))</f>
        <v>2012918.5870649999</v>
      </c>
      <c r="C17398" t="n" s="0">
        <v>2012918.5870649999</v>
      </c>
    </row>
    <row r="17399">
      <c r="A17399" t="n" s="0">
        <v>73.98</v>
      </c>
      <c r="B17399" t="n" s="0">
        <f>(-5-((((-5*(-5/((-5/(((-5*(73.98--5))-(-5+((-5*73.98)*(((-5--5)+(73.98--5))+73.98))))-(-5+-5)))*-5)))/-5)--5)+(-5*(((73.98*(73.98-(-5/-5)))*(73.98-(73.98/(-5*73.98))))-(-5/-5)))))</f>
        <v>2013736.50316</v>
      </c>
      <c r="C17399" t="n" s="0">
        <v>2013736.5031600003</v>
      </c>
    </row>
    <row r="17400">
      <c r="A17400" t="n" s="0">
        <v>73.99</v>
      </c>
      <c r="B17400" t="n" s="0">
        <f>(-5-((((-5*(-5/((-5/(((-5*(73.99--5))-(-5+((-5*73.99)*(((-5--5)+(73.99--5))+73.99))))-(-5+-5)))*-5)))/-5)--5)+(-5*(((73.99*(73.99-(-5/-5)))*(73.99-(73.99/(-5*73.99))))-(-5/-5)))))</f>
        <v>2014554.640795</v>
      </c>
      <c r="C17400" t="n" s="0">
        <v>2014554.6407949997</v>
      </c>
    </row>
    <row r="17401">
      <c r="A17401" t="n" s="0">
        <v>74.0</v>
      </c>
      <c r="B17401" t="n" s="0">
        <f>(-5-((((-5*(-5/((-5/(((-5*(74--5))-(-5+((-5*74)*(((-5--5)+(74--5))+74))))-(-5+-5)))*-5)))/-5)--5)+(-5*(((74*(74-(-5/-5)))*(74-(74/(-5*74))))-(-5/-5)))))</f>
        <v>2015373.0</v>
      </c>
      <c r="C17401" t="n" s="0">
        <v>2015373.0</v>
      </c>
    </row>
    <row r="17402">
      <c r="A17402" t="n" s="0">
        <v>74.01</v>
      </c>
      <c r="B17402" t="n" s="0">
        <f>(-5-((((-5*(-5/((-5/(((-5*(74.01--5))-(-5+((-5*74.01)*(((-5--5)+(74.01--5))+74.01))))-(-5+-5)))*-5)))/-5)--5)+(-5*(((74.01*(74.01-(-5/-5)))*(74.01-(74.01/(-5*74.01))))-(-5/-5)))))</f>
        <v>2016191.580805</v>
      </c>
      <c r="C17402" t="n" s="0">
        <v>2016191.5808050004</v>
      </c>
    </row>
    <row r="17403">
      <c r="A17403" t="n" s="0">
        <v>74.02</v>
      </c>
      <c r="B17403" t="n" s="0">
        <f>(-5-((((-5*(-5/((-5/(((-5*(74.02--5))-(-5+((-5*74.02)*(((-5--5)+(74.02--5))+74.02))))-(-5+-5)))*-5)))/-5)--5)+(-5*(((74.02*(74.02-(-5/-5)))*(74.02-(74.02/(-5*74.02))))-(-5/-5)))))</f>
        <v>2017010.38324</v>
      </c>
      <c r="C17403" t="n" s="0">
        <v>2017010.3832399996</v>
      </c>
    </row>
    <row r="17404">
      <c r="A17404" t="n" s="0">
        <v>74.03</v>
      </c>
      <c r="B17404" t="n" s="0">
        <f>(-5-((((-5*(-5/((-5/(((-5*(74.03--5))-(-5+((-5*74.03)*(((-5--5)+(74.03--5))+74.03))))-(-5+-5)))*-5)))/-5)--5)+(-5*(((74.03*(74.03-(-5/-5)))*(74.03-(74.03/(-5*74.03))))-(-5/-5)))))</f>
        <v>2017829.4073349999</v>
      </c>
      <c r="C17404" t="n" s="0">
        <v>2017829.4073349999</v>
      </c>
    </row>
    <row r="17405">
      <c r="A17405" t="n" s="0">
        <v>74.04</v>
      </c>
      <c r="B17405" t="n" s="0">
        <f>(-5-((((-5*(-5/((-5/(((-5*(74.04--5))-(-5+((-5*74.04)*(((-5--5)+(74.04--5))+74.04))))-(-5+-5)))*-5)))/-5)--5)+(-5*(((74.04*(74.04-(-5/-5)))*(74.04-(74.04/(-5*74.04))))-(-5/-5)))))</f>
        <v>2018648.65312</v>
      </c>
      <c r="C17405" t="n" s="0">
        <v>2018648.6531200008</v>
      </c>
    </row>
    <row r="17406">
      <c r="A17406" t="n" s="0">
        <v>74.05</v>
      </c>
      <c r="B17406" t="n" s="0">
        <f>(-5-((((-5*(-5/((-5/(((-5*(74.05--5))-(-5+((-5*74.05)*(((-5--5)+(74.05--5))+74.05))))-(-5+-5)))*-5)))/-5)--5)+(-5*(((74.05*(74.05-(-5/-5)))*(74.05-(74.05/(-5*74.05))))-(-5/-5)))))</f>
        <v>2019468.120625</v>
      </c>
      <c r="C17406" t="n" s="0">
        <v>2019468.1206249997</v>
      </c>
    </row>
    <row r="17407">
      <c r="A17407" t="n" s="0">
        <v>74.06</v>
      </c>
      <c r="B17407" t="n" s="0">
        <f>(-5-((((-5*(-5/((-5/(((-5*(74.06--5))-(-5+((-5*74.06)*(((-5--5)+(74.06--5))+74.06))))-(-5+-5)))*-5)))/-5)--5)+(-5*(((74.06*(74.06-(-5/-5)))*(74.06-(74.06/(-5*74.06))))-(-5/-5)))))</f>
        <v>2020287.80988</v>
      </c>
      <c r="C17407" t="n" s="0">
        <v>2020287.80988</v>
      </c>
    </row>
    <row r="17408">
      <c r="A17408" t="n" s="0">
        <v>74.07</v>
      </c>
      <c r="B17408" t="n" s="0">
        <f>(-5-((((-5*(-5/((-5/(((-5*(74.07--5))-(-5+((-5*74.07)*(((-5--5)+(74.07--5))+74.07))))-(-5+-5)))*-5)))/-5)--5)+(-5*(((74.07*(74.07-(-5/-5)))*(74.07-(74.07/(-5*74.07))))-(-5/-5)))))</f>
        <v>2021107.720915</v>
      </c>
      <c r="C17408" t="n" s="0">
        <v>2021107.7209149993</v>
      </c>
    </row>
    <row r="17409">
      <c r="A17409" t="n" s="0">
        <v>74.08</v>
      </c>
      <c r="B17409" t="n" s="0">
        <f>(-5-((((-5*(-5/((-5/(((-5*(74.08--5))-(-5+((-5*74.08)*(((-5--5)+(74.08--5))+74.08))))-(-5+-5)))*-5)))/-5)--5)+(-5*(((74.08*(74.08-(-5/-5)))*(74.08-(74.08/(-5*74.08))))-(-5/-5)))))</f>
        <v>2021927.8537599999</v>
      </c>
      <c r="C17409" t="n" s="0">
        <v>2021927.8537599996</v>
      </c>
    </row>
    <row r="17410">
      <c r="A17410" t="n" s="0">
        <v>74.09</v>
      </c>
      <c r="B17410" t="n" s="0">
        <f>(-5-((((-5*(-5/((-5/(((-5*(74.09--5))-(-5+((-5*74.09)*(((-5--5)+(74.09--5))+74.09))))-(-5+-5)))*-5)))/-5)--5)+(-5*(((74.09*(74.09-(-5/-5)))*(74.09-(74.09/(-5*74.09))))-(-5/-5)))))</f>
        <v>2022748.208445</v>
      </c>
      <c r="C17410" t="n" s="0">
        <v>2022748.2084450002</v>
      </c>
    </row>
    <row r="17411">
      <c r="A17411" t="n" s="0">
        <v>74.1</v>
      </c>
      <c r="B17411" t="n" s="0">
        <f>(-5-((((-5*(-5/((-5/(((-5*(74.1--5))-(-5+((-5*74.1)*(((-5--5)+(74.1--5))+74.1))))-(-5+-5)))*-5)))/-5)--5)+(-5*(((74.1*(74.1-(-5/-5)))*(74.1-(74.1/(-5*74.1))))-(-5/-5)))))</f>
        <v>2023568.785</v>
      </c>
      <c r="C17411" t="n" s="0">
        <v>2023568.7849999995</v>
      </c>
    </row>
    <row r="17412">
      <c r="A17412" t="n" s="0">
        <v>74.11</v>
      </c>
      <c r="B17412" t="n" s="0">
        <f>(-5-((((-5*(-5/((-5/(((-5*(74.11--5))-(-5+((-5*74.11)*(((-5--5)+(74.11--5))+74.11))))-(-5+-5)))*-5)))/-5)--5)+(-5*(((74.11*(74.11-(-5/-5)))*(74.11-(74.11/(-5*74.11))))-(-5/-5)))))</f>
        <v>2024389.583455</v>
      </c>
      <c r="C17412" t="n" s="0">
        <v>2024389.5834550003</v>
      </c>
    </row>
    <row r="17413">
      <c r="A17413" t="n" s="0">
        <v>74.12</v>
      </c>
      <c r="B17413" t="n" s="0">
        <f>(-5-((((-5*(-5/((-5/(((-5*(74.12--5))-(-5+((-5*74.12)*(((-5--5)+(74.12--5))+74.12))))-(-5+-5)))*-5)))/-5)--5)+(-5*(((74.12*(74.12-(-5/-5)))*(74.12-(74.12/(-5*74.12))))-(-5/-5)))))</f>
        <v>2025210.60384</v>
      </c>
      <c r="C17413" t="n" s="0">
        <v>2025210.6038400005</v>
      </c>
    </row>
    <row r="17414">
      <c r="A17414" t="n" s="0">
        <v>74.13</v>
      </c>
      <c r="B17414" t="n" s="0">
        <f>(-5-((((-5*(-5/((-5/(((-5*(74.13--5))-(-5+((-5*74.13)*(((-5--5)+(74.13--5))+74.13))))-(-5+-5)))*-5)))/-5)--5)+(-5*(((74.13*(74.13-(-5/-5)))*(74.13-(74.13/(-5*74.13))))-(-5/-5)))))</f>
        <v>2026031.8461850001</v>
      </c>
      <c r="C17414" t="n" s="0">
        <v>2026031.8461849997</v>
      </c>
    </row>
    <row r="17415">
      <c r="A17415" t="n" s="0">
        <v>74.14</v>
      </c>
      <c r="B17415" t="n" s="0">
        <f>(-5-((((-5*(-5/((-5/(((-5*(74.14--5))-(-5+((-5*74.14)*(((-5--5)+(74.14--5))+74.14))))-(-5+-5)))*-5)))/-5)--5)+(-5*(((74.14*(74.14-(-5/-5)))*(74.14-(74.14/(-5*74.14))))-(-5/-5)))))</f>
        <v>2026853.31052</v>
      </c>
      <c r="C17415" t="n" s="0">
        <v>2026853.31052</v>
      </c>
    </row>
    <row r="17416">
      <c r="A17416" t="n" s="0">
        <v>74.15</v>
      </c>
      <c r="B17416" t="n" s="0">
        <f>(-5-((((-5*(-5/((-5/(((-5*(74.15--5))-(-5+((-5*74.15)*(((-5--5)+(74.15--5))+74.15))))-(-5+-5)))*-5)))/-5)--5)+(-5*(((74.15*(74.15-(-5/-5)))*(74.15-(74.15/(-5*74.15))))-(-5/-5)))))</f>
        <v>2027674.996875</v>
      </c>
      <c r="C17416" t="n" s="0">
        <v>2027674.9968750004</v>
      </c>
    </row>
    <row r="17417">
      <c r="A17417" t="n" s="0">
        <v>74.16</v>
      </c>
      <c r="B17417" t="n" s="0">
        <f>(-5-((((-5*(-5/((-5/(((-5*(74.16--5))-(-5+((-5*74.16)*(((-5--5)+(74.16--5))+74.16))))-(-5+-5)))*-5)))/-5)--5)+(-5*(((74.16*(74.16-(-5/-5)))*(74.16-(74.16/(-5*74.16))))-(-5/-5)))))</f>
        <v>2028496.90528</v>
      </c>
      <c r="C17417" t="n" s="0">
        <v>2028496.9052799996</v>
      </c>
    </row>
    <row r="17418">
      <c r="A17418" t="n" s="0">
        <v>74.17</v>
      </c>
      <c r="B17418" t="n" s="0">
        <f>(-5-((((-5*(-5/((-5/(((-5*(74.17--5))-(-5+((-5*74.17)*(((-5--5)+(74.17--5))+74.17))))-(-5+-5)))*-5)))/-5)--5)+(-5*(((74.17*(74.17-(-5/-5)))*(74.17-(74.17/(-5*74.17))))-(-5/-5)))))</f>
        <v>2029319.0357650002</v>
      </c>
      <c r="C17418" t="n" s="0">
        <v>2029319.0357650002</v>
      </c>
    </row>
    <row r="17419">
      <c r="A17419" t="n" s="0">
        <v>74.18</v>
      </c>
      <c r="B17419" t="n" s="0">
        <f>(-5-((((-5*(-5/((-5/(((-5*(74.18--5))-(-5+((-5*74.18)*(((-5--5)+(74.18--5))+74.18))))-(-5+-5)))*-5)))/-5)--5)+(-5*(((74.18*(74.18-(-5/-5)))*(74.18-(74.18/(-5*74.18))))-(-5/-5)))))</f>
        <v>2030141.38836</v>
      </c>
      <c r="C17419" t="n" s="0">
        <v>2030141.3883600004</v>
      </c>
    </row>
    <row r="17420">
      <c r="A17420" t="n" s="0">
        <v>74.19</v>
      </c>
      <c r="B17420" t="n" s="0">
        <f>(-5-((((-5*(-5/((-5/(((-5*(74.19--5))-(-5+((-5*74.19)*(((-5--5)+(74.19--5))+74.19))))-(-5+-5)))*-5)))/-5)--5)+(-5*(((74.19*(74.19-(-5/-5)))*(74.19-(74.19/(-5*74.19))))-(-5/-5)))))</f>
        <v>2030963.963095</v>
      </c>
      <c r="C17420" t="n" s="0">
        <v>2030963.9630949998</v>
      </c>
    </row>
    <row r="17421">
      <c r="A17421" t="n" s="0">
        <v>74.2</v>
      </c>
      <c r="B17421" t="n" s="0">
        <f>(-5-((((-5*(-5/((-5/(((-5*(74.2--5))-(-5+((-5*74.2)*(((-5--5)+(74.2--5))+74.2))))-(-5+-5)))*-5)))/-5)--5)+(-5*(((74.2*(74.2-(-5/-5)))*(74.2-(74.2/(-5*74.2))))-(-5/-5)))))</f>
        <v>2031786.76</v>
      </c>
      <c r="C17421" t="n" s="0">
        <v>2031786.7600000005</v>
      </c>
    </row>
    <row r="17422">
      <c r="A17422" t="n" s="0">
        <v>74.21</v>
      </c>
      <c r="B17422" t="n" s="0">
        <f>(-5-((((-5*(-5/((-5/(((-5*(74.21--5))-(-5+((-5*74.21)*(((-5--5)+(74.21--5))+74.21))))-(-5+-5)))*-5)))/-5)--5)+(-5*(((74.21*(74.21-(-5/-5)))*(74.21-(74.21/(-5*74.21))))-(-5/-5)))))</f>
        <v>2032609.7791050002</v>
      </c>
      <c r="C17422" t="n" s="0">
        <v>2032609.7791049995</v>
      </c>
    </row>
    <row r="17423">
      <c r="A17423" t="n" s="0">
        <v>74.22</v>
      </c>
      <c r="B17423" t="n" s="0">
        <f>(-5-((((-5*(-5/((-5/(((-5*(74.22--5))-(-5+((-5*74.22)*(((-5--5)+(74.22--5))+74.22))))-(-5+-5)))*-5)))/-5)--5)+(-5*(((74.22*(74.22-(-5/-5)))*(74.22-(74.22/(-5*74.22))))-(-5/-5)))))</f>
        <v>2033433.0204399999</v>
      </c>
      <c r="C17423" t="n" s="0">
        <v>2033433.0204399996</v>
      </c>
    </row>
    <row r="17424">
      <c r="A17424" t="n" s="0">
        <v>74.23</v>
      </c>
      <c r="B17424" t="n" s="0">
        <f>(-5-((((-5*(-5/((-5/(((-5*(74.23--5))-(-5+((-5*74.23)*(((-5--5)+(74.23--5))+74.23))))-(-5+-5)))*-5)))/-5)--5)+(-5*(((74.23*(74.23-(-5/-5)))*(74.23-(74.23/(-5*74.23))))-(-5/-5)))))</f>
        <v>2034256.484035</v>
      </c>
      <c r="C17424" t="n" s="0">
        <v>2034256.4840350002</v>
      </c>
    </row>
    <row r="17425">
      <c r="A17425" t="n" s="0">
        <v>74.24</v>
      </c>
      <c r="B17425" t="n" s="0">
        <f>(-5-((((-5*(-5/((-5/(((-5*(74.24--5))-(-5+((-5*74.24)*(((-5--5)+(74.24--5))+74.24))))-(-5+-5)))*-5)))/-5)--5)+(-5*(((74.24*(74.24-(-5/-5)))*(74.24-(74.24/(-5*74.24))))-(-5/-5)))))</f>
        <v>2035080.1699199998</v>
      </c>
      <c r="C17425" t="n" s="0">
        <v>2035080.1699199995</v>
      </c>
    </row>
    <row r="17426">
      <c r="A17426" t="n" s="0">
        <v>74.25</v>
      </c>
      <c r="B17426" t="n" s="0">
        <f>(-5-((((-5*(-5/((-5/(((-5*(74.25--5))-(-5+((-5*74.25)*(((-5--5)+(74.25--5))+74.25))))-(-5+-5)))*-5)))/-5)--5)+(-5*(((74.25*(74.25-(-5/-5)))*(74.25-(74.25/(-5*74.25))))-(-5/-5)))))</f>
        <v>2035904.078125</v>
      </c>
      <c r="C17426" t="n" s="0">
        <v>2035904.078125</v>
      </c>
    </row>
    <row r="17427">
      <c r="A17427" t="n" s="0">
        <v>74.26</v>
      </c>
      <c r="B17427" t="n" s="0">
        <f>(-5-((((-5*(-5/((-5/(((-5*(74.26--5))-(-5+((-5*74.26)*(((-5--5)+(74.26--5))+74.26))))-(-5+-5)))*-5)))/-5)--5)+(-5*(((74.26*(74.26-(-5/-5)))*(74.26-(74.26/(-5*74.26))))-(-5/-5)))))</f>
        <v>2036728.20868</v>
      </c>
      <c r="C17427" t="n" s="0">
        <v>2036728.2086800004</v>
      </c>
    </row>
    <row r="17428">
      <c r="A17428" t="n" s="0">
        <v>74.27</v>
      </c>
      <c r="B17428" t="n" s="0">
        <f>(-5-((((-5*(-5/((-5/(((-5*(74.27--5))-(-5+((-5*74.27)*(((-5--5)+(74.27--5))+74.27))))-(-5+-5)))*-5)))/-5)--5)+(-5*(((74.27*(74.27-(-5/-5)))*(74.27-(74.27/(-5*74.27))))-(-5/-5)))))</f>
        <v>2037552.561615</v>
      </c>
      <c r="C17428" t="n" s="0">
        <v>2037552.5616149998</v>
      </c>
    </row>
    <row r="17429">
      <c r="A17429" t="n" s="0">
        <v>74.28</v>
      </c>
      <c r="B17429" t="n" s="0">
        <f>(-5-((((-5*(-5/((-5/(((-5*(74.28--5))-(-5+((-5*74.28)*(((-5--5)+(74.28--5))+74.28))))-(-5+-5)))*-5)))/-5)--5)+(-5*(((74.28*(74.28-(-5/-5)))*(74.28-(74.28/(-5*74.28))))-(-5/-5)))))</f>
        <v>2038377.13696</v>
      </c>
      <c r="C17429" t="n" s="0">
        <v>2038377.1369600003</v>
      </c>
    </row>
    <row r="17430">
      <c r="A17430" t="n" s="0">
        <v>74.29</v>
      </c>
      <c r="B17430" t="n" s="0">
        <f>(-5-((((-5*(-5/((-5/(((-5*(74.29--5))-(-5+((-5*74.29)*(((-5--5)+(74.29--5))+74.29))))-(-5+-5)))*-5)))/-5)--5)+(-5*(((74.29*(74.29-(-5/-5)))*(74.29-(74.29/(-5*74.29))))-(-5/-5)))))</f>
        <v>2039201.934745</v>
      </c>
      <c r="C17430" t="n" s="0">
        <v>2039201.9347450007</v>
      </c>
    </row>
    <row r="17431">
      <c r="A17431" t="n" s="0">
        <v>74.3</v>
      </c>
      <c r="B17431" t="n" s="0">
        <f>(-5-((((-5*(-5/((-5/(((-5*(74.3--5))-(-5+((-5*74.3)*(((-5--5)+(74.3--5))+74.3))))-(-5+-5)))*-5)))/-5)--5)+(-5*(((74.3*(74.3-(-5/-5)))*(74.3-(74.3/(-5*74.3))))-(-5/-5)))))</f>
        <v>2040026.9549999998</v>
      </c>
      <c r="C17431" t="n" s="0">
        <v>2040026.9549999996</v>
      </c>
    </row>
    <row r="17432">
      <c r="A17432" t="n" s="0">
        <v>74.31</v>
      </c>
      <c r="B17432" t="n" s="0">
        <f>(-5-((((-5*(-5/((-5/(((-5*(74.31--5))-(-5+((-5*74.31)*(((-5--5)+(74.31--5))+74.31))))-(-5+-5)))*-5)))/-5)--5)+(-5*(((74.31*(74.31-(-5/-5)))*(74.31-(74.31/(-5*74.31))))-(-5/-5)))))</f>
        <v>2040852.1977549999</v>
      </c>
      <c r="C17432" t="n" s="0">
        <v>2040852.197755</v>
      </c>
    </row>
    <row r="17433">
      <c r="A17433" t="n" s="0">
        <v>74.32</v>
      </c>
      <c r="B17433" t="n" s="0">
        <f>(-5-((((-5*(-5/((-5/(((-5*(74.32--5))-(-5+((-5*74.32)*(((-5--5)+(74.32--5))+74.32))))-(-5+-5)))*-5)))/-5)--5)+(-5*(((74.32*(74.32-(-5/-5)))*(74.32-(74.32/(-5*74.32))))-(-5/-5)))))</f>
        <v>2041677.66304</v>
      </c>
      <c r="C17433" t="n" s="0">
        <v>2041677.6630399993</v>
      </c>
    </row>
    <row r="17434">
      <c r="A17434" t="n" s="0">
        <v>74.33</v>
      </c>
      <c r="B17434" t="n" s="0">
        <f>(-5-((((-5*(-5/((-5/(((-5*(74.33--5))-(-5+((-5*74.33)*(((-5--5)+(74.33--5))+74.33))))-(-5+-5)))*-5)))/-5)--5)+(-5*(((74.33*(74.33-(-5/-5)))*(74.33-(74.33/(-5*74.33))))-(-5/-5)))))</f>
        <v>2042503.350885</v>
      </c>
      <c r="C17434" t="n" s="0">
        <v>2042503.3508849998</v>
      </c>
    </row>
    <row r="17435">
      <c r="A17435" t="n" s="0">
        <v>74.34</v>
      </c>
      <c r="B17435" t="n" s="0">
        <f>(-5-((((-5*(-5/((-5/(((-5*(74.34--5))-(-5+((-5*74.34)*(((-5--5)+(74.34--5))+74.34))))-(-5+-5)))*-5)))/-5)--5)+(-5*(((74.34*(74.34-(-5/-5)))*(74.34-(74.34/(-5*74.34))))-(-5/-5)))))</f>
        <v>2043329.26132</v>
      </c>
      <c r="C17435" t="n" s="0">
        <v>2043329.2613200005</v>
      </c>
    </row>
    <row r="17436">
      <c r="A17436" t="n" s="0">
        <v>74.35</v>
      </c>
      <c r="B17436" t="n" s="0">
        <f>(-5-((((-5*(-5/((-5/(((-5*(74.35--5))-(-5+((-5*74.35)*(((-5--5)+(74.35--5))+74.35))))-(-5+-5)))*-5)))/-5)--5)+(-5*(((74.35*(74.35-(-5/-5)))*(74.35-(74.35/(-5*74.35))))-(-5/-5)))))</f>
        <v>2044155.3943750001</v>
      </c>
      <c r="C17436" t="n" s="0">
        <v>2044155.3943749997</v>
      </c>
    </row>
    <row r="17437">
      <c r="A17437" t="n" s="0">
        <v>74.36</v>
      </c>
      <c r="B17437" t="n" s="0">
        <f>(-5-((((-5*(-5/((-5/(((-5*(74.36--5))-(-5+((-5*74.36)*(((-5--5)+(74.36--5))+74.36))))-(-5+-5)))*-5)))/-5)--5)+(-5*(((74.36*(74.36-(-5/-5)))*(74.36-(74.36/(-5*74.36))))-(-5/-5)))))</f>
        <v>2044981.75008</v>
      </c>
      <c r="C17437" t="n" s="0">
        <v>2044981.75008</v>
      </c>
    </row>
    <row r="17438">
      <c r="A17438" t="n" s="0">
        <v>74.37</v>
      </c>
      <c r="B17438" t="n" s="0">
        <f>(-5-((((-5*(-5/((-5/(((-5*(74.37--5))-(-5+((-5*74.37)*(((-5--5)+(74.37--5))+74.37))))-(-5+-5)))*-5)))/-5)--5)+(-5*(((74.37*(74.37-(-5/-5)))*(74.37-(74.37/(-5*74.37))))-(-5/-5)))))</f>
        <v>2045808.328465</v>
      </c>
      <c r="C17438" t="n" s="0">
        <v>2045808.3284650005</v>
      </c>
    </row>
    <row r="17439">
      <c r="A17439" t="n" s="0">
        <v>74.38</v>
      </c>
      <c r="B17439" t="n" s="0">
        <f>(-5-((((-5*(-5/((-5/(((-5*(74.38--5))-(-5+((-5*74.38)*(((-5--5)+(74.38--5))+74.38))))-(-5+-5)))*-5)))/-5)--5)+(-5*(((74.38*(74.38-(-5/-5)))*(74.38-(74.38/(-5*74.38))))-(-5/-5)))))</f>
        <v>2046635.12956</v>
      </c>
      <c r="C17439" t="n" s="0">
        <v>2046635.1295599996</v>
      </c>
    </row>
    <row r="17440">
      <c r="A17440" t="n" s="0">
        <v>74.39</v>
      </c>
      <c r="B17440" t="n" s="0">
        <f>(-5-((((-5*(-5/((-5/(((-5*(74.39--5))-(-5+((-5*74.39)*(((-5--5)+(74.39--5))+74.39))))-(-5+-5)))*-5)))/-5)--5)+(-5*(((74.39*(74.39-(-5/-5)))*(74.39-(74.39/(-5*74.39))))-(-5/-5)))))</f>
        <v>2047462.153395</v>
      </c>
      <c r="C17440" t="n" s="0">
        <v>2047462.153395</v>
      </c>
    </row>
    <row r="17441">
      <c r="A17441" t="n" s="0">
        <v>74.4</v>
      </c>
      <c r="B17441" t="n" s="0">
        <f>(-5-((((-5*(-5/((-5/(((-5*(74.4--5))-(-5+((-5*74.4)*(((-5--5)+(74.4--5))+74.4))))-(-5+-5)))*-5)))/-5)--5)+(-5*(((74.4*(74.4-(-5/-5)))*(74.4-(74.4/(-5*74.4))))-(-5/-5)))))</f>
        <v>2048289.4000000001</v>
      </c>
      <c r="C17441" t="n" s="0">
        <v>2048289.4000000004</v>
      </c>
    </row>
    <row r="17442">
      <c r="A17442" t="n" s="0">
        <v>74.41</v>
      </c>
      <c r="B17442" t="n" s="0">
        <f>(-5-((((-5*(-5/((-5/(((-5*(74.41--5))-(-5+((-5*74.41)*(((-5--5)+(74.41--5))+74.41))))-(-5+-5)))*-5)))/-5)--5)+(-5*(((74.41*(74.41-(-5/-5)))*(74.41-(74.41/(-5*74.41))))-(-5/-5)))))</f>
        <v>2049116.869405</v>
      </c>
      <c r="C17442" t="n" s="0">
        <v>2049116.8694049998</v>
      </c>
    </row>
    <row r="17443">
      <c r="A17443" t="n" s="0">
        <v>74.42</v>
      </c>
      <c r="B17443" t="n" s="0">
        <f>(-5-((((-5*(-5/((-5/(((-5*(74.42--5))-(-5+((-5*74.42)*(((-5--5)+(74.42--5))+74.42))))-(-5+-5)))*-5)))/-5)--5)+(-5*(((74.42*(74.42-(-5/-5)))*(74.42-(74.42/(-5*74.42))))-(-5/-5)))))</f>
        <v>2049944.56164</v>
      </c>
      <c r="C17443" t="n" s="0">
        <v>2049944.56164</v>
      </c>
    </row>
    <row r="17444">
      <c r="A17444" t="n" s="0">
        <v>74.43</v>
      </c>
      <c r="B17444" t="n" s="0">
        <f>(-5-((((-5*(-5/((-5/(((-5*(74.43--5))-(-5+((-5*74.43)*(((-5--5)+(74.43--5))+74.43))))-(-5+-5)))*-5)))/-5)--5)+(-5*(((74.43*(74.43-(-5/-5)))*(74.43-(74.43/(-5*74.43))))-(-5/-5)))))</f>
        <v>2050772.476735</v>
      </c>
      <c r="C17444" t="n" s="0">
        <v>2050772.4767350007</v>
      </c>
    </row>
    <row r="17445">
      <c r="A17445" t="n" s="0">
        <v>74.44</v>
      </c>
      <c r="B17445" t="n" s="0">
        <f>(-5-((((-5*(-5/((-5/(((-5*(74.44--5))-(-5+((-5*74.44)*(((-5--5)+(74.44--5))+74.44))))-(-5+-5)))*-5)))/-5)--5)+(-5*(((74.44*(74.44-(-5/-5)))*(74.44-(74.44/(-5*74.44))))-(-5/-5)))))</f>
        <v>2051600.61472</v>
      </c>
      <c r="C17445" t="n" s="0">
        <v>2051600.61472</v>
      </c>
    </row>
    <row r="17446">
      <c r="A17446" t="n" s="0">
        <v>74.45</v>
      </c>
      <c r="B17446" t="n" s="0">
        <f>(-5-((((-5*(-5/((-5/(((-5*(74.45--5))-(-5+((-5*74.45)*(((-5--5)+(74.45--5))+74.45))))-(-5+-5)))*-5)))/-5)--5)+(-5*(((74.45*(74.45-(-5/-5)))*(74.45-(74.45/(-5*74.45))))-(-5/-5)))))</f>
        <v>2052428.975625</v>
      </c>
      <c r="C17446" t="n" s="0">
        <v>2052428.9756250002</v>
      </c>
    </row>
    <row r="17447">
      <c r="A17447" t="n" s="0">
        <v>74.46</v>
      </c>
      <c r="B17447" t="n" s="0">
        <f>(-5-((((-5*(-5/((-5/(((-5*(74.46--5))-(-5+((-5*74.46)*(((-5--5)+(74.46--5))+74.46))))-(-5+-5)))*-5)))/-5)--5)+(-5*(((74.46*(74.46-(-5/-5)))*(74.46-(74.46/(-5*74.46))))-(-5/-5)))))</f>
        <v>2053257.55948</v>
      </c>
      <c r="C17447" t="n" s="0">
        <v>2053257.5594799994</v>
      </c>
    </row>
    <row r="17448">
      <c r="A17448" t="n" s="0">
        <v>74.47</v>
      </c>
      <c r="B17448" t="n" s="0">
        <f>(-5-((((-5*(-5/((-5/(((-5*(74.47--5))-(-5+((-5*74.47)*(((-5--5)+(74.47--5))+74.47))))-(-5+-5)))*-5)))/-5)--5)+(-5*(((74.47*(74.47-(-5/-5)))*(74.47-(74.47/(-5*74.47))))-(-5/-5)))))</f>
        <v>2054086.366315</v>
      </c>
      <c r="C17448" t="n" s="0">
        <v>2054086.3663149998</v>
      </c>
    </row>
    <row r="17449">
      <c r="A17449" t="n" s="0">
        <v>74.48</v>
      </c>
      <c r="B17449" t="n" s="0">
        <f>(-5-((((-5*(-5/((-5/(((-5*(74.48--5))-(-5+((-5*74.48)*(((-5--5)+(74.48--5))+74.48))))-(-5+-5)))*-5)))/-5)--5)+(-5*(((74.48*(74.48-(-5/-5)))*(74.48-(74.48/(-5*74.48))))-(-5/-5)))))</f>
        <v>2054915.39616</v>
      </c>
      <c r="C17449" t="n" s="0">
        <v>2054915.39616</v>
      </c>
    </row>
    <row r="17450">
      <c r="A17450" t="n" s="0">
        <v>74.49</v>
      </c>
      <c r="B17450" t="n" s="0">
        <f>(-5-((((-5*(-5/((-5/(((-5*(74.49--5))-(-5+((-5*74.49)*(((-5--5)+(74.49--5))+74.49))))-(-5+-5)))*-5)))/-5)--5)+(-5*(((74.49*(74.49-(-5/-5)))*(74.49-(74.49/(-5*74.49))))-(-5/-5)))))</f>
        <v>2055744.649045</v>
      </c>
      <c r="C17450" t="n" s="0">
        <v>2055744.6490449996</v>
      </c>
    </row>
    <row r="17451">
      <c r="A17451" t="n" s="0">
        <v>74.5</v>
      </c>
      <c r="B17451" t="n" s="0">
        <f>(-5-((((-5*(-5/((-5/(((-5*(74.5--5))-(-5+((-5*74.5)*(((-5--5)+(74.5--5))+74.5))))-(-5+-5)))*-5)))/-5)--5)+(-5*(((74.5*(74.5-(-5/-5)))*(74.5-(74.5/(-5*74.5))))-(-5/-5)))))</f>
        <v>2056574.125</v>
      </c>
      <c r="C17451" t="n" s="0">
        <v>2056574.125</v>
      </c>
    </row>
    <row r="17452">
      <c r="A17452" t="n" s="0">
        <v>74.51</v>
      </c>
      <c r="B17452" t="n" s="0">
        <f>(-5-((((-5*(-5/((-5/(((-5*(74.51--5))-(-5+((-5*74.51)*(((-5--5)+(74.51--5))+74.51))))-(-5+-5)))*-5)))/-5)--5)+(-5*(((74.51*(74.51-(-5/-5)))*(74.51-(74.51/(-5*74.51))))-(-5/-5)))))</f>
        <v>2057403.824055</v>
      </c>
      <c r="C17452" t="n" s="0">
        <v>2057403.8240550002</v>
      </c>
    </row>
    <row r="17453">
      <c r="A17453" t="n" s="0">
        <v>74.52</v>
      </c>
      <c r="B17453" t="n" s="0">
        <f>(-5-((((-5*(-5/((-5/(((-5*(74.52--5))-(-5+((-5*74.52)*(((-5--5)+(74.52--5))+74.52))))-(-5+-5)))*-5)))/-5)--5)+(-5*(((74.52*(74.52-(-5/-5)))*(74.52-(74.52/(-5*74.52))))-(-5/-5)))))</f>
        <v>2058233.74624</v>
      </c>
      <c r="C17453" t="n" s="0">
        <v>2058233.7462399998</v>
      </c>
    </row>
    <row r="17454">
      <c r="A17454" t="n" s="0">
        <v>74.53</v>
      </c>
      <c r="B17454" t="n" s="0">
        <f>(-5-((((-5*(-5/((-5/(((-5*(74.53--5))-(-5+((-5*74.53)*(((-5--5)+(74.53--5))+74.53))))-(-5+-5)))*-5)))/-5)--5)+(-5*(((74.53*(74.53-(-5/-5)))*(74.53-(74.53/(-5*74.53))))-(-5/-5)))))</f>
        <v>2059063.891585</v>
      </c>
      <c r="C17454" t="n" s="0">
        <v>2059063.8915850003</v>
      </c>
    </row>
    <row r="17455">
      <c r="A17455" t="n" s="0">
        <v>74.54</v>
      </c>
      <c r="B17455" t="n" s="0">
        <f>(-5-((((-5*(-5/((-5/(((-5*(74.54--5))-(-5+((-5*74.54)*(((-5--5)+(74.54--5))+74.54))))-(-5+-5)))*-5)))/-5)--5)+(-5*(((74.54*(74.54-(-5/-5)))*(74.54-(74.54/(-5*74.54))))-(-5/-5)))))</f>
        <v>2059894.26012</v>
      </c>
      <c r="C17455" t="n" s="0">
        <v>2059894.2601200005</v>
      </c>
    </row>
    <row r="17456">
      <c r="A17456" t="n" s="0">
        <v>74.55</v>
      </c>
      <c r="B17456" t="n" s="0">
        <f>(-5-((((-5*(-5/((-5/(((-5*(74.55--5))-(-5+((-5*74.55)*(((-5--5)+(74.55--5))+74.55))))-(-5+-5)))*-5)))/-5)--5)+(-5*(((74.55*(74.55-(-5/-5)))*(74.55-(74.55/(-5*74.55))))-(-5/-5)))))</f>
        <v>2060724.851875</v>
      </c>
      <c r="C17456" t="n" s="0">
        <v>2060724.8518749997</v>
      </c>
    </row>
    <row r="17457">
      <c r="A17457" t="n" s="0">
        <v>74.56</v>
      </c>
      <c r="B17457" t="n" s="0">
        <f>(-5-((((-5*(-5/((-5/(((-5*(74.56--5))-(-5+((-5*74.56)*(((-5--5)+(74.56--5))+74.56))))-(-5+-5)))*-5)))/-5)--5)+(-5*(((74.56*(74.56-(-5/-5)))*(74.56-(74.56/(-5*74.56))))-(-5/-5)))))</f>
        <v>2061555.66688</v>
      </c>
      <c r="C17457" t="n" s="0">
        <v>2061555.6668800001</v>
      </c>
    </row>
    <row r="17458">
      <c r="A17458" t="n" s="0">
        <v>74.57</v>
      </c>
      <c r="B17458" t="n" s="0">
        <f>(-5-((((-5*(-5/((-5/(((-5*(74.57--5))-(-5+((-5*74.57)*(((-5--5)+(74.57--5))+74.57))))-(-5+-5)))*-5)))/-5)--5)+(-5*(((74.57*(74.57-(-5/-5)))*(74.57-(74.57/(-5*74.57))))-(-5/-5)))))</f>
        <v>2062386.705165</v>
      </c>
      <c r="C17458" t="n" s="0">
        <v>2062386.7051649992</v>
      </c>
    </row>
    <row r="17459">
      <c r="A17459" t="n" s="0">
        <v>74.58</v>
      </c>
      <c r="B17459" t="n" s="0">
        <f>(-5-((((-5*(-5/((-5/(((-5*(74.58--5))-(-5+((-5*74.58)*(((-5--5)+(74.58--5))+74.58))))-(-5+-5)))*-5)))/-5)--5)+(-5*(((74.58*(74.58-(-5/-5)))*(74.58-(74.58/(-5*74.58))))-(-5/-5)))))</f>
        <v>2063217.96676</v>
      </c>
      <c r="C17459" t="n" s="0">
        <v>2063217.9667599997</v>
      </c>
    </row>
    <row r="17460">
      <c r="A17460" t="n" s="0">
        <v>74.59</v>
      </c>
      <c r="B17460" t="n" s="0">
        <f>(-5-((((-5*(-5/((-5/(((-5*(74.59--5))-(-5+((-5*74.59)*(((-5--5)+(74.59--5))+74.59))))-(-5+-5)))*-5)))/-5)--5)+(-5*(((74.59*(74.59-(-5/-5)))*(74.59-(74.59/(-5*74.59))))-(-5/-5)))))</f>
        <v>2064049.4516949998</v>
      </c>
      <c r="C17460" t="n" s="0">
        <v>2064049.4516950003</v>
      </c>
    </row>
    <row r="17461">
      <c r="A17461" t="n" s="0">
        <v>74.6</v>
      </c>
      <c r="B17461" t="n" s="0">
        <f>(-5-((((-5*(-5/((-5/(((-5*(74.6--5))-(-5+((-5*74.6)*(((-5--5)+(74.6--5))+74.6))))-(-5+-5)))*-5)))/-5)--5)+(-5*(((74.6*(74.6-(-5/-5)))*(74.6-(74.6/(-5*74.6))))-(-5/-5)))))</f>
        <v>2064881.16</v>
      </c>
      <c r="C17461" t="n" s="0">
        <v>2064881.1599999997</v>
      </c>
    </row>
    <row r="17462">
      <c r="A17462" t="n" s="0">
        <v>74.61</v>
      </c>
      <c r="B17462" t="n" s="0">
        <f>(-5-((((-5*(-5/((-5/(((-5*(74.61--5))-(-5+((-5*74.61)*(((-5--5)+(74.61--5))+74.61))))-(-5+-5)))*-5)))/-5)--5)+(-5*(((74.61*(74.61-(-5/-5)))*(74.61-(74.61/(-5*74.61))))-(-5/-5)))))</f>
        <v>2065713.091705</v>
      </c>
      <c r="C17462" t="n" s="0">
        <v>2065713.091705</v>
      </c>
    </row>
    <row r="17463">
      <c r="A17463" t="n" s="0">
        <v>74.62</v>
      </c>
      <c r="B17463" t="n" s="0">
        <f>(-5-((((-5*(-5/((-5/(((-5*(74.62--5))-(-5+((-5*74.62)*(((-5--5)+(74.62--5))+74.62))))-(-5+-5)))*-5)))/-5)--5)+(-5*(((74.62*(74.62-(-5/-5)))*(74.62-(74.62/(-5*74.62))))-(-5/-5)))))</f>
        <v>2066545.24684</v>
      </c>
      <c r="C17463" t="n" s="0">
        <v>2066545.2468400006</v>
      </c>
    </row>
    <row r="17464">
      <c r="A17464" t="n" s="0">
        <v>74.63</v>
      </c>
      <c r="B17464" t="n" s="0">
        <f>(-5-((((-5*(-5/((-5/(((-5*(74.63--5))-(-5+((-5*74.63)*(((-5--5)+(74.63--5))+74.63))))-(-5+-5)))*-5)))/-5)--5)+(-5*(((74.63*(74.63-(-5/-5)))*(74.63-(74.63/(-5*74.63))))-(-5/-5)))))</f>
        <v>2067377.625435</v>
      </c>
      <c r="C17464" t="n" s="0">
        <v>2067377.6254349994</v>
      </c>
    </row>
    <row r="17465">
      <c r="A17465" t="n" s="0">
        <v>74.64</v>
      </c>
      <c r="B17465" t="n" s="0">
        <f>(-5-((((-5*(-5/((-5/(((-5*(74.64--5))-(-5+((-5*74.64)*(((-5--5)+(74.64--5))+74.64))))-(-5+-5)))*-5)))/-5)--5)+(-5*(((74.64*(74.64-(-5/-5)))*(74.64-(74.64/(-5*74.64))))-(-5/-5)))))</f>
        <v>2068210.22752</v>
      </c>
      <c r="C17465" t="n" s="0">
        <v>2068210.22752</v>
      </c>
    </row>
    <row r="17466">
      <c r="A17466" t="n" s="0">
        <v>74.65</v>
      </c>
      <c r="B17466" t="n" s="0">
        <f>(-5-((((-5*(-5/((-5/(((-5*(74.65--5))-(-5+((-5*74.65)*(((-5--5)+(74.65--5))+74.65))))-(-5+-5)))*-5)))/-5)--5)+(-5*(((74.65*(74.65-(-5/-5)))*(74.65-(74.65/(-5*74.65))))-(-5/-5)))))</f>
        <v>2069043.0531249999</v>
      </c>
      <c r="C17466" t="n" s="0">
        <v>2069043.0531250003</v>
      </c>
    </row>
    <row r="17467">
      <c r="A17467" t="n" s="0">
        <v>74.66</v>
      </c>
      <c r="B17467" t="n" s="0">
        <f>(-5-((((-5*(-5/((-5/(((-5*(74.66--5))-(-5+((-5*74.66)*(((-5--5)+(74.66--5))+74.66))))-(-5+-5)))*-5)))/-5)--5)+(-5*(((74.66*(74.66-(-5/-5)))*(74.66-(74.66/(-5*74.66))))-(-5/-5)))))</f>
        <v>2069876.10228</v>
      </c>
      <c r="C17467" t="n" s="0">
        <v>2069876.1022799995</v>
      </c>
    </row>
    <row r="17468">
      <c r="A17468" t="n" s="0">
        <v>74.67</v>
      </c>
      <c r="B17468" t="n" s="0">
        <f>(-5-((((-5*(-5/((-5/(((-5*(74.67--5))-(-5+((-5*74.67)*(((-5--5)+(74.67--5))+74.67))))-(-5+-5)))*-5)))/-5)--5)+(-5*(((74.67*(74.67-(-5/-5)))*(74.67-(74.67/(-5*74.67))))-(-5/-5)))))</f>
        <v>2070709.3750149999</v>
      </c>
      <c r="C17468" t="n" s="0">
        <v>2070709.3750150003</v>
      </c>
    </row>
    <row r="17469">
      <c r="A17469" t="n" s="0">
        <v>74.68</v>
      </c>
      <c r="B17469" t="n" s="0">
        <f>(-5-((((-5*(-5/((-5/(((-5*(74.68--5))-(-5+((-5*74.68)*(((-5--5)+(74.68--5))+74.68))))-(-5+-5)))*-5)))/-5)--5)+(-5*(((74.68*(74.68-(-5/-5)))*(74.68-(74.68/(-5*74.68))))-(-5/-5)))))</f>
        <v>2071542.87136</v>
      </c>
      <c r="C17469" t="n" s="0">
        <v>2071542.8713600007</v>
      </c>
    </row>
    <row r="17470">
      <c r="A17470" t="n" s="0">
        <v>74.69</v>
      </c>
      <c r="B17470" t="n" s="0">
        <f>(-5-((((-5*(-5/((-5/(((-5*(74.69--5))-(-5+((-5*74.69)*(((-5--5)+(74.69--5))+74.69))))-(-5+-5)))*-5)))/-5)--5)+(-5*(((74.69*(74.69-(-5/-5)))*(74.69-(74.69/(-5*74.69))))-(-5/-5)))))</f>
        <v>2072376.5913449998</v>
      </c>
      <c r="C17470" t="n" s="0">
        <v>2072376.591345</v>
      </c>
    </row>
    <row r="17471">
      <c r="A17471" t="n" s="0">
        <v>74.7</v>
      </c>
      <c r="B17471" t="n" s="0">
        <f>(-5-((((-5*(-5/((-5/(((-5*(74.7--5))-(-5+((-5*74.7)*(((-5--5)+(74.7--5))+74.7))))-(-5+-5)))*-5)))/-5)--5)+(-5*(((74.7*(74.7-(-5/-5)))*(74.7-(74.7/(-5*74.7))))-(-5/-5)))))</f>
        <v>2073210.535</v>
      </c>
      <c r="C17471" t="n" s="0">
        <v>2073210.5350000004</v>
      </c>
    </row>
    <row r="17472">
      <c r="A17472" t="n" s="0">
        <v>74.71</v>
      </c>
      <c r="B17472" t="n" s="0">
        <f>(-5-((((-5*(-5/((-5/(((-5*(74.71--5))-(-5+((-5*74.71)*(((-5--5)+(74.71--5))+74.71))))-(-5+-5)))*-5)))/-5)--5)+(-5*(((74.71*(74.71-(-5/-5)))*(74.71-(74.71/(-5*74.71))))-(-5/-5)))))</f>
        <v>2074044.702355</v>
      </c>
      <c r="C17472" t="n" s="0">
        <v>2074044.7023549995</v>
      </c>
    </row>
    <row r="17473">
      <c r="A17473" t="n" s="0">
        <v>74.72</v>
      </c>
      <c r="B17473" t="n" s="0">
        <f>(-5-((((-5*(-5/((-5/(((-5*(74.72--5))-(-5+((-5*74.72)*(((-5--5)+(74.72--5))+74.72))))-(-5+-5)))*-5)))/-5)--5)+(-5*(((74.72*(74.72-(-5/-5)))*(74.72-(74.72/(-5*74.72))))-(-5/-5)))))</f>
        <v>2074879.09344</v>
      </c>
      <c r="C17473" t="n" s="0">
        <v>2074879.0934399997</v>
      </c>
    </row>
    <row r="17474">
      <c r="A17474" t="n" s="0">
        <v>74.73</v>
      </c>
      <c r="B17474" t="n" s="0">
        <f>(-5-((((-5*(-5/((-5/(((-5*(74.73--5))-(-5+((-5*74.73)*(((-5--5)+(74.73--5))+74.73))))-(-5+-5)))*-5)))/-5)--5)+(-5*(((74.73*(74.73-(-5/-5)))*(74.73-(74.73/(-5*74.73))))-(-5/-5)))))</f>
        <v>2075713.708285</v>
      </c>
      <c r="C17474" t="n" s="0">
        <v>2075713.7082850004</v>
      </c>
    </row>
    <row r="17475">
      <c r="A17475" t="n" s="0">
        <v>74.74</v>
      </c>
      <c r="B17475" t="n" s="0">
        <f>(-5-((((-5*(-5/((-5/(((-5*(74.74--5))-(-5+((-5*74.74)*(((-5--5)+(74.74--5))+74.74))))-(-5+-5)))*-5)))/-5)--5)+(-5*(((74.74*(74.74-(-5/-5)))*(74.74-(74.74/(-5*74.74))))-(-5/-5)))))</f>
        <v>2076548.54692</v>
      </c>
      <c r="C17475" t="n" s="0">
        <v>2076548.5469199994</v>
      </c>
    </row>
    <row r="17476">
      <c r="A17476" t="n" s="0">
        <v>74.75</v>
      </c>
      <c r="B17476" t="n" s="0">
        <f>(-5-((((-5*(-5/((-5/(((-5*(74.75--5))-(-5+((-5*74.75)*(((-5--5)+(74.75--5))+74.75))))-(-5+-5)))*-5)))/-5)--5)+(-5*(((74.75*(74.75-(-5/-5)))*(74.75-(74.75/(-5*74.75))))-(-5/-5)))))</f>
        <v>2077383.609375</v>
      </c>
      <c r="C17476" t="n" s="0">
        <v>2077383.609375</v>
      </c>
    </row>
    <row r="17477">
      <c r="A17477" t="n" s="0">
        <v>74.76</v>
      </c>
      <c r="B17477" t="n" s="0">
        <f>(-5-((((-5*(-5/((-5/(((-5*(74.76--5))-(-5+((-5*74.76)*(((-5--5)+(74.76--5))+74.76))))-(-5+-5)))*-5)))/-5)--5)+(-5*(((74.76*(74.76-(-5/-5)))*(74.76-(74.76/(-5*74.76))))-(-5/-5)))))</f>
        <v>2078218.8956799998</v>
      </c>
      <c r="C17477" t="n" s="0">
        <v>2078218.8956800005</v>
      </c>
    </row>
    <row r="17478">
      <c r="A17478" t="n" s="0">
        <v>74.77</v>
      </c>
      <c r="B17478" t="n" s="0">
        <f>(-5-((((-5*(-5/((-5/(((-5*(74.77--5))-(-5+((-5*74.77)*(((-5--5)+(74.77--5))+74.77))))-(-5+-5)))*-5)))/-5)--5)+(-5*(((74.77*(74.77-(-5/-5)))*(74.77-(74.77/(-5*74.77))))-(-5/-5)))))</f>
        <v>2079054.405865</v>
      </c>
      <c r="C17478" t="n" s="0">
        <v>2079054.4058649996</v>
      </c>
    </row>
    <row r="17479">
      <c r="A17479" t="n" s="0">
        <v>74.78</v>
      </c>
      <c r="B17479" t="n" s="0">
        <f>(-5-((((-5*(-5/((-5/(((-5*(74.78--5))-(-5+((-5*74.78)*(((-5--5)+(74.78--5))+74.78))))-(-5+-5)))*-5)))/-5)--5)+(-5*(((74.78*(74.78-(-5/-5)))*(74.78-(74.78/(-5*74.78))))-(-5/-5)))))</f>
        <v>2079890.13996</v>
      </c>
      <c r="C17479" t="n" s="0">
        <v>2079890.1399600003</v>
      </c>
    </row>
    <row r="17480">
      <c r="A17480" t="n" s="0">
        <v>74.79</v>
      </c>
      <c r="B17480" t="n" s="0">
        <f>(-5-((((-5*(-5/((-5/(((-5*(74.79--5))-(-5+((-5*74.79)*(((-5--5)+(74.79--5))+74.79))))-(-5+-5)))*-5)))/-5)--5)+(-5*(((74.79*(74.79-(-5/-5)))*(74.79-(74.79/(-5*74.79))))-(-5/-5)))))</f>
        <v>2080726.097995</v>
      </c>
      <c r="C17480" t="n" s="0">
        <v>2080726.0979950007</v>
      </c>
    </row>
    <row r="17481">
      <c r="A17481" t="n" s="0">
        <v>74.8</v>
      </c>
      <c r="B17481" t="n" s="0">
        <f>(-5-((((-5*(-5/((-5/(((-5*(74.8--5))-(-5+((-5*74.8)*(((-5--5)+(74.8--5))+74.8))))-(-5+-5)))*-5)))/-5)--5)+(-5*(((74.8*(74.8-(-5/-5)))*(74.8-(74.8/(-5*74.8))))-(-5/-5)))))</f>
        <v>2081562.28</v>
      </c>
      <c r="C17481" t="n" s="0">
        <v>2081562.2799999998</v>
      </c>
    </row>
    <row r="17482">
      <c r="A17482" t="n" s="0">
        <v>74.81</v>
      </c>
      <c r="B17482" t="n" s="0">
        <f>(-5-((((-5*(-5/((-5/(((-5*(74.81--5))-(-5+((-5*74.81)*(((-5--5)+(74.81--5))+74.81))))-(-5+-5)))*-5)))/-5)--5)+(-5*(((74.81*(74.81-(-5/-5)))*(74.81-(74.81/(-5*74.81))))-(-5/-5)))))</f>
        <v>2082398.686005</v>
      </c>
      <c r="C17482" t="n" s="0">
        <v>2082398.686005</v>
      </c>
    </row>
    <row r="17483">
      <c r="A17483" t="n" s="0">
        <v>74.82</v>
      </c>
      <c r="B17483" t="n" s="0">
        <f>(-5-((((-5*(-5/((-5/(((-5*(74.82--5))-(-5+((-5*74.82)*(((-5--5)+(74.82--5))+74.82))))-(-5+-5)))*-5)))/-5)--5)+(-5*(((74.82*(74.82-(-5/-5)))*(74.82-(74.82/(-5*74.82))))-(-5/-5)))))</f>
        <v>2083235.3160400002</v>
      </c>
      <c r="C17483" t="n" s="0">
        <v>2083235.3160399992</v>
      </c>
    </row>
    <row r="17484">
      <c r="A17484" t="n" s="0">
        <v>74.83</v>
      </c>
      <c r="B17484" t="n" s="0">
        <f>(-5-((((-5*(-5/((-5/(((-5*(74.83--5))-(-5+((-5*74.83)*(((-5--5)+(74.83--5))+74.83))))-(-5+-5)))*-5)))/-5)--5)+(-5*(((74.83*(74.83-(-5/-5)))*(74.83-(74.83/(-5*74.83))))-(-5/-5)))))</f>
        <v>2084072.1701349998</v>
      </c>
      <c r="C17484" t="n" s="0">
        <v>2084072.1701349998</v>
      </c>
    </row>
    <row r="17485">
      <c r="A17485" t="n" s="0">
        <v>74.84</v>
      </c>
      <c r="B17485" t="n" s="0">
        <f>(-5-((((-5*(-5/((-5/(((-5*(74.84--5))-(-5+((-5*74.84)*(((-5--5)+(74.84--5))+74.84))))-(-5+-5)))*-5)))/-5)--5)+(-5*(((74.84*(74.84-(-5/-5)))*(74.84-(74.84/(-5*74.84))))-(-5/-5)))))</f>
        <v>2084909.24832</v>
      </c>
      <c r="C17485" t="n" s="0">
        <v>2084909.2483200002</v>
      </c>
    </row>
    <row r="17486">
      <c r="A17486" t="n" s="0">
        <v>74.85</v>
      </c>
      <c r="B17486" t="n" s="0">
        <f>(-5-((((-5*(-5/((-5/(((-5*(74.85--5))-(-5+((-5*74.85)*(((-5--5)+(74.85--5))+74.85))))-(-5+-5)))*-5)))/-5)--5)+(-5*(((74.85*(74.85-(-5/-5)))*(74.85-(74.85/(-5*74.85))))-(-5/-5)))))</f>
        <v>2085746.5506250001</v>
      </c>
      <c r="C17486" t="n" s="0">
        <v>2085746.5506249997</v>
      </c>
    </row>
    <row r="17487">
      <c r="A17487" t="n" s="0">
        <v>74.86</v>
      </c>
      <c r="B17487" t="n" s="0">
        <f>(-5-((((-5*(-5/((-5/(((-5*(74.86--5))-(-5+((-5*74.86)*(((-5--5)+(74.86--5))+74.86))))-(-5+-5)))*-5)))/-5)--5)+(-5*(((74.86*(74.86-(-5/-5)))*(74.86-(74.86/(-5*74.86))))-(-5/-5)))))</f>
        <v>2086584.07708</v>
      </c>
      <c r="C17487" t="n" s="0">
        <v>2086584.0770799997</v>
      </c>
    </row>
    <row r="17488">
      <c r="A17488" t="n" s="0">
        <v>74.87</v>
      </c>
      <c r="B17488" t="n" s="0">
        <f>(-5-((((-5*(-5/((-5/(((-5*(74.87--5))-(-5+((-5*74.87)*(((-5--5)+(74.87--5))+74.87))))-(-5+-5)))*-5)))/-5)--5)+(-5*(((74.87*(74.87-(-5/-5)))*(74.87-(74.87/(-5*74.87))))-(-5/-5)))))</f>
        <v>2087421.8277150001</v>
      </c>
      <c r="C17488" t="n" s="0">
        <v>2087421.8277150006</v>
      </c>
    </row>
    <row r="17489">
      <c r="A17489" t="n" s="0">
        <v>74.88</v>
      </c>
      <c r="B17489" t="n" s="0">
        <f>(-5-((((-5*(-5/((-5/(((-5*(74.88--5))-(-5+((-5*74.88)*(((-5--5)+(74.88--5))+74.88))))-(-5+-5)))*-5)))/-5)--5)+(-5*(((74.88*(74.88-(-5/-5)))*(74.88-(74.88/(-5*74.88))))-(-5/-5)))))</f>
        <v>2088259.80256</v>
      </c>
      <c r="C17489" t="n" s="0">
        <v>2088259.8025599995</v>
      </c>
    </row>
    <row r="17490">
      <c r="A17490" t="n" s="0">
        <v>74.89</v>
      </c>
      <c r="B17490" t="n" s="0">
        <f>(-5-((((-5*(-5/((-5/(((-5*(74.89--5))-(-5+((-5*74.89)*(((-5--5)+(74.89--5))+74.89))))-(-5+-5)))*-5)))/-5)--5)+(-5*(((74.89*(74.89-(-5/-5)))*(74.89-(74.89/(-5*74.89))))-(-5/-5)))))</f>
        <v>2089098.001645</v>
      </c>
      <c r="C17490" t="n" s="0">
        <v>2089098.001645</v>
      </c>
    </row>
    <row r="17491">
      <c r="A17491" t="n" s="0">
        <v>74.9</v>
      </c>
      <c r="B17491" t="n" s="0">
        <f>(-5-((((-5*(-5/((-5/(((-5*(74.9--5))-(-5+((-5*74.9)*(((-5--5)+(74.9--5))+74.9))))-(-5+-5)))*-5)))/-5)--5)+(-5*(((74.9*(74.9-(-5/-5)))*(74.9-(74.9/(-5*74.9))))-(-5/-5)))))</f>
        <v>2089936.425</v>
      </c>
      <c r="C17491" t="n" s="0">
        <v>2089936.425</v>
      </c>
    </row>
    <row r="17492">
      <c r="A17492" t="n" s="0">
        <v>74.91</v>
      </c>
      <c r="B17492" t="n" s="0">
        <f>(-5-((((-5*(-5/((-5/(((-5*(74.91--5))-(-5+((-5*74.91)*(((-5--5)+(74.91--5))+74.91))))-(-5+-5)))*-5)))/-5)--5)+(-5*(((74.91*(74.91-(-5/-5)))*(74.91-(74.91/(-5*74.91))))-(-5/-5)))))</f>
        <v>2090775.072655</v>
      </c>
      <c r="C17492" t="n" s="0">
        <v>2090775.0726549998</v>
      </c>
    </row>
    <row r="17493">
      <c r="A17493" t="n" s="0">
        <v>74.92</v>
      </c>
      <c r="B17493" t="n" s="0">
        <f>(-5-((((-5*(-5/((-5/(((-5*(74.92--5))-(-5+((-5*74.92)*(((-5--5)+(74.92--5))+74.92))))-(-5+-5)))*-5)))/-5)--5)+(-5*(((74.92*(74.92-(-5/-5)))*(74.92-(74.92/(-5*74.92))))-(-5/-5)))))</f>
        <v>2091613.9446400001</v>
      </c>
      <c r="C17493" t="n" s="0">
        <v>2091613.9446400004</v>
      </c>
    </row>
    <row r="17494">
      <c r="A17494" t="n" s="0">
        <v>74.93</v>
      </c>
      <c r="B17494" t="n" s="0">
        <f>(-5-((((-5*(-5/((-5/(((-5*(74.93--5))-(-5+((-5*74.93)*(((-5--5)+(74.93--5))+74.93))))-(-5+-5)))*-5)))/-5)--5)+(-5*(((74.93*(74.93-(-5/-5)))*(74.93-(74.93/(-5*74.93))))-(-5/-5)))))</f>
        <v>2092453.040985</v>
      </c>
      <c r="C17494" t="n" s="0">
        <v>2092453.0409850003</v>
      </c>
    </row>
    <row r="17495">
      <c r="A17495" t="n" s="0">
        <v>74.94</v>
      </c>
      <c r="B17495" t="n" s="0">
        <f>(-5-((((-5*(-5/((-5/(((-5*(74.94--5))-(-5+((-5*74.94)*(((-5--5)+(74.94--5))+74.94))))-(-5+-5)))*-5)))/-5)--5)+(-5*(((74.94*(74.94-(-5/-5)))*(74.94-(74.94/(-5*74.94))))-(-5/-5)))))</f>
        <v>2093292.36172</v>
      </c>
      <c r="C17495" t="n" s="0">
        <v>2093292.36172</v>
      </c>
    </row>
    <row r="17496">
      <c r="A17496" t="n" s="0">
        <v>74.95</v>
      </c>
      <c r="B17496" t="n" s="0">
        <f>(-5-((((-5*(-5/((-5/(((-5*(74.95--5))-(-5+((-5*74.95)*(((-5--5)+(74.95--5))+74.95))))-(-5+-5)))*-5)))/-5)--5)+(-5*(((74.95*(74.95-(-5/-5)))*(74.95-(74.95/(-5*74.95))))-(-5/-5)))))</f>
        <v>2094131.9068749999</v>
      </c>
      <c r="C17496" t="n" s="0">
        <v>2094131.9068750003</v>
      </c>
    </row>
    <row r="17497">
      <c r="A17497" t="n" s="0">
        <v>74.96</v>
      </c>
      <c r="B17497" t="n" s="0">
        <f>(-5-((((-5*(-5/((-5/(((-5*(74.96--5))-(-5+((-5*74.96)*(((-5--5)+(74.96--5))+74.96))))-(-5+-5)))*-5)))/-5)--5)+(-5*(((74.96*(74.96-(-5/-5)))*(74.96-(74.96/(-5*74.96))))-(-5/-5)))))</f>
        <v>2094971.67648</v>
      </c>
      <c r="C17497" t="n" s="0">
        <v>2094971.6764799997</v>
      </c>
    </row>
    <row r="17498">
      <c r="A17498" t="n" s="0">
        <v>74.97</v>
      </c>
      <c r="B17498" t="n" s="0">
        <f>(-5-((((-5*(-5/((-5/(((-5*(74.97--5))-(-5+((-5*74.97)*(((-5--5)+(74.97--5))+74.97))))-(-5+-5)))*-5)))/-5)--5)+(-5*(((74.97*(74.97-(-5/-5)))*(74.97-(74.97/(-5*74.97))))-(-5/-5)))))</f>
        <v>2095811.670565</v>
      </c>
      <c r="C17498" t="n" s="0">
        <v>2095811.6705649998</v>
      </c>
    </row>
    <row r="17499">
      <c r="A17499" t="n" s="0">
        <v>74.98</v>
      </c>
      <c r="B17499" t="n" s="0">
        <f>(-5-((((-5*(-5/((-5/(((-5*(74.98--5))-(-5+((-5*74.98)*(((-5--5)+(74.98--5))+74.98))))-(-5+-5)))*-5)))/-5)--5)+(-5*(((74.98*(74.98-(-5/-5)))*(74.98-(74.98/(-5*74.98))))-(-5/-5)))))</f>
        <v>2096651.88916</v>
      </c>
      <c r="C17499" t="n" s="0">
        <v>2096651.8891600003</v>
      </c>
    </row>
    <row r="17500">
      <c r="A17500" t="n" s="0">
        <v>74.99</v>
      </c>
      <c r="B17500" t="n" s="0">
        <f>(-5-((((-5*(-5/((-5/(((-5*(74.99--5))-(-5+((-5*74.99)*(((-5--5)+(74.99--5))+74.99))))-(-5+-5)))*-5)))/-5)--5)+(-5*(((74.99*(74.99-(-5/-5)))*(74.99-(74.99/(-5*74.99))))-(-5/-5)))))</f>
        <v>2097492.332295</v>
      </c>
      <c r="C17500" t="n" s="0">
        <v>2097492.3322949996</v>
      </c>
    </row>
    <row r="17501">
      <c r="A17501" t="n" s="0">
        <v>75.0</v>
      </c>
      <c r="B17501" t="n" s="0">
        <f>(-5-((((-5*(-5/((-5/(((-5*(75--5))-(-5+((-5*75)*(((-5--5)+(75--5))+75))))-(-5+-5)))*-5)))/-5)--5)+(-5*(((75*(75-(-5/-5)))*(75-(75/(-5*75))))-(-5/-5)))))</f>
        <v>2098333.0</v>
      </c>
      <c r="C17501" t="n" s="0">
        <v>2098333.0</v>
      </c>
    </row>
    <row r="17502">
      <c r="A17502" t="n" s="0">
        <v>75.01</v>
      </c>
      <c r="B17502" t="n" s="0">
        <f>(-5-((((-5*(-5/((-5/(((-5*(75.01--5))-(-5+((-5*75.01)*(((-5--5)+(75.01--5))+75.01))))-(-5+-5)))*-5)))/-5)--5)+(-5*(((75.01*(75.01-(-5/-5)))*(75.01-(75.01/(-5*75.01))))-(-5/-5)))))</f>
        <v>2099173.892305</v>
      </c>
      <c r="C17502" t="n" s="0">
        <v>2099173.892305</v>
      </c>
    </row>
    <row r="17503">
      <c r="A17503" t="n" s="0">
        <v>75.02</v>
      </c>
      <c r="B17503" t="n" s="0">
        <f>(-5-((((-5*(-5/((-5/(((-5*(75.02--5))-(-5+((-5*75.02)*(((-5--5)+(75.02--5))+75.02))))-(-5+-5)))*-5)))/-5)--5)+(-5*(((75.02*(75.02-(-5/-5)))*(75.02-(75.02/(-5*75.02))))-(-5/-5)))))</f>
        <v>2100015.00924</v>
      </c>
      <c r="C17503" t="n" s="0">
        <v>2100015.0092399996</v>
      </c>
    </row>
    <row r="17504">
      <c r="A17504" t="n" s="0">
        <v>75.03</v>
      </c>
      <c r="B17504" t="n" s="0">
        <f>(-5-((((-5*(-5/((-5/(((-5*(75.03--5))-(-5+((-5*75.03)*(((-5--5)+(75.03--5))+75.03))))-(-5+-5)))*-5)))/-5)--5)+(-5*(((75.03*(75.03-(-5/-5)))*(75.03-(75.03/(-5*75.03))))-(-5/-5)))))</f>
        <v>2100856.350835</v>
      </c>
      <c r="C17504" t="n" s="0">
        <v>2100856.3508349997</v>
      </c>
    </row>
    <row r="17505">
      <c r="A17505" t="n" s="0">
        <v>75.04</v>
      </c>
      <c r="B17505" t="n" s="0">
        <f>(-5-((((-5*(-5/((-5/(((-5*(75.04--5))-(-5+((-5*75.04)*(((-5--5)+(75.04--5))+75.04))))-(-5+-5)))*-5)))/-5)--5)+(-5*(((75.04*(75.04-(-5/-5)))*(75.04-(75.04/(-5*75.04))))-(-5/-5)))))</f>
        <v>2101697.91712</v>
      </c>
      <c r="C17505" t="n" s="0">
        <v>2101697.9171200003</v>
      </c>
    </row>
    <row r="17506">
      <c r="A17506" t="n" s="0">
        <v>75.05</v>
      </c>
      <c r="B17506" t="n" s="0">
        <f>(-5-((((-5*(-5/((-5/(((-5*(75.05--5))-(-5+((-5*75.05)*(((-5--5)+(75.05--5))+75.05))))-(-5+-5)))*-5)))/-5)--5)+(-5*(((75.05*(75.05-(-5/-5)))*(75.05-(75.05/(-5*75.05))))-(-5/-5)))))</f>
        <v>2102539.708125</v>
      </c>
      <c r="C17506" t="n" s="0">
        <v>2102539.708125</v>
      </c>
    </row>
    <row r="17507">
      <c r="A17507" t="n" s="0">
        <v>75.06</v>
      </c>
      <c r="B17507" t="n" s="0">
        <f>(-5-((((-5*(-5/((-5/(((-5*(75.06--5))-(-5+((-5*75.06)*(((-5--5)+(75.06--5))+75.06))))-(-5+-5)))*-5)))/-5)--5)+(-5*(((75.06*(75.06-(-5/-5)))*(75.06-(75.06/(-5*75.06))))-(-5/-5)))))</f>
        <v>2103381.72388</v>
      </c>
      <c r="C17507" t="n" s="0">
        <v>2103381.7238800004</v>
      </c>
    </row>
    <row r="17508">
      <c r="A17508" t="n" s="0">
        <v>75.07</v>
      </c>
      <c r="B17508" t="n" s="0">
        <f>(-5-((((-5*(-5/((-5/(((-5*(75.07--5))-(-5+((-5*75.07)*(((-5--5)+(75.07--5))+75.07))))-(-5+-5)))*-5)))/-5)--5)+(-5*(((75.07*(75.07-(-5/-5)))*(75.07-(75.07/(-5*75.07))))-(-5/-5)))))</f>
        <v>2104223.964415</v>
      </c>
      <c r="C17508" t="n" s="0">
        <v>2104223.9644149994</v>
      </c>
    </row>
    <row r="17509">
      <c r="A17509" t="n" s="0">
        <v>75.08</v>
      </c>
      <c r="B17509" t="n" s="0">
        <f>(-5-((((-5*(-5/((-5/(((-5*(75.08--5))-(-5+((-5*75.08)*(((-5--5)+(75.08--5))+75.08))))-(-5+-5)))*-5)))/-5)--5)+(-5*(((75.08*(75.08-(-5/-5)))*(75.08-(75.08/(-5*75.08))))-(-5/-5)))))</f>
        <v>2105066.42976</v>
      </c>
      <c r="C17509" t="n" s="0">
        <v>2105066.4297599997</v>
      </c>
    </row>
    <row r="17510">
      <c r="A17510" t="n" s="0">
        <v>75.09</v>
      </c>
      <c r="B17510" t="n" s="0">
        <f>(-5-((((-5*(-5/((-5/(((-5*(75.09--5))-(-5+((-5*75.09)*(((-5--5)+(75.09--5))+75.09))))-(-5+-5)))*-5)))/-5)--5)+(-5*(((75.09*(75.09-(-5/-5)))*(75.09-(75.09/(-5*75.09))))-(-5/-5)))))</f>
        <v>2105909.119945</v>
      </c>
      <c r="C17510" t="n" s="0">
        <v>2105909.1199450004</v>
      </c>
    </row>
    <row r="17511">
      <c r="A17511" t="n" s="0">
        <v>75.1</v>
      </c>
      <c r="B17511" t="n" s="0">
        <f>(-5-((((-5*(-5/((-5/(((-5*(75.1--5))-(-5+((-5*75.1)*(((-5--5)+(75.1--5))+75.1))))-(-5+-5)))*-5)))/-5)--5)+(-5*(((75.1*(75.1-(-5/-5)))*(75.1-(75.1/(-5*75.1))))-(-5/-5)))))</f>
        <v>2106752.035</v>
      </c>
      <c r="C17511" t="n" s="0">
        <v>2106752.0349999997</v>
      </c>
    </row>
    <row r="17512">
      <c r="A17512" t="n" s="0">
        <v>75.11</v>
      </c>
      <c r="B17512" t="n" s="0">
        <f>(-5-((((-5*(-5/((-5/(((-5*(75.11--5))-(-5+((-5*75.11)*(((-5--5)+(75.11--5))+75.11))))-(-5+-5)))*-5)))/-5)--5)+(-5*(((75.11*(75.11-(-5/-5)))*(75.11-(75.11/(-5*75.11))))-(-5/-5)))))</f>
        <v>2107595.1749549997</v>
      </c>
      <c r="C17512" t="n" s="0">
        <v>2107595.174955</v>
      </c>
    </row>
    <row r="17513">
      <c r="A17513" t="n" s="0">
        <v>75.12</v>
      </c>
      <c r="B17513" t="n" s="0">
        <f>(-5-((((-5*(-5/((-5/(((-5*(75.12--5))-(-5+((-5*75.12)*(((-5--5)+(75.12--5))+75.12))))-(-5+-5)))*-5)))/-5)--5)+(-5*(((75.12*(75.12-(-5/-5)))*(75.12-(75.12/(-5*75.12))))-(-5/-5)))))</f>
        <v>2108438.53984</v>
      </c>
      <c r="C17513" t="n" s="0">
        <v>2108438.53984</v>
      </c>
    </row>
    <row r="17514">
      <c r="A17514" t="n" s="0">
        <v>75.13</v>
      </c>
      <c r="B17514" t="n" s="0">
        <f>(-5-((((-5*(-5/((-5/(((-5*(75.13--5))-(-5+((-5*75.13)*(((-5--5)+(75.13--5))+75.13))))-(-5+-5)))*-5)))/-5)--5)+(-5*(((75.13*(75.13-(-5/-5)))*(75.13-(75.13/(-5*75.13))))-(-5/-5)))))</f>
        <v>2109282.129685</v>
      </c>
      <c r="C17514" t="n" s="0">
        <v>2109282.1296849996</v>
      </c>
    </row>
    <row r="17515">
      <c r="A17515" t="n" s="0">
        <v>75.14</v>
      </c>
      <c r="B17515" t="n" s="0">
        <f>(-5-((((-5*(-5/((-5/(((-5*(75.14--5))-(-5+((-5*75.14)*(((-5--5)+(75.14--5))+75.14))))-(-5+-5)))*-5)))/-5)--5)+(-5*(((75.14*(75.14-(-5/-5)))*(75.14-(75.14/(-5*75.14))))-(-5/-5)))))</f>
        <v>2110125.94452</v>
      </c>
      <c r="C17515" t="n" s="0">
        <v>2110125.94452</v>
      </c>
    </row>
    <row r="17516">
      <c r="A17516" t="n" s="0">
        <v>75.15</v>
      </c>
      <c r="B17516" t="n" s="0">
        <f>(-5-((((-5*(-5/((-5/(((-5*(75.15--5))-(-5+((-5*75.15)*(((-5--5)+(75.15--5))+75.15))))-(-5+-5)))*-5)))/-5)--5)+(-5*(((75.15*(75.15-(-5/-5)))*(75.15-(75.15/(-5*75.15))))-(-5/-5)))))</f>
        <v>2110969.984375</v>
      </c>
      <c r="C17516" t="n" s="0">
        <v>2110969.984375001</v>
      </c>
    </row>
    <row r="17517">
      <c r="A17517" t="n" s="0">
        <v>75.16</v>
      </c>
      <c r="B17517" t="n" s="0">
        <f>(-5-((((-5*(-5/((-5/(((-5*(75.16--5))-(-5+((-5*75.16)*(((-5--5)+(75.16--5))+75.16))))-(-5+-5)))*-5)))/-5)--5)+(-5*(((75.16*(75.16-(-5/-5)))*(75.16-(75.16/(-5*75.16))))-(-5/-5)))))</f>
        <v>2111814.2492799996</v>
      </c>
      <c r="C17517" t="n" s="0">
        <v>2111814.2492799996</v>
      </c>
    </row>
    <row r="17518">
      <c r="A17518" t="n" s="0">
        <v>75.17</v>
      </c>
      <c r="B17518" t="n" s="0">
        <f>(-5-((((-5*(-5/((-5/(((-5*(75.17--5))-(-5+((-5*75.17)*(((-5--5)+(75.17--5))+75.17))))-(-5+-5)))*-5)))/-5)--5)+(-5*(((75.17*(75.17-(-5/-5)))*(75.17-(75.17/(-5*75.17))))-(-5/-5)))))</f>
        <v>2112658.739265</v>
      </c>
      <c r="C17518" t="n" s="0">
        <v>2112658.739265</v>
      </c>
    </row>
    <row r="17519">
      <c r="A17519" t="n" s="0">
        <v>75.18</v>
      </c>
      <c r="B17519" t="n" s="0">
        <f>(-5-((((-5*(-5/((-5/(((-5*(75.18--5))-(-5+((-5*75.18)*(((-5--5)+(75.18--5))+75.18))))-(-5+-5)))*-5)))/-5)--5)+(-5*(((75.18*(75.18-(-5/-5)))*(75.18-(75.18/(-5*75.18))))-(-5/-5)))))</f>
        <v>2113503.45436</v>
      </c>
      <c r="C17519" t="n" s="0">
        <v>2113503.454360001</v>
      </c>
    </row>
    <row r="17520">
      <c r="A17520" t="n" s="0">
        <v>75.19</v>
      </c>
      <c r="B17520" t="n" s="0">
        <f>(-5-((((-5*(-5/((-5/(((-5*(75.19--5))-(-5+((-5*75.19)*(((-5--5)+(75.19--5))+75.19))))-(-5+-5)))*-5)))/-5)--5)+(-5*(((75.19*(75.19-(-5/-5)))*(75.19-(75.19/(-5*75.19))))-(-5/-5)))))</f>
        <v>2114348.394595</v>
      </c>
      <c r="C17520" t="n" s="0">
        <v>2114348.394595</v>
      </c>
    </row>
    <row r="17521">
      <c r="A17521" t="n" s="0">
        <v>75.2</v>
      </c>
      <c r="B17521" t="n" s="0">
        <f>(-5-((((-5*(-5/((-5/(((-5*(75.2--5))-(-5+((-5*75.2)*(((-5--5)+(75.2--5))+75.2))))-(-5+-5)))*-5)))/-5)--5)+(-5*(((75.2*(75.2-(-5/-5)))*(75.2-(75.2/(-5*75.2))))-(-5/-5)))))</f>
        <v>2115193.56</v>
      </c>
      <c r="C17521" t="n" s="0">
        <v>2115193.56</v>
      </c>
    </row>
    <row r="17522">
      <c r="A17522" t="n" s="0">
        <v>75.21</v>
      </c>
      <c r="B17522" t="n" s="0">
        <f>(-5-((((-5*(-5/((-5/(((-5*(75.21--5))-(-5+((-5*75.21)*(((-5--5)+(75.21--5))+75.21))))-(-5+-5)))*-5)))/-5)--5)+(-5*(((75.21*(75.21-(-5/-5)))*(75.21-(75.21/(-5*75.21))))-(-5/-5)))))</f>
        <v>2116038.950605</v>
      </c>
      <c r="C17522" t="n" s="0">
        <v>2116038.9506049994</v>
      </c>
    </row>
    <row r="17523">
      <c r="A17523" t="n" s="0">
        <v>75.22</v>
      </c>
      <c r="B17523" t="n" s="0">
        <f>(-5-((((-5*(-5/((-5/(((-5*(75.22--5))-(-5+((-5*75.22)*(((-5--5)+(75.22--5))+75.22))))-(-5+-5)))*-5)))/-5)--5)+(-5*(((75.22*(75.22-(-5/-5)))*(75.22-(75.22/(-5*75.22))))-(-5/-5)))))</f>
        <v>2116884.5664399997</v>
      </c>
      <c r="C17523" t="n" s="0">
        <v>2116884.5664399997</v>
      </c>
    </row>
    <row r="17524">
      <c r="A17524" t="n" s="0">
        <v>75.23</v>
      </c>
      <c r="B17524" t="n" s="0">
        <f>(-5-((((-5*(-5/((-5/(((-5*(75.23--5))-(-5+((-5*75.23)*(((-5--5)+(75.23--5))+75.23))))-(-5+-5)))*-5)))/-5)--5)+(-5*(((75.23*(75.23-(-5/-5)))*(75.23-(75.23/(-5*75.23))))-(-5/-5)))))</f>
        <v>2117730.407535</v>
      </c>
      <c r="C17524" t="n" s="0">
        <v>2117730.4075350002</v>
      </c>
    </row>
    <row r="17525">
      <c r="A17525" t="n" s="0">
        <v>75.24</v>
      </c>
      <c r="B17525" t="n" s="0">
        <f>(-5-((((-5*(-5/((-5/(((-5*(75.24--5))-(-5+((-5*75.24)*(((-5--5)+(75.24--5))+75.24))))-(-5+-5)))*-5)))/-5)--5)+(-5*(((75.24*(75.24-(-5/-5)))*(75.24-(75.24/(-5*75.24))))-(-5/-5)))))</f>
        <v>2118576.47392</v>
      </c>
      <c r="C17525" t="n" s="0">
        <v>2118576.47392</v>
      </c>
    </row>
    <row r="17526">
      <c r="A17526" t="n" s="0">
        <v>75.25</v>
      </c>
      <c r="B17526" t="n" s="0">
        <f>(-5-((((-5*(-5/((-5/(((-5*(75.25--5))-(-5+((-5*75.25)*(((-5--5)+(75.25--5))+75.25))))-(-5+-5)))*-5)))/-5)--5)+(-5*(((75.25*(75.25-(-5/-5)))*(75.25-(75.25/(-5*75.25))))-(-5/-5)))))</f>
        <v>2119422.765625</v>
      </c>
      <c r="C17526" t="n" s="0">
        <v>2119422.765625</v>
      </c>
    </row>
    <row r="17527">
      <c r="A17527" t="n" s="0">
        <v>75.26</v>
      </c>
      <c r="B17527" t="n" s="0">
        <f>(-5-((((-5*(-5/((-5/(((-5*(75.26--5))-(-5+((-5*75.26)*(((-5--5)+(75.26--5))+75.26))))-(-5+-5)))*-5)))/-5)--5)+(-5*(((75.26*(75.26-(-5/-5)))*(75.26-(75.26/(-5*75.26))))-(-5/-5)))))</f>
        <v>2120269.2826799997</v>
      </c>
      <c r="C17527" t="n" s="0">
        <v>2120269.28268</v>
      </c>
    </row>
    <row r="17528">
      <c r="A17528" t="n" s="0">
        <v>75.27</v>
      </c>
      <c r="B17528" t="n" s="0">
        <f>(-5-((((-5*(-5/((-5/(((-5*(75.27--5))-(-5+((-5*75.27)*(((-5--5)+(75.27--5))+75.27))))-(-5+-5)))*-5)))/-5)--5)+(-5*(((75.27*(75.27-(-5/-5)))*(75.27-(75.27/(-5*75.27))))-(-5/-5)))))</f>
        <v>2121116.025115</v>
      </c>
      <c r="C17528" t="n" s="0">
        <v>2121116.0251149996</v>
      </c>
    </row>
    <row r="17529">
      <c r="A17529" t="n" s="0">
        <v>75.28</v>
      </c>
      <c r="B17529" t="n" s="0">
        <f>(-5-((((-5*(-5/((-5/(((-5*(75.28--5))-(-5+((-5*75.28)*(((-5--5)+(75.28--5))+75.28))))-(-5+-5)))*-5)))/-5)--5)+(-5*(((75.28*(75.28-(-5/-5)))*(75.28-(75.28/(-5*75.28))))-(-5/-5)))))</f>
        <v>2121962.99296</v>
      </c>
      <c r="C17529" t="n" s="0">
        <v>2121962.99296</v>
      </c>
    </row>
    <row r="17530">
      <c r="A17530" t="n" s="0">
        <v>75.29</v>
      </c>
      <c r="B17530" t="n" s="0">
        <f>(-5-((((-5*(-5/((-5/(((-5*(75.29--5))-(-5+((-5*75.29)*(((-5--5)+(75.29--5))+75.29))))-(-5+-5)))*-5)))/-5)--5)+(-5*(((75.29*(75.29-(-5/-5)))*(75.29-(75.29/(-5*75.29))))-(-5/-5)))))</f>
        <v>2122810.186245</v>
      </c>
      <c r="C17530" t="n" s="0">
        <v>2122810.1862450005</v>
      </c>
    </row>
    <row r="17531">
      <c r="A17531" t="n" s="0">
        <v>75.3</v>
      </c>
      <c r="B17531" t="n" s="0">
        <f>(-5-((((-5*(-5/((-5/(((-5*(75.3--5))-(-5+((-5*75.3)*(((-5--5)+(75.3--5))+75.3))))-(-5+-5)))*-5)))/-5)--5)+(-5*(((75.3*(75.3-(-5/-5)))*(75.3-(75.3/(-5*75.3))))-(-5/-5)))))</f>
        <v>2123657.605</v>
      </c>
      <c r="C17531" t="n" s="0">
        <v>2123657.6049999995</v>
      </c>
    </row>
    <row r="17532">
      <c r="A17532" t="n" s="0">
        <v>75.31</v>
      </c>
      <c r="B17532" t="n" s="0">
        <f>(-5-((((-5*(-5/((-5/(((-5*(75.31--5))-(-5+((-5*75.31)*(((-5--5)+(75.31--5))+75.31))))-(-5+-5)))*-5)))/-5)--5)+(-5*(((75.31*(75.31-(-5/-5)))*(75.31-(75.31/(-5*75.31))))-(-5/-5)))))</f>
        <v>2124505.249255</v>
      </c>
      <c r="C17532" t="n" s="0">
        <v>2124505.2492550006</v>
      </c>
    </row>
    <row r="17533">
      <c r="A17533" t="n" s="0">
        <v>75.32</v>
      </c>
      <c r="B17533" t="n" s="0">
        <f>(-5-((((-5*(-5/((-5/(((-5*(75.32--5))-(-5+((-5*75.32)*(((-5--5)+(75.32--5))+75.32))))-(-5+-5)))*-5)))/-5)--5)+(-5*(((75.32*(75.32-(-5/-5)))*(75.32-(75.32/(-5*75.32))))-(-5/-5)))))</f>
        <v>2125353.1190400003</v>
      </c>
      <c r="C17533" t="n" s="0">
        <v>2125353.1190399993</v>
      </c>
    </row>
    <row r="17534">
      <c r="A17534" t="n" s="0">
        <v>75.33</v>
      </c>
      <c r="B17534" t="n" s="0">
        <f>(-5-((((-5*(-5/((-5/(((-5*(75.33--5))-(-5+((-5*75.33)*(((-5--5)+(75.33--5))+75.33))))-(-5+-5)))*-5)))/-5)--5)+(-5*(((75.33*(75.33-(-5/-5)))*(75.33-(75.33/(-5*75.33))))-(-5/-5)))))</f>
        <v>2126201.214385</v>
      </c>
      <c r="C17534" t="n" s="0">
        <v>2126201.2143849996</v>
      </c>
    </row>
    <row r="17535">
      <c r="A17535" t="n" s="0">
        <v>75.34</v>
      </c>
      <c r="B17535" t="n" s="0">
        <f>(-5-((((-5*(-5/((-5/(((-5*(75.34--5))-(-5+((-5*75.34)*(((-5--5)+(75.34--5))+75.34))))-(-5+-5)))*-5)))/-5)--5)+(-5*(((75.34*(75.34-(-5/-5)))*(75.34-(75.34/(-5*75.34))))-(-5/-5)))))</f>
        <v>2127049.5353200003</v>
      </c>
      <c r="C17535" t="n" s="0">
        <v>2127049.5353200003</v>
      </c>
    </row>
    <row r="17536">
      <c r="A17536" t="n" s="0">
        <v>75.35</v>
      </c>
      <c r="B17536" t="n" s="0">
        <f>(-5-((((-5*(-5/((-5/(((-5*(75.35--5))-(-5+((-5*75.35)*(((-5--5)+(75.35--5))+75.35))))-(-5+-5)))*-5)))/-5)--5)+(-5*(((75.35*(75.35-(-5/-5)))*(75.35-(75.35/(-5*75.35))))-(-5/-5)))))</f>
        <v>2127898.081875</v>
      </c>
      <c r="C17536" t="n" s="0">
        <v>2127898.081874999</v>
      </c>
    </row>
    <row r="17537">
      <c r="A17537" t="n" s="0">
        <v>75.36</v>
      </c>
      <c r="B17537" t="n" s="0">
        <f>(-5-((((-5*(-5/((-5/(((-5*(75.36--5))-(-5+((-5*75.36)*(((-5--5)+(75.36--5))+75.36))))-(-5+-5)))*-5)))/-5)--5)+(-5*(((75.36*(75.36-(-5/-5)))*(75.36-(75.36/(-5*75.36))))-(-5/-5)))))</f>
        <v>2128746.85408</v>
      </c>
      <c r="C17537" t="n" s="0">
        <v>2128746.85408</v>
      </c>
    </row>
    <row r="17538">
      <c r="A17538" t="n" s="0">
        <v>75.37</v>
      </c>
      <c r="B17538" t="n" s="0">
        <f>(-5-((((-5*(-5/((-5/(((-5*(75.37--5))-(-5+((-5*75.37)*(((-5--5)+(75.37--5))+75.37))))-(-5+-5)))*-5)))/-5)--5)+(-5*(((75.37*(75.37-(-5/-5)))*(75.37-(75.37/(-5*75.37))))-(-5/-5)))))</f>
        <v>2129595.851965</v>
      </c>
      <c r="C17538" t="n" s="0">
        <v>2129595.851965</v>
      </c>
    </row>
    <row r="17539">
      <c r="A17539" t="n" s="0">
        <v>75.38</v>
      </c>
      <c r="B17539" t="n" s="0">
        <f>(-5-((((-5*(-5/((-5/(((-5*(75.38--5))-(-5+((-5*75.38)*(((-5--5)+(75.38--5))+75.38))))-(-5+-5)))*-5)))/-5)--5)+(-5*(((75.38*(75.38-(-5/-5)))*(75.38-(75.38/(-5*75.38))))-(-5/-5)))))</f>
        <v>2130445.0755600003</v>
      </c>
      <c r="C17539" t="n" s="0">
        <v>2130445.07556</v>
      </c>
    </row>
    <row r="17540">
      <c r="A17540" t="n" s="0">
        <v>75.39</v>
      </c>
      <c r="B17540" t="n" s="0">
        <f>(-5-((((-5*(-5/((-5/(((-5*(75.39--5))-(-5+((-5*75.39)*(((-5--5)+(75.39--5))+75.39))))-(-5+-5)))*-5)))/-5)--5)+(-5*(((75.39*(75.39-(-5/-5)))*(75.39-(75.39/(-5*75.39))))-(-5/-5)))))</f>
        <v>2131294.5248950003</v>
      </c>
      <c r="C17540" t="n" s="0">
        <v>2131294.524895</v>
      </c>
    </row>
    <row r="17541">
      <c r="A17541" t="n" s="0">
        <v>75.4</v>
      </c>
      <c r="B17541" t="n" s="0">
        <f>(-5-((((-5*(-5/((-5/(((-5*(75.4--5))-(-5+((-5*75.4)*(((-5--5)+(75.4--5))+75.4))))-(-5+-5)))*-5)))/-5)--5)+(-5*(((75.4*(75.4-(-5/-5)))*(75.4-(75.4/(-5*75.4))))-(-5/-5)))))</f>
        <v>2132144.1999999997</v>
      </c>
      <c r="C17541" t="n" s="0">
        <v>2132144.2000000007</v>
      </c>
    </row>
    <row r="17542">
      <c r="A17542" t="n" s="0">
        <v>75.41</v>
      </c>
      <c r="B17542" t="n" s="0">
        <f>(-5-((((-5*(-5/((-5/(((-5*(75.41--5))-(-5+((-5*75.41)*(((-5--5)+(75.41--5))+75.41))))-(-5+-5)))*-5)))/-5)--5)+(-5*(((75.41*(75.41-(-5/-5)))*(75.41-(75.41/(-5*75.41))))-(-5/-5)))))</f>
        <v>2132994.1009049998</v>
      </c>
      <c r="C17542" t="n" s="0">
        <v>2132994.1009049998</v>
      </c>
    </row>
    <row r="17543">
      <c r="A17543" t="n" s="0">
        <v>75.42</v>
      </c>
      <c r="B17543" t="n" s="0">
        <f>(-5-((((-5*(-5/((-5/(((-5*(75.42--5))-(-5+((-5*75.42)*(((-5--5)+(75.42--5))+75.42))))-(-5+-5)))*-5)))/-5)--5)+(-5*(((75.42*(75.42-(-5/-5)))*(75.42-(75.42/(-5*75.42))))-(-5/-5)))))</f>
        <v>2133844.22764</v>
      </c>
      <c r="C17543" t="n" s="0">
        <v>2133844.22764</v>
      </c>
    </row>
    <row r="17544">
      <c r="A17544" t="n" s="0">
        <v>75.43</v>
      </c>
      <c r="B17544" t="n" s="0">
        <f>(-5-((((-5*(-5/((-5/(((-5*(75.43--5))-(-5+((-5*75.43)*(((-5--5)+(75.43--5))+75.43))))-(-5+-5)))*-5)))/-5)--5)+(-5*(((75.43*(75.43-(-5/-5)))*(75.43-(75.43/(-5*75.43))))-(-5/-5)))))</f>
        <v>2134694.5802350002</v>
      </c>
      <c r="C17544" t="n" s="0">
        <v>2134694.5802350007</v>
      </c>
    </row>
    <row r="17545">
      <c r="A17545" t="n" s="0">
        <v>75.44</v>
      </c>
      <c r="B17545" t="n" s="0">
        <f>(-5-((((-5*(-5/((-5/(((-5*(75.44--5))-(-5+((-5*75.44)*(((-5--5)+(75.44--5))+75.44))))-(-5+-5)))*-5)))/-5)--5)+(-5*(((75.44*(75.44-(-5/-5)))*(75.44-(75.44/(-5*75.44))))-(-5/-5)))))</f>
        <v>2135545.15872</v>
      </c>
      <c r="C17545" t="n" s="0">
        <v>2135545.1587199993</v>
      </c>
    </row>
    <row r="17546">
      <c r="A17546" t="n" s="0">
        <v>75.45</v>
      </c>
      <c r="B17546" t="n" s="0">
        <f>(-5-((((-5*(-5/((-5/(((-5*(75.45--5))-(-5+((-5*75.45)*(((-5--5)+(75.45--5))+75.45))))-(-5+-5)))*-5)))/-5)--5)+(-5*(((75.45*(75.45-(-5/-5)))*(75.45-(75.45/(-5*75.45))))-(-5/-5)))))</f>
        <v>2136395.9631250002</v>
      </c>
      <c r="C17546" t="n" s="0">
        <v>2136395.9631250007</v>
      </c>
    </row>
    <row r="17547">
      <c r="A17547" t="n" s="0">
        <v>75.46</v>
      </c>
      <c r="B17547" t="n" s="0">
        <f>(-5-((((-5*(-5/((-5/(((-5*(75.46--5))-(-5+((-5*75.46)*(((-5--5)+(75.46--5))+75.46))))-(-5+-5)))*-5)))/-5)--5)+(-5*(((75.46*(75.46-(-5/-5)))*(75.46-(75.46/(-5*75.46))))-(-5/-5)))))</f>
        <v>2137246.9934799997</v>
      </c>
      <c r="C17547" t="n" s="0">
        <v>2137246.9934799992</v>
      </c>
    </row>
    <row r="17548">
      <c r="A17548" t="n" s="0">
        <v>75.47</v>
      </c>
      <c r="B17548" t="n" s="0">
        <f>(-5-((((-5*(-5/((-5/(((-5*(75.47--5))-(-5+((-5*75.47)*(((-5--5)+(75.47--5))+75.47))))-(-5+-5)))*-5)))/-5)--5)+(-5*(((75.47*(75.47-(-5/-5)))*(75.47-(75.47/(-5*75.47))))-(-5/-5)))))</f>
        <v>2138098.249815</v>
      </c>
      <c r="C17548" t="n" s="0">
        <v>2138098.249815</v>
      </c>
    </row>
    <row r="17549">
      <c r="A17549" t="n" s="0">
        <v>75.48</v>
      </c>
      <c r="B17549" t="n" s="0">
        <f>(-5-((((-5*(-5/((-5/(((-5*(75.48--5))-(-5+((-5*75.48)*(((-5--5)+(75.48--5))+75.48))))-(-5+-5)))*-5)))/-5)--5)+(-5*(((75.48*(75.48-(-5/-5)))*(75.48-(75.48/(-5*75.48))))-(-5/-5)))))</f>
        <v>2138949.73216</v>
      </c>
      <c r="C17549" t="n" s="0">
        <v>2138949.7321600006</v>
      </c>
    </row>
    <row r="17550">
      <c r="A17550" t="n" s="0">
        <v>75.49</v>
      </c>
      <c r="B17550" t="n" s="0">
        <f>(-5-((((-5*(-5/((-5/(((-5*(75.49--5))-(-5+((-5*75.49)*(((-5--5)+(75.49--5))+75.49))))-(-5+-5)))*-5)))/-5)--5)+(-5*(((75.49*(75.49-(-5/-5)))*(75.49-(75.49/(-5*75.49))))-(-5/-5)))))</f>
        <v>2139801.440545</v>
      </c>
      <c r="C17550" t="n" s="0">
        <v>2139801.4405449997</v>
      </c>
    </row>
    <row r="17551">
      <c r="A17551" t="n" s="0">
        <v>75.5</v>
      </c>
      <c r="B17551" t="n" s="0">
        <f>(-5-((((-5*(-5/((-5/(((-5*(75.5--5))-(-5+((-5*75.5)*(((-5--5)+(75.5--5))+75.5))))-(-5+-5)))*-5)))/-5)--5)+(-5*(((75.5*(75.5-(-5/-5)))*(75.5-(75.5/(-5*75.5))))-(-5/-5)))))</f>
        <v>2140653.375</v>
      </c>
      <c r="C17551" t="n" s="0">
        <v>2140653.375</v>
      </c>
    </row>
    <row r="17552">
      <c r="A17552" t="n" s="0">
        <v>75.51</v>
      </c>
      <c r="B17552" t="n" s="0">
        <f>(-5-((((-5*(-5/((-5/(((-5*(75.51--5))-(-5+((-5*75.51)*(((-5--5)+(75.51--5))+75.51))))-(-5+-5)))*-5)))/-5)--5)+(-5*(((75.51*(75.51-(-5/-5)))*(75.51-(75.51/(-5*75.51))))-(-5/-5)))))</f>
        <v>2141505.535555</v>
      </c>
      <c r="C17552" t="n" s="0">
        <v>2141505.535555</v>
      </c>
    </row>
    <row r="17553">
      <c r="A17553" t="n" s="0">
        <v>75.52</v>
      </c>
      <c r="B17553" t="n" s="0">
        <f>(-5-((((-5*(-5/((-5/(((-5*(75.52--5))-(-5+((-5*75.52)*(((-5--5)+(75.52--5))+75.52))))-(-5+-5)))*-5)))/-5)--5)+(-5*(((75.52*(75.52-(-5/-5)))*(75.52-(75.52/(-5*75.52))))-(-5/-5)))))</f>
        <v>2142357.92224</v>
      </c>
      <c r="C17553" t="n" s="0">
        <v>2142357.9222399998</v>
      </c>
    </row>
    <row r="17554">
      <c r="A17554" t="n" s="0">
        <v>75.53</v>
      </c>
      <c r="B17554" t="n" s="0">
        <f>(-5-((((-5*(-5/((-5/(((-5*(75.53--5))-(-5+((-5*75.53)*(((-5--5)+(75.53--5))+75.53))))-(-5+-5)))*-5)))/-5)--5)+(-5*(((75.53*(75.53-(-5/-5)))*(75.53-(75.53/(-5*75.53))))-(-5/-5)))))</f>
        <v>2143210.535085</v>
      </c>
      <c r="C17554" t="n" s="0">
        <v>2143210.535085</v>
      </c>
    </row>
    <row r="17555">
      <c r="A17555" t="n" s="0">
        <v>75.54</v>
      </c>
      <c r="B17555" t="n" s="0">
        <f>(-5-((((-5*(-5/((-5/(((-5*(75.54--5))-(-5+((-5*75.54)*(((-5--5)+(75.54--5))+75.54))))-(-5+-5)))*-5)))/-5)--5)+(-5*(((75.54*(75.54-(-5/-5)))*(75.54-(75.54/(-5*75.54))))-(-5/-5)))))</f>
        <v>2144063.37412</v>
      </c>
      <c r="C17555" t="n" s="0">
        <v>2144063.3741200003</v>
      </c>
    </row>
    <row r="17556">
      <c r="A17556" t="n" s="0">
        <v>75.55</v>
      </c>
      <c r="B17556" t="n" s="0">
        <f>(-5-((((-5*(-5/((-5/(((-5*(75.55--5))-(-5+((-5*75.55)*(((-5--5)+(75.55--5))+75.55))))-(-5+-5)))*-5)))/-5)--5)+(-5*(((75.55*(75.55-(-5/-5)))*(75.55-(75.55/(-5*75.55))))-(-5/-5)))))</f>
        <v>2144916.439375</v>
      </c>
      <c r="C17556" t="n" s="0">
        <v>2144916.4393749996</v>
      </c>
    </row>
    <row r="17557">
      <c r="A17557" t="n" s="0">
        <v>75.56</v>
      </c>
      <c r="B17557" t="n" s="0">
        <f>(-5-((((-5*(-5/((-5/(((-5*(75.56--5))-(-5+((-5*75.56)*(((-5--5)+(75.56--5))+75.56))))-(-5+-5)))*-5)))/-5)--5)+(-5*(((75.56*(75.56-(-5/-5)))*(75.56-(75.56/(-5*75.56))))-(-5/-5)))))</f>
        <v>2145769.73088</v>
      </c>
      <c r="C17557" t="n" s="0">
        <v>2145769.73088</v>
      </c>
    </row>
    <row r="17558">
      <c r="A17558" t="n" s="0">
        <v>75.57</v>
      </c>
      <c r="B17558" t="n" s="0">
        <f>(-5-((((-5*(-5/((-5/(((-5*(75.57--5))-(-5+((-5*75.57)*(((-5--5)+(75.57--5))+75.57))))-(-5+-5)))*-5)))/-5)--5)+(-5*(((75.57*(75.57-(-5/-5)))*(75.57-(75.57/(-5*75.57))))-(-5/-5)))))</f>
        <v>2146623.248665</v>
      </c>
      <c r="C17558" t="n" s="0">
        <v>2146623.2486649994</v>
      </c>
    </row>
    <row r="17559">
      <c r="A17559" t="n" s="0">
        <v>75.58</v>
      </c>
      <c r="B17559" t="n" s="0">
        <f>(-5-((((-5*(-5/((-5/(((-5*(75.58--5))-(-5+((-5*75.58)*(((-5--5)+(75.58--5))+75.58))))-(-5+-5)))*-5)))/-5)--5)+(-5*(((75.58*(75.58-(-5/-5)))*(75.58-(75.58/(-5*75.58))))-(-5/-5)))))</f>
        <v>2147476.9927600003</v>
      </c>
      <c r="C17559" t="n" s="0">
        <v>2147476.9927600003</v>
      </c>
    </row>
    <row r="17560">
      <c r="A17560" t="n" s="0">
        <v>75.59</v>
      </c>
      <c r="B17560" t="n" s="0">
        <f>(-5-((((-5*(-5/((-5/(((-5*(75.59--5))-(-5+((-5*75.59)*(((-5--5)+(75.59--5))+75.59))))-(-5+-5)))*-5)))/-5)--5)+(-5*(((75.59*(75.59-(-5/-5)))*(75.59-(75.59/(-5*75.59))))-(-5/-5)))))</f>
        <v>2148330.963195</v>
      </c>
      <c r="C17560" t="n" s="0">
        <v>2148330.9631950003</v>
      </c>
    </row>
    <row r="17561">
      <c r="A17561" t="n" s="0">
        <v>75.6</v>
      </c>
      <c r="B17561" t="n" s="0">
        <f>(-5-((((-5*(-5/((-5/(((-5*(75.6--5))-(-5+((-5*75.6)*(((-5--5)+(75.6--5))+75.6))))-(-5+-5)))*-5)))/-5)--5)+(-5*(((75.6*(75.6-(-5/-5)))*(75.6-(75.6/(-5*75.6))))-(-5/-5)))))</f>
        <v>2149185.16</v>
      </c>
      <c r="C17561" t="n" s="0">
        <v>2149185.159999999</v>
      </c>
    </row>
    <row r="17562">
      <c r="A17562" t="n" s="0">
        <v>75.61</v>
      </c>
      <c r="B17562" t="n" s="0">
        <f>(-5-((((-5*(-5/((-5/(((-5*(75.61--5))-(-5+((-5*75.61)*(((-5--5)+(75.61--5))+75.61))))-(-5+-5)))*-5)))/-5)--5)+(-5*(((75.61*(75.61-(-5/-5)))*(75.61-(75.61/(-5*75.61))))-(-5/-5)))))</f>
        <v>2150039.583205</v>
      </c>
      <c r="C17562" t="n" s="0">
        <v>2150039.583205</v>
      </c>
    </row>
    <row r="17563">
      <c r="A17563" t="n" s="0">
        <v>75.62</v>
      </c>
      <c r="B17563" t="n" s="0">
        <f>(-5-((((-5*(-5/((-5/(((-5*(75.62--5))-(-5+((-5*75.62)*(((-5--5)+(75.62--5))+75.62))))-(-5+-5)))*-5)))/-5)--5)+(-5*(((75.62*(75.62-(-5/-5)))*(75.62-(75.62/(-5*75.62))))-(-5/-5)))))</f>
        <v>2150894.23284</v>
      </c>
      <c r="C17563" t="n" s="0">
        <v>2150894.2328399997</v>
      </c>
    </row>
    <row r="17564">
      <c r="A17564" t="n" s="0">
        <v>75.63</v>
      </c>
      <c r="B17564" t="n" s="0">
        <f>(-5-((((-5*(-5/((-5/(((-5*(75.63--5))-(-5+((-5*75.63)*(((-5--5)+(75.63--5))+75.63))))-(-5+-5)))*-5)))/-5)--5)+(-5*(((75.63*(75.63-(-5/-5)))*(75.63-(75.63/(-5*75.63))))-(-5/-5)))))</f>
        <v>2151749.108935</v>
      </c>
      <c r="C17564" t="n" s="0">
        <v>2151749.108935</v>
      </c>
    </row>
    <row r="17565">
      <c r="A17565" t="n" s="0">
        <v>75.64</v>
      </c>
      <c r="B17565" t="n" s="0">
        <f>(-5-((((-5*(-5/((-5/(((-5*(75.64--5))-(-5+((-5*75.64)*(((-5--5)+(75.64--5))+75.64))))-(-5+-5)))*-5)))/-5)--5)+(-5*(((75.64*(75.64-(-5/-5)))*(75.64-(75.64/(-5*75.64))))-(-5/-5)))))</f>
        <v>2152604.21152</v>
      </c>
      <c r="C17565" t="n" s="0">
        <v>2152604.2115200004</v>
      </c>
    </row>
    <row r="17566">
      <c r="A17566" t="n" s="0">
        <v>75.65</v>
      </c>
      <c r="B17566" t="n" s="0">
        <f>(-5-((((-5*(-5/((-5/(((-5*(75.65--5))-(-5+((-5*75.65)*(((-5--5)+(75.65--5))+75.65))))-(-5+-5)))*-5)))/-5)--5)+(-5*(((75.65*(75.65-(-5/-5)))*(75.65-(75.65/(-5*75.65))))-(-5/-5)))))</f>
        <v>2153459.540625</v>
      </c>
      <c r="C17566" t="n" s="0">
        <v>2153459.5406250004</v>
      </c>
    </row>
    <row r="17567">
      <c r="A17567" t="n" s="0">
        <v>75.66</v>
      </c>
      <c r="B17567" t="n" s="0">
        <f>(-5-((((-5*(-5/((-5/(((-5*(75.66--5))-(-5+((-5*75.66)*(((-5--5)+(75.66--5))+75.66))))-(-5+-5)))*-5)))/-5)--5)+(-5*(((75.66*(75.66-(-5/-5)))*(75.66-(75.66/(-5*75.66))))-(-5/-5)))))</f>
        <v>2154315.09628</v>
      </c>
      <c r="C17567" t="n" s="0">
        <v>2154315.0962799997</v>
      </c>
    </row>
    <row r="17568">
      <c r="A17568" t="n" s="0">
        <v>75.67</v>
      </c>
      <c r="B17568" t="n" s="0">
        <f>(-5-((((-5*(-5/((-5/(((-5*(75.67--5))-(-5+((-5*75.67)*(((-5--5)+(75.67--5))+75.67))))-(-5+-5)))*-5)))/-5)--5)+(-5*(((75.67*(75.67-(-5/-5)))*(75.67-(75.67/(-5*75.67))))-(-5/-5)))))</f>
        <v>2155170.878515</v>
      </c>
      <c r="C17568" t="n" s="0">
        <v>2155170.878515</v>
      </c>
    </row>
    <row r="17569">
      <c r="A17569" t="n" s="0">
        <v>75.68</v>
      </c>
      <c r="B17569" t="n" s="0">
        <f>(-5-((((-5*(-5/((-5/(((-5*(75.68--5))-(-5+((-5*75.68)*(((-5--5)+(75.68--5))+75.68))))-(-5+-5)))*-5)))/-5)--5)+(-5*(((75.68*(75.68-(-5/-5)))*(75.68-(75.68/(-5*75.68))))-(-5/-5)))))</f>
        <v>2156026.88736</v>
      </c>
      <c r="C17569" t="n" s="0">
        <v>2156026.8873600005</v>
      </c>
    </row>
    <row r="17570">
      <c r="A17570" t="n" s="0">
        <v>75.69</v>
      </c>
      <c r="B17570" t="n" s="0">
        <f>(-5-((((-5*(-5/((-5/(((-5*(75.69--5))-(-5+((-5*75.69)*(((-5--5)+(75.69--5))+75.69))))-(-5+-5)))*-5)))/-5)--5)+(-5*(((75.69*(75.69-(-5/-5)))*(75.69-(75.69/(-5*75.69))))-(-5/-5)))))</f>
        <v>2156883.122845</v>
      </c>
      <c r="C17570" t="n" s="0">
        <v>2156883.122844999</v>
      </c>
    </row>
    <row r="17571">
      <c r="A17571" t="n" s="0">
        <v>75.7</v>
      </c>
      <c r="B17571" t="n" s="0">
        <f>(-5-((((-5*(-5/((-5/(((-5*(75.7--5))-(-5+((-5*75.7)*(((-5--5)+(75.7--5))+75.7))))-(-5+-5)))*-5)))/-5)--5)+(-5*(((75.7*(75.7-(-5/-5)))*(75.7-(75.7/(-5*75.7))))-(-5/-5)))))</f>
        <v>2157739.585</v>
      </c>
      <c r="C17571" t="n" s="0">
        <v>2157739.5850000004</v>
      </c>
    </row>
    <row r="17572">
      <c r="A17572" t="n" s="0">
        <v>75.71</v>
      </c>
      <c r="B17572" t="n" s="0">
        <f>(-5-((((-5*(-5/((-5/(((-5*(75.71--5))-(-5+((-5*75.71)*(((-5--5)+(75.71--5))+75.71))))-(-5+-5)))*-5)))/-5)--5)+(-5*(((75.71*(75.71-(-5/-5)))*(75.71-(75.71/(-5*75.71))))-(-5/-5)))))</f>
        <v>2158596.273855</v>
      </c>
      <c r="C17572" t="n" s="0">
        <v>2158596.2738549993</v>
      </c>
    </row>
    <row r="17573">
      <c r="A17573" t="n" s="0">
        <v>75.72</v>
      </c>
      <c r="B17573" t="n" s="0">
        <f>(-5-((((-5*(-5/((-5/(((-5*(75.72--5))-(-5+((-5*75.72)*(((-5--5)+(75.72--5))+75.72))))-(-5+-5)))*-5)))/-5)--5)+(-5*(((75.72*(75.72-(-5/-5)))*(75.72-(75.72/(-5*75.72))))-(-5/-5)))))</f>
        <v>2159453.18944</v>
      </c>
      <c r="C17573" t="n" s="0">
        <v>2159453.1894400003</v>
      </c>
    </row>
    <row r="17574">
      <c r="A17574" t="n" s="0">
        <v>75.73</v>
      </c>
      <c r="B17574" t="n" s="0">
        <f>(-5-((((-5*(-5/((-5/(((-5*(75.73--5))-(-5+((-5*75.73)*(((-5--5)+(75.73--5))+75.73))))-(-5+-5)))*-5)))/-5)--5)+(-5*(((75.73*(75.73-(-5/-5)))*(75.73-(75.73/(-5*75.73))))-(-5/-5)))))</f>
        <v>2160310.331785</v>
      </c>
      <c r="C17574" t="n" s="0">
        <v>2160310.3317850004</v>
      </c>
    </row>
    <row r="17575">
      <c r="A17575" t="n" s="0">
        <v>75.74</v>
      </c>
      <c r="B17575" t="n" s="0">
        <f>(-5-((((-5*(-5/((-5/(((-5*(75.74--5))-(-5+((-5*75.74)*(((-5--5)+(75.74--5))+75.74))))-(-5+-5)))*-5)))/-5)--5)+(-5*(((75.74*(75.74-(-5/-5)))*(75.74-(75.74/(-5*75.74))))-(-5/-5)))))</f>
        <v>2161167.7009199997</v>
      </c>
      <c r="C17575" t="n" s="0">
        <v>2161167.7009199997</v>
      </c>
    </row>
    <row r="17576">
      <c r="A17576" t="n" s="0">
        <v>75.75</v>
      </c>
      <c r="B17576" t="n" s="0">
        <f>(-5-((((-5*(-5/((-5/(((-5*(75.75--5))-(-5+((-5*75.75)*(((-5--5)+(75.75--5))+75.75))))-(-5+-5)))*-5)))/-5)--5)+(-5*(((75.75*(75.75-(-5/-5)))*(75.75-(75.75/(-5*75.75))))-(-5/-5)))))</f>
        <v>2162025.296875</v>
      </c>
      <c r="C17576" t="n" s="0">
        <v>2162025.296875</v>
      </c>
    </row>
    <row r="17577">
      <c r="A17577" t="n" s="0">
        <v>75.76</v>
      </c>
      <c r="B17577" t="n" s="0">
        <f>(-5-((((-5*(-5/((-5/(((-5*(75.76--5))-(-5+((-5*75.76)*(((-5--5)+(75.76--5))+75.76))))-(-5+-5)))*-5)))/-5)--5)+(-5*(((75.76*(75.76-(-5/-5)))*(75.76-(75.76/(-5*75.76))))-(-5/-5)))))</f>
        <v>2162883.11968</v>
      </c>
      <c r="C17577" t="n" s="0">
        <v>2162883.1196800005</v>
      </c>
    </row>
    <row r="17578">
      <c r="A17578" t="n" s="0">
        <v>75.77</v>
      </c>
      <c r="B17578" t="n" s="0">
        <f>(-5-((((-5*(-5/((-5/(((-5*(75.77--5))-(-5+((-5*75.77)*(((-5--5)+(75.77--5))+75.77))))-(-5+-5)))*-5)))/-5)--5)+(-5*(((75.77*(75.77-(-5/-5)))*(75.77-(75.77/(-5*75.77))))-(-5/-5)))))</f>
        <v>2163741.169365</v>
      </c>
      <c r="C17578" t="n" s="0">
        <v>2163741.1693649995</v>
      </c>
    </row>
    <row r="17579">
      <c r="A17579" t="n" s="0">
        <v>75.78</v>
      </c>
      <c r="B17579" t="n" s="0">
        <f>(-5-((((-5*(-5/((-5/(((-5*(75.78--5))-(-5+((-5*75.78)*(((-5--5)+(75.78--5))+75.78))))-(-5+-5)))*-5)))/-5)--5)+(-5*(((75.78*(75.78-(-5/-5)))*(75.78-(75.78/(-5*75.78))))-(-5/-5)))))</f>
        <v>2164599.44596</v>
      </c>
      <c r="C17579" t="n" s="0">
        <v>2164599.4459599997</v>
      </c>
    </row>
    <row r="17580">
      <c r="A17580" t="n" s="0">
        <v>75.79</v>
      </c>
      <c r="B17580" t="n" s="0">
        <f>(-5-((((-5*(-5/((-5/(((-5*(75.79--5))-(-5+((-5*75.79)*(((-5--5)+(75.79--5))+75.79))))-(-5+-5)))*-5)))/-5)--5)+(-5*(((75.79*(75.79-(-5/-5)))*(75.79-(75.79/(-5*75.79))))-(-5/-5)))))</f>
        <v>2165457.949495</v>
      </c>
      <c r="C17580" t="n" s="0">
        <v>2165457.9494950008</v>
      </c>
    </row>
    <row r="17581">
      <c r="A17581" t="n" s="0">
        <v>75.8</v>
      </c>
      <c r="B17581" t="n" s="0">
        <f>(-5-((((-5*(-5/((-5/(((-5*(75.8--5))-(-5+((-5*75.8)*(((-5--5)+(75.8--5))+75.8))))-(-5+-5)))*-5)))/-5)--5)+(-5*(((75.8*(75.8-(-5/-5)))*(75.8-(75.8/(-5*75.8))))-(-5/-5)))))</f>
        <v>2166316.68</v>
      </c>
      <c r="C17581" t="n" s="0">
        <v>2166316.6799999997</v>
      </c>
    </row>
    <row r="17582">
      <c r="A17582" t="n" s="0">
        <v>75.81</v>
      </c>
      <c r="B17582" t="n" s="0">
        <f>(-5-((((-5*(-5/((-5/(((-5*(75.81--5))-(-5+((-5*75.81)*(((-5--5)+(75.81--5))+75.81))))-(-5+-5)))*-5)))/-5)--5)+(-5*(((75.81*(75.81-(-5/-5)))*(75.81-(75.81/(-5*75.81))))-(-5/-5)))))</f>
        <v>2167175.637505</v>
      </c>
      <c r="C17582" t="n" s="0">
        <v>2167175.6375050005</v>
      </c>
    </row>
    <row r="17583">
      <c r="A17583" t="n" s="0">
        <v>75.82</v>
      </c>
      <c r="B17583" t="n" s="0">
        <f>(-5-((((-5*(-5/((-5/(((-5*(75.82--5))-(-5+((-5*75.82)*(((-5--5)+(75.82--5))+75.82))))-(-5+-5)))*-5)))/-5)--5)+(-5*(((75.82*(75.82-(-5/-5)))*(75.82-(75.82/(-5*75.82))))-(-5/-5)))))</f>
        <v>2168034.82204</v>
      </c>
      <c r="C17583" t="n" s="0">
        <v>2168034.8220399995</v>
      </c>
    </row>
    <row r="17584">
      <c r="A17584" t="n" s="0">
        <v>75.83</v>
      </c>
      <c r="B17584" t="n" s="0">
        <f>(-5-((((-5*(-5/((-5/(((-5*(75.83--5))-(-5+((-5*75.83)*(((-5--5)+(75.83--5))+75.83))))-(-5+-5)))*-5)))/-5)--5)+(-5*(((75.83*(75.83-(-5/-5)))*(75.83-(75.83/(-5*75.83))))-(-5/-5)))))</f>
        <v>2168894.2336350004</v>
      </c>
      <c r="C17584" t="n" s="0">
        <v>2168894.2336350004</v>
      </c>
    </row>
    <row r="17585">
      <c r="A17585" t="n" s="0">
        <v>75.84</v>
      </c>
      <c r="B17585" t="n" s="0">
        <f>(-5-((((-5*(-5/((-5/(((-5*(75.84--5))-(-5+((-5*75.84)*(((-5--5)+(75.84--5))+75.84))))-(-5+-5)))*-5)))/-5)--5)+(-5*(((75.84*(75.84-(-5/-5)))*(75.84-(75.84/(-5*75.84))))-(-5/-5)))))</f>
        <v>2169753.8723199996</v>
      </c>
      <c r="C17585" t="n" s="0">
        <v>2169753.8723200005</v>
      </c>
    </row>
    <row r="17586">
      <c r="A17586" t="n" s="0">
        <v>75.85</v>
      </c>
      <c r="B17586" t="n" s="0">
        <f>(-5-((((-5*(-5/((-5/(((-5*(75.85--5))-(-5+((-5*75.85)*(((-5--5)+(75.85--5))+75.85))))-(-5+-5)))*-5)))/-5)--5)+(-5*(((75.85*(75.85-(-5/-5)))*(75.85-(75.85/(-5*75.85))))-(-5/-5)))))</f>
        <v>2170613.738125</v>
      </c>
      <c r="C17586" t="n" s="0">
        <v>2170613.7381249997</v>
      </c>
    </row>
    <row r="17587">
      <c r="A17587" t="n" s="0">
        <v>75.86</v>
      </c>
      <c r="B17587" t="n" s="0">
        <f>(-5-((((-5*(-5/((-5/(((-5*(75.86--5))-(-5+((-5*75.86)*(((-5--5)+(75.86--5))+75.86))))-(-5+-5)))*-5)))/-5)--5)+(-5*(((75.86*(75.86-(-5/-5)))*(75.86-(75.86/(-5*75.86))))-(-5/-5)))))</f>
        <v>2171473.83108</v>
      </c>
      <c r="C17587" t="n" s="0">
        <v>2171473.83108</v>
      </c>
    </row>
    <row r="17588">
      <c r="A17588" t="n" s="0">
        <v>75.87</v>
      </c>
      <c r="B17588" t="n" s="0">
        <f>(-5-((((-5*(-5/((-5/(((-5*(75.87--5))-(-5+((-5*75.87)*(((-5--5)+(75.87--5))+75.87))))-(-5+-5)))*-5)))/-5)--5)+(-5*(((75.87*(75.87-(-5/-5)))*(75.87-(75.87/(-5*75.87))))-(-5/-5)))))</f>
        <v>2172334.1512149996</v>
      </c>
      <c r="C17588" t="n" s="0">
        <v>2172334.1512150005</v>
      </c>
    </row>
    <row r="17589">
      <c r="A17589" t="n" s="0">
        <v>75.88</v>
      </c>
      <c r="B17589" t="n" s="0">
        <f>(-5-((((-5*(-5/((-5/(((-5*(75.88--5))-(-5+((-5*75.88)*(((-5--5)+(75.88--5))+75.88))))-(-5+-5)))*-5)))/-5)--5)+(-5*(((75.88*(75.88-(-5/-5)))*(75.88-(75.88/(-5*75.88))))-(-5/-5)))))</f>
        <v>2173194.69856</v>
      </c>
      <c r="C17589" t="n" s="0">
        <v>2173194.6985599995</v>
      </c>
    </row>
    <row r="17590">
      <c r="A17590" t="n" s="0">
        <v>75.89</v>
      </c>
      <c r="B17590" t="n" s="0">
        <f>(-5-((((-5*(-5/((-5/(((-5*(75.89--5))-(-5+((-5*75.89)*(((-5--5)+(75.89--5))+75.89))))-(-5+-5)))*-5)))/-5)--5)+(-5*(((75.89*(75.89-(-5/-5)))*(75.89-(75.89/(-5*75.89))))-(-5/-5)))))</f>
        <v>2174055.473145</v>
      </c>
      <c r="C17590" t="n" s="0">
        <v>2174055.473145</v>
      </c>
    </row>
    <row r="17591">
      <c r="A17591" t="n" s="0">
        <v>75.9</v>
      </c>
      <c r="B17591" t="n" s="0">
        <f>(-5-((((-5*(-5/((-5/(((-5*(75.9--5))-(-5+((-5*75.9)*(((-5--5)+(75.9--5))+75.9))))-(-5+-5)))*-5)))/-5)--5)+(-5*(((75.9*(75.9-(-5/-5)))*(75.9-(75.9/(-5*75.9))))-(-5/-5)))))</f>
        <v>2174916.475</v>
      </c>
      <c r="C17591" t="n" s="0">
        <v>2174916.4750000006</v>
      </c>
    </row>
    <row r="17592">
      <c r="A17592" t="n" s="0">
        <v>75.91</v>
      </c>
      <c r="B17592" t="n" s="0">
        <f>(-5-((((-5*(-5/((-5/(((-5*(75.91--5))-(-5+((-5*75.91)*(((-5--5)+(75.91--5))+75.91))))-(-5+-5)))*-5)))/-5)--5)+(-5*(((75.91*(75.91-(-5/-5)))*(75.91-(75.91/(-5*75.91))))-(-5/-5)))))</f>
        <v>2175777.7041550004</v>
      </c>
      <c r="C17592" t="n" s="0">
        <v>2175777.7041549995</v>
      </c>
    </row>
    <row r="17593">
      <c r="A17593" t="n" s="0">
        <v>75.92</v>
      </c>
      <c r="B17593" t="n" s="0">
        <f>(-5-((((-5*(-5/((-5/(((-5*(75.92--5))-(-5+((-5*75.92)*(((-5--5)+(75.92--5))+75.92))))-(-5+-5)))*-5)))/-5)--5)+(-5*(((75.92*(75.92-(-5/-5)))*(75.92-(75.92/(-5*75.92))))-(-5/-5)))))</f>
        <v>2176639.16064</v>
      </c>
      <c r="C17593" t="n" s="0">
        <v>2176639.1606400004</v>
      </c>
    </row>
    <row r="17594">
      <c r="A17594" t="n" s="0">
        <v>75.93</v>
      </c>
      <c r="B17594" t="n" s="0">
        <f>(-5-((((-5*(-5/((-5/(((-5*(75.93--5))-(-5+((-5*75.93)*(((-5--5)+(75.93--5))+75.93))))-(-5+-5)))*-5)))/-5)--5)+(-5*(((75.93*(75.93-(-5/-5)))*(75.93-(75.93/(-5*75.93))))-(-5/-5)))))</f>
        <v>2177500.8444850002</v>
      </c>
      <c r="C17594" t="n" s="0">
        <v>2177500.8444850007</v>
      </c>
    </row>
    <row r="17595">
      <c r="A17595" t="n" s="0">
        <v>75.94</v>
      </c>
      <c r="B17595" t="n" s="0">
        <f>(-5-((((-5*(-5/((-5/(((-5*(75.94--5))-(-5+((-5*75.94)*(((-5--5)+(75.94--5))+75.94))))-(-5+-5)))*-5)))/-5)--5)+(-5*(((75.94*(75.94-(-5/-5)))*(75.94-(75.94/(-5*75.94))))-(-5/-5)))))</f>
        <v>2178362.75572</v>
      </c>
      <c r="C17595" t="n" s="0">
        <v>2178362.75572</v>
      </c>
    </row>
    <row r="17596">
      <c r="A17596" t="n" s="0">
        <v>75.95</v>
      </c>
      <c r="B17596" t="n" s="0">
        <f>(-5-((((-5*(-5/((-5/(((-5*(75.95--5))-(-5+((-5*75.95)*(((-5--5)+(75.95--5))+75.95))))-(-5+-5)))*-5)))/-5)--5)+(-5*(((75.95*(75.95-(-5/-5)))*(75.95-(75.95/(-5*75.95))))-(-5/-5)))))</f>
        <v>2179224.894375</v>
      </c>
      <c r="C17596" t="n" s="0">
        <v>2179224.894375</v>
      </c>
    </row>
    <row r="17597">
      <c r="A17597" t="n" s="0">
        <v>75.96</v>
      </c>
      <c r="B17597" t="n" s="0">
        <f>(-5-((((-5*(-5/((-5/(((-5*(75.96--5))-(-5+((-5*75.96)*(((-5--5)+(75.96--5))+75.96))))-(-5+-5)))*-5)))/-5)--5)+(-5*(((75.96*(75.96-(-5/-5)))*(75.96-(75.96/(-5*75.96))))-(-5/-5)))))</f>
        <v>2180087.2604799997</v>
      </c>
      <c r="C17597" t="n" s="0">
        <v>2180087.2604799992</v>
      </c>
    </row>
    <row r="17598">
      <c r="A17598" t="n" s="0">
        <v>75.97</v>
      </c>
      <c r="B17598" t="n" s="0">
        <f>(-5-((((-5*(-5/((-5/(((-5*(75.97--5))-(-5+((-5*75.97)*(((-5--5)+(75.97--5))+75.97))))-(-5+-5)))*-5)))/-5)--5)+(-5*(((75.97*(75.97-(-5/-5)))*(75.97-(75.97/(-5*75.97))))-(-5/-5)))))</f>
        <v>2180949.854065</v>
      </c>
      <c r="C17598" t="n" s="0">
        <v>2180949.854065</v>
      </c>
    </row>
    <row r="17599">
      <c r="A17599" t="n" s="0">
        <v>75.98</v>
      </c>
      <c r="B17599" t="n" s="0">
        <f>(-5-((((-5*(-5/((-5/(((-5*(75.98--5))-(-5+((-5*75.98)*(((-5--5)+(75.98--5))+75.98))))-(-5+-5)))*-5)))/-5)--5)+(-5*(((75.98*(75.98-(-5/-5)))*(75.98-(75.98/(-5*75.98))))-(-5/-5)))))</f>
        <v>2181812.67516</v>
      </c>
      <c r="C17599" t="n" s="0">
        <v>2181812.6751600006</v>
      </c>
    </row>
    <row r="17600">
      <c r="A17600" t="n" s="0">
        <v>75.99</v>
      </c>
      <c r="B17600" t="n" s="0">
        <f>(-5-((((-5*(-5/((-5/(((-5*(75.99--5))-(-5+((-5*75.99)*(((-5--5)+(75.99--5))+75.99))))-(-5+-5)))*-5)))/-5)--5)+(-5*(((75.99*(75.99-(-5/-5)))*(75.99-(75.99/(-5*75.99))))-(-5/-5)))))</f>
        <v>2182675.723795</v>
      </c>
      <c r="C17600" t="n" s="0">
        <v>2182675.7237949995</v>
      </c>
    </row>
    <row r="17601">
      <c r="A17601" t="n" s="0">
        <v>76.0</v>
      </c>
      <c r="B17601" t="n" s="0">
        <f>(-5-((((-5*(-5/((-5/(((-5*(76--5))-(-5+((-5*76)*(((-5--5)+(76--5))+76))))-(-5+-5)))*-5)))/-5)--5)+(-5*(((76*(76-(-5/-5)))*(76-(76/(-5*76))))-(-5/-5)))))</f>
        <v>2183539.0</v>
      </c>
      <c r="C17601" t="n" s="0">
        <v>2183539.0</v>
      </c>
    </row>
    <row r="17602">
      <c r="A17602" t="n" s="0">
        <v>76.01</v>
      </c>
      <c r="B17602" t="n" s="0">
        <f>(-5-((((-5*(-5/((-5/(((-5*(76.01--5))-(-5+((-5*76.01)*(((-5--5)+(76.01--5))+76.01))))-(-5+-5)))*-5)))/-5)--5)+(-5*(((76.01*(76.01-(-5/-5)))*(76.01-(76.01/(-5*76.01))))-(-5/-5)))))</f>
        <v>2184402.5038050003</v>
      </c>
      <c r="C17602" t="n" s="0">
        <v>2184402.503805</v>
      </c>
    </row>
    <row r="17603">
      <c r="A17603" t="n" s="0">
        <v>76.02</v>
      </c>
      <c r="B17603" t="n" s="0">
        <f>(-5-((((-5*(-5/((-5/(((-5*(76.02--5))-(-5+((-5*76.02)*(((-5--5)+(76.02--5))+76.02))))-(-5+-5)))*-5)))/-5)--5)+(-5*(((76.02*(76.02-(-5/-5)))*(76.02-(76.02/(-5*76.02))))-(-5/-5)))))</f>
        <v>2185266.2352400003</v>
      </c>
      <c r="C17603" t="n" s="0">
        <v>2185266.2352399994</v>
      </c>
    </row>
    <row r="17604">
      <c r="A17604" t="n" s="0">
        <v>76.03</v>
      </c>
      <c r="B17604" t="n" s="0">
        <f>(-5-((((-5*(-5/((-5/(((-5*(76.03--5))-(-5+((-5*76.03)*(((-5--5)+(76.03--5))+76.03))))-(-5+-5)))*-5)))/-5)--5)+(-5*(((76.03*(76.03-(-5/-5)))*(76.03-(76.03/(-5*76.03))))-(-5/-5)))))</f>
        <v>2186130.194335</v>
      </c>
      <c r="C17604" t="n" s="0">
        <v>2186130.194335</v>
      </c>
    </row>
    <row r="17605">
      <c r="A17605" t="n" s="0">
        <v>76.04</v>
      </c>
      <c r="B17605" t="n" s="0">
        <f>(-5-((((-5*(-5/((-5/(((-5*(76.04--5))-(-5+((-5*76.04)*(((-5--5)+(76.04--5))+76.04))))-(-5+-5)))*-5)))/-5)--5)+(-5*(((76.04*(76.04-(-5/-5)))*(76.04-(76.04/(-5*76.04))))-(-5/-5)))))</f>
        <v>2186994.38112</v>
      </c>
      <c r="C17605" t="n" s="0">
        <v>2186994.381120001</v>
      </c>
    </row>
    <row r="17606">
      <c r="A17606" t="n" s="0">
        <v>76.05</v>
      </c>
      <c r="B17606" t="n" s="0">
        <f>(-5-((((-5*(-5/((-5/(((-5*(76.05--5))-(-5+((-5*76.05)*(((-5--5)+(76.05--5))+76.05))))-(-5+-5)))*-5)))/-5)--5)+(-5*(((76.05*(76.05-(-5/-5)))*(76.05-(76.05/(-5*76.05))))-(-5/-5)))))</f>
        <v>2187858.795625</v>
      </c>
      <c r="C17606" t="n" s="0">
        <v>2187858.7956249993</v>
      </c>
    </row>
    <row r="17607">
      <c r="A17607" t="n" s="0">
        <v>76.06</v>
      </c>
      <c r="B17607" t="n" s="0">
        <f>(-5-((((-5*(-5/((-5/(((-5*(76.06--5))-(-5+((-5*76.06)*(((-5--5)+(76.06--5))+76.06))))-(-5+-5)))*-5)))/-5)--5)+(-5*(((76.06*(76.06-(-5/-5)))*(76.06-(76.06/(-5*76.06))))-(-5/-5)))))</f>
        <v>2188723.4378799996</v>
      </c>
      <c r="C17607" t="n" s="0">
        <v>2188723.4378800006</v>
      </c>
    </row>
    <row r="17608">
      <c r="A17608" t="n" s="0">
        <v>76.07</v>
      </c>
      <c r="B17608" t="n" s="0">
        <f>(-5-((((-5*(-5/((-5/(((-5*(76.07--5))-(-5+((-5*76.07)*(((-5--5)+(76.07--5))+76.07))))-(-5+-5)))*-5)))/-5)--5)+(-5*(((76.07*(76.07-(-5/-5)))*(76.07-(76.07/(-5*76.07))))-(-5/-5)))))</f>
        <v>2189588.3079150002</v>
      </c>
      <c r="C17608" t="n" s="0">
        <v>2189588.3079149993</v>
      </c>
    </row>
    <row r="17609">
      <c r="A17609" t="n" s="0">
        <v>76.08</v>
      </c>
      <c r="B17609" t="n" s="0">
        <f>(-5-((((-5*(-5/((-5/(((-5*(76.08--5))-(-5+((-5*76.08)*(((-5--5)+(76.08--5))+76.08))))-(-5+-5)))*-5)))/-5)--5)+(-5*(((76.08*(76.08-(-5/-5)))*(76.08-(76.08/(-5*76.08))))-(-5/-5)))))</f>
        <v>2190453.40576</v>
      </c>
      <c r="C17609" t="n" s="0">
        <v>2190453.40576</v>
      </c>
    </row>
    <row r="17610">
      <c r="A17610" t="n" s="0">
        <v>76.09</v>
      </c>
      <c r="B17610" t="n" s="0">
        <f>(-5-((((-5*(-5/((-5/(((-5*(76.09--5))-(-5+((-5*76.09)*(((-5--5)+(76.09--5))+76.09))))-(-5+-5)))*-5)))/-5)--5)+(-5*(((76.09*(76.09-(-5/-5)))*(76.09-(76.09/(-5*76.09))))-(-5/-5)))))</f>
        <v>2191318.731445</v>
      </c>
      <c r="C17610" t="n" s="0">
        <v>2191318.7314450005</v>
      </c>
    </row>
    <row r="17611">
      <c r="A17611" t="n" s="0">
        <v>76.1</v>
      </c>
      <c r="B17611" t="n" s="0">
        <f>(-5-((((-5*(-5/((-5/(((-5*(76.1--5))-(-5+((-5*76.1)*(((-5--5)+(76.1--5))+76.1))))-(-5+-5)))*-5)))/-5)--5)+(-5*(((76.1*(76.1-(-5/-5)))*(76.1-(76.1/(-5*76.1))))-(-5/-5)))))</f>
        <v>2192184.2849999997</v>
      </c>
      <c r="C17611" t="n" s="0">
        <v>2192184.284999999</v>
      </c>
    </row>
    <row r="17612">
      <c r="A17612" t="n" s="0">
        <v>76.11</v>
      </c>
      <c r="B17612" t="n" s="0">
        <f>(-5-((((-5*(-5/((-5/(((-5*(76.11--5))-(-5+((-5*76.11)*(((-5--5)+(76.11--5))+76.11))))-(-5+-5)))*-5)))/-5)--5)+(-5*(((76.11*(76.11-(-5/-5)))*(76.11-(76.11/(-5*76.11))))-(-5/-5)))))</f>
        <v>2193050.066455</v>
      </c>
      <c r="C17612" t="n" s="0">
        <v>2193050.066455</v>
      </c>
    </row>
    <row r="17613">
      <c r="A17613" t="n" s="0">
        <v>76.12</v>
      </c>
      <c r="B17613" t="n" s="0">
        <f>(-5-((((-5*(-5/((-5/(((-5*(76.12--5))-(-5+((-5*76.12)*(((-5--5)+(76.12--5))+76.12))))-(-5+-5)))*-5)))/-5)--5)+(-5*(((76.12*(76.12-(-5/-5)))*(76.12-(76.12/(-5*76.12))))-(-5/-5)))))</f>
        <v>2193916.07584</v>
      </c>
      <c r="C17613" t="n" s="0">
        <v>2193916.07584</v>
      </c>
    </row>
    <row r="17614">
      <c r="A17614" t="n" s="0">
        <v>76.13</v>
      </c>
      <c r="B17614" t="n" s="0">
        <f>(-5-((((-5*(-5/((-5/(((-5*(76.13--5))-(-5+((-5*76.13)*(((-5--5)+(76.13--5))+76.13))))-(-5+-5)))*-5)))/-5)--5)+(-5*(((76.13*(76.13-(-5/-5)))*(76.13-(76.13/(-5*76.13))))-(-5/-5)))))</f>
        <v>2194782.313185</v>
      </c>
      <c r="C17614" t="n" s="0">
        <v>2194782.313185</v>
      </c>
    </row>
    <row r="17615">
      <c r="A17615" t="n" s="0">
        <v>76.14</v>
      </c>
      <c r="B17615" t="n" s="0">
        <f>(-5-((((-5*(-5/((-5/(((-5*(76.14--5))-(-5+((-5*76.14)*(((-5--5)+(76.14--5))+76.14))))-(-5+-5)))*-5)))/-5)--5)+(-5*(((76.14*(76.14-(-5/-5)))*(76.14-(76.14/(-5*76.14))))-(-5/-5)))))</f>
        <v>2195648.77852</v>
      </c>
      <c r="C17615" t="n" s="0">
        <v>2195648.77852</v>
      </c>
    </row>
    <row r="17616">
      <c r="A17616" t="n" s="0">
        <v>76.15</v>
      </c>
      <c r="B17616" t="n" s="0">
        <f>(-5-((((-5*(-5/((-5/(((-5*(76.15--5))-(-5+((-5*76.15)*(((-5--5)+(76.15--5))+76.15))))-(-5+-5)))*-5)))/-5)--5)+(-5*(((76.15*(76.15-(-5/-5)))*(76.15-(76.15/(-5*76.15))))-(-5/-5)))))</f>
        <v>2196515.4718750003</v>
      </c>
      <c r="C17616" t="n" s="0">
        <v>2196515.4718750007</v>
      </c>
    </row>
    <row r="17617">
      <c r="A17617" t="n" s="0">
        <v>76.16</v>
      </c>
      <c r="B17617" t="n" s="0">
        <f>(-5-((((-5*(-5/((-5/(((-5*(76.16--5))-(-5+((-5*76.16)*(((-5--5)+(76.16--5))+76.16))))-(-5+-5)))*-5)))/-5)--5)+(-5*(((76.16*(76.16-(-5/-5)))*(76.16-(76.16/(-5*76.16))))-(-5/-5)))))</f>
        <v>2197382.39328</v>
      </c>
      <c r="C17617" t="n" s="0">
        <v>2197382.39328</v>
      </c>
    </row>
    <row r="17618">
      <c r="A17618" t="n" s="0">
        <v>76.17</v>
      </c>
      <c r="B17618" t="n" s="0">
        <f>(-5-((((-5*(-5/((-5/(((-5*(76.17--5))-(-5+((-5*76.17)*(((-5--5)+(76.17--5))+76.17))))-(-5+-5)))*-5)))/-5)--5)+(-5*(((76.17*(76.17-(-5/-5)))*(76.17-(76.17/(-5*76.17))))-(-5/-5)))))</f>
        <v>2198249.542765</v>
      </c>
      <c r="C17618" t="n" s="0">
        <v>2198249.5427650004</v>
      </c>
    </row>
    <row r="17619">
      <c r="A17619" t="n" s="0">
        <v>76.18</v>
      </c>
      <c r="B17619" t="n" s="0">
        <f>(-5-((((-5*(-5/((-5/(((-5*(76.18--5))-(-5+((-5*76.18)*(((-5--5)+(76.18--5))+76.18))))-(-5+-5)))*-5)))/-5)--5)+(-5*(((76.18*(76.18-(-5/-5)))*(76.18-(76.18/(-5*76.18))))-(-5/-5)))))</f>
        <v>2199116.9203600003</v>
      </c>
      <c r="C17619" t="n" s="0">
        <v>2199116.920360001</v>
      </c>
    </row>
    <row r="17620">
      <c r="A17620" t="n" s="0">
        <v>76.19</v>
      </c>
      <c r="B17620" t="n" s="0">
        <f>(-5-((((-5*(-5/((-5/(((-5*(76.19--5))-(-5+((-5*76.19)*(((-5--5)+(76.19--5))+76.19))))-(-5+-5)))*-5)))/-5)--5)+(-5*(((76.19*(76.19-(-5/-5)))*(76.19-(76.19/(-5*76.19))))-(-5/-5)))))</f>
        <v>2199984.5260949996</v>
      </c>
      <c r="C17620" t="n" s="0">
        <v>2199984.5260949996</v>
      </c>
    </row>
    <row r="17621">
      <c r="A17621" t="n" s="0">
        <v>76.2</v>
      </c>
      <c r="B17621" t="n" s="0">
        <f>(-5-((((-5*(-5/((-5/(((-5*(76.2--5))-(-5+((-5*76.2)*(((-5--5)+(76.2--5))+76.2))))-(-5+-5)))*-5)))/-5)--5)+(-5*(((76.2*(76.2-(-5/-5)))*(76.2-(76.2/(-5*76.2))))-(-5/-5)))))</f>
        <v>2200852.3600000003</v>
      </c>
      <c r="C17621" t="n" s="0">
        <v>2200852.3600000003</v>
      </c>
    </row>
    <row r="17622">
      <c r="A17622" t="n" s="0">
        <v>76.21</v>
      </c>
      <c r="B17622" t="n" s="0">
        <f>(-5-((((-5*(-5/((-5/(((-5*(76.21--5))-(-5+((-5*76.21)*(((-5--5)+(76.21--5))+76.21))))-(-5+-5)))*-5)))/-5)--5)+(-5*(((76.21*(76.21-(-5/-5)))*(76.21-(76.21/(-5*76.21))))-(-5/-5)))))</f>
        <v>2201720.422105</v>
      </c>
      <c r="C17622" t="n" s="0">
        <v>2201720.4221049994</v>
      </c>
    </row>
    <row r="17623">
      <c r="A17623" t="n" s="0">
        <v>76.22</v>
      </c>
      <c r="B17623" t="n" s="0">
        <f>(-5-((((-5*(-5/((-5/(((-5*(76.22--5))-(-5+((-5*76.22)*(((-5--5)+(76.22--5))+76.22))))-(-5+-5)))*-5)))/-5)--5)+(-5*(((76.22*(76.22-(-5/-5)))*(76.22-(76.22/(-5*76.22))))-(-5/-5)))))</f>
        <v>2202588.7124400004</v>
      </c>
      <c r="C17623" t="n" s="0">
        <v>2202588.71244</v>
      </c>
    </row>
    <row r="17624">
      <c r="A17624" t="n" s="0">
        <v>76.23</v>
      </c>
      <c r="B17624" t="n" s="0">
        <f>(-5-((((-5*(-5/((-5/(((-5*(76.23--5))-(-5+((-5*76.23)*(((-5--5)+(76.23--5))+76.23))))-(-5+-5)))*-5)))/-5)--5)+(-5*(((76.23*(76.23-(-5/-5)))*(76.23-(76.23/(-5*76.23))))-(-5/-5)))))</f>
        <v>2203457.2310349997</v>
      </c>
      <c r="C17624" t="n" s="0">
        <v>2203457.2310350006</v>
      </c>
    </row>
    <row r="17625">
      <c r="A17625" t="n" s="0">
        <v>76.24</v>
      </c>
      <c r="B17625" t="n" s="0">
        <f>(-5-((((-5*(-5/((-5/(((-5*(76.24--5))-(-5+((-5*76.24)*(((-5--5)+(76.24--5))+76.24))))-(-5+-5)))*-5)))/-5)--5)+(-5*(((76.24*(76.24-(-5/-5)))*(76.24-(76.24/(-5*76.24))))-(-5/-5)))))</f>
        <v>2204325.97792</v>
      </c>
      <c r="C17625" t="n" s="0">
        <v>2204325.97792</v>
      </c>
    </row>
    <row r="17626">
      <c r="A17626" t="n" s="0">
        <v>76.25</v>
      </c>
      <c r="B17626" t="n" s="0">
        <f>(-5-((((-5*(-5/((-5/(((-5*(76.25--5))-(-5+((-5*76.25)*(((-5--5)+(76.25--5))+76.25))))-(-5+-5)))*-5)))/-5)--5)+(-5*(((76.25*(76.25-(-5/-5)))*(76.25-(76.25/(-5*76.25))))-(-5/-5)))))</f>
        <v>2205194.953125</v>
      </c>
      <c r="C17626" t="n" s="0">
        <v>2205194.953125</v>
      </c>
    </row>
    <row r="17627">
      <c r="A17627" t="n" s="0">
        <v>76.26</v>
      </c>
      <c r="B17627" t="n" s="0">
        <f>(-5-((((-5*(-5/((-5/(((-5*(76.26--5))-(-5+((-5*76.26)*(((-5--5)+(76.26--5))+76.26))))-(-5+-5)))*-5)))/-5)--5)+(-5*(((76.26*(76.26-(-5/-5)))*(76.26-(76.26/(-5*76.26))))-(-5/-5)))))</f>
        <v>2206064.15668</v>
      </c>
      <c r="C17627" t="n" s="0">
        <v>2206064.1566800005</v>
      </c>
    </row>
    <row r="17628">
      <c r="A17628" t="n" s="0">
        <v>76.27</v>
      </c>
      <c r="B17628" t="n" s="0">
        <f>(-5-((((-5*(-5/((-5/(((-5*(76.27--5))-(-5+((-5*76.27)*(((-5--5)+(76.27--5))+76.27))))-(-5+-5)))*-5)))/-5)--5)+(-5*(((76.27*(76.27-(-5/-5)))*(76.27-(76.27/(-5*76.27))))-(-5/-5)))))</f>
        <v>2206933.5886150002</v>
      </c>
      <c r="C17628" t="n" s="0">
        <v>2206933.588615</v>
      </c>
    </row>
    <row r="17629">
      <c r="A17629" t="n" s="0">
        <v>76.28</v>
      </c>
      <c r="B17629" t="n" s="0">
        <f>(-5-((((-5*(-5/((-5/(((-5*(76.28--5))-(-5+((-5*76.28)*(((-5--5)+(76.28--5))+76.28))))-(-5+-5)))*-5)))/-5)--5)+(-5*(((76.28*(76.28-(-5/-5)))*(76.28-(76.28/(-5*76.28))))-(-5/-5)))))</f>
        <v>2207803.24896</v>
      </c>
      <c r="C17629" t="n" s="0">
        <v>2207803.24896</v>
      </c>
    </row>
    <row r="17630">
      <c r="A17630" t="n" s="0">
        <v>76.29</v>
      </c>
      <c r="B17630" t="n" s="0">
        <f>(-5-((((-5*(-5/((-5/(((-5*(76.29--5))-(-5+((-5*76.29)*(((-5--5)+(76.29--5))+76.29))))-(-5+-5)))*-5)))/-5)--5)+(-5*(((76.29*(76.29-(-5/-5)))*(76.29-(76.29/(-5*76.29))))-(-5/-5)))))</f>
        <v>2208673.137745</v>
      </c>
      <c r="C17630" t="n" s="0">
        <v>2208673.137745001</v>
      </c>
    </row>
    <row r="17631">
      <c r="A17631" t="n" s="0">
        <v>76.3</v>
      </c>
      <c r="B17631" t="n" s="0">
        <f>(-5-((((-5*(-5/((-5/(((-5*(76.3--5))-(-5+((-5*76.3)*(((-5--5)+(76.3--5))+76.3))))-(-5+-5)))*-5)))/-5)--5)+(-5*(((76.3*(76.3-(-5/-5)))*(76.3-(76.3/(-5*76.3))))-(-5/-5)))))</f>
        <v>2209543.255</v>
      </c>
      <c r="C17631" t="n" s="0">
        <v>2209543.2549999994</v>
      </c>
    </row>
    <row r="17632">
      <c r="A17632" t="n" s="0">
        <v>76.31</v>
      </c>
      <c r="B17632" t="n" s="0">
        <f>(-5-((((-5*(-5/((-5/(((-5*(76.31--5))-(-5+((-5*76.31)*(((-5--5)+(76.31--5))+76.31))))-(-5+-5)))*-5)))/-5)--5)+(-5*(((76.31*(76.31-(-5/-5)))*(76.31-(76.31/(-5*76.31))))-(-5/-5)))))</f>
        <v>2210413.600755</v>
      </c>
      <c r="C17632" t="n" s="0">
        <v>2210413.600755</v>
      </c>
    </row>
    <row r="17633">
      <c r="A17633" t="n" s="0">
        <v>76.32</v>
      </c>
      <c r="B17633" t="n" s="0">
        <f>(-5-((((-5*(-5/((-5/(((-5*(76.32--5))-(-5+((-5*76.32)*(((-5--5)+(76.32--5))+76.32))))-(-5+-5)))*-5)))/-5)--5)+(-5*(((76.32*(76.32-(-5/-5)))*(76.32-(76.32/(-5*76.32))))-(-5/-5)))))</f>
        <v>2211284.17504</v>
      </c>
      <c r="C17633" t="n" s="0">
        <v>2211284.175039999</v>
      </c>
    </row>
    <row r="17634">
      <c r="A17634" t="n" s="0">
        <v>76.33</v>
      </c>
      <c r="B17634" t="n" s="0">
        <f>(-5-((((-5*(-5/((-5/(((-5*(76.33--5))-(-5+((-5*76.33)*(((-5--5)+(76.33--5))+76.33))))-(-5+-5)))*-5)))/-5)--5)+(-5*(((76.33*(76.33-(-5/-5)))*(76.33-(76.33/(-5*76.33))))-(-5/-5)))))</f>
        <v>2212154.977885</v>
      </c>
      <c r="C17634" t="n" s="0">
        <v>2212154.977885</v>
      </c>
    </row>
    <row r="17635">
      <c r="A17635" t="n" s="0">
        <v>76.34</v>
      </c>
      <c r="B17635" t="n" s="0">
        <f>(-5-((((-5*(-5/((-5/(((-5*(76.34--5))-(-5+((-5*76.34)*(((-5--5)+(76.34--5))+76.34))))-(-5+-5)))*-5)))/-5)--5)+(-5*(((76.34*(76.34-(-5/-5)))*(76.34-(76.34/(-5*76.34))))-(-5/-5)))))</f>
        <v>2213026.00932</v>
      </c>
      <c r="C17635" t="n" s="0">
        <v>2213026.00932</v>
      </c>
    </row>
    <row r="17636">
      <c r="A17636" t="n" s="0">
        <v>76.35</v>
      </c>
      <c r="B17636" t="n" s="0">
        <f>(-5-((((-5*(-5/((-5/(((-5*(76.35--5))-(-5+((-5*76.35)*(((-5--5)+(76.35--5))+76.35))))-(-5+-5)))*-5)))/-5)--5)+(-5*(((76.35*(76.35-(-5/-5)))*(76.35-(76.35/(-5*76.35))))-(-5/-5)))))</f>
        <v>2213897.269375</v>
      </c>
      <c r="C17636" t="n" s="0">
        <v>2213897.269374999</v>
      </c>
    </row>
    <row r="17637">
      <c r="A17637" t="n" s="0">
        <v>76.36</v>
      </c>
      <c r="B17637" t="n" s="0">
        <f>(-5-((((-5*(-5/((-5/(((-5*(76.36--5))-(-5+((-5*76.36)*(((-5--5)+(76.36--5))+76.36))))-(-5+-5)))*-5)))/-5)--5)+(-5*(((76.36*(76.36-(-5/-5)))*(76.36-(76.36/(-5*76.36))))-(-5/-5)))))</f>
        <v>2214768.75808</v>
      </c>
      <c r="C17637" t="n" s="0">
        <v>2214768.7580799996</v>
      </c>
    </row>
    <row r="17638">
      <c r="A17638" t="n" s="0">
        <v>76.37</v>
      </c>
      <c r="B17638" t="n" s="0">
        <f>(-5-((((-5*(-5/((-5/(((-5*(76.37--5))-(-5+((-5*76.37)*(((-5--5)+(76.37--5))+76.37))))-(-5+-5)))*-5)))/-5)--5)+(-5*(((76.37*(76.37-(-5/-5)))*(76.37-(76.37/(-5*76.37))))-(-5/-5)))))</f>
        <v>2215640.475465</v>
      </c>
      <c r="C17638" t="n" s="0">
        <v>2215640.475465</v>
      </c>
    </row>
    <row r="17639">
      <c r="A17639" t="n" s="0">
        <v>76.38</v>
      </c>
      <c r="B17639" t="n" s="0">
        <f>(-5-((((-5*(-5/((-5/(((-5*(76.38--5))-(-5+((-5*76.38)*(((-5--5)+(76.38--5))+76.38))))-(-5+-5)))*-5)))/-5)--5)+(-5*(((76.38*(76.38-(-5/-5)))*(76.38-(76.38/(-5*76.38))))-(-5/-5)))))</f>
        <v>2216512.4215599997</v>
      </c>
      <c r="C17639" t="n" s="0">
        <v>2216512.42156</v>
      </c>
    </row>
    <row r="17640">
      <c r="A17640" t="n" s="0">
        <v>76.39</v>
      </c>
      <c r="B17640" t="n" s="0">
        <f>(-5-((((-5*(-5/((-5/(((-5*(76.39--5))-(-5+((-5*76.39)*(((-5--5)+(76.39--5))+76.39))))-(-5+-5)))*-5)))/-5)--5)+(-5*(((76.39*(76.39-(-5/-5)))*(76.39-(76.39/(-5*76.39))))-(-5/-5)))))</f>
        <v>2217384.596395</v>
      </c>
      <c r="C17640" t="n" s="0">
        <v>2217384.596395</v>
      </c>
    </row>
    <row r="17641">
      <c r="A17641" t="n" s="0">
        <v>76.4</v>
      </c>
      <c r="B17641" t="n" s="0">
        <f>(-5-((((-5*(-5/((-5/(((-5*(76.4--5))-(-5+((-5*76.4)*(((-5--5)+(76.4--5))+76.4))))-(-5+-5)))*-5)))/-5)--5)+(-5*(((76.4*(76.4-(-5/-5)))*(76.4-(76.4/(-5*76.4))))-(-5/-5)))))</f>
        <v>2218257.0</v>
      </c>
      <c r="C17641" t="n" s="0">
        <v>2218257.000000001</v>
      </c>
    </row>
    <row r="17642">
      <c r="A17642" t="n" s="0">
        <v>76.41</v>
      </c>
      <c r="B17642" t="n" s="0">
        <f>(-5-((((-5*(-5/((-5/(((-5*(76.41--5))-(-5+((-5*76.41)*(((-5--5)+(76.41--5))+76.41))))-(-5+-5)))*-5)))/-5)--5)+(-5*(((76.41*(76.41-(-5/-5)))*(76.41-(76.41/(-5*76.41))))-(-5/-5)))))</f>
        <v>2219129.6324050003</v>
      </c>
      <c r="C17642" t="n" s="0">
        <v>2219129.632405</v>
      </c>
    </row>
    <row r="17643">
      <c r="A17643" t="n" s="0">
        <v>76.42</v>
      </c>
      <c r="B17643" t="n" s="0">
        <f>(-5-((((-5*(-5/((-5/(((-5*(76.42--5))-(-5+((-5*76.42)*(((-5--5)+(76.42--5))+76.42))))-(-5+-5)))*-5)))/-5)--5)+(-5*(((76.42*(76.42-(-5/-5)))*(76.42-(76.42/(-5*76.42))))-(-5/-5)))))</f>
        <v>2220002.49364</v>
      </c>
      <c r="C17643" t="n" s="0">
        <v>2220002.49364</v>
      </c>
    </row>
    <row r="17644">
      <c r="A17644" t="n" s="0">
        <v>76.43</v>
      </c>
      <c r="B17644" t="n" s="0">
        <f>(-5-((((-5*(-5/((-5/(((-5*(76.43--5))-(-5+((-5*76.43)*(((-5--5)+(76.43--5))+76.43))))-(-5+-5)))*-5)))/-5)--5)+(-5*(((76.43*(76.43-(-5/-5)))*(76.43-(76.43/(-5*76.43))))-(-5/-5)))))</f>
        <v>2220875.583735</v>
      </c>
      <c r="C17644" t="n" s="0">
        <v>2220875.5837350003</v>
      </c>
    </row>
    <row r="17645">
      <c r="A17645" t="n" s="0">
        <v>76.44</v>
      </c>
      <c r="B17645" t="n" s="0">
        <f>(-5-((((-5*(-5/((-5/(((-5*(76.44--5))-(-5+((-5*76.44)*(((-5--5)+(76.44--5))+76.44))))-(-5+-5)))*-5)))/-5)--5)+(-5*(((76.44*(76.44-(-5/-5)))*(76.44-(76.44/(-5*76.44))))-(-5/-5)))))</f>
        <v>2221748.9027199997</v>
      </c>
      <c r="C17645" t="n" s="0">
        <v>2221748.9027199997</v>
      </c>
    </row>
    <row r="17646">
      <c r="A17646" t="n" s="0">
        <v>76.45</v>
      </c>
      <c r="B17646" t="n" s="0">
        <f>(-5-((((-5*(-5/((-5/(((-5*(76.45--5))-(-5+((-5*76.45)*(((-5--5)+(76.45--5))+76.45))))-(-5+-5)))*-5)))/-5)--5)+(-5*(((76.45*(76.45-(-5/-5)))*(76.45-(76.45/(-5*76.45))))-(-5/-5)))))</f>
        <v>2222622.450625</v>
      </c>
      <c r="C17646" t="n" s="0">
        <v>2222622.450625</v>
      </c>
    </row>
    <row r="17647">
      <c r="A17647" t="n" s="0">
        <v>76.46</v>
      </c>
      <c r="B17647" t="n" s="0">
        <f>(-5-((((-5*(-5/((-5/(((-5*(76.46--5))-(-5+((-5*76.46)*(((-5--5)+(76.46--5))+76.46))))-(-5+-5)))*-5)))/-5)--5)+(-5*(((76.46*(76.46-(-5/-5)))*(76.46-(76.46/(-5*76.46))))-(-5/-5)))))</f>
        <v>2223496.22748</v>
      </c>
      <c r="C17647" t="n" s="0">
        <v>2223496.2274799994</v>
      </c>
    </row>
    <row r="17648">
      <c r="A17648" t="n" s="0">
        <v>76.47</v>
      </c>
      <c r="B17648" t="n" s="0">
        <f>(-5-((((-5*(-5/((-5/(((-5*(76.47--5))-(-5+((-5*76.47)*(((-5--5)+(76.47--5))+76.47))))-(-5+-5)))*-5)))/-5)--5)+(-5*(((76.47*(76.47-(-5/-5)))*(76.47-(76.47/(-5*76.47))))-(-5/-5)))))</f>
        <v>2224370.233315</v>
      </c>
      <c r="C17648" t="n" s="0">
        <v>2224370.233315</v>
      </c>
    </row>
    <row r="17649">
      <c r="A17649" t="n" s="0">
        <v>76.48</v>
      </c>
      <c r="B17649" t="n" s="0">
        <f>(-5-((((-5*(-5/((-5/(((-5*(76.48--5))-(-5+((-5*76.48)*(((-5--5)+(76.48--5))+76.48))))-(-5+-5)))*-5)))/-5)--5)+(-5*(((76.48*(76.48-(-5/-5)))*(76.48-(76.48/(-5*76.48))))-(-5/-5)))))</f>
        <v>2225244.4681599997</v>
      </c>
      <c r="C17649" t="n" s="0">
        <v>2225244.46816</v>
      </c>
    </row>
    <row r="17650">
      <c r="A17650" t="n" s="0">
        <v>76.49</v>
      </c>
      <c r="B17650" t="n" s="0">
        <f>(-5-((((-5*(-5/((-5/(((-5*(76.49--5))-(-5+((-5*76.49)*(((-5--5)+(76.49--5))+76.49))))-(-5+-5)))*-5)))/-5)--5)+(-5*(((76.49*(76.49-(-5/-5)))*(76.49-(76.49/(-5*76.49))))-(-5/-5)))))</f>
        <v>2226118.932045</v>
      </c>
      <c r="C17650" t="n" s="0">
        <v>2226118.9320449997</v>
      </c>
    </row>
    <row r="17651">
      <c r="A17651" t="n" s="0">
        <v>76.5</v>
      </c>
      <c r="B17651" t="n" s="0">
        <f>(-5-((((-5*(-5/((-5/(((-5*(76.5--5))-(-5+((-5*76.5)*(((-5--5)+(76.5--5))+76.5))))-(-5+-5)))*-5)))/-5)--5)+(-5*(((76.5*(76.5-(-5/-5)))*(76.5-(76.5/(-5*76.5))))-(-5/-5)))))</f>
        <v>2226993.625</v>
      </c>
      <c r="C17651" t="n" s="0">
        <v>2226993.625</v>
      </c>
    </row>
    <row r="17652">
      <c r="A17652" t="n" s="0">
        <v>76.51</v>
      </c>
      <c r="B17652" t="n" s="0">
        <f>(-5-((((-5*(-5/((-5/(((-5*(76.51--5))-(-5+((-5*76.51)*(((-5--5)+(76.51--5))+76.51))))-(-5+-5)))*-5)))/-5)--5)+(-5*(((76.51*(76.51-(-5/-5)))*(76.51-(76.51/(-5*76.51))))-(-5/-5)))))</f>
        <v>2227868.5470550004</v>
      </c>
      <c r="C17652" t="n" s="0">
        <v>2227868.547055</v>
      </c>
    </row>
    <row r="17653">
      <c r="A17653" t="n" s="0">
        <v>76.52</v>
      </c>
      <c r="B17653" t="n" s="0">
        <f>(-5-((((-5*(-5/((-5/(((-5*(76.52--5))-(-5+((-5*76.52)*(((-5--5)+(76.52--5))+76.52))))-(-5+-5)))*-5)))/-5)--5)+(-5*(((76.52*(76.52-(-5/-5)))*(76.52-(76.52/(-5*76.52))))-(-5/-5)))))</f>
        <v>2228743.6982400003</v>
      </c>
      <c r="C17653" t="n" s="0">
        <v>2228743.69824</v>
      </c>
    </row>
    <row r="17654">
      <c r="A17654" t="n" s="0">
        <v>76.53</v>
      </c>
      <c r="B17654" t="n" s="0">
        <f>(-5-((((-5*(-5/((-5/(((-5*(76.53--5))-(-5+((-5*76.53)*(((-5--5)+(76.53--5))+76.53))))-(-5+-5)))*-5)))/-5)--5)+(-5*(((76.53*(76.53-(-5/-5)))*(76.53-(76.53/(-5*76.53))))-(-5/-5)))))</f>
        <v>2229619.0785850002</v>
      </c>
      <c r="C17654" t="n" s="0">
        <v>2229619.0785850002</v>
      </c>
    </row>
    <row r="17655">
      <c r="A17655" t="n" s="0">
        <v>76.54</v>
      </c>
      <c r="B17655" t="n" s="0">
        <f>(-5-((((-5*(-5/((-5/(((-5*(76.54--5))-(-5+((-5*76.54)*(((-5--5)+(76.54--5))+76.54))))-(-5+-5)))*-5)))/-5)--5)+(-5*(((76.54*(76.54-(-5/-5)))*(76.54-(76.54/(-5*76.54))))-(-5/-5)))))</f>
        <v>2230494.68812</v>
      </c>
      <c r="C17655" t="n" s="0">
        <v>2230494.688120001</v>
      </c>
    </row>
    <row r="17656">
      <c r="A17656" t="n" s="0">
        <v>76.55</v>
      </c>
      <c r="B17656" t="n" s="0">
        <f>(-5-((((-5*(-5/((-5/(((-5*(76.55--5))-(-5+((-5*76.55)*(((-5--5)+(76.55--5))+76.55))))-(-5+-5)))*-5)))/-5)--5)+(-5*(((76.55*(76.55-(-5/-5)))*(76.55-(76.55/(-5*76.55))))-(-5/-5)))))</f>
        <v>2231370.526875</v>
      </c>
      <c r="C17656" t="n" s="0">
        <v>2231370.5268749995</v>
      </c>
    </row>
    <row r="17657">
      <c r="A17657" t="n" s="0">
        <v>76.56</v>
      </c>
      <c r="B17657" t="n" s="0">
        <f>(-5-((((-5*(-5/((-5/(((-5*(76.56--5))-(-5+((-5*76.56)*(((-5--5)+(76.56--5))+76.56))))-(-5+-5)))*-5)))/-5)--5)+(-5*(((76.56*(76.56-(-5/-5)))*(76.56-(76.56/(-5*76.56))))-(-5/-5)))))</f>
        <v>2232246.5948799998</v>
      </c>
      <c r="C17657" t="n" s="0">
        <v>2232246.59488</v>
      </c>
    </row>
    <row r="17658">
      <c r="A17658" t="n" s="0">
        <v>76.57</v>
      </c>
      <c r="B17658" t="n" s="0">
        <f>(-5-((((-5*(-5/((-5/(((-5*(76.57--5))-(-5+((-5*76.57)*(((-5--5)+(76.57--5))+76.57))))-(-5+-5)))*-5)))/-5)--5)+(-5*(((76.57*(76.57-(-5/-5)))*(76.57-(76.57/(-5*76.57))))-(-5/-5)))))</f>
        <v>2233122.8921649996</v>
      </c>
      <c r="C17658" t="n" s="0">
        <v>2233122.892164999</v>
      </c>
    </row>
    <row r="17659">
      <c r="A17659" t="n" s="0">
        <v>76.58</v>
      </c>
      <c r="B17659" t="n" s="0">
        <f>(-5-((((-5*(-5/((-5/(((-5*(76.58--5))-(-5+((-5*76.58)*(((-5--5)+(76.58--5))+76.58))))-(-5+-5)))*-5)))/-5)--5)+(-5*(((76.58*(76.58-(-5/-5)))*(76.58-(76.58/(-5*76.58))))-(-5/-5)))))</f>
        <v>2233999.41876</v>
      </c>
      <c r="C17659" t="n" s="0">
        <v>2233999.41876</v>
      </c>
    </row>
    <row r="17660">
      <c r="A17660" t="n" s="0">
        <v>76.59</v>
      </c>
      <c r="B17660" t="n" s="0">
        <f>(-5-((((-5*(-5/((-5/(((-5*(76.59--5))-(-5+((-5*76.59)*(((-5--5)+(76.59--5))+76.59))))-(-5+-5)))*-5)))/-5)--5)+(-5*(((76.59*(76.59-(-5/-5)))*(76.59-(76.59/(-5*76.59))))-(-5/-5)))))</f>
        <v>2234876.174695</v>
      </c>
      <c r="C17660" t="n" s="0">
        <v>2234876.1746950005</v>
      </c>
    </row>
    <row r="17661">
      <c r="A17661" t="n" s="0">
        <v>76.6</v>
      </c>
      <c r="B17661" t="n" s="0">
        <f>(-5-((((-5*(-5/((-5/(((-5*(76.6--5))-(-5+((-5*76.6)*(((-5--5)+(76.6--5))+76.6))))-(-5+-5)))*-5)))/-5)--5)+(-5*(((76.6*(76.6-(-5/-5)))*(76.6-(76.6/(-5*76.6))))-(-5/-5)))))</f>
        <v>2235753.16</v>
      </c>
      <c r="C17661" t="n" s="0">
        <v>2235753.159999999</v>
      </c>
    </row>
    <row r="17662">
      <c r="A17662" t="n" s="0">
        <v>76.61</v>
      </c>
      <c r="B17662" t="n" s="0">
        <f>(-5-((((-5*(-5/((-5/(((-5*(76.61--5))-(-5+((-5*76.61)*(((-5--5)+(76.61--5))+76.61))))-(-5+-5)))*-5)))/-5)--5)+(-5*(((76.61*(76.61-(-5/-5)))*(76.61-(76.61/(-5*76.61))))-(-5/-5)))))</f>
        <v>2236630.374705</v>
      </c>
      <c r="C17662" t="n" s="0">
        <v>2236630.374705</v>
      </c>
    </row>
    <row r="17663">
      <c r="A17663" t="n" s="0">
        <v>76.62</v>
      </c>
      <c r="B17663" t="n" s="0">
        <f>(-5-((((-5*(-5/((-5/(((-5*(76.62--5))-(-5+((-5*76.62)*(((-5--5)+(76.62--5))+76.62))))-(-5+-5)))*-5)))/-5)--5)+(-5*(((76.62*(76.62-(-5/-5)))*(76.62-(76.62/(-5*76.62))))-(-5/-5)))))</f>
        <v>2237507.8188400003</v>
      </c>
      <c r="C17663" t="n" s="0">
        <v>2237507.8188400003</v>
      </c>
    </row>
    <row r="17664">
      <c r="A17664" t="n" s="0">
        <v>76.63</v>
      </c>
      <c r="B17664" t="n" s="0">
        <f>(-5-((((-5*(-5/((-5/(((-5*(76.63--5))-(-5+((-5*76.63)*(((-5--5)+(76.63--5))+76.63))))-(-5+-5)))*-5)))/-5)--5)+(-5*(((76.63*(76.63-(-5/-5)))*(76.63-(76.63/(-5*76.63))))-(-5/-5)))))</f>
        <v>2238385.4924350004</v>
      </c>
      <c r="C17664" t="n" s="0">
        <v>2238385.492435</v>
      </c>
    </row>
    <row r="17665">
      <c r="A17665" t="n" s="0">
        <v>76.64</v>
      </c>
      <c r="B17665" t="n" s="0">
        <f>(-5-((((-5*(-5/((-5/(((-5*(76.64--5))-(-5+((-5*76.64)*(((-5--5)+(76.64--5))+76.64))))-(-5+-5)))*-5)))/-5)--5)+(-5*(((76.64*(76.64-(-5/-5)))*(76.64-(76.64/(-5*76.64))))-(-5/-5)))))</f>
        <v>2239263.39552</v>
      </c>
      <c r="C17665" t="n" s="0">
        <v>2239263.3955200003</v>
      </c>
    </row>
    <row r="17666">
      <c r="A17666" t="n" s="0">
        <v>76.65</v>
      </c>
      <c r="B17666" t="n" s="0">
        <f>(-5-((((-5*(-5/((-5/(((-5*(76.65--5))-(-5+((-5*76.65)*(((-5--5)+(76.65--5))+76.65))))-(-5+-5)))*-5)))/-5)--5)+(-5*(((76.65*(76.65-(-5/-5)))*(76.65-(76.65/(-5*76.65))))-(-5/-5)))))</f>
        <v>2240141.5281249997</v>
      </c>
      <c r="C17666" t="n" s="0">
        <v>2240141.5281250007</v>
      </c>
    </row>
    <row r="17667">
      <c r="A17667" t="n" s="0">
        <v>76.66</v>
      </c>
      <c r="B17667" t="n" s="0">
        <f>(-5-((((-5*(-5/((-5/(((-5*(76.66--5))-(-5+((-5*76.66)*(((-5--5)+(76.66--5))+76.66))))-(-5+-5)))*-5)))/-5)--5)+(-5*(((76.66*(76.66-(-5/-5)))*(76.66-(76.66/(-5*76.66))))-(-5/-5)))))</f>
        <v>2241019.8902800004</v>
      </c>
      <c r="C17667" t="n" s="0">
        <v>2241019.89028</v>
      </c>
    </row>
    <row r="17668">
      <c r="A17668" t="n" s="0">
        <v>76.67</v>
      </c>
      <c r="B17668" t="n" s="0">
        <f>(-5-((((-5*(-5/((-5/(((-5*(76.67--5))-(-5+((-5*76.67)*(((-5--5)+(76.67--5))+76.67))))-(-5+-5)))*-5)))/-5)--5)+(-5*(((76.67*(76.67-(-5/-5)))*(76.67-(76.67/(-5*76.67))))-(-5/-5)))))</f>
        <v>2241898.4820149997</v>
      </c>
      <c r="C17668" t="n" s="0">
        <v>2241898.4820149997</v>
      </c>
    </row>
    <row r="17669">
      <c r="A17669" t="n" s="0">
        <v>76.68</v>
      </c>
      <c r="B17669" t="n" s="0">
        <f>(-5-((((-5*(-5/((-5/(((-5*(76.68--5))-(-5+((-5*76.68)*(((-5--5)+(76.68--5))+76.68))))-(-5+-5)))*-5)))/-5)--5)+(-5*(((76.68*(76.68-(-5/-5)))*(76.68-(76.68/(-5*76.68))))-(-5/-5)))))</f>
        <v>2242777.3033600003</v>
      </c>
      <c r="C17669" t="n" s="0">
        <v>2242777.3033600007</v>
      </c>
    </row>
    <row r="17670">
      <c r="A17670" t="n" s="0">
        <v>76.69</v>
      </c>
      <c r="B17670" t="n" s="0">
        <f>(-5-((((-5*(-5/((-5/(((-5*(76.69--5))-(-5+((-5*76.69)*(((-5--5)+(76.69--5))+76.69))))-(-5+-5)))*-5)))/-5)--5)+(-5*(((76.69*(76.69-(-5/-5)))*(76.69-(76.69/(-5*76.69))))-(-5/-5)))))</f>
        <v>2243656.3543450003</v>
      </c>
      <c r="C17670" t="n" s="0">
        <v>2243656.354345</v>
      </c>
    </row>
    <row r="17671">
      <c r="A17671" t="n" s="0">
        <v>76.7</v>
      </c>
      <c r="B17671" t="n" s="0">
        <f>(-5-((((-5*(-5/((-5/(((-5*(76.7--5))-(-5+((-5*76.7)*(((-5--5)+(76.7--5))+76.7))))-(-5+-5)))*-5)))/-5)--5)+(-5*(((76.7*(76.7-(-5/-5)))*(76.7-(76.7/(-5*76.7))))-(-5/-5)))))</f>
        <v>2244535.6350000002</v>
      </c>
      <c r="C17671" t="n" s="0">
        <v>2244535.6350000007</v>
      </c>
    </row>
    <row r="17672">
      <c r="A17672" t="n" s="0">
        <v>76.71</v>
      </c>
      <c r="B17672" t="n" s="0">
        <f>(-5-((((-5*(-5/((-5/(((-5*(76.71--5))-(-5+((-5*76.71)*(((-5--5)+(76.71--5))+76.71))))-(-5+-5)))*-5)))/-5)--5)+(-5*(((76.71*(76.71-(-5/-5)))*(76.71-(76.71/(-5*76.71))))-(-5/-5)))))</f>
        <v>2245415.145355</v>
      </c>
      <c r="C17672" t="n" s="0">
        <v>2245415.1453549997</v>
      </c>
    </row>
    <row r="17673">
      <c r="A17673" t="n" s="0">
        <v>76.72</v>
      </c>
      <c r="B17673" t="n" s="0">
        <f>(-5-((((-5*(-5/((-5/(((-5*(76.72--5))-(-5+((-5*76.72)*(((-5--5)+(76.72--5))+76.72))))-(-5+-5)))*-5)))/-5)--5)+(-5*(((76.72*(76.72-(-5/-5)))*(76.72-(76.72/(-5*76.72))))-(-5/-5)))))</f>
        <v>2246294.8854400003</v>
      </c>
      <c r="C17673" t="n" s="0">
        <v>2246294.8854400003</v>
      </c>
    </row>
    <row r="17674">
      <c r="A17674" t="n" s="0">
        <v>76.73</v>
      </c>
      <c r="B17674" t="n" s="0">
        <f>(-5-((((-5*(-5/((-5/(((-5*(76.73--5))-(-5+((-5*76.73)*(((-5--5)+(76.73--5))+76.73))))-(-5+-5)))*-5)))/-5)--5)+(-5*(((76.73*(76.73-(-5/-5)))*(76.73-(76.73/(-5*76.73))))-(-5/-5)))))</f>
        <v>2247174.855285</v>
      </c>
      <c r="C17674" t="n" s="0">
        <v>2247174.8552850005</v>
      </c>
    </row>
    <row r="17675">
      <c r="A17675" t="n" s="0">
        <v>76.74</v>
      </c>
      <c r="B17675" t="n" s="0">
        <f>(-5-((((-5*(-5/((-5/(((-5*(76.74--5))-(-5+((-5*76.74)*(((-5--5)+(76.74--5))+76.74))))-(-5+-5)))*-5)))/-5)--5)+(-5*(((76.74*(76.74-(-5/-5)))*(76.74-(76.74/(-5*76.74))))-(-5/-5)))))</f>
        <v>2248055.0549199996</v>
      </c>
      <c r="C17675" t="n" s="0">
        <v>2248055.05492</v>
      </c>
    </row>
    <row r="17676">
      <c r="A17676" t="n" s="0">
        <v>76.75</v>
      </c>
      <c r="B17676" t="n" s="0">
        <f>(-5-((((-5*(-5/((-5/(((-5*(76.75--5))-(-5+((-5*76.75)*(((-5--5)+(76.75--5))+76.75))))-(-5+-5)))*-5)))/-5)--5)+(-5*(((76.75*(76.75-(-5/-5)))*(76.75-(76.75/(-5*76.75))))-(-5/-5)))))</f>
        <v>2248935.484375</v>
      </c>
      <c r="C17676" t="n" s="0">
        <v>2248935.484375</v>
      </c>
    </row>
    <row r="17677">
      <c r="A17677" t="n" s="0">
        <v>76.76</v>
      </c>
      <c r="B17677" t="n" s="0">
        <f>(-5-((((-5*(-5/((-5/(((-5*(76.76--5))-(-5+((-5*76.76)*(((-5--5)+(76.76--5))+76.76))))-(-5+-5)))*-5)))/-5)--5)+(-5*(((76.76*(76.76-(-5/-5)))*(76.76-(76.76/(-5*76.76))))-(-5/-5)))))</f>
        <v>2249816.14368</v>
      </c>
      <c r="C17677" t="n" s="0">
        <v>2249816.14368</v>
      </c>
    </row>
    <row r="17678">
      <c r="A17678" t="n" s="0">
        <v>76.77</v>
      </c>
      <c r="B17678" t="n" s="0">
        <f>(-5-((((-5*(-5/((-5/(((-5*(76.77--5))-(-5+((-5*76.77)*(((-5--5)+(76.77--5))+76.77))))-(-5+-5)))*-5)))/-5)--5)+(-5*(((76.77*(76.77-(-5/-5)))*(76.77-(76.77/(-5*76.77))))-(-5/-5)))))</f>
        <v>2250697.032865</v>
      </c>
      <c r="C17678" t="n" s="0">
        <v>2250697.0328649995</v>
      </c>
    </row>
    <row r="17679">
      <c r="A17679" t="n" s="0">
        <v>76.78</v>
      </c>
      <c r="B17679" t="n" s="0">
        <f>(-5-((((-5*(-5/((-5/(((-5*(76.78--5))-(-5+((-5*76.78)*(((-5--5)+(76.78--5))+76.78))))-(-5+-5)))*-5)))/-5)--5)+(-5*(((76.78*(76.78-(-5/-5)))*(76.78-(76.78/(-5*76.78))))-(-5/-5)))))</f>
        <v>2251578.15196</v>
      </c>
      <c r="C17679" t="n" s="0">
        <v>2251578.15196</v>
      </c>
    </row>
    <row r="17680">
      <c r="A17680" t="n" s="0">
        <v>76.79</v>
      </c>
      <c r="B17680" t="n" s="0">
        <f>(-5-((((-5*(-5/((-5/(((-5*(76.79--5))-(-5+((-5*76.79)*(((-5--5)+(76.79--5))+76.79))))-(-5+-5)))*-5)))/-5)--5)+(-5*(((76.79*(76.79-(-5/-5)))*(76.79-(76.79/(-5*76.79))))-(-5/-5)))))</f>
        <v>2252459.500995</v>
      </c>
      <c r="C17680" t="n" s="0">
        <v>2252459.500995001</v>
      </c>
    </row>
    <row r="17681">
      <c r="A17681" t="n" s="0">
        <v>76.8</v>
      </c>
      <c r="B17681" t="n" s="0">
        <f>(-5-((((-5*(-5/((-5/(((-5*(76.8--5))-(-5+((-5*76.8)*(((-5--5)+(76.8--5))+76.8))))-(-5+-5)))*-5)))/-5)--5)+(-5*(((76.8*(76.8-(-5/-5)))*(76.8-(76.8/(-5*76.8))))-(-5/-5)))))</f>
        <v>2253341.08</v>
      </c>
      <c r="C17681" t="n" s="0">
        <v>2253341.0799999996</v>
      </c>
    </row>
    <row r="17682">
      <c r="A17682" t="n" s="0">
        <v>76.81</v>
      </c>
      <c r="B17682" t="n" s="0">
        <f>(-5-((((-5*(-5/((-5/(((-5*(76.81--5))-(-5+((-5*76.81)*(((-5--5)+(76.81--5))+76.81))))-(-5+-5)))*-5)))/-5)--5)+(-5*(((76.81*(76.81-(-5/-5)))*(76.81-(76.81/(-5*76.81))))-(-5/-5)))))</f>
        <v>2254222.8890050002</v>
      </c>
      <c r="C17682" t="n" s="0">
        <v>2254222.8890050007</v>
      </c>
    </row>
    <row r="17683">
      <c r="A17683" t="n" s="0">
        <v>76.82</v>
      </c>
      <c r="B17683" t="n" s="0">
        <f>(-5-((((-5*(-5/((-5/(((-5*(76.82--5))-(-5+((-5*76.82)*(((-5--5)+(76.82--5))+76.82))))-(-5+-5)))*-5)))/-5)--5)+(-5*(((76.82*(76.82-(-5/-5)))*(76.82-(76.82/(-5*76.82))))-(-5/-5)))))</f>
        <v>2255104.92804</v>
      </c>
      <c r="C17683" t="n" s="0">
        <v>2255104.928039999</v>
      </c>
    </row>
    <row r="17684">
      <c r="A17684" t="n" s="0">
        <v>76.83</v>
      </c>
      <c r="B17684" t="n" s="0">
        <f>(-5-((((-5*(-5/((-5/(((-5*(76.83--5))-(-5+((-5*76.83)*(((-5--5)+(76.83--5))+76.83))))-(-5+-5)))*-5)))/-5)--5)+(-5*(((76.83*(76.83-(-5/-5)))*(76.83-(76.83/(-5*76.83))))-(-5/-5)))))</f>
        <v>2255987.197135</v>
      </c>
      <c r="C17684" t="n" s="0">
        <v>2255987.1971349996</v>
      </c>
    </row>
    <row r="17685">
      <c r="A17685" t="n" s="0">
        <v>76.84</v>
      </c>
      <c r="B17685" t="n" s="0">
        <f>(-5-((((-5*(-5/((-5/(((-5*(76.84--5))-(-5+((-5*76.84)*(((-5--5)+(76.84--5))+76.84))))-(-5+-5)))*-5)))/-5)--5)+(-5*(((76.84*(76.84-(-5/-5)))*(76.84-(76.84/(-5*76.84))))-(-5/-5)))))</f>
        <v>2256869.69632</v>
      </c>
      <c r="C17685" t="n" s="0">
        <v>2256869.6963200006</v>
      </c>
    </row>
    <row r="17686">
      <c r="A17686" t="n" s="0">
        <v>76.85</v>
      </c>
      <c r="B17686" t="n" s="0">
        <f>(-5-((((-5*(-5/((-5/(((-5*(76.85--5))-(-5+((-5*76.85)*(((-5--5)+(76.85--5))+76.85))))-(-5+-5)))*-5)))/-5)--5)+(-5*(((76.85*(76.85-(-5/-5)))*(76.85-(76.85/(-5*76.85))))-(-5/-5)))))</f>
        <v>2257752.425625</v>
      </c>
      <c r="C17686" t="n" s="0">
        <v>2257752.4256249988</v>
      </c>
    </row>
    <row r="17687">
      <c r="A17687" t="n" s="0">
        <v>76.86</v>
      </c>
      <c r="B17687" t="n" s="0">
        <f>(-5-((((-5*(-5/((-5/(((-5*(76.86--5))-(-5+((-5*76.86)*(((-5--5)+(76.86--5))+76.86))))-(-5+-5)))*-5)))/-5)--5)+(-5*(((76.86*(76.86-(-5/-5)))*(76.86-(76.86/(-5*76.86))))-(-5/-5)))))</f>
        <v>2258635.38508</v>
      </c>
      <c r="C17687" t="n" s="0">
        <v>2258635.38508</v>
      </c>
    </row>
    <row r="17688">
      <c r="A17688" t="n" s="0">
        <v>76.87</v>
      </c>
      <c r="B17688" t="n" s="0">
        <f>(-5-((((-5*(-5/((-5/(((-5*(76.87--5))-(-5+((-5*76.87)*(((-5--5)+(76.87--5))+76.87))))-(-5+-5)))*-5)))/-5)--5)+(-5*(((76.87*(76.87-(-5/-5)))*(76.87-(76.87/(-5*76.87))))-(-5/-5)))))</f>
        <v>2259518.5747149996</v>
      </c>
      <c r="C17688" t="n" s="0">
        <v>2259518.5747150006</v>
      </c>
    </row>
    <row r="17689">
      <c r="A17689" t="n" s="0">
        <v>76.88</v>
      </c>
      <c r="B17689" t="n" s="0">
        <f>(-5-((((-5*(-5/((-5/(((-5*(76.88--5))-(-5+((-5*76.88)*(((-5--5)+(76.88--5))+76.88))))-(-5+-5)))*-5)))/-5)--5)+(-5*(((76.88*(76.88-(-5/-5)))*(76.88-(76.88/(-5*76.88))))-(-5/-5)))))</f>
        <v>2260401.99456</v>
      </c>
      <c r="C17689" t="n" s="0">
        <v>2260401.9945599996</v>
      </c>
    </row>
    <row r="17690">
      <c r="A17690" t="n" s="0">
        <v>76.89</v>
      </c>
      <c r="B17690" t="n" s="0">
        <f>(-5-((((-5*(-5/((-5/(((-5*(76.89--5))-(-5+((-5*76.89)*(((-5--5)+(76.89--5))+76.89))))-(-5+-5)))*-5)))/-5)--5)+(-5*(((76.89*(76.89-(-5/-5)))*(76.89-(76.89/(-5*76.89))))-(-5/-5)))))</f>
        <v>2261285.644645</v>
      </c>
      <c r="C17690" t="n" s="0">
        <v>2261285.644645</v>
      </c>
    </row>
    <row r="17691">
      <c r="A17691" t="n" s="0">
        <v>76.9</v>
      </c>
      <c r="B17691" t="n" s="0">
        <f>(-5-((((-5*(-5/((-5/(((-5*(76.9--5))-(-5+((-5*76.9)*(((-5--5)+(76.9--5))+76.9))))-(-5+-5)))*-5)))/-5)--5)+(-5*(((76.9*(76.9-(-5/-5)))*(76.9-(76.9/(-5*76.9))))-(-5/-5)))))</f>
        <v>2262169.525</v>
      </c>
      <c r="C17691" t="n" s="0">
        <v>2262169.5250000004</v>
      </c>
    </row>
    <row r="17692">
      <c r="A17692" t="n" s="0">
        <v>76.91</v>
      </c>
      <c r="B17692" t="n" s="0">
        <f>(-5-((((-5*(-5/((-5/(((-5*(76.91--5))-(-5+((-5*76.91)*(((-5--5)+(76.91--5))+76.91))))-(-5+-5)))*-5)))/-5)--5)+(-5*(((76.91*(76.91-(-5/-5)))*(76.91-(76.91/(-5*76.91))))-(-5/-5)))))</f>
        <v>2263053.635655</v>
      </c>
      <c r="C17692" t="n" s="0">
        <v>2263053.6356549994</v>
      </c>
    </row>
    <row r="17693">
      <c r="A17693" t="n" s="0">
        <v>76.92</v>
      </c>
      <c r="B17693" t="n" s="0">
        <f>(-5-((((-5*(-5/((-5/(((-5*(76.92--5))-(-5+((-5*76.92)*(((-5--5)+(76.92--5))+76.92))))-(-5+-5)))*-5)))/-5)--5)+(-5*(((76.92*(76.92-(-5/-5)))*(76.92-(76.92/(-5*76.92))))-(-5/-5)))))</f>
        <v>2263937.97664</v>
      </c>
      <c r="C17693" t="n" s="0">
        <v>2263937.97664</v>
      </c>
    </row>
    <row r="17694">
      <c r="A17694" t="n" s="0">
        <v>76.93</v>
      </c>
      <c r="B17694" t="n" s="0">
        <f>(-5-((((-5*(-5/((-5/(((-5*(76.93--5))-(-5+((-5*76.93)*(((-5--5)+(76.93--5))+76.93))))-(-5+-5)))*-5)))/-5)--5)+(-5*(((76.93*(76.93-(-5/-5)))*(76.93-(76.93/(-5*76.93))))-(-5/-5)))))</f>
        <v>2264822.5479849996</v>
      </c>
      <c r="C17694" t="n" s="0">
        <v>2264822.5479850005</v>
      </c>
    </row>
    <row r="17695">
      <c r="A17695" t="n" s="0">
        <v>76.94</v>
      </c>
      <c r="B17695" t="n" s="0">
        <f>(-5-((((-5*(-5/((-5/(((-5*(76.94--5))-(-5+((-5*76.94)*(((-5--5)+(76.94--5))+76.94))))-(-5+-5)))*-5)))/-5)--5)+(-5*(((76.94*(76.94-(-5/-5)))*(76.94-(76.94/(-5*76.94))))-(-5/-5)))))</f>
        <v>2265707.3497200003</v>
      </c>
      <c r="C17695" t="n" s="0">
        <v>2265707.3497199994</v>
      </c>
    </row>
    <row r="17696">
      <c r="A17696" t="n" s="0">
        <v>76.95</v>
      </c>
      <c r="B17696" t="n" s="0">
        <f>(-5-((((-5*(-5/((-5/(((-5*(76.95--5))-(-5+((-5*76.95)*(((-5--5)+(76.95--5))+76.95))))-(-5+-5)))*-5)))/-5)--5)+(-5*(((76.95*(76.95-(-5/-5)))*(76.95-(76.95/(-5*76.95))))-(-5/-5)))))</f>
        <v>2266592.381875</v>
      </c>
      <c r="C17696" t="n" s="0">
        <v>2266592.3818750004</v>
      </c>
    </row>
    <row r="17697">
      <c r="A17697" t="n" s="0">
        <v>76.96</v>
      </c>
      <c r="B17697" t="n" s="0">
        <f>(-5-((((-5*(-5/((-5/(((-5*(76.96--5))-(-5+((-5*76.96)*(((-5--5)+(76.96--5))+76.96))))-(-5+-5)))*-5)))/-5)--5)+(-5*(((76.96*(76.96-(-5/-5)))*(76.96-(76.96/(-5*76.96))))-(-5/-5)))))</f>
        <v>2267477.6444800003</v>
      </c>
      <c r="C17697" t="n" s="0">
        <v>2267477.64448</v>
      </c>
    </row>
    <row r="17698">
      <c r="A17698" t="n" s="0">
        <v>76.97</v>
      </c>
      <c r="B17698" t="n" s="0">
        <f>(-5-((((-5*(-5/((-5/(((-5*(76.97--5))-(-5+((-5*76.97)*(((-5--5)+(76.97--5))+76.97))))-(-5+-5)))*-5)))/-5)--5)+(-5*(((76.97*(76.97-(-5/-5)))*(76.97-(76.97/(-5*76.97))))-(-5/-5)))))</f>
        <v>2268363.137565</v>
      </c>
      <c r="C17698" t="n" s="0">
        <v>2268363.137565</v>
      </c>
    </row>
    <row r="17699">
      <c r="A17699" t="n" s="0">
        <v>76.98</v>
      </c>
      <c r="B17699" t="n" s="0">
        <f>(-5-((((-5*(-5/((-5/(((-5*(76.98--5))-(-5+((-5*76.98)*(((-5--5)+(76.98--5))+76.98))))-(-5+-5)))*-5)))/-5)--5)+(-5*(((76.98*(76.98-(-5/-5)))*(76.98-(76.98/(-5*76.98))))-(-5/-5)))))</f>
        <v>2269248.86116</v>
      </c>
      <c r="C17699" t="n" s="0">
        <v>2269248.8611600003</v>
      </c>
    </row>
    <row r="17700">
      <c r="A17700" t="n" s="0">
        <v>76.99</v>
      </c>
      <c r="B17700" t="n" s="0">
        <f>(-5-((((-5*(-5/((-5/(((-5*(76.99--5))-(-5+((-5*76.99)*(((-5--5)+(76.99--5))+76.99))))-(-5+-5)))*-5)))/-5)--5)+(-5*(((76.99*(76.99-(-5/-5)))*(76.99-(76.99/(-5*76.99))))-(-5/-5)))))</f>
        <v>2270134.815295</v>
      </c>
      <c r="C17700" t="n" s="0">
        <v>2270134.8152949996</v>
      </c>
    </row>
    <row r="17701">
      <c r="A17701" t="n" s="0">
        <v>77.0</v>
      </c>
      <c r="B17701" t="n" s="0">
        <f>(-5-((((-5*(-5/((-5/(((-5*(77--5))-(-5+((-5*77)*(((-5--5)+(77--5))+77))))-(-5+-5)))*-5)))/-5)--5)+(-5*(((77*(77-(-5/-5)))*(77-(77/(-5*77))))-(-5/-5)))))</f>
        <v>2271021.0</v>
      </c>
      <c r="C17701" t="n" s="0">
        <v>2271021.0</v>
      </c>
    </row>
    <row r="17702">
      <c r="A17702" t="n" s="0">
        <v>77.01</v>
      </c>
      <c r="B17702" t="n" s="0">
        <f>(-5-((((-5*(-5/((-5/(((-5*(77.01--5))-(-5+((-5*77.01)*(((-5--5)+(77.01--5))+77.01))))-(-5+-5)))*-5)))/-5)--5)+(-5*(((77.01*(77.01-(-5/-5)))*(77.01-(77.01/(-5*77.01))))-(-5/-5)))))</f>
        <v>2271907.415305</v>
      </c>
      <c r="C17702" t="n" s="0">
        <v>2271907.4153050003</v>
      </c>
    </row>
    <row r="17703">
      <c r="A17703" t="n" s="0">
        <v>77.02</v>
      </c>
      <c r="B17703" t="n" s="0">
        <f>(-5-((((-5*(-5/((-5/(((-5*(77.02--5))-(-5+((-5*77.02)*(((-5--5)+(77.02--5))+77.02))))-(-5+-5)))*-5)))/-5)--5)+(-5*(((77.02*(77.02-(-5/-5)))*(77.02-(77.02/(-5*77.02))))-(-5/-5)))))</f>
        <v>2272794.0612399997</v>
      </c>
      <c r="C17703" t="n" s="0">
        <v>2272794.0612399993</v>
      </c>
    </row>
    <row r="17704">
      <c r="A17704" t="n" s="0">
        <v>77.03</v>
      </c>
      <c r="B17704" t="n" s="0">
        <f>(-5-((((-5*(-5/((-5/(((-5*(77.03--5))-(-5+((-5*77.03)*(((-5--5)+(77.03--5))+77.03))))-(-5+-5)))*-5)))/-5)--5)+(-5*(((77.03*(77.03-(-5/-5)))*(77.03-(77.03/(-5*77.03))))-(-5/-5)))))</f>
        <v>2273680.937835</v>
      </c>
      <c r="C17704" t="n" s="0">
        <v>2273680.937835</v>
      </c>
    </row>
    <row r="17705">
      <c r="A17705" t="n" s="0">
        <v>77.04</v>
      </c>
      <c r="B17705" t="n" s="0">
        <f>(-5-((((-5*(-5/((-5/(((-5*(77.04--5))-(-5+((-5*77.04)*(((-5--5)+(77.04--5))+77.04))))-(-5+-5)))*-5)))/-5)--5)+(-5*(((77.04*(77.04-(-5/-5)))*(77.04-(77.04/(-5*77.04))))-(-5/-5)))))</f>
        <v>2274568.04512</v>
      </c>
      <c r="C17705" t="n" s="0">
        <v>2274568.0451200004</v>
      </c>
    </row>
    <row r="17706">
      <c r="A17706" t="n" s="0">
        <v>77.05</v>
      </c>
      <c r="B17706" t="n" s="0">
        <f>(-5-((((-5*(-5/((-5/(((-5*(77.05--5))-(-5+((-5*77.05)*(((-5--5)+(77.05--5))+77.05))))-(-5+-5)))*-5)))/-5)--5)+(-5*(((77.05*(77.05-(-5/-5)))*(77.05-(77.05/(-5*77.05))))-(-5/-5)))))</f>
        <v>2275455.383125</v>
      </c>
      <c r="C17706" t="n" s="0">
        <v>2275455.3831249997</v>
      </c>
    </row>
    <row r="17707">
      <c r="A17707" t="n" s="0">
        <v>77.06</v>
      </c>
      <c r="B17707" t="n" s="0">
        <f>(-5-((((-5*(-5/((-5/(((-5*(77.06--5))-(-5+((-5*77.06)*(((-5--5)+(77.06--5))+77.06))))-(-5+-5)))*-5)))/-5)--5)+(-5*(((77.06*(77.06-(-5/-5)))*(77.06-(77.06/(-5*77.06))))-(-5/-5)))))</f>
        <v>2276342.95188</v>
      </c>
      <c r="C17707" t="n" s="0">
        <v>2276342.9518800005</v>
      </c>
    </row>
    <row r="17708">
      <c r="A17708" t="n" s="0">
        <v>77.07</v>
      </c>
      <c r="B17708" t="n" s="0">
        <f>(-5-((((-5*(-5/((-5/(((-5*(77.07--5))-(-5+((-5*77.07)*(((-5--5)+(77.07--5))+77.07))))-(-5+-5)))*-5)))/-5)--5)+(-5*(((77.07*(77.07-(-5/-5)))*(77.07-(77.07/(-5*77.07))))-(-5/-5)))))</f>
        <v>2277230.751415</v>
      </c>
      <c r="C17708" t="n" s="0">
        <v>2277230.7514149994</v>
      </c>
    </row>
    <row r="17709">
      <c r="A17709" t="n" s="0">
        <v>77.08</v>
      </c>
      <c r="B17709" t="n" s="0">
        <f>(-5-((((-5*(-5/((-5/(((-5*(77.08--5))-(-5+((-5*77.08)*(((-5--5)+(77.08--5))+77.08))))-(-5+-5)))*-5)))/-5)--5)+(-5*(((77.08*(77.08-(-5/-5)))*(77.08-(77.08/(-5*77.08))))-(-5/-5)))))</f>
        <v>2278118.78176</v>
      </c>
      <c r="C17709" t="n" s="0">
        <v>2278118.78176</v>
      </c>
    </row>
    <row r="17710">
      <c r="A17710" t="n" s="0">
        <v>77.09</v>
      </c>
      <c r="B17710" t="n" s="0">
        <f>(-5-((((-5*(-5/((-5/(((-5*(77.09--5))-(-5+((-5*77.09)*(((-5--5)+(77.09--5))+77.09))))-(-5+-5)))*-5)))/-5)--5)+(-5*(((77.09*(77.09-(-5/-5)))*(77.09-(77.09/(-5*77.09))))-(-5/-5)))))</f>
        <v>2279007.042945</v>
      </c>
      <c r="C17710" t="n" s="0">
        <v>2279007.0429450003</v>
      </c>
    </row>
    <row r="17711">
      <c r="A17711" t="n" s="0">
        <v>77.1</v>
      </c>
      <c r="B17711" t="n" s="0">
        <f>(-5-((((-5*(-5/((-5/(((-5*(77.1--5))-(-5+((-5*77.1)*(((-5--5)+(77.1--5))+77.1))))-(-5+-5)))*-5)))/-5)--5)+(-5*(((77.1*(77.1-(-5/-5)))*(77.1-(77.1/(-5*77.1))))-(-5/-5)))))</f>
        <v>2279895.535</v>
      </c>
      <c r="C17711" t="n" s="0">
        <v>2279895.534999999</v>
      </c>
    </row>
    <row r="17712">
      <c r="A17712" t="n" s="0">
        <v>77.11</v>
      </c>
      <c r="B17712" t="n" s="0">
        <f>(-5-((((-5*(-5/((-5/(((-5*(77.11--5))-(-5+((-5*77.11)*(((-5--5)+(77.11--5))+77.11))))-(-5+-5)))*-5)))/-5)--5)+(-5*(((77.11*(77.11-(-5/-5)))*(77.11-(77.11/(-5*77.11))))-(-5/-5)))))</f>
        <v>2280784.2579550003</v>
      </c>
      <c r="C17712" t="n" s="0">
        <v>2280784.257955</v>
      </c>
    </row>
    <row r="17713">
      <c r="A17713" t="n" s="0">
        <v>77.12</v>
      </c>
      <c r="B17713" t="n" s="0">
        <f>(-5-((((-5*(-5/((-5/(((-5*(77.12--5))-(-5+((-5*77.12)*(((-5--5)+(77.12--5))+77.12))))-(-5+-5)))*-5)))/-5)--5)+(-5*(((77.12*(77.12-(-5/-5)))*(77.12-(77.12/(-5*77.12))))-(-5/-5)))))</f>
        <v>2281673.21184</v>
      </c>
      <c r="C17713" t="n" s="0">
        <v>2281673.2118400005</v>
      </c>
    </row>
    <row r="17714">
      <c r="A17714" t="n" s="0">
        <v>77.13</v>
      </c>
      <c r="B17714" t="n" s="0">
        <f>(-5-((((-5*(-5/((-5/(((-5*(77.13--5))-(-5+((-5*77.13)*(((-5--5)+(77.13--5))+77.13))))-(-5+-5)))*-5)))/-5)--5)+(-5*(((77.13*(77.13-(-5/-5)))*(77.13-(77.13/(-5*77.13))))-(-5/-5)))))</f>
        <v>2282562.396685</v>
      </c>
      <c r="C17714" t="n" s="0">
        <v>2282562.396685</v>
      </c>
    </row>
    <row r="17715">
      <c r="A17715" t="n" s="0">
        <v>77.14</v>
      </c>
      <c r="B17715" t="n" s="0">
        <f>(-5-((((-5*(-5/((-5/(((-5*(77.14--5))-(-5+((-5*77.14)*(((-5--5)+(77.14--5))+77.14))))-(-5+-5)))*-5)))/-5)--5)+(-5*(((77.14*(77.14-(-5/-5)))*(77.14-(77.14/(-5*77.14))))-(-5/-5)))))</f>
        <v>2283451.81252</v>
      </c>
      <c r="C17715" t="n" s="0">
        <v>2283451.8125199997</v>
      </c>
    </row>
    <row r="17716">
      <c r="A17716" t="n" s="0">
        <v>77.15</v>
      </c>
      <c r="B17716" t="n" s="0">
        <f>(-5-((((-5*(-5/((-5/(((-5*(77.15--5))-(-5+((-5*77.15)*(((-5--5)+(77.15--5))+77.15))))-(-5+-5)))*-5)))/-5)--5)+(-5*(((77.15*(77.15-(-5/-5)))*(77.15-(77.15/(-5*77.15))))-(-5/-5)))))</f>
        <v>2284341.459375</v>
      </c>
      <c r="C17716" t="n" s="0">
        <v>2284341.4593750006</v>
      </c>
    </row>
    <row r="17717">
      <c r="A17717" t="n" s="0">
        <v>77.16</v>
      </c>
      <c r="B17717" t="n" s="0">
        <f>(-5-((((-5*(-5/((-5/(((-5*(77.16--5))-(-5+((-5*77.16)*(((-5--5)+(77.16--5))+77.16))))-(-5+-5)))*-5)))/-5)--5)+(-5*(((77.16*(77.16-(-5/-5)))*(77.16-(77.16/(-5*77.16))))-(-5/-5)))))</f>
        <v>2285231.33728</v>
      </c>
      <c r="C17717" t="n" s="0">
        <v>2285231.3372799996</v>
      </c>
    </row>
    <row r="17718">
      <c r="A17718" t="n" s="0">
        <v>77.17</v>
      </c>
      <c r="B17718" t="n" s="0">
        <f>(-5-((((-5*(-5/((-5/(((-5*(77.17--5))-(-5+((-5*77.17)*(((-5--5)+(77.17--5))+77.17))))-(-5+-5)))*-5)))/-5)--5)+(-5*(((77.17*(77.17-(-5/-5)))*(77.17-(77.17/(-5*77.17))))-(-5/-5)))))</f>
        <v>2286121.446265</v>
      </c>
      <c r="C17718" t="n" s="0">
        <v>2286121.446265</v>
      </c>
    </row>
    <row r="17719">
      <c r="A17719" t="n" s="0">
        <v>77.18</v>
      </c>
      <c r="B17719" t="n" s="0">
        <f>(-5-((((-5*(-5/((-5/(((-5*(77.18--5))-(-5+((-5*77.18)*(((-5--5)+(77.18--5))+77.18))))-(-5+-5)))*-5)))/-5)--5)+(-5*(((77.18*(77.18-(-5/-5)))*(77.18-(77.18/(-5*77.18))))-(-5/-5)))))</f>
        <v>2287011.78636</v>
      </c>
      <c r="C17719" t="n" s="0">
        <v>2287011.7863600003</v>
      </c>
    </row>
    <row r="17720">
      <c r="A17720" t="n" s="0">
        <v>77.19</v>
      </c>
      <c r="B17720" t="n" s="0">
        <f>(-5-((((-5*(-5/((-5/(((-5*(77.19--5))-(-5+((-5*77.19)*(((-5--5)+(77.19--5))+77.19))))-(-5+-5)))*-5)))/-5)--5)+(-5*(((77.19*(77.19-(-5/-5)))*(77.19-(77.19/(-5*77.19))))-(-5/-5)))))</f>
        <v>2287902.357595</v>
      </c>
      <c r="C17720" t="n" s="0">
        <v>2287902.357595</v>
      </c>
    </row>
    <row r="17721">
      <c r="A17721" t="n" s="0">
        <v>77.2</v>
      </c>
      <c r="B17721" t="n" s="0">
        <f>(-5-((((-5*(-5/((-5/(((-5*(77.2--5))-(-5+((-5*77.2)*(((-5--5)+(77.2--5))+77.2))))-(-5+-5)))*-5)))/-5)--5)+(-5*(((77.2*(77.2-(-5/-5)))*(77.2-(77.2/(-5*77.2))))-(-5/-5)))))</f>
        <v>2288793.16</v>
      </c>
      <c r="C17721" t="n" s="0">
        <v>2288793.16</v>
      </c>
    </row>
    <row r="17722">
      <c r="A17722" t="n" s="0">
        <v>77.21</v>
      </c>
      <c r="B17722" t="n" s="0">
        <f>(-5-((((-5*(-5/((-5/(((-5*(77.21--5))-(-5+((-5*77.21)*(((-5--5)+(77.21--5))+77.21))))-(-5+-5)))*-5)))/-5)--5)+(-5*(((77.21*(77.21-(-5/-5)))*(77.21-(77.21/(-5*77.21))))-(-5/-5)))))</f>
        <v>2289684.193605</v>
      </c>
      <c r="C17722" t="n" s="0">
        <v>2289684.1936049997</v>
      </c>
    </row>
    <row r="17723">
      <c r="A17723" t="n" s="0">
        <v>77.22</v>
      </c>
      <c r="B17723" t="n" s="0">
        <f>(-5-((((-5*(-5/((-5/(((-5*(77.22--5))-(-5+((-5*77.22)*(((-5--5)+(77.22--5))+77.22))))-(-5+-5)))*-5)))/-5)--5)+(-5*(((77.22*(77.22-(-5/-5)))*(77.22-(77.22/(-5*77.22))))-(-5/-5)))))</f>
        <v>2290575.45844</v>
      </c>
      <c r="C17723" t="n" s="0">
        <v>2290575.4584399997</v>
      </c>
    </row>
    <row r="17724">
      <c r="A17724" t="n" s="0">
        <v>77.23</v>
      </c>
      <c r="B17724" t="n" s="0">
        <f>(-5-((((-5*(-5/((-5/(((-5*(77.23--5))-(-5+((-5*77.23)*(((-5--5)+(77.23--5))+77.23))))-(-5+-5)))*-5)))/-5)--5)+(-5*(((77.23*(77.23-(-5/-5)))*(77.23-(77.23/(-5*77.23))))-(-5/-5)))))</f>
        <v>2291466.954535</v>
      </c>
      <c r="C17724" t="n" s="0">
        <v>2291466.9545350005</v>
      </c>
    </row>
    <row r="17725">
      <c r="A17725" t="n" s="0">
        <v>77.24</v>
      </c>
      <c r="B17725" t="n" s="0">
        <f>(-5-((((-5*(-5/((-5/(((-5*(77.24--5))-(-5+((-5*77.24)*(((-5--5)+(77.24--5))+77.24))))-(-5+-5)))*-5)))/-5)--5)+(-5*(((77.24*(77.24-(-5/-5)))*(77.24-(77.24/(-5*77.24))))-(-5/-5)))))</f>
        <v>2292358.68192</v>
      </c>
      <c r="C17725" t="n" s="0">
        <v>2292358.68192</v>
      </c>
    </row>
    <row r="17726">
      <c r="A17726" t="n" s="0">
        <v>77.25</v>
      </c>
      <c r="B17726" t="n" s="0">
        <f>(-5-((((-5*(-5/((-5/(((-5*(77.25--5))-(-5+((-5*77.25)*(((-5--5)+(77.25--5))+77.25))))-(-5+-5)))*-5)))/-5)--5)+(-5*(((77.25*(77.25-(-5/-5)))*(77.25-(77.25/(-5*77.25))))-(-5/-5)))))</f>
        <v>2293250.640625</v>
      </c>
      <c r="C17726" t="n" s="0">
        <v>2293250.640625</v>
      </c>
    </row>
    <row r="17727">
      <c r="A17727" t="n" s="0">
        <v>77.26</v>
      </c>
      <c r="B17727" t="n" s="0">
        <f>(-5-((((-5*(-5/((-5/(((-5*(77.26--5))-(-5+((-5*77.26)*(((-5--5)+(77.26--5))+77.26))))-(-5+-5)))*-5)))/-5)--5)+(-5*(((77.26*(77.26-(-5/-5)))*(77.26-(77.26/(-5*77.26))))-(-5/-5)))))</f>
        <v>2294142.83068</v>
      </c>
      <c r="C17727" t="n" s="0">
        <v>2294142.83068</v>
      </c>
    </row>
    <row r="17728">
      <c r="A17728" t="n" s="0">
        <v>77.27</v>
      </c>
      <c r="B17728" t="n" s="0">
        <f>(-5-((((-5*(-5/((-5/(((-5*(77.27--5))-(-5+((-5*77.27)*(((-5--5)+(77.27--5))+77.27))))-(-5+-5)))*-5)))/-5)--5)+(-5*(((77.27*(77.27-(-5/-5)))*(77.27-(77.27/(-5*77.27))))-(-5/-5)))))</f>
        <v>2295035.252115</v>
      </c>
      <c r="C17728" t="n" s="0">
        <v>2295035.2521149996</v>
      </c>
    </row>
    <row r="17729">
      <c r="A17729" t="n" s="0">
        <v>77.28</v>
      </c>
      <c r="B17729" t="n" s="0">
        <f>(-5-((((-5*(-5/((-5/(((-5*(77.28--5))-(-5+((-5*77.28)*(((-5--5)+(77.28--5))+77.28))))-(-5+-5)))*-5)))/-5)--5)+(-5*(((77.28*(77.28-(-5/-5)))*(77.28-(77.28/(-5*77.28))))-(-5/-5)))))</f>
        <v>2295927.90496</v>
      </c>
      <c r="C17729" t="n" s="0">
        <v>2295927.90496</v>
      </c>
    </row>
    <row r="17730">
      <c r="A17730" t="n" s="0">
        <v>77.29</v>
      </c>
      <c r="B17730" t="n" s="0">
        <f>(-5-((((-5*(-5/((-5/(((-5*(77.29--5))-(-5+((-5*77.29)*(((-5--5)+(77.29--5))+77.29))))-(-5+-5)))*-5)))/-5)--5)+(-5*(((77.29*(77.29-(-5/-5)))*(77.29-(77.29/(-5*77.29))))-(-5/-5)))))</f>
        <v>2296820.789245</v>
      </c>
      <c r="C17730" t="n" s="0">
        <v>2296820.7892450006</v>
      </c>
    </row>
    <row r="17731">
      <c r="A17731" t="n" s="0">
        <v>77.3</v>
      </c>
      <c r="B17731" t="n" s="0">
        <f>(-5-((((-5*(-5/((-5/(((-5*(77.3--5))-(-5+((-5*77.3)*(((-5--5)+(77.3--5))+77.3))))-(-5+-5)))*-5)))/-5)--5)+(-5*(((77.3*(77.3-(-5/-5)))*(77.3-(77.3/(-5*77.3))))-(-5/-5)))))</f>
        <v>2297713.905</v>
      </c>
      <c r="C17731" t="n" s="0">
        <v>2297713.905</v>
      </c>
    </row>
    <row r="17732">
      <c r="A17732" t="n" s="0">
        <v>77.31</v>
      </c>
      <c r="B17732" t="n" s="0">
        <f>(-5-((((-5*(-5/((-5/(((-5*(77.31--5))-(-5+((-5*77.31)*(((-5--5)+(77.31--5))+77.31))))-(-5+-5)))*-5)))/-5)--5)+(-5*(((77.31*(77.31-(-5/-5)))*(77.31-(77.31/(-5*77.31))))-(-5/-5)))))</f>
        <v>2298607.252255</v>
      </c>
      <c r="C17732" t="n" s="0">
        <v>2298607.2522550006</v>
      </c>
    </row>
    <row r="17733">
      <c r="A17733" t="n" s="0">
        <v>77.32</v>
      </c>
      <c r="B17733" t="n" s="0">
        <f>(-5-((((-5*(-5/((-5/(((-5*(77.32--5))-(-5+((-5*77.32)*(((-5--5)+(77.32--5))+77.32))))-(-5+-5)))*-5)))/-5)--5)+(-5*(((77.32*(77.32-(-5/-5)))*(77.32-(77.32/(-5*77.32))))-(-5/-5)))))</f>
        <v>2299500.8310399996</v>
      </c>
      <c r="C17733" t="n" s="0">
        <v>2299500.8310399996</v>
      </c>
    </row>
    <row r="17734">
      <c r="A17734" t="n" s="0">
        <v>77.33</v>
      </c>
      <c r="B17734" t="n" s="0">
        <f>(-5-((((-5*(-5/((-5/(((-5*(77.33--5))-(-5+((-5*77.33)*(((-5--5)+(77.33--5))+77.33))))-(-5+-5)))*-5)))/-5)--5)+(-5*(((77.33*(77.33-(-5/-5)))*(77.33-(77.33/(-5*77.33))))-(-5/-5)))))</f>
        <v>2300394.641385</v>
      </c>
      <c r="C17734" t="n" s="0">
        <v>2300394.641385</v>
      </c>
    </row>
    <row r="17735">
      <c r="A17735" t="n" s="0">
        <v>77.34</v>
      </c>
      <c r="B17735" t="n" s="0">
        <f>(-5-((((-5*(-5/((-5/(((-5*(77.34--5))-(-5+((-5*77.34)*(((-5--5)+(77.34--5))+77.34))))-(-5+-5)))*-5)))/-5)--5)+(-5*(((77.34*(77.34-(-5/-5)))*(77.34-(77.34/(-5*77.34))))-(-5/-5)))))</f>
        <v>2301288.68332</v>
      </c>
      <c r="C17735" t="n" s="0">
        <v>2301288.6833200003</v>
      </c>
    </row>
    <row r="17736">
      <c r="A17736" t="n" s="0">
        <v>77.35</v>
      </c>
      <c r="B17736" t="n" s="0">
        <f>(-5-((((-5*(-5/((-5/(((-5*(77.35--5))-(-5+((-5*77.35)*(((-5--5)+(77.35--5))+77.35))))-(-5+-5)))*-5)))/-5)--5)+(-5*(((77.35*(77.35-(-5/-5)))*(77.35-(77.35/(-5*77.35))))-(-5/-5)))))</f>
        <v>2302182.9568749997</v>
      </c>
      <c r="C17736" t="n" s="0">
        <v>2302182.9568749997</v>
      </c>
    </row>
    <row r="17737">
      <c r="A17737" t="n" s="0">
        <v>77.36</v>
      </c>
      <c r="B17737" t="n" s="0">
        <f>(-5-((((-5*(-5/((-5/(((-5*(77.36--5))-(-5+((-5*77.36)*(((-5--5)+(77.36--5))+77.36))))-(-5+-5)))*-5)))/-5)--5)+(-5*(((77.36*(77.36-(-5/-5)))*(77.36-(77.36/(-5*77.36))))-(-5/-5)))))</f>
        <v>2303077.46208</v>
      </c>
      <c r="C17737" t="n" s="0">
        <v>2303077.46208</v>
      </c>
    </row>
    <row r="17738">
      <c r="A17738" t="n" s="0">
        <v>77.37</v>
      </c>
      <c r="B17738" t="n" s="0">
        <f>(-5-((((-5*(-5/((-5/(((-5*(77.37--5))-(-5+((-5*77.37)*(((-5--5)+(77.37--5))+77.37))))-(-5+-5)))*-5)))/-5)--5)+(-5*(((77.37*(77.37-(-5/-5)))*(77.37-(77.37/(-5*77.37))))-(-5/-5)))))</f>
        <v>2303972.198965</v>
      </c>
      <c r="C17738" t="n" s="0">
        <v>2303972.198965</v>
      </c>
    </row>
    <row r="17739">
      <c r="A17739" t="n" s="0">
        <v>77.38</v>
      </c>
      <c r="B17739" t="n" s="0">
        <f>(-5-((((-5*(-5/((-5/(((-5*(77.38--5))-(-5+((-5*77.38)*(((-5--5)+(77.38--5))+77.38))))-(-5+-5)))*-5)))/-5)--5)+(-5*(((77.38*(77.38-(-5/-5)))*(77.38-(77.38/(-5*77.38))))-(-5/-5)))))</f>
        <v>2304867.16756</v>
      </c>
      <c r="C17739" t="n" s="0">
        <v>2304867.16756</v>
      </c>
    </row>
    <row r="17740">
      <c r="A17740" t="n" s="0">
        <v>77.39</v>
      </c>
      <c r="B17740" t="n" s="0">
        <f>(-5-((((-5*(-5/((-5/(((-5*(77.39--5))-(-5+((-5*77.39)*(((-5--5)+(77.39--5))+77.39))))-(-5+-5)))*-5)))/-5)--5)+(-5*(((77.39*(77.39-(-5/-5)))*(77.39-(77.39/(-5*77.39))))-(-5/-5)))))</f>
        <v>2305762.3678949997</v>
      </c>
      <c r="C17740" t="n" s="0">
        <v>2305762.367895</v>
      </c>
    </row>
    <row r="17741">
      <c r="A17741" t="n" s="0">
        <v>77.4</v>
      </c>
      <c r="B17741" t="n" s="0">
        <f>(-5-((((-5*(-5/((-5/(((-5*(77.4--5))-(-5+((-5*77.4)*(((-5--5)+(77.4--5))+77.4))))-(-5+-5)))*-5)))/-5)--5)+(-5*(((77.4*(77.4-(-5/-5)))*(77.4-(77.4/(-5*77.4))))-(-5/-5)))))</f>
        <v>2306657.8000000003</v>
      </c>
      <c r="C17741" t="n" s="0">
        <v>2306657.8000000007</v>
      </c>
    </row>
    <row r="17742">
      <c r="A17742" t="n" s="0">
        <v>77.41</v>
      </c>
      <c r="B17742" t="n" s="0">
        <f>(-5-((((-5*(-5/((-5/(((-5*(77.41--5))-(-5+((-5*77.41)*(((-5--5)+(77.41--5))+77.41))))-(-5+-5)))*-5)))/-5)--5)+(-5*(((77.41*(77.41-(-5/-5)))*(77.41-(77.41/(-5*77.41))))-(-5/-5)))))</f>
        <v>2307553.463905</v>
      </c>
      <c r="C17742" t="n" s="0">
        <v>2307553.4639049997</v>
      </c>
    </row>
    <row r="17743">
      <c r="A17743" t="n" s="0">
        <v>77.42</v>
      </c>
      <c r="B17743" t="n" s="0">
        <f>(-5-((((-5*(-5/((-5/(((-5*(77.42--5))-(-5+((-5*77.42)*(((-5--5)+(77.42--5))+77.42))))-(-5+-5)))*-5)))/-5)--5)+(-5*(((77.42*(77.42-(-5/-5)))*(77.42-(77.42/(-5*77.42))))-(-5/-5)))))</f>
        <v>2308449.35964</v>
      </c>
      <c r="C17743" t="n" s="0">
        <v>2308449.35964</v>
      </c>
    </row>
    <row r="17744">
      <c r="A17744" t="n" s="0">
        <v>77.43</v>
      </c>
      <c r="B17744" t="n" s="0">
        <f>(-5-((((-5*(-5/((-5/(((-5*(77.43--5))-(-5+((-5*77.43)*(((-5--5)+(77.43--5))+77.43))))-(-5+-5)))*-5)))/-5)--5)+(-5*(((77.43*(77.43-(-5/-5)))*(77.43-(77.43/(-5*77.43))))-(-5/-5)))))</f>
        <v>2309345.4872350004</v>
      </c>
      <c r="C17744" t="n" s="0">
        <v>2309345.487235001</v>
      </c>
    </row>
    <row r="17745">
      <c r="A17745" t="n" s="0">
        <v>77.44</v>
      </c>
      <c r="B17745" t="n" s="0">
        <f>(-5-((((-5*(-5/((-5/(((-5*(77.44--5))-(-5+((-5*77.44)*(((-5--5)+(77.44--5))+77.44))))-(-5+-5)))*-5)))/-5)--5)+(-5*(((77.44*(77.44-(-5/-5)))*(77.44-(77.44/(-5*77.44))))-(-5/-5)))))</f>
        <v>2310241.84672</v>
      </c>
      <c r="C17745" t="n" s="0">
        <v>2310241.84672</v>
      </c>
    </row>
    <row r="17746">
      <c r="A17746" t="n" s="0">
        <v>77.45</v>
      </c>
      <c r="B17746" t="n" s="0">
        <f>(-5-((((-5*(-5/((-5/(((-5*(77.45--5))-(-5+((-5*77.45)*(((-5--5)+(77.45--5))+77.45))))-(-5+-5)))*-5)))/-5)--5)+(-5*(((77.45*(77.45-(-5/-5)))*(77.45-(77.45/(-5*77.45))))-(-5/-5)))))</f>
        <v>2311138.4381250003</v>
      </c>
      <c r="C17746" t="n" s="0">
        <v>2311138.4381250003</v>
      </c>
    </row>
    <row r="17747">
      <c r="A17747" t="n" s="0">
        <v>77.46</v>
      </c>
      <c r="B17747" t="n" s="0">
        <f>(-5-((((-5*(-5/((-5/(((-5*(77.46--5))-(-5+((-5*77.46)*(((-5--5)+(77.46--5))+77.46))))-(-5+-5)))*-5)))/-5)--5)+(-5*(((77.46*(77.46-(-5/-5)))*(77.46-(77.46/(-5*77.46))))-(-5/-5)))))</f>
        <v>2312035.26148</v>
      </c>
      <c r="C17747" t="n" s="0">
        <v>2312035.2614799994</v>
      </c>
    </row>
    <row r="17748">
      <c r="A17748" t="n" s="0">
        <v>77.47</v>
      </c>
      <c r="B17748" t="n" s="0">
        <f>(-5-((((-5*(-5/((-5/(((-5*(77.47--5))-(-5+((-5*77.47)*(((-5--5)+(77.47--5))+77.47))))-(-5+-5)))*-5)))/-5)--5)+(-5*(((77.47*(77.47-(-5/-5)))*(77.47-(77.47/(-5*77.47))))-(-5/-5)))))</f>
        <v>2312932.316815</v>
      </c>
      <c r="C17748" t="n" s="0">
        <v>2312932.316815</v>
      </c>
    </row>
    <row r="17749">
      <c r="A17749" t="n" s="0">
        <v>77.48</v>
      </c>
      <c r="B17749" t="n" s="0">
        <f>(-5-((((-5*(-5/((-5/(((-5*(77.48--5))-(-5+((-5*77.48)*(((-5--5)+(77.48--5))+77.48))))-(-5+-5)))*-5)))/-5)--5)+(-5*(((77.48*(77.48-(-5/-5)))*(77.48-(77.48/(-5*77.48))))-(-5/-5)))))</f>
        <v>2313829.6041599996</v>
      </c>
      <c r="C17749" t="n" s="0">
        <v>2313829.6041600006</v>
      </c>
    </row>
    <row r="17750">
      <c r="A17750" t="n" s="0">
        <v>77.49</v>
      </c>
      <c r="B17750" t="n" s="0">
        <f>(-5-((((-5*(-5/((-5/(((-5*(77.49--5))-(-5+((-5*77.49)*(((-5--5)+(77.49--5))+77.49))))-(-5+-5)))*-5)))/-5)--5)+(-5*(((77.49*(77.49-(-5/-5)))*(77.49-(77.49/(-5*77.49))))-(-5/-5)))))</f>
        <v>2314727.123545</v>
      </c>
      <c r="C17750" t="n" s="0">
        <v>2314727.123545</v>
      </c>
    </row>
    <row r="17751">
      <c r="A17751" t="n" s="0">
        <v>77.5</v>
      </c>
      <c r="B17751" t="n" s="0">
        <f>(-5-((((-5*(-5/((-5/(((-5*(77.5--5))-(-5+((-5*77.5)*(((-5--5)+(77.5--5))+77.5))))-(-5+-5)))*-5)))/-5)--5)+(-5*(((77.5*(77.5-(-5/-5)))*(77.5-(77.5/(-5*77.5))))-(-5/-5)))))</f>
        <v>2315624.875</v>
      </c>
      <c r="C17751" t="n" s="0">
        <v>2315624.875</v>
      </c>
    </row>
    <row r="17752">
      <c r="A17752" t="n" s="0">
        <v>77.51</v>
      </c>
      <c r="B17752" t="n" s="0">
        <f>(-5-((((-5*(-5/((-5/(((-5*(77.51--5))-(-5+((-5*77.51)*(((-5--5)+(77.51--5))+77.51))))-(-5+-5)))*-5)))/-5)--5)+(-5*(((77.51*(77.51-(-5/-5)))*(77.51-(77.51/(-5*77.51))))-(-5/-5)))))</f>
        <v>2316522.858555</v>
      </c>
      <c r="C17752" t="n" s="0">
        <v>2316522.858555</v>
      </c>
    </row>
    <row r="17753">
      <c r="A17753" t="n" s="0">
        <v>77.52</v>
      </c>
      <c r="B17753" t="n" s="0">
        <f>(-5-((((-5*(-5/((-5/(((-5*(77.52--5))-(-5+((-5*77.52)*(((-5--5)+(77.52--5))+77.52))))-(-5+-5)))*-5)))/-5)--5)+(-5*(((77.52*(77.52-(-5/-5)))*(77.52-(77.52/(-5*77.52))))-(-5/-5)))))</f>
        <v>2317421.07424</v>
      </c>
      <c r="C17753" t="n" s="0">
        <v>2317421.0742399995</v>
      </c>
    </row>
    <row r="17754">
      <c r="A17754" t="n" s="0">
        <v>77.53</v>
      </c>
      <c r="B17754" t="n" s="0">
        <f>(-5-((((-5*(-5/((-5/(((-5*(77.53--5))-(-5+((-5*77.53)*(((-5--5)+(77.53--5))+77.53))))-(-5+-5)))*-5)))/-5)--5)+(-5*(((77.53*(77.53-(-5/-5)))*(77.53-(77.53/(-5*77.53))))-(-5/-5)))))</f>
        <v>2318319.5220850003</v>
      </c>
      <c r="C17754" t="n" s="0">
        <v>2318319.5220850003</v>
      </c>
    </row>
    <row r="17755">
      <c r="A17755" t="n" s="0">
        <v>77.54</v>
      </c>
      <c r="B17755" t="n" s="0">
        <f>(-5-((((-5*(-5/((-5/(((-5*(77.54--5))-(-5+((-5*77.54)*(((-5--5)+(77.54--5))+77.54))))-(-5+-5)))*-5)))/-5)--5)+(-5*(((77.54*(77.54-(-5/-5)))*(77.54-(77.54/(-5*77.54))))-(-5/-5)))))</f>
        <v>2319218.20212</v>
      </c>
      <c r="C17755" t="n" s="0">
        <v>2319218.2021200005</v>
      </c>
    </row>
    <row r="17756">
      <c r="A17756" t="n" s="0">
        <v>77.55</v>
      </c>
      <c r="B17756" t="n" s="0">
        <f>(-5-((((-5*(-5/((-5/(((-5*(77.55--5))-(-5+((-5*77.55)*(((-5--5)+(77.55--5))+77.55))))-(-5+-5)))*-5)))/-5)--5)+(-5*(((77.55*(77.55-(-5/-5)))*(77.55-(77.55/(-5*77.55))))-(-5/-5)))))</f>
        <v>2320117.114375</v>
      </c>
      <c r="C17756" t="n" s="0">
        <v>2320117.114375</v>
      </c>
    </row>
    <row r="17757">
      <c r="A17757" t="n" s="0">
        <v>77.56</v>
      </c>
      <c r="B17757" t="n" s="0">
        <f>(-5-((((-5*(-5/((-5/(((-5*(77.56--5))-(-5+((-5*77.56)*(((-5--5)+(77.56--5))+77.56))))-(-5+-5)))*-5)))/-5)--5)+(-5*(((77.56*(77.56-(-5/-5)))*(77.56-(77.56/(-5*77.56))))-(-5/-5)))))</f>
        <v>2321016.25888</v>
      </c>
      <c r="C17757" t="n" s="0">
        <v>2321016.25888</v>
      </c>
    </row>
    <row r="17758">
      <c r="A17758" t="n" s="0">
        <v>77.57</v>
      </c>
      <c r="B17758" t="n" s="0">
        <f>(-5-((((-5*(-5/((-5/(((-5*(77.57--5))-(-5+((-5*77.57)*(((-5--5)+(77.57--5))+77.57))))-(-5+-5)))*-5)))/-5)--5)+(-5*(((77.57*(77.57-(-5/-5)))*(77.57-(77.57/(-5*77.57))))-(-5/-5)))))</f>
        <v>2321915.635665</v>
      </c>
      <c r="C17758" t="n" s="0">
        <v>2321915.6356649995</v>
      </c>
    </row>
    <row r="17759">
      <c r="A17759" t="n" s="0">
        <v>77.58</v>
      </c>
      <c r="B17759" t="n" s="0">
        <f>(-5-((((-5*(-5/((-5/(((-5*(77.58--5))-(-5+((-5*77.58)*(((-5--5)+(77.58--5))+77.58))))-(-5+-5)))*-5)))/-5)--5)+(-5*(((77.58*(77.58-(-5/-5)))*(77.58-(77.58/(-5*77.58))))-(-5/-5)))))</f>
        <v>2322815.2447599997</v>
      </c>
      <c r="C17759" t="n" s="0">
        <v>2322815.24476</v>
      </c>
    </row>
    <row r="17760">
      <c r="A17760" t="n" s="0">
        <v>77.59</v>
      </c>
      <c r="B17760" t="n" s="0">
        <f>(-5-((((-5*(-5/((-5/(((-5*(77.59--5))-(-5+((-5*77.59)*(((-5--5)+(77.59--5))+77.59))))-(-5+-5)))*-5)))/-5)--5)+(-5*(((77.59*(77.59-(-5/-5)))*(77.59-(77.59/(-5*77.59))))-(-5/-5)))))</f>
        <v>2323715.086195</v>
      </c>
      <c r="C17760" t="n" s="0">
        <v>2323715.0861950004</v>
      </c>
    </row>
    <row r="17761">
      <c r="A17761" t="n" s="0">
        <v>77.6</v>
      </c>
      <c r="B17761" t="n" s="0">
        <f>(-5-((((-5*(-5/((-5/(((-5*(77.6--5))-(-5+((-5*77.6)*(((-5--5)+(77.6--5))+77.6))))-(-5+-5)))*-5)))/-5)--5)+(-5*(((77.6*(77.6-(-5/-5)))*(77.6-(77.6/(-5*77.6))))-(-5/-5)))))</f>
        <v>2324615.16</v>
      </c>
      <c r="C17761" t="n" s="0">
        <v>2324615.159999999</v>
      </c>
    </row>
    <row r="17762">
      <c r="A17762" t="n" s="0">
        <v>77.61</v>
      </c>
      <c r="B17762" t="n" s="0">
        <f>(-5-((((-5*(-5/((-5/(((-5*(77.61--5))-(-5+((-5*77.61)*(((-5--5)+(77.61--5))+77.61))))-(-5+-5)))*-5)))/-5)--5)+(-5*(((77.61*(77.61-(-5/-5)))*(77.61-(77.61/(-5*77.61))))-(-5/-5)))))</f>
        <v>2325515.466205</v>
      </c>
      <c r="C17762" t="n" s="0">
        <v>2325515.4662050004</v>
      </c>
    </row>
    <row r="17763">
      <c r="A17763" t="n" s="0">
        <v>77.62</v>
      </c>
      <c r="B17763" t="n" s="0">
        <f>(-5-((((-5*(-5/((-5/(((-5*(77.62--5))-(-5+((-5*77.62)*(((-5--5)+(77.62--5))+77.62))))-(-5+-5)))*-5)))/-5)--5)+(-5*(((77.62*(77.62-(-5/-5)))*(77.62-(77.62/(-5*77.62))))-(-5/-5)))))</f>
        <v>2326416.00484</v>
      </c>
      <c r="C17763" t="n" s="0">
        <v>2326416.00484</v>
      </c>
    </row>
    <row r="17764">
      <c r="A17764" t="n" s="0">
        <v>77.63</v>
      </c>
      <c r="B17764" t="n" s="0">
        <f>(-5-((((-5*(-5/((-5/(((-5*(77.63--5))-(-5+((-5*77.63)*(((-5--5)+(77.63--5))+77.63))))-(-5+-5)))*-5)))/-5)--5)+(-5*(((77.63*(77.63-(-5/-5)))*(77.63-(77.63/(-5*77.63))))-(-5/-5)))))</f>
        <v>2327316.7759350003</v>
      </c>
      <c r="C17764" t="n" s="0">
        <v>2327316.7759349993</v>
      </c>
    </row>
    <row r="17765">
      <c r="A17765" t="n" s="0">
        <v>77.64</v>
      </c>
      <c r="B17765" t="n" s="0">
        <f>(-5-((((-5*(-5/((-5/(((-5*(77.64--5))-(-5+((-5*77.64)*(((-5--5)+(77.64--5))+77.64))))-(-5+-5)))*-5)))/-5)--5)+(-5*(((77.64*(77.64-(-5/-5)))*(77.64-(77.64/(-5*77.64))))-(-5/-5)))))</f>
        <v>2328217.77952</v>
      </c>
      <c r="C17765" t="n" s="0">
        <v>2328217.7795200003</v>
      </c>
    </row>
    <row r="17766">
      <c r="A17766" t="n" s="0">
        <v>77.65</v>
      </c>
      <c r="B17766" t="n" s="0">
        <f>(-5-((((-5*(-5/((-5/(((-5*(77.65--5))-(-5+((-5*77.65)*(((-5--5)+(77.65--5))+77.65))))-(-5+-5)))*-5)))/-5)--5)+(-5*(((77.65*(77.65-(-5/-5)))*(77.65-(77.65/(-5*77.65))))-(-5/-5)))))</f>
        <v>2329119.015625</v>
      </c>
      <c r="C17766" t="n" s="0">
        <v>2329119.015625001</v>
      </c>
    </row>
    <row r="17767">
      <c r="A17767" t="n" s="0">
        <v>77.66</v>
      </c>
      <c r="B17767" t="n" s="0">
        <f>(-5-((((-5*(-5/((-5/(((-5*(77.66--5))-(-5+((-5*77.66)*(((-5--5)+(77.66--5))+77.66))))-(-5+-5)))*-5)))/-5)--5)+(-5*(((77.66*(77.66-(-5/-5)))*(77.66-(77.66/(-5*77.66))))-(-5/-5)))))</f>
        <v>2330020.48428</v>
      </c>
      <c r="C17767" t="n" s="0">
        <v>2330020.4842799995</v>
      </c>
    </row>
    <row r="17768">
      <c r="A17768" t="n" s="0">
        <v>77.67</v>
      </c>
      <c r="B17768" t="n" s="0">
        <f>(-5-((((-5*(-5/((-5/(((-5*(77.67--5))-(-5+((-5*77.67)*(((-5--5)+(77.67--5))+77.67))))-(-5+-5)))*-5)))/-5)--5)+(-5*(((77.67*(77.67-(-5/-5)))*(77.67-(77.67/(-5*77.67))))-(-5/-5)))))</f>
        <v>2330922.185515</v>
      </c>
      <c r="C17768" t="n" s="0">
        <v>2330922.185515</v>
      </c>
    </row>
    <row r="17769">
      <c r="A17769" t="n" s="0">
        <v>77.68</v>
      </c>
      <c r="B17769" t="n" s="0">
        <f>(-5-((((-5*(-5/((-5/(((-5*(77.68--5))-(-5+((-5*77.68)*(((-5--5)+(77.68--5))+77.68))))-(-5+-5)))*-5)))/-5)--5)+(-5*(((77.68*(77.68-(-5/-5)))*(77.68-(77.68/(-5*77.68))))-(-5/-5)))))</f>
        <v>2331824.11936</v>
      </c>
      <c r="C17769" t="n" s="0">
        <v>2331824.1193600004</v>
      </c>
    </row>
    <row r="17770">
      <c r="A17770" t="n" s="0">
        <v>77.69</v>
      </c>
      <c r="B17770" t="n" s="0">
        <f>(-5-((((-5*(-5/((-5/(((-5*(77.69--5))-(-5+((-5*77.69)*(((-5--5)+(77.69--5))+77.69))))-(-5+-5)))*-5)))/-5)--5)+(-5*(((77.69*(77.69-(-5/-5)))*(77.69-(77.69/(-5*77.69))))-(-5/-5)))))</f>
        <v>2332726.285845</v>
      </c>
      <c r="C17770" t="n" s="0">
        <v>2332726.2858449994</v>
      </c>
    </row>
    <row r="17771">
      <c r="A17771" t="n" s="0">
        <v>77.7</v>
      </c>
      <c r="B17771" t="n" s="0">
        <f>(-5-((((-5*(-5/((-5/(((-5*(77.7--5))-(-5+((-5*77.7)*(((-5--5)+(77.7--5))+77.7))))-(-5+-5)))*-5)))/-5)--5)+(-5*(((77.7*(77.7-(-5/-5)))*(77.7-(77.7/(-5*77.7))))-(-5/-5)))))</f>
        <v>2333628.685</v>
      </c>
      <c r="C17771" t="n" s="0">
        <v>2333628.6850000005</v>
      </c>
    </row>
    <row r="17772">
      <c r="A17772" t="n" s="0">
        <v>77.71</v>
      </c>
      <c r="B17772" t="n" s="0">
        <f>(-5-((((-5*(-5/((-5/(((-5*(77.71--5))-(-5+((-5*77.71)*(((-5--5)+(77.71--5))+77.71))))-(-5+-5)))*-5)))/-5)--5)+(-5*(((77.71*(77.71-(-5/-5)))*(77.71-(77.71/(-5*77.71))))-(-5/-5)))))</f>
        <v>2334531.316855</v>
      </c>
      <c r="C17772" t="n" s="0">
        <v>2334531.316854999</v>
      </c>
    </row>
    <row r="17773">
      <c r="A17773" t="n" s="0">
        <v>77.72</v>
      </c>
      <c r="B17773" t="n" s="0">
        <f>(-5-((((-5*(-5/((-5/(((-5*(77.72--5))-(-5+((-5*77.72)*(((-5--5)+(77.72--5))+77.72))))-(-5+-5)))*-5)))/-5)--5)+(-5*(((77.72*(77.72-(-5/-5)))*(77.72-(77.72/(-5*77.72))))-(-5/-5)))))</f>
        <v>2335434.18144</v>
      </c>
      <c r="C17773" t="n" s="0">
        <v>2335434.18144</v>
      </c>
    </row>
    <row r="17774">
      <c r="A17774" t="n" s="0">
        <v>77.73</v>
      </c>
      <c r="B17774" t="n" s="0">
        <f>(-5-((((-5*(-5/((-5/(((-5*(77.73--5))-(-5+((-5*77.73)*(((-5--5)+(77.73--5))+77.73))))-(-5+-5)))*-5)))/-5)--5)+(-5*(((77.73*(77.73-(-5/-5)))*(77.73-(77.73/(-5*77.73))))-(-5/-5)))))</f>
        <v>2336337.278785</v>
      </c>
      <c r="C17774" t="n" s="0">
        <v>2336337.2787850006</v>
      </c>
    </row>
    <row r="17775">
      <c r="A17775" t="n" s="0">
        <v>77.74</v>
      </c>
      <c r="B17775" t="n" s="0">
        <f>(-5-((((-5*(-5/((-5/(((-5*(77.74--5))-(-5+((-5*77.74)*(((-5--5)+(77.74--5))+77.74))))-(-5+-5)))*-5)))/-5)--5)+(-5*(((77.74*(77.74-(-5/-5)))*(77.74-(77.74/(-5*77.74))))-(-5/-5)))))</f>
        <v>2337240.60892</v>
      </c>
      <c r="C17775" t="n" s="0">
        <v>2337240.60892</v>
      </c>
    </row>
    <row r="17776">
      <c r="A17776" t="n" s="0">
        <v>77.75</v>
      </c>
      <c r="B17776" t="n" s="0">
        <f>(-5-((((-5*(-5/((-5/(((-5*(77.75--5))-(-5+((-5*77.75)*(((-5--5)+(77.75--5))+77.75))))-(-5+-5)))*-5)))/-5)--5)+(-5*(((77.75*(77.75-(-5/-5)))*(77.75-(77.75/(-5*77.75))))-(-5/-5)))))</f>
        <v>2338144.171875</v>
      </c>
      <c r="C17776" t="n" s="0">
        <v>2338144.171875</v>
      </c>
    </row>
    <row r="17777">
      <c r="A17777" t="n" s="0">
        <v>77.76</v>
      </c>
      <c r="B17777" t="n" s="0">
        <f>(-5-((((-5*(-5/((-5/(((-5*(77.76--5))-(-5+((-5*77.76)*(((-5--5)+(77.76--5))+77.76))))-(-5+-5)))*-5)))/-5)--5)+(-5*(((77.76*(77.76-(-5/-5)))*(77.76-(77.76/(-5*77.76))))-(-5/-5)))))</f>
        <v>2339047.9676800002</v>
      </c>
      <c r="C17777" t="n" s="0">
        <v>2339047.9676800002</v>
      </c>
    </row>
    <row r="17778">
      <c r="A17778" t="n" s="0">
        <v>77.77</v>
      </c>
      <c r="B17778" t="n" s="0">
        <f>(-5-((((-5*(-5/((-5/(((-5*(77.77--5))-(-5+((-5*77.77)*(((-5--5)+(77.77--5))+77.77))))-(-5+-5)))*-5)))/-5)--5)+(-5*(((77.77*(77.77-(-5/-5)))*(77.77-(77.77/(-5*77.77))))-(-5/-5)))))</f>
        <v>2339951.996365</v>
      </c>
      <c r="C17778" t="n" s="0">
        <v>2339951.996365</v>
      </c>
    </row>
    <row r="17779">
      <c r="A17779" t="n" s="0">
        <v>77.78</v>
      </c>
      <c r="B17779" t="n" s="0">
        <f>(-5-((((-5*(-5/((-5/(((-5*(77.78--5))-(-5+((-5*77.78)*(((-5--5)+(77.78--5))+77.78))))-(-5+-5)))*-5)))/-5)--5)+(-5*(((77.78*(77.78-(-5/-5)))*(77.78-(77.78/(-5*77.78))))-(-5/-5)))))</f>
        <v>2340856.25796</v>
      </c>
      <c r="C17779" t="n" s="0">
        <v>2340856.25796</v>
      </c>
    </row>
    <row r="17780">
      <c r="A17780" t="n" s="0">
        <v>77.79</v>
      </c>
      <c r="B17780" t="n" s="0">
        <f>(-5-((((-5*(-5/((-5/(((-5*(77.79--5))-(-5+((-5*77.79)*(((-5--5)+(77.79--5))+77.79))))-(-5+-5)))*-5)))/-5)--5)+(-5*(((77.79*(77.79-(-5/-5)))*(77.79-(77.79/(-5*77.79))))-(-5/-5)))))</f>
        <v>2341760.7524949997</v>
      </c>
      <c r="C17780" t="n" s="0">
        <v>2341760.7524950006</v>
      </c>
    </row>
    <row r="17781">
      <c r="A17781" t="n" s="0">
        <v>77.8</v>
      </c>
      <c r="B17781" t="n" s="0">
        <f>(-5-((((-5*(-5/((-5/(((-5*(77.8--5))-(-5+((-5*77.8)*(((-5--5)+(77.8--5))+77.8))))-(-5+-5)))*-5)))/-5)--5)+(-5*(((77.8*(77.8-(-5/-5)))*(77.8-(77.8/(-5*77.8))))-(-5/-5)))))</f>
        <v>2342665.48</v>
      </c>
      <c r="C17781" t="n" s="0">
        <v>2342665.4799999995</v>
      </c>
    </row>
    <row r="17782">
      <c r="A17782" t="n" s="0">
        <v>77.81</v>
      </c>
      <c r="B17782" t="n" s="0">
        <f>(-5-((((-5*(-5/((-5/(((-5*(77.81--5))-(-5+((-5*77.81)*(((-5--5)+(77.81--5))+77.81))))-(-5+-5)))*-5)))/-5)--5)+(-5*(((77.81*(77.81-(-5/-5)))*(77.81-(77.81/(-5*77.81))))-(-5/-5)))))</f>
        <v>2343570.440505</v>
      </c>
      <c r="C17782" t="n" s="0">
        <v>2343570.4405050003</v>
      </c>
    </row>
    <row r="17783">
      <c r="A17783" t="n" s="0">
        <v>77.82</v>
      </c>
      <c r="B17783" t="n" s="0">
        <f>(-5-((((-5*(-5/((-5/(((-5*(77.82--5))-(-5+((-5*77.82)*(((-5--5)+(77.82--5))+77.82))))-(-5+-5)))*-5)))/-5)--5)+(-5*(((77.82*(77.82-(-5/-5)))*(77.82-(77.82/(-5*77.82))))-(-5/-5)))))</f>
        <v>2344475.63404</v>
      </c>
      <c r="C17783" t="n" s="0">
        <v>2344475.6340399995</v>
      </c>
    </row>
    <row r="17784">
      <c r="A17784" t="n" s="0">
        <v>77.83</v>
      </c>
      <c r="B17784" t="n" s="0">
        <f>(-5-((((-5*(-5/((-5/(((-5*(77.83--5))-(-5+((-5*77.83)*(((-5--5)+(77.83--5))+77.83))))-(-5+-5)))*-5)))/-5)--5)+(-5*(((77.83*(77.83-(-5/-5)))*(77.83-(77.83/(-5*77.83))))-(-5/-5)))))</f>
        <v>2345381.060635</v>
      </c>
      <c r="C17784" t="n" s="0">
        <v>2345381.060635</v>
      </c>
    </row>
    <row r="17785">
      <c r="A17785" t="n" s="0">
        <v>77.84</v>
      </c>
      <c r="B17785" t="n" s="0">
        <f>(-5-((((-5*(-5/((-5/(((-5*(77.84--5))-(-5+((-5*77.84)*(((-5--5)+(77.84--5))+77.84))))-(-5+-5)))*-5)))/-5)--5)+(-5*(((77.84*(77.84-(-5/-5)))*(77.84-(77.84/(-5*77.84))))-(-5/-5)))))</f>
        <v>2346286.72032</v>
      </c>
      <c r="C17785" t="n" s="0">
        <v>2346286.7203200003</v>
      </c>
    </row>
    <row r="17786">
      <c r="A17786" t="n" s="0">
        <v>77.85</v>
      </c>
      <c r="B17786" t="n" s="0">
        <f>(-5-((((-5*(-5/((-5/(((-5*(77.85--5))-(-5+((-5*77.85)*(((-5--5)+(77.85--5))+77.85))))-(-5+-5)))*-5)))/-5)--5)+(-5*(((77.85*(77.85-(-5/-5)))*(77.85-(77.85/(-5*77.85))))-(-5/-5)))))</f>
        <v>2347192.613125</v>
      </c>
      <c r="C17786" t="n" s="0">
        <v>2347192.613124999</v>
      </c>
    </row>
    <row r="17787">
      <c r="A17787" t="n" s="0">
        <v>77.86</v>
      </c>
      <c r="B17787" t="n" s="0">
        <f>(-5-((((-5*(-5/((-5/(((-5*(77.86--5))-(-5+((-5*77.86)*(((-5--5)+(77.86--5))+77.86))))-(-5+-5)))*-5)))/-5)--5)+(-5*(((77.86*(77.86-(-5/-5)))*(77.86-(77.86/(-5*77.86))))-(-5/-5)))))</f>
        <v>2348098.7390799997</v>
      </c>
      <c r="C17787" t="n" s="0">
        <v>2348098.73908</v>
      </c>
    </row>
    <row r="17788">
      <c r="A17788" t="n" s="0">
        <v>77.87</v>
      </c>
      <c r="B17788" t="n" s="0">
        <f>(-5-((((-5*(-5/((-5/(((-5*(77.87--5))-(-5+((-5*77.87)*(((-5--5)+(77.87--5))+77.87))))-(-5+-5)))*-5)))/-5)--5)+(-5*(((77.87*(77.87-(-5/-5)))*(77.87-(77.87/(-5*77.87))))-(-5/-5)))))</f>
        <v>2349005.098215</v>
      </c>
      <c r="C17788" t="n" s="0">
        <v>2349005.0982150002</v>
      </c>
    </row>
    <row r="17789">
      <c r="A17789" t="n" s="0">
        <v>77.88</v>
      </c>
      <c r="B17789" t="n" s="0">
        <f>(-5-((((-5*(-5/((-5/(((-5*(77.88--5))-(-5+((-5*77.88)*(((-5--5)+(77.88--5))+77.88))))-(-5+-5)))*-5)))/-5)--5)+(-5*(((77.88*(77.88-(-5/-5)))*(77.88-(77.88/(-5*77.88))))-(-5/-5)))))</f>
        <v>2349911.69056</v>
      </c>
      <c r="C17789" t="n" s="0">
        <v>2349911.6905599996</v>
      </c>
    </row>
    <row r="17790">
      <c r="A17790" t="n" s="0">
        <v>77.89</v>
      </c>
      <c r="B17790" t="n" s="0">
        <f>(-5-((((-5*(-5/((-5/(((-5*(77.89--5))-(-5+((-5*77.89)*(((-5--5)+(77.89--5))+77.89))))-(-5+-5)))*-5)))/-5)--5)+(-5*(((77.89*(77.89-(-5/-5)))*(77.89-(77.89/(-5*77.89))))-(-5/-5)))))</f>
        <v>2350818.5161450002</v>
      </c>
      <c r="C17790" t="n" s="0">
        <v>2350818.516145</v>
      </c>
    </row>
    <row r="17791">
      <c r="A17791" t="n" s="0">
        <v>77.9</v>
      </c>
      <c r="B17791" t="n" s="0">
        <f>(-5-((((-5*(-5/((-5/(((-5*(77.9--5))-(-5+((-5*77.9)*(((-5--5)+(77.9--5))+77.9))))-(-5+-5)))*-5)))/-5)--5)+(-5*(((77.9*(77.9-(-5/-5)))*(77.9-(77.9/(-5*77.9))))-(-5/-5)))))</f>
        <v>2351725.5749999997</v>
      </c>
      <c r="C17791" t="n" s="0">
        <v>2351725.5750000007</v>
      </c>
    </row>
    <row r="17792">
      <c r="A17792" t="n" s="0">
        <v>77.91</v>
      </c>
      <c r="B17792" t="n" s="0">
        <f>(-5-((((-5*(-5/((-5/(((-5*(77.91--5))-(-5+((-5*77.91)*(((-5--5)+(77.91--5))+77.91))))-(-5+-5)))*-5)))/-5)--5)+(-5*(((77.91*(77.91-(-5/-5)))*(77.91-(77.91/(-5*77.91))))-(-5/-5)))))</f>
        <v>2352632.867155</v>
      </c>
      <c r="C17792" t="n" s="0">
        <v>2352632.867155</v>
      </c>
    </row>
    <row r="17793">
      <c r="A17793" t="n" s="0">
        <v>77.92</v>
      </c>
      <c r="B17793" t="n" s="0">
        <f>(-5-((((-5*(-5/((-5/(((-5*(77.92--5))-(-5+((-5*77.92)*(((-5--5)+(77.92--5))+77.92))))-(-5+-5)))*-5)))/-5)--5)+(-5*(((77.92*(77.92-(-5/-5)))*(77.92-(77.92/(-5*77.92))))-(-5/-5)))))</f>
        <v>2353540.3926399997</v>
      </c>
      <c r="C17793" t="n" s="0">
        <v>2353540.3926399997</v>
      </c>
    </row>
    <row r="17794">
      <c r="A17794" t="n" s="0">
        <v>77.93</v>
      </c>
      <c r="B17794" t="n" s="0">
        <f>(-5-((((-5*(-5/((-5/(((-5*(77.93--5))-(-5+((-5*77.93)*(((-5--5)+(77.93--5))+77.93))))-(-5+-5)))*-5)))/-5)--5)+(-5*(((77.93*(77.93-(-5/-5)))*(77.93-(77.93/(-5*77.93))))-(-5/-5)))))</f>
        <v>2354448.151485</v>
      </c>
      <c r="C17794" t="n" s="0">
        <v>2354448.151485001</v>
      </c>
    </row>
    <row r="17795">
      <c r="A17795" t="n" s="0">
        <v>77.94</v>
      </c>
      <c r="B17795" t="n" s="0">
        <f>(-5-((((-5*(-5/((-5/(((-5*(77.94--5))-(-5+((-5*77.94)*(((-5--5)+(77.94--5))+77.94))))-(-5+-5)))*-5)))/-5)--5)+(-5*(((77.94*(77.94-(-5/-5)))*(77.94-(77.94/(-5*77.94))))-(-5/-5)))))</f>
        <v>2355356.14372</v>
      </c>
      <c r="C17795" t="n" s="0">
        <v>2355356.1437199996</v>
      </c>
    </row>
    <row r="17796">
      <c r="A17796" t="n" s="0">
        <v>77.95</v>
      </c>
      <c r="B17796" t="n" s="0">
        <f>(-5-((((-5*(-5/((-5/(((-5*(77.95--5))-(-5+((-5*77.95)*(((-5--5)+(77.95--5))+77.95))))-(-5+-5)))*-5)))/-5)--5)+(-5*(((77.95*(77.95-(-5/-5)))*(77.95-(77.95/(-5*77.95))))-(-5/-5)))))</f>
        <v>2356264.3693750002</v>
      </c>
      <c r="C17796" t="n" s="0">
        <v>2356264.3693750002</v>
      </c>
    </row>
    <row r="17797">
      <c r="A17797" t="n" s="0">
        <v>77.96</v>
      </c>
      <c r="B17797" t="n" s="0">
        <f>(-5-((((-5*(-5/((-5/(((-5*(77.96--5))-(-5+((-5*77.96)*(((-5--5)+(77.96--5))+77.96))))-(-5+-5)))*-5)))/-5)--5)+(-5*(((77.96*(77.96-(-5/-5)))*(77.96-(77.96/(-5*77.96))))-(-5/-5)))))</f>
        <v>2357172.82848</v>
      </c>
      <c r="C17797" t="n" s="0">
        <v>2357172.828479999</v>
      </c>
    </row>
    <row r="17798">
      <c r="A17798" t="n" s="0">
        <v>77.97</v>
      </c>
      <c r="B17798" t="n" s="0">
        <f>(-5-((((-5*(-5/((-5/(((-5*(77.97--5))-(-5+((-5*77.97)*(((-5--5)+(77.97--5))+77.97))))-(-5+-5)))*-5)))/-5)--5)+(-5*(((77.97*(77.97-(-5/-5)))*(77.97-(77.97/(-5*77.97))))-(-5/-5)))))</f>
        <v>2358081.5210650004</v>
      </c>
      <c r="C17798" t="n" s="0">
        <v>2358081.521065</v>
      </c>
    </row>
    <row r="17799">
      <c r="A17799" t="n" s="0">
        <v>77.98</v>
      </c>
      <c r="B17799" t="n" s="0">
        <f>(-5-((((-5*(-5/((-5/(((-5*(77.98--5))-(-5+((-5*77.98)*(((-5--5)+(77.98--5))+77.98))))-(-5+-5)))*-5)))/-5)--5)+(-5*(((77.98*(77.98-(-5/-5)))*(77.98-(77.98/(-5*77.98))))-(-5/-5)))))</f>
        <v>2358990.44716</v>
      </c>
      <c r="C17799" t="n" s="0">
        <v>2358990.4471600004</v>
      </c>
    </row>
    <row r="17800">
      <c r="A17800" t="n" s="0">
        <v>77.99</v>
      </c>
      <c r="B17800" t="n" s="0">
        <f>(-5-((((-5*(-5/((-5/(((-5*(77.99--5))-(-5+((-5*77.99)*(((-5--5)+(77.99--5))+77.99))))-(-5+-5)))*-5)))/-5)--5)+(-5*(((77.99*(77.99-(-5/-5)))*(77.99-(77.99/(-5*77.99))))-(-5/-5)))))</f>
        <v>2359899.606795</v>
      </c>
      <c r="C17800" t="n" s="0">
        <v>2359899.606795</v>
      </c>
    </row>
    <row r="17801">
      <c r="A17801" t="n" s="0">
        <v>78.0</v>
      </c>
      <c r="B17801" t="n" s="0">
        <f>(-5-((((-5*(-5/((-5/(((-5*(78--5))-(-5+((-5*78)*(((-5--5)+(78--5))+78))))-(-5+-5)))*-5)))/-5)--5)+(-5*(((78*(78-(-5/-5)))*(78-(78/(-5*78))))-(-5/-5)))))</f>
        <v>2360809.0</v>
      </c>
      <c r="C17801" t="n" s="0">
        <v>2360809.0</v>
      </c>
    </row>
    <row r="17802">
      <c r="A17802" t="n" s="0">
        <v>78.01</v>
      </c>
      <c r="B17802" t="n" s="0">
        <f>(-5-((((-5*(-5/((-5/(((-5*(78.01--5))-(-5+((-5*78.01)*(((-5--5)+(78.01--5))+78.01))))-(-5+-5)))*-5)))/-5)--5)+(-5*(((78.01*(78.01-(-5/-5)))*(78.01-(78.01/(-5*78.01))))-(-5/-5)))))</f>
        <v>2361718.626805</v>
      </c>
      <c r="C17802" t="n" s="0">
        <v>2361718.6268050005</v>
      </c>
    </row>
    <row r="17803">
      <c r="A17803" t="n" s="0">
        <v>78.02</v>
      </c>
      <c r="B17803" t="n" s="0">
        <f>(-5-((((-5*(-5/((-5/(((-5*(78.02--5))-(-5+((-5*78.02)*(((-5--5)+(78.02--5))+78.02))))-(-5+-5)))*-5)))/-5)--5)+(-5*(((78.02*(78.02-(-5/-5)))*(78.02-(78.02/(-5*78.02))))-(-5/-5)))))</f>
        <v>2362628.4872399997</v>
      </c>
      <c r="C17803" t="n" s="0">
        <v>2362628.48724</v>
      </c>
    </row>
    <row r="17804">
      <c r="A17804" t="n" s="0">
        <v>78.03</v>
      </c>
      <c r="B17804" t="n" s="0">
        <f>(-5-((((-5*(-5/((-5/(((-5*(78.03--5))-(-5+((-5*78.03)*(((-5--5)+(78.03--5))+78.03))))-(-5+-5)))*-5)))/-5)--5)+(-5*(((78.03*(78.03-(-5/-5)))*(78.03-(78.03/(-5*78.03))))-(-5/-5)))))</f>
        <v>2363538.581335</v>
      </c>
      <c r="C17804" t="n" s="0">
        <v>2363538.5813349998</v>
      </c>
    </row>
    <row r="17805">
      <c r="A17805" t="n" s="0">
        <v>78.04</v>
      </c>
      <c r="B17805" t="n" s="0">
        <f>(-5-((((-5*(-5/((-5/(((-5*(78.04--5))-(-5+((-5*78.04)*(((-5--5)+(78.04--5))+78.04))))-(-5+-5)))*-5)))/-5)--5)+(-5*(((78.04*(78.04-(-5/-5)))*(78.04-(78.04/(-5*78.04))))-(-5/-5)))))</f>
        <v>2364448.90912</v>
      </c>
      <c r="C17805" t="n" s="0">
        <v>2364448.9091200004</v>
      </c>
    </row>
    <row r="17806">
      <c r="A17806" t="n" s="0">
        <v>78.05</v>
      </c>
      <c r="B17806" t="n" s="0">
        <f>(-5-((((-5*(-5/((-5/(((-5*(78.05--5))-(-5+((-5*78.05)*(((-5--5)+(78.05--5))+78.05))))-(-5+-5)))*-5)))/-5)--5)+(-5*(((78.05*(78.05-(-5/-5)))*(78.05-(78.05/(-5*78.05))))-(-5/-5)))))</f>
        <v>2365359.470625</v>
      </c>
      <c r="C17806" t="n" s="0">
        <v>2365359.4706249996</v>
      </c>
    </row>
    <row r="17807">
      <c r="A17807" t="n" s="0">
        <v>78.06</v>
      </c>
      <c r="B17807" t="n" s="0">
        <f>(-5-((((-5*(-5/((-5/(((-5*(78.06--5))-(-5+((-5*78.06)*(((-5--5)+(78.06--5))+78.06))))-(-5+-5)))*-5)))/-5)--5)+(-5*(((78.06*(78.06-(-5/-5)))*(78.06-(78.06/(-5*78.06))))-(-5/-5)))))</f>
        <v>2366270.26588</v>
      </c>
      <c r="C17807" t="n" s="0">
        <v>2366270.2658800003</v>
      </c>
    </row>
    <row r="17808">
      <c r="A17808" t="n" s="0">
        <v>78.07</v>
      </c>
      <c r="B17808" t="n" s="0">
        <f>(-5-((((-5*(-5/((-5/(((-5*(78.07--5))-(-5+((-5*78.07)*(((-5--5)+(78.07--5))+78.07))))-(-5+-5)))*-5)))/-5)--5)+(-5*(((78.07*(78.07-(-5/-5)))*(78.07-(78.07/(-5*78.07))))-(-5/-5)))))</f>
        <v>2367181.2949150004</v>
      </c>
      <c r="C17808" t="n" s="0">
        <v>2367181.2949149995</v>
      </c>
    </row>
    <row r="17809">
      <c r="A17809" t="n" s="0">
        <v>78.08</v>
      </c>
      <c r="B17809" t="n" s="0">
        <f>(-5-((((-5*(-5/((-5/(((-5*(78.08--5))-(-5+((-5*78.08)*(((-5--5)+(78.08--5))+78.08))))-(-5+-5)))*-5)))/-5)--5)+(-5*(((78.08*(78.08-(-5/-5)))*(78.08-(78.08/(-5*78.08))))-(-5/-5)))))</f>
        <v>2368092.5577599998</v>
      </c>
      <c r="C17809" t="n" s="0">
        <v>2368092.5577599998</v>
      </c>
    </row>
    <row r="17810">
      <c r="A17810" t="n" s="0">
        <v>78.09</v>
      </c>
      <c r="B17810" t="n" s="0">
        <f>(-5-((((-5*(-5/((-5/(((-5*(78.09--5))-(-5+((-5*78.09)*(((-5--5)+(78.09--5))+78.09))))-(-5+-5)))*-5)))/-5)--5)+(-5*(((78.09*(78.09-(-5/-5)))*(78.09-(78.09/(-5*78.09))))-(-5/-5)))))</f>
        <v>2369004.054445</v>
      </c>
      <c r="C17810" t="n" s="0">
        <v>2369004.0544450004</v>
      </c>
    </row>
    <row r="17811">
      <c r="A17811" t="n" s="0">
        <v>78.1</v>
      </c>
      <c r="B17811" t="n" s="0">
        <f>(-5-((((-5*(-5/((-5/(((-5*(78.1--5))-(-5+((-5*78.1)*(((-5--5)+(78.1--5))+78.1))))-(-5+-5)))*-5)))/-5)--5)+(-5*(((78.1*(78.1-(-5/-5)))*(78.1-(78.1/(-5*78.1))))-(-5/-5)))))</f>
        <v>2369915.785</v>
      </c>
      <c r="C17811" t="n" s="0">
        <v>2369915.784999999</v>
      </c>
    </row>
    <row r="17812">
      <c r="A17812" t="n" s="0">
        <v>78.11</v>
      </c>
      <c r="B17812" t="n" s="0">
        <f>(-5-((((-5*(-5/((-5/(((-5*(78.11--5))-(-5+((-5*78.11)*(((-5--5)+(78.11--5))+78.11))))-(-5+-5)))*-5)))/-5)--5)+(-5*(((78.11*(78.11-(-5/-5)))*(78.11-(78.11/(-5*78.11))))-(-5/-5)))))</f>
        <v>2370827.7494550003</v>
      </c>
      <c r="C17812" t="n" s="0">
        <v>2370827.749455</v>
      </c>
    </row>
    <row r="17813">
      <c r="A17813" t="n" s="0">
        <v>78.12</v>
      </c>
      <c r="B17813" t="n" s="0">
        <f>(-5-((((-5*(-5/((-5/(((-5*(78.12--5))-(-5+((-5*78.12)*(((-5--5)+(78.12--5))+78.12))))-(-5+-5)))*-5)))/-5)--5)+(-5*(((78.12*(78.12-(-5/-5)))*(78.12-(78.12/(-5*78.12))))-(-5/-5)))))</f>
        <v>2371739.94784</v>
      </c>
      <c r="C17813" t="n" s="0">
        <v>2371739.9478400005</v>
      </c>
    </row>
    <row r="17814">
      <c r="A17814" t="n" s="0">
        <v>78.13</v>
      </c>
      <c r="B17814" t="n" s="0">
        <f>(-5-((((-5*(-5/((-5/(((-5*(78.13--5))-(-5+((-5*78.13)*(((-5--5)+(78.13--5))+78.13))))-(-5+-5)))*-5)))/-5)--5)+(-5*(((78.13*(78.13-(-5/-5)))*(78.13-(78.13/(-5*78.13))))-(-5/-5)))))</f>
        <v>2372652.380185</v>
      </c>
      <c r="C17814" t="n" s="0">
        <v>2372652.3801849997</v>
      </c>
    </row>
    <row r="17815">
      <c r="A17815" t="n" s="0">
        <v>78.14</v>
      </c>
      <c r="B17815" t="n" s="0">
        <f>(-5-((((-5*(-5/((-5/(((-5*(78.14--5))-(-5+((-5*78.14)*(((-5--5)+(78.14--5))+78.14))))-(-5+-5)))*-5)))/-5)--5)+(-5*(((78.14*(78.14-(-5/-5)))*(78.14-(78.14/(-5*78.14))))-(-5/-5)))))</f>
        <v>2373565.0465200003</v>
      </c>
      <c r="C17815" t="n" s="0">
        <v>2373565.04652</v>
      </c>
    </row>
    <row r="17816">
      <c r="A17816" t="n" s="0">
        <v>78.15</v>
      </c>
      <c r="B17816" t="n" s="0">
        <f>(-5-((((-5*(-5/((-5/(((-5*(78.15--5))-(-5+((-5*78.15)*(((-5--5)+(78.15--5))+78.15))))-(-5+-5)))*-5)))/-5)--5)+(-5*(((78.15*(78.15-(-5/-5)))*(78.15-(78.15/(-5*78.15))))-(-5/-5)))))</f>
        <v>2374477.946875</v>
      </c>
      <c r="C17816" t="n" s="0">
        <v>2374477.9468750004</v>
      </c>
    </row>
    <row r="17817">
      <c r="A17817" t="n" s="0">
        <v>78.16</v>
      </c>
      <c r="B17817" t="n" s="0">
        <f>(-5-((((-5*(-5/((-5/(((-5*(78.16--5))-(-5+((-5*78.16)*(((-5--5)+(78.16--5))+78.16))))-(-5+-5)))*-5)))/-5)--5)+(-5*(((78.16*(78.16-(-5/-5)))*(78.16-(78.16/(-5*78.16))))-(-5/-5)))))</f>
        <v>2375391.08128</v>
      </c>
      <c r="C17817" t="n" s="0">
        <v>2375391.0812799996</v>
      </c>
    </row>
    <row r="17818">
      <c r="A17818" t="n" s="0">
        <v>78.17</v>
      </c>
      <c r="B17818" t="n" s="0">
        <f>(-5-((((-5*(-5/((-5/(((-5*(78.17--5))-(-5+((-5*78.17)*(((-5--5)+(78.17--5))+78.17))))-(-5+-5)))*-5)))/-5)--5)+(-5*(((78.17*(78.17-(-5/-5)))*(78.17-(78.17/(-5*78.17))))-(-5/-5)))))</f>
        <v>2376304.449765</v>
      </c>
      <c r="C17818" t="n" s="0">
        <v>2376304.449765</v>
      </c>
    </row>
    <row r="17819">
      <c r="A17819" t="n" s="0">
        <v>78.18</v>
      </c>
      <c r="B17819" t="n" s="0">
        <f>(-5-((((-5*(-5/((-5/(((-5*(78.18--5))-(-5+((-5*78.18)*(((-5--5)+(78.18--5))+78.18))))-(-5+-5)))*-5)))/-5)--5)+(-5*(((78.18*(78.18-(-5/-5)))*(78.18-(78.18/(-5*78.18))))-(-5/-5)))))</f>
        <v>2377218.05236</v>
      </c>
      <c r="C17819" t="n" s="0">
        <v>2377218.0523600006</v>
      </c>
    </row>
    <row r="17820">
      <c r="A17820" t="n" s="0">
        <v>78.19</v>
      </c>
      <c r="B17820" t="n" s="0">
        <f>(-5-((((-5*(-5/((-5/(((-5*(78.19--5))-(-5+((-5*78.19)*(((-5--5)+(78.19--5))+78.19))))-(-5+-5)))*-5)))/-5)--5)+(-5*(((78.19*(78.19-(-5/-5)))*(78.19-(78.19/(-5*78.19))))-(-5/-5)))))</f>
        <v>2378131.889095</v>
      </c>
      <c r="C17820" t="n" s="0">
        <v>2378131.8890949995</v>
      </c>
    </row>
    <row r="17821">
      <c r="A17821" t="n" s="0">
        <v>78.2</v>
      </c>
      <c r="B17821" t="n" s="0">
        <f>(-5-((((-5*(-5/((-5/(((-5*(78.2--5))-(-5+((-5*78.2)*(((-5--5)+(78.2--5))+78.2))))-(-5+-5)))*-5)))/-5)--5)+(-5*(((78.2*(78.2-(-5/-5)))*(78.2-(78.2/(-5*78.2))))-(-5/-5)))))</f>
        <v>2379045.96</v>
      </c>
      <c r="C17821" t="n" s="0">
        <v>2379045.9600000004</v>
      </c>
    </row>
    <row r="17822">
      <c r="A17822" t="n" s="0">
        <v>78.21</v>
      </c>
      <c r="B17822" t="n" s="0">
        <f>(-5-((((-5*(-5/((-5/(((-5*(78.21--5))-(-5+((-5*78.21)*(((-5--5)+(78.21--5))+78.21))))-(-5+-5)))*-5)))/-5)--5)+(-5*(((78.21*(78.21-(-5/-5)))*(78.21-(78.21/(-5*78.21))))-(-5/-5)))))</f>
        <v>2379960.2651049998</v>
      </c>
      <c r="C17822" t="n" s="0">
        <v>2379960.2651049993</v>
      </c>
    </row>
    <row r="17823">
      <c r="A17823" t="n" s="0">
        <v>78.22</v>
      </c>
      <c r="B17823" t="n" s="0">
        <f>(-5-((((-5*(-5/((-5/(((-5*(78.22--5))-(-5+((-5*78.22)*(((-5--5)+(78.22--5))+78.22))))-(-5+-5)))*-5)))/-5)--5)+(-5*(((78.22*(78.22-(-5/-5)))*(78.22-(78.22/(-5*78.22))))-(-5/-5)))))</f>
        <v>2380874.80444</v>
      </c>
      <c r="C17823" t="n" s="0">
        <v>2380874.80444</v>
      </c>
    </row>
    <row r="17824">
      <c r="A17824" t="n" s="0">
        <v>78.23</v>
      </c>
      <c r="B17824" t="n" s="0">
        <f>(-5-((((-5*(-5/((-5/(((-5*(78.23--5))-(-5+((-5*78.23)*(((-5--5)+(78.23--5))+78.23))))-(-5+-5)))*-5)))/-5)--5)+(-5*(((78.23*(78.23-(-5/-5)))*(78.23-(78.23/(-5*78.23))))-(-5/-5)))))</f>
        <v>2381789.5780350002</v>
      </c>
      <c r="C17824" t="n" s="0">
        <v>2381789.5780350002</v>
      </c>
    </row>
    <row r="17825">
      <c r="A17825" t="n" s="0">
        <v>78.24</v>
      </c>
      <c r="B17825" t="n" s="0">
        <f>(-5-((((-5*(-5/((-5/(((-5*(78.24--5))-(-5+((-5*78.24)*(((-5--5)+(78.24--5))+78.24))))-(-5+-5)))*-5)))/-5)--5)+(-5*(((78.24*(78.24-(-5/-5)))*(78.24-(78.24/(-5*78.24))))-(-5/-5)))))</f>
        <v>2382704.58592</v>
      </c>
      <c r="C17825" t="n" s="0">
        <v>2382704.58592</v>
      </c>
    </row>
    <row r="17826">
      <c r="A17826" t="n" s="0">
        <v>78.25</v>
      </c>
      <c r="B17826" t="n" s="0">
        <f>(-5-((((-5*(-5/((-5/(((-5*(78.25--5))-(-5+((-5*78.25)*(((-5--5)+(78.25--5))+78.25))))-(-5+-5)))*-5)))/-5)--5)+(-5*(((78.25*(78.25-(-5/-5)))*(78.25-(78.25/(-5*78.25))))-(-5/-5)))))</f>
        <v>2383619.828125</v>
      </c>
      <c r="C17826" t="n" s="0">
        <v>2383619.828125</v>
      </c>
    </row>
    <row r="17827">
      <c r="A17827" t="n" s="0">
        <v>78.26</v>
      </c>
      <c r="B17827" t="n" s="0">
        <f>(-5-((((-5*(-5/((-5/(((-5*(78.26--5))-(-5+((-5*78.26)*(((-5--5)+(78.26--5))+78.26))))-(-5+-5)))*-5)))/-5)--5)+(-5*(((78.26*(78.26-(-5/-5)))*(78.26-(78.26/(-5*78.26))))-(-5/-5)))))</f>
        <v>2384535.30468</v>
      </c>
      <c r="C17827" t="n" s="0">
        <v>2384535.30468</v>
      </c>
    </row>
    <row r="17828">
      <c r="A17828" t="n" s="0">
        <v>78.27</v>
      </c>
      <c r="B17828" t="n" s="0">
        <f>(-5-((((-5*(-5/((-5/(((-5*(78.27--5))-(-5+((-5*78.27)*(((-5--5)+(78.27--5))+78.27))))-(-5+-5)))*-5)))/-5)--5)+(-5*(((78.27*(78.27-(-5/-5)))*(78.27-(78.27/(-5*78.27))))-(-5/-5)))))</f>
        <v>2385451.015615</v>
      </c>
      <c r="C17828" t="n" s="0">
        <v>2385451.015615</v>
      </c>
    </row>
    <row r="17829">
      <c r="A17829" t="n" s="0">
        <v>78.28</v>
      </c>
      <c r="B17829" t="n" s="0">
        <f>(-5-((((-5*(-5/((-5/(((-5*(78.28--5))-(-5+((-5*78.28)*(((-5--5)+(78.28--5))+78.28))))-(-5+-5)))*-5)))/-5)--5)+(-5*(((78.28*(78.28-(-5/-5)))*(78.28-(78.28/(-5*78.28))))-(-5/-5)))))</f>
        <v>2386366.96096</v>
      </c>
      <c r="C17829" t="n" s="0">
        <v>2386366.9609600003</v>
      </c>
    </row>
    <row r="17830">
      <c r="A17830" t="n" s="0">
        <v>78.29</v>
      </c>
      <c r="B17830" t="n" s="0">
        <f>(-5-((((-5*(-5/((-5/(((-5*(78.29--5))-(-5+((-5*78.29)*(((-5--5)+(78.29--5))+78.29))))-(-5+-5)))*-5)))/-5)--5)+(-5*(((78.29*(78.29-(-5/-5)))*(78.29-(78.29/(-5*78.29))))-(-5/-5)))))</f>
        <v>2387283.140745</v>
      </c>
      <c r="C17830" t="n" s="0">
        <v>2387283.1407450004</v>
      </c>
    </row>
    <row r="17831">
      <c r="A17831" t="n" s="0">
        <v>78.3</v>
      </c>
      <c r="B17831" t="n" s="0">
        <f>(-5-((((-5*(-5/((-5/(((-5*(78.3--5))-(-5+((-5*78.3)*(((-5--5)+(78.3--5))+78.3))))-(-5+-5)))*-5)))/-5)--5)+(-5*(((78.3*(78.3-(-5/-5)))*(78.3-(78.3/(-5*78.3))))-(-5/-5)))))</f>
        <v>2388199.555</v>
      </c>
      <c r="C17831" t="n" s="0">
        <v>2388199.555</v>
      </c>
    </row>
    <row r="17832">
      <c r="A17832" t="n" s="0">
        <v>78.31</v>
      </c>
      <c r="B17832" t="n" s="0">
        <f>(-5-((((-5*(-5/((-5/(((-5*(78.31--5))-(-5+((-5*78.31)*(((-5--5)+(78.31--5))+78.31))))-(-5+-5)))*-5)))/-5)--5)+(-5*(((78.31*(78.31-(-5/-5)))*(78.31-(78.31/(-5*78.31))))-(-5/-5)))))</f>
        <v>2389116.2037549997</v>
      </c>
      <c r="C17832" t="n" s="0">
        <v>2389116.203755</v>
      </c>
    </row>
    <row r="17833">
      <c r="A17833" t="n" s="0">
        <v>78.32</v>
      </c>
      <c r="B17833" t="n" s="0">
        <f>(-5-((((-5*(-5/((-5/(((-5*(78.32--5))-(-5+((-5*78.32)*(((-5--5)+(78.32--5))+78.32))))-(-5+-5)))*-5)))/-5)--5)+(-5*(((78.32*(78.32-(-5/-5)))*(78.32-(78.32/(-5*78.32))))-(-5/-5)))))</f>
        <v>2390033.08704</v>
      </c>
      <c r="C17833" t="n" s="0">
        <v>2390033.087039999</v>
      </c>
    </row>
    <row r="17834">
      <c r="A17834" t="n" s="0">
        <v>78.33</v>
      </c>
      <c r="B17834" t="n" s="0">
        <f>(-5-((((-5*(-5/((-5/(((-5*(78.33--5))-(-5+((-5*78.33)*(((-5--5)+(78.33--5))+78.33))))-(-5+-5)))*-5)))/-5)--5)+(-5*(((78.33*(78.33-(-5/-5)))*(78.33-(78.33/(-5*78.33))))-(-5/-5)))))</f>
        <v>2390950.204885</v>
      </c>
      <c r="C17834" t="n" s="0">
        <v>2390950.204885</v>
      </c>
    </row>
    <row r="17835">
      <c r="A17835" t="n" s="0">
        <v>78.34</v>
      </c>
      <c r="B17835" t="n" s="0">
        <f>(-5-((((-5*(-5/((-5/(((-5*(78.34--5))-(-5+((-5*78.34)*(((-5--5)+(78.34--5))+78.34))))-(-5+-5)))*-5)))/-5)--5)+(-5*(((78.34*(78.34-(-5/-5)))*(78.34-(78.34/(-5*78.34))))-(-5/-5)))))</f>
        <v>2391867.55732</v>
      </c>
      <c r="C17835" t="n" s="0">
        <v>2391867.55732</v>
      </c>
    </row>
    <row r="17836">
      <c r="A17836" t="n" s="0">
        <v>78.35</v>
      </c>
      <c r="B17836" t="n" s="0">
        <f>(-5-((((-5*(-5/((-5/(((-5*(78.35--5))-(-5+((-5*78.35)*(((-5--5)+(78.35--5))+78.35))))-(-5+-5)))*-5)))/-5)--5)+(-5*(((78.35*(78.35-(-5/-5)))*(78.35-(78.35/(-5*78.35))))-(-5/-5)))))</f>
        <v>2392785.144375</v>
      </c>
      <c r="C17836" t="n" s="0">
        <v>2392785.1443749997</v>
      </c>
    </row>
    <row r="17837">
      <c r="A17837" t="n" s="0">
        <v>78.36</v>
      </c>
      <c r="B17837" t="n" s="0">
        <f>(-5-((((-5*(-5/((-5/(((-5*(78.36--5))-(-5+((-5*78.36)*(((-5--5)+(78.36--5))+78.36))))-(-5+-5)))*-5)))/-5)--5)+(-5*(((78.36*(78.36-(-5/-5)))*(78.36-(78.36/(-5*78.36))))-(-5/-5)))))</f>
        <v>2393702.96608</v>
      </c>
      <c r="C17837" t="n" s="0">
        <v>2393702.96608</v>
      </c>
    </row>
    <row r="17838">
      <c r="A17838" t="n" s="0">
        <v>78.37</v>
      </c>
      <c r="B17838" t="n" s="0">
        <f>(-5-((((-5*(-5/((-5/(((-5*(78.37--5))-(-5+((-5*78.37)*(((-5--5)+(78.37--5))+78.37))))-(-5+-5)))*-5)))/-5)--5)+(-5*(((78.37*(78.37-(-5/-5)))*(78.37-(78.37/(-5*78.37))))-(-5/-5)))))</f>
        <v>2394621.022465</v>
      </c>
      <c r="C17838" t="n" s="0">
        <v>2394621.0224650004</v>
      </c>
    </row>
    <row r="17839">
      <c r="A17839" t="n" s="0">
        <v>78.38</v>
      </c>
      <c r="B17839" t="n" s="0">
        <f>(-5-((((-5*(-5/((-5/(((-5*(78.38--5))-(-5+((-5*78.38)*(((-5--5)+(78.38--5))+78.38))))-(-5+-5)))*-5)))/-5)--5)+(-5*(((78.38*(78.38-(-5/-5)))*(78.38-(78.38/(-5*78.38))))-(-5/-5)))))</f>
        <v>2395539.3135599997</v>
      </c>
      <c r="C17839" t="n" s="0">
        <v>2395539.31356</v>
      </c>
    </row>
    <row r="17840">
      <c r="A17840" t="n" s="0">
        <v>78.39</v>
      </c>
      <c r="B17840" t="n" s="0">
        <f>(-5-((((-5*(-5/((-5/(((-5*(78.39--5))-(-5+((-5*78.39)*(((-5--5)+(78.39--5))+78.39))))-(-5+-5)))*-5)))/-5)--5)+(-5*(((78.39*(78.39-(-5/-5)))*(78.39-(78.39/(-5*78.39))))-(-5/-5)))))</f>
        <v>2396457.8393949997</v>
      </c>
      <c r="C17840" t="n" s="0">
        <v>2396457.839395</v>
      </c>
    </row>
    <row r="17841">
      <c r="A17841" t="n" s="0">
        <v>78.4</v>
      </c>
      <c r="B17841" t="n" s="0">
        <f>(-5-((((-5*(-5/((-5/(((-5*(78.4--5))-(-5+((-5*78.4)*(((-5--5)+(78.4--5))+78.4))))-(-5+-5)))*-5)))/-5)--5)+(-5*(((78.4*(78.4-(-5/-5)))*(78.4-(78.4/(-5*78.4))))-(-5/-5)))))</f>
        <v>2397376.6</v>
      </c>
      <c r="C17841" t="n" s="0">
        <v>2397376.6000000006</v>
      </c>
    </row>
    <row r="17842">
      <c r="A17842" t="n" s="0">
        <v>78.41</v>
      </c>
      <c r="B17842" t="n" s="0">
        <f>(-5-((((-5*(-5/((-5/(((-5*(78.41--5))-(-5+((-5*78.41)*(((-5--5)+(78.41--5))+78.41))))-(-5+-5)))*-5)))/-5)--5)+(-5*(((78.41*(78.41-(-5/-5)))*(78.41-(78.41/(-5*78.41))))-(-5/-5)))))</f>
        <v>2398295.595405</v>
      </c>
      <c r="C17842" t="n" s="0">
        <v>2398295.5954049993</v>
      </c>
    </row>
    <row r="17843">
      <c r="A17843" t="n" s="0">
        <v>78.42</v>
      </c>
      <c r="B17843" t="n" s="0">
        <f>(-5-((((-5*(-5/((-5/(((-5*(78.42--5))-(-5+((-5*78.42)*(((-5--5)+(78.42--5))+78.42))))-(-5+-5)))*-5)))/-5)--5)+(-5*(((78.42*(78.42-(-5/-5)))*(78.42-(78.42/(-5*78.42))))-(-5/-5)))))</f>
        <v>2399214.8256400004</v>
      </c>
      <c r="C17843" t="n" s="0">
        <v>2399214.82564</v>
      </c>
    </row>
    <row r="17844">
      <c r="A17844" t="n" s="0">
        <v>78.43</v>
      </c>
      <c r="B17844" t="n" s="0">
        <f>(-5-((((-5*(-5/((-5/(((-5*(78.43--5))-(-5+((-5*78.43)*(((-5--5)+(78.43--5))+78.43))))-(-5+-5)))*-5)))/-5)--5)+(-5*(((78.43*(78.43-(-5/-5)))*(78.43-(78.43/(-5*78.43))))-(-5/-5)))))</f>
        <v>2400134.290735</v>
      </c>
      <c r="C17844" t="n" s="0">
        <v>2400134.2907350003</v>
      </c>
    </row>
    <row r="17845">
      <c r="A17845" t="n" s="0">
        <v>78.44</v>
      </c>
      <c r="B17845" t="n" s="0">
        <f>(-5-((((-5*(-5/((-5/(((-5*(78.44--5))-(-5+((-5*78.44)*(((-5--5)+(78.44--5))+78.44))))-(-5+-5)))*-5)))/-5)--5)+(-5*(((78.44*(78.44-(-5/-5)))*(78.44-(78.44/(-5*78.44))))-(-5/-5)))))</f>
        <v>2401053.9907199997</v>
      </c>
      <c r="C17845" t="n" s="0">
        <v>2401053.9907199997</v>
      </c>
    </row>
    <row r="17846">
      <c r="A17846" t="n" s="0">
        <v>78.45</v>
      </c>
      <c r="B17846" t="n" s="0">
        <f>(-5-((((-5*(-5/((-5/(((-5*(78.45--5))-(-5+((-5*78.45)*(((-5--5)+(78.45--5))+78.45))))-(-5+-5)))*-5)))/-5)--5)+(-5*(((78.45*(78.45-(-5/-5)))*(78.45-(78.45/(-5*78.45))))-(-5/-5)))))</f>
        <v>2401973.925625</v>
      </c>
      <c r="C17846" t="n" s="0">
        <v>2401973.925625</v>
      </c>
    </row>
    <row r="17847">
      <c r="A17847" t="n" s="0">
        <v>78.46</v>
      </c>
      <c r="B17847" t="n" s="0">
        <f>(-5-((((-5*(-5/((-5/(((-5*(78.46--5))-(-5+((-5*78.46)*(((-5--5)+(78.46--5))+78.46))))-(-5+-5)))*-5)))/-5)--5)+(-5*(((78.46*(78.46-(-5/-5)))*(78.46-(78.46/(-5*78.46))))-(-5/-5)))))</f>
        <v>2402894.09548</v>
      </c>
      <c r="C17847" t="n" s="0">
        <v>2402894.095479999</v>
      </c>
    </row>
    <row r="17848">
      <c r="A17848" t="n" s="0">
        <v>78.47</v>
      </c>
      <c r="B17848" t="n" s="0">
        <f>(-5-((((-5*(-5/((-5/(((-5*(78.47--5))-(-5+((-5*78.47)*(((-5--5)+(78.47--5))+78.47))))-(-5+-5)))*-5)))/-5)--5)+(-5*(((78.47*(78.47-(-5/-5)))*(78.47-(78.47/(-5*78.47))))-(-5/-5)))))</f>
        <v>2403814.5003150003</v>
      </c>
      <c r="C17848" t="n" s="0">
        <v>2403814.5003150003</v>
      </c>
    </row>
    <row r="17849">
      <c r="A17849" t="n" s="0">
        <v>78.48</v>
      </c>
      <c r="B17849" t="n" s="0">
        <f>(-5-((((-5*(-5/((-5/(((-5*(78.48--5))-(-5+((-5*78.48)*(((-5--5)+(78.48--5))+78.48))))-(-5+-5)))*-5)))/-5)--5)+(-5*(((78.48*(78.48-(-5/-5)))*(78.48-(78.48/(-5*78.48))))-(-5/-5)))))</f>
        <v>2404735.14016</v>
      </c>
      <c r="C17849" t="n" s="0">
        <v>2404735.1401600004</v>
      </c>
    </row>
    <row r="17850">
      <c r="A17850" t="n" s="0">
        <v>78.49</v>
      </c>
      <c r="B17850" t="n" s="0">
        <f>(-5-((((-5*(-5/((-5/(((-5*(78.49--5))-(-5+((-5*78.49)*(((-5--5)+(78.49--5))+78.49))))-(-5+-5)))*-5)))/-5)--5)+(-5*(((78.49*(78.49-(-5/-5)))*(78.49-(78.49/(-5*78.49))))-(-5/-5)))))</f>
        <v>2405656.015045</v>
      </c>
      <c r="C17850" t="n" s="0">
        <v>2405656.015045</v>
      </c>
    </row>
    <row r="17851">
      <c r="A17851" t="n" s="0">
        <v>78.5</v>
      </c>
      <c r="B17851" t="n" s="0">
        <f>(-5-((((-5*(-5/((-5/(((-5*(78.5--5))-(-5+((-5*78.5)*(((-5--5)+(78.5--5))+78.5))))-(-5+-5)))*-5)))/-5)--5)+(-5*(((78.5*(78.5-(-5/-5)))*(78.5-(78.5/(-5*78.5))))-(-5/-5)))))</f>
        <v>2406577.125</v>
      </c>
      <c r="C17851" t="n" s="0">
        <v>2406577.125</v>
      </c>
    </row>
    <row r="17852">
      <c r="A17852" t="n" s="0">
        <v>78.51</v>
      </c>
      <c r="B17852" t="n" s="0">
        <f>(-5-((((-5*(-5/((-5/(((-5*(78.51--5))-(-5+((-5*78.51)*(((-5--5)+(78.51--5))+78.51))))-(-5+-5)))*-5)))/-5)--5)+(-5*(((78.51*(78.51-(-5/-5)))*(78.51-(78.51/(-5*78.51))))-(-5/-5)))))</f>
        <v>2407498.470055</v>
      </c>
      <c r="C17852" t="n" s="0">
        <v>2407498.4700550004</v>
      </c>
    </row>
    <row r="17853">
      <c r="A17853" t="n" s="0">
        <v>78.52</v>
      </c>
      <c r="B17853" t="n" s="0">
        <f>(-5-((((-5*(-5/((-5/(((-5*(78.52--5))-(-5+((-5*78.52)*(((-5--5)+(78.52--5))+78.52))))-(-5+-5)))*-5)))/-5)--5)+(-5*(((78.52*(78.52-(-5/-5)))*(78.52-(78.52/(-5*78.52))))-(-5/-5)))))</f>
        <v>2408420.05024</v>
      </c>
      <c r="C17853" t="n" s="0">
        <v>2408420.05024</v>
      </c>
    </row>
    <row r="17854">
      <c r="A17854" t="n" s="0">
        <v>78.53</v>
      </c>
      <c r="B17854" t="n" s="0">
        <f>(-5-((((-5*(-5/((-5/(((-5*(78.53--5))-(-5+((-5*78.53)*(((-5--5)+(78.53--5))+78.53))))-(-5+-5)))*-5)))/-5)--5)+(-5*(((78.53*(78.53-(-5/-5)))*(78.53-(78.53/(-5*78.53))))-(-5/-5)))))</f>
        <v>2409341.865585</v>
      </c>
      <c r="C17854" t="n" s="0">
        <v>2409341.865585</v>
      </c>
    </row>
    <row r="17855">
      <c r="A17855" t="n" s="0">
        <v>78.54</v>
      </c>
      <c r="B17855" t="n" s="0">
        <f>(-5-((((-5*(-5/((-5/(((-5*(78.54--5))-(-5+((-5*78.54)*(((-5--5)+(78.54--5))+78.54))))-(-5+-5)))*-5)))/-5)--5)+(-5*(((78.54*(78.54-(-5/-5)))*(78.54-(78.54/(-5*78.54))))-(-5/-5)))))</f>
        <v>2410263.9161199997</v>
      </c>
      <c r="C17855" t="n" s="0">
        <v>2410263.9161200006</v>
      </c>
    </row>
    <row r="17856">
      <c r="A17856" t="n" s="0">
        <v>78.55</v>
      </c>
      <c r="B17856" t="n" s="0">
        <f>(-5-((((-5*(-5/((-5/(((-5*(78.55--5))-(-5+((-5*78.55)*(((-5--5)+(78.55--5))+78.55))))-(-5+-5)))*-5)))/-5)--5)+(-5*(((78.55*(78.55-(-5/-5)))*(78.55-(78.55/(-5*78.55))))-(-5/-5)))))</f>
        <v>2411186.201875</v>
      </c>
      <c r="C17856" t="n" s="0">
        <v>2411186.2018749993</v>
      </c>
    </row>
    <row r="17857">
      <c r="A17857" t="n" s="0">
        <v>78.56</v>
      </c>
      <c r="B17857" t="n" s="0">
        <f>(-5-((((-5*(-5/((-5/(((-5*(78.56--5))-(-5+((-5*78.56)*(((-5--5)+(78.56--5))+78.56))))-(-5+-5)))*-5)))/-5)--5)+(-5*(((78.56*(78.56-(-5/-5)))*(78.56-(78.56/(-5*78.56))))-(-5/-5)))))</f>
        <v>2412108.72288</v>
      </c>
      <c r="C17857" t="n" s="0">
        <v>2412108.7228800002</v>
      </c>
    </row>
    <row r="17858">
      <c r="A17858" t="n" s="0">
        <v>78.57</v>
      </c>
      <c r="B17858" t="n" s="0">
        <f>(-5-((((-5*(-5/((-5/(((-5*(78.57--5))-(-5+((-5*78.57)*(((-5--5)+(78.57--5))+78.57))))-(-5+-5)))*-5)))/-5)--5)+(-5*(((78.57*(78.57-(-5/-5)))*(78.57-(78.57/(-5*78.57))))-(-5/-5)))))</f>
        <v>2413031.479165</v>
      </c>
      <c r="C17858" t="n" s="0">
        <v>2413031.4791649994</v>
      </c>
    </row>
    <row r="17859">
      <c r="A17859" t="n" s="0">
        <v>78.58</v>
      </c>
      <c r="B17859" t="n" s="0">
        <f>(-5-((((-5*(-5/((-5/(((-5*(78.58--5))-(-5+((-5*78.58)*(((-5--5)+(78.58--5))+78.58))))-(-5+-5)))*-5)))/-5)--5)+(-5*(((78.58*(78.58-(-5/-5)))*(78.58-(78.58/(-5*78.58))))-(-5/-5)))))</f>
        <v>2413954.47076</v>
      </c>
      <c r="C17859" t="n" s="0">
        <v>2413954.4707600004</v>
      </c>
    </row>
    <row r="17860">
      <c r="A17860" t="n" s="0">
        <v>78.59</v>
      </c>
      <c r="B17860" t="n" s="0">
        <f>(-5-((((-5*(-5/((-5/(((-5*(78.59--5))-(-5+((-5*78.59)*(((-5--5)+(78.59--5))+78.59))))-(-5+-5)))*-5)))/-5)--5)+(-5*(((78.59*(78.59-(-5/-5)))*(78.59-(78.59/(-5*78.59))))-(-5/-5)))))</f>
        <v>2414877.697695</v>
      </c>
      <c r="C17860" t="n" s="0">
        <v>2414877.697695</v>
      </c>
    </row>
    <row r="17861">
      <c r="A17861" t="n" s="0">
        <v>78.6</v>
      </c>
      <c r="B17861" t="n" s="0">
        <f>(-5-((((-5*(-5/((-5/(((-5*(78.6--5))-(-5+((-5*78.6)*(((-5--5)+(78.6--5))+78.6))))-(-5+-5)))*-5)))/-5)--5)+(-5*(((78.6*(78.6-(-5/-5)))*(78.6-(78.6/(-5*78.6))))-(-5/-5)))))</f>
        <v>2415801.1599999997</v>
      </c>
      <c r="C17861" t="n" s="0">
        <v>2415801.159999999</v>
      </c>
    </row>
    <row r="17862">
      <c r="A17862" t="n" s="0">
        <v>78.61</v>
      </c>
      <c r="B17862" t="n" s="0">
        <f>(-5-((((-5*(-5/((-5/(((-5*(78.61--5))-(-5+((-5*78.61)*(((-5--5)+(78.61--5))+78.61))))-(-5+-5)))*-5)))/-5)--5)+(-5*(((78.61*(78.61-(-5/-5)))*(78.61-(78.61/(-5*78.61))))-(-5/-5)))))</f>
        <v>2416724.857705</v>
      </c>
      <c r="C17862" t="n" s="0">
        <v>2416724.857705</v>
      </c>
    </row>
    <row r="17863">
      <c r="A17863" t="n" s="0">
        <v>78.62</v>
      </c>
      <c r="B17863" t="n" s="0">
        <f>(-5-((((-5*(-5/((-5/(((-5*(78.62--5))-(-5+((-5*78.62)*(((-5--5)+(78.62--5))+78.62))))-(-5+-5)))*-5)))/-5)--5)+(-5*(((78.62*(78.62-(-5/-5)))*(78.62-(78.62/(-5*78.62))))-(-5/-5)))))</f>
        <v>2417648.79084</v>
      </c>
      <c r="C17863" t="n" s="0">
        <v>2417648.7908400004</v>
      </c>
    </row>
    <row r="17864">
      <c r="A17864" t="n" s="0">
        <v>78.63</v>
      </c>
      <c r="B17864" t="n" s="0">
        <f>(-5-((((-5*(-5/((-5/(((-5*(78.63--5))-(-5+((-5*78.63)*(((-5--5)+(78.63--5))+78.63))))-(-5+-5)))*-5)))/-5)--5)+(-5*(((78.63*(78.63-(-5/-5)))*(78.63-(78.63/(-5*78.63))))-(-5/-5)))))</f>
        <v>2418572.959435</v>
      </c>
      <c r="C17864" t="n" s="0">
        <v>2418572.9594349996</v>
      </c>
    </row>
    <row r="17865">
      <c r="A17865" t="n" s="0">
        <v>78.64</v>
      </c>
      <c r="B17865" t="n" s="0">
        <f>(-5-((((-5*(-5/((-5/(((-5*(78.64--5))-(-5+((-5*78.64)*(((-5--5)+(78.64--5))+78.64))))-(-5+-5)))*-5)))/-5)--5)+(-5*(((78.64*(78.64-(-5/-5)))*(78.64-(78.64/(-5*78.64))))-(-5/-5)))))</f>
        <v>2419497.36352</v>
      </c>
      <c r="C17865" t="n" s="0">
        <v>2419497.3635199997</v>
      </c>
    </row>
    <row r="17866">
      <c r="A17866" t="n" s="0">
        <v>78.65</v>
      </c>
      <c r="B17866" t="n" s="0">
        <f>(-5-((((-5*(-5/((-5/(((-5*(78.65--5))-(-5+((-5*78.65)*(((-5--5)+(78.65--5))+78.65))))-(-5+-5)))*-5)))/-5)--5)+(-5*(((78.65*(78.65-(-5/-5)))*(78.65-(78.65/(-5*78.65))))-(-5/-5)))))</f>
        <v>2420422.0031250003</v>
      </c>
      <c r="C17866" t="n" s="0">
        <v>2420422.0031250007</v>
      </c>
    </row>
    <row r="17867">
      <c r="A17867" t="n" s="0">
        <v>78.66</v>
      </c>
      <c r="B17867" t="n" s="0">
        <f>(-5-((((-5*(-5/((-5/(((-5*(78.66--5))-(-5+((-5*78.66)*(((-5--5)+(78.66--5))+78.66))))-(-5+-5)))*-5)))/-5)--5)+(-5*(((78.66*(78.66-(-5/-5)))*(78.66-(78.66/(-5*78.66))))-(-5/-5)))))</f>
        <v>2421346.87828</v>
      </c>
      <c r="C17867" t="n" s="0">
        <v>2421346.87828</v>
      </c>
    </row>
    <row r="17868">
      <c r="A17868" t="n" s="0">
        <v>78.67</v>
      </c>
      <c r="B17868" t="n" s="0">
        <f>(-5-((((-5*(-5/((-5/(((-5*(78.67--5))-(-5+((-5*78.67)*(((-5--5)+(78.67--5))+78.67))))-(-5+-5)))*-5)))/-5)--5)+(-5*(((78.67*(78.67-(-5/-5)))*(78.67-(78.67/(-5*78.67))))-(-5/-5)))))</f>
        <v>2422271.989015</v>
      </c>
      <c r="C17868" t="n" s="0">
        <v>2422271.989015</v>
      </c>
    </row>
    <row r="17869">
      <c r="A17869" t="n" s="0">
        <v>78.68</v>
      </c>
      <c r="B17869" t="n" s="0">
        <f>(-5-((((-5*(-5/((-5/(((-5*(78.68--5))-(-5+((-5*78.68)*(((-5--5)+(78.68--5))+78.68))))-(-5+-5)))*-5)))/-5)--5)+(-5*(((78.68*(78.68-(-5/-5)))*(78.68-(78.68/(-5*78.68))))-(-5/-5)))))</f>
        <v>2423197.33536</v>
      </c>
      <c r="C17869" t="n" s="0">
        <v>2423197.335360001</v>
      </c>
    </row>
    <row r="17870">
      <c r="A17870" t="n" s="0">
        <v>78.69</v>
      </c>
      <c r="B17870" t="n" s="0">
        <f>(-5-((((-5*(-5/((-5/(((-5*(78.69--5))-(-5+((-5*78.69)*(((-5--5)+(78.69--5))+78.69))))-(-5+-5)))*-5)))/-5)--5)+(-5*(((78.69*(78.69-(-5/-5)))*(78.69-(78.69/(-5*78.69))))-(-5/-5)))))</f>
        <v>2424122.9173450004</v>
      </c>
      <c r="C17870" t="n" s="0">
        <v>2424122.917345</v>
      </c>
    </row>
    <row r="17871">
      <c r="A17871" t="n" s="0">
        <v>78.7</v>
      </c>
      <c r="B17871" t="n" s="0">
        <f>(-5-((((-5*(-5/((-5/(((-5*(78.7--5))-(-5+((-5*78.7)*(((-5--5)+(78.7--5))+78.7))))-(-5+-5)))*-5)))/-5)--5)+(-5*(((78.7*(78.7-(-5/-5)))*(78.7-(78.7/(-5*78.7))))-(-5/-5)))))</f>
        <v>2425048.7350000003</v>
      </c>
      <c r="C17871" t="n" s="0">
        <v>2425048.7350000003</v>
      </c>
    </row>
    <row r="17872">
      <c r="A17872" t="n" s="0">
        <v>78.71</v>
      </c>
      <c r="B17872" t="n" s="0">
        <f>(-5-((((-5*(-5/((-5/(((-5*(78.71--5))-(-5+((-5*78.71)*(((-5--5)+(78.71--5))+78.71))))-(-5+-5)))*-5)))/-5)--5)+(-5*(((78.71*(78.71-(-5/-5)))*(78.71-(78.71/(-5*78.71))))-(-5/-5)))))</f>
        <v>2425974.788355</v>
      </c>
      <c r="C17872" t="n" s="0">
        <v>2425974.7883549994</v>
      </c>
    </row>
    <row r="17873">
      <c r="A17873" t="n" s="0">
        <v>78.72</v>
      </c>
      <c r="B17873" t="n" s="0">
        <f>(-5-((((-5*(-5/((-5/(((-5*(78.72--5))-(-5+((-5*78.72)*(((-5--5)+(78.72--5))+78.72))))-(-5+-5)))*-5)))/-5)--5)+(-5*(((78.72*(78.72-(-5/-5)))*(78.72-(78.72/(-5*78.72))))-(-5/-5)))))</f>
        <v>2426901.0774399997</v>
      </c>
      <c r="C17873" t="n" s="0">
        <v>2426901.0774399997</v>
      </c>
    </row>
    <row r="17874">
      <c r="A17874" t="n" s="0">
        <v>78.73</v>
      </c>
      <c r="B17874" t="n" s="0">
        <f>(-5-((((-5*(-5/((-5/(((-5*(78.73--5))-(-5+((-5*78.73)*(((-5--5)+(78.73--5))+78.73))))-(-5+-5)))*-5)))/-5)--5)+(-5*(((78.73*(78.73-(-5/-5)))*(78.73-(78.73/(-5*78.73))))-(-5/-5)))))</f>
        <v>2427827.602285</v>
      </c>
      <c r="C17874" t="n" s="0">
        <v>2427827.602285</v>
      </c>
    </row>
    <row r="17875">
      <c r="A17875" t="n" s="0">
        <v>78.74</v>
      </c>
      <c r="B17875" t="n" s="0">
        <f>(-5-((((-5*(-5/((-5/(((-5*(78.74--5))-(-5+((-5*78.74)*(((-5--5)+(78.74--5))+78.74))))-(-5+-5)))*-5)))/-5)--5)+(-5*(((78.74*(78.74-(-5/-5)))*(78.74-(78.74/(-5*78.74))))-(-5/-5)))))</f>
        <v>2428754.36292</v>
      </c>
      <c r="C17875" t="n" s="0">
        <v>2428754.3629199998</v>
      </c>
    </row>
    <row r="17876">
      <c r="A17876" t="n" s="0">
        <v>78.75</v>
      </c>
      <c r="B17876" t="n" s="0">
        <f>(-5-((((-5*(-5/((-5/(((-5*(78.75--5))-(-5+((-5*78.75)*(((-5--5)+(78.75--5))+78.75))))-(-5+-5)))*-5)))/-5)--5)+(-5*(((78.75*(78.75-(-5/-5)))*(78.75-(78.75/(-5*78.75))))-(-5/-5)))))</f>
        <v>2429681.359375</v>
      </c>
      <c r="C17876" t="n" s="0">
        <v>2429681.359375</v>
      </c>
    </row>
    <row r="17877">
      <c r="A17877" t="n" s="0">
        <v>78.76</v>
      </c>
      <c r="B17877" t="n" s="0">
        <f>(-5-((((-5*(-5/((-5/(((-5*(78.76--5))-(-5+((-5*78.76)*(((-5--5)+(78.76--5))+78.76))))-(-5+-5)))*-5)))/-5)--5)+(-5*(((78.76*(78.76-(-5/-5)))*(78.76-(78.76/(-5*78.76))))-(-5/-5)))))</f>
        <v>2430608.59168</v>
      </c>
      <c r="C17877" t="n" s="0">
        <v>2430608.59168</v>
      </c>
    </row>
    <row r="17878">
      <c r="A17878" t="n" s="0">
        <v>78.77</v>
      </c>
      <c r="B17878" t="n" s="0">
        <f>(-5-((((-5*(-5/((-5/(((-5*(78.77--5))-(-5+((-5*78.77)*(((-5--5)+(78.77--5))+78.77))))-(-5+-5)))*-5)))/-5)--5)+(-5*(((78.77*(78.77-(-5/-5)))*(78.77-(78.77/(-5*78.77))))-(-5/-5)))))</f>
        <v>2431536.0598649997</v>
      </c>
      <c r="C17878" t="n" s="0">
        <v>2431536.0598649997</v>
      </c>
    </row>
    <row r="17879">
      <c r="A17879" t="n" s="0">
        <v>78.78</v>
      </c>
      <c r="B17879" t="n" s="0">
        <f>(-5-((((-5*(-5/((-5/(((-5*(78.78--5))-(-5+((-5*78.78)*(((-5--5)+(78.78--5))+78.78))))-(-5+-5)))*-5)))/-5)--5)+(-5*(((78.78*(78.78-(-5/-5)))*(78.78-(78.78/(-5*78.78))))-(-5/-5)))))</f>
        <v>2432463.76396</v>
      </c>
      <c r="C17879" t="n" s="0">
        <v>2432463.76396</v>
      </c>
    </row>
    <row r="17880">
      <c r="A17880" t="n" s="0">
        <v>78.79</v>
      </c>
      <c r="B17880" t="n" s="0">
        <f>(-5-((((-5*(-5/((-5/(((-5*(78.79--5))-(-5+((-5*78.79)*(((-5--5)+(78.79--5))+78.79))))-(-5+-5)))*-5)))/-5)--5)+(-5*(((78.79*(78.79-(-5/-5)))*(78.79-(78.79/(-5*78.79))))-(-5/-5)))))</f>
        <v>2433391.703995</v>
      </c>
      <c r="C17880" t="n" s="0">
        <v>2433391.703995001</v>
      </c>
    </row>
    <row r="17881">
      <c r="A17881" t="n" s="0">
        <v>78.8</v>
      </c>
      <c r="B17881" t="n" s="0">
        <f>(-5-((((-5*(-5/((-5/(((-5*(78.8--5))-(-5+((-5*78.8)*(((-5--5)+(78.8--5))+78.8))))-(-5+-5)))*-5)))/-5)--5)+(-5*(((78.8*(78.8-(-5/-5)))*(78.8-(78.8/(-5*78.8))))-(-5/-5)))))</f>
        <v>2434319.88</v>
      </c>
      <c r="C17881" t="n" s="0">
        <v>2434319.88</v>
      </c>
    </row>
    <row r="17882">
      <c r="A17882" t="n" s="0">
        <v>78.81</v>
      </c>
      <c r="B17882" t="n" s="0">
        <f>(-5-((((-5*(-5/((-5/(((-5*(78.81--5))-(-5+((-5*78.81)*(((-5--5)+(78.81--5))+78.81))))-(-5+-5)))*-5)))/-5)--5)+(-5*(((78.81*(78.81-(-5/-5)))*(78.81-(78.81/(-5*78.81))))-(-5/-5)))))</f>
        <v>2435248.292005</v>
      </c>
      <c r="C17882" t="n" s="0">
        <v>2435248.2920050006</v>
      </c>
    </row>
    <row r="17883">
      <c r="A17883" t="n" s="0">
        <v>78.82</v>
      </c>
      <c r="B17883" t="n" s="0">
        <f>(-5-((((-5*(-5/((-5/(((-5*(78.82--5))-(-5+((-5*78.82)*(((-5--5)+(78.82--5))+78.82))))-(-5+-5)))*-5)))/-5)--5)+(-5*(((78.82*(78.82-(-5/-5)))*(78.82-(78.82/(-5*78.82))))-(-5/-5)))))</f>
        <v>2436176.9400400002</v>
      </c>
      <c r="C17883" t="n" s="0">
        <v>2436176.9400399993</v>
      </c>
    </row>
    <row r="17884">
      <c r="A17884" t="n" s="0">
        <v>78.83</v>
      </c>
      <c r="B17884" t="n" s="0">
        <f>(-5-((((-5*(-5/((-5/(((-5*(78.83--5))-(-5+((-5*78.83)*(((-5--5)+(78.83--5))+78.83))))-(-5+-5)))*-5)))/-5)--5)+(-5*(((78.83*(78.83-(-5/-5)))*(78.83-(78.83/(-5*78.83))))-(-5/-5)))))</f>
        <v>2437105.8241350004</v>
      </c>
      <c r="C17884" t="n" s="0">
        <v>2437105.8241350004</v>
      </c>
    </row>
    <row r="17885">
      <c r="A17885" t="n" s="0">
        <v>78.84</v>
      </c>
      <c r="B17885" t="n" s="0">
        <f>(-5-((((-5*(-5/((-5/(((-5*(78.84--5))-(-5+((-5*78.84)*(((-5--5)+(78.84--5))+78.84))))-(-5+-5)))*-5)))/-5)--5)+(-5*(((78.84*(78.84-(-5/-5)))*(78.84-(78.84/(-5*78.84))))-(-5/-5)))))</f>
        <v>2438034.94432</v>
      </c>
      <c r="C17885" t="n" s="0">
        <v>2438034.9443200002</v>
      </c>
    </row>
    <row r="17886">
      <c r="A17886" t="n" s="0">
        <v>78.85</v>
      </c>
      <c r="B17886" t="n" s="0">
        <f>(-5-((((-5*(-5/((-5/(((-5*(78.85--5))-(-5+((-5*78.85)*(((-5--5)+(78.85--5))+78.85))))-(-5+-5)))*-5)))/-5)--5)+(-5*(((78.85*(78.85-(-5/-5)))*(78.85-(78.85/(-5*78.85))))-(-5/-5)))))</f>
        <v>2438964.300625</v>
      </c>
      <c r="C17886" t="n" s="0">
        <v>2438964.300624999</v>
      </c>
    </row>
    <row r="17887">
      <c r="A17887" t="n" s="0">
        <v>78.86</v>
      </c>
      <c r="B17887" t="n" s="0">
        <f>(-5-((((-5*(-5/((-5/(((-5*(78.86--5))-(-5+((-5*78.86)*(((-5--5)+(78.86--5))+78.86))))-(-5+-5)))*-5)))/-5)--5)+(-5*(((78.86*(78.86-(-5/-5)))*(78.86-(78.86/(-5*78.86))))-(-5/-5)))))</f>
        <v>2439893.8930800003</v>
      </c>
      <c r="C17887" t="n" s="0">
        <v>2439893.8930800003</v>
      </c>
    </row>
    <row r="17888">
      <c r="A17888" t="n" s="0">
        <v>78.87</v>
      </c>
      <c r="B17888" t="n" s="0">
        <f>(-5-((((-5*(-5/((-5/(((-5*(78.87--5))-(-5+((-5*78.87)*(((-5--5)+(78.87--5))+78.87))))-(-5+-5)))*-5)))/-5)--5)+(-5*(((78.87*(78.87-(-5/-5)))*(78.87-(78.87/(-5*78.87))))-(-5/-5)))))</f>
        <v>2440823.7217150005</v>
      </c>
      <c r="C17888" t="n" s="0">
        <v>2440823.7217150005</v>
      </c>
    </row>
    <row r="17889">
      <c r="A17889" t="n" s="0">
        <v>78.88</v>
      </c>
      <c r="B17889" t="n" s="0">
        <f>(-5-((((-5*(-5/((-5/(((-5*(78.88--5))-(-5+((-5*78.88)*(((-5--5)+(78.88--5))+78.88))))-(-5+-5)))*-5)))/-5)--5)+(-5*(((78.88*(78.88-(-5/-5)))*(78.88-(78.88/(-5*78.88))))-(-5/-5)))))</f>
        <v>2441753.78656</v>
      </c>
      <c r="C17889" t="n" s="0">
        <v>2441753.78656</v>
      </c>
    </row>
    <row r="17890">
      <c r="A17890" t="n" s="0">
        <v>78.89</v>
      </c>
      <c r="B17890" t="n" s="0">
        <f>(-5-((((-5*(-5/((-5/(((-5*(78.89--5))-(-5+((-5*78.89)*(((-5--5)+(78.89--5))+78.89))))-(-5+-5)))*-5)))/-5)--5)+(-5*(((78.89*(78.89-(-5/-5)))*(78.89-(78.89/(-5*78.89))))-(-5/-5)))))</f>
        <v>2442684.0876450003</v>
      </c>
      <c r="C17890" t="n" s="0">
        <v>2442684.087645</v>
      </c>
    </row>
    <row r="17891">
      <c r="A17891" t="n" s="0">
        <v>78.9</v>
      </c>
      <c r="B17891" t="n" s="0">
        <f>(-5-((((-5*(-5/((-5/(((-5*(78.9--5))-(-5+((-5*78.9)*(((-5--5)+(78.9--5))+78.9))))-(-5+-5)))*-5)))/-5)--5)+(-5*(((78.9*(78.9-(-5/-5)))*(78.9-(78.9/(-5*78.9))))-(-5/-5)))))</f>
        <v>2443614.625</v>
      </c>
      <c r="C17891" t="n" s="0">
        <v>2443614.625000001</v>
      </c>
    </row>
    <row r="17892">
      <c r="A17892" t="n" s="0">
        <v>78.91</v>
      </c>
      <c r="B17892" t="n" s="0">
        <f>(-5-((((-5*(-5/((-5/(((-5*(78.91--5))-(-5+((-5*78.91)*(((-5--5)+(78.91--5))+78.91))))-(-5+-5)))*-5)))/-5)--5)+(-5*(((78.91*(78.91-(-5/-5)))*(78.91-(78.91/(-5*78.91))))-(-5/-5)))))</f>
        <v>2444545.398655</v>
      </c>
      <c r="C17892" t="n" s="0">
        <v>2444545.3986549997</v>
      </c>
    </row>
    <row r="17893">
      <c r="A17893" t="n" s="0">
        <v>78.92</v>
      </c>
      <c r="B17893" t="n" s="0">
        <f>(-5-((((-5*(-5/((-5/(((-5*(78.92--5))-(-5+((-5*78.92)*(((-5--5)+(78.92--5))+78.92))))-(-5+-5)))*-5)))/-5)--5)+(-5*(((78.92*(78.92-(-5/-5)))*(78.92-(78.92/(-5*78.92))))-(-5/-5)))))</f>
        <v>2445476.40864</v>
      </c>
      <c r="C17893" t="n" s="0">
        <v>2445476.40864</v>
      </c>
    </row>
    <row r="17894">
      <c r="A17894" t="n" s="0">
        <v>78.93</v>
      </c>
      <c r="B17894" t="n" s="0">
        <f>(-5-((((-5*(-5/((-5/(((-5*(78.93--5))-(-5+((-5*78.93)*(((-5--5)+(78.93--5))+78.93))))-(-5+-5)))*-5)))/-5)--5)+(-5*(((78.93*(78.93-(-5/-5)))*(78.93-(78.93/(-5*78.93))))-(-5/-5)))))</f>
        <v>2446407.6549850004</v>
      </c>
      <c r="C17894" t="n" s="0">
        <v>2446407.6549850004</v>
      </c>
    </row>
    <row r="17895">
      <c r="A17895" t="n" s="0">
        <v>78.94</v>
      </c>
      <c r="B17895" t="n" s="0">
        <f>(-5-((((-5*(-5/((-5/(((-5*(78.94--5))-(-5+((-5*78.94)*(((-5--5)+(78.94--5))+78.94))))-(-5+-5)))*-5)))/-5)--5)+(-5*(((78.94*(78.94-(-5/-5)))*(78.94-(78.94/(-5*78.94))))-(-5/-5)))))</f>
        <v>2447339.13772</v>
      </c>
      <c r="C17895" t="n" s="0">
        <v>2447339.1377199995</v>
      </c>
    </row>
    <row r="17896">
      <c r="A17896" t="n" s="0">
        <v>78.95</v>
      </c>
      <c r="B17896" t="n" s="0">
        <f>(-5-((((-5*(-5/((-5/(((-5*(78.95--5))-(-5+((-5*78.95)*(((-5--5)+(78.95--5))+78.95))))-(-5+-5)))*-5)))/-5)--5)+(-5*(((78.95*(78.95-(-5/-5)))*(78.95-(78.95/(-5*78.95))))-(-5/-5)))))</f>
        <v>2448270.856875</v>
      </c>
      <c r="C17896" t="n" s="0">
        <v>2448270.856875</v>
      </c>
    </row>
    <row r="17897">
      <c r="A17897" t="n" s="0">
        <v>78.96</v>
      </c>
      <c r="B17897" t="n" s="0">
        <f>(-5-((((-5*(-5/((-5/(((-5*(78.96--5))-(-5+((-5*78.96)*(((-5--5)+(78.96--5))+78.96))))-(-5+-5)))*-5)))/-5)--5)+(-5*(((78.96*(78.96-(-5/-5)))*(78.96-(78.96/(-5*78.96))))-(-5/-5)))))</f>
        <v>2449202.81248</v>
      </c>
      <c r="C17897" t="n" s="0">
        <v>2449202.8124799994</v>
      </c>
    </row>
    <row r="17898">
      <c r="A17898" t="n" s="0">
        <v>78.97</v>
      </c>
      <c r="B17898" t="n" s="0">
        <f>(-5-((((-5*(-5/((-5/(((-5*(78.97--5))-(-5+((-5*78.97)*(((-5--5)+(78.97--5))+78.97))))-(-5+-5)))*-5)))/-5)--5)+(-5*(((78.97*(78.97-(-5/-5)))*(78.97-(78.97/(-5*78.97))))-(-5/-5)))))</f>
        <v>2450135.004565</v>
      </c>
      <c r="C17898" t="n" s="0">
        <v>2450135.0045649996</v>
      </c>
    </row>
    <row r="17899">
      <c r="A17899" t="n" s="0">
        <v>78.98</v>
      </c>
      <c r="B17899" t="n" s="0">
        <f>(-5-((((-5*(-5/((-5/(((-5*(78.98--5))-(-5+((-5*78.98)*(((-5--5)+(78.98--5))+78.98))))-(-5+-5)))*-5)))/-5)--5)+(-5*(((78.98*(78.98-(-5/-5)))*(78.98-(78.98/(-5*78.98))))-(-5/-5)))))</f>
        <v>2451067.43316</v>
      </c>
      <c r="C17899" t="n" s="0">
        <v>2451067.43316</v>
      </c>
    </row>
    <row r="17900">
      <c r="A17900" t="n" s="0">
        <v>78.99</v>
      </c>
      <c r="B17900" t="n" s="0">
        <f>(-5-((((-5*(-5/((-5/(((-5*(78.99--5))-(-5+((-5*78.99)*(((-5--5)+(78.99--5))+78.99))))-(-5+-5)))*-5)))/-5)--5)+(-5*(((78.99*(78.99-(-5/-5)))*(78.99-(78.99/(-5*78.99))))-(-5/-5)))))</f>
        <v>2452000.098295</v>
      </c>
      <c r="C17900" t="n" s="0">
        <v>2452000.098295</v>
      </c>
    </row>
    <row r="17901">
      <c r="A17901" t="n" s="0">
        <v>79.0</v>
      </c>
      <c r="B17901" t="n" s="0">
        <f>(-5-((((-5*(-5/((-5/(((-5*(79--5))-(-5+((-5*79)*(((-5--5)+(79--5))+79))))-(-5+-5)))*-5)))/-5)--5)+(-5*(((79*(79-(-5/-5)))*(79-(79/(-5*79))))-(-5/-5)))))</f>
        <v>2452933.0</v>
      </c>
      <c r="C17901" t="n" s="0">
        <v>2452933.0</v>
      </c>
    </row>
    <row r="17902">
      <c r="A17902" t="n" s="0">
        <v>79.01</v>
      </c>
      <c r="B17902" t="n" s="0">
        <f>(-5-((((-5*(-5/((-5/(((-5*(79.01--5))-(-5+((-5*79.01)*(((-5--5)+(79.01--5))+79.01))))-(-5+-5)))*-5)))/-5)--5)+(-5*(((79.01*(79.01-(-5/-5)))*(79.01-(79.01/(-5*79.01))))-(-5/-5)))))</f>
        <v>2453866.138305</v>
      </c>
      <c r="C17902" t="n" s="0">
        <v>2453866.1383050005</v>
      </c>
    </row>
    <row r="17903">
      <c r="A17903" t="n" s="0">
        <v>79.02</v>
      </c>
      <c r="B17903" t="n" s="0">
        <f>(-5-((((-5*(-5/((-5/(((-5*(79.02--5))-(-5+((-5*79.02)*(((-5--5)+(79.02--5))+79.02))))-(-5+-5)))*-5)))/-5)--5)+(-5*(((79.02*(79.02-(-5/-5)))*(79.02-(79.02/(-5*79.02))))-(-5/-5)))))</f>
        <v>2454799.51324</v>
      </c>
      <c r="C17903" t="n" s="0">
        <v>2454799.51324</v>
      </c>
    </row>
    <row r="17904">
      <c r="A17904" t="n" s="0">
        <v>79.03</v>
      </c>
      <c r="B17904" t="n" s="0">
        <f>(-5-((((-5*(-5/((-5/(((-5*(79.03--5))-(-5+((-5*79.03)*(((-5--5)+(79.03--5))+79.03))))-(-5+-5)))*-5)))/-5)--5)+(-5*(((79.03*(79.03-(-5/-5)))*(79.03-(79.03/(-5*79.03))))-(-5/-5)))))</f>
        <v>2455733.124835</v>
      </c>
      <c r="C17904" t="n" s="0">
        <v>2455733.124835</v>
      </c>
    </row>
    <row r="17905">
      <c r="A17905" t="n" s="0">
        <v>79.04</v>
      </c>
      <c r="B17905" t="n" s="0">
        <f>(-5-((((-5*(-5/((-5/(((-5*(79.04--5))-(-5+((-5*79.04)*(((-5--5)+(79.04--5))+79.04))))-(-5+-5)))*-5)))/-5)--5)+(-5*(((79.04*(79.04-(-5/-5)))*(79.04-(79.04/(-5*79.04))))-(-5/-5)))))</f>
        <v>2456666.9731199997</v>
      </c>
      <c r="C17905" t="n" s="0">
        <v>2456666.9731200007</v>
      </c>
    </row>
    <row r="17906">
      <c r="A17906" t="n" s="0">
        <v>79.05</v>
      </c>
      <c r="B17906" t="n" s="0">
        <f>(-5-((((-5*(-5/((-5/(((-5*(79.05--5))-(-5+((-5*79.05)*(((-5--5)+(79.05--5))+79.05))))-(-5+-5)))*-5)))/-5)--5)+(-5*(((79.05*(79.05-(-5/-5)))*(79.05-(79.05/(-5*79.05))))-(-5/-5)))))</f>
        <v>2457601.058125</v>
      </c>
      <c r="C17906" t="n" s="0">
        <v>2457601.0581249995</v>
      </c>
    </row>
    <row r="17907">
      <c r="A17907" t="n" s="0">
        <v>79.06</v>
      </c>
      <c r="B17907" t="n" s="0">
        <f>(-5-((((-5*(-5/((-5/(((-5*(79.06--5))-(-5+((-5*79.06)*(((-5--5)+(79.06--5))+79.06))))-(-5+-5)))*-5)))/-5)--5)+(-5*(((79.06*(79.06-(-5/-5)))*(79.06-(79.06/(-5*79.06))))-(-5/-5)))))</f>
        <v>2458535.37988</v>
      </c>
      <c r="C17907" t="n" s="0">
        <v>2458535.3798800004</v>
      </c>
    </row>
    <row r="17908">
      <c r="A17908" t="n" s="0">
        <v>79.07</v>
      </c>
      <c r="B17908" t="n" s="0">
        <f>(-5-((((-5*(-5/((-5/(((-5*(79.07--5))-(-5+((-5*79.07)*(((-5--5)+(79.07--5))+79.07))))-(-5+-5)))*-5)))/-5)--5)+(-5*(((79.07*(79.07-(-5/-5)))*(79.07-(79.07/(-5*79.07))))-(-5/-5)))))</f>
        <v>2459469.938415</v>
      </c>
      <c r="C17908" t="n" s="0">
        <v>2459469.9384149993</v>
      </c>
    </row>
    <row r="17909">
      <c r="A17909" t="n" s="0">
        <v>79.08</v>
      </c>
      <c r="B17909" t="n" s="0">
        <f>(-5-((((-5*(-5/((-5/(((-5*(79.08--5))-(-5+((-5*79.08)*(((-5--5)+(79.08--5))+79.08))))-(-5+-5)))*-5)))/-5)--5)+(-5*(((79.08*(79.08-(-5/-5)))*(79.08-(79.08/(-5*79.08))))-(-5/-5)))))</f>
        <v>2460404.7337599997</v>
      </c>
      <c r="C17909" t="n" s="0">
        <v>2460404.73376</v>
      </c>
    </row>
    <row r="17910">
      <c r="A17910" t="n" s="0">
        <v>79.09</v>
      </c>
      <c r="B17910" t="n" s="0">
        <f>(-5-((((-5*(-5/((-5/(((-5*(79.09--5))-(-5+((-5*79.09)*(((-5--5)+(79.09--5))+79.09))))-(-5+-5)))*-5)))/-5)--5)+(-5*(((79.09*(79.09-(-5/-5)))*(79.09-(79.09/(-5*79.09))))-(-5/-5)))))</f>
        <v>2461339.7659449996</v>
      </c>
      <c r="C17910" t="n" s="0">
        <v>2461339.7659450006</v>
      </c>
    </row>
    <row r="17911">
      <c r="A17911" t="n" s="0">
        <v>79.1</v>
      </c>
      <c r="B17911" t="n" s="0">
        <f>(-5-((((-5*(-5/((-5/(((-5*(79.1--5))-(-5+((-5*79.1)*(((-5--5)+(79.1--5))+79.1))))-(-5+-5)))*-5)))/-5)--5)+(-5*(((79.1*(79.1-(-5/-5)))*(79.1-(79.1/(-5*79.1))))-(-5/-5)))))</f>
        <v>2462275.035</v>
      </c>
      <c r="C17911" t="n" s="0">
        <v>2462275.034999999</v>
      </c>
    </row>
    <row r="17912">
      <c r="A17912" t="n" s="0">
        <v>79.11</v>
      </c>
      <c r="B17912" t="n" s="0">
        <f>(-5-((((-5*(-5/((-5/(((-5*(79.11--5))-(-5+((-5*79.11)*(((-5--5)+(79.11--5))+79.11))))-(-5+-5)))*-5)))/-5)--5)+(-5*(((79.11*(79.11-(-5/-5)))*(79.11-(79.11/(-5*79.11))))-(-5/-5)))))</f>
        <v>2463210.540955</v>
      </c>
      <c r="C17912" t="n" s="0">
        <v>2463210.540955</v>
      </c>
    </row>
    <row r="17913">
      <c r="A17913" t="n" s="0">
        <v>79.12</v>
      </c>
      <c r="B17913" t="n" s="0">
        <f>(-5-((((-5*(-5/((-5/(((-5*(79.12--5))-(-5+((-5*79.12)*(((-5--5)+(79.12--5))+79.12))))-(-5+-5)))*-5)))/-5)--5)+(-5*(((79.12*(79.12-(-5/-5)))*(79.12-(79.12/(-5*79.12))))-(-5/-5)))))</f>
        <v>2464146.2838399997</v>
      </c>
      <c r="C17913" t="n" s="0">
        <v>2464146.28384</v>
      </c>
    </row>
    <row r="17914">
      <c r="A17914" t="n" s="0">
        <v>79.13</v>
      </c>
      <c r="B17914" t="n" s="0">
        <f>(-5-((((-5*(-5/((-5/(((-5*(79.13--5))-(-5+((-5*79.13)*(((-5--5)+(79.13--5))+79.13))))-(-5+-5)))*-5)))/-5)--5)+(-5*(((79.13*(79.13-(-5/-5)))*(79.13-(79.13/(-5*79.13))))-(-5/-5)))))</f>
        <v>2465082.263685</v>
      </c>
      <c r="C17914" t="n" s="0">
        <v>2465082.2636849997</v>
      </c>
    </row>
    <row r="17915">
      <c r="A17915" t="n" s="0">
        <v>79.14</v>
      </c>
      <c r="B17915" t="n" s="0">
        <f>(-5-((((-5*(-5/((-5/(((-5*(79.14--5))-(-5+((-5*79.14)*(((-5--5)+(79.14--5))+79.14))))-(-5+-5)))*-5)))/-5)--5)+(-5*(((79.14*(79.14-(-5/-5)))*(79.14-(79.14/(-5*79.14))))-(-5/-5)))))</f>
        <v>2466018.4805199997</v>
      </c>
      <c r="C17915" t="n" s="0">
        <v>2466018.4805199997</v>
      </c>
    </row>
    <row r="17916">
      <c r="A17916" t="n" s="0">
        <v>79.15</v>
      </c>
      <c r="B17916" t="n" s="0">
        <f>(-5-((((-5*(-5/((-5/(((-5*(79.15--5))-(-5+((-5*79.15)*(((-5--5)+(79.15--5))+79.15))))-(-5+-5)))*-5)))/-5)--5)+(-5*(((79.15*(79.15-(-5/-5)))*(79.15-(79.15/(-5*79.15))))-(-5/-5)))))</f>
        <v>2466954.9343749997</v>
      </c>
      <c r="C17916" t="n" s="0">
        <v>2466954.934375001</v>
      </c>
    </row>
    <row r="17917">
      <c r="A17917" t="n" s="0">
        <v>79.16</v>
      </c>
      <c r="B17917" t="n" s="0">
        <f>(-5-((((-5*(-5/((-5/(((-5*(79.16--5))-(-5+((-5*79.16)*(((-5--5)+(79.16--5))+79.16))))-(-5+-5)))*-5)))/-5)--5)+(-5*(((79.16*(79.16-(-5/-5)))*(79.16-(79.16/(-5*79.16))))-(-5/-5)))))</f>
        <v>2467891.62528</v>
      </c>
      <c r="C17917" t="n" s="0">
        <v>2467891.6252799993</v>
      </c>
    </row>
    <row r="17918">
      <c r="A17918" t="n" s="0">
        <v>79.17</v>
      </c>
      <c r="B17918" t="n" s="0">
        <f>(-5-((((-5*(-5/((-5/(((-5*(79.17--5))-(-5+((-5*79.17)*(((-5--5)+(79.17--5))+79.17))))-(-5+-5)))*-5)))/-5)--5)+(-5*(((79.17*(79.17-(-5/-5)))*(79.17-(79.17/(-5*79.17))))-(-5/-5)))))</f>
        <v>2468828.5532649998</v>
      </c>
      <c r="C17918" t="n" s="0">
        <v>2468828.553265</v>
      </c>
    </row>
    <row r="17919">
      <c r="A17919" t="n" s="0">
        <v>79.18</v>
      </c>
      <c r="B17919" t="n" s="0">
        <f>(-5-((((-5*(-5/((-5/(((-5*(79.18--5))-(-5+((-5*79.18)*(((-5--5)+(79.18--5))+79.18))))-(-5+-5)))*-5)))/-5)--5)+(-5*(((79.18*(79.18-(-5/-5)))*(79.18-(79.18/(-5*79.18))))-(-5/-5)))))</f>
        <v>2469765.71836</v>
      </c>
      <c r="C17919" t="n" s="0">
        <v>2469765.7183600003</v>
      </c>
    </row>
    <row r="17920">
      <c r="A17920" t="n" s="0">
        <v>79.19</v>
      </c>
      <c r="B17920" t="n" s="0">
        <f>(-5-((((-5*(-5/((-5/(((-5*(79.19--5))-(-5+((-5*79.19)*(((-5--5)+(79.19--5))+79.19))))-(-5+-5)))*-5)))/-5)--5)+(-5*(((79.19*(79.19-(-5/-5)))*(79.19-(79.19/(-5*79.19))))-(-5/-5)))))</f>
        <v>2470703.120595</v>
      </c>
      <c r="C17920" t="n" s="0">
        <v>2470703.1205949998</v>
      </c>
    </row>
    <row r="17921">
      <c r="A17921" t="n" s="0">
        <v>79.2</v>
      </c>
      <c r="B17921" t="n" s="0">
        <f>(-5-((((-5*(-5/((-5/(((-5*(79.2--5))-(-5+((-5*79.2)*(((-5--5)+(79.2--5))+79.2))))-(-5+-5)))*-5)))/-5)--5)+(-5*(((79.2*(79.2-(-5/-5)))*(79.2-(79.2/(-5*79.2))))-(-5/-5)))))</f>
        <v>2471640.7600000002</v>
      </c>
      <c r="C17921" t="n" s="0">
        <v>2471640.7600000007</v>
      </c>
    </row>
    <row r="17922">
      <c r="A17922" t="n" s="0">
        <v>79.21</v>
      </c>
      <c r="B17922" t="n" s="0">
        <f>(-5-((((-5*(-5/((-5/(((-5*(79.21--5))-(-5+((-5*79.21)*(((-5--5)+(79.21--5))+79.21))))-(-5+-5)))*-5)))/-5)--5)+(-5*(((79.21*(79.21-(-5/-5)))*(79.21-(79.21/(-5*79.21))))-(-5/-5)))))</f>
        <v>2472578.6366049997</v>
      </c>
      <c r="C17922" t="n" s="0">
        <v>2472578.6366049997</v>
      </c>
    </row>
    <row r="17923">
      <c r="A17923" t="n" s="0">
        <v>79.22</v>
      </c>
      <c r="B17923" t="n" s="0">
        <f>(-5-((((-5*(-5/((-5/(((-5*(79.22--5))-(-5+((-5*79.22)*(((-5--5)+(79.22--5))+79.22))))-(-5+-5)))*-5)))/-5)--5)+(-5*(((79.22*(79.22-(-5/-5)))*(79.22-(79.22/(-5*79.22))))-(-5/-5)))))</f>
        <v>2473516.7504399996</v>
      </c>
      <c r="C17923" t="n" s="0">
        <v>2473516.75044</v>
      </c>
    </row>
    <row r="17924">
      <c r="A17924" t="n" s="0">
        <v>79.23</v>
      </c>
      <c r="B17924" t="n" s="0">
        <f>(-5-((((-5*(-5/((-5/(((-5*(79.23--5))-(-5+((-5*79.23)*(((-5--5)+(79.23--5))+79.23))))-(-5+-5)))*-5)))/-5)--5)+(-5*(((79.23*(79.23-(-5/-5)))*(79.23-(79.23/(-5*79.23))))-(-5/-5)))))</f>
        <v>2474455.101535</v>
      </c>
      <c r="C17924" t="n" s="0">
        <v>2474455.1015350004</v>
      </c>
    </row>
    <row r="17925">
      <c r="A17925" t="n" s="0">
        <v>79.24</v>
      </c>
      <c r="B17925" t="n" s="0">
        <f>(-5-((((-5*(-5/((-5/(((-5*(79.24--5))-(-5+((-5*79.24)*(((-5--5)+(79.24--5))+79.24))))-(-5+-5)))*-5)))/-5)--5)+(-5*(((79.24*(79.24-(-5/-5)))*(79.24-(79.24/(-5*79.24))))-(-5/-5)))))</f>
        <v>2475393.6899200003</v>
      </c>
      <c r="C17925" t="n" s="0">
        <v>2475393.6899199993</v>
      </c>
    </row>
    <row r="17926">
      <c r="A17926" t="n" s="0">
        <v>79.25</v>
      </c>
      <c r="B17926" t="n" s="0">
        <f>(-5-((((-5*(-5/((-5/(((-5*(79.25--5))-(-5+((-5*79.25)*(((-5--5)+(79.25--5))+79.25))))-(-5+-5)))*-5)))/-5)--5)+(-5*(((79.25*(79.25-(-5/-5)))*(79.25-(79.25/(-5*79.25))))-(-5/-5)))))</f>
        <v>2476332.515625</v>
      </c>
      <c r="C17926" t="n" s="0">
        <v>2476332.515625</v>
      </c>
    </row>
    <row r="17927">
      <c r="A17927" t="n" s="0">
        <v>79.26</v>
      </c>
      <c r="B17927" t="n" s="0">
        <f>(-5-((((-5*(-5/((-5/(((-5*(79.26--5))-(-5+((-5*79.26)*(((-5--5)+(79.26--5))+79.26))))-(-5+-5)))*-5)))/-5)--5)+(-5*(((79.26*(79.26-(-5/-5)))*(79.26-(79.26/(-5*79.26))))-(-5/-5)))))</f>
        <v>2477271.5786800003</v>
      </c>
      <c r="C17927" t="n" s="0">
        <v>2477271.5786800003</v>
      </c>
    </row>
    <row r="17928">
      <c r="A17928" t="n" s="0">
        <v>79.27</v>
      </c>
      <c r="B17928" t="n" s="0">
        <f>(-5-((((-5*(-5/((-5/(((-5*(79.27--5))-(-5+((-5*79.27)*(((-5--5)+(79.27--5))+79.27))))-(-5+-5)))*-5)))/-5)--5)+(-5*(((79.27*(79.27-(-5/-5)))*(79.27-(79.27/(-5*79.27))))-(-5/-5)))))</f>
        <v>2478210.879115</v>
      </c>
      <c r="C17928" t="n" s="0">
        <v>2478210.879115</v>
      </c>
    </row>
    <row r="17929">
      <c r="A17929" t="n" s="0">
        <v>79.28</v>
      </c>
      <c r="B17929" t="n" s="0">
        <f>(-5-((((-5*(-5/((-5/(((-5*(79.28--5))-(-5+((-5*79.28)*(((-5--5)+(79.28--5))+79.28))))-(-5+-5)))*-5)))/-5)--5)+(-5*(((79.28*(79.28-(-5/-5)))*(79.28-(79.28/(-5*79.28))))-(-5/-5)))))</f>
        <v>2479150.41696</v>
      </c>
      <c r="C17929" t="n" s="0">
        <v>2479150.41696</v>
      </c>
    </row>
    <row r="17930">
      <c r="A17930" t="n" s="0">
        <v>79.29</v>
      </c>
      <c r="B17930" t="n" s="0">
        <f>(-5-((((-5*(-5/((-5/(((-5*(79.29--5))-(-5+((-5*79.29)*(((-5--5)+(79.29--5))+79.29))))-(-5+-5)))*-5)))/-5)--5)+(-5*(((79.29*(79.29-(-5/-5)))*(79.29-(79.29/(-5*79.29))))-(-5/-5)))))</f>
        <v>2480090.192245</v>
      </c>
      <c r="C17930" t="n" s="0">
        <v>2480090.192245001</v>
      </c>
    </row>
    <row r="17931">
      <c r="A17931" t="n" s="0">
        <v>79.3</v>
      </c>
      <c r="B17931" t="n" s="0">
        <f>(-5-((((-5*(-5/((-5/(((-5*(79.3--5))-(-5+((-5*79.3)*(((-5--5)+(79.3--5))+79.3))))-(-5+-5)))*-5)))/-5)--5)+(-5*(((79.3*(79.3-(-5/-5)))*(79.3-(79.3/(-5*79.3))))-(-5/-5)))))</f>
        <v>2481030.205</v>
      </c>
      <c r="C17931" t="n" s="0">
        <v>2481030.2049999996</v>
      </c>
    </row>
    <row r="17932">
      <c r="A17932" t="n" s="0">
        <v>79.31</v>
      </c>
      <c r="B17932" t="n" s="0">
        <f>(-5-((((-5*(-5/((-5/(((-5*(79.31--5))-(-5+((-5*79.31)*(((-5--5)+(79.31--5))+79.31))))-(-5+-5)))*-5)))/-5)--5)+(-5*(((79.31*(79.31-(-5/-5)))*(79.31-(79.31/(-5*79.31))))-(-5/-5)))))</f>
        <v>2481970.455255</v>
      </c>
      <c r="C17932" t="n" s="0">
        <v>2481970.455255001</v>
      </c>
    </row>
    <row r="17933">
      <c r="A17933" t="n" s="0">
        <v>79.32</v>
      </c>
      <c r="B17933" t="n" s="0">
        <f>(-5-((((-5*(-5/((-5/(((-5*(79.32--5))-(-5+((-5*79.32)*(((-5--5)+(79.32--5))+79.32))))-(-5+-5)))*-5)))/-5)--5)+(-5*(((79.32*(79.32-(-5/-5)))*(79.32-(79.32/(-5*79.32))))-(-5/-5)))))</f>
        <v>2482910.94304</v>
      </c>
      <c r="C17933" t="n" s="0">
        <v>2482910.9430399993</v>
      </c>
    </row>
    <row r="17934">
      <c r="A17934" t="n" s="0">
        <v>79.33</v>
      </c>
      <c r="B17934" t="n" s="0">
        <f>(-5-((((-5*(-5/((-5/(((-5*(79.33--5))-(-5+((-5*79.33)*(((-5--5)+(79.33--5))+79.33))))-(-5+-5)))*-5)))/-5)--5)+(-5*(((79.33*(79.33-(-5/-5)))*(79.33-(79.33/(-5*79.33))))-(-5/-5)))))</f>
        <v>2483851.668385</v>
      </c>
      <c r="C17934" t="n" s="0">
        <v>2483851.668385</v>
      </c>
    </row>
    <row r="17935">
      <c r="A17935" t="n" s="0">
        <v>79.34</v>
      </c>
      <c r="B17935" t="n" s="0">
        <f>(-5-((((-5*(-5/((-5/(((-5*(79.34--5))-(-5+((-5*79.34)*(((-5--5)+(79.34--5))+79.34))))-(-5+-5)))*-5)))/-5)--5)+(-5*(((79.34*(79.34-(-5/-5)))*(79.34-(79.34/(-5*79.34))))-(-5/-5)))))</f>
        <v>2484792.63132</v>
      </c>
      <c r="C17935" t="n" s="0">
        <v>2484792.63132</v>
      </c>
    </row>
    <row r="17936">
      <c r="A17936" t="n" s="0">
        <v>79.35</v>
      </c>
      <c r="B17936" t="n" s="0">
        <f>(-5-((((-5*(-5/((-5/(((-5*(79.35--5))-(-5+((-5*79.35)*(((-5--5)+(79.35--5))+79.35))))-(-5+-5)))*-5)))/-5)--5)+(-5*(((79.35*(79.35-(-5/-5)))*(79.35-(79.35/(-5*79.35))))-(-5/-5)))))</f>
        <v>2485733.831875</v>
      </c>
      <c r="C17936" t="n" s="0">
        <v>2485733.831874999</v>
      </c>
    </row>
    <row r="17937">
      <c r="A17937" t="n" s="0">
        <v>79.36</v>
      </c>
      <c r="B17937" t="n" s="0">
        <f>(-5-((((-5*(-5/((-5/(((-5*(79.36--5))-(-5+((-5*79.36)*(((-5--5)+(79.36--5))+79.36))))-(-5+-5)))*-5)))/-5)--5)+(-5*(((79.36*(79.36-(-5/-5)))*(79.36-(79.36/(-5*79.36))))-(-5/-5)))))</f>
        <v>2486675.2700799997</v>
      </c>
      <c r="C17937" t="n" s="0">
        <v>2486675.27008</v>
      </c>
    </row>
    <row r="17938">
      <c r="A17938" t="n" s="0">
        <v>79.37</v>
      </c>
      <c r="B17938" t="n" s="0">
        <f>(-5-((((-5*(-5/((-5/(((-5*(79.37--5))-(-5+((-5*79.37)*(((-5--5)+(79.37--5))+79.37))))-(-5+-5)))*-5)))/-5)--5)+(-5*(((79.37*(79.37-(-5/-5)))*(79.37-(79.37/(-5*79.37))))-(-5/-5)))))</f>
        <v>2487616.945965</v>
      </c>
      <c r="C17938" t="n" s="0">
        <v>2487616.9459650004</v>
      </c>
    </row>
    <row r="17939">
      <c r="A17939" t="n" s="0">
        <v>79.38</v>
      </c>
      <c r="B17939" t="n" s="0">
        <f>(-5-((((-5*(-5/((-5/(((-5*(79.38--5))-(-5+((-5*79.38)*(((-5--5)+(79.38--5))+79.38))))-(-5+-5)))*-5)))/-5)--5)+(-5*(((79.38*(79.38-(-5/-5)))*(79.38-(79.38/(-5*79.38))))-(-5/-5)))))</f>
        <v>2488558.85956</v>
      </c>
      <c r="C17939" t="n" s="0">
        <v>2488558.85956</v>
      </c>
    </row>
    <row r="17940">
      <c r="A17940" t="n" s="0">
        <v>79.39</v>
      </c>
      <c r="B17940" t="n" s="0">
        <f>(-5-((((-5*(-5/((-5/(((-5*(79.39--5))-(-5+((-5*79.39)*(((-5--5)+(79.39--5))+79.39))))-(-5+-5)))*-5)))/-5)--5)+(-5*(((79.39*(79.39-(-5/-5)))*(79.39-(79.39/(-5*79.39))))-(-5/-5)))))</f>
        <v>2489501.010895</v>
      </c>
      <c r="C17940" t="n" s="0">
        <v>2489501.0108950003</v>
      </c>
    </row>
    <row r="17941">
      <c r="A17941" t="n" s="0">
        <v>79.4</v>
      </c>
      <c r="B17941" t="n" s="0">
        <f>(-5-((((-5*(-5/((-5/(((-5*(79.4--5))-(-5+((-5*79.4)*(((-5--5)+(79.4--5))+79.4))))-(-5+-5)))*-5)))/-5)--5)+(-5*(((79.4*(79.4-(-5/-5)))*(79.4-(79.4/(-5*79.4))))-(-5/-5)))))</f>
        <v>2490443.4</v>
      </c>
      <c r="C17941" t="n" s="0">
        <v>2490443.400000001</v>
      </c>
    </row>
    <row r="17942">
      <c r="A17942" t="n" s="0">
        <v>79.41</v>
      </c>
      <c r="B17942" t="n" s="0">
        <f>(-5-((((-5*(-5/((-5/(((-5*(79.41--5))-(-5+((-5*79.41)*(((-5--5)+(79.41--5))+79.41))))-(-5+-5)))*-5)))/-5)--5)+(-5*(((79.41*(79.41-(-5/-5)))*(79.41-(79.41/(-5*79.41))))-(-5/-5)))))</f>
        <v>2491386.0269049997</v>
      </c>
      <c r="C17942" t="n" s="0">
        <v>2491386.0269049997</v>
      </c>
    </row>
    <row r="17943">
      <c r="A17943" t="n" s="0">
        <v>79.42</v>
      </c>
      <c r="B17943" t="n" s="0">
        <f>(-5-((((-5*(-5/((-5/(((-5*(79.42--5))-(-5+((-5*79.42)*(((-5--5)+(79.42--5))+79.42))))-(-5+-5)))*-5)))/-5)--5)+(-5*(((79.42*(79.42-(-5/-5)))*(79.42-(79.42/(-5*79.42))))-(-5/-5)))))</f>
        <v>2492328.89164</v>
      </c>
      <c r="C17943" t="n" s="0">
        <v>2492328.89164</v>
      </c>
    </row>
    <row r="17944">
      <c r="A17944" t="n" s="0">
        <v>79.43</v>
      </c>
      <c r="B17944" t="n" s="0">
        <f>(-5-((((-5*(-5/((-5/(((-5*(79.43--5))-(-5+((-5*79.43)*(((-5--5)+(79.43--5))+79.43))))-(-5+-5)))*-5)))/-5)--5)+(-5*(((79.43*(79.43-(-5/-5)))*(79.43-(79.43/(-5*79.43))))-(-5/-5)))))</f>
        <v>2493271.994235</v>
      </c>
      <c r="C17944" t="n" s="0">
        <v>2493271.994235001</v>
      </c>
    </row>
    <row r="17945">
      <c r="A17945" t="n" s="0">
        <v>79.44</v>
      </c>
      <c r="B17945" t="n" s="0">
        <f>(-5-((((-5*(-5/((-5/(((-5*(79.44--5))-(-5+((-5*79.44)*(((-5--5)+(79.44--5))+79.44))))-(-5+-5)))*-5)))/-5)--5)+(-5*(((79.44*(79.44-(-5/-5)))*(79.44-(79.44/(-5*79.44))))-(-5/-5)))))</f>
        <v>2494215.33472</v>
      </c>
      <c r="C17945" t="n" s="0">
        <v>2494215.3347199997</v>
      </c>
    </row>
    <row r="17946">
      <c r="A17946" t="n" s="0">
        <v>79.45</v>
      </c>
      <c r="B17946" t="n" s="0">
        <f>(-5-((((-5*(-5/((-5/(((-5*(79.45--5))-(-5+((-5*79.45)*(((-5--5)+(79.45--5))+79.45))))-(-5+-5)))*-5)))/-5)--5)+(-5*(((79.45*(79.45-(-5/-5)))*(79.45-(79.45/(-5*79.45))))-(-5/-5)))))</f>
        <v>2495158.913125</v>
      </c>
      <c r="C17946" t="n" s="0">
        <v>2495158.9131250004</v>
      </c>
    </row>
    <row r="17947">
      <c r="A17947" t="n" s="0">
        <v>79.46</v>
      </c>
      <c r="B17947" t="n" s="0">
        <f>(-5-((((-5*(-5/((-5/(((-5*(79.46--5))-(-5+((-5*79.46)*(((-5--5)+(79.46--5))+79.46))))-(-5+-5)))*-5)))/-5)--5)+(-5*(((79.46*(79.46-(-5/-5)))*(79.46-(79.46/(-5*79.46))))-(-5/-5)))))</f>
        <v>2496102.7294799997</v>
      </c>
      <c r="C17947" t="n" s="0">
        <v>2496102.7294799993</v>
      </c>
    </row>
    <row r="17948">
      <c r="A17948" t="n" s="0">
        <v>79.47</v>
      </c>
      <c r="B17948" t="n" s="0">
        <f>(-5-((((-5*(-5/((-5/(((-5*(79.47--5))-(-5+((-5*79.47)*(((-5--5)+(79.47--5))+79.47))))-(-5+-5)))*-5)))/-5)--5)+(-5*(((79.47*(79.47-(-5/-5)))*(79.47-(79.47/(-5*79.47))))-(-5/-5)))))</f>
        <v>2497046.783815</v>
      </c>
      <c r="C17948" t="n" s="0">
        <v>2497046.7838149997</v>
      </c>
    </row>
    <row r="17949">
      <c r="A17949" t="n" s="0">
        <v>79.48</v>
      </c>
      <c r="B17949" t="n" s="0">
        <f>(-5-((((-5*(-5/((-5/(((-5*(79.48--5))-(-5+((-5*79.48)*(((-5--5)+(79.48--5))+79.48))))-(-5+-5)))*-5)))/-5)--5)+(-5*(((79.48*(79.48-(-5/-5)))*(79.48-(79.48/(-5*79.48))))-(-5/-5)))))</f>
        <v>2497991.07616</v>
      </c>
      <c r="C17949" t="n" s="0">
        <v>2497991.07616</v>
      </c>
    </row>
    <row r="17950">
      <c r="A17950" t="n" s="0">
        <v>79.49</v>
      </c>
      <c r="B17950" t="n" s="0">
        <f>(-5-((((-5*(-5/((-5/(((-5*(79.49--5))-(-5+((-5*79.49)*(((-5--5)+(79.49--5))+79.49))))-(-5+-5)))*-5)))/-5)--5)+(-5*(((79.49*(79.49-(-5/-5)))*(79.49-(79.49/(-5*79.49))))-(-5/-5)))))</f>
        <v>2498935.606545</v>
      </c>
      <c r="C17950" t="n" s="0">
        <v>2498935.606545</v>
      </c>
    </row>
    <row r="17951">
      <c r="A17951" t="n" s="0">
        <v>79.5</v>
      </c>
      <c r="B17951" t="n" s="0">
        <f>(-5-((((-5*(-5/((-5/(((-5*(79.5--5))-(-5+((-5*79.5)*(((-5--5)+(79.5--5))+79.5))))-(-5+-5)))*-5)))/-5)--5)+(-5*(((79.5*(79.5-(-5/-5)))*(79.5-(79.5/(-5*79.5))))-(-5/-5)))))</f>
        <v>2499880.375</v>
      </c>
      <c r="C17951" t="n" s="0">
        <v>2499880.375</v>
      </c>
    </row>
    <row r="17952">
      <c r="A17952" t="n" s="0">
        <v>79.51</v>
      </c>
      <c r="B17952" t="n" s="0">
        <f>(-5-((((-5*(-5/((-5/(((-5*(79.51--5))-(-5+((-5*79.51)*(((-5--5)+(79.51--5))+79.51))))-(-5+-5)))*-5)))/-5)--5)+(-5*(((79.51*(79.51-(-5/-5)))*(79.51-(79.51/(-5*79.51))))-(-5/-5)))))</f>
        <v>2500825.381555</v>
      </c>
      <c r="C17952" t="n" s="0">
        <v>2500825.3815550003</v>
      </c>
    </row>
    <row r="17953">
      <c r="A17953" t="n" s="0">
        <v>79.52</v>
      </c>
      <c r="B17953" t="n" s="0">
        <f>(-5-((((-5*(-5/((-5/(((-5*(79.52--5))-(-5+((-5*79.52)*(((-5--5)+(79.52--5))+79.52))))-(-5+-5)))*-5)))/-5)--5)+(-5*(((79.52*(79.52-(-5/-5)))*(79.52-(79.52/(-5*79.52))))-(-5/-5)))))</f>
        <v>2501770.62624</v>
      </c>
      <c r="C17953" t="n" s="0">
        <v>2501770.6262399997</v>
      </c>
    </row>
    <row r="17954">
      <c r="A17954" t="n" s="0">
        <v>79.53</v>
      </c>
      <c r="B17954" t="n" s="0">
        <f>(-5-((((-5*(-5/((-5/(((-5*(79.53--5))-(-5+((-5*79.53)*(((-5--5)+(79.53--5))+79.53))))-(-5+-5)))*-5)))/-5)--5)+(-5*(((79.53*(79.53-(-5/-5)))*(79.53-(79.53/(-5*79.53))))-(-5/-5)))))</f>
        <v>2502716.1090849997</v>
      </c>
      <c r="C17954" t="n" s="0">
        <v>2502716.109085</v>
      </c>
    </row>
    <row r="17955">
      <c r="A17955" t="n" s="0">
        <v>79.54</v>
      </c>
      <c r="B17955" t="n" s="0">
        <f>(-5-((((-5*(-5/((-5/(((-5*(79.54--5))-(-5+((-5*79.54)*(((-5--5)+(79.54--5))+79.54))))-(-5+-5)))*-5)))/-5)--5)+(-5*(((79.54*(79.54-(-5/-5)))*(79.54-(79.54/(-5*79.54))))-(-5/-5)))))</f>
        <v>2503661.83012</v>
      </c>
      <c r="C17955" t="n" s="0">
        <v>2503661.8301200005</v>
      </c>
    </row>
    <row r="17956">
      <c r="A17956" t="n" s="0">
        <v>79.55</v>
      </c>
      <c r="B17956" t="n" s="0">
        <f>(-5-((((-5*(-5/((-5/(((-5*(79.55--5))-(-5+((-5*79.55)*(((-5--5)+(79.55--5))+79.55))))-(-5+-5)))*-5)))/-5)--5)+(-5*(((79.55*(79.55-(-5/-5)))*(79.55-(79.55/(-5*79.55))))-(-5/-5)))))</f>
        <v>2504607.789375</v>
      </c>
      <c r="C17956" t="n" s="0">
        <v>2504607.7893749997</v>
      </c>
    </row>
    <row r="17957">
      <c r="A17957" t="n" s="0">
        <v>79.56</v>
      </c>
      <c r="B17957" t="n" s="0">
        <f>(-5-((((-5*(-5/((-5/(((-5*(79.56--5))-(-5+((-5*79.56)*(((-5--5)+(79.56--5))+79.56))))-(-5+-5)))*-5)))/-5)--5)+(-5*(((79.56*(79.56-(-5/-5)))*(79.56-(79.56/(-5*79.56))))-(-5/-5)))))</f>
        <v>2505553.98688</v>
      </c>
      <c r="C17957" t="n" s="0">
        <v>2505553.9868800007</v>
      </c>
    </row>
    <row r="17958">
      <c r="A17958" t="n" s="0">
        <v>79.57</v>
      </c>
      <c r="B17958" t="n" s="0">
        <f>(-5-((((-5*(-5/((-5/(((-5*(79.57--5))-(-5+((-5*79.57)*(((-5--5)+(79.57--5))+79.57))))-(-5+-5)))*-5)))/-5)--5)+(-5*(((79.57*(79.57-(-5/-5)))*(79.57-(79.57/(-5*79.57))))-(-5/-5)))))</f>
        <v>2506500.422665</v>
      </c>
      <c r="C17958" t="n" s="0">
        <v>2506500.4226649995</v>
      </c>
    </row>
    <row r="17959">
      <c r="A17959" t="n" s="0">
        <v>79.58</v>
      </c>
      <c r="B17959" t="n" s="0">
        <f>(-5-((((-5*(-5/((-5/(((-5*(79.58--5))-(-5+((-5*79.58)*(((-5--5)+(79.58--5))+79.58))))-(-5+-5)))*-5)))/-5)--5)+(-5*(((79.58*(79.58-(-5/-5)))*(79.58-(79.58/(-5*79.58))))-(-5/-5)))))</f>
        <v>2507447.09676</v>
      </c>
      <c r="C17959" t="n" s="0">
        <v>2507447.09676</v>
      </c>
    </row>
    <row r="17960">
      <c r="A17960" t="n" s="0">
        <v>79.59</v>
      </c>
      <c r="B17960" t="n" s="0">
        <f>(-5-((((-5*(-5/((-5/(((-5*(79.59--5))-(-5+((-5*79.59)*(((-5--5)+(79.59--5))+79.59))))-(-5+-5)))*-5)))/-5)--5)+(-5*(((79.59*(79.59-(-5/-5)))*(79.59-(79.59/(-5*79.59))))-(-5/-5)))))</f>
        <v>2508394.009195</v>
      </c>
      <c r="C17960" t="n" s="0">
        <v>2508394.009195</v>
      </c>
    </row>
    <row r="17961">
      <c r="A17961" t="n" s="0">
        <v>79.6</v>
      </c>
      <c r="B17961" t="n" s="0">
        <f>(-5-((((-5*(-5/((-5/(((-5*(79.6--5))-(-5+((-5*79.6)*(((-5--5)+(79.6--5))+79.6))))-(-5+-5)))*-5)))/-5)--5)+(-5*(((79.6*(79.6-(-5/-5)))*(79.6-(79.6/(-5*79.6))))-(-5/-5)))))</f>
        <v>2509341.16</v>
      </c>
      <c r="C17961" t="n" s="0">
        <v>2509341.1599999997</v>
      </c>
    </row>
    <row r="17962">
      <c r="A17962" t="n" s="0">
        <v>79.61</v>
      </c>
      <c r="B17962" t="n" s="0">
        <f>(-5-((((-5*(-5/((-5/(((-5*(79.61--5))-(-5+((-5*79.61)*(((-5--5)+(79.61--5))+79.61))))-(-5+-5)))*-5)))/-5)--5)+(-5*(((79.61*(79.61-(-5/-5)))*(79.61-(79.61/(-5*79.61))))-(-5/-5)))))</f>
        <v>2510288.5492049996</v>
      </c>
      <c r="C17962" t="n" s="0">
        <v>2510288.549205</v>
      </c>
    </row>
    <row r="17963">
      <c r="A17963" t="n" s="0">
        <v>79.62</v>
      </c>
      <c r="B17963" t="n" s="0">
        <f>(-5-((((-5*(-5/((-5/(((-5*(79.62--5))-(-5+((-5*79.62)*(((-5--5)+(79.62--5))+79.62))))-(-5+-5)))*-5)))/-5)--5)+(-5*(((79.62*(79.62-(-5/-5)))*(79.62-(79.62/(-5*79.62))))-(-5/-5)))))</f>
        <v>2511236.1768400003</v>
      </c>
      <c r="C17963" t="n" s="0">
        <v>2511236.17684</v>
      </c>
    </row>
    <row r="17964">
      <c r="A17964" t="n" s="0">
        <v>79.63</v>
      </c>
      <c r="B17964" t="n" s="0">
        <f>(-5-((((-5*(-5/((-5/(((-5*(79.63--5))-(-5+((-5*79.63)*(((-5--5)+(79.63--5))+79.63))))-(-5+-5)))*-5)))/-5)--5)+(-5*(((79.63*(79.63-(-5/-5)))*(79.63-(79.63/(-5*79.63))))-(-5/-5)))))</f>
        <v>2512184.0429350003</v>
      </c>
      <c r="C17964" t="n" s="0">
        <v>2512184.0429349993</v>
      </c>
    </row>
    <row r="17965">
      <c r="A17965" t="n" s="0">
        <v>79.64</v>
      </c>
      <c r="B17965" t="n" s="0">
        <f>(-5-((((-5*(-5/((-5/(((-5*(79.64--5))-(-5+((-5*79.64)*(((-5--5)+(79.64--5))+79.64))))-(-5+-5)))*-5)))/-5)--5)+(-5*(((79.64*(79.64-(-5/-5)))*(79.64-(79.64/(-5*79.64))))-(-5/-5)))))</f>
        <v>2513132.14752</v>
      </c>
      <c r="C17965" t="n" s="0">
        <v>2513132.14752</v>
      </c>
    </row>
    <row r="17966">
      <c r="A17966" t="n" s="0">
        <v>79.65</v>
      </c>
      <c r="B17966" t="n" s="0">
        <f>(-5-((((-5*(-5/((-5/(((-5*(79.65--5))-(-5+((-5*79.65)*(((-5--5)+(79.65--5))+79.65))))-(-5+-5)))*-5)))/-5)--5)+(-5*(((79.65*(79.65-(-5/-5)))*(79.65-(79.65/(-5*79.65))))-(-5/-5)))))</f>
        <v>2514080.490625</v>
      </c>
      <c r="C17966" t="n" s="0">
        <v>2514080.4906250006</v>
      </c>
    </row>
    <row r="17967">
      <c r="A17967" t="n" s="0">
        <v>79.66</v>
      </c>
      <c r="B17967" t="n" s="0">
        <f>(-5-((((-5*(-5/((-5/(((-5*(79.66--5))-(-5+((-5*79.66)*(((-5--5)+(79.66--5))+79.66))))-(-5+-5)))*-5)))/-5)--5)+(-5*(((79.66*(79.66-(-5/-5)))*(79.66-(79.66/(-5*79.66))))-(-5/-5)))))</f>
        <v>2515029.07228</v>
      </c>
      <c r="C17967" t="n" s="0">
        <v>2515029.0722799995</v>
      </c>
    </row>
    <row r="17968">
      <c r="A17968" t="n" s="0">
        <v>79.67</v>
      </c>
      <c r="B17968" t="n" s="0">
        <f>(-5-((((-5*(-5/((-5/(((-5*(79.67--5))-(-5+((-5*79.67)*(((-5--5)+(79.67--5))+79.67))))-(-5+-5)))*-5)))/-5)--5)+(-5*(((79.67*(79.67-(-5/-5)))*(79.67-(79.67/(-5*79.67))))-(-5/-5)))))</f>
        <v>2515977.892515</v>
      </c>
      <c r="C17968" t="n" s="0">
        <v>2515977.892515</v>
      </c>
    </row>
    <row r="17969">
      <c r="A17969" t="n" s="0">
        <v>79.68</v>
      </c>
      <c r="B17969" t="n" s="0">
        <f>(-5-((((-5*(-5/((-5/(((-5*(79.68--5))-(-5+((-5*79.68)*(((-5--5)+(79.68--5))+79.68))))-(-5+-5)))*-5)))/-5)--5)+(-5*(((79.68*(79.68-(-5/-5)))*(79.68-(79.68/(-5*79.68))))-(-5/-5)))))</f>
        <v>2516926.95136</v>
      </c>
      <c r="C17969" t="n" s="0">
        <v>2516926.9513600008</v>
      </c>
    </row>
    <row r="17970">
      <c r="A17970" t="n" s="0">
        <v>79.69</v>
      </c>
      <c r="B17970" t="n" s="0">
        <f>(-5-((((-5*(-5/((-5/(((-5*(79.69--5))-(-5+((-5*79.69)*(((-5--5)+(79.69--5))+79.69))))-(-5+-5)))*-5)))/-5)--5)+(-5*(((79.69*(79.69-(-5/-5)))*(79.69-(79.69/(-5*79.69))))-(-5/-5)))))</f>
        <v>2517876.248845</v>
      </c>
      <c r="C17970" t="n" s="0">
        <v>2517876.2488449994</v>
      </c>
    </row>
    <row r="17971">
      <c r="A17971" t="n" s="0">
        <v>79.7</v>
      </c>
      <c r="B17971" t="n" s="0">
        <f>(-5-((((-5*(-5/((-5/(((-5*(79.7--5))-(-5+((-5*79.7)*(((-5--5)+(79.7--5))+79.7))))-(-5+-5)))*-5)))/-5)--5)+(-5*(((79.7*(79.7-(-5/-5)))*(79.7-(79.7/(-5*79.7))))-(-5/-5)))))</f>
        <v>2518825.785</v>
      </c>
      <c r="C17971" t="n" s="0">
        <v>2518825.785</v>
      </c>
    </row>
    <row r="17972">
      <c r="A17972" t="n" s="0">
        <v>79.71</v>
      </c>
      <c r="B17972" t="n" s="0">
        <f>(-5-((((-5*(-5/((-5/(((-5*(79.71--5))-(-5+((-5*79.71)*(((-5--5)+(79.71--5))+79.71))))-(-5+-5)))*-5)))/-5)--5)+(-5*(((79.71*(79.71-(-5/-5)))*(79.71-(79.71/(-5*79.71))))-(-5/-5)))))</f>
        <v>2519775.559855</v>
      </c>
      <c r="C17972" t="n" s="0">
        <v>2519775.559854999</v>
      </c>
    </row>
    <row r="17973">
      <c r="A17973" t="n" s="0">
        <v>79.72</v>
      </c>
      <c r="B17973" t="n" s="0">
        <f>(-5-((((-5*(-5/((-5/(((-5*(79.72--5))-(-5+((-5*79.72)*(((-5--5)+(79.72--5))+79.72))))-(-5+-5)))*-5)))/-5)--5)+(-5*(((79.72*(79.72-(-5/-5)))*(79.72-(79.72/(-5*79.72))))-(-5/-5)))))</f>
        <v>2520725.57344</v>
      </c>
      <c r="C17973" t="n" s="0">
        <v>2520725.57344</v>
      </c>
    </row>
    <row r="17974">
      <c r="A17974" t="n" s="0">
        <v>79.73</v>
      </c>
      <c r="B17974" t="n" s="0">
        <f>(-5-((((-5*(-5/((-5/(((-5*(79.73--5))-(-5+((-5*79.73)*(((-5--5)+(79.73--5))+79.73))))-(-5+-5)))*-5)))/-5)--5)+(-5*(((79.73*(79.73-(-5/-5)))*(79.73-(79.73/(-5*79.73))))-(-5/-5)))))</f>
        <v>2521675.825785</v>
      </c>
      <c r="C17974" t="n" s="0">
        <v>2521675.825785</v>
      </c>
    </row>
    <row r="17975">
      <c r="A17975" t="n" s="0">
        <v>79.74</v>
      </c>
      <c r="B17975" t="n" s="0">
        <f>(-5-((((-5*(-5/((-5/(((-5*(79.74--5))-(-5+((-5*79.74)*(((-5--5)+(79.74--5))+79.74))))-(-5+-5)))*-5)))/-5)--5)+(-5*(((79.74*(79.74-(-5/-5)))*(79.74-(79.74/(-5*79.74))))-(-5/-5)))))</f>
        <v>2522626.31692</v>
      </c>
      <c r="C17975" t="n" s="0">
        <v>2522626.3169199997</v>
      </c>
    </row>
    <row r="17976">
      <c r="A17976" t="n" s="0">
        <v>79.75</v>
      </c>
      <c r="B17976" t="n" s="0">
        <f>(-5-((((-5*(-5/((-5/(((-5*(79.75--5))-(-5+((-5*79.75)*(((-5--5)+(79.75--5))+79.75))))-(-5+-5)))*-5)))/-5)--5)+(-5*(((79.75*(79.75-(-5/-5)))*(79.75-(79.75/(-5*79.75))))-(-5/-5)))))</f>
        <v>2523577.046875</v>
      </c>
      <c r="C17976" t="n" s="0">
        <v>2523577.046875</v>
      </c>
    </row>
    <row r="17977">
      <c r="A17977" t="n" s="0">
        <v>79.76</v>
      </c>
      <c r="B17977" t="n" s="0">
        <f>(-5-((((-5*(-5/((-5/(((-5*(79.76--5))-(-5+((-5*79.76)*(((-5--5)+(79.76--5))+79.76))))-(-5+-5)))*-5)))/-5)--5)+(-5*(((79.76*(79.76-(-5/-5)))*(79.76-(79.76/(-5*79.76))))-(-5/-5)))))</f>
        <v>2524528.01568</v>
      </c>
      <c r="C17977" t="n" s="0">
        <v>2524528.01568</v>
      </c>
    </row>
    <row r="17978">
      <c r="A17978" t="n" s="0">
        <v>79.77</v>
      </c>
      <c r="B17978" t="n" s="0">
        <f>(-5-((((-5*(-5/((-5/(((-5*(79.77--5))-(-5+((-5*79.77)*(((-5--5)+(79.77--5))+79.77))))-(-5+-5)))*-5)))/-5)--5)+(-5*(((79.77*(79.77-(-5/-5)))*(79.77-(79.77/(-5*79.77))))-(-5/-5)))))</f>
        <v>2525479.223365</v>
      </c>
      <c r="C17978" t="n" s="0">
        <v>2525479.2233649995</v>
      </c>
    </row>
    <row r="17979">
      <c r="A17979" t="n" s="0">
        <v>79.78</v>
      </c>
      <c r="B17979" t="n" s="0">
        <f>(-5-((((-5*(-5/((-5/(((-5*(79.78--5))-(-5+((-5*79.78)*(((-5--5)+(79.78--5))+79.78))))-(-5+-5)))*-5)))/-5)--5)+(-5*(((79.78*(79.78-(-5/-5)))*(79.78-(79.78/(-5*79.78))))-(-5/-5)))))</f>
        <v>2526430.66996</v>
      </c>
      <c r="C17979" t="n" s="0">
        <v>2526430.66996</v>
      </c>
    </row>
    <row r="17980">
      <c r="A17980" t="n" s="0">
        <v>79.79</v>
      </c>
      <c r="B17980" t="n" s="0">
        <f>(-5-((((-5*(-5/((-5/(((-5*(79.79--5))-(-5+((-5*79.79)*(((-5--5)+(79.79--5))+79.79))))-(-5+-5)))*-5)))/-5)--5)+(-5*(((79.79*(79.79-(-5/-5)))*(79.79-(79.79/(-5*79.79))))-(-5/-5)))))</f>
        <v>2527382.3554950003</v>
      </c>
      <c r="C17980" t="n" s="0">
        <v>2527382.3554950007</v>
      </c>
    </row>
    <row r="17981">
      <c r="A17981" t="n" s="0">
        <v>79.8</v>
      </c>
      <c r="B17981" t="n" s="0">
        <f>(-5-((((-5*(-5/((-5/(((-5*(79.8--5))-(-5+((-5*79.8)*(((-5--5)+(79.8--5))+79.8))))-(-5+-5)))*-5)))/-5)--5)+(-5*(((79.8*(79.8-(-5/-5)))*(79.8-(79.8/(-5*79.8))))-(-5/-5)))))</f>
        <v>2528334.28</v>
      </c>
      <c r="C17981" t="n" s="0">
        <v>2528334.28</v>
      </c>
    </row>
    <row r="17982">
      <c r="A17982" t="n" s="0">
        <v>79.81</v>
      </c>
      <c r="B17982" t="n" s="0">
        <f>(-5-((((-5*(-5/((-5/(((-5*(79.81--5))-(-5+((-5*79.81)*(((-5--5)+(79.81--5))+79.81))))-(-5+-5)))*-5)))/-5)--5)+(-5*(((79.81*(79.81-(-5/-5)))*(79.81-(79.81/(-5*79.81))))-(-5/-5)))))</f>
        <v>2529286.4435050003</v>
      </c>
      <c r="C17982" t="n" s="0">
        <v>2529286.4435050003</v>
      </c>
    </row>
    <row r="17983">
      <c r="A17983" t="n" s="0">
        <v>79.82</v>
      </c>
      <c r="B17983" t="n" s="0">
        <f>(-5-((((-5*(-5/((-5/(((-5*(79.82--5))-(-5+((-5*79.82)*(((-5--5)+(79.82--5))+79.82))))-(-5+-5)))*-5)))/-5)--5)+(-5*(((79.82*(79.82-(-5/-5)))*(79.82-(79.82/(-5*79.82))))-(-5/-5)))))</f>
        <v>2530238.84604</v>
      </c>
      <c r="C17983" t="n" s="0">
        <v>2530238.846039999</v>
      </c>
    </row>
    <row r="17984">
      <c r="A17984" t="n" s="0">
        <v>79.83</v>
      </c>
      <c r="B17984" t="n" s="0">
        <f>(-5-((((-5*(-5/((-5/(((-5*(79.83--5))-(-5+((-5*79.83)*(((-5--5)+(79.83--5))+79.83))))-(-5+-5)))*-5)))/-5)--5)+(-5*(((79.83*(79.83-(-5/-5)))*(79.83-(79.83/(-5*79.83))))-(-5/-5)))))</f>
        <v>2531191.487635</v>
      </c>
      <c r="C17984" t="n" s="0">
        <v>2531191.4876349997</v>
      </c>
    </row>
    <row r="17985">
      <c r="A17985" t="n" s="0">
        <v>79.84</v>
      </c>
      <c r="B17985" t="n" s="0">
        <f>(-5-((((-5*(-5/((-5/(((-5*(79.84--5))-(-5+((-5*79.84)*(((-5--5)+(79.84--5))+79.84))))-(-5+-5)))*-5)))/-5)--5)+(-5*(((79.84*(79.84-(-5/-5)))*(79.84-(79.84/(-5*79.84))))-(-5/-5)))))</f>
        <v>2532144.36832</v>
      </c>
      <c r="C17985" t="n" s="0">
        <v>2532144.3683200004</v>
      </c>
    </row>
    <row r="17986">
      <c r="A17986" t="n" s="0">
        <v>79.85</v>
      </c>
      <c r="B17986" t="n" s="0">
        <f>(-5-((((-5*(-5/((-5/(((-5*(79.85--5))-(-5+((-5*79.85)*(((-5--5)+(79.85--5))+79.85))))-(-5+-5)))*-5)))/-5)--5)+(-5*(((79.85*(79.85-(-5/-5)))*(79.85-(79.85/(-5*79.85))))-(-5/-5)))))</f>
        <v>2533097.4881249997</v>
      </c>
      <c r="C17986" t="n" s="0">
        <v>2533097.488124999</v>
      </c>
    </row>
    <row r="17987">
      <c r="A17987" t="n" s="0">
        <v>79.86</v>
      </c>
      <c r="B17987" t="n" s="0">
        <f>(-5-((((-5*(-5/((-5/(((-5*(79.86--5))-(-5+((-5*79.86)*(((-5--5)+(79.86--5))+79.86))))-(-5+-5)))*-5)))/-5)--5)+(-5*(((79.86*(79.86-(-5/-5)))*(79.86-(79.86/(-5*79.86))))-(-5/-5)))))</f>
        <v>2534050.84708</v>
      </c>
      <c r="C17987" t="n" s="0">
        <v>2534050.8470799997</v>
      </c>
    </row>
    <row r="17988">
      <c r="A17988" t="n" s="0">
        <v>79.87</v>
      </c>
      <c r="B17988" t="n" s="0">
        <f>(-5-((((-5*(-5/((-5/(((-5*(79.87--5))-(-5+((-5*79.87)*(((-5--5)+(79.87--5))+79.87))))-(-5+-5)))*-5)))/-5)--5)+(-5*(((79.87*(79.87-(-5/-5)))*(79.87-(79.87/(-5*79.87))))-(-5/-5)))))</f>
        <v>2535004.4452150003</v>
      </c>
      <c r="C17988" t="n" s="0">
        <v>2535004.445215</v>
      </c>
    </row>
    <row r="17989">
      <c r="A17989" t="n" s="0">
        <v>79.88</v>
      </c>
      <c r="B17989" t="n" s="0">
        <f>(-5-((((-5*(-5/((-5/(((-5*(79.88--5))-(-5+((-5*79.88)*(((-5--5)+(79.88--5))+79.88))))-(-5+-5)))*-5)))/-5)--5)+(-5*(((79.88*(79.88-(-5/-5)))*(79.88-(79.88/(-5*79.88))))-(-5/-5)))))</f>
        <v>2535958.28256</v>
      </c>
      <c r="C17989" t="n" s="0">
        <v>2535958.2825599997</v>
      </c>
    </row>
    <row r="17990">
      <c r="A17990" t="n" s="0">
        <v>79.89</v>
      </c>
      <c r="B17990" t="n" s="0">
        <f>(-5-((((-5*(-5/((-5/(((-5*(79.89--5))-(-5+((-5*79.89)*(((-5--5)+(79.89--5))+79.89))))-(-5+-5)))*-5)))/-5)--5)+(-5*(((79.89*(79.89-(-5/-5)))*(79.89-(79.89/(-5*79.89))))-(-5/-5)))))</f>
        <v>2536912.359145</v>
      </c>
      <c r="C17990" t="n" s="0">
        <v>2536912.359145</v>
      </c>
    </row>
    <row r="17991">
      <c r="A17991" t="n" s="0">
        <v>79.9</v>
      </c>
      <c r="B17991" t="n" s="0">
        <f>(-5-((((-5*(-5/((-5/(((-5*(79.9--5))-(-5+((-5*79.9)*(((-5--5)+(79.9--5))+79.9))))-(-5+-5)))*-5)))/-5)--5)+(-5*(((79.9*(79.9-(-5/-5)))*(79.9-(79.9/(-5*79.9))))-(-5/-5)))))</f>
        <v>2537866.6750000003</v>
      </c>
      <c r="C17991" t="n" s="0">
        <v>2537866.6750000007</v>
      </c>
    </row>
    <row r="17992">
      <c r="A17992" t="n" s="0">
        <v>79.91</v>
      </c>
      <c r="B17992" t="n" s="0">
        <f>(-5-((((-5*(-5/((-5/(((-5*(79.91--5))-(-5+((-5*79.91)*(((-5--5)+(79.91--5))+79.91))))-(-5+-5)))*-5)))/-5)--5)+(-5*(((79.91*(79.91-(-5/-5)))*(79.91-(79.91/(-5*79.91))))-(-5/-5)))))</f>
        <v>2538821.230155</v>
      </c>
      <c r="C17992" t="n" s="0">
        <v>2538821.2301549995</v>
      </c>
    </row>
    <row r="17993">
      <c r="A17993" t="n" s="0">
        <v>79.92</v>
      </c>
      <c r="B17993" t="n" s="0">
        <f>(-5-((((-5*(-5/((-5/(((-5*(79.92--5))-(-5+((-5*79.92)*(((-5--5)+(79.92--5))+79.92))))-(-5+-5)))*-5)))/-5)--5)+(-5*(((79.92*(79.92-(-5/-5)))*(79.92-(79.92/(-5*79.92))))-(-5/-5)))))</f>
        <v>2539776.0246400004</v>
      </c>
      <c r="C17993" t="n" s="0">
        <v>2539776.02464</v>
      </c>
    </row>
    <row r="17994">
      <c r="A17994" t="n" s="0">
        <v>79.93</v>
      </c>
      <c r="B17994" t="n" s="0">
        <f>(-5-((((-5*(-5/((-5/(((-5*(79.93--5))-(-5+((-5*79.93)*(((-5--5)+(79.93--5))+79.93))))-(-5+-5)))*-5)))/-5)--5)+(-5*(((79.93*(79.93-(-5/-5)))*(79.93-(79.93/(-5*79.93))))-(-5/-5)))))</f>
        <v>2540731.058485</v>
      </c>
      <c r="C17994" t="n" s="0">
        <v>2540731.058485001</v>
      </c>
    </row>
    <row r="17995">
      <c r="A17995" t="n" s="0">
        <v>79.94</v>
      </c>
      <c r="B17995" t="n" s="0">
        <f>(-5-((((-5*(-5/((-5/(((-5*(79.94--5))-(-5+((-5*79.94)*(((-5--5)+(79.94--5))+79.94))))-(-5+-5)))*-5)))/-5)--5)+(-5*(((79.94*(79.94-(-5/-5)))*(79.94-(79.94/(-5*79.94))))-(-5/-5)))))</f>
        <v>2541686.33172</v>
      </c>
      <c r="C17995" t="n" s="0">
        <v>2541686.331719999</v>
      </c>
    </row>
    <row r="17996">
      <c r="A17996" t="n" s="0">
        <v>79.95</v>
      </c>
      <c r="B17996" t="n" s="0">
        <f>(-5-((((-5*(-5/((-5/(((-5*(79.95--5))-(-5+((-5*79.95)*(((-5--5)+(79.95--5))+79.95))))-(-5+-5)))*-5)))/-5)--5)+(-5*(((79.95*(79.95-(-5/-5)))*(79.95-(79.95/(-5*79.95))))-(-5/-5)))))</f>
        <v>2542641.8443750003</v>
      </c>
      <c r="C17996" t="n" s="0">
        <v>2542641.844375001</v>
      </c>
    </row>
    <row r="17997">
      <c r="A17997" t="n" s="0">
        <v>79.96</v>
      </c>
      <c r="B17997" t="n" s="0">
        <f>(-5-((((-5*(-5/((-5/(((-5*(79.96--5))-(-5+((-5*79.96)*(((-5--5)+(79.96--5))+79.96))))-(-5+-5)))*-5)))/-5)--5)+(-5*(((79.96*(79.96-(-5/-5)))*(79.96-(79.96/(-5*79.96))))-(-5/-5)))))</f>
        <v>2543597.5964800003</v>
      </c>
      <c r="C17997" t="n" s="0">
        <v>2543597.5964799994</v>
      </c>
    </row>
    <row r="17998">
      <c r="A17998" t="n" s="0">
        <v>79.97</v>
      </c>
      <c r="B17998" t="n" s="0">
        <f>(-5-((((-5*(-5/((-5/(((-5*(79.97--5))-(-5+((-5*79.97)*(((-5--5)+(79.97--5))+79.97))))-(-5+-5)))*-5)))/-5)--5)+(-5*(((79.97*(79.97-(-5/-5)))*(79.97-(79.97/(-5*79.97))))-(-5/-5)))))</f>
        <v>2544553.588065</v>
      </c>
      <c r="C17998" t="n" s="0">
        <v>2544553.588065</v>
      </c>
    </row>
    <row r="17999">
      <c r="A17999" t="n" s="0">
        <v>79.98</v>
      </c>
      <c r="B17999" t="n" s="0">
        <f>(-5-((((-5*(-5/((-5/(((-5*(79.98--5))-(-5+((-5*79.98)*(((-5--5)+(79.98--5))+79.98))))-(-5+-5)))*-5)))/-5)--5)+(-5*(((79.98*(79.98-(-5/-5)))*(79.98-(79.98/(-5*79.98))))-(-5/-5)))))</f>
        <v>2545509.81916</v>
      </c>
      <c r="C17999" t="n" s="0">
        <v>2545509.81916</v>
      </c>
    </row>
    <row r="18000">
      <c r="A18000" t="n" s="0">
        <v>79.99</v>
      </c>
      <c r="B18000" t="n" s="0">
        <f>(-5-((((-5*(-5/((-5/(((-5*(79.99--5))-(-5+((-5*79.99)*(((-5--5)+(79.99--5))+79.99))))-(-5+-5)))*-5)))/-5)--5)+(-5*(((79.99*(79.99-(-5/-5)))*(79.99-(79.99/(-5*79.99))))-(-5/-5)))))</f>
        <v>2546466.289795</v>
      </c>
      <c r="C18000" t="n" s="0">
        <v>2546466.2897949996</v>
      </c>
    </row>
    <row r="18001">
      <c r="A18001" t="n" s="0">
        <v>80.0</v>
      </c>
      <c r="B18001" t="n" s="0">
        <f>(-5-((((-5*(-5/((-5/(((-5*(80--5))-(-5+((-5*80)*(((-5--5)+(80--5))+80))))-(-5+-5)))*-5)))/-5)--5)+(-5*(((80*(80-(-5/-5)))*(80-(80/(-5*80))))-(-5/-5)))))</f>
        <v>2547423.0</v>
      </c>
      <c r="C18001" t="n" s="0">
        <v>2547423.0</v>
      </c>
    </row>
    <row r="18002">
      <c r="A18002" t="n" s="0">
        <v>80.01</v>
      </c>
      <c r="B18002" t="n" s="0">
        <f>(-5-((((-5*(-5/((-5/(((-5*(80.01--5))-(-5+((-5*80.01)*(((-5--5)+(80.01--5))+80.01))))-(-5+-5)))*-5)))/-5)--5)+(-5*(((80.01*(80.01-(-5/-5)))*(80.01-(80.01/(-5*80.01))))-(-5/-5)))))</f>
        <v>2548379.949805</v>
      </c>
      <c r="C18002" t="n" s="0">
        <v>2548379.9498050003</v>
      </c>
    </row>
    <row r="18003">
      <c r="A18003" t="n" s="0">
        <v>80.02</v>
      </c>
      <c r="B18003" t="n" s="0">
        <f>(-5-((((-5*(-5/((-5/(((-5*(80.02--5))-(-5+((-5*80.02)*(((-5--5)+(80.02--5))+80.02))))-(-5+-5)))*-5)))/-5)--5)+(-5*(((80.02*(80.02-(-5/-5)))*(80.02-(80.02/(-5*80.02))))-(-5/-5)))))</f>
        <v>2549337.13924</v>
      </c>
      <c r="C18003" t="n" s="0">
        <v>2549337.1392399995</v>
      </c>
    </row>
    <row r="18004">
      <c r="A18004" t="n" s="0">
        <v>80.03</v>
      </c>
      <c r="B18004" t="n" s="0">
        <f>(-5-((((-5*(-5/((-5/(((-5*(80.03--5))-(-5+((-5*80.03)*(((-5--5)+(80.03--5))+80.03))))-(-5+-5)))*-5)))/-5)--5)+(-5*(((80.03*(80.03-(-5/-5)))*(80.03-(80.03/(-5*80.03))))-(-5/-5)))))</f>
        <v>2550294.568335</v>
      </c>
      <c r="C18004" t="n" s="0">
        <v>2550294.5683350004</v>
      </c>
    </row>
    <row r="18005">
      <c r="A18005" t="n" s="0">
        <v>80.04</v>
      </c>
      <c r="B18005" t="n" s="0">
        <f>(-5-((((-5*(-5/((-5/(((-5*(80.04--5))-(-5+((-5*80.04)*(((-5--5)+(80.04--5))+80.04))))-(-5+-5)))*-5)))/-5)--5)+(-5*(((80.04*(80.04-(-5/-5)))*(80.04-(80.04/(-5*80.04))))-(-5/-5)))))</f>
        <v>2551252.23712</v>
      </c>
      <c r="C18005" t="n" s="0">
        <v>2551252.2371200006</v>
      </c>
    </row>
    <row r="18006">
      <c r="A18006" t="n" s="0">
        <v>80.05</v>
      </c>
      <c r="B18006" t="n" s="0">
        <f>(-5-((((-5*(-5/((-5/(((-5*(80.05--5))-(-5+((-5*80.05)*(((-5--5)+(80.05--5))+80.05))))-(-5+-5)))*-5)))/-5)--5)+(-5*(((80.05*(80.05-(-5/-5)))*(80.05-(80.05/(-5*80.05))))-(-5/-5)))))</f>
        <v>2552210.145625</v>
      </c>
      <c r="C18006" t="n" s="0">
        <v>2552210.145625</v>
      </c>
    </row>
    <row r="18007">
      <c r="A18007" t="n" s="0">
        <v>80.06</v>
      </c>
      <c r="B18007" t="n" s="0">
        <f>(-5-((((-5*(-5/((-5/(((-5*(80.06--5))-(-5+((-5*80.06)*(((-5--5)+(80.06--5))+80.06))))-(-5+-5)))*-5)))/-5)--5)+(-5*(((80.06*(80.06-(-5/-5)))*(80.06-(80.06/(-5*80.06))))-(-5/-5)))))</f>
        <v>2553168.29388</v>
      </c>
      <c r="C18007" t="n" s="0">
        <v>2553168.2938800002</v>
      </c>
    </row>
    <row r="18008">
      <c r="A18008" t="n" s="0">
        <v>80.07</v>
      </c>
      <c r="B18008" t="n" s="0">
        <f>(-5-((((-5*(-5/((-5/(((-5*(80.07--5))-(-5+((-5*80.07)*(((-5--5)+(80.07--5))+80.07))))-(-5+-5)))*-5)))/-5)--5)+(-5*(((80.07*(80.07-(-5/-5)))*(80.07-(80.07/(-5*80.07))))-(-5/-5)))))</f>
        <v>2554126.6819149996</v>
      </c>
      <c r="C18008" t="n" s="0">
        <v>2554126.681914999</v>
      </c>
    </row>
    <row r="18009">
      <c r="A18009" t="n" s="0">
        <v>80.08</v>
      </c>
      <c r="B18009" t="n" s="0">
        <f>(-5-((((-5*(-5/((-5/(((-5*(80.08--5))-(-5+((-5*80.08)*(((-5--5)+(80.08--5))+80.08))))-(-5+-5)))*-5)))/-5)--5)+(-5*(((80.08*(80.08-(-5/-5)))*(80.08-(80.08/(-5*80.08))))-(-5/-5)))))</f>
        <v>2555085.30976</v>
      </c>
      <c r="C18009" t="n" s="0">
        <v>2555085.30976</v>
      </c>
    </row>
    <row r="18010">
      <c r="A18010" t="n" s="0">
        <v>80.09</v>
      </c>
      <c r="B18010" t="n" s="0">
        <f>(-5-((((-5*(-5/((-5/(((-5*(80.09--5))-(-5+((-5*80.09)*(((-5--5)+(80.09--5))+80.09))))-(-5+-5)))*-5)))/-5)--5)+(-5*(((80.09*(80.09-(-5/-5)))*(80.09-(80.09/(-5*80.09))))-(-5/-5)))))</f>
        <v>2556044.177445</v>
      </c>
      <c r="C18010" t="n" s="0">
        <v>2556044.1774450005</v>
      </c>
    </row>
    <row r="18011">
      <c r="A18011" t="n" s="0">
        <v>80.1</v>
      </c>
      <c r="B18011" t="n" s="0">
        <f>(-5-((((-5*(-5/((-5/(((-5*(80.1--5))-(-5+((-5*80.1)*(((-5--5)+(80.1--5))+80.1))))-(-5+-5)))*-5)))/-5)--5)+(-5*(((80.1*(80.1-(-5/-5)))*(80.1-(80.1/(-5*80.1))))-(-5/-5)))))</f>
        <v>2557003.285</v>
      </c>
      <c r="C18011" t="n" s="0">
        <v>2557003.284999999</v>
      </c>
    </row>
    <row r="18012">
      <c r="A18012" t="n" s="0">
        <v>80.11</v>
      </c>
      <c r="B18012" t="n" s="0">
        <f>(-5-((((-5*(-5/((-5/(((-5*(80.11--5))-(-5+((-5*80.11)*(((-5--5)+(80.11--5))+80.11))))-(-5+-5)))*-5)))/-5)--5)+(-5*(((80.11*(80.11-(-5/-5)))*(80.11-(80.11/(-5*80.11))))-(-5/-5)))))</f>
        <v>2557962.632455</v>
      </c>
      <c r="C18012" t="n" s="0">
        <v>2557962.6324549997</v>
      </c>
    </row>
    <row r="18013">
      <c r="A18013" t="n" s="0">
        <v>80.12</v>
      </c>
      <c r="B18013" t="n" s="0">
        <f>(-5-((((-5*(-5/((-5/(((-5*(80.12--5))-(-5+((-5*80.12)*(((-5--5)+(80.12--5))+80.12))))-(-5+-5)))*-5)))/-5)--5)+(-5*(((80.12*(80.12-(-5/-5)))*(80.12-(80.12/(-5*80.12))))-(-5/-5)))))</f>
        <v>2558922.21984</v>
      </c>
      <c r="C18013" t="n" s="0">
        <v>2558922.2198400004</v>
      </c>
    </row>
    <row r="18014">
      <c r="A18014" t="n" s="0">
        <v>80.13</v>
      </c>
      <c r="B18014" t="n" s="0">
        <f>(-5-((((-5*(-5/((-5/(((-5*(80.13--5))-(-5+((-5*80.13)*(((-5--5)+(80.13--5))+80.13))))-(-5+-5)))*-5)))/-5)--5)+(-5*(((80.13*(80.13-(-5/-5)))*(80.13-(80.13/(-5*80.13))))-(-5/-5)))))</f>
        <v>2559882.047185</v>
      </c>
      <c r="C18014" t="n" s="0">
        <v>2559882.0471849996</v>
      </c>
    </row>
    <row r="18015">
      <c r="A18015" t="n" s="0">
        <v>80.14</v>
      </c>
      <c r="B18015" t="n" s="0">
        <f>(-5-((((-5*(-5/((-5/(((-5*(80.14--5))-(-5+((-5*80.14)*(((-5--5)+(80.14--5))+80.14))))-(-5+-5)))*-5)))/-5)--5)+(-5*(((80.14*(80.14-(-5/-5)))*(80.14-(80.14/(-5*80.14))))-(-5/-5)))))</f>
        <v>2560842.11452</v>
      </c>
      <c r="C18015" t="n" s="0">
        <v>2560842.1145200003</v>
      </c>
    </row>
    <row r="18016">
      <c r="A18016" t="n" s="0">
        <v>80.15</v>
      </c>
      <c r="B18016" t="n" s="0">
        <f>(-5-((((-5*(-5/((-5/(((-5*(80.15--5))-(-5+((-5*80.15)*(((-5--5)+(80.15--5))+80.15))))-(-5+-5)))*-5)))/-5)--5)+(-5*(((80.15*(80.15-(-5/-5)))*(80.15-(80.15/(-5*80.15))))-(-5/-5)))))</f>
        <v>2561802.421875</v>
      </c>
      <c r="C18016" t="n" s="0">
        <v>2561802.421875001</v>
      </c>
    </row>
    <row r="18017">
      <c r="A18017" t="n" s="0">
        <v>80.16</v>
      </c>
      <c r="B18017" t="n" s="0">
        <f>(-5-((((-5*(-5/((-5/(((-5*(80.16--5))-(-5+((-5*80.16)*(((-5--5)+(80.16--5))+80.16))))-(-5+-5)))*-5)))/-5)--5)+(-5*(((80.16*(80.16-(-5/-5)))*(80.16-(80.16/(-5*80.16))))-(-5/-5)))))</f>
        <v>2562762.96928</v>
      </c>
      <c r="C18017" t="n" s="0">
        <v>2562762.96928</v>
      </c>
    </row>
    <row r="18018">
      <c r="A18018" t="n" s="0">
        <v>80.17</v>
      </c>
      <c r="B18018" t="n" s="0">
        <f>(-5-((((-5*(-5/((-5/(((-5*(80.17--5))-(-5+((-5*80.17)*(((-5--5)+(80.17--5))+80.17))))-(-5+-5)))*-5)))/-5)--5)+(-5*(((80.17*(80.17-(-5/-5)))*(80.17-(80.17/(-5*80.17))))-(-5/-5)))))</f>
        <v>2563723.756765</v>
      </c>
      <c r="C18018" t="n" s="0">
        <v>2563723.756765</v>
      </c>
    </row>
    <row r="18019">
      <c r="A18019" t="n" s="0">
        <v>80.18</v>
      </c>
      <c r="B18019" t="n" s="0">
        <f>(-5-((((-5*(-5/((-5/(((-5*(80.18--5))-(-5+((-5*80.18)*(((-5--5)+(80.18--5))+80.18))))-(-5+-5)))*-5)))/-5)--5)+(-5*(((80.18*(80.18-(-5/-5)))*(80.18-(80.18/(-5*80.18))))-(-5/-5)))))</f>
        <v>2564684.78436</v>
      </c>
      <c r="C18019" t="n" s="0">
        <v>2564684.784360001</v>
      </c>
    </row>
    <row r="18020">
      <c r="A18020" t="n" s="0">
        <v>80.19</v>
      </c>
      <c r="B18020" t="n" s="0">
        <f>(-5-((((-5*(-5/((-5/(((-5*(80.19--5))-(-5+((-5*80.19)*(((-5--5)+(80.19--5))+80.19))))-(-5+-5)))*-5)))/-5)--5)+(-5*(((80.19*(80.19-(-5/-5)))*(80.19-(80.19/(-5*80.19))))-(-5/-5)))))</f>
        <v>2565646.0520949997</v>
      </c>
      <c r="C18020" t="n" s="0">
        <v>2565646.0520949992</v>
      </c>
    </row>
    <row r="18021">
      <c r="A18021" t="n" s="0">
        <v>80.2</v>
      </c>
      <c r="B18021" t="n" s="0">
        <f>(-5-((((-5*(-5/((-5/(((-5*(80.2--5))-(-5+((-5*80.2)*(((-5--5)+(80.2--5))+80.2))))-(-5+-5)))*-5)))/-5)--5)+(-5*(((80.2*(80.2-(-5/-5)))*(80.2-(80.2/(-5*80.2))))-(-5/-5)))))</f>
        <v>2566607.56</v>
      </c>
      <c r="C18021" t="n" s="0">
        <v>2566607.5600000005</v>
      </c>
    </row>
    <row r="18022">
      <c r="A18022" t="n" s="0">
        <v>80.21</v>
      </c>
      <c r="B18022" t="n" s="0">
        <f>(-5-((((-5*(-5/((-5/(((-5*(80.21--5))-(-5+((-5*80.21)*(((-5--5)+(80.21--5))+80.21))))-(-5+-5)))*-5)))/-5)--5)+(-5*(((80.21*(80.21-(-5/-5)))*(80.21-(80.21/(-5*80.21))))-(-5/-5)))))</f>
        <v>2567569.3081050003</v>
      </c>
      <c r="C18022" t="n" s="0">
        <v>2567569.3081049994</v>
      </c>
    </row>
    <row r="18023">
      <c r="A18023" t="n" s="0">
        <v>80.22</v>
      </c>
      <c r="B18023" t="n" s="0">
        <f>(-5-((((-5*(-5/((-5/(((-5*(80.22--5))-(-5+((-5*80.22)*(((-5--5)+(80.22--5))+80.22))))-(-5+-5)))*-5)))/-5)--5)+(-5*(((80.22*(80.22-(-5/-5)))*(80.22-(80.22/(-5*80.22))))-(-5/-5)))))</f>
        <v>2568531.29644</v>
      </c>
      <c r="C18023" t="n" s="0">
        <v>2568531.29644</v>
      </c>
    </row>
    <row r="18024">
      <c r="A18024" t="n" s="0">
        <v>80.23</v>
      </c>
      <c r="B18024" t="n" s="0">
        <f>(-5-((((-5*(-5/((-5/(((-5*(80.23--5))-(-5+((-5*80.23)*(((-5--5)+(80.23--5))+80.23))))-(-5+-5)))*-5)))/-5)--5)+(-5*(((80.23*(80.23-(-5/-5)))*(80.23-(80.23/(-5*80.23))))-(-5/-5)))))</f>
        <v>2569493.525035</v>
      </c>
      <c r="C18024" t="n" s="0">
        <v>2569493.5250350004</v>
      </c>
    </row>
    <row r="18025">
      <c r="A18025" t="n" s="0">
        <v>80.24</v>
      </c>
      <c r="B18025" t="n" s="0">
        <f>(-5-((((-5*(-5/((-5/(((-5*(80.24--5))-(-5+((-5*80.24)*(((-5--5)+(80.24--5))+80.24))))-(-5+-5)))*-5)))/-5)--5)+(-5*(((80.24*(80.24-(-5/-5)))*(80.24-(80.24/(-5*80.24))))-(-5/-5)))))</f>
        <v>2570455.9939200003</v>
      </c>
      <c r="C18025" t="n" s="0">
        <v>2570455.99392</v>
      </c>
    </row>
    <row r="18026">
      <c r="A18026" t="n" s="0">
        <v>80.25</v>
      </c>
      <c r="B18026" t="n" s="0">
        <f>(-5-((((-5*(-5/((-5/(((-5*(80.25--5))-(-5+((-5*80.25)*(((-5--5)+(80.25--5))+80.25))))-(-5+-5)))*-5)))/-5)--5)+(-5*(((80.25*(80.25-(-5/-5)))*(80.25-(80.25/(-5*80.25))))-(-5/-5)))))</f>
        <v>2571418.703125</v>
      </c>
      <c r="C18026" t="n" s="0">
        <v>2571418.703125</v>
      </c>
    </row>
    <row r="18027">
      <c r="A18027" t="n" s="0">
        <v>80.26</v>
      </c>
      <c r="B18027" t="n" s="0">
        <f>(-5-((((-5*(-5/((-5/(((-5*(80.26--5))-(-5+((-5*80.26)*(((-5--5)+(80.26--5))+80.26))))-(-5+-5)))*-5)))/-5)--5)+(-5*(((80.26*(80.26-(-5/-5)))*(80.26-(80.26/(-5*80.26))))-(-5/-5)))))</f>
        <v>2572381.6526800003</v>
      </c>
      <c r="C18027" t="n" s="0">
        <v>2572381.6526800003</v>
      </c>
    </row>
    <row r="18028">
      <c r="A18028" t="n" s="0">
        <v>80.27</v>
      </c>
      <c r="B18028" t="n" s="0">
        <f>(-5-((((-5*(-5/((-5/(((-5*(80.27--5))-(-5+((-5*80.27)*(((-5--5)+(80.27--5))+80.27))))-(-5+-5)))*-5)))/-5)--5)+(-5*(((80.27*(80.27-(-5/-5)))*(80.27-(80.27/(-5*80.27))))-(-5/-5)))))</f>
        <v>2573344.842615</v>
      </c>
      <c r="C18028" t="n" s="0">
        <v>2573344.8426149995</v>
      </c>
    </row>
    <row r="18029">
      <c r="A18029" t="n" s="0">
        <v>80.28</v>
      </c>
      <c r="B18029" t="n" s="0">
        <f>(-5-((((-5*(-5/((-5/(((-5*(80.28--5))-(-5+((-5*80.28)*(((-5--5)+(80.28--5))+80.28))))-(-5+-5)))*-5)))/-5)--5)+(-5*(((80.28*(80.28-(-5/-5)))*(80.28-(80.28/(-5*80.28))))-(-5/-5)))))</f>
        <v>2574308.27296</v>
      </c>
      <c r="C18029" t="n" s="0">
        <v>2574308.2729599997</v>
      </c>
    </row>
    <row r="18030">
      <c r="A18030" t="n" s="0">
        <v>80.29</v>
      </c>
      <c r="B18030" t="n" s="0">
        <f>(-5-((((-5*(-5/((-5/(((-5*(80.29--5))-(-5+((-5*80.29)*(((-5--5)+(80.29--5))+80.29))))-(-5+-5)))*-5)))/-5)--5)+(-5*(((80.29*(80.29-(-5/-5)))*(80.29-(80.29/(-5*80.29))))-(-5/-5)))))</f>
        <v>2575271.9437450003</v>
      </c>
      <c r="C18030" t="n" s="0">
        <v>2575271.9437450008</v>
      </c>
    </row>
    <row r="18031">
      <c r="A18031" t="n" s="0">
        <v>80.3</v>
      </c>
      <c r="B18031" t="n" s="0">
        <f>(-5-((((-5*(-5/((-5/(((-5*(80.3--5))-(-5+((-5*80.3)*(((-5--5)+(80.3--5))+80.3))))-(-5+-5)))*-5)))/-5)--5)+(-5*(((80.3*(80.3-(-5/-5)))*(80.3-(80.3/(-5*80.3))))-(-5/-5)))))</f>
        <v>2576235.855</v>
      </c>
      <c r="C18031" t="n" s="0">
        <v>2576235.8549999995</v>
      </c>
    </row>
    <row r="18032">
      <c r="A18032" t="n" s="0">
        <v>80.31</v>
      </c>
      <c r="B18032" t="n" s="0">
        <f>(-5-((((-5*(-5/((-5/(((-5*(80.31--5))-(-5+((-5*80.31)*(((-5--5)+(80.31--5))+80.31))))-(-5+-5)))*-5)))/-5)--5)+(-5*(((80.31*(80.31-(-5/-5)))*(80.31-(80.31/(-5*80.31))))-(-5/-5)))))</f>
        <v>2577200.006755</v>
      </c>
      <c r="C18032" t="n" s="0">
        <v>2577200.006755</v>
      </c>
    </row>
    <row r="18033">
      <c r="A18033" t="n" s="0">
        <v>80.32</v>
      </c>
      <c r="B18033" t="n" s="0">
        <f>(-5-((((-5*(-5/((-5/(((-5*(80.32--5))-(-5+((-5*80.32)*(((-5--5)+(80.32--5))+80.32))))-(-5+-5)))*-5)))/-5)--5)+(-5*(((80.32*(80.32-(-5/-5)))*(80.32-(80.32/(-5*80.32))))-(-5/-5)))))</f>
        <v>2578164.39904</v>
      </c>
      <c r="C18033" t="n" s="0">
        <v>2578164.3990399996</v>
      </c>
    </row>
    <row r="18034">
      <c r="A18034" t="n" s="0">
        <v>80.33</v>
      </c>
      <c r="B18034" t="n" s="0">
        <f>(-5-((((-5*(-5/((-5/(((-5*(80.33--5))-(-5+((-5*80.33)*(((-5--5)+(80.33--5))+80.33))))-(-5+-5)))*-5)))/-5)--5)+(-5*(((80.33*(80.33-(-5/-5)))*(80.33-(80.33/(-5*80.33))))-(-5/-5)))))</f>
        <v>2579129.031885</v>
      </c>
      <c r="C18034" t="n" s="0">
        <v>2579129.031885</v>
      </c>
    </row>
    <row r="18035">
      <c r="A18035" t="n" s="0">
        <v>80.34</v>
      </c>
      <c r="B18035" t="n" s="0">
        <f>(-5-((((-5*(-5/((-5/(((-5*(80.34--5))-(-5+((-5*80.34)*(((-5--5)+(80.34--5))+80.34))))-(-5+-5)))*-5)))/-5)--5)+(-5*(((80.34*(80.34-(-5/-5)))*(80.34-(80.34/(-5*80.34))))-(-5/-5)))))</f>
        <v>2580093.90532</v>
      </c>
      <c r="C18035" t="n" s="0">
        <v>2580093.9053200004</v>
      </c>
    </row>
    <row r="18036">
      <c r="A18036" t="n" s="0">
        <v>80.35</v>
      </c>
      <c r="B18036" t="n" s="0">
        <f>(-5-((((-5*(-5/((-5/(((-5*(80.35--5))-(-5+((-5*80.35)*(((-5--5)+(80.35--5))+80.35))))-(-5+-5)))*-5)))/-5)--5)+(-5*(((80.35*(80.35-(-5/-5)))*(80.35-(80.35/(-5*80.35))))-(-5/-5)))))</f>
        <v>2581059.019375</v>
      </c>
      <c r="C18036" t="n" s="0">
        <v>2581059.019374999</v>
      </c>
    </row>
    <row r="18037">
      <c r="A18037" t="n" s="0">
        <v>80.36</v>
      </c>
      <c r="B18037" t="n" s="0">
        <f>(-5-((((-5*(-5/((-5/(((-5*(80.36--5))-(-5+((-5*80.36)*(((-5--5)+(80.36--5))+80.36))))-(-5+-5)))*-5)))/-5)--5)+(-5*(((80.36*(80.36-(-5/-5)))*(80.36-(80.36/(-5*80.36))))-(-5/-5)))))</f>
        <v>2582024.37408</v>
      </c>
      <c r="C18037" t="n" s="0">
        <v>2582024.37408</v>
      </c>
    </row>
    <row r="18038">
      <c r="A18038" t="n" s="0">
        <v>80.37</v>
      </c>
      <c r="B18038" t="n" s="0">
        <f>(-5-((((-5*(-5/((-5/(((-5*(80.37--5))-(-5+((-5*80.37)*(((-5--5)+(80.37--5))+80.37))))-(-5+-5)))*-5)))/-5)--5)+(-5*(((80.37*(80.37-(-5/-5)))*(80.37-(80.37/(-5*80.37))))-(-5/-5)))))</f>
        <v>2582989.969465</v>
      </c>
      <c r="C18038" t="n" s="0">
        <v>2582989.9694650006</v>
      </c>
    </row>
    <row r="18039">
      <c r="A18039" t="n" s="0">
        <v>80.38</v>
      </c>
      <c r="B18039" t="n" s="0">
        <f>(-5-((((-5*(-5/((-5/(((-5*(80.38--5))-(-5+((-5*80.38)*(((-5--5)+(80.38--5))+80.38))))-(-5+-5)))*-5)))/-5)--5)+(-5*(((80.38*(80.38-(-5/-5)))*(80.38-(80.38/(-5*80.38))))-(-5/-5)))))</f>
        <v>2583955.80556</v>
      </c>
      <c r="C18039" t="n" s="0">
        <v>2583955.80556</v>
      </c>
    </row>
    <row r="18040">
      <c r="A18040" t="n" s="0">
        <v>80.39</v>
      </c>
      <c r="B18040" t="n" s="0">
        <f>(-5-((((-5*(-5/((-5/(((-5*(80.39--5))-(-5+((-5*80.39)*(((-5--5)+(80.39--5))+80.39))))-(-5+-5)))*-5)))/-5)--5)+(-5*(((80.39*(80.39-(-5/-5)))*(80.39-(80.39/(-5*80.39))))-(-5/-5)))))</f>
        <v>2584921.882395</v>
      </c>
      <c r="C18040" t="n" s="0">
        <v>2584921.882395</v>
      </c>
    </row>
    <row r="18041">
      <c r="A18041" t="n" s="0">
        <v>80.4</v>
      </c>
      <c r="B18041" t="n" s="0">
        <f>(-5-((((-5*(-5/((-5/(((-5*(80.4--5))-(-5+((-5*80.4)*(((-5--5)+(80.4--5))+80.4))))-(-5+-5)))*-5)))/-5)--5)+(-5*(((80.4*(80.4-(-5/-5)))*(80.4-(80.4/(-5*80.4))))-(-5/-5)))))</f>
        <v>2585888.1999999997</v>
      </c>
      <c r="C18041" t="n" s="0">
        <v>2585888.2000000007</v>
      </c>
    </row>
    <row r="18042">
      <c r="A18042" t="n" s="0">
        <v>80.41</v>
      </c>
      <c r="B18042" t="n" s="0">
        <f>(-5-((((-5*(-5/((-5/(((-5*(80.41--5))-(-5+((-5*80.41)*(((-5--5)+(80.41--5))+80.41))))-(-5+-5)))*-5)))/-5)--5)+(-5*(((80.41*(80.41-(-5/-5)))*(80.41-(80.41/(-5*80.41))))-(-5/-5)))))</f>
        <v>2586854.758405</v>
      </c>
      <c r="C18042" t="n" s="0">
        <v>2586854.7584049995</v>
      </c>
    </row>
    <row r="18043">
      <c r="A18043" t="n" s="0">
        <v>80.42</v>
      </c>
      <c r="B18043" t="n" s="0">
        <f>(-5-((((-5*(-5/((-5/(((-5*(80.42--5))-(-5+((-5*80.42)*(((-5--5)+(80.42--5))+80.42))))-(-5+-5)))*-5)))/-5)--5)+(-5*(((80.42*(80.42-(-5/-5)))*(80.42-(80.42/(-5*80.42))))-(-5/-5)))))</f>
        <v>2587821.5576400002</v>
      </c>
      <c r="C18043" t="n" s="0">
        <v>2587821.55764</v>
      </c>
    </row>
    <row r="18044">
      <c r="A18044" t="n" s="0">
        <v>80.43</v>
      </c>
      <c r="B18044" t="n" s="0">
        <f>(-5-((((-5*(-5/((-5/(((-5*(80.43--5))-(-5+((-5*80.43)*(((-5--5)+(80.43--5))+80.43))))-(-5+-5)))*-5)))/-5)--5)+(-5*(((80.43*(80.43-(-5/-5)))*(80.43-(80.43/(-5*80.43))))-(-5/-5)))))</f>
        <v>2588788.597735</v>
      </c>
      <c r="C18044" t="n" s="0">
        <v>2588788.597735001</v>
      </c>
    </row>
    <row r="18045">
      <c r="A18045" t="n" s="0">
        <v>80.44</v>
      </c>
      <c r="B18045" t="n" s="0">
        <f>(-5-((((-5*(-5/((-5/(((-5*(80.44--5))-(-5+((-5*80.44)*(((-5--5)+(80.44--5))+80.44))))-(-5+-5)))*-5)))/-5)--5)+(-5*(((80.44*(80.44-(-5/-5)))*(80.44-(80.44/(-5*80.44))))-(-5/-5)))))</f>
        <v>2589755.87872</v>
      </c>
      <c r="C18045" t="n" s="0">
        <v>2589755.8787199995</v>
      </c>
    </row>
    <row r="18046">
      <c r="A18046" t="n" s="0">
        <v>80.45</v>
      </c>
      <c r="B18046" t="n" s="0">
        <f>(-5-((((-5*(-5/((-5/(((-5*(80.45--5))-(-5+((-5*80.45)*(((-5--5)+(80.45--5))+80.45))))-(-5+-5)))*-5)))/-5)--5)+(-5*(((80.45*(80.45-(-5/-5)))*(80.45-(80.45/(-5*80.45))))-(-5/-5)))))</f>
        <v>2590723.4006250002</v>
      </c>
      <c r="C18046" t="n" s="0">
        <v>2590723.4006250007</v>
      </c>
    </row>
    <row r="18047">
      <c r="A18047" t="n" s="0">
        <v>80.46</v>
      </c>
      <c r="B18047" t="n" s="0">
        <f>(-5-((((-5*(-5/((-5/(((-5*(80.46--5))-(-5+((-5*80.46)*(((-5--5)+(80.46--5))+80.46))))-(-5+-5)))*-5)))/-5)--5)+(-5*(((80.46*(80.46-(-5/-5)))*(80.46-(80.46/(-5*80.46))))-(-5/-5)))))</f>
        <v>2591691.16348</v>
      </c>
      <c r="C18047" t="n" s="0">
        <v>2591691.1634799996</v>
      </c>
    </row>
    <row r="18048">
      <c r="A18048" t="n" s="0">
        <v>80.47</v>
      </c>
      <c r="B18048" t="n" s="0">
        <f>(-5-((((-5*(-5/((-5/(((-5*(80.47--5))-(-5+((-5*80.47)*(((-5--5)+(80.47--5))+80.47))))-(-5+-5)))*-5)))/-5)--5)+(-5*(((80.47*(80.47-(-5/-5)))*(80.47-(80.47/(-5*80.47))))-(-5/-5)))))</f>
        <v>2592659.1673149997</v>
      </c>
      <c r="C18048" t="n" s="0">
        <v>2592659.167315</v>
      </c>
    </row>
    <row r="18049">
      <c r="A18049" t="n" s="0">
        <v>80.48</v>
      </c>
      <c r="B18049" t="n" s="0">
        <f>(-5-((((-5*(-5/((-5/(((-5*(80.48--5))-(-5+((-5*80.48)*(((-5--5)+(80.48--5))+80.48))))-(-5+-5)))*-5)))/-5)--5)+(-5*(((80.48*(80.48-(-5/-5)))*(80.48-(80.48/(-5*80.48))))-(-5/-5)))))</f>
        <v>2593627.41216</v>
      </c>
      <c r="C18049" t="n" s="0">
        <v>2593627.4121600003</v>
      </c>
    </row>
    <row r="18050">
      <c r="A18050" t="n" s="0">
        <v>80.49</v>
      </c>
      <c r="B18050" t="n" s="0">
        <f>(-5-((((-5*(-5/((-5/(((-5*(80.49--5))-(-5+((-5*80.49)*(((-5--5)+(80.49--5))+80.49))))-(-5+-5)))*-5)))/-5)--5)+(-5*(((80.49*(80.49-(-5/-5)))*(80.49-(80.49/(-5*80.49))))-(-5/-5)))))</f>
        <v>2594595.8980449997</v>
      </c>
      <c r="C18050" t="n" s="0">
        <v>2594595.8980449997</v>
      </c>
    </row>
    <row r="18051">
      <c r="A18051" t="n" s="0">
        <v>80.5</v>
      </c>
      <c r="B18051" t="n" s="0">
        <f>(-5-((((-5*(-5/((-5/(((-5*(80.5--5))-(-5+((-5*80.5)*(((-5--5)+(80.5--5))+80.5))))-(-5+-5)))*-5)))/-5)--5)+(-5*(((80.5*(80.5-(-5/-5)))*(80.5-(80.5/(-5*80.5))))-(-5/-5)))))</f>
        <v>2595564.625</v>
      </c>
      <c r="C18051" t="n" s="0">
        <v>2595564.625</v>
      </c>
    </row>
    <row r="18052">
      <c r="A18052" t="n" s="0">
        <v>80.51</v>
      </c>
      <c r="B18052" t="n" s="0">
        <f>(-5-((((-5*(-5/((-5/(((-5*(80.51--5))-(-5+((-5*80.51)*(((-5--5)+(80.51--5))+80.51))))-(-5+-5)))*-5)))/-5)--5)+(-5*(((80.51*(80.51-(-5/-5)))*(80.51-(80.51/(-5*80.51))))-(-5/-5)))))</f>
        <v>2596533.593055</v>
      </c>
      <c r="C18052" t="n" s="0">
        <v>2596533.5930550005</v>
      </c>
    </row>
    <row r="18053">
      <c r="A18053" t="n" s="0">
        <v>80.52</v>
      </c>
      <c r="B18053" t="n" s="0">
        <f>(-5-((((-5*(-5/((-5/(((-5*(80.52--5))-(-5+((-5*80.52)*(((-5--5)+(80.52--5))+80.52))))-(-5+-5)))*-5)))/-5)--5)+(-5*(((80.52*(80.52-(-5/-5)))*(80.52-(80.52/(-5*80.52))))-(-5/-5)))))</f>
        <v>2597502.80224</v>
      </c>
      <c r="C18053" t="n" s="0">
        <v>2597502.8022399996</v>
      </c>
    </row>
    <row r="18054">
      <c r="A18054" t="n" s="0">
        <v>80.53</v>
      </c>
      <c r="B18054" t="n" s="0">
        <f>(-5-((((-5*(-5/((-5/(((-5*(80.53--5))-(-5+((-5*80.53)*(((-5--5)+(80.53--5))+80.53))))-(-5+-5)))*-5)))/-5)--5)+(-5*(((80.53*(80.53-(-5/-5)))*(80.53-(80.53/(-5*80.53))))-(-5/-5)))))</f>
        <v>2598472.252585</v>
      </c>
      <c r="C18054" t="n" s="0">
        <v>2598472.252585</v>
      </c>
    </row>
    <row r="18055">
      <c r="A18055" t="n" s="0">
        <v>80.54</v>
      </c>
      <c r="B18055" t="n" s="0">
        <f>(-5-((((-5*(-5/((-5/(((-5*(80.54--5))-(-5+((-5*80.54)*(((-5--5)+(80.54--5))+80.54))))-(-5+-5)))*-5)))/-5)--5)+(-5*(((80.54*(80.54-(-5/-5)))*(80.54-(80.54/(-5*80.54))))-(-5/-5)))))</f>
        <v>2599441.94412</v>
      </c>
      <c r="C18055" t="n" s="0">
        <v>2599441.9441200006</v>
      </c>
    </row>
    <row r="18056">
      <c r="A18056" t="n" s="0">
        <v>80.55</v>
      </c>
      <c r="B18056" t="n" s="0">
        <f>(-5-((((-5*(-5/((-5/(((-5*(80.55--5))-(-5+((-5*80.55)*(((-5--5)+(80.55--5))+80.55))))-(-5+-5)))*-5)))/-5)--5)+(-5*(((80.55*(80.55-(-5/-5)))*(80.55-(80.55/(-5*80.55))))-(-5/-5)))))</f>
        <v>2600411.876875</v>
      </c>
      <c r="C18056" t="n" s="0">
        <v>2600411.8768749996</v>
      </c>
    </row>
    <row r="18057">
      <c r="A18057" t="n" s="0">
        <v>80.56</v>
      </c>
      <c r="B18057" t="n" s="0">
        <f>(-5-((((-5*(-5/((-5/(((-5*(80.56--5))-(-5+((-5*80.56)*(((-5--5)+(80.56--5))+80.56))))-(-5+-5)))*-5)))/-5)--5)+(-5*(((80.56*(80.56-(-5/-5)))*(80.56-(80.56/(-5*80.56))))-(-5/-5)))))</f>
        <v>2601382.05088</v>
      </c>
      <c r="C18057" t="n" s="0">
        <v>2601382.0508800005</v>
      </c>
    </row>
    <row r="18058">
      <c r="A18058" t="n" s="0">
        <v>80.57</v>
      </c>
      <c r="B18058" t="n" s="0">
        <f>(-5-((((-5*(-5/((-5/(((-5*(80.57--5))-(-5+((-5*80.57)*(((-5--5)+(80.57--5))+80.57))))-(-5+-5)))*-5)))/-5)--5)+(-5*(((80.57*(80.57-(-5/-5)))*(80.57-(80.57/(-5*80.57))))-(-5/-5)))))</f>
        <v>2602352.466165</v>
      </c>
      <c r="C18058" t="n" s="0">
        <v>2602352.466164999</v>
      </c>
    </row>
    <row r="18059">
      <c r="A18059" t="n" s="0">
        <v>80.58</v>
      </c>
      <c r="B18059" t="n" s="0">
        <f>(-5-((((-5*(-5/((-5/(((-5*(80.58--5))-(-5+((-5*80.58)*(((-5--5)+(80.58--5))+80.58))))-(-5+-5)))*-5)))/-5)--5)+(-5*(((80.58*(80.58-(-5/-5)))*(80.58-(80.58/(-5*80.58))))-(-5/-5)))))</f>
        <v>2603323.12276</v>
      </c>
      <c r="C18059" t="n" s="0">
        <v>2603323.12276</v>
      </c>
    </row>
    <row r="18060">
      <c r="A18060" t="n" s="0">
        <v>80.59</v>
      </c>
      <c r="B18060" t="n" s="0">
        <f>(-5-((((-5*(-5/((-5/(((-5*(80.59--5))-(-5+((-5*80.59)*(((-5--5)+(80.59--5))+80.59))))-(-5+-5)))*-5)))/-5)--5)+(-5*(((80.59*(80.59-(-5/-5)))*(80.59-(80.59/(-5*80.59))))-(-5/-5)))))</f>
        <v>2604294.020695</v>
      </c>
      <c r="C18060" t="n" s="0">
        <v>2604294.0206950004</v>
      </c>
    </row>
    <row r="18061">
      <c r="A18061" t="n" s="0">
        <v>80.6</v>
      </c>
      <c r="B18061" t="n" s="0">
        <f>(-5-((((-5*(-5/((-5/(((-5*(80.6--5))-(-5+((-5*80.6)*(((-5--5)+(80.6--5))+80.6))))-(-5+-5)))*-5)))/-5)--5)+(-5*(((80.6*(80.6-(-5/-5)))*(80.6-(80.6/(-5*80.6))))-(-5/-5)))))</f>
        <v>2605265.16</v>
      </c>
      <c r="C18061" t="n" s="0">
        <v>2605265.1599999988</v>
      </c>
    </row>
    <row r="18062">
      <c r="A18062" t="n" s="0">
        <v>80.61</v>
      </c>
      <c r="B18062" t="n" s="0">
        <f>(-5-((((-5*(-5/((-5/(((-5*(80.61--5))-(-5+((-5*80.61)*(((-5--5)+(80.61--5))+80.61))))-(-5+-5)))*-5)))/-5)--5)+(-5*(((80.61*(80.61-(-5/-5)))*(80.61-(80.61/(-5*80.61))))-(-5/-5)))))</f>
        <v>2606236.540705</v>
      </c>
      <c r="C18062" t="n" s="0">
        <v>2606236.540705</v>
      </c>
    </row>
    <row r="18063">
      <c r="A18063" t="n" s="0">
        <v>80.62</v>
      </c>
      <c r="B18063" t="n" s="0">
        <f>(-5-((((-5*(-5/((-5/(((-5*(80.62--5))-(-5+((-5*80.62)*(((-5--5)+(80.62--5))+80.62))))-(-5+-5)))*-5)))/-5)--5)+(-5*(((80.62*(80.62-(-5/-5)))*(80.62-(80.62/(-5*80.62))))-(-5/-5)))))</f>
        <v>2607208.16284</v>
      </c>
      <c r="C18063" t="n" s="0">
        <v>2607208.1628400004</v>
      </c>
    </row>
    <row r="18064">
      <c r="A18064" t="n" s="0">
        <v>80.63</v>
      </c>
      <c r="B18064" t="n" s="0">
        <f>(-5-((((-5*(-5/((-5/(((-5*(80.63--5))-(-5+((-5*80.63)*(((-5--5)+(80.63--5))+80.63))))-(-5+-5)))*-5)))/-5)--5)+(-5*(((80.63*(80.63-(-5/-5)))*(80.63-(80.63/(-5*80.63))))-(-5/-5)))))</f>
        <v>2608180.0264350004</v>
      </c>
      <c r="C18064" t="n" s="0">
        <v>2608180.0264349994</v>
      </c>
    </row>
    <row r="18065">
      <c r="A18065" t="n" s="0">
        <v>80.64</v>
      </c>
      <c r="B18065" t="n" s="0">
        <f>(-5-((((-5*(-5/((-5/(((-5*(80.64--5))-(-5+((-5*80.64)*(((-5--5)+(80.64--5))+80.64))))-(-5+-5)))*-5)))/-5)--5)+(-5*(((80.64*(80.64-(-5/-5)))*(80.64-(80.64/(-5*80.64))))-(-5/-5)))))</f>
        <v>2609152.1315200003</v>
      </c>
      <c r="C18065" t="n" s="0">
        <v>2609152.13152</v>
      </c>
    </row>
    <row r="18066">
      <c r="A18066" t="n" s="0">
        <v>80.65</v>
      </c>
      <c r="B18066" t="n" s="0">
        <f>(-5-((((-5*(-5/((-5/(((-5*(80.65--5))-(-5+((-5*80.65)*(((-5--5)+(80.65--5))+80.65))))-(-5+-5)))*-5)))/-5)--5)+(-5*(((80.65*(80.65-(-5/-5)))*(80.65-(80.65/(-5*80.65))))-(-5/-5)))))</f>
        <v>2610124.478125</v>
      </c>
      <c r="C18066" t="n" s="0">
        <v>2610124.4781250004</v>
      </c>
    </row>
    <row r="18067">
      <c r="A18067" t="n" s="0">
        <v>80.66</v>
      </c>
      <c r="B18067" t="n" s="0">
        <f>(-5-((((-5*(-5/((-5/(((-5*(80.66--5))-(-5+((-5*80.66)*(((-5--5)+(80.66--5))+80.66))))-(-5+-5)))*-5)))/-5)--5)+(-5*(((80.66*(80.66-(-5/-5)))*(80.66-(80.66/(-5*80.66))))-(-5/-5)))))</f>
        <v>2611097.06628</v>
      </c>
      <c r="C18067" t="n" s="0">
        <v>2611097.0662799994</v>
      </c>
    </row>
    <row r="18068">
      <c r="A18068" t="n" s="0">
        <v>80.67</v>
      </c>
      <c r="B18068" t="n" s="0">
        <f>(-5-((((-5*(-5/((-5/(((-5*(80.67--5))-(-5+((-5*80.67)*(((-5--5)+(80.67--5))+80.67))))-(-5+-5)))*-5)))/-5)--5)+(-5*(((80.67*(80.67-(-5/-5)))*(80.67-(80.67/(-5*80.67))))-(-5/-5)))))</f>
        <v>2612069.896015</v>
      </c>
      <c r="C18068" t="n" s="0">
        <v>2612069.8960150005</v>
      </c>
    </row>
    <row r="18069">
      <c r="A18069" t="n" s="0">
        <v>80.68</v>
      </c>
      <c r="B18069" t="n" s="0">
        <f>(-5-((((-5*(-5/((-5/(((-5*(80.68--5))-(-5+((-5*80.68)*(((-5--5)+(80.68--5))+80.68))))-(-5+-5)))*-5)))/-5)--5)+(-5*(((80.68*(80.68-(-5/-5)))*(80.68-(80.68/(-5*80.68))))-(-5/-5)))))</f>
        <v>2613042.96736</v>
      </c>
      <c r="C18069" t="n" s="0">
        <v>2613042.967360001</v>
      </c>
    </row>
    <row r="18070">
      <c r="A18070" t="n" s="0">
        <v>80.69</v>
      </c>
      <c r="B18070" t="n" s="0">
        <f>(-5-((((-5*(-5/((-5/(((-5*(80.69--5))-(-5+((-5*80.69)*(((-5--5)+(80.69--5))+80.69))))-(-5+-5)))*-5)))/-5)--5)+(-5*(((80.69*(80.69-(-5/-5)))*(80.69-(80.69/(-5*80.69))))-(-5/-5)))))</f>
        <v>2614016.2803450003</v>
      </c>
      <c r="C18070" t="n" s="0">
        <v>2614016.280345</v>
      </c>
    </row>
    <row r="18071">
      <c r="A18071" t="n" s="0">
        <v>80.7</v>
      </c>
      <c r="B18071" t="n" s="0">
        <f>(-5-((((-5*(-5/((-5/(((-5*(80.7--5))-(-5+((-5*80.7)*(((-5--5)+(80.7--5))+80.7))))-(-5+-5)))*-5)))/-5)--5)+(-5*(((80.7*(80.7-(-5/-5)))*(80.7-(80.7/(-5*80.7))))-(-5/-5)))))</f>
        <v>2614989.835</v>
      </c>
      <c r="C18071" t="n" s="0">
        <v>2614989.8350000004</v>
      </c>
    </row>
    <row r="18072">
      <c r="A18072" t="n" s="0">
        <v>80.71</v>
      </c>
      <c r="B18072" t="n" s="0">
        <f>(-5-((((-5*(-5/((-5/(((-5*(80.71--5))-(-5+((-5*80.71)*(((-5--5)+(80.71--5))+80.71))))-(-5+-5)))*-5)))/-5)--5)+(-5*(((80.71*(80.71-(-5/-5)))*(80.71-(80.71/(-5*80.71))))-(-5/-5)))))</f>
        <v>2615963.631355</v>
      </c>
      <c r="C18072" t="n" s="0">
        <v>2615963.631354999</v>
      </c>
    </row>
    <row r="18073">
      <c r="A18073" t="n" s="0">
        <v>80.72</v>
      </c>
      <c r="B18073" t="n" s="0">
        <f>(-5-((((-5*(-5/((-5/(((-5*(80.72--5))-(-5+((-5*80.72)*(((-5--5)+(80.72--5))+80.72))))-(-5+-5)))*-5)))/-5)--5)+(-5*(((80.72*(80.72-(-5/-5)))*(80.72-(80.72/(-5*80.72))))-(-5/-5)))))</f>
        <v>2616937.6694400003</v>
      </c>
      <c r="C18073" t="n" s="0">
        <v>2616937.6694400003</v>
      </c>
    </row>
    <row r="18074">
      <c r="A18074" t="n" s="0">
        <v>80.73</v>
      </c>
      <c r="B18074" t="n" s="0">
        <f>(-5-((((-5*(-5/((-5/(((-5*(80.73--5))-(-5+((-5*80.73)*(((-5--5)+(80.73--5))+80.73))))-(-5+-5)))*-5)))/-5)--5)+(-5*(((80.73*(80.73-(-5/-5)))*(80.73-(80.73/(-5*80.73))))-(-5/-5)))))</f>
        <v>2617911.949285</v>
      </c>
      <c r="C18074" t="n" s="0">
        <v>2617911.949285</v>
      </c>
    </row>
    <row r="18075">
      <c r="A18075" t="n" s="0">
        <v>80.74</v>
      </c>
      <c r="B18075" t="n" s="0">
        <f>(-5-((((-5*(-5/((-5/(((-5*(80.74--5))-(-5+((-5*80.74)*(((-5--5)+(80.74--5))+80.74))))-(-5+-5)))*-5)))/-5)--5)+(-5*(((80.74*(80.74-(-5/-5)))*(80.74-(80.74/(-5*80.74))))-(-5/-5)))))</f>
        <v>2618886.47092</v>
      </c>
      <c r="C18075" t="n" s="0">
        <v>2618886.4709199993</v>
      </c>
    </row>
    <row r="18076">
      <c r="A18076" t="n" s="0">
        <v>80.75</v>
      </c>
      <c r="B18076" t="n" s="0">
        <f>(-5-((((-5*(-5/((-5/(((-5*(80.75--5))-(-5+((-5*80.75)*(((-5--5)+(80.75--5))+80.75))))-(-5+-5)))*-5)))/-5)--5)+(-5*(((80.75*(80.75-(-5/-5)))*(80.75-(80.75/(-5*80.75))))-(-5/-5)))))</f>
        <v>2619861.234375</v>
      </c>
      <c r="C18076" t="n" s="0">
        <v>2619861.234375</v>
      </c>
    </row>
    <row r="18077">
      <c r="A18077" t="n" s="0">
        <v>80.76</v>
      </c>
      <c r="B18077" t="n" s="0">
        <f>(-5-((((-5*(-5/((-5/(((-5*(80.76--5))-(-5+((-5*80.76)*(((-5--5)+(80.76--5))+80.76))))-(-5+-5)))*-5)))/-5)--5)+(-5*(((80.76*(80.76-(-5/-5)))*(80.76-(80.76/(-5*80.76))))-(-5/-5)))))</f>
        <v>2620836.23968</v>
      </c>
      <c r="C18077" t="n" s="0">
        <v>2620836.23968</v>
      </c>
    </row>
    <row r="18078">
      <c r="A18078" t="n" s="0">
        <v>80.77</v>
      </c>
      <c r="B18078" t="n" s="0">
        <f>(-5-((((-5*(-5/((-5/(((-5*(80.77--5))-(-5+((-5*80.77)*(((-5--5)+(80.77--5))+80.77))))-(-5+-5)))*-5)))/-5)--5)+(-5*(((80.77*(80.77-(-5/-5)))*(80.77-(80.77/(-5*80.77))))-(-5/-5)))))</f>
        <v>2621811.486865</v>
      </c>
      <c r="C18078" t="n" s="0">
        <v>2621811.486865</v>
      </c>
    </row>
    <row r="18079">
      <c r="A18079" t="n" s="0">
        <v>80.78</v>
      </c>
      <c r="B18079" t="n" s="0">
        <f>(-5-((((-5*(-5/((-5/(((-5*(80.78--5))-(-5+((-5*80.78)*(((-5--5)+(80.78--5))+80.78))))-(-5+-5)))*-5)))/-5)--5)+(-5*(((80.78*(80.78-(-5/-5)))*(80.78-(80.78/(-5*80.78))))-(-5/-5)))))</f>
        <v>2622786.97596</v>
      </c>
      <c r="C18079" t="n" s="0">
        <v>2622786.9759599995</v>
      </c>
    </row>
    <row r="18080">
      <c r="A18080" t="n" s="0">
        <v>80.79</v>
      </c>
      <c r="B18080" t="n" s="0">
        <f>(-5-((((-5*(-5/((-5/(((-5*(80.79--5))-(-5+((-5*80.79)*(((-5--5)+(80.79--5))+80.79))))-(-5+-5)))*-5)))/-5)--5)+(-5*(((80.79*(80.79-(-5/-5)))*(80.79-(80.79/(-5*80.79))))-(-5/-5)))))</f>
        <v>2623762.706995</v>
      </c>
      <c r="C18080" t="n" s="0">
        <v>2623762.706995</v>
      </c>
    </row>
    <row r="18081">
      <c r="A18081" t="n" s="0">
        <v>80.8</v>
      </c>
      <c r="B18081" t="n" s="0">
        <f>(-5-((((-5*(-5/((-5/(((-5*(80.8--5))-(-5+((-5*80.8)*(((-5--5)+(80.8--5))+80.8))))-(-5+-5)))*-5)))/-5)--5)+(-5*(((80.8*(80.8-(-5/-5)))*(80.8-(80.8/(-5*80.8))))-(-5/-5)))))</f>
        <v>2624738.68</v>
      </c>
      <c r="C18081" t="n" s="0">
        <v>2624738.6799999997</v>
      </c>
    </row>
    <row r="18082">
      <c r="A18082" t="n" s="0">
        <v>80.81</v>
      </c>
      <c r="B18082" t="n" s="0">
        <f>(-5-((((-5*(-5/((-5/(((-5*(80.81--5))-(-5+((-5*80.81)*(((-5--5)+(80.81--5))+80.81))))-(-5+-5)))*-5)))/-5)--5)+(-5*(((80.81*(80.81-(-5/-5)))*(80.81-(80.81/(-5*80.81))))-(-5/-5)))))</f>
        <v>2625714.895005</v>
      </c>
      <c r="C18082" t="n" s="0">
        <v>2625714.8950050003</v>
      </c>
    </row>
    <row r="18083">
      <c r="A18083" t="n" s="0">
        <v>80.82</v>
      </c>
      <c r="B18083" t="n" s="0">
        <f>(-5-((((-5*(-5/((-5/(((-5*(80.82--5))-(-5+((-5*80.82)*(((-5--5)+(80.82--5))+80.82))))-(-5+-5)))*-5)))/-5)--5)+(-5*(((80.82*(80.82-(-5/-5)))*(80.82-(80.82/(-5*80.82))))-(-5/-5)))))</f>
        <v>2626691.35204</v>
      </c>
      <c r="C18083" t="n" s="0">
        <v>2626691.35204</v>
      </c>
    </row>
    <row r="18084">
      <c r="A18084" t="n" s="0">
        <v>80.83</v>
      </c>
      <c r="B18084" t="n" s="0">
        <f>(-5-((((-5*(-5/((-5/(((-5*(80.83--5))-(-5+((-5*80.83)*(((-5--5)+(80.83--5))+80.83))))-(-5+-5)))*-5)))/-5)--5)+(-5*(((80.83*(80.83-(-5/-5)))*(80.83-(80.83/(-5*80.83))))-(-5/-5)))))</f>
        <v>2627668.051135</v>
      </c>
      <c r="C18084" t="n" s="0">
        <v>2627668.051135</v>
      </c>
    </row>
    <row r="18085">
      <c r="A18085" t="n" s="0">
        <v>80.84</v>
      </c>
      <c r="B18085" t="n" s="0">
        <f>(-5-((((-5*(-5/((-5/(((-5*(80.84--5))-(-5+((-5*80.84)*(((-5--5)+(80.84--5))+80.84))))-(-5+-5)))*-5)))/-5)--5)+(-5*(((80.84*(80.84-(-5/-5)))*(80.84-(80.84/(-5*80.84))))-(-5/-5)))))</f>
        <v>2628644.99232</v>
      </c>
      <c r="C18085" t="n" s="0">
        <v>2628644.9923200007</v>
      </c>
    </row>
    <row r="18086">
      <c r="A18086" t="n" s="0">
        <v>80.85</v>
      </c>
      <c r="B18086" t="n" s="0">
        <f>(-5-((((-5*(-5/((-5/(((-5*(80.85--5))-(-5+((-5*80.85)*(((-5--5)+(80.85--5))+80.85))))-(-5+-5)))*-5)))/-5)--5)+(-5*(((80.85*(80.85-(-5/-5)))*(80.85-(80.85/(-5*80.85))))-(-5/-5)))))</f>
        <v>2629622.175625</v>
      </c>
      <c r="C18086" t="n" s="0">
        <v>2629622.175624999</v>
      </c>
    </row>
    <row r="18087">
      <c r="A18087" t="n" s="0">
        <v>80.86</v>
      </c>
      <c r="B18087" t="n" s="0">
        <f>(-5-((((-5*(-5/((-5/(((-5*(80.86--5))-(-5+((-5*80.86)*(((-5--5)+(80.86--5))+80.86))))-(-5+-5)))*-5)))/-5)--5)+(-5*(((80.86*(80.86-(-5/-5)))*(80.86-(80.86/(-5*80.86))))-(-5/-5)))))</f>
        <v>2630599.60108</v>
      </c>
      <c r="C18087" t="n" s="0">
        <v>2630599.60108</v>
      </c>
    </row>
    <row r="18088">
      <c r="A18088" t="n" s="0">
        <v>80.87</v>
      </c>
      <c r="B18088" t="n" s="0">
        <f>(-5-((((-5*(-5/((-5/(((-5*(80.87--5))-(-5+((-5*80.87)*(((-5--5)+(80.87--5))+80.87))))-(-5+-5)))*-5)))/-5)--5)+(-5*(((80.87*(80.87-(-5/-5)))*(80.87-(80.87/(-5*80.87))))-(-5/-5)))))</f>
        <v>2631577.2687150002</v>
      </c>
      <c r="C18088" t="n" s="0">
        <v>2631577.2687150002</v>
      </c>
    </row>
    <row r="18089">
      <c r="A18089" t="n" s="0">
        <v>80.88</v>
      </c>
      <c r="B18089" t="n" s="0">
        <f>(-5-((((-5*(-5/((-5/(((-5*(80.88--5))-(-5+((-5*80.88)*(((-5--5)+(80.88--5))+80.88))))-(-5+-5)))*-5)))/-5)--5)+(-5*(((80.88*(80.88-(-5/-5)))*(80.88-(80.88/(-5*80.88))))-(-5/-5)))))</f>
        <v>2632555.17856</v>
      </c>
      <c r="C18089" t="n" s="0">
        <v>2632555.1785599994</v>
      </c>
    </row>
    <row r="18090">
      <c r="A18090" t="n" s="0">
        <v>80.89</v>
      </c>
      <c r="B18090" t="n" s="0">
        <f>(-5-((((-5*(-5/((-5/(((-5*(80.89--5))-(-5+((-5*80.89)*(((-5--5)+(80.89--5))+80.89))))-(-5+-5)))*-5)))/-5)--5)+(-5*(((80.89*(80.89-(-5/-5)))*(80.89-(80.89/(-5*80.89))))-(-5/-5)))))</f>
        <v>2633533.3306449996</v>
      </c>
      <c r="C18090" t="n" s="0">
        <v>2633533.3306449996</v>
      </c>
    </row>
    <row r="18091">
      <c r="A18091" t="n" s="0">
        <v>80.9</v>
      </c>
      <c r="B18091" t="n" s="0">
        <f>(-5-((((-5*(-5/((-5/(((-5*(80.9--5))-(-5+((-5*80.9)*(((-5--5)+(80.9--5))+80.9))))-(-5+-5)))*-5)))/-5)--5)+(-5*(((80.9*(80.9-(-5/-5)))*(80.9-(80.9/(-5*80.9))))-(-5/-5)))))</f>
        <v>2634511.725</v>
      </c>
      <c r="C18091" t="n" s="0">
        <v>2634511.7250000006</v>
      </c>
    </row>
    <row r="18092">
      <c r="A18092" t="n" s="0">
        <v>80.91</v>
      </c>
      <c r="B18092" t="n" s="0">
        <f>(-5-((((-5*(-5/((-5/(((-5*(80.91--5))-(-5+((-5*80.91)*(((-5--5)+(80.91--5))+80.91))))-(-5+-5)))*-5)))/-5)--5)+(-5*(((80.91*(80.91-(-5/-5)))*(80.91-(80.91/(-5*80.91))))-(-5/-5)))))</f>
        <v>2635490.361655</v>
      </c>
      <c r="C18092" t="n" s="0">
        <v>2635490.3616549997</v>
      </c>
    </row>
    <row r="18093">
      <c r="A18093" t="n" s="0">
        <v>80.92</v>
      </c>
      <c r="B18093" t="n" s="0">
        <f>(-5-((((-5*(-5/((-5/(((-5*(80.92--5))-(-5+((-5*80.92)*(((-5--5)+(80.92--5))+80.92))))-(-5+-5)))*-5)))/-5)--5)+(-5*(((80.92*(80.92-(-5/-5)))*(80.92-(80.92/(-5*80.92))))-(-5/-5)))))</f>
        <v>2636469.24064</v>
      </c>
      <c r="C18093" t="n" s="0">
        <v>2636469.2406399995</v>
      </c>
    </row>
    <row r="18094">
      <c r="A18094" t="n" s="0">
        <v>80.93</v>
      </c>
      <c r="B18094" t="n" s="0">
        <f>(-5-((((-5*(-5/((-5/(((-5*(80.93--5))-(-5+((-5*80.93)*(((-5--5)+(80.93--5))+80.93))))-(-5+-5)))*-5)))/-5)--5)+(-5*(((80.93*(80.93-(-5/-5)))*(80.93-(80.93/(-5*80.93))))-(-5/-5)))))</f>
        <v>2637448.3619850003</v>
      </c>
      <c r="C18094" t="n" s="0">
        <v>2637448.361985001</v>
      </c>
    </row>
    <row r="18095">
      <c r="A18095" t="n" s="0">
        <v>80.94</v>
      </c>
      <c r="B18095" t="n" s="0">
        <f>(-5-((((-5*(-5/((-5/(((-5*(80.94--5))-(-5+((-5*80.94)*(((-5--5)+(80.94--5))+80.94))))-(-5+-5)))*-5)))/-5)--5)+(-5*(((80.94*(80.94-(-5/-5)))*(80.94-(80.94/(-5*80.94))))-(-5/-5)))))</f>
        <v>2638427.72572</v>
      </c>
      <c r="C18095" t="n" s="0">
        <v>2638427.72572</v>
      </c>
    </row>
    <row r="18096">
      <c r="A18096" t="n" s="0">
        <v>80.95</v>
      </c>
      <c r="B18096" t="n" s="0">
        <f>(-5-((((-5*(-5/((-5/(((-5*(80.95--5))-(-5+((-5*80.95)*(((-5--5)+(80.95--5))+80.95))))-(-5+-5)))*-5)))/-5)--5)+(-5*(((80.95*(80.95-(-5/-5)))*(80.95-(80.95/(-5*80.95))))-(-5/-5)))))</f>
        <v>2639407.331875</v>
      </c>
      <c r="C18096" t="n" s="0">
        <v>2639407.331875</v>
      </c>
    </row>
    <row r="18097">
      <c r="A18097" t="n" s="0">
        <v>80.96</v>
      </c>
      <c r="B18097" t="n" s="0">
        <f>(-5-((((-5*(-5/((-5/(((-5*(80.96--5))-(-5+((-5*80.96)*(((-5--5)+(80.96--5))+80.96))))-(-5+-5)))*-5)))/-5)--5)+(-5*(((80.96*(80.96-(-5/-5)))*(80.96-(80.96/(-5*80.96))))-(-5/-5)))))</f>
        <v>2640387.18048</v>
      </c>
      <c r="C18097" t="n" s="0">
        <v>2640387.180479999</v>
      </c>
    </row>
    <row r="18098">
      <c r="A18098" t="n" s="0">
        <v>80.97</v>
      </c>
      <c r="B18098" t="n" s="0">
        <f>(-5-((((-5*(-5/((-5/(((-5*(80.97--5))-(-5+((-5*80.97)*(((-5--5)+(80.97--5))+80.97))))-(-5+-5)))*-5)))/-5)--5)+(-5*(((80.97*(80.97-(-5/-5)))*(80.97-(80.97/(-5*80.97))))-(-5/-5)))))</f>
        <v>2641367.271565</v>
      </c>
      <c r="C18098" t="n" s="0">
        <v>2641367.271565</v>
      </c>
    </row>
    <row r="18099">
      <c r="A18099" t="n" s="0">
        <v>80.98</v>
      </c>
      <c r="B18099" t="n" s="0">
        <f>(-5-((((-5*(-5/((-5/(((-5*(80.98--5))-(-5+((-5*80.98)*(((-5--5)+(80.98--5))+80.98))))-(-5+-5)))*-5)))/-5)--5)+(-5*(((80.98*(80.98-(-5/-5)))*(80.98-(80.98/(-5*80.98))))-(-5/-5)))))</f>
        <v>2642347.60516</v>
      </c>
      <c r="C18099" t="n" s="0">
        <v>2642347.6051600003</v>
      </c>
    </row>
    <row r="18100">
      <c r="A18100" t="n" s="0">
        <v>80.99</v>
      </c>
      <c r="B18100" t="n" s="0">
        <f>(-5-((((-5*(-5/((-5/(((-5*(80.99--5))-(-5+((-5*80.99)*(((-5--5)+(80.99--5))+80.99))))-(-5+-5)))*-5)))/-5)--5)+(-5*(((80.99*(80.99-(-5/-5)))*(80.99-(80.99/(-5*80.99))))-(-5/-5)))))</f>
        <v>2643328.181295</v>
      </c>
      <c r="C18100" t="n" s="0">
        <v>2643328.1812949996</v>
      </c>
    </row>
    <row r="18101">
      <c r="A18101" t="n" s="0">
        <v>81.0</v>
      </c>
      <c r="B18101" t="n" s="0">
        <f>(-5-((((-5*(-5/((-5/(((-5*(81--5))-(-5+((-5*81)*(((-5--5)+(81--5))+81))))-(-5+-5)))*-5)))/-5)--5)+(-5*(((81*(81-(-5/-5)))*(81-(81/(-5*81))))-(-5/-5)))))</f>
        <v>2644309.0</v>
      </c>
      <c r="C18101" t="n" s="0">
        <v>2644309.0</v>
      </c>
    </row>
    <row r="18102">
      <c r="A18102" t="n" s="0">
        <v>81.01</v>
      </c>
      <c r="B18102" t="n" s="0">
        <f>(-5-((((-5*(-5/((-5/(((-5*(81.01--5))-(-5+((-5*81.01)*(((-5--5)+(81.01--5))+81.01))))-(-5+-5)))*-5)))/-5)--5)+(-5*(((81.01*(81.01-(-5/-5)))*(81.01-(81.01/(-5*81.01))))-(-5/-5)))))</f>
        <v>2645290.061305</v>
      </c>
      <c r="C18102" t="n" s="0">
        <v>2645290.0613050004</v>
      </c>
    </row>
    <row r="18103">
      <c r="A18103" t="n" s="0">
        <v>81.02</v>
      </c>
      <c r="B18103" t="n" s="0">
        <f>(-5-((((-5*(-5/((-5/(((-5*(81.02--5))-(-5+((-5*81.02)*(((-5--5)+(81.02--5))+81.02))))-(-5+-5)))*-5)))/-5)--5)+(-5*(((81.02*(81.02-(-5/-5)))*(81.02-(81.02/(-5*81.02))))-(-5/-5)))))</f>
        <v>2646271.36524</v>
      </c>
      <c r="C18103" t="n" s="0">
        <v>2646271.3652399997</v>
      </c>
    </row>
    <row r="18104">
      <c r="A18104" t="n" s="0">
        <v>81.03</v>
      </c>
      <c r="B18104" t="n" s="0">
        <f>(-5-((((-5*(-5/((-5/(((-5*(81.03--5))-(-5+((-5*81.03)*(((-5--5)+(81.03--5))+81.03))))-(-5+-5)))*-5)))/-5)--5)+(-5*(((81.03*(81.03-(-5/-5)))*(81.03-(81.03/(-5*81.03))))-(-5/-5)))))</f>
        <v>2647252.911835</v>
      </c>
      <c r="C18104" t="n" s="0">
        <v>2647252.9118350004</v>
      </c>
    </row>
    <row r="18105">
      <c r="A18105" t="n" s="0">
        <v>81.04</v>
      </c>
      <c r="B18105" t="n" s="0">
        <f>(-5-((((-5*(-5/((-5/(((-5*(81.04--5))-(-5+((-5*81.04)*(((-5--5)+(81.04--5))+81.04))))-(-5+-5)))*-5)))/-5)--5)+(-5*(((81.04*(81.04-(-5/-5)))*(81.04-(81.04/(-5*81.04))))-(-5/-5)))))</f>
        <v>2648234.70112</v>
      </c>
      <c r="C18105" t="n" s="0">
        <v>2648234.701120001</v>
      </c>
    </row>
    <row r="18106">
      <c r="A18106" t="n" s="0">
        <v>81.05</v>
      </c>
      <c r="B18106" t="n" s="0">
        <f>(-5-((((-5*(-5/((-5/(((-5*(81.05--5))-(-5+((-5*81.05)*(((-5--5)+(81.05--5))+81.05))))-(-5+-5)))*-5)))/-5)--5)+(-5*(((81.05*(81.05-(-5/-5)))*(81.05-(81.05/(-5*81.05))))-(-5/-5)))))</f>
        <v>2649216.733125</v>
      </c>
      <c r="C18106" t="n" s="0">
        <v>2649216.733125</v>
      </c>
    </row>
    <row r="18107">
      <c r="A18107" t="n" s="0">
        <v>81.06</v>
      </c>
      <c r="B18107" t="n" s="0">
        <f>(-5-((((-5*(-5/((-5/(((-5*(81.06--5))-(-5+((-5*81.06)*(((-5--5)+(81.06--5))+81.06))))-(-5+-5)))*-5)))/-5)--5)+(-5*(((81.06*(81.06-(-5/-5)))*(81.06-(81.06/(-5*81.06))))-(-5/-5)))))</f>
        <v>2650199.00788</v>
      </c>
      <c r="C18107" t="n" s="0">
        <v>2650199.0078800004</v>
      </c>
    </row>
    <row r="18108">
      <c r="A18108" t="n" s="0">
        <v>81.07</v>
      </c>
      <c r="B18108" t="n" s="0">
        <f>(-5-((((-5*(-5/((-5/(((-5*(81.07--5))-(-5+((-5*81.07)*(((-5--5)+(81.07--5))+81.07))))-(-5+-5)))*-5)))/-5)--5)+(-5*(((81.07*(81.07-(-5/-5)))*(81.07-(81.07/(-5*81.07))))-(-5/-5)))))</f>
        <v>2651181.525415</v>
      </c>
      <c r="C18108" t="n" s="0">
        <v>2651181.5254149996</v>
      </c>
    </row>
    <row r="18109">
      <c r="A18109" t="n" s="0">
        <v>81.08</v>
      </c>
      <c r="B18109" t="n" s="0">
        <f>(-5-((((-5*(-5/((-5/(((-5*(81.08--5))-(-5+((-5*81.08)*(((-5--5)+(81.08--5))+81.08))))-(-5+-5)))*-5)))/-5)--5)+(-5*(((81.08*(81.08-(-5/-5)))*(81.08-(81.08/(-5*81.08))))-(-5/-5)))))</f>
        <v>2652164.28576</v>
      </c>
      <c r="C18109" t="n" s="0">
        <v>2652164.2857600003</v>
      </c>
    </row>
    <row r="18110">
      <c r="A18110" t="n" s="0">
        <v>81.09</v>
      </c>
      <c r="B18110" t="n" s="0">
        <f>(-5-((((-5*(-5/((-5/(((-5*(81.09--5))-(-5+((-5*81.09)*(((-5--5)+(81.09--5))+81.09))))-(-5+-5)))*-5)))/-5)--5)+(-5*(((81.09*(81.09-(-5/-5)))*(81.09-(81.09/(-5*81.09))))-(-5/-5)))))</f>
        <v>2653147.288945</v>
      </c>
      <c r="C18110" t="n" s="0">
        <v>2653147.2889450006</v>
      </c>
    </row>
    <row r="18111">
      <c r="A18111" t="n" s="0">
        <v>81.1</v>
      </c>
      <c r="B18111" t="n" s="0">
        <f>(-5-((((-5*(-5/((-5/(((-5*(81.1--5))-(-5+((-5*81.1)*(((-5--5)+(81.1--5))+81.1))))-(-5+-5)))*-5)))/-5)--5)+(-5*(((81.1*(81.1-(-5/-5)))*(81.1-(81.1/(-5*81.1))))-(-5/-5)))))</f>
        <v>2654130.5349999997</v>
      </c>
      <c r="C18111" t="n" s="0">
        <v>2654130.534999999</v>
      </c>
    </row>
    <row r="18112">
      <c r="A18112" t="n" s="0">
        <v>81.11</v>
      </c>
      <c r="B18112" t="n" s="0">
        <f>(-5-((((-5*(-5/((-5/(((-5*(81.11--5))-(-5+((-5*81.11)*(((-5--5)+(81.11--5))+81.11))))-(-5+-5)))*-5)))/-5)--5)+(-5*(((81.11*(81.11-(-5/-5)))*(81.11-(81.11/(-5*81.11))))-(-5/-5)))))</f>
        <v>2655114.023955</v>
      </c>
      <c r="C18112" t="n" s="0">
        <v>2655114.023955</v>
      </c>
    </row>
    <row r="18113">
      <c r="A18113" t="n" s="0">
        <v>81.12</v>
      </c>
      <c r="B18113" t="n" s="0">
        <f>(-5-((((-5*(-5/((-5/(((-5*(81.12--5))-(-5+((-5*81.12)*(((-5--5)+(81.12--5))+81.12))))-(-5+-5)))*-5)))/-5)--5)+(-5*(((81.12*(81.12-(-5/-5)))*(81.12-(81.12/(-5*81.12))))-(-5/-5)))))</f>
        <v>2656097.7558399998</v>
      </c>
      <c r="C18113" t="n" s="0">
        <v>2656097.75584</v>
      </c>
    </row>
    <row r="18114">
      <c r="A18114" t="n" s="0">
        <v>81.13</v>
      </c>
      <c r="B18114" t="n" s="0">
        <f>(-5-((((-5*(-5/((-5/(((-5*(81.13--5))-(-5+((-5*81.13)*(((-5--5)+(81.13--5))+81.13))))-(-5+-5)))*-5)))/-5)--5)+(-5*(((81.13*(81.13-(-5/-5)))*(81.13-(81.13/(-5*81.13))))-(-5/-5)))))</f>
        <v>2657081.730685</v>
      </c>
      <c r="C18114" t="n" s="0">
        <v>2657081.7306849994</v>
      </c>
    </row>
    <row r="18115">
      <c r="A18115" t="n" s="0">
        <v>81.14</v>
      </c>
      <c r="B18115" t="n" s="0">
        <f>(-5-((((-5*(-5/((-5/(((-5*(81.14--5))-(-5+((-5*81.14)*(((-5--5)+(81.14--5))+81.14))))-(-5+-5)))*-5)))/-5)--5)+(-5*(((81.14*(81.14-(-5/-5)))*(81.14-(81.14/(-5*81.14))))-(-5/-5)))))</f>
        <v>2658065.94852</v>
      </c>
      <c r="C18115" t="n" s="0">
        <v>2658065.94852</v>
      </c>
    </row>
    <row r="18116">
      <c r="A18116" t="n" s="0">
        <v>81.15</v>
      </c>
      <c r="B18116" t="n" s="0">
        <f>(-5-((((-5*(-5/((-5/(((-5*(81.15--5))-(-5+((-5*81.15)*(((-5--5)+(81.15--5))+81.15))))-(-5+-5)))*-5)))/-5)--5)+(-5*(((81.15*(81.15-(-5/-5)))*(81.15-(81.15/(-5*81.15))))-(-5/-5)))))</f>
        <v>2659050.4093750003</v>
      </c>
      <c r="C18116" t="n" s="0">
        <v>2659050.4093750003</v>
      </c>
    </row>
    <row r="18117">
      <c r="A18117" t="n" s="0">
        <v>81.16</v>
      </c>
      <c r="B18117" t="n" s="0">
        <f>(-5-((((-5*(-5/((-5/(((-5*(81.16--5))-(-5+((-5*81.16)*(((-5--5)+(81.16--5))+81.16))))-(-5+-5)))*-5)))/-5)--5)+(-5*(((81.16*(81.16-(-5/-5)))*(81.16-(81.16/(-5*81.16))))-(-5/-5)))))</f>
        <v>2660035.11328</v>
      </c>
      <c r="C18117" t="n" s="0">
        <v>2660035.1132799997</v>
      </c>
    </row>
    <row r="18118">
      <c r="A18118" t="n" s="0">
        <v>81.17</v>
      </c>
      <c r="B18118" t="n" s="0">
        <f>(-5-((((-5*(-5/((-5/(((-5*(81.17--5))-(-5+((-5*81.17)*(((-5--5)+(81.17--5))+81.17))))-(-5+-5)))*-5)))/-5)--5)+(-5*(((81.17*(81.17-(-5/-5)))*(81.17-(81.17/(-5*81.17))))-(-5/-5)))))</f>
        <v>2661020.060265</v>
      </c>
      <c r="C18118" t="n" s="0">
        <v>2661020.0602649995</v>
      </c>
    </row>
    <row r="18119">
      <c r="A18119" t="n" s="0">
        <v>81.18</v>
      </c>
      <c r="B18119" t="n" s="0">
        <f>(-5-((((-5*(-5/((-5/(((-5*(81.18--5))-(-5+((-5*81.18)*(((-5--5)+(81.18--5))+81.18))))-(-5+-5)))*-5)))/-5)--5)+(-5*(((81.18*(81.18-(-5/-5)))*(81.18-(81.18/(-5*81.18))))-(-5/-5)))))</f>
        <v>2662005.25036</v>
      </c>
      <c r="C18119" t="n" s="0">
        <v>2662005.250360001</v>
      </c>
    </row>
    <row r="18120">
      <c r="A18120" t="n" s="0">
        <v>81.19</v>
      </c>
      <c r="B18120" t="n" s="0">
        <f>(-5-((((-5*(-5/((-5/(((-5*(81.19--5))-(-5+((-5*81.19)*(((-5--5)+(81.19--5))+81.19))))-(-5+-5)))*-5)))/-5)--5)+(-5*(((81.19*(81.19-(-5/-5)))*(81.19-(81.19/(-5*81.19))))-(-5/-5)))))</f>
        <v>2662990.6835950003</v>
      </c>
      <c r="C18120" t="n" s="0">
        <v>2662990.6835949994</v>
      </c>
    </row>
    <row r="18121">
      <c r="A18121" t="n" s="0">
        <v>81.2</v>
      </c>
      <c r="B18121" t="n" s="0">
        <f>(-5-((((-5*(-5/((-5/(((-5*(81.2--5))-(-5+((-5*81.2)*(((-5--5)+(81.2--5))+81.2))))-(-5+-5)))*-5)))/-5)--5)+(-5*(((81.2*(81.2-(-5/-5)))*(81.2-(81.2/(-5*81.2))))-(-5/-5)))))</f>
        <v>2663976.3600000003</v>
      </c>
      <c r="C18121" t="n" s="0">
        <v>2663976.360000001</v>
      </c>
    </row>
    <row r="18122">
      <c r="A18122" t="n" s="0">
        <v>81.21</v>
      </c>
      <c r="B18122" t="n" s="0">
        <f>(-5-((((-5*(-5/((-5/(((-5*(81.21--5))-(-5+((-5*81.21)*(((-5--5)+(81.21--5))+81.21))))-(-5+-5)))*-5)))/-5)--5)+(-5*(((81.21*(81.21-(-5/-5)))*(81.21-(81.21/(-5*81.21))))-(-5/-5)))))</f>
        <v>2664962.279605</v>
      </c>
      <c r="C18122" t="n" s="0">
        <v>2664962.2796049993</v>
      </c>
    </row>
    <row r="18123">
      <c r="A18123" t="n" s="0">
        <v>81.22</v>
      </c>
      <c r="B18123" t="n" s="0">
        <f>(-5-((((-5*(-5/((-5/(((-5*(81.22--5))-(-5+((-5*81.22)*(((-5--5)+(81.22--5))+81.22))))-(-5+-5)))*-5)))/-5)--5)+(-5*(((81.22*(81.22-(-5/-5)))*(81.22-(81.22/(-5*81.22))))-(-5/-5)))))</f>
        <v>2665948.44244</v>
      </c>
      <c r="C18123" t="n" s="0">
        <v>2665948.44244</v>
      </c>
    </row>
    <row r="18124">
      <c r="A18124" t="n" s="0">
        <v>81.23</v>
      </c>
      <c r="B18124" t="n" s="0">
        <f>(-5-((((-5*(-5/((-5/(((-5*(81.23--5))-(-5+((-5*81.23)*(((-5--5)+(81.23--5))+81.23))))-(-5+-5)))*-5)))/-5)--5)+(-5*(((81.23*(81.23-(-5/-5)))*(81.23-(81.23/(-5*81.23))))-(-5/-5)))))</f>
        <v>2666934.848535</v>
      </c>
      <c r="C18124" t="n" s="0">
        <v>2666934.8485350003</v>
      </c>
    </row>
    <row r="18125">
      <c r="A18125" t="n" s="0">
        <v>81.24</v>
      </c>
      <c r="B18125" t="n" s="0">
        <f>(-5-((((-5*(-5/((-5/(((-5*(81.24--5))-(-5+((-5*81.24)*(((-5--5)+(81.24--5))+81.24))))-(-5+-5)))*-5)))/-5)--5)+(-5*(((81.24*(81.24-(-5/-5)))*(81.24-(81.24/(-5*81.24))))-(-5/-5)))))</f>
        <v>2667921.49792</v>
      </c>
      <c r="C18125" t="n" s="0">
        <v>2667921.4979199995</v>
      </c>
    </row>
    <row r="18126">
      <c r="A18126" t="n" s="0">
        <v>81.25</v>
      </c>
      <c r="B18126" t="n" s="0">
        <f>(-5-((((-5*(-5/((-5/(((-5*(81.25--5))-(-5+((-5*81.25)*(((-5--5)+(81.25--5))+81.25))))-(-5+-5)))*-5)))/-5)--5)+(-5*(((81.25*(81.25-(-5/-5)))*(81.25-(81.25/(-5*81.25))))-(-5/-5)))))</f>
        <v>2668908.390625</v>
      </c>
      <c r="C18126" t="n" s="0">
        <v>2668908.390625</v>
      </c>
    </row>
    <row r="18127">
      <c r="A18127" t="n" s="0">
        <v>81.26</v>
      </c>
      <c r="B18127" t="n" s="0">
        <f>(-5-((((-5*(-5/((-5/(((-5*(81.26--5))-(-5+((-5*81.26)*(((-5--5)+(81.26--5))+81.26))))-(-5+-5)))*-5)))/-5)--5)+(-5*(((81.26*(81.26-(-5/-5)))*(81.26-(81.26/(-5*81.26))))-(-5/-5)))))</f>
        <v>2669895.52668</v>
      </c>
      <c r="C18127" t="n" s="0">
        <v>2669895.52668</v>
      </c>
    </row>
    <row r="18128">
      <c r="A18128" t="n" s="0">
        <v>81.27</v>
      </c>
      <c r="B18128" t="n" s="0">
        <f>(-5-((((-5*(-5/((-5/(((-5*(81.27--5))-(-5+((-5*81.27)*(((-5--5)+(81.27--5))+81.27))))-(-5+-5)))*-5)))/-5)--5)+(-5*(((81.27*(81.27-(-5/-5)))*(81.27-(81.27/(-5*81.27))))-(-5/-5)))))</f>
        <v>2670882.906115</v>
      </c>
      <c r="C18128" t="n" s="0">
        <v>2670882.906115</v>
      </c>
    </row>
    <row r="18129">
      <c r="A18129" t="n" s="0">
        <v>81.28</v>
      </c>
      <c r="B18129" t="n" s="0">
        <f>(-5-((((-5*(-5/((-5/(((-5*(81.28--5))-(-5+((-5*81.28)*(((-5--5)+(81.28--5))+81.28))))-(-5+-5)))*-5)))/-5)--5)+(-5*(((81.28*(81.28-(-5/-5)))*(81.28-(81.28/(-5*81.28))))-(-5/-5)))))</f>
        <v>2671870.52896</v>
      </c>
      <c r="C18129" t="n" s="0">
        <v>2671870.5289600003</v>
      </c>
    </row>
    <row r="18130">
      <c r="A18130" t="n" s="0">
        <v>81.29</v>
      </c>
      <c r="B18130" t="n" s="0">
        <f>(-5-((((-5*(-5/((-5/(((-5*(81.29--5))-(-5+((-5*81.29)*(((-5--5)+(81.29--5))+81.29))))-(-5+-5)))*-5)))/-5)--5)+(-5*(((81.29*(81.29-(-5/-5)))*(81.29-(81.29/(-5*81.29))))-(-5/-5)))))</f>
        <v>2672858.395245</v>
      </c>
      <c r="C18130" t="n" s="0">
        <v>2672858.3952450007</v>
      </c>
    </row>
    <row r="18131">
      <c r="A18131" t="n" s="0">
        <v>81.3</v>
      </c>
      <c r="B18131" t="n" s="0">
        <f>(-5-((((-5*(-5/((-5/(((-5*(81.3--5))-(-5+((-5*81.3)*(((-5--5)+(81.3--5))+81.3))))-(-5+-5)))*-5)))/-5)--5)+(-5*(((81.3*(81.3-(-5/-5)))*(81.3-(81.3/(-5*81.3))))-(-5/-5)))))</f>
        <v>2673846.505</v>
      </c>
      <c r="C18131" t="n" s="0">
        <v>2673846.5049999994</v>
      </c>
    </row>
    <row r="18132">
      <c r="A18132" t="n" s="0">
        <v>81.31</v>
      </c>
      <c r="B18132" t="n" s="0">
        <f>(-5-((((-5*(-5/((-5/(((-5*(81.31--5))-(-5+((-5*81.31)*(((-5--5)+(81.31--5))+81.31))))-(-5+-5)))*-5)))/-5)--5)+(-5*(((81.31*(81.31-(-5/-5)))*(81.31-(81.31/(-5*81.31))))-(-5/-5)))))</f>
        <v>2674834.8582550003</v>
      </c>
      <c r="C18132" t="n" s="0">
        <v>2674834.858255001</v>
      </c>
    </row>
    <row r="18133">
      <c r="A18133" t="n" s="0">
        <v>81.32</v>
      </c>
      <c r="B18133" t="n" s="0">
        <f>(-5-((((-5*(-5/((-5/(((-5*(81.32--5))-(-5+((-5*81.32)*(((-5--5)+(81.32--5))+81.32))))-(-5+-5)))*-5)))/-5)--5)+(-5*(((81.32*(81.32-(-5/-5)))*(81.32-(81.32/(-5*81.32))))-(-5/-5)))))</f>
        <v>2675823.45504</v>
      </c>
      <c r="C18133" t="n" s="0">
        <v>2675823.4550399994</v>
      </c>
    </row>
    <row r="18134">
      <c r="A18134" t="n" s="0">
        <v>81.33</v>
      </c>
      <c r="B18134" t="n" s="0">
        <f>(-5-((((-5*(-5/((-5/(((-5*(81.33--5))-(-5+((-5*81.33)*(((-5--5)+(81.33--5))+81.33))))-(-5+-5)))*-5)))/-5)--5)+(-5*(((81.33*(81.33-(-5/-5)))*(81.33-(81.33/(-5*81.33))))-(-5/-5)))))</f>
        <v>2676812.295385</v>
      </c>
      <c r="C18134" t="n" s="0">
        <v>2676812.295385</v>
      </c>
    </row>
    <row r="18135">
      <c r="A18135" t="n" s="0">
        <v>81.34</v>
      </c>
      <c r="B18135" t="n" s="0">
        <f>(-5-((((-5*(-5/((-5/(((-5*(81.34--5))-(-5+((-5*81.34)*(((-5--5)+(81.34--5))+81.34))))-(-5+-5)))*-5)))/-5)--5)+(-5*(((81.34*(81.34-(-5/-5)))*(81.34-(81.34/(-5*81.34))))-(-5/-5)))))</f>
        <v>2677801.37932</v>
      </c>
      <c r="C18135" t="n" s="0">
        <v>2677801.3793200003</v>
      </c>
    </row>
    <row r="18136">
      <c r="A18136" t="n" s="0">
        <v>81.35</v>
      </c>
      <c r="B18136" t="n" s="0">
        <f>(-5-((((-5*(-5/((-5/(((-5*(81.35--5))-(-5+((-5*81.35)*(((-5--5)+(81.35--5))+81.35))))-(-5+-5)))*-5)))/-5)--5)+(-5*(((81.35*(81.35-(-5/-5)))*(81.35-(81.35/(-5*81.35))))-(-5/-5)))))</f>
        <v>2678790.706875</v>
      </c>
      <c r="C18136" t="n" s="0">
        <v>2678790.7068749997</v>
      </c>
    </row>
    <row r="18137">
      <c r="A18137" t="n" s="0">
        <v>81.36</v>
      </c>
      <c r="B18137" t="n" s="0">
        <f>(-5-((((-5*(-5/((-5/(((-5*(81.36--5))-(-5+((-5*81.36)*(((-5--5)+(81.36--5))+81.36))))-(-5+-5)))*-5)))/-5)--5)+(-5*(((81.36*(81.36-(-5/-5)))*(81.36-(81.36/(-5*81.36))))-(-5/-5)))))</f>
        <v>2679780.2780799996</v>
      </c>
      <c r="C18137" t="n" s="0">
        <v>2679780.27808</v>
      </c>
    </row>
    <row r="18138">
      <c r="A18138" t="n" s="0">
        <v>81.37</v>
      </c>
      <c r="B18138" t="n" s="0">
        <f>(-5-((((-5*(-5/((-5/(((-5*(81.37--5))-(-5+((-5*81.37)*(((-5--5)+(81.37--5))+81.37))))-(-5+-5)))*-5)))/-5)--5)+(-5*(((81.37*(81.37-(-5/-5)))*(81.37-(81.37/(-5*81.37))))-(-5/-5)))))</f>
        <v>2680770.092965</v>
      </c>
      <c r="C18138" t="n" s="0">
        <v>2680770.0929650003</v>
      </c>
    </row>
    <row r="18139">
      <c r="A18139" t="n" s="0">
        <v>81.38</v>
      </c>
      <c r="B18139" t="n" s="0">
        <f>(-5-((((-5*(-5/((-5/(((-5*(81.38--5))-(-5+((-5*81.38)*(((-5--5)+(81.38--5))+81.38))))-(-5+-5)))*-5)))/-5)--5)+(-5*(((81.38*(81.38-(-5/-5)))*(81.38-(81.38/(-5*81.38))))-(-5/-5)))))</f>
        <v>2681760.1515599997</v>
      </c>
      <c r="C18139" t="n" s="0">
        <v>2681760.1515599997</v>
      </c>
    </row>
    <row r="18140">
      <c r="A18140" t="n" s="0">
        <v>81.39</v>
      </c>
      <c r="B18140" t="n" s="0">
        <f>(-5-((((-5*(-5/((-5/(((-5*(81.39--5))-(-5+((-5*81.39)*(((-5--5)+(81.39--5))+81.39))))-(-5+-5)))*-5)))/-5)--5)+(-5*(((81.39*(81.39-(-5/-5)))*(81.39-(81.39/(-5*81.39))))-(-5/-5)))))</f>
        <v>2682750.4538950003</v>
      </c>
      <c r="C18140" t="n" s="0">
        <v>2682750.4538950003</v>
      </c>
    </row>
    <row r="18141">
      <c r="A18141" t="n" s="0">
        <v>81.4</v>
      </c>
      <c r="B18141" t="n" s="0">
        <f>(-5-((((-5*(-5/((-5/(((-5*(81.4--5))-(-5+((-5*81.4)*(((-5--5)+(81.4--5))+81.4))))-(-5+-5)))*-5)))/-5)--5)+(-5*(((81.4*(81.4-(-5/-5)))*(81.4-(81.4/(-5*81.4))))-(-5/-5)))))</f>
        <v>2683741.0</v>
      </c>
      <c r="C18141" t="n" s="0">
        <v>2683741.000000001</v>
      </c>
    </row>
    <row r="18142">
      <c r="A18142" t="n" s="0">
        <v>81.41</v>
      </c>
      <c r="B18142" t="n" s="0">
        <f>(-5-((((-5*(-5/((-5/(((-5*(81.41--5))-(-5+((-5*81.41)*(((-5--5)+(81.41--5))+81.41))))-(-5+-5)))*-5)))/-5)--5)+(-5*(((81.41*(81.41-(-5/-5)))*(81.41-(81.41/(-5*81.41))))-(-5/-5)))))</f>
        <v>2684731.7899049995</v>
      </c>
      <c r="C18142" t="n" s="0">
        <v>2684731.7899049995</v>
      </c>
    </row>
    <row r="18143">
      <c r="A18143" t="n" s="0">
        <v>81.42</v>
      </c>
      <c r="B18143" t="n" s="0">
        <f>(-5-((((-5*(-5/((-5/(((-5*(81.42--5))-(-5+((-5*81.42)*(((-5--5)+(81.42--5))+81.42))))-(-5+-5)))*-5)))/-5)--5)+(-5*(((81.42*(81.42-(-5/-5)))*(81.42-(81.42/(-5*81.42))))-(-5/-5)))))</f>
        <v>2685722.8236399996</v>
      </c>
      <c r="C18143" t="n" s="0">
        <v>2685722.8236399996</v>
      </c>
    </row>
    <row r="18144">
      <c r="A18144" t="n" s="0">
        <v>81.43</v>
      </c>
      <c r="B18144" t="n" s="0">
        <f>(-5-((((-5*(-5/((-5/(((-5*(81.43--5))-(-5+((-5*81.43)*(((-5--5)+(81.43--5))+81.43))))-(-5+-5)))*-5)))/-5)--5)+(-5*(((81.43*(81.43-(-5/-5)))*(81.43-(81.43/(-5*81.43))))-(-5/-5)))))</f>
        <v>2686714.101235</v>
      </c>
      <c r="C18144" t="n" s="0">
        <v>2686714.101235001</v>
      </c>
    </row>
    <row r="18145">
      <c r="A18145" t="n" s="0">
        <v>81.44</v>
      </c>
      <c r="B18145" t="n" s="0">
        <f>(-5-((((-5*(-5/((-5/(((-5*(81.44--5))-(-5+((-5*81.44)*(((-5--5)+(81.44--5))+81.44))))-(-5+-5)))*-5)))/-5)--5)+(-5*(((81.44*(81.44-(-5/-5)))*(81.44-(81.44/(-5*81.44))))-(-5/-5)))))</f>
        <v>2687705.62272</v>
      </c>
      <c r="C18145" t="n" s="0">
        <v>2687705.6227199994</v>
      </c>
    </row>
    <row r="18146">
      <c r="A18146" t="n" s="0">
        <v>81.45</v>
      </c>
      <c r="B18146" t="n" s="0">
        <f>(-5-((((-5*(-5/((-5/(((-5*(81.45--5))-(-5+((-5*81.45)*(((-5--5)+(81.45--5))+81.45))))-(-5+-5)))*-5)))/-5)--5)+(-5*(((81.45*(81.45-(-5/-5)))*(81.45-(81.45/(-5*81.45))))-(-5/-5)))))</f>
        <v>2688697.388125</v>
      </c>
      <c r="C18146" t="n" s="0">
        <v>2688697.388125</v>
      </c>
    </row>
    <row r="18147">
      <c r="A18147" t="n" s="0">
        <v>81.46</v>
      </c>
      <c r="B18147" t="n" s="0">
        <f>(-5-((((-5*(-5/((-5/(((-5*(81.46--5))-(-5+((-5*81.46)*(((-5--5)+(81.46--5))+81.46))))-(-5+-5)))*-5)))/-5)--5)+(-5*(((81.46*(81.46-(-5/-5)))*(81.46-(81.46/(-5*81.46))))-(-5/-5)))))</f>
        <v>2689689.39748</v>
      </c>
      <c r="C18147" t="n" s="0">
        <v>2689689.397479999</v>
      </c>
    </row>
    <row r="18148">
      <c r="A18148" t="n" s="0">
        <v>81.47</v>
      </c>
      <c r="B18148" t="n" s="0">
        <f>(-5-((((-5*(-5/((-5/(((-5*(81.47--5))-(-5+((-5*81.47)*(((-5--5)+(81.47--5))+81.47))))-(-5+-5)))*-5)))/-5)--5)+(-5*(((81.47*(81.47-(-5/-5)))*(81.47-(81.47/(-5*81.47))))-(-5/-5)))))</f>
        <v>2690681.650815</v>
      </c>
      <c r="C18148" t="n" s="0">
        <v>2690681.650815</v>
      </c>
    </row>
    <row r="18149">
      <c r="A18149" t="n" s="0">
        <v>81.48</v>
      </c>
      <c r="B18149" t="n" s="0">
        <f>(-5-((((-5*(-5/((-5/(((-5*(81.48--5))-(-5+((-5*81.48)*(((-5--5)+(81.48--5))+81.48))))-(-5+-5)))*-5)))/-5)--5)+(-5*(((81.48*(81.48-(-5/-5)))*(81.48-(81.48/(-5*81.48))))-(-5/-5)))))</f>
        <v>2691674.14816</v>
      </c>
      <c r="C18149" t="n" s="0">
        <v>2691674.148160001</v>
      </c>
    </row>
    <row r="18150">
      <c r="A18150" t="n" s="0">
        <v>81.49</v>
      </c>
      <c r="B18150" t="n" s="0">
        <f>(-5-((((-5*(-5/((-5/(((-5*(81.49--5))-(-5+((-5*81.49)*(((-5--5)+(81.49--5))+81.49))))-(-5+-5)))*-5)))/-5)--5)+(-5*(((81.49*(81.49-(-5/-5)))*(81.49-(81.49/(-5*81.49))))-(-5/-5)))))</f>
        <v>2692666.8895449997</v>
      </c>
      <c r="C18150" t="n" s="0">
        <v>2692666.889545</v>
      </c>
    </row>
    <row r="18151">
      <c r="A18151" t="n" s="0">
        <v>81.5</v>
      </c>
      <c r="B18151" t="n" s="0">
        <f>(-5-((((-5*(-5/((-5/(((-5*(81.5--5))-(-5+((-5*81.5)*(((-5--5)+(81.5--5))+81.5))))-(-5+-5)))*-5)))/-5)--5)+(-5*(((81.5*(81.5-(-5/-5)))*(81.5-(81.5/(-5*81.5))))-(-5/-5)))))</f>
        <v>2693659.875</v>
      </c>
      <c r="C18151" t="n" s="0">
        <v>2693659.875</v>
      </c>
    </row>
    <row r="18152">
      <c r="A18152" t="n" s="0">
        <v>81.51</v>
      </c>
      <c r="B18152" t="n" s="0">
        <f>(-5-((((-5*(-5/((-5/(((-5*(81.51--5))-(-5+((-5*81.51)*(((-5--5)+(81.51--5))+81.51))))-(-5+-5)))*-5)))/-5)--5)+(-5*(((81.51*(81.51-(-5/-5)))*(81.51-(81.51/(-5*81.51))))-(-5/-5)))))</f>
        <v>2694653.104555</v>
      </c>
      <c r="C18152" t="n" s="0">
        <v>2694653.1045550006</v>
      </c>
    </row>
    <row r="18153">
      <c r="A18153" t="n" s="0">
        <v>81.52</v>
      </c>
      <c r="B18153" t="n" s="0">
        <f>(-5-((((-5*(-5/((-5/(((-5*(81.52--5))-(-5+((-5*81.52)*(((-5--5)+(81.52--5))+81.52))))-(-5+-5)))*-5)))/-5)--5)+(-5*(((81.52*(81.52-(-5/-5)))*(81.52-(81.52/(-5*81.52))))-(-5/-5)))))</f>
        <v>2695646.57824</v>
      </c>
      <c r="C18153" t="n" s="0">
        <v>2695646.5782399997</v>
      </c>
    </row>
    <row r="18154">
      <c r="A18154" t="n" s="0">
        <v>81.53</v>
      </c>
      <c r="B18154" t="n" s="0">
        <f>(-5-((((-5*(-5/((-5/(((-5*(81.53--5))-(-5+((-5*81.53)*(((-5--5)+(81.53--5))+81.53))))-(-5+-5)))*-5)))/-5)--5)+(-5*(((81.53*(81.53-(-5/-5)))*(81.53-(81.53/(-5*81.53))))-(-5/-5)))))</f>
        <v>2696640.296085</v>
      </c>
      <c r="C18154" t="n" s="0">
        <v>2696640.2960849996</v>
      </c>
    </row>
    <row r="18155">
      <c r="A18155" t="n" s="0">
        <v>81.54</v>
      </c>
      <c r="B18155" t="n" s="0">
        <f>(-5-((((-5*(-5/((-5/(((-5*(81.54--5))-(-5+((-5*81.54)*(((-5--5)+(81.54--5))+81.54))))-(-5+-5)))*-5)))/-5)--5)+(-5*(((81.54*(81.54-(-5/-5)))*(81.54-(81.54/(-5*81.54))))-(-5/-5)))))</f>
        <v>2697634.25812</v>
      </c>
      <c r="C18155" t="n" s="0">
        <v>2697634.258120001</v>
      </c>
    </row>
    <row r="18156">
      <c r="A18156" t="n" s="0">
        <v>81.55</v>
      </c>
      <c r="B18156" t="n" s="0">
        <f>(-5-((((-5*(-5/((-5/(((-5*(81.55--5))-(-5+((-5*81.55)*(((-5--5)+(81.55--5))+81.55))))-(-5+-5)))*-5)))/-5)--5)+(-5*(((81.55*(81.55-(-5/-5)))*(81.55-(81.55/(-5*81.55))))-(-5/-5)))))</f>
        <v>2698628.464375</v>
      </c>
      <c r="C18156" t="n" s="0">
        <v>2698628.464374999</v>
      </c>
    </row>
    <row r="18157">
      <c r="A18157" t="n" s="0">
        <v>81.56</v>
      </c>
      <c r="B18157" t="n" s="0">
        <f>(-5-((((-5*(-5/((-5/(((-5*(81.56--5))-(-5+((-5*81.56)*(((-5--5)+(81.56--5))+81.56))))-(-5+-5)))*-5)))/-5)--5)+(-5*(((81.56*(81.56-(-5/-5)))*(81.56-(81.56/(-5*81.56))))-(-5/-5)))))</f>
        <v>2699622.91488</v>
      </c>
      <c r="C18157" t="n" s="0">
        <v>2699622.91488</v>
      </c>
    </row>
    <row r="18158">
      <c r="A18158" t="n" s="0">
        <v>81.57</v>
      </c>
      <c r="B18158" t="n" s="0">
        <f>(-5-((((-5*(-5/((-5/(((-5*(81.57--5))-(-5+((-5*81.57)*(((-5--5)+(81.57--5))+81.57))))-(-5+-5)))*-5)))/-5)--5)+(-5*(((81.57*(81.57-(-5/-5)))*(81.57-(81.57/(-5*81.57))))-(-5/-5)))))</f>
        <v>2700617.6096650003</v>
      </c>
      <c r="C18158" t="n" s="0">
        <v>2700617.6096649994</v>
      </c>
    </row>
    <row r="18159">
      <c r="A18159" t="n" s="0">
        <v>81.58</v>
      </c>
      <c r="B18159" t="n" s="0">
        <f>(-5-((((-5*(-5/((-5/(((-5*(81.58--5))-(-5+((-5*81.58)*(((-5--5)+(81.58--5))+81.58))))-(-5+-5)))*-5)))/-5)--5)+(-5*(((81.58*(81.58-(-5/-5)))*(81.58-(81.58/(-5*81.58))))-(-5/-5)))))</f>
        <v>2701612.54876</v>
      </c>
      <c r="C18159" t="n" s="0">
        <v>2701612.54876</v>
      </c>
    </row>
    <row r="18160">
      <c r="A18160" t="n" s="0">
        <v>81.59</v>
      </c>
      <c r="B18160" t="n" s="0">
        <f>(-5-((((-5*(-5/((-5/(((-5*(81.59--5))-(-5+((-5*81.59)*(((-5--5)+(81.59--5))+81.59))))-(-5+-5)))*-5)))/-5)--5)+(-5*(((81.59*(81.59-(-5/-5)))*(81.59-(81.59/(-5*81.59))))-(-5/-5)))))</f>
        <v>2702607.732195</v>
      </c>
      <c r="C18160" t="n" s="0">
        <v>2702607.7321950006</v>
      </c>
    </row>
    <row r="18161">
      <c r="A18161" t="n" s="0">
        <v>81.6</v>
      </c>
      <c r="B18161" t="n" s="0">
        <f>(-5-((((-5*(-5/((-5/(((-5*(81.6--5))-(-5+((-5*81.6)*(((-5--5)+(81.6--5))+81.6))))-(-5+-5)))*-5)))/-5)--5)+(-5*(((81.6*(81.6-(-5/-5)))*(81.6-(81.6/(-5*81.6))))-(-5/-5)))))</f>
        <v>2703603.16</v>
      </c>
      <c r="C18161" t="n" s="0">
        <v>2703603.159999999</v>
      </c>
    </row>
    <row r="18162">
      <c r="A18162" t="n" s="0">
        <v>81.61</v>
      </c>
      <c r="B18162" t="n" s="0">
        <f>(-5-((((-5*(-5/((-5/(((-5*(81.61--5))-(-5+((-5*81.61)*(((-5--5)+(81.61--5))+81.61))))-(-5+-5)))*-5)))/-5)--5)+(-5*(((81.61*(81.61-(-5/-5)))*(81.61-(81.61/(-5*81.61))))-(-5/-5)))))</f>
        <v>2704598.8322050003</v>
      </c>
      <c r="C18162" t="n" s="0">
        <v>2704598.8322050003</v>
      </c>
    </row>
    <row r="18163">
      <c r="A18163" t="n" s="0">
        <v>81.62</v>
      </c>
      <c r="B18163" t="n" s="0">
        <f>(-5-((((-5*(-5/((-5/(((-5*(81.62--5))-(-5+((-5*81.62)*(((-5--5)+(81.62--5))+81.62))))-(-5+-5)))*-5)))/-5)--5)+(-5*(((81.62*(81.62-(-5/-5)))*(81.62-(81.62/(-5*81.62))))-(-5/-5)))))</f>
        <v>2705594.74884</v>
      </c>
      <c r="C18163" t="n" s="0">
        <v>2705594.7488400005</v>
      </c>
    </row>
    <row r="18164">
      <c r="A18164" t="n" s="0">
        <v>81.63</v>
      </c>
      <c r="B18164" t="n" s="0">
        <f>(-5-((((-5*(-5/((-5/(((-5*(81.63--5))-(-5+((-5*81.63)*(((-5--5)+(81.63--5))+81.63))))-(-5+-5)))*-5)))/-5)--5)+(-5*(((81.63*(81.63-(-5/-5)))*(81.63-(81.63/(-5*81.63))))-(-5/-5)))))</f>
        <v>2706590.9099350004</v>
      </c>
      <c r="C18164" t="n" s="0">
        <v>2706590.9099349994</v>
      </c>
    </row>
    <row r="18165">
      <c r="A18165" t="n" s="0">
        <v>81.64</v>
      </c>
      <c r="B18165" t="n" s="0">
        <f>(-5-((((-5*(-5/((-5/(((-5*(81.64--5))-(-5+((-5*81.64)*(((-5--5)+(81.64--5))+81.64))))-(-5+-5)))*-5)))/-5)--5)+(-5*(((81.64*(81.64-(-5/-5)))*(81.64-(81.64/(-5*81.64))))-(-5/-5)))))</f>
        <v>2707587.31552</v>
      </c>
      <c r="C18165" t="n" s="0">
        <v>2707587.3155199997</v>
      </c>
    </row>
    <row r="18166">
      <c r="A18166" t="n" s="0">
        <v>81.65</v>
      </c>
      <c r="B18166" t="n" s="0">
        <f>(-5-((((-5*(-5/((-5/(((-5*(81.65--5))-(-5+((-5*81.65)*(((-5--5)+(81.65--5))+81.65))))-(-5+-5)))*-5)))/-5)--5)+(-5*(((81.65*(81.65-(-5/-5)))*(81.65-(81.65/(-5*81.65))))-(-5/-5)))))</f>
        <v>2708583.9656249997</v>
      </c>
      <c r="C18166" t="n" s="0">
        <v>2708583.965625001</v>
      </c>
    </row>
    <row r="18167">
      <c r="A18167" t="n" s="0">
        <v>81.66</v>
      </c>
      <c r="B18167" t="n" s="0">
        <f>(-5-((((-5*(-5/((-5/(((-5*(81.66--5))-(-5+((-5*81.66)*(((-5--5)+(81.66--5))+81.66))))-(-5+-5)))*-5)))/-5)--5)+(-5*(((81.66*(81.66-(-5/-5)))*(81.66-(81.66/(-5*81.66))))-(-5/-5)))))</f>
        <v>2709580.86028</v>
      </c>
      <c r="C18167" t="n" s="0">
        <v>2709580.86028</v>
      </c>
    </row>
    <row r="18168">
      <c r="A18168" t="n" s="0">
        <v>81.67</v>
      </c>
      <c r="B18168" t="n" s="0">
        <f>(-5-((((-5*(-5/((-5/(((-5*(81.67--5))-(-5+((-5*81.67)*(((-5--5)+(81.67--5))+81.67))))-(-5+-5)))*-5)))/-5)--5)+(-5*(((81.67*(81.67-(-5/-5)))*(81.67-(81.67/(-5*81.67))))-(-5/-5)))))</f>
        <v>2710577.9995150003</v>
      </c>
      <c r="C18168" t="n" s="0">
        <v>2710577.9995150003</v>
      </c>
    </row>
    <row r="18169">
      <c r="A18169" t="n" s="0">
        <v>81.68</v>
      </c>
      <c r="B18169" t="n" s="0">
        <f>(-5-((((-5*(-5/((-5/(((-5*(81.68--5))-(-5+((-5*81.68)*(((-5--5)+(81.68--5))+81.68))))-(-5+-5)))*-5)))/-5)--5)+(-5*(((81.68*(81.68-(-5/-5)))*(81.68-(81.68/(-5*81.68))))-(-5/-5)))))</f>
        <v>2711575.3833600003</v>
      </c>
      <c r="C18169" t="n" s="0">
        <v>2711575.383360001</v>
      </c>
    </row>
    <row r="18170">
      <c r="A18170" t="n" s="0">
        <v>81.69</v>
      </c>
      <c r="B18170" t="n" s="0">
        <f>(-5-((((-5*(-5/((-5/(((-5*(81.69--5))-(-5+((-5*81.69)*(((-5--5)+(81.69--5))+81.69))))-(-5+-5)))*-5)))/-5)--5)+(-5*(((81.69*(81.69-(-5/-5)))*(81.69-(81.69/(-5*81.69))))-(-5/-5)))))</f>
        <v>2712573.011845</v>
      </c>
      <c r="C18170" t="n" s="0">
        <v>2712573.011844999</v>
      </c>
    </row>
    <row r="18171">
      <c r="A18171" t="n" s="0">
        <v>81.7</v>
      </c>
      <c r="B18171" t="n" s="0">
        <f>(-5-((((-5*(-5/((-5/(((-5*(81.7--5))-(-5+((-5*81.7)*(((-5--5)+(81.7--5))+81.7))))-(-5+-5)))*-5)))/-5)--5)+(-5*(((81.7*(81.7-(-5/-5)))*(81.7-(81.7/(-5*81.7))))-(-5/-5)))))</f>
        <v>2713570.8850000002</v>
      </c>
      <c r="C18171" t="n" s="0">
        <v>2713570.8850000007</v>
      </c>
    </row>
    <row r="18172">
      <c r="A18172" t="n" s="0">
        <v>81.71</v>
      </c>
      <c r="B18172" t="n" s="0">
        <f>(-5-((((-5*(-5/((-5/(((-5*(81.71--5))-(-5+((-5*81.71)*(((-5--5)+(81.71--5))+81.71))))-(-5+-5)))*-5)))/-5)--5)+(-5*(((81.71*(81.71-(-5/-5)))*(81.71-(81.71/(-5*81.71))))-(-5/-5)))))</f>
        <v>2714569.002855</v>
      </c>
      <c r="C18172" t="n" s="0">
        <v>2714569.002854999</v>
      </c>
    </row>
    <row r="18173">
      <c r="A18173" t="n" s="0">
        <v>81.72</v>
      </c>
      <c r="B18173" t="n" s="0">
        <f>(-5-((((-5*(-5/((-5/(((-5*(81.72--5))-(-5+((-5*81.72)*(((-5--5)+(81.72--5))+81.72))))-(-5+-5)))*-5)))/-5)--5)+(-5*(((81.72*(81.72-(-5/-5)))*(81.72-(81.72/(-5*81.72))))-(-5/-5)))))</f>
        <v>2715567.36544</v>
      </c>
      <c r="C18173" t="n" s="0">
        <v>2715567.36544</v>
      </c>
    </row>
    <row r="18174">
      <c r="A18174" t="n" s="0">
        <v>81.73</v>
      </c>
      <c r="B18174" t="n" s="0">
        <f>(-5-((((-5*(-5/((-5/(((-5*(81.73--5))-(-5+((-5*81.73)*(((-5--5)+(81.73--5))+81.73))))-(-5+-5)))*-5)))/-5)--5)+(-5*(((81.73*(81.73-(-5/-5)))*(81.73-(81.73/(-5*81.73))))-(-5/-5)))))</f>
        <v>2716565.9727849998</v>
      </c>
      <c r="C18174" t="n" s="0">
        <v>2716565.9727850007</v>
      </c>
    </row>
    <row r="18175">
      <c r="A18175" t="n" s="0">
        <v>81.74</v>
      </c>
      <c r="B18175" t="n" s="0">
        <f>(-5-((((-5*(-5/((-5/(((-5*(81.74--5))-(-5+((-5*81.74)*(((-5--5)+(81.74--5))+81.74))))-(-5+-5)))*-5)))/-5)--5)+(-5*(((81.74*(81.74-(-5/-5)))*(81.74-(81.74/(-5*81.74))))-(-5/-5)))))</f>
        <v>2717564.82492</v>
      </c>
      <c r="C18175" t="n" s="0">
        <v>2717564.82492</v>
      </c>
    </row>
    <row r="18176">
      <c r="A18176" t="n" s="0">
        <v>81.75</v>
      </c>
      <c r="B18176" t="n" s="0">
        <f>(-5-((((-5*(-5/((-5/(((-5*(81.75--5))-(-5+((-5*81.75)*(((-5--5)+(81.75--5))+81.75))))-(-5+-5)))*-5)))/-5)--5)+(-5*(((81.75*(81.75-(-5/-5)))*(81.75-(81.75/(-5*81.75))))-(-5/-5)))))</f>
        <v>2718563.921875</v>
      </c>
      <c r="C18176" t="n" s="0">
        <v>2718563.921875</v>
      </c>
    </row>
    <row r="18177">
      <c r="A18177" t="n" s="0">
        <v>81.76</v>
      </c>
      <c r="B18177" t="n" s="0">
        <f>(-5-((((-5*(-5/((-5/(((-5*(81.76--5))-(-5+((-5*81.76)*(((-5--5)+(81.76--5))+81.76))))-(-5+-5)))*-5)))/-5)--5)+(-5*(((81.76*(81.76-(-5/-5)))*(81.76-(81.76/(-5*81.76))))-(-5/-5)))))</f>
        <v>2719563.2636800003</v>
      </c>
      <c r="C18177" t="n" s="0">
        <v>2719563.2636800003</v>
      </c>
    </row>
    <row r="18178">
      <c r="A18178" t="n" s="0">
        <v>81.77</v>
      </c>
      <c r="B18178" t="n" s="0">
        <f>(-5-((((-5*(-5/((-5/(((-5*(81.77--5))-(-5+((-5*81.77)*(((-5--5)+(81.77--5))+81.77))))-(-5+-5)))*-5)))/-5)--5)+(-5*(((81.77*(81.77-(-5/-5)))*(81.77-(81.77/(-5*81.77))))-(-5/-5)))))</f>
        <v>2720562.8503650003</v>
      </c>
      <c r="C18178" t="n" s="0">
        <v>2720562.8503649994</v>
      </c>
    </row>
    <row r="18179">
      <c r="A18179" t="n" s="0">
        <v>81.78</v>
      </c>
      <c r="B18179" t="n" s="0">
        <f>(-5-((((-5*(-5/((-5/(((-5*(81.78--5))-(-5+((-5*81.78)*(((-5--5)+(81.78--5))+81.78))))-(-5+-5)))*-5)))/-5)--5)+(-5*(((81.78*(81.78-(-5/-5)))*(81.78-(81.78/(-5*81.78))))-(-5/-5)))))</f>
        <v>2721562.6819599997</v>
      </c>
      <c r="C18179" t="n" s="0">
        <v>2721562.68196</v>
      </c>
    </row>
    <row r="18180">
      <c r="A18180" t="n" s="0">
        <v>81.79</v>
      </c>
      <c r="B18180" t="n" s="0">
        <f>(-5-((((-5*(-5/((-5/(((-5*(81.79--5))-(-5+((-5*81.79)*(((-5--5)+(81.79--5))+81.79))))-(-5+-5)))*-5)))/-5)--5)+(-5*(((81.79*(81.79-(-5/-5)))*(81.79-(81.79/(-5*81.79))))-(-5/-5)))))</f>
        <v>2722562.7584949997</v>
      </c>
      <c r="C18180" t="n" s="0">
        <v>2722562.7584950007</v>
      </c>
    </row>
    <row r="18181">
      <c r="A18181" t="n" s="0">
        <v>81.8</v>
      </c>
      <c r="B18181" t="n" s="0">
        <f>(-5-((((-5*(-5/((-5/(((-5*(81.8--5))-(-5+((-5*81.8)*(((-5--5)+(81.8--5))+81.8))))-(-5+-5)))*-5)))/-5)--5)+(-5*(((81.8*(81.8-(-5/-5)))*(81.8-(81.8/(-5*81.8))))-(-5/-5)))))</f>
        <v>2723563.08</v>
      </c>
      <c r="C18181" t="n" s="0">
        <v>2723563.0799999996</v>
      </c>
    </row>
    <row r="18182">
      <c r="A18182" t="n" s="0">
        <v>81.81</v>
      </c>
      <c r="B18182" t="n" s="0">
        <f>(-5-((((-5*(-5/((-5/(((-5*(81.81--5))-(-5+((-5*81.81)*(((-5--5)+(81.81--5))+81.81))))-(-5+-5)))*-5)))/-5)--5)+(-5*(((81.81*(81.81-(-5/-5)))*(81.81-(81.81/(-5*81.81))))-(-5/-5)))))</f>
        <v>2724563.646505</v>
      </c>
      <c r="C18182" t="n" s="0">
        <v>2724563.6465050005</v>
      </c>
    </row>
    <row r="18183">
      <c r="A18183" t="n" s="0">
        <v>81.82</v>
      </c>
      <c r="B18183" t="n" s="0">
        <f>(-5-((((-5*(-5/((-5/(((-5*(81.82--5))-(-5+((-5*81.82)*(((-5--5)+(81.82--5))+81.82))))-(-5+-5)))*-5)))/-5)--5)+(-5*(((81.82*(81.82-(-5/-5)))*(81.82-(81.82/(-5*81.82))))-(-5/-5)))))</f>
        <v>2725564.45804</v>
      </c>
      <c r="C18183" t="n" s="0">
        <v>2725564.4580399995</v>
      </c>
    </row>
    <row r="18184">
      <c r="A18184" t="n" s="0">
        <v>81.83</v>
      </c>
      <c r="B18184" t="n" s="0">
        <f>(-5-((((-5*(-5/((-5/(((-5*(81.83--5))-(-5+((-5*81.83)*(((-5--5)+(81.83--5))+81.83))))-(-5+-5)))*-5)))/-5)--5)+(-5*(((81.83*(81.83-(-5/-5)))*(81.83-(81.83/(-5*81.83))))-(-5/-5)))))</f>
        <v>2726565.514635</v>
      </c>
      <c r="C18184" t="n" s="0">
        <v>2726565.514635</v>
      </c>
    </row>
    <row r="18185">
      <c r="A18185" t="n" s="0">
        <v>81.84</v>
      </c>
      <c r="B18185" t="n" s="0">
        <f>(-5-((((-5*(-5/((-5/(((-5*(81.84--5))-(-5+((-5*81.84)*(((-5--5)+(81.84--5))+81.84))))-(-5+-5)))*-5)))/-5)--5)+(-5*(((81.84*(81.84-(-5/-5)))*(81.84-(81.84/(-5*81.84))))-(-5/-5)))))</f>
        <v>2727566.81632</v>
      </c>
      <c r="C18185" t="n" s="0">
        <v>2727566.81632</v>
      </c>
    </row>
    <row r="18186">
      <c r="A18186" t="n" s="0">
        <v>81.85</v>
      </c>
      <c r="B18186" t="n" s="0">
        <f>(-5-((((-5*(-5/((-5/(((-5*(81.85--5))-(-5+((-5*81.85)*(((-5--5)+(81.85--5))+81.85))))-(-5+-5)))*-5)))/-5)--5)+(-5*(((81.85*(81.85-(-5/-5)))*(81.85-(81.85/(-5*81.85))))-(-5/-5)))))</f>
        <v>2728568.363125</v>
      </c>
      <c r="C18186" t="n" s="0">
        <v>2728568.363124999</v>
      </c>
    </row>
    <row r="18187">
      <c r="A18187" t="n" s="0">
        <v>81.86</v>
      </c>
      <c r="B18187" t="n" s="0">
        <f>(-5-((((-5*(-5/((-5/(((-5*(81.86--5))-(-5+((-5*81.86)*(((-5--5)+(81.86--5))+81.86))))-(-5+-5)))*-5)))/-5)--5)+(-5*(((81.86*(81.86-(-5/-5)))*(81.86-(81.86/(-5*81.86))))-(-5/-5)))))</f>
        <v>2729570.15508</v>
      </c>
      <c r="C18187" t="n" s="0">
        <v>2729570.15508</v>
      </c>
    </row>
    <row r="18188">
      <c r="A18188" t="n" s="0">
        <v>81.87</v>
      </c>
      <c r="B18188" t="n" s="0">
        <f>(-5-((((-5*(-5/((-5/(((-5*(81.87--5))-(-5+((-5*81.87)*(((-5--5)+(81.87--5))+81.87))))-(-5+-5)))*-5)))/-5)--5)+(-5*(((81.87*(81.87-(-5/-5)))*(81.87-(81.87/(-5*81.87))))-(-5/-5)))))</f>
        <v>2730572.1922150003</v>
      </c>
      <c r="C18188" t="n" s="0">
        <v>2730572.1922150003</v>
      </c>
    </row>
    <row r="18189">
      <c r="A18189" t="n" s="0">
        <v>81.88</v>
      </c>
      <c r="B18189" t="n" s="0">
        <f>(-5-((((-5*(-5/((-5/(((-5*(81.88--5))-(-5+((-5*81.88)*(((-5--5)+(81.88--5))+81.88))))-(-5+-5)))*-5)))/-5)--5)+(-5*(((81.88*(81.88-(-5/-5)))*(81.88-(81.88/(-5*81.88))))-(-5/-5)))))</f>
        <v>2731574.47456</v>
      </c>
      <c r="C18189" t="n" s="0">
        <v>2731574.4745599995</v>
      </c>
    </row>
    <row r="18190">
      <c r="A18190" t="n" s="0">
        <v>81.89</v>
      </c>
      <c r="B18190" t="n" s="0">
        <f>(-5-((((-5*(-5/((-5/(((-5*(81.89--5))-(-5+((-5*81.89)*(((-5--5)+(81.89--5))+81.89))))-(-5+-5)))*-5)))/-5)--5)+(-5*(((81.89*(81.89-(-5/-5)))*(81.89-(81.89/(-5*81.89))))-(-5/-5)))))</f>
        <v>2732577.002145</v>
      </c>
      <c r="C18190" t="n" s="0">
        <v>2732577.0021450003</v>
      </c>
    </row>
    <row r="18191">
      <c r="A18191" t="n" s="0">
        <v>81.9</v>
      </c>
      <c r="B18191" t="n" s="0">
        <f>(-5-((((-5*(-5/((-5/(((-5*(81.9--5))-(-5+((-5*81.9)*(((-5--5)+(81.9--5))+81.9))))-(-5+-5)))*-5)))/-5)--5)+(-5*(((81.9*(81.9-(-5/-5)))*(81.9-(81.9/(-5*81.9))))-(-5/-5)))))</f>
        <v>2733579.775</v>
      </c>
      <c r="C18191" t="n" s="0">
        <v>2733579.7750000004</v>
      </c>
    </row>
    <row r="18192">
      <c r="A18192" t="n" s="0">
        <v>81.91</v>
      </c>
      <c r="B18192" t="n" s="0">
        <f>(-5-((((-5*(-5/((-5/(((-5*(81.91--5))-(-5+((-5*81.91)*(((-5--5)+(81.91--5))+81.91))))-(-5+-5)))*-5)))/-5)--5)+(-5*(((81.91*(81.91-(-5/-5)))*(81.91-(81.91/(-5*81.91))))-(-5/-5)))))</f>
        <v>2734582.793155</v>
      </c>
      <c r="C18192" t="n" s="0">
        <v>2734582.7931549996</v>
      </c>
    </row>
    <row r="18193">
      <c r="A18193" t="n" s="0">
        <v>81.92</v>
      </c>
      <c r="B18193" t="n" s="0">
        <f>(-5-((((-5*(-5/((-5/(((-5*(81.92--5))-(-5+((-5*81.92)*(((-5--5)+(81.92--5))+81.92))))-(-5+-5)))*-5)))/-5)--5)+(-5*(((81.92*(81.92-(-5/-5)))*(81.92-(81.92/(-5*81.92))))-(-5/-5)))))</f>
        <v>2735586.05664</v>
      </c>
      <c r="C18193" t="n" s="0">
        <v>2735586.0566400005</v>
      </c>
    </row>
    <row r="18194">
      <c r="A18194" t="n" s="0">
        <v>81.93</v>
      </c>
      <c r="B18194" t="n" s="0">
        <f>(-5-((((-5*(-5/((-5/(((-5*(81.93--5))-(-5+((-5*81.93)*(((-5--5)+(81.93--5))+81.93))))-(-5+-5)))*-5)))/-5)--5)+(-5*(((81.93*(81.93-(-5/-5)))*(81.93-(81.93/(-5*81.93))))-(-5/-5)))))</f>
        <v>2736589.5654849997</v>
      </c>
      <c r="C18194" t="n" s="0">
        <v>2736589.5654850006</v>
      </c>
    </row>
    <row r="18195">
      <c r="A18195" t="n" s="0">
        <v>81.94</v>
      </c>
      <c r="B18195" t="n" s="0">
        <f>(-5-((((-5*(-5/((-5/(((-5*(81.94--5))-(-5+((-5*81.94)*(((-5--5)+(81.94--5))+81.94))))-(-5+-5)))*-5)))/-5)--5)+(-5*(((81.94*(81.94-(-5/-5)))*(81.94-(81.94/(-5*81.94))))-(-5/-5)))))</f>
        <v>2737593.31972</v>
      </c>
      <c r="C18195" t="n" s="0">
        <v>2737593.3197199996</v>
      </c>
    </row>
    <row r="18196">
      <c r="A18196" t="n" s="0">
        <v>81.95</v>
      </c>
      <c r="B18196" t="n" s="0">
        <f>(-5-((((-5*(-5/((-5/(((-5*(81.95--5))-(-5+((-5*81.95)*(((-5--5)+(81.95--5))+81.95))))-(-5+-5)))*-5)))/-5)--5)+(-5*(((81.95*(81.95-(-5/-5)))*(81.95-(81.95/(-5*81.95))))-(-5/-5)))))</f>
        <v>2738597.319375</v>
      </c>
      <c r="C18196" t="n" s="0">
        <v>2738597.319375001</v>
      </c>
    </row>
    <row r="18197">
      <c r="A18197" t="n" s="0">
        <v>81.96</v>
      </c>
      <c r="B18197" t="n" s="0">
        <f>(-5-((((-5*(-5/((-5/(((-5*(81.96--5))-(-5+((-5*81.96)*(((-5--5)+(81.96--5))+81.96))))-(-5+-5)))*-5)))/-5)--5)+(-5*(((81.96*(81.96-(-5/-5)))*(81.96-(81.96/(-5*81.96))))-(-5/-5)))))</f>
        <v>2739601.5644799997</v>
      </c>
      <c r="C18197" t="n" s="0">
        <v>2739601.5644799992</v>
      </c>
    </row>
    <row r="18198">
      <c r="A18198" t="n" s="0">
        <v>81.97</v>
      </c>
      <c r="B18198" t="n" s="0">
        <f>(-5-((((-5*(-5/((-5/(((-5*(81.97--5))-(-5+((-5*81.97)*(((-5--5)+(81.97--5))+81.97))))-(-5+-5)))*-5)))/-5)--5)+(-5*(((81.97*(81.97-(-5/-5)))*(81.97-(81.97/(-5*81.97))))-(-5/-5)))))</f>
        <v>2740606.055065</v>
      </c>
      <c r="C18198" t="n" s="0">
        <v>2740606.0550650004</v>
      </c>
    </row>
    <row r="18199">
      <c r="A18199" t="n" s="0">
        <v>81.98</v>
      </c>
      <c r="B18199" t="n" s="0">
        <f>(-5-((((-5*(-5/((-5/(((-5*(81.98--5))-(-5+((-5*81.98)*(((-5--5)+(81.98--5))+81.98))))-(-5+-5)))*-5)))/-5)--5)+(-5*(((81.98*(81.98-(-5/-5)))*(81.98-(81.98/(-5*81.98))))-(-5/-5)))))</f>
        <v>2741610.79116</v>
      </c>
      <c r="C18199" t="n" s="0">
        <v>2741610.7911600005</v>
      </c>
    </row>
    <row r="18200">
      <c r="A18200" t="n" s="0">
        <v>81.99</v>
      </c>
      <c r="B18200" t="n" s="0">
        <f>(-5-((((-5*(-5/((-5/(((-5*(81.99--5))-(-5+((-5*81.99)*(((-5--5)+(81.99--5))+81.99))))-(-5+-5)))*-5)))/-5)--5)+(-5*(((81.99*(81.99-(-5/-5)))*(81.99-(81.99/(-5*81.99))))-(-5/-5)))))</f>
        <v>2742615.7727949996</v>
      </c>
      <c r="C18200" t="n" s="0">
        <v>2742615.772795</v>
      </c>
    </row>
    <row r="18201">
      <c r="A18201" t="n" s="0">
        <v>82.0</v>
      </c>
      <c r="B18201" t="n" s="0">
        <f>(-5-((((-5*(-5/((-5/(((-5*(82--5))-(-5+((-5*82)*(((-5--5)+(82--5))+82))))-(-5+-5)))*-5)))/-5)--5)+(-5*(((82*(82-(-5/-5)))*(82-(82/(-5*82))))-(-5/-5)))))</f>
        <v>2743621.0</v>
      </c>
      <c r="C18201" t="n" s="0">
        <v>2743621.0</v>
      </c>
    </row>
    <row r="18202">
      <c r="A18202" t="n" s="0">
        <v>82.01</v>
      </c>
      <c r="B18202" t="n" s="0">
        <f>(-5-((((-5*(-5/((-5/(((-5*(82.01--5))-(-5+((-5*82.01)*(((-5--5)+(82.01--5))+82.01))))-(-5+-5)))*-5)))/-5)--5)+(-5*(((82.01*(82.01-(-5/-5)))*(82.01-(82.01/(-5*82.01))))-(-5/-5)))))</f>
        <v>2744626.472805</v>
      </c>
      <c r="C18202" t="n" s="0">
        <v>2744626.4728050004</v>
      </c>
    </row>
    <row r="18203">
      <c r="A18203" t="n" s="0">
        <v>82.02</v>
      </c>
      <c r="B18203" t="n" s="0">
        <f>(-5-((((-5*(-5/((-5/(((-5*(82.02--5))-(-5+((-5*82.02)*(((-5--5)+(82.02--5))+82.02))))-(-5+-5)))*-5)))/-5)--5)+(-5*(((82.02*(82.02-(-5/-5)))*(82.02-(82.02/(-5*82.02))))-(-5/-5)))))</f>
        <v>2745632.19124</v>
      </c>
      <c r="C18203" t="n" s="0">
        <v>2745632.1912399996</v>
      </c>
    </row>
    <row r="18204">
      <c r="A18204" t="n" s="0">
        <v>82.03</v>
      </c>
      <c r="B18204" t="n" s="0">
        <f>(-5-((((-5*(-5/((-5/(((-5*(82.03--5))-(-5+((-5*82.03)*(((-5--5)+(82.03--5))+82.03))))-(-5+-5)))*-5)))/-5)--5)+(-5*(((82.03*(82.03-(-5/-5)))*(82.03-(82.03/(-5*82.03))))-(-5/-5)))))</f>
        <v>2746638.1553350003</v>
      </c>
      <c r="C18204" t="n" s="0">
        <v>2746638.1553350003</v>
      </c>
    </row>
    <row r="18205">
      <c r="A18205" t="n" s="0">
        <v>82.04</v>
      </c>
      <c r="B18205" t="n" s="0">
        <f>(-5-((((-5*(-5/((-5/(((-5*(82.04--5))-(-5+((-5*82.04)*(((-5--5)+(82.04--5))+82.04))))-(-5+-5)))*-5)))/-5)--5)+(-5*(((82.04*(82.04-(-5/-5)))*(82.04-(82.04/(-5*82.04))))-(-5/-5)))))</f>
        <v>2747644.3651199997</v>
      </c>
      <c r="C18205" t="n" s="0">
        <v>2747644.3651200007</v>
      </c>
    </row>
    <row r="18206">
      <c r="A18206" t="n" s="0">
        <v>82.05</v>
      </c>
      <c r="B18206" t="n" s="0">
        <f>(-5-((((-5*(-5/((-5/(((-5*(82.05--5))-(-5+((-5*82.05)*(((-5--5)+(82.05--5))+82.05))))-(-5+-5)))*-5)))/-5)--5)+(-5*(((82.05*(82.05-(-5/-5)))*(82.05-(82.05/(-5*82.05))))-(-5/-5)))))</f>
        <v>2748650.820625</v>
      </c>
      <c r="C18206" t="n" s="0">
        <v>2748650.820625</v>
      </c>
    </row>
    <row r="18207">
      <c r="A18207" t="n" s="0">
        <v>82.06</v>
      </c>
      <c r="B18207" t="n" s="0">
        <f>(-5-((((-5*(-5/((-5/(((-5*(82.06--5))-(-5+((-5*82.06)*(((-5--5)+(82.06--5))+82.06))))-(-5+-5)))*-5)))/-5)--5)+(-5*(((82.06*(82.06-(-5/-5)))*(82.06-(82.06/(-5*82.06))))-(-5/-5)))))</f>
        <v>2749657.52188</v>
      </c>
      <c r="C18207" t="n" s="0">
        <v>2749657.52188</v>
      </c>
    </row>
    <row r="18208">
      <c r="A18208" t="n" s="0">
        <v>82.07</v>
      </c>
      <c r="B18208" t="n" s="0">
        <f>(-5-((((-5*(-5/((-5/(((-5*(82.07--5))-(-5+((-5*82.07)*(((-5--5)+(82.07--5))+82.07))))-(-5+-5)))*-5)))/-5)--5)+(-5*(((82.07*(82.07-(-5/-5)))*(82.07-(82.07/(-5*82.07))))-(-5/-5)))))</f>
        <v>2750664.468915</v>
      </c>
      <c r="C18208" t="n" s="0">
        <v>2750664.468914999</v>
      </c>
    </row>
    <row r="18209">
      <c r="A18209" t="n" s="0">
        <v>82.08</v>
      </c>
      <c r="B18209" t="n" s="0">
        <f>(-5-((((-5*(-5/((-5/(((-5*(82.08--5))-(-5+((-5*82.08)*(((-5--5)+(82.08--5))+82.08))))-(-5+-5)))*-5)))/-5)--5)+(-5*(((82.08*(82.08-(-5/-5)))*(82.08-(82.08/(-5*82.08))))-(-5/-5)))))</f>
        <v>2751671.66176</v>
      </c>
      <c r="C18209" t="n" s="0">
        <v>2751671.6617600005</v>
      </c>
    </row>
    <row r="18210">
      <c r="A18210" t="n" s="0">
        <v>82.09</v>
      </c>
      <c r="B18210" t="n" s="0">
        <f>(-5-((((-5*(-5/((-5/(((-5*(82.09--5))-(-5+((-5*82.09)*(((-5--5)+(82.09--5))+82.09))))-(-5+-5)))*-5)))/-5)--5)+(-5*(((82.09*(82.09-(-5/-5)))*(82.09-(82.09/(-5*82.09))))-(-5/-5)))))</f>
        <v>2752679.100445</v>
      </c>
      <c r="C18210" t="n" s="0">
        <v>2752679.1004450005</v>
      </c>
    </row>
    <row r="18211">
      <c r="A18211" t="n" s="0">
        <v>82.1</v>
      </c>
      <c r="B18211" t="n" s="0">
        <f>(-5-((((-5*(-5/((-5/(((-5*(82.1--5))-(-5+((-5*82.1)*(((-5--5)+(82.1--5))+82.1))))-(-5+-5)))*-5)))/-5)--5)+(-5*(((82.1*(82.1-(-5/-5)))*(82.1-(82.1/(-5*82.1))))-(-5/-5)))))</f>
        <v>2753686.785</v>
      </c>
      <c r="C18211" t="n" s="0">
        <v>2753686.784999999</v>
      </c>
    </row>
    <row r="18212">
      <c r="A18212" t="n" s="0">
        <v>82.11</v>
      </c>
      <c r="B18212" t="n" s="0">
        <f>(-5-((((-5*(-5/((-5/(((-5*(82.11--5))-(-5+((-5*82.11)*(((-5--5)+(82.11--5))+82.11))))-(-5+-5)))*-5)))/-5)--5)+(-5*(((82.11*(82.11-(-5/-5)))*(82.11-(82.11/(-5*82.11))))-(-5/-5)))))</f>
        <v>2754694.715455</v>
      </c>
      <c r="C18212" t="n" s="0">
        <v>2754694.7154550003</v>
      </c>
    </row>
    <row r="18213">
      <c r="A18213" t="n" s="0">
        <v>82.12</v>
      </c>
      <c r="B18213" t="n" s="0">
        <f>(-5-((((-5*(-5/((-5/(((-5*(82.12--5))-(-5+((-5*82.12)*(((-5--5)+(82.12--5))+82.12))))-(-5+-5)))*-5)))/-5)--5)+(-5*(((82.12*(82.12-(-5/-5)))*(82.12-(82.12/(-5*82.12))))-(-5/-5)))))</f>
        <v>2755702.8918399997</v>
      </c>
      <c r="C18213" t="n" s="0">
        <v>2755702.89184</v>
      </c>
    </row>
    <row r="18214">
      <c r="A18214" t="n" s="0">
        <v>82.13</v>
      </c>
      <c r="B18214" t="n" s="0">
        <f>(-5-((((-5*(-5/((-5/(((-5*(82.13--5))-(-5+((-5*82.13)*(((-5--5)+(82.13--5))+82.13))))-(-5+-5)))*-5)))/-5)--5)+(-5*(((82.13*(82.13-(-5/-5)))*(82.13-(82.13/(-5*82.13))))-(-5/-5)))))</f>
        <v>2756711.314185</v>
      </c>
      <c r="C18214" t="n" s="0">
        <v>2756711.3141849996</v>
      </c>
    </row>
    <row r="18215">
      <c r="A18215" t="n" s="0">
        <v>82.14</v>
      </c>
      <c r="B18215" t="n" s="0">
        <f>(-5-((((-5*(-5/((-5/(((-5*(82.14--5))-(-5+((-5*82.14)*(((-5--5)+(82.14--5))+82.14))))-(-5+-5)))*-5)))/-5)--5)+(-5*(((82.14*(82.14-(-5/-5)))*(82.14-(82.14/(-5*82.14))))-(-5/-5)))))</f>
        <v>2757719.98252</v>
      </c>
      <c r="C18215" t="n" s="0">
        <v>2757719.98252</v>
      </c>
    </row>
    <row r="18216">
      <c r="A18216" t="n" s="0">
        <v>82.15</v>
      </c>
      <c r="B18216" t="n" s="0">
        <f>(-5-((((-5*(-5/((-5/(((-5*(82.15--5))-(-5+((-5*82.15)*(((-5--5)+(82.15--5))+82.15))))-(-5+-5)))*-5)))/-5)--5)+(-5*(((82.15*(82.15-(-5/-5)))*(82.15-(82.15/(-5*82.15))))-(-5/-5)))))</f>
        <v>2758728.896875</v>
      </c>
      <c r="C18216" t="n" s="0">
        <v>2758728.896875001</v>
      </c>
    </row>
    <row r="18217">
      <c r="A18217" t="n" s="0">
        <v>82.16</v>
      </c>
      <c r="B18217" t="n" s="0">
        <f>(-5-((((-5*(-5/((-5/(((-5*(82.16--5))-(-5+((-5*82.16)*(((-5--5)+(82.16--5))+82.16))))-(-5+-5)))*-5)))/-5)--5)+(-5*(((82.16*(82.16-(-5/-5)))*(82.16-(82.16/(-5*82.16))))-(-5/-5)))))</f>
        <v>2759738.0572800003</v>
      </c>
      <c r="C18217" t="n" s="0">
        <v>2759738.05728</v>
      </c>
    </row>
    <row r="18218">
      <c r="A18218" t="n" s="0">
        <v>82.17</v>
      </c>
      <c r="B18218" t="n" s="0">
        <f>(-5-((((-5*(-5/((-5/(((-5*(82.17--5))-(-5+((-5*82.17)*(((-5--5)+(82.17--5))+82.17))))-(-5+-5)))*-5)))/-5)--5)+(-5*(((82.17*(82.17-(-5/-5)))*(82.17-(82.17/(-5*82.17))))-(-5/-5)))))</f>
        <v>2760747.463765</v>
      </c>
      <c r="C18218" t="n" s="0">
        <v>2760747.463765</v>
      </c>
    </row>
    <row r="18219">
      <c r="A18219" t="n" s="0">
        <v>82.18</v>
      </c>
      <c r="B18219" t="n" s="0">
        <f>(-5-((((-5*(-5/((-5/(((-5*(82.18--5))-(-5+((-5*82.18)*(((-5--5)+(82.18--5))+82.18))))-(-5+-5)))*-5)))/-5)--5)+(-5*(((82.18*(82.18-(-5/-5)))*(82.18-(82.18/(-5*82.18))))-(-5/-5)))))</f>
        <v>2761757.11636</v>
      </c>
      <c r="C18219" t="n" s="0">
        <v>2761757.116360001</v>
      </c>
    </row>
    <row r="18220">
      <c r="A18220" t="n" s="0">
        <v>82.19</v>
      </c>
      <c r="B18220" t="n" s="0">
        <f>(-5-((((-5*(-5/((-5/(((-5*(82.19--5))-(-5+((-5*82.19)*(((-5--5)+(82.19--5))+82.19))))-(-5+-5)))*-5)))/-5)--5)+(-5*(((82.19*(82.19-(-5/-5)))*(82.19-(82.19/(-5*82.19))))-(-5/-5)))))</f>
        <v>2762767.0150949997</v>
      </c>
      <c r="C18220" t="n" s="0">
        <v>2762767.015094999</v>
      </c>
    </row>
    <row r="18221">
      <c r="A18221" t="n" s="0">
        <v>82.2</v>
      </c>
      <c r="B18221" t="n" s="0">
        <f>(-5-((((-5*(-5/((-5/(((-5*(82.2--5))-(-5+((-5*82.2)*(((-5--5)+(82.2--5))+82.2))))-(-5+-5)))*-5)))/-5)--5)+(-5*(((82.2*(82.2-(-5/-5)))*(82.2-(82.2/(-5*82.2))))-(-5/-5)))))</f>
        <v>2763777.16</v>
      </c>
      <c r="C18221" t="n" s="0">
        <v>2763777.16</v>
      </c>
    </row>
    <row r="18222">
      <c r="A18222" t="n" s="0">
        <v>82.21</v>
      </c>
      <c r="B18222" t="n" s="0">
        <f>(-5-((((-5*(-5/((-5/(((-5*(82.21--5))-(-5+((-5*82.21)*(((-5--5)+(82.21--5))+82.21))))-(-5+-5)))*-5)))/-5)--5)+(-5*(((82.21*(82.21-(-5/-5)))*(82.21-(82.21/(-5*82.21))))-(-5/-5)))))</f>
        <v>2764787.551105</v>
      </c>
      <c r="C18222" t="n" s="0">
        <v>2764787.551104999</v>
      </c>
    </row>
    <row r="18223">
      <c r="A18223" t="n" s="0">
        <v>82.22</v>
      </c>
      <c r="B18223" t="n" s="0">
        <f>(-5-((((-5*(-5/((-5/(((-5*(82.22--5))-(-5+((-5*82.22)*(((-5--5)+(82.22--5))+82.22))))-(-5+-5)))*-5)))/-5)--5)+(-5*(((82.22*(82.22-(-5/-5)))*(82.22-(82.22/(-5*82.22))))-(-5/-5)))))</f>
        <v>2765798.18844</v>
      </c>
      <c r="C18223" t="n" s="0">
        <v>2765798.18844</v>
      </c>
    </row>
    <row r="18224">
      <c r="A18224" t="n" s="0">
        <v>82.23</v>
      </c>
      <c r="B18224" t="n" s="0">
        <f>(-5-((((-5*(-5/((-5/(((-5*(82.23--5))-(-5+((-5*82.23)*(((-5--5)+(82.23--5))+82.23))))-(-5+-5)))*-5)))/-5)--5)+(-5*(((82.23*(82.23-(-5/-5)))*(82.23-(82.23/(-5*82.23))))-(-5/-5)))))</f>
        <v>2766809.0720349997</v>
      </c>
      <c r="C18224" t="n" s="0">
        <v>2766809.0720350007</v>
      </c>
    </row>
    <row r="18225">
      <c r="A18225" t="n" s="0">
        <v>82.24</v>
      </c>
      <c r="B18225" t="n" s="0">
        <f>(-5-((((-5*(-5/((-5/(((-5*(82.24--5))-(-5+((-5*82.24)*(((-5--5)+(82.24--5))+82.24))))-(-5+-5)))*-5)))/-5)--5)+(-5*(((82.24*(82.24-(-5/-5)))*(82.24-(82.24/(-5*82.24))))-(-5/-5)))))</f>
        <v>2767820.20192</v>
      </c>
      <c r="C18225" t="n" s="0">
        <v>2767820.2019199994</v>
      </c>
    </row>
    <row r="18226">
      <c r="A18226" t="n" s="0">
        <v>82.25</v>
      </c>
      <c r="B18226" t="n" s="0">
        <f>(-5-((((-5*(-5/((-5/(((-5*(82.25--5))-(-5+((-5*82.25)*(((-5--5)+(82.25--5))+82.25))))-(-5+-5)))*-5)))/-5)--5)+(-5*(((82.25*(82.25-(-5/-5)))*(82.25-(82.25/(-5*82.25))))-(-5/-5)))))</f>
        <v>2768831.578125</v>
      </c>
      <c r="C18226" t="n" s="0">
        <v>2768831.578125</v>
      </c>
    </row>
    <row r="18227">
      <c r="A18227" t="n" s="0">
        <v>82.26</v>
      </c>
      <c r="B18227" t="n" s="0">
        <f>(-5-((((-5*(-5/((-5/(((-5*(82.26--5))-(-5+((-5*82.26)*(((-5--5)+(82.26--5))+82.26))))-(-5+-5)))*-5)))/-5)--5)+(-5*(((82.26*(82.26-(-5/-5)))*(82.26-(82.26/(-5*82.26))))-(-5/-5)))))</f>
        <v>2769843.2006800002</v>
      </c>
      <c r="C18227" t="n" s="0">
        <v>2769843.2006800002</v>
      </c>
    </row>
    <row r="18228">
      <c r="A18228" t="n" s="0">
        <v>82.27</v>
      </c>
      <c r="B18228" t="n" s="0">
        <f>(-5-((((-5*(-5/((-5/(((-5*(82.27--5))-(-5+((-5*82.27)*(((-5--5)+(82.27--5))+82.27))))-(-5+-5)))*-5)))/-5)--5)+(-5*(((82.27*(82.27-(-5/-5)))*(82.27-(82.27/(-5*82.27))))-(-5/-5)))))</f>
        <v>2770855.0696150004</v>
      </c>
      <c r="C18228" t="n" s="0">
        <v>2770855.069615</v>
      </c>
    </row>
    <row r="18229">
      <c r="A18229" t="n" s="0">
        <v>82.28</v>
      </c>
      <c r="B18229" t="n" s="0">
        <f>(-5-((((-5*(-5/((-5/(((-5*(82.28--5))-(-5+((-5*82.28)*(((-5--5)+(82.28--5))+82.28))))-(-5+-5)))*-5)))/-5)--5)+(-5*(((82.28*(82.28-(-5/-5)))*(82.28-(82.28/(-5*82.28))))-(-5/-5)))))</f>
        <v>2771867.1849599998</v>
      </c>
      <c r="C18229" t="n" s="0">
        <v>2771867.18496</v>
      </c>
    </row>
    <row r="18230">
      <c r="A18230" t="n" s="0">
        <v>82.29</v>
      </c>
      <c r="B18230" t="n" s="0">
        <f>(-5-((((-5*(-5/((-5/(((-5*(82.29--5))-(-5+((-5*82.29)*(((-5--5)+(82.29--5))+82.29))))-(-5+-5)))*-5)))/-5)--5)+(-5*(((82.29*(82.29-(-5/-5)))*(82.29-(82.29/(-5*82.29))))-(-5/-5)))))</f>
        <v>2772879.546745</v>
      </c>
      <c r="C18230" t="n" s="0">
        <v>2772879.546745001</v>
      </c>
    </row>
    <row r="18231">
      <c r="A18231" t="n" s="0">
        <v>82.3</v>
      </c>
      <c r="B18231" t="n" s="0">
        <f>(-5-((((-5*(-5/((-5/(((-5*(82.3--5))-(-5+((-5*82.3)*(((-5--5)+(82.3--5))+82.3))))-(-5+-5)))*-5)))/-5)--5)+(-5*(((82.3*(82.3-(-5/-5)))*(82.3-(82.3/(-5*82.3))))-(-5/-5)))))</f>
        <v>2773892.155</v>
      </c>
      <c r="C18231" t="n" s="0">
        <v>2773892.155</v>
      </c>
    </row>
    <row r="18232">
      <c r="A18232" t="n" s="0">
        <v>82.31</v>
      </c>
      <c r="B18232" t="n" s="0">
        <f>(-5-((((-5*(-5/((-5/(((-5*(82.31--5))-(-5+((-5*82.31)*(((-5--5)+(82.31--5))+82.31))))-(-5+-5)))*-5)))/-5)--5)+(-5*(((82.31*(82.31-(-5/-5)))*(82.31-(82.31/(-5*82.31))))-(-5/-5)))))</f>
        <v>2774905.009755</v>
      </c>
      <c r="C18232" t="n" s="0">
        <v>2774905.0097550005</v>
      </c>
    </row>
    <row r="18233">
      <c r="A18233" t="n" s="0">
        <v>82.32</v>
      </c>
      <c r="B18233" t="n" s="0">
        <f>(-5-((((-5*(-5/((-5/(((-5*(82.32--5))-(-5+((-5*82.32)*(((-5--5)+(82.32--5))+82.32))))-(-5+-5)))*-5)))/-5)--5)+(-5*(((82.32*(82.32-(-5/-5)))*(82.32-(82.32/(-5*82.32))))-(-5/-5)))))</f>
        <v>2775918.1110400003</v>
      </c>
      <c r="C18233" t="n" s="0">
        <v>2775918.1110399994</v>
      </c>
    </row>
    <row r="18234">
      <c r="A18234" t="n" s="0">
        <v>82.33</v>
      </c>
      <c r="B18234" t="n" s="0">
        <f>(-5-((((-5*(-5/((-5/(((-5*(82.33--5))-(-5+((-5*82.33)*(((-5--5)+(82.33--5))+82.33))))-(-5+-5)))*-5)))/-5)--5)+(-5*(((82.33*(82.33-(-5/-5)))*(82.33-(82.33/(-5*82.33))))-(-5/-5)))))</f>
        <v>2776931.4588849996</v>
      </c>
      <c r="C18234" t="n" s="0">
        <v>2776931.458885</v>
      </c>
    </row>
    <row r="18235">
      <c r="A18235" t="n" s="0">
        <v>82.34</v>
      </c>
      <c r="B18235" t="n" s="0">
        <f>(-5-((((-5*(-5/((-5/(((-5*(82.34--5))-(-5+((-5*82.34)*(((-5--5)+(82.34--5))+82.34))))-(-5+-5)))*-5)))/-5)--5)+(-5*(((82.34*(82.34-(-5/-5)))*(82.34-(82.34/(-5*82.34))))-(-5/-5)))))</f>
        <v>2777945.05332</v>
      </c>
      <c r="C18235" t="n" s="0">
        <v>2777945.0533200004</v>
      </c>
    </row>
    <row r="18236">
      <c r="A18236" t="n" s="0">
        <v>82.35</v>
      </c>
      <c r="B18236" t="n" s="0">
        <f>(-5-((((-5*(-5/((-5/(((-5*(82.35--5))-(-5+((-5*82.35)*(((-5--5)+(82.35--5))+82.35))))-(-5+-5)))*-5)))/-5)--5)+(-5*(((82.35*(82.35-(-5/-5)))*(82.35-(82.35/(-5*82.35))))-(-5/-5)))))</f>
        <v>2778958.8943749997</v>
      </c>
      <c r="C18236" t="n" s="0">
        <v>2778958.894374999</v>
      </c>
    </row>
    <row r="18237">
      <c r="A18237" t="n" s="0">
        <v>82.36</v>
      </c>
      <c r="B18237" t="n" s="0">
        <f>(-5-((((-5*(-5/((-5/(((-5*(82.36--5))-(-5+((-5*82.36)*(((-5--5)+(82.36--5))+82.36))))-(-5+-5)))*-5)))/-5)--5)+(-5*(((82.36*(82.36-(-5/-5)))*(82.36-(82.36/(-5*82.36))))-(-5/-5)))))</f>
        <v>2779972.9820800005</v>
      </c>
      <c r="C18237" t="n" s="0">
        <v>2779972.98208</v>
      </c>
    </row>
    <row r="18238">
      <c r="A18238" t="n" s="0">
        <v>82.37</v>
      </c>
      <c r="B18238" t="n" s="0">
        <f>(-5-((((-5*(-5/((-5/(((-5*(82.37--5))-(-5+((-5*82.37)*(((-5--5)+(82.37--5))+82.37))))-(-5+-5)))*-5)))/-5)--5)+(-5*(((82.37*(82.37-(-5/-5)))*(82.37-(82.37/(-5*82.37))))-(-5/-5)))))</f>
        <v>2780987.316465</v>
      </c>
      <c r="C18238" t="n" s="0">
        <v>2780987.316465</v>
      </c>
    </row>
    <row r="18239">
      <c r="A18239" t="n" s="0">
        <v>82.38</v>
      </c>
      <c r="B18239" t="n" s="0">
        <f>(-5-((((-5*(-5/((-5/(((-5*(82.38--5))-(-5+((-5*82.38)*(((-5--5)+(82.38--5))+82.38))))-(-5+-5)))*-5)))/-5)--5)+(-5*(((82.38*(82.38-(-5/-5)))*(82.38-(82.38/(-5*82.38))))-(-5/-5)))))</f>
        <v>2782001.89756</v>
      </c>
      <c r="C18239" t="n" s="0">
        <v>2782001.89756</v>
      </c>
    </row>
    <row r="18240">
      <c r="A18240" t="n" s="0">
        <v>82.39</v>
      </c>
      <c r="B18240" t="n" s="0">
        <f>(-5-((((-5*(-5/((-5/(((-5*(82.39--5))-(-5+((-5*82.39)*(((-5--5)+(82.39--5))+82.39))))-(-5+-5)))*-5)))/-5)--5)+(-5*(((82.39*(82.39-(-5/-5)))*(82.39-(82.39/(-5*82.39))))-(-5/-5)))))</f>
        <v>2783016.725395</v>
      </c>
      <c r="C18240" t="n" s="0">
        <v>2783016.725395</v>
      </c>
    </row>
    <row r="18241">
      <c r="A18241" t="n" s="0">
        <v>82.4</v>
      </c>
      <c r="B18241" t="n" s="0">
        <f>(-5-((((-5*(-5/((-5/(((-5*(82.4--5))-(-5+((-5*82.4)*(((-5--5)+(82.4--5))+82.4))))-(-5+-5)))*-5)))/-5)--5)+(-5*(((82.4*(82.4-(-5/-5)))*(82.4-(82.4/(-5*82.4))))-(-5/-5)))))</f>
        <v>2784031.8000000003</v>
      </c>
      <c r="C18241" t="n" s="0">
        <v>2784031.800000001</v>
      </c>
    </row>
    <row r="18242">
      <c r="A18242" t="n" s="0">
        <v>82.41</v>
      </c>
      <c r="B18242" t="n" s="0">
        <f>(-5-((((-5*(-5/((-5/(((-5*(82.41--5))-(-5+((-5*82.41)*(((-5--5)+(82.41--5))+82.41))))-(-5+-5)))*-5)))/-5)--5)+(-5*(((82.41*(82.41-(-5/-5)))*(82.41-(82.41/(-5*82.41))))-(-5/-5)))))</f>
        <v>2785047.121405</v>
      </c>
      <c r="C18242" t="n" s="0">
        <v>2785047.121405</v>
      </c>
    </row>
    <row r="18243">
      <c r="A18243" t="n" s="0">
        <v>82.42</v>
      </c>
      <c r="B18243" t="n" s="0">
        <f>(-5-((((-5*(-5/((-5/(((-5*(82.42--5))-(-5+((-5*82.42)*(((-5--5)+(82.42--5))+82.42))))-(-5+-5)))*-5)))/-5)--5)+(-5*(((82.42*(82.42-(-5/-5)))*(82.42-(82.42/(-5*82.42))))-(-5/-5)))))</f>
        <v>2786062.68964</v>
      </c>
      <c r="C18243" t="n" s="0">
        <v>2786062.6896400005</v>
      </c>
    </row>
    <row r="18244">
      <c r="A18244" t="n" s="0">
        <v>82.43</v>
      </c>
      <c r="B18244" t="n" s="0">
        <f>(-5-((((-5*(-5/((-5/(((-5*(82.43--5))-(-5+((-5*82.43)*(((-5--5)+(82.43--5))+82.43))))-(-5+-5)))*-5)))/-5)--5)+(-5*(((82.43*(82.43-(-5/-5)))*(82.43-(82.43/(-5*82.43))))-(-5/-5)))))</f>
        <v>2787078.5047350004</v>
      </c>
      <c r="C18244" t="n" s="0">
        <v>2787078.504735001</v>
      </c>
    </row>
    <row r="18245">
      <c r="A18245" t="n" s="0">
        <v>82.44</v>
      </c>
      <c r="B18245" t="n" s="0">
        <f>(-5-((((-5*(-5/((-5/(((-5*(82.44--5))-(-5+((-5*82.44)*(((-5--5)+(82.44--5))+82.44))))-(-5+-5)))*-5)))/-5)--5)+(-5*(((82.44*(82.44-(-5/-5)))*(82.44-(82.44/(-5*82.44))))-(-5/-5)))))</f>
        <v>2788094.56672</v>
      </c>
      <c r="C18245" t="n" s="0">
        <v>2788094.5667199995</v>
      </c>
    </row>
    <row r="18246">
      <c r="A18246" t="n" s="0">
        <v>82.45</v>
      </c>
      <c r="B18246" t="n" s="0">
        <f>(-5-((((-5*(-5/((-5/(((-5*(82.45--5))-(-5+((-5*82.45)*(((-5--5)+(82.45--5))+82.45))))-(-5+-5)))*-5)))/-5)--5)+(-5*(((82.45*(82.45-(-5/-5)))*(82.45-(82.45/(-5*82.45))))-(-5/-5)))))</f>
        <v>2789110.8756250003</v>
      </c>
      <c r="C18246" t="n" s="0">
        <v>2789110.8756250003</v>
      </c>
    </row>
    <row r="18247">
      <c r="A18247" t="n" s="0">
        <v>82.46</v>
      </c>
      <c r="B18247" t="n" s="0">
        <f>(-5-((((-5*(-5/((-5/(((-5*(82.46--5))-(-5+((-5*82.46)*(((-5--5)+(82.46--5))+82.46))))-(-5+-5)))*-5)))/-5)--5)+(-5*(((82.46*(82.46-(-5/-5)))*(82.46-(82.46/(-5*82.46))))-(-5/-5)))))</f>
        <v>2790127.43148</v>
      </c>
      <c r="C18247" t="n" s="0">
        <v>2790127.43148</v>
      </c>
    </row>
    <row r="18248">
      <c r="A18248" t="n" s="0">
        <v>82.47</v>
      </c>
      <c r="B18248" t="n" s="0">
        <f>(-5-((((-5*(-5/((-5/(((-5*(82.47--5))-(-5+((-5*82.47)*(((-5--5)+(82.47--5))+82.47))))-(-5+-5)))*-5)))/-5)--5)+(-5*(((82.47*(82.47-(-5/-5)))*(82.47-(82.47/(-5*82.47))))-(-5/-5)))))</f>
        <v>2791144.234315</v>
      </c>
      <c r="C18248" t="n" s="0">
        <v>2791144.234315</v>
      </c>
    </row>
    <row r="18249">
      <c r="A18249" t="n" s="0">
        <v>82.48</v>
      </c>
      <c r="B18249" t="n" s="0">
        <f>(-5-((((-5*(-5/((-5/(((-5*(82.48--5))-(-5+((-5*82.48)*(((-5--5)+(82.48--5))+82.48))))-(-5+-5)))*-5)))/-5)--5)+(-5*(((82.48*(82.48-(-5/-5)))*(82.48-(82.48/(-5*82.48))))-(-5/-5)))))</f>
        <v>2792161.28416</v>
      </c>
      <c r="C18249" t="n" s="0">
        <v>2792161.2841600007</v>
      </c>
    </row>
    <row r="18250">
      <c r="A18250" t="n" s="0">
        <v>82.49</v>
      </c>
      <c r="B18250" t="n" s="0">
        <f>(-5-((((-5*(-5/((-5/(((-5*(82.49--5))-(-5+((-5*82.49)*(((-5--5)+(82.49--5))+82.49))))-(-5+-5)))*-5)))/-5)--5)+(-5*(((82.49*(82.49-(-5/-5)))*(82.49-(82.49/(-5*82.49))))-(-5/-5)))))</f>
        <v>2793178.581045</v>
      </c>
      <c r="C18250" t="n" s="0">
        <v>2793178.5810449994</v>
      </c>
    </row>
    <row r="18251">
      <c r="A18251" t="n" s="0">
        <v>82.5</v>
      </c>
      <c r="B18251" t="n" s="0">
        <f>(-5-((((-5*(-5/((-5/(((-5*(82.5--5))-(-5+((-5*82.5)*(((-5--5)+(82.5--5))+82.5))))-(-5+-5)))*-5)))/-5)--5)+(-5*(((82.5*(82.5-(-5/-5)))*(82.5-(82.5/(-5*82.5))))-(-5/-5)))))</f>
        <v>2794196.125</v>
      </c>
      <c r="C18251" t="n" s="0">
        <v>2794196.125</v>
      </c>
    </row>
    <row r="18252">
      <c r="A18252" t="n" s="0">
        <v>82.51</v>
      </c>
      <c r="B18252" t="n" s="0">
        <f>(-5-((((-5*(-5/((-5/(((-5*(82.51--5))-(-5+((-5*82.51)*(((-5--5)+(82.51--5))+82.51))))-(-5+-5)))*-5)))/-5)--5)+(-5*(((82.51*(82.51-(-5/-5)))*(82.51-(82.51/(-5*82.51))))-(-5/-5)))))</f>
        <v>2795213.916055</v>
      </c>
      <c r="C18252" t="n" s="0">
        <v>2795213.9160550004</v>
      </c>
    </row>
    <row r="18253">
      <c r="A18253" t="n" s="0">
        <v>82.52</v>
      </c>
      <c r="B18253" t="n" s="0">
        <f>(-5-((((-5*(-5/((-5/(((-5*(82.52--5))-(-5+((-5*82.52)*(((-5--5)+(82.52--5))+82.52))))-(-5+-5)))*-5)))/-5)--5)+(-5*(((82.52*(82.52-(-5/-5)))*(82.52-(82.52/(-5*82.52))))-(-5/-5)))))</f>
        <v>2796231.9542400003</v>
      </c>
      <c r="C18253" t="n" s="0">
        <v>2796231.9542399994</v>
      </c>
    </row>
    <row r="18254">
      <c r="A18254" t="n" s="0">
        <v>82.53</v>
      </c>
      <c r="B18254" t="n" s="0">
        <f>(-5-((((-5*(-5/((-5/(((-5*(82.53--5))-(-5+((-5*82.53)*(((-5--5)+(82.53--5))+82.53))))-(-5+-5)))*-5)))/-5)--5)+(-5*(((82.53*(82.53-(-5/-5)))*(82.53-(82.53/(-5*82.53))))-(-5/-5)))))</f>
        <v>2797250.239585</v>
      </c>
      <c r="C18254" t="n" s="0">
        <v>2797250.239585</v>
      </c>
    </row>
    <row r="18255">
      <c r="A18255" t="n" s="0">
        <v>82.54</v>
      </c>
      <c r="B18255" t="n" s="0">
        <f>(-5-((((-5*(-5/((-5/(((-5*(82.54--5))-(-5+((-5*82.54)*(((-5--5)+(82.54--5))+82.54))))-(-5+-5)))*-5)))/-5)--5)+(-5*(((82.54*(82.54-(-5/-5)))*(82.54-(82.54/(-5*82.54))))-(-5/-5)))))</f>
        <v>2798268.77212</v>
      </c>
      <c r="C18255" t="n" s="0">
        <v>2798268.772120001</v>
      </c>
    </row>
    <row r="18256">
      <c r="A18256" t="n" s="0">
        <v>82.55</v>
      </c>
      <c r="B18256" t="n" s="0">
        <f>(-5-((((-5*(-5/((-5/(((-5*(82.55--5))-(-5+((-5*82.55)*(((-5--5)+(82.55--5))+82.55))))-(-5+-5)))*-5)))/-5)--5)+(-5*(((82.55*(82.55-(-5/-5)))*(82.55-(82.55/(-5*82.55))))-(-5/-5)))))</f>
        <v>2799287.551875</v>
      </c>
      <c r="C18256" t="n" s="0">
        <v>2799287.5518749994</v>
      </c>
    </row>
    <row r="18257">
      <c r="A18257" t="n" s="0">
        <v>82.56</v>
      </c>
      <c r="B18257" t="n" s="0">
        <f>(-5-((((-5*(-5/((-5/(((-5*(82.56--5))-(-5+((-5*82.56)*(((-5--5)+(82.56--5))+82.56))))-(-5+-5)))*-5)))/-5)--5)+(-5*(((82.56*(82.56-(-5/-5)))*(82.56-(82.56/(-5*82.56))))-(-5/-5)))))</f>
        <v>2800306.57888</v>
      </c>
      <c r="C18257" t="n" s="0">
        <v>2800306.5788800004</v>
      </c>
    </row>
    <row r="18258">
      <c r="A18258" t="n" s="0">
        <v>82.57</v>
      </c>
      <c r="B18258" t="n" s="0">
        <f>(-5-((((-5*(-5/((-5/(((-5*(82.57--5))-(-5+((-5*82.57)*(((-5--5)+(82.57--5))+82.57))))-(-5+-5)))*-5)))/-5)--5)+(-5*(((82.57*(82.57-(-5/-5)))*(82.57-(82.57/(-5*82.57))))-(-5/-5)))))</f>
        <v>2801325.853165</v>
      </c>
      <c r="C18258" t="n" s="0">
        <v>2801325.8531649993</v>
      </c>
    </row>
    <row r="18259">
      <c r="A18259" t="n" s="0">
        <v>82.58</v>
      </c>
      <c r="B18259" t="n" s="0">
        <f>(-5-((((-5*(-5/((-5/(((-5*(82.58--5))-(-5+((-5*82.58)*(((-5--5)+(82.58--5))+82.58))))-(-5+-5)))*-5)))/-5)--5)+(-5*(((82.58*(82.58-(-5/-5)))*(82.58-(82.58/(-5*82.58))))-(-5/-5)))))</f>
        <v>2802345.37476</v>
      </c>
      <c r="C18259" t="n" s="0">
        <v>2802345.37476</v>
      </c>
    </row>
    <row r="18260">
      <c r="A18260" t="n" s="0">
        <v>82.59</v>
      </c>
      <c r="B18260" t="n" s="0">
        <f>(-5-((((-5*(-5/((-5/(((-5*(82.59--5))-(-5+((-5*82.59)*(((-5--5)+(82.59--5))+82.59))))-(-5+-5)))*-5)))/-5)--5)+(-5*(((82.59*(82.59-(-5/-5)))*(82.59-(82.59/(-5*82.59))))-(-5/-5)))))</f>
        <v>2803365.143695</v>
      </c>
      <c r="C18260" t="n" s="0">
        <v>2803365.143695</v>
      </c>
    </row>
    <row r="18261">
      <c r="A18261" t="n" s="0">
        <v>82.6</v>
      </c>
      <c r="B18261" t="n" s="0">
        <f>(-5-((((-5*(-5/((-5/(((-5*(82.6--5))-(-5+((-5*82.6)*(((-5--5)+(82.6--5))+82.6))))-(-5+-5)))*-5)))/-5)--5)+(-5*(((82.6*(82.6-(-5/-5)))*(82.6-(82.6/(-5*82.6))))-(-5/-5)))))</f>
        <v>2804385.16</v>
      </c>
      <c r="C18261" t="n" s="0">
        <v>2804385.159999999</v>
      </c>
    </row>
    <row r="18262">
      <c r="A18262" t="n" s="0">
        <v>82.61</v>
      </c>
      <c r="B18262" t="n" s="0">
        <f>(-5-((((-5*(-5/((-5/(((-5*(82.61--5))-(-5+((-5*82.61)*(((-5--5)+(82.61--5))+82.61))))-(-5+-5)))*-5)))/-5)--5)+(-5*(((82.61*(82.61-(-5/-5)))*(82.61-(82.61/(-5*82.61))))-(-5/-5)))))</f>
        <v>2805405.423705</v>
      </c>
      <c r="C18262" t="n" s="0">
        <v>2805405.423705</v>
      </c>
    </row>
    <row r="18263">
      <c r="A18263" t="n" s="0">
        <v>82.62</v>
      </c>
      <c r="B18263" t="n" s="0">
        <f>(-5-((((-5*(-5/((-5/(((-5*(82.62--5))-(-5+((-5*82.62)*(((-5--5)+(82.62--5))+82.62))))-(-5+-5)))*-5)))/-5)--5)+(-5*(((82.62*(82.62-(-5/-5)))*(82.62-(82.62/(-5*82.62))))-(-5/-5)))))</f>
        <v>2806425.9348400002</v>
      </c>
      <c r="C18263" t="n" s="0">
        <v>2806425.9348400007</v>
      </c>
    </row>
    <row r="18264">
      <c r="A18264" t="n" s="0">
        <v>82.63</v>
      </c>
      <c r="B18264" t="n" s="0">
        <f>(-5-((((-5*(-5/((-5/(((-5*(82.63--5))-(-5+((-5*82.63)*(((-5--5)+(82.63--5))+82.63))))-(-5+-5)))*-5)))/-5)--5)+(-5*(((82.63*(82.63-(-5/-5)))*(82.63-(82.63/(-5*82.63))))-(-5/-5)))))</f>
        <v>2807446.693435</v>
      </c>
      <c r="C18264" t="n" s="0">
        <v>2807446.693435</v>
      </c>
    </row>
    <row r="18265">
      <c r="A18265" t="n" s="0">
        <v>82.64</v>
      </c>
      <c r="B18265" t="n" s="0">
        <f>(-5-((((-5*(-5/((-5/(((-5*(82.64--5))-(-5+((-5*82.64)*(((-5--5)+(82.64--5))+82.64))))-(-5+-5)))*-5)))/-5)--5)+(-5*(((82.64*(82.64-(-5/-5)))*(82.64-(82.64/(-5*82.64))))-(-5/-5)))))</f>
        <v>2808467.69952</v>
      </c>
      <c r="C18265" t="n" s="0">
        <v>2808467.69952</v>
      </c>
    </row>
    <row r="18266">
      <c r="A18266" t="n" s="0">
        <v>82.65</v>
      </c>
      <c r="B18266" t="n" s="0">
        <f>(-5-((((-5*(-5/((-5/(((-5*(82.65--5))-(-5+((-5*82.65)*(((-5--5)+(82.65--5))+82.65))))-(-5+-5)))*-5)))/-5)--5)+(-5*(((82.65*(82.65-(-5/-5)))*(82.65-(82.65/(-5*82.65))))-(-5/-5)))))</f>
        <v>2809488.953125</v>
      </c>
      <c r="C18266" t="n" s="0">
        <v>2809488.9531250005</v>
      </c>
    </row>
    <row r="18267">
      <c r="A18267" t="n" s="0">
        <v>82.66</v>
      </c>
      <c r="B18267" t="n" s="0">
        <f>(-5-((((-5*(-5/((-5/(((-5*(82.66--5))-(-5+((-5*82.66)*(((-5--5)+(82.66--5))+82.66))))-(-5+-5)))*-5)))/-5)--5)+(-5*(((82.66*(82.66-(-5/-5)))*(82.66-(82.66/(-5*82.66))))-(-5/-5)))))</f>
        <v>2810510.45428</v>
      </c>
      <c r="C18267" t="n" s="0">
        <v>2810510.4542799992</v>
      </c>
    </row>
    <row r="18268">
      <c r="A18268" t="n" s="0">
        <v>82.67</v>
      </c>
      <c r="B18268" t="n" s="0">
        <f>(-5-((((-5*(-5/((-5/(((-5*(82.67--5))-(-5+((-5*82.67)*(((-5--5)+(82.67--5))+82.67))))-(-5+-5)))*-5)))/-5)--5)+(-5*(((82.67*(82.67-(-5/-5)))*(82.67-(82.67/(-5*82.67))))-(-5/-5)))))</f>
        <v>2811532.203015</v>
      </c>
      <c r="C18268" t="n" s="0">
        <v>2811532.2030149996</v>
      </c>
    </row>
    <row r="18269">
      <c r="A18269" t="n" s="0">
        <v>82.68</v>
      </c>
      <c r="B18269" t="n" s="0">
        <f>(-5-((((-5*(-5/((-5/(((-5*(82.68--5))-(-5+((-5*82.68)*(((-5--5)+(82.68--5))+82.68))))-(-5+-5)))*-5)))/-5)--5)+(-5*(((82.68*(82.68-(-5/-5)))*(82.68-(82.68/(-5*82.68))))-(-5/-5)))))</f>
        <v>2812554.19936</v>
      </c>
      <c r="C18269" t="n" s="0">
        <v>2812554.1993600004</v>
      </c>
    </row>
    <row r="18270">
      <c r="A18270" t="n" s="0">
        <v>82.69</v>
      </c>
      <c r="B18270" t="n" s="0">
        <f>(-5-((((-5*(-5/((-5/(((-5*(82.69--5))-(-5+((-5*82.69)*(((-5--5)+(82.69--5))+82.69))))-(-5+-5)))*-5)))/-5)--5)+(-5*(((82.69*(82.69-(-5/-5)))*(82.69-(82.69/(-5*82.69))))-(-5/-5)))))</f>
        <v>2813576.4433449996</v>
      </c>
      <c r="C18270" t="n" s="0">
        <v>2813576.4433449996</v>
      </c>
    </row>
    <row r="18271">
      <c r="A18271" t="n" s="0">
        <v>82.7</v>
      </c>
      <c r="B18271" t="n" s="0">
        <f>(-5-((((-5*(-5/((-5/(((-5*(82.7--5))-(-5+((-5*82.7)*(((-5--5)+(82.7--5))+82.7))))-(-5+-5)))*-5)))/-5)--5)+(-5*(((82.7*(82.7-(-5/-5)))*(82.7-(82.7/(-5*82.7))))-(-5/-5)))))</f>
        <v>2814598.935</v>
      </c>
      <c r="C18271" t="n" s="0">
        <v>2814598.935</v>
      </c>
    </row>
    <row r="18272">
      <c r="A18272" t="n" s="0">
        <v>82.71</v>
      </c>
      <c r="B18272" t="n" s="0">
        <f>(-5-((((-5*(-5/((-5/(((-5*(82.71--5))-(-5+((-5*82.71)*(((-5--5)+(82.71--5))+82.71))))-(-5+-5)))*-5)))/-5)--5)+(-5*(((82.71*(82.71-(-5/-5)))*(82.71-(82.71/(-5*82.71))))-(-5/-5)))))</f>
        <v>2815621.674355</v>
      </c>
      <c r="C18272" t="n" s="0">
        <v>2815621.6743549993</v>
      </c>
    </row>
    <row r="18273">
      <c r="A18273" t="n" s="0">
        <v>82.72</v>
      </c>
      <c r="B18273" t="n" s="0">
        <f>(-5-((((-5*(-5/((-5/(((-5*(82.72--5))-(-5+((-5*82.72)*(((-5--5)+(82.72--5))+82.72))))-(-5+-5)))*-5)))/-5)--5)+(-5*(((82.72*(82.72-(-5/-5)))*(82.72-(82.72/(-5*82.72))))-(-5/-5)))))</f>
        <v>2816644.66144</v>
      </c>
      <c r="C18273" t="n" s="0">
        <v>2816644.66144</v>
      </c>
    </row>
    <row r="18274">
      <c r="A18274" t="n" s="0">
        <v>82.73</v>
      </c>
      <c r="B18274" t="n" s="0">
        <f>(-5-((((-5*(-5/((-5/(((-5*(82.73--5))-(-5+((-5*82.73)*(((-5--5)+(82.73--5))+82.73))))-(-5+-5)))*-5)))/-5)--5)+(-5*(((82.73*(82.73-(-5/-5)))*(82.73-(82.73/(-5*82.73))))-(-5/-5)))))</f>
        <v>2817667.896285</v>
      </c>
      <c r="C18274" t="n" s="0">
        <v>2817667.8962850003</v>
      </c>
    </row>
    <row r="18275">
      <c r="A18275" t="n" s="0">
        <v>82.74</v>
      </c>
      <c r="B18275" t="n" s="0">
        <f>(-5-((((-5*(-5/((-5/(((-5*(82.74--5))-(-5+((-5*82.74)*(((-5--5)+(82.74--5))+82.74))))-(-5+-5)))*-5)))/-5)--5)+(-5*(((82.74*(82.74-(-5/-5)))*(82.74-(82.74/(-5*82.74))))-(-5/-5)))))</f>
        <v>2818691.37892</v>
      </c>
      <c r="C18275" t="n" s="0">
        <v>2818691.3789199996</v>
      </c>
    </row>
    <row r="18276">
      <c r="A18276" t="n" s="0">
        <v>82.75</v>
      </c>
      <c r="B18276" t="n" s="0">
        <f>(-5-((((-5*(-5/((-5/(((-5*(82.75--5))-(-5+((-5*82.75)*(((-5--5)+(82.75--5))+82.75))))-(-5+-5)))*-5)))/-5)--5)+(-5*(((82.75*(82.75-(-5/-5)))*(82.75-(82.75/(-5*82.75))))-(-5/-5)))))</f>
        <v>2819715.109375</v>
      </c>
      <c r="C18276" t="n" s="0">
        <v>2819715.109375</v>
      </c>
    </row>
    <row r="18277">
      <c r="A18277" t="n" s="0">
        <v>82.76</v>
      </c>
      <c r="B18277" t="n" s="0">
        <f>(-5-((((-5*(-5/((-5/(((-5*(82.76--5))-(-5+((-5*82.76)*(((-5--5)+(82.76--5))+82.76))))-(-5+-5)))*-5)))/-5)--5)+(-5*(((82.76*(82.76-(-5/-5)))*(82.76-(82.76/(-5*82.76))))-(-5/-5)))))</f>
        <v>2820739.0876800003</v>
      </c>
      <c r="C18277" t="n" s="0">
        <v>2820739.0876800003</v>
      </c>
    </row>
    <row r="18278">
      <c r="A18278" t="n" s="0">
        <v>82.77</v>
      </c>
      <c r="B18278" t="n" s="0">
        <f>(-5-((((-5*(-5/((-5/(((-5*(82.77--5))-(-5+((-5*82.77)*(((-5--5)+(82.77--5))+82.77))))-(-5+-5)))*-5)))/-5)--5)+(-5*(((82.77*(82.77-(-5/-5)))*(82.77-(82.77/(-5*82.77))))-(-5/-5)))))</f>
        <v>2821763.3138650004</v>
      </c>
      <c r="C18278" t="n" s="0">
        <v>2821763.3138649995</v>
      </c>
    </row>
    <row r="18279">
      <c r="A18279" t="n" s="0">
        <v>82.78</v>
      </c>
      <c r="B18279" t="n" s="0">
        <f>(-5-((((-5*(-5/((-5/(((-5*(82.78--5))-(-5+((-5*82.78)*(((-5--5)+(82.78--5))+82.78))))-(-5+-5)))*-5)))/-5)--5)+(-5*(((82.78*(82.78-(-5/-5)))*(82.78-(82.78/(-5*82.78))))-(-5/-5)))))</f>
        <v>2822787.78796</v>
      </c>
      <c r="C18279" t="n" s="0">
        <v>2822787.7879600003</v>
      </c>
    </row>
    <row r="18280">
      <c r="A18280" t="n" s="0">
        <v>82.79</v>
      </c>
      <c r="B18280" t="n" s="0">
        <f>(-5-((((-5*(-5/((-5/(((-5*(82.79--5))-(-5+((-5*82.79)*(((-5--5)+(82.79--5))+82.79))))-(-5+-5)))*-5)))/-5)--5)+(-5*(((82.79*(82.79-(-5/-5)))*(82.79-(82.79/(-5*82.79))))-(-5/-5)))))</f>
        <v>2823812.509995</v>
      </c>
      <c r="C18280" t="n" s="0">
        <v>2823812.509995001</v>
      </c>
    </row>
    <row r="18281">
      <c r="A18281" t="n" s="0">
        <v>82.8</v>
      </c>
      <c r="B18281" t="n" s="0">
        <f>(-5-((((-5*(-5/((-5/(((-5*(82.8--5))-(-5+((-5*82.8)*(((-5--5)+(82.8--5))+82.8))))-(-5+-5)))*-5)))/-5)--5)+(-5*(((82.8*(82.8-(-5/-5)))*(82.8-(82.8/(-5*82.8))))-(-5/-5)))))</f>
        <v>2824837.48</v>
      </c>
      <c r="C18281" t="n" s="0">
        <v>2824837.4799999995</v>
      </c>
    </row>
    <row r="18282">
      <c r="A18282" t="n" s="0">
        <v>82.81</v>
      </c>
      <c r="B18282" t="n" s="0">
        <f>(-5-((((-5*(-5/((-5/(((-5*(82.81--5))-(-5+((-5*82.81)*(((-5--5)+(82.81--5))+82.81))))-(-5+-5)))*-5)))/-5)--5)+(-5*(((82.81*(82.81-(-5/-5)))*(82.81-(82.81/(-5*82.81))))-(-5/-5)))))</f>
        <v>2825862.698005</v>
      </c>
      <c r="C18282" t="n" s="0">
        <v>2825862.698005</v>
      </c>
    </row>
    <row r="18283">
      <c r="A18283" t="n" s="0">
        <v>82.82</v>
      </c>
      <c r="B18283" t="n" s="0">
        <f>(-5-((((-5*(-5/((-5/(((-5*(82.82--5))-(-5+((-5*82.82)*(((-5--5)+(82.82--5))+82.82))))-(-5+-5)))*-5)))/-5)--5)+(-5*(((82.82*(82.82-(-5/-5)))*(82.82-(82.82/(-5*82.82))))-(-5/-5)))))</f>
        <v>2826888.1640399997</v>
      </c>
      <c r="C18283" t="n" s="0">
        <v>2826888.1640399992</v>
      </c>
    </row>
    <row r="18284">
      <c r="A18284" t="n" s="0">
        <v>82.83</v>
      </c>
      <c r="B18284" t="n" s="0">
        <f>(-5-((((-5*(-5/((-5/(((-5*(82.83--5))-(-5+((-5*82.83)*(((-5--5)+(82.83--5))+82.83))))-(-5+-5)))*-5)))/-5)--5)+(-5*(((82.83*(82.83-(-5/-5)))*(82.83-(82.83/(-5*82.83))))-(-5/-5)))))</f>
        <v>2827913.878135</v>
      </c>
      <c r="C18284" t="n" s="0">
        <v>2827913.8781350004</v>
      </c>
    </row>
    <row r="18285">
      <c r="A18285" t="n" s="0">
        <v>82.84</v>
      </c>
      <c r="B18285" t="n" s="0">
        <f>(-5-((((-5*(-5/((-5/(((-5*(82.84--5))-(-5+((-5*82.84)*(((-5--5)+(82.84--5))+82.84))))-(-5+-5)))*-5)))/-5)--5)+(-5*(((82.84*(82.84-(-5/-5)))*(82.84-(82.84/(-5*82.84))))-(-5/-5)))))</f>
        <v>2828939.84032</v>
      </c>
      <c r="C18285" t="n" s="0">
        <v>2828939.8403200004</v>
      </c>
    </row>
    <row r="18286">
      <c r="A18286" t="n" s="0">
        <v>82.85</v>
      </c>
      <c r="B18286" t="n" s="0">
        <f>(-5-((((-5*(-5/((-5/(((-5*(82.85--5))-(-5+((-5*82.85)*(((-5--5)+(82.85--5))+82.85))))-(-5+-5)))*-5)))/-5)--5)+(-5*(((82.85*(82.85-(-5/-5)))*(82.85-(82.85/(-5*82.85))))-(-5/-5)))))</f>
        <v>2829966.050625</v>
      </c>
      <c r="C18286" t="n" s="0">
        <v>2829966.050624999</v>
      </c>
    </row>
    <row r="18287">
      <c r="A18287" t="n" s="0">
        <v>82.86</v>
      </c>
      <c r="B18287" t="n" s="0">
        <f>(-5-((((-5*(-5/((-5/(((-5*(82.86--5))-(-5+((-5*82.86)*(((-5--5)+(82.86--5))+82.86))))-(-5+-5)))*-5)))/-5)--5)+(-5*(((82.86*(82.86-(-5/-5)))*(82.86-(82.86/(-5*82.86))))-(-5/-5)))))</f>
        <v>2830992.5090799998</v>
      </c>
      <c r="C18287" t="n" s="0">
        <v>2830992.5090799998</v>
      </c>
    </row>
    <row r="18288">
      <c r="A18288" t="n" s="0">
        <v>82.87</v>
      </c>
      <c r="B18288" t="n" s="0">
        <f>(-5-((((-5*(-5/((-5/(((-5*(82.87--5))-(-5+((-5*82.87)*(((-5--5)+(82.87--5))+82.87))))-(-5+-5)))*-5)))/-5)--5)+(-5*(((82.87*(82.87-(-5/-5)))*(82.87-(82.87/(-5*82.87))))-(-5/-5)))))</f>
        <v>2832019.215715</v>
      </c>
      <c r="C18288" t="n" s="0">
        <v>2832019.2157150004</v>
      </c>
    </row>
    <row r="18289">
      <c r="A18289" t="n" s="0">
        <v>82.88</v>
      </c>
      <c r="B18289" t="n" s="0">
        <f>(-5-((((-5*(-5/((-5/(((-5*(82.88--5))-(-5+((-5*82.88)*(((-5--5)+(82.88--5))+82.88))))-(-5+-5)))*-5)))/-5)--5)+(-5*(((82.88*(82.88-(-5/-5)))*(82.88-(82.88/(-5*82.88))))-(-5/-5)))))</f>
        <v>2833046.17056</v>
      </c>
      <c r="C18289" t="n" s="0">
        <v>2833046.1705599995</v>
      </c>
    </row>
    <row r="18290">
      <c r="A18290" t="n" s="0">
        <v>82.89</v>
      </c>
      <c r="B18290" t="n" s="0">
        <f>(-5-((((-5*(-5/((-5/(((-5*(82.89--5))-(-5+((-5*82.89)*(((-5--5)+(82.89--5))+82.89))))-(-5+-5)))*-5)))/-5)--5)+(-5*(((82.89*(82.89-(-5/-5)))*(82.89-(82.89/(-5*82.89))))-(-5/-5)))))</f>
        <v>2834073.3736449997</v>
      </c>
      <c r="C18290" t="n" s="0">
        <v>2834073.3736449997</v>
      </c>
    </row>
    <row r="18291">
      <c r="A18291" t="n" s="0">
        <v>82.9</v>
      </c>
      <c r="B18291" t="n" s="0">
        <f>(-5-((((-5*(-5/((-5/(((-5*(82.9--5))-(-5+((-5*82.9)*(((-5--5)+(82.9--5))+82.9))))-(-5+-5)))*-5)))/-5)--5)+(-5*(((82.9*(82.9-(-5/-5)))*(82.9-(82.9/(-5*82.9))))-(-5/-5)))))</f>
        <v>2835100.8249999997</v>
      </c>
      <c r="C18291" t="n" s="0">
        <v>2835100.8250000007</v>
      </c>
    </row>
    <row r="18292">
      <c r="A18292" t="n" s="0">
        <v>82.91</v>
      </c>
      <c r="B18292" t="n" s="0">
        <f>(-5-((((-5*(-5/((-5/(((-5*(82.91--5))-(-5+((-5*82.91)*(((-5--5)+(82.91--5))+82.91))))-(-5+-5)))*-5)))/-5)--5)+(-5*(((82.91*(82.91-(-5/-5)))*(82.91-(82.91/(-5*82.91))))-(-5/-5)))))</f>
        <v>2836128.5246550003</v>
      </c>
      <c r="C18292" t="n" s="0">
        <v>2836128.5246549994</v>
      </c>
    </row>
    <row r="18293">
      <c r="A18293" t="n" s="0">
        <v>82.92</v>
      </c>
      <c r="B18293" t="n" s="0">
        <f>(-5-((((-5*(-5/((-5/(((-5*(82.92--5))-(-5+((-5*82.92)*(((-5--5)+(82.92--5))+82.92))))-(-5+-5)))*-5)))/-5)--5)+(-5*(((82.92*(82.92-(-5/-5)))*(82.92-(82.92/(-5*82.92))))-(-5/-5)))))</f>
        <v>2837156.47264</v>
      </c>
      <c r="C18293" t="n" s="0">
        <v>2837156.4726399994</v>
      </c>
    </row>
    <row r="18294">
      <c r="A18294" t="n" s="0">
        <v>82.93</v>
      </c>
      <c r="B18294" t="n" s="0">
        <f>(-5-((((-5*(-5/((-5/(((-5*(82.93--5))-(-5+((-5*82.93)*(((-5--5)+(82.93--5))+82.93))))-(-5+-5)))*-5)))/-5)--5)+(-5*(((82.93*(82.93-(-5/-5)))*(82.93-(82.93/(-5*82.93))))-(-5/-5)))))</f>
        <v>2838184.668985</v>
      </c>
      <c r="C18294" t="n" s="0">
        <v>2838184.668985001</v>
      </c>
    </row>
    <row r="18295">
      <c r="A18295" t="n" s="0">
        <v>82.94</v>
      </c>
      <c r="B18295" t="n" s="0">
        <f>(-5-((((-5*(-5/((-5/(((-5*(82.94--5))-(-5+((-5*82.94)*(((-5--5)+(82.94--5))+82.94))))-(-5+-5)))*-5)))/-5)--5)+(-5*(((82.94*(82.94-(-5/-5)))*(82.94-(82.94/(-5*82.94))))-(-5/-5)))))</f>
        <v>2839213.1137200003</v>
      </c>
      <c r="C18295" t="n" s="0">
        <v>2839213.1137199993</v>
      </c>
    </row>
    <row r="18296">
      <c r="A18296" t="n" s="0">
        <v>82.95</v>
      </c>
      <c r="B18296" t="n" s="0">
        <f>(-5-((((-5*(-5/((-5/(((-5*(82.95--5))-(-5+((-5*82.95)*(((-5--5)+(82.95--5))+82.95))))-(-5+-5)))*-5)))/-5)--5)+(-5*(((82.95*(82.95-(-5/-5)))*(82.95-(82.95/(-5*82.95))))-(-5/-5)))))</f>
        <v>2840241.8068750002</v>
      </c>
      <c r="C18296" t="n" s="0">
        <v>2840241.8068750007</v>
      </c>
    </row>
    <row r="18297">
      <c r="A18297" t="n" s="0">
        <v>82.96</v>
      </c>
      <c r="B18297" t="n" s="0">
        <f>(-5-((((-5*(-5/((-5/(((-5*(82.96--5))-(-5+((-5*82.96)*(((-5--5)+(82.96--5))+82.96))))-(-5+-5)))*-5)))/-5)--5)+(-5*(((82.96*(82.96-(-5/-5)))*(82.96-(82.96/(-5*82.96))))-(-5/-5)))))</f>
        <v>2841270.74848</v>
      </c>
      <c r="C18297" t="n" s="0">
        <v>2841270.7484799996</v>
      </c>
    </row>
    <row r="18298">
      <c r="A18298" t="n" s="0">
        <v>82.97</v>
      </c>
      <c r="B18298" t="n" s="0">
        <f>(-5-((((-5*(-5/((-5/(((-5*(82.97--5))-(-5+((-5*82.97)*(((-5--5)+(82.97--5))+82.97))))-(-5+-5)))*-5)))/-5)--5)+(-5*(((82.97*(82.97-(-5/-5)))*(82.97-(82.97/(-5*82.97))))-(-5/-5)))))</f>
        <v>2842299.938565</v>
      </c>
      <c r="C18298" t="n" s="0">
        <v>2842299.9385650004</v>
      </c>
    </row>
    <row r="18299">
      <c r="A18299" t="n" s="0">
        <v>82.98</v>
      </c>
      <c r="B18299" t="n" s="0">
        <f>(-5-((((-5*(-5/((-5/(((-5*(82.98--5))-(-5+((-5*82.98)*(((-5--5)+(82.98--5))+82.98))))-(-5+-5)))*-5)))/-5)--5)+(-5*(((82.98*(82.98-(-5/-5)))*(82.98-(82.98/(-5*82.98))))-(-5/-5)))))</f>
        <v>2843329.3771599997</v>
      </c>
      <c r="C18299" t="n" s="0">
        <v>2843329.37716</v>
      </c>
    </row>
    <row r="18300">
      <c r="A18300" t="n" s="0">
        <v>82.99</v>
      </c>
      <c r="B18300" t="n" s="0">
        <f>(-5-((((-5*(-5/((-5/(((-5*(82.99--5))-(-5+((-5*82.99)*(((-5--5)+(82.99--5))+82.99))))-(-5+-5)))*-5)))/-5)--5)+(-5*(((82.99*(82.99-(-5/-5)))*(82.99-(82.99/(-5*82.99))))-(-5/-5)))))</f>
        <v>2844359.064295</v>
      </c>
      <c r="C18300" t="n" s="0">
        <v>2844359.064295</v>
      </c>
    </row>
    <row r="18301">
      <c r="A18301" t="n" s="0">
        <v>83.0</v>
      </c>
      <c r="B18301" t="n" s="0">
        <f>(-5-((((-5*(-5/((-5/(((-5*(83--5))-(-5+((-5*83)*(((-5--5)+(83--5))+83))))-(-5+-5)))*-5)))/-5)--5)+(-5*(((83*(83-(-5/-5)))*(83-(83/(-5*83))))-(-5/-5)))))</f>
        <v>2845389.0</v>
      </c>
      <c r="C18301" t="n" s="0">
        <v>2845389.0</v>
      </c>
    </row>
    <row r="18302">
      <c r="A18302" t="n" s="0">
        <v>83.01</v>
      </c>
      <c r="B18302" t="n" s="0">
        <f>(-5-((((-5*(-5/((-5/(((-5*(83.01--5))-(-5+((-5*83.01)*(((-5--5)+(83.01--5))+83.01))))-(-5+-5)))*-5)))/-5)--5)+(-5*(((83.01*(83.01-(-5/-5)))*(83.01-(83.01/(-5*83.01))))-(-5/-5)))))</f>
        <v>2846419.184305</v>
      </c>
      <c r="C18302" t="n" s="0">
        <v>2846419.1843050006</v>
      </c>
    </row>
    <row r="18303">
      <c r="A18303" t="n" s="0">
        <v>83.02</v>
      </c>
      <c r="B18303" t="n" s="0">
        <f>(-5-((((-5*(-5/((-5/(((-5*(83.02--5))-(-5+((-5*83.02)*(((-5--5)+(83.02--5))+83.02))))-(-5+-5)))*-5)))/-5)--5)+(-5*(((83.02*(83.02-(-5/-5)))*(83.02-(83.02/(-5*83.02))))-(-5/-5)))))</f>
        <v>2847449.6172399996</v>
      </c>
      <c r="C18303" t="n" s="0">
        <v>2847449.617239999</v>
      </c>
    </row>
    <row r="18304">
      <c r="A18304" t="n" s="0">
        <v>83.03</v>
      </c>
      <c r="B18304" t="n" s="0">
        <f>(-5-((((-5*(-5/((-5/(((-5*(83.03--5))-(-5+((-5*83.03)*(((-5--5)+(83.03--5))+83.03))))-(-5+-5)))*-5)))/-5)--5)+(-5*(((83.03*(83.03-(-5/-5)))*(83.03-(83.03/(-5*83.03))))-(-5/-5)))))</f>
        <v>2848480.298835</v>
      </c>
      <c r="C18304" t="n" s="0">
        <v>2848480.2988349996</v>
      </c>
    </row>
    <row r="18305">
      <c r="A18305" t="n" s="0">
        <v>83.04</v>
      </c>
      <c r="B18305" t="n" s="0">
        <f>(-5-((((-5*(-5/((-5/(((-5*(83.04--5))-(-5+((-5*83.04)*(((-5--5)+(83.04--5))+83.04))))-(-5+-5)))*-5)))/-5)--5)+(-5*(((83.04*(83.04-(-5/-5)))*(83.04-(83.04/(-5*83.04))))-(-5/-5)))))</f>
        <v>2849511.2291200003</v>
      </c>
      <c r="C18305" t="n" s="0">
        <v>2849511.2291200007</v>
      </c>
    </row>
    <row r="18306">
      <c r="A18306" t="n" s="0">
        <v>83.05</v>
      </c>
      <c r="B18306" t="n" s="0">
        <f>(-5-((((-5*(-5/((-5/(((-5*(83.05--5))-(-5+((-5*83.05)*(((-5--5)+(83.05--5))+83.05))))-(-5+-5)))*-5)))/-5)--5)+(-5*(((83.05*(83.05-(-5/-5)))*(83.05-(83.05/(-5*83.05))))-(-5/-5)))))</f>
        <v>2850542.408125</v>
      </c>
      <c r="C18306" t="n" s="0">
        <v>2850542.4081249996</v>
      </c>
    </row>
    <row r="18307">
      <c r="A18307" t="n" s="0">
        <v>83.06</v>
      </c>
      <c r="B18307" t="n" s="0">
        <f>(-5-((((-5*(-5/((-5/(((-5*(83.06--5))-(-5+((-5*83.06)*(((-5--5)+(83.06--5))+83.06))))-(-5+-5)))*-5)))/-5)--5)+(-5*(((83.06*(83.06-(-5/-5)))*(83.06-(83.06/(-5*83.06))))-(-5/-5)))))</f>
        <v>2851573.83588</v>
      </c>
      <c r="C18307" t="n" s="0">
        <v>2851573.8358800006</v>
      </c>
    </row>
    <row r="18308">
      <c r="A18308" t="n" s="0">
        <v>83.07</v>
      </c>
      <c r="B18308" t="n" s="0">
        <f>(-5-((((-5*(-5/((-5/(((-5*(83.07--5))-(-5+((-5*83.07)*(((-5--5)+(83.07--5))+83.07))))-(-5+-5)))*-5)))/-5)--5)+(-5*(((83.07*(83.07-(-5/-5)))*(83.07-(83.07/(-5*83.07))))-(-5/-5)))))</f>
        <v>2852605.5124150002</v>
      </c>
      <c r="C18308" t="n" s="0">
        <v>2852605.512415</v>
      </c>
    </row>
    <row r="18309">
      <c r="A18309" t="n" s="0">
        <v>83.08</v>
      </c>
      <c r="B18309" t="n" s="0">
        <f>(-5-((((-5*(-5/((-5/(((-5*(83.08--5))-(-5+((-5*83.08)*(((-5--5)+(83.08--5))+83.08))))-(-5+-5)))*-5)))/-5)--5)+(-5*(((83.08*(83.08-(-5/-5)))*(83.08-(83.08/(-5*83.08))))-(-5/-5)))))</f>
        <v>2853637.43776</v>
      </c>
      <c r="C18309" t="n" s="0">
        <v>2853637.4377599997</v>
      </c>
    </row>
    <row r="18310">
      <c r="A18310" t="n" s="0">
        <v>83.09</v>
      </c>
      <c r="B18310" t="n" s="0">
        <f>(-5-((((-5*(-5/((-5/(((-5*(83.09--5))-(-5+((-5*83.09)*(((-5--5)+(83.09--5))+83.09))))-(-5+-5)))*-5)))/-5)--5)+(-5*(((83.09*(83.09-(-5/-5)))*(83.09-(83.09/(-5*83.09))))-(-5/-5)))))</f>
        <v>2854669.611945</v>
      </c>
      <c r="C18310" t="n" s="0">
        <v>2854669.6119450005</v>
      </c>
    </row>
    <row r="18311">
      <c r="A18311" t="n" s="0">
        <v>83.1</v>
      </c>
      <c r="B18311" t="n" s="0">
        <f>(-5-((((-5*(-5/((-5/(((-5*(83.1--5))-(-5+((-5*83.1)*(((-5--5)+(83.1--5))+83.1))))-(-5+-5)))*-5)))/-5)--5)+(-5*(((83.1*(83.1-(-5/-5)))*(83.1-(83.1/(-5*83.1))))-(-5/-5)))))</f>
        <v>2855702.035</v>
      </c>
      <c r="C18311" t="n" s="0">
        <v>2855702.0349999988</v>
      </c>
    </row>
    <row r="18312">
      <c r="A18312" t="n" s="0">
        <v>83.11</v>
      </c>
      <c r="B18312" t="n" s="0">
        <f>(-5-((((-5*(-5/((-5/(((-5*(83.11--5))-(-5+((-5*83.11)*(((-5--5)+(83.11--5))+83.11))))-(-5+-5)))*-5)))/-5)--5)+(-5*(((83.11*(83.11-(-5/-5)))*(83.11-(83.11/(-5*83.11))))-(-5/-5)))))</f>
        <v>2856734.706955</v>
      </c>
      <c r="C18312" t="n" s="0">
        <v>2856734.7069550003</v>
      </c>
    </row>
    <row r="18313">
      <c r="A18313" t="n" s="0">
        <v>83.12</v>
      </c>
      <c r="B18313" t="n" s="0">
        <f>(-5-((((-5*(-5/((-5/(((-5*(83.12--5))-(-5+((-5*83.12)*(((-5--5)+(83.12--5))+83.12))))-(-5+-5)))*-5)))/-5)--5)+(-5*(((83.12*(83.12-(-5/-5)))*(83.12-(83.12/(-5*83.12))))-(-5/-5)))))</f>
        <v>2857767.6278399997</v>
      </c>
      <c r="C18313" t="n" s="0">
        <v>2857767.6278400007</v>
      </c>
    </row>
    <row r="18314">
      <c r="A18314" t="n" s="0">
        <v>83.13</v>
      </c>
      <c r="B18314" t="n" s="0">
        <f>(-5-((((-5*(-5/((-5/(((-5*(83.13--5))-(-5+((-5*83.13)*(((-5--5)+(83.13--5))+83.13))))-(-5+-5)))*-5)))/-5)--5)+(-5*(((83.13*(83.13-(-5/-5)))*(83.13-(83.13/(-5*83.13))))-(-5/-5)))))</f>
        <v>2858800.797685</v>
      </c>
      <c r="C18314" t="n" s="0">
        <v>2858800.797684999</v>
      </c>
    </row>
    <row r="18315">
      <c r="A18315" t="n" s="0">
        <v>83.14</v>
      </c>
      <c r="B18315" t="n" s="0">
        <f>(-5-((((-5*(-5/((-5/(((-5*(83.14--5))-(-5+((-5*83.14)*(((-5--5)+(83.14--5))+83.14))))-(-5+-5)))*-5)))/-5)--5)+(-5*(((83.14*(83.14-(-5/-5)))*(83.14-(83.14/(-5*83.14))))-(-5/-5)))))</f>
        <v>2859834.2165200002</v>
      </c>
      <c r="C18315" t="n" s="0">
        <v>2859834.21652</v>
      </c>
    </row>
    <row r="18316">
      <c r="A18316" t="n" s="0">
        <v>83.15</v>
      </c>
      <c r="B18316" t="n" s="0">
        <f>(-5-((((-5*(-5/((-5/(((-5*(83.15--5))-(-5+((-5*83.15)*(((-5--5)+(83.15--5))+83.15))))-(-5+-5)))*-5)))/-5)--5)+(-5*(((83.15*(83.15-(-5/-5)))*(83.15-(83.15/(-5*83.15))))-(-5/-5)))))</f>
        <v>2860867.884375</v>
      </c>
      <c r="C18316" t="n" s="0">
        <v>2860867.884375001</v>
      </c>
    </row>
    <row r="18317">
      <c r="A18317" t="n" s="0">
        <v>83.16</v>
      </c>
      <c r="B18317" t="n" s="0">
        <f>(-5-((((-5*(-5/((-5/(((-5*(83.16--5))-(-5+((-5*83.16)*(((-5--5)+(83.16--5))+83.16))))-(-5+-5)))*-5)))/-5)--5)+(-5*(((83.16*(83.16-(-5/-5)))*(83.16-(83.16/(-5*83.16))))-(-5/-5)))))</f>
        <v>2861901.80128</v>
      </c>
      <c r="C18317" t="n" s="0">
        <v>2861901.8012799993</v>
      </c>
    </row>
    <row r="18318">
      <c r="A18318" t="n" s="0">
        <v>83.17</v>
      </c>
      <c r="B18318" t="n" s="0">
        <f>(-5-((((-5*(-5/((-5/(((-5*(83.17--5))-(-5+((-5*83.17)*(((-5--5)+(83.17--5))+83.17))))-(-5+-5)))*-5)))/-5)--5)+(-5*(((83.17*(83.17-(-5/-5)))*(83.17-(83.17/(-5*83.17))))-(-5/-5)))))</f>
        <v>2862935.967265</v>
      </c>
      <c r="C18318" t="n" s="0">
        <v>2862935.9672649996</v>
      </c>
    </row>
    <row r="18319">
      <c r="A18319" t="n" s="0">
        <v>83.18</v>
      </c>
      <c r="B18319" t="n" s="0">
        <f>(-5-((((-5*(-5/((-5/(((-5*(83.18--5))-(-5+((-5*83.18)*(((-5--5)+(83.18--5))+83.18))))-(-5+-5)))*-5)))/-5)--5)+(-5*(((83.18*(83.18-(-5/-5)))*(83.18-(83.18/(-5*83.18))))-(-5/-5)))))</f>
        <v>2863970.3823599997</v>
      </c>
      <c r="C18319" t="n" s="0">
        <v>2863970.3823600006</v>
      </c>
    </row>
    <row r="18320">
      <c r="A18320" t="n" s="0">
        <v>83.19</v>
      </c>
      <c r="B18320" t="n" s="0">
        <f>(-5-((((-5*(-5/((-5/(((-5*(83.19--5))-(-5+((-5*83.19)*(((-5--5)+(83.19--5))+83.19))))-(-5+-5)))*-5)))/-5)--5)+(-5*(((83.19*(83.19-(-5/-5)))*(83.19-(83.19/(-5*83.19))))-(-5/-5)))))</f>
        <v>2865005.046595</v>
      </c>
      <c r="C18320" t="n" s="0">
        <v>2865005.0465949997</v>
      </c>
    </row>
    <row r="18321">
      <c r="A18321" t="n" s="0">
        <v>83.2</v>
      </c>
      <c r="B18321" t="n" s="0">
        <f>(-5-((((-5*(-5/((-5/(((-5*(83.2--5))-(-5+((-5*83.2)*(((-5--5)+(83.2--5))+83.2))))-(-5+-5)))*-5)))/-5)--5)+(-5*(((83.2*(83.2-(-5/-5)))*(83.2-(83.2/(-5*83.2))))-(-5/-5)))))</f>
        <v>2866039.96</v>
      </c>
      <c r="C18321" t="n" s="0">
        <v>2866039.96</v>
      </c>
    </row>
    <row r="18322">
      <c r="A18322" t="n" s="0">
        <v>83.21</v>
      </c>
      <c r="B18322" t="n" s="0">
        <f>(-5-((((-5*(-5/((-5/(((-5*(83.21--5))-(-5+((-5*83.21)*(((-5--5)+(83.21--5))+83.21))))-(-5+-5)))*-5)))/-5)--5)+(-5*(((83.21*(83.21-(-5/-5)))*(83.21-(83.21/(-5*83.21))))-(-5/-5)))))</f>
        <v>2867075.122605</v>
      </c>
      <c r="C18322" t="n" s="0">
        <v>2867075.1226049997</v>
      </c>
    </row>
    <row r="18323">
      <c r="A18323" t="n" s="0">
        <v>83.22</v>
      </c>
      <c r="B18323" t="n" s="0">
        <f>(-5-((((-5*(-5/((-5/(((-5*(83.22--5))-(-5+((-5*83.22)*(((-5--5)+(83.22--5))+83.22))))-(-5+-5)))*-5)))/-5)--5)+(-5*(((83.22*(83.22-(-5/-5)))*(83.22-(83.22/(-5*83.22))))-(-5/-5)))))</f>
        <v>2868110.53444</v>
      </c>
      <c r="C18323" t="n" s="0">
        <v>2868110.53444</v>
      </c>
    </row>
    <row r="18324">
      <c r="A18324" t="n" s="0">
        <v>83.23</v>
      </c>
      <c r="B18324" t="n" s="0">
        <f>(-5-((((-5*(-5/((-5/(((-5*(83.23--5))-(-5+((-5*83.23)*(((-5--5)+(83.23--5))+83.23))))-(-5+-5)))*-5)))/-5)--5)+(-5*(((83.23*(83.23-(-5/-5)))*(83.23-(83.23/(-5*83.23))))-(-5/-5)))))</f>
        <v>2869146.195535</v>
      </c>
      <c r="C18324" t="n" s="0">
        <v>2869146.1955350004</v>
      </c>
    </row>
    <row r="18325">
      <c r="A18325" t="n" s="0">
        <v>83.24</v>
      </c>
      <c r="B18325" t="n" s="0">
        <f>(-5-((((-5*(-5/((-5/(((-5*(83.24--5))-(-5+((-5*83.24)*(((-5--5)+(83.24--5))+83.24))))-(-5+-5)))*-5)))/-5)--5)+(-5*(((83.24*(83.24-(-5/-5)))*(83.24-(83.24/(-5*83.24))))-(-5/-5)))))</f>
        <v>2870182.10592</v>
      </c>
      <c r="C18325" t="n" s="0">
        <v>2870182.10592</v>
      </c>
    </row>
    <row r="18326">
      <c r="A18326" t="n" s="0">
        <v>83.25</v>
      </c>
      <c r="B18326" t="n" s="0">
        <f>(-5-((((-5*(-5/((-5/(((-5*(83.25--5))-(-5+((-5*83.25)*(((-5--5)+(83.25--5))+83.25))))-(-5+-5)))*-5)))/-5)--5)+(-5*(((83.25*(83.25-(-5/-5)))*(83.25-(83.25/(-5*83.25))))-(-5/-5)))))</f>
        <v>2871218.265625</v>
      </c>
      <c r="C18326" t="n" s="0">
        <v>2871218.265625</v>
      </c>
    </row>
    <row r="18327">
      <c r="A18327" t="n" s="0">
        <v>83.26</v>
      </c>
      <c r="B18327" t="n" s="0">
        <f>(-5-((((-5*(-5/((-5/(((-5*(83.26--5))-(-5+((-5*83.26)*(((-5--5)+(83.26--5))+83.26))))-(-5+-5)))*-5)))/-5)--5)+(-5*(((83.26*(83.26-(-5/-5)))*(83.26-(83.26/(-5*83.26))))-(-5/-5)))))</f>
        <v>2872254.6746799997</v>
      </c>
      <c r="C18327" t="n" s="0">
        <v>2872254.67468</v>
      </c>
    </row>
    <row r="18328">
      <c r="A18328" t="n" s="0">
        <v>83.27</v>
      </c>
      <c r="B18328" t="n" s="0">
        <f>(-5-((((-5*(-5/((-5/(((-5*(83.27--5))-(-5+((-5*83.27)*(((-5--5)+(83.27--5))+83.27))))-(-5+-5)))*-5)))/-5)--5)+(-5*(((83.27*(83.27-(-5/-5)))*(83.27-(83.27/(-5*83.27))))-(-5/-5)))))</f>
        <v>2873291.333115</v>
      </c>
      <c r="C18328" t="n" s="0">
        <v>2873291.333115</v>
      </c>
    </row>
    <row r="18329">
      <c r="A18329" t="n" s="0">
        <v>83.28</v>
      </c>
      <c r="B18329" t="n" s="0">
        <f>(-5-((((-5*(-5/((-5/(((-5*(83.28--5))-(-5+((-5*83.28)*(((-5--5)+(83.28--5))+83.28))))-(-5+-5)))*-5)))/-5)--5)+(-5*(((83.28*(83.28-(-5/-5)))*(83.28-(83.28/(-5*83.28))))-(-5/-5)))))</f>
        <v>2874328.24096</v>
      </c>
      <c r="C18329" t="n" s="0">
        <v>2874328.2409599996</v>
      </c>
    </row>
    <row r="18330">
      <c r="A18330" t="n" s="0">
        <v>83.29</v>
      </c>
      <c r="B18330" t="n" s="0">
        <f>(-5-((((-5*(-5/((-5/(((-5*(83.29--5))-(-5+((-5*83.29)*(((-5--5)+(83.29--5))+83.29))))-(-5+-5)))*-5)))/-5)--5)+(-5*(((83.29*(83.29-(-5/-5)))*(83.29-(83.29/(-5*83.29))))-(-5/-5)))))</f>
        <v>2875365.3982450003</v>
      </c>
      <c r="C18330" t="n" s="0">
        <v>2875365.3982450007</v>
      </c>
    </row>
    <row r="18331">
      <c r="A18331" t="n" s="0">
        <v>83.3</v>
      </c>
      <c r="B18331" t="n" s="0">
        <f>(-5-((((-5*(-5/((-5/(((-5*(83.3--5))-(-5+((-5*83.3)*(((-5--5)+(83.3--5))+83.3))))-(-5+-5)))*-5)))/-5)--5)+(-5*(((83.3*(83.3-(-5/-5)))*(83.3-(83.3/(-5*83.3))))-(-5/-5)))))</f>
        <v>2876402.805</v>
      </c>
      <c r="C18331" t="n" s="0">
        <v>2876402.8049999997</v>
      </c>
    </row>
    <row r="18332">
      <c r="A18332" t="n" s="0">
        <v>83.31</v>
      </c>
      <c r="B18332" t="n" s="0">
        <f>(-5-((((-5*(-5/((-5/(((-5*(83.31--5))-(-5+((-5*83.31)*(((-5--5)+(83.31--5))+83.31))))-(-5+-5)))*-5)))/-5)--5)+(-5*(((83.31*(83.31-(-5/-5)))*(83.31-(83.31/(-5*83.31))))-(-5/-5)))))</f>
        <v>2877440.461255</v>
      </c>
      <c r="C18332" t="n" s="0">
        <v>2877440.4612550004</v>
      </c>
    </row>
    <row r="18333">
      <c r="A18333" t="n" s="0">
        <v>83.32</v>
      </c>
      <c r="B18333" t="n" s="0">
        <f>(-5-((((-5*(-5/((-5/(((-5*(83.32--5))-(-5+((-5*83.32)*(((-5--5)+(83.32--5))+83.32))))-(-5+-5)))*-5)))/-5)--5)+(-5*(((83.32*(83.32-(-5/-5)))*(83.32-(83.32/(-5*83.32))))-(-5/-5)))))</f>
        <v>2878478.36704</v>
      </c>
      <c r="C18333" t="n" s="0">
        <v>2878478.367039999</v>
      </c>
    </row>
    <row r="18334">
      <c r="A18334" t="n" s="0">
        <v>83.33</v>
      </c>
      <c r="B18334" t="n" s="0">
        <f>(-5-((((-5*(-5/((-5/(((-5*(83.33--5))-(-5+((-5*83.33)*(((-5--5)+(83.33--5))+83.33))))-(-5+-5)))*-5)))/-5)--5)+(-5*(((83.33*(83.33-(-5/-5)))*(83.33-(83.33/(-5*83.33))))-(-5/-5)))))</f>
        <v>2879516.5223850003</v>
      </c>
      <c r="C18334" t="n" s="0">
        <v>2879516.522385</v>
      </c>
    </row>
    <row r="18335">
      <c r="A18335" t="n" s="0">
        <v>83.34</v>
      </c>
      <c r="B18335" t="n" s="0">
        <f>(-5-((((-5*(-5/((-5/(((-5*(83.34--5))-(-5+((-5*83.34)*(((-5--5)+(83.34--5))+83.34))))-(-5+-5)))*-5)))/-5)--5)+(-5*(((83.34*(83.34-(-5/-5)))*(83.34-(83.34/(-5*83.34))))-(-5/-5)))))</f>
        <v>2880554.9273200002</v>
      </c>
      <c r="C18335" t="n" s="0">
        <v>2880554.9273200002</v>
      </c>
    </row>
    <row r="18336">
      <c r="A18336" t="n" s="0">
        <v>83.35</v>
      </c>
      <c r="B18336" t="n" s="0">
        <f>(-5-((((-5*(-5/((-5/(((-5*(83.35--5))-(-5+((-5*83.35)*(((-5--5)+(83.35--5))+83.35))))-(-5+-5)))*-5)))/-5)--5)+(-5*(((83.35*(83.35-(-5/-5)))*(83.35-(83.35/(-5*83.35))))-(-5/-5)))))</f>
        <v>2881593.581875</v>
      </c>
      <c r="C18336" t="n" s="0">
        <v>2881593.581874999</v>
      </c>
    </row>
    <row r="18337">
      <c r="A18337" t="n" s="0">
        <v>83.36</v>
      </c>
      <c r="B18337" t="n" s="0">
        <f>(-5-((((-5*(-5/((-5/(((-5*(83.36--5))-(-5+((-5*83.36)*(((-5--5)+(83.36--5))+83.36))))-(-5+-5)))*-5)))/-5)--5)+(-5*(((83.36*(83.36-(-5/-5)))*(83.36-(83.36/(-5*83.36))))-(-5/-5)))))</f>
        <v>2882632.48608</v>
      </c>
      <c r="C18337" t="n" s="0">
        <v>2882632.4860799997</v>
      </c>
    </row>
    <row r="18338">
      <c r="A18338" t="n" s="0">
        <v>83.37</v>
      </c>
      <c r="B18338" t="n" s="0">
        <f>(-5-((((-5*(-5/((-5/(((-5*(83.37--5))-(-5+((-5*83.37)*(((-5--5)+(83.37--5))+83.37))))-(-5+-5)))*-5)))/-5)--5)+(-5*(((83.37*(83.37-(-5/-5)))*(83.37-(83.37/(-5*83.37))))-(-5/-5)))))</f>
        <v>2883671.639965</v>
      </c>
      <c r="C18338" t="n" s="0">
        <v>2883671.6399650006</v>
      </c>
    </row>
    <row r="18339">
      <c r="A18339" t="n" s="0">
        <v>83.38</v>
      </c>
      <c r="B18339" t="n" s="0">
        <f>(-5-((((-5*(-5/((-5/(((-5*(83.38--5))-(-5+((-5*83.38)*(((-5--5)+(83.38--5))+83.38))))-(-5+-5)))*-5)))/-5)--5)+(-5*(((83.38*(83.38-(-5/-5)))*(83.38-(83.38/(-5*83.38))))-(-5/-5)))))</f>
        <v>2884711.04356</v>
      </c>
      <c r="C18339" t="n" s="0">
        <v>2884711.04356</v>
      </c>
    </row>
    <row r="18340">
      <c r="A18340" t="n" s="0">
        <v>83.39</v>
      </c>
      <c r="B18340" t="n" s="0">
        <f>(-5-((((-5*(-5/((-5/(((-5*(83.39--5))-(-5+((-5*83.39)*(((-5--5)+(83.39--5))+83.39))))-(-5+-5)))*-5)))/-5)--5)+(-5*(((83.39*(83.39-(-5/-5)))*(83.39-(83.39/(-5*83.39))))-(-5/-5)))))</f>
        <v>2885750.696895</v>
      </c>
      <c r="C18340" t="n" s="0">
        <v>2885750.6968949996</v>
      </c>
    </row>
    <row r="18341">
      <c r="A18341" t="n" s="0">
        <v>83.4</v>
      </c>
      <c r="B18341" t="n" s="0">
        <f>(-5-((((-5*(-5/((-5/(((-5*(83.4--5))-(-5+((-5*83.4)*(((-5--5)+(83.4--5))+83.4))))-(-5+-5)))*-5)))/-5)--5)+(-5*(((83.4*(83.4-(-5/-5)))*(83.4-(83.4/(-5*83.4))))-(-5/-5)))))</f>
        <v>2886790.6</v>
      </c>
      <c r="C18341" t="n" s="0">
        <v>2886790.6000000006</v>
      </c>
    </row>
    <row r="18342">
      <c r="A18342" t="n" s="0">
        <v>83.41</v>
      </c>
      <c r="B18342" t="n" s="0">
        <f>(-5-((((-5*(-5/((-5/(((-5*(83.41--5))-(-5+((-5*83.41)*(((-5--5)+(83.41--5))+83.41))))-(-5+-5)))*-5)))/-5)--5)+(-5*(((83.41*(83.41-(-5/-5)))*(83.41-(83.41/(-5*83.41))))-(-5/-5)))))</f>
        <v>2887830.752905</v>
      </c>
      <c r="C18342" t="n" s="0">
        <v>2887830.752905</v>
      </c>
    </row>
    <row r="18343">
      <c r="A18343" t="n" s="0">
        <v>83.42</v>
      </c>
      <c r="B18343" t="n" s="0">
        <f>(-5-((((-5*(-5/((-5/(((-5*(83.42--5))-(-5+((-5*83.42)*(((-5--5)+(83.42--5))+83.42))))-(-5+-5)))*-5)))/-5)--5)+(-5*(((83.42*(83.42-(-5/-5)))*(83.42-(83.42/(-5*83.42))))-(-5/-5)))))</f>
        <v>2888871.15564</v>
      </c>
      <c r="C18343" t="n" s="0">
        <v>2888871.1556399995</v>
      </c>
    </row>
    <row r="18344">
      <c r="A18344" t="n" s="0">
        <v>83.43</v>
      </c>
      <c r="B18344" t="n" s="0">
        <f>(-5-((((-5*(-5/((-5/(((-5*(83.43--5))-(-5+((-5*83.43)*(((-5--5)+(83.43--5))+83.43))))-(-5+-5)))*-5)))/-5)--5)+(-5*(((83.43*(83.43-(-5/-5)))*(83.43-(83.43/(-5*83.43))))-(-5/-5)))))</f>
        <v>2889911.808235</v>
      </c>
      <c r="C18344" t="n" s="0">
        <v>2889911.8082350004</v>
      </c>
    </row>
    <row r="18345">
      <c r="A18345" t="n" s="0">
        <v>83.44</v>
      </c>
      <c r="B18345" t="n" s="0">
        <f>(-5-((((-5*(-5/((-5/(((-5*(83.44--5))-(-5+((-5*83.44)*(((-5--5)+(83.44--5))+83.44))))-(-5+-5)))*-5)))/-5)--5)+(-5*(((83.44*(83.44-(-5/-5)))*(83.44-(83.44/(-5*83.44))))-(-5/-5)))))</f>
        <v>2890952.71072</v>
      </c>
      <c r="C18345" t="n" s="0">
        <v>2890952.71072</v>
      </c>
    </row>
    <row r="18346">
      <c r="A18346" t="n" s="0">
        <v>83.45</v>
      </c>
      <c r="B18346" t="n" s="0">
        <f>(-5-((((-5*(-5/((-5/(((-5*(83.45--5))-(-5+((-5*83.45)*(((-5--5)+(83.45--5))+83.45))))-(-5+-5)))*-5)))/-5)--5)+(-5*(((83.45*(83.45-(-5/-5)))*(83.45-(83.45/(-5*83.45))))-(-5/-5)))))</f>
        <v>2891993.863125</v>
      </c>
      <c r="C18346" t="n" s="0">
        <v>2891993.863125</v>
      </c>
    </row>
    <row r="18347">
      <c r="A18347" t="n" s="0">
        <v>83.46</v>
      </c>
      <c r="B18347" t="n" s="0">
        <f>(-5-((((-5*(-5/((-5/(((-5*(83.46--5))-(-5+((-5*83.46)*(((-5--5)+(83.46--5))+83.46))))-(-5+-5)))*-5)))/-5)--5)+(-5*(((83.46*(83.46-(-5/-5)))*(83.46-(83.46/(-5*83.46))))-(-5/-5)))))</f>
        <v>2893035.26548</v>
      </c>
      <c r="C18347" t="n" s="0">
        <v>2893035.2654799996</v>
      </c>
    </row>
    <row r="18348">
      <c r="A18348" t="n" s="0">
        <v>83.47</v>
      </c>
      <c r="B18348" t="n" s="0">
        <f>(-5-((((-5*(-5/((-5/(((-5*(83.47--5))-(-5+((-5*83.47)*(((-5--5)+(83.47--5))+83.47))))-(-5+-5)))*-5)))/-5)--5)+(-5*(((83.47*(83.47-(-5/-5)))*(83.47-(83.47/(-5*83.47))))-(-5/-5)))))</f>
        <v>2894076.9178150003</v>
      </c>
      <c r="C18348" t="n" s="0">
        <v>2894076.917815</v>
      </c>
    </row>
    <row r="18349">
      <c r="A18349" t="n" s="0">
        <v>83.48</v>
      </c>
      <c r="B18349" t="n" s="0">
        <f>(-5-((((-5*(-5/((-5/(((-5*(83.48--5))-(-5+((-5*83.48)*(((-5--5)+(83.48--5))+83.48))))-(-5+-5)))*-5)))/-5)--5)+(-5*(((83.48*(83.48-(-5/-5)))*(83.48-(83.48/(-5*83.48))))-(-5/-5)))))</f>
        <v>2895118.8201599997</v>
      </c>
      <c r="C18349" t="n" s="0">
        <v>2895118.8201600006</v>
      </c>
    </row>
    <row r="18350">
      <c r="A18350" t="n" s="0">
        <v>83.49</v>
      </c>
      <c r="B18350" t="n" s="0">
        <f>(-5-((((-5*(-5/((-5/(((-5*(83.49--5))-(-5+((-5*83.49)*(((-5--5)+(83.49--5))+83.49))))-(-5+-5)))*-5)))/-5)--5)+(-5*(((83.49*(83.49-(-5/-5)))*(83.49-(83.49/(-5*83.49))))-(-5/-5)))))</f>
        <v>2896160.972545</v>
      </c>
      <c r="C18350" t="n" s="0">
        <v>2896160.9725450003</v>
      </c>
    </row>
    <row r="18351">
      <c r="A18351" t="n" s="0">
        <v>83.5</v>
      </c>
      <c r="B18351" t="n" s="0">
        <f>(-5-((((-5*(-5/((-5/(((-5*(83.5--5))-(-5+((-5*83.5)*(((-5--5)+(83.5--5))+83.5))))-(-5+-5)))*-5)))/-5)--5)+(-5*(((83.5*(83.5-(-5/-5)))*(83.5-(83.5/(-5*83.5))))-(-5/-5)))))</f>
        <v>2897203.375</v>
      </c>
      <c r="C18351" t="n" s="0">
        <v>2897203.375</v>
      </c>
    </row>
    <row r="18352">
      <c r="A18352" t="n" s="0">
        <v>83.51</v>
      </c>
      <c r="B18352" t="n" s="0">
        <f>(-5-((((-5*(-5/((-5/(((-5*(83.51--5))-(-5+((-5*83.51)*(((-5--5)+(83.51--5))+83.51))))-(-5+-5)))*-5)))/-5)--5)+(-5*(((83.51*(83.51-(-5/-5)))*(83.51-(83.51/(-5*83.51))))-(-5/-5)))))</f>
        <v>2898246.027555</v>
      </c>
      <c r="C18352" t="n" s="0">
        <v>2898246.0275550005</v>
      </c>
    </row>
    <row r="18353">
      <c r="A18353" t="n" s="0">
        <v>83.52</v>
      </c>
      <c r="B18353" t="n" s="0">
        <f>(-5-((((-5*(-5/((-5/(((-5*(83.52--5))-(-5+((-5*83.52)*(((-5--5)+(83.52--5))+83.52))))-(-5+-5)))*-5)))/-5)--5)+(-5*(((83.52*(83.52-(-5/-5)))*(83.52-(83.52/(-5*83.52))))-(-5/-5)))))</f>
        <v>2899288.9302399997</v>
      </c>
      <c r="C18353" t="n" s="0">
        <v>2899288.930239999</v>
      </c>
    </row>
    <row r="18354">
      <c r="A18354" t="n" s="0">
        <v>83.53</v>
      </c>
      <c r="B18354" t="n" s="0">
        <f>(-5-((((-5*(-5/((-5/(((-5*(83.53--5))-(-5+((-5*83.53)*(((-5--5)+(83.53--5))+83.53))))-(-5+-5)))*-5)))/-5)--5)+(-5*(((83.53*(83.53-(-5/-5)))*(83.53-(83.53/(-5*83.53))))-(-5/-5)))))</f>
        <v>2900332.083085</v>
      </c>
      <c r="C18354" t="n" s="0">
        <v>2900332.083085</v>
      </c>
    </row>
    <row r="18355">
      <c r="A18355" t="n" s="0">
        <v>83.54</v>
      </c>
      <c r="B18355" t="n" s="0">
        <f>(-5-((((-5*(-5/((-5/(((-5*(83.54--5))-(-5+((-5*83.54)*(((-5--5)+(83.54--5))+83.54))))-(-5+-5)))*-5)))/-5)--5)+(-5*(((83.54*(83.54-(-5/-5)))*(83.54-(83.54/(-5*83.54))))-(-5/-5)))))</f>
        <v>2901375.48612</v>
      </c>
      <c r="C18355" t="n" s="0">
        <v>2901375.486120001</v>
      </c>
    </row>
    <row r="18356">
      <c r="A18356" t="n" s="0">
        <v>83.55</v>
      </c>
      <c r="B18356" t="n" s="0">
        <f>(-5-((((-5*(-5/((-5/(((-5*(83.55--5))-(-5+((-5*83.55)*(((-5--5)+(83.55--5))+83.55))))-(-5+-5)))*-5)))/-5)--5)+(-5*(((83.55*(83.55-(-5/-5)))*(83.55-(83.55/(-5*83.55))))-(-5/-5)))))</f>
        <v>2902419.139375</v>
      </c>
      <c r="C18356" t="n" s="0">
        <v>2902419.1393749993</v>
      </c>
    </row>
    <row r="18357">
      <c r="A18357" t="n" s="0">
        <v>83.56</v>
      </c>
      <c r="B18357" t="n" s="0">
        <f>(-5-((((-5*(-5/((-5/(((-5*(83.56--5))-(-5+((-5*83.56)*(((-5--5)+(83.56--5))+83.56))))-(-5+-5)))*-5)))/-5)--5)+(-5*(((83.56*(83.56-(-5/-5)))*(83.56-(83.56/(-5*83.56))))-(-5/-5)))))</f>
        <v>2903463.04288</v>
      </c>
      <c r="C18357" t="n" s="0">
        <v>2903463.04288</v>
      </c>
    </row>
    <row r="18358">
      <c r="A18358" t="n" s="0">
        <v>83.57</v>
      </c>
      <c r="B18358" t="n" s="0">
        <f>(-5-((((-5*(-5/((-5/(((-5*(83.57--5))-(-5+((-5*83.57)*(((-5--5)+(83.57--5))+83.57))))-(-5+-5)))*-5)))/-5)--5)+(-5*(((83.57*(83.57-(-5/-5)))*(83.57-(83.57/(-5*83.57))))-(-5/-5)))))</f>
        <v>2904507.1966649997</v>
      </c>
      <c r="C18358" t="n" s="0">
        <v>2904507.1966649992</v>
      </c>
    </row>
    <row r="18359">
      <c r="A18359" t="n" s="0">
        <v>83.58</v>
      </c>
      <c r="B18359" t="n" s="0">
        <f>(-5-((((-5*(-5/((-5/(((-5*(83.58--5))-(-5+((-5*83.58)*(((-5--5)+(83.58--5))+83.58))))-(-5+-5)))*-5)))/-5)--5)+(-5*(((83.58*(83.58-(-5/-5)))*(83.58-(83.58/(-5*83.58))))-(-5/-5)))))</f>
        <v>2905551.6007600003</v>
      </c>
      <c r="C18359" t="n" s="0">
        <v>2905551.60076</v>
      </c>
    </row>
    <row r="18360">
      <c r="A18360" t="n" s="0">
        <v>83.59</v>
      </c>
      <c r="B18360" t="n" s="0">
        <f>(-5-((((-5*(-5/((-5/(((-5*(83.59--5))-(-5+((-5*83.59)*(((-5--5)+(83.59--5))+83.59))))-(-5+-5)))*-5)))/-5)--5)+(-5*(((83.59*(83.59-(-5/-5)))*(83.59-(83.59/(-5*83.59))))-(-5/-5)))))</f>
        <v>2906596.2551949997</v>
      </c>
      <c r="C18360" t="n" s="0">
        <v>2906596.255195</v>
      </c>
    </row>
    <row r="18361">
      <c r="A18361" t="n" s="0">
        <v>83.6</v>
      </c>
      <c r="B18361" t="n" s="0">
        <f>(-5-((((-5*(-5/((-5/(((-5*(83.6--5))-(-5+((-5*83.6)*(((-5--5)+(83.6--5))+83.6))))-(-5+-5)))*-5)))/-5)--5)+(-5*(((83.6*(83.6-(-5/-5)))*(83.6-(83.6/(-5*83.6))))-(-5/-5)))))</f>
        <v>2907641.1599999997</v>
      </c>
      <c r="C18361" t="n" s="0">
        <v>2907641.159999999</v>
      </c>
    </row>
    <row r="18362">
      <c r="A18362" t="n" s="0">
        <v>83.61</v>
      </c>
      <c r="B18362" t="n" s="0">
        <f>(-5-((((-5*(-5/((-5/(((-5*(83.61--5))-(-5+((-5*83.61)*(((-5--5)+(83.61--5))+83.61))))-(-5+-5)))*-5)))/-5)--5)+(-5*(((83.61*(83.61-(-5/-5)))*(83.61-(83.61/(-5*83.61))))-(-5/-5)))))</f>
        <v>2908686.315205</v>
      </c>
      <c r="C18362" t="n" s="0">
        <v>2908686.3152050003</v>
      </c>
    </row>
    <row r="18363">
      <c r="A18363" t="n" s="0">
        <v>83.62</v>
      </c>
      <c r="B18363" t="n" s="0">
        <f>(-5-((((-5*(-5/((-5/(((-5*(83.62--5))-(-5+((-5*83.62)*(((-5--5)+(83.62--5))+83.62))))-(-5+-5)))*-5)))/-5)--5)+(-5*(((83.62*(83.62-(-5/-5)))*(83.62-(83.62/(-5*83.62))))-(-5/-5)))))</f>
        <v>2909731.72084</v>
      </c>
      <c r="C18363" t="n" s="0">
        <v>2909731.7208400005</v>
      </c>
    </row>
    <row r="18364">
      <c r="A18364" t="n" s="0">
        <v>83.63</v>
      </c>
      <c r="B18364" t="n" s="0">
        <f>(-5-((((-5*(-5/((-5/(((-5*(83.63--5))-(-5+((-5*83.63)*(((-5--5)+(83.63--5))+83.63))))-(-5+-5)))*-5)))/-5)--5)+(-5*(((83.63*(83.63-(-5/-5)))*(83.63-(83.63/(-5*83.63))))-(-5/-5)))))</f>
        <v>2910777.3769349996</v>
      </c>
      <c r="C18364" t="n" s="0">
        <v>2910777.3769349996</v>
      </c>
    </row>
    <row r="18365">
      <c r="A18365" t="n" s="0">
        <v>83.64</v>
      </c>
      <c r="B18365" t="n" s="0">
        <f>(-5-((((-5*(-5/((-5/(((-5*(83.64--5))-(-5+((-5*83.64)*(((-5--5)+(83.64--5))+83.64))))-(-5+-5)))*-5)))/-5)--5)+(-5*(((83.64*(83.64-(-5/-5)))*(83.64-(83.64/(-5*83.64))))-(-5/-5)))))</f>
        <v>2911823.28352</v>
      </c>
      <c r="C18365" t="n" s="0">
        <v>2911823.2835200005</v>
      </c>
    </row>
    <row r="18366">
      <c r="A18366" t="n" s="0">
        <v>83.65</v>
      </c>
      <c r="B18366" t="n" s="0">
        <f>(-5-((((-5*(-5/((-5/(((-5*(83.65--5))-(-5+((-5*83.65)*(((-5--5)+(83.65--5))+83.65))))-(-5+-5)))*-5)))/-5)--5)+(-5*(((83.65*(83.65-(-5/-5)))*(83.65-(83.65/(-5*83.65))))-(-5/-5)))))</f>
        <v>2912869.4406250003</v>
      </c>
      <c r="C18366" t="n" s="0">
        <v>2912869.4406250007</v>
      </c>
    </row>
    <row r="18367">
      <c r="A18367" t="n" s="0">
        <v>83.66</v>
      </c>
      <c r="B18367" t="n" s="0">
        <f>(-5-((((-5*(-5/((-5/(((-5*(83.66--5))-(-5+((-5*83.66)*(((-5--5)+(83.66--5))+83.66))))-(-5+-5)))*-5)))/-5)--5)+(-5*(((83.66*(83.66-(-5/-5)))*(83.66-(83.66/(-5*83.66))))-(-5/-5)))))</f>
        <v>2913915.84828</v>
      </c>
      <c r="C18367" t="n" s="0">
        <v>2913915.84828</v>
      </c>
    </row>
    <row r="18368">
      <c r="A18368" t="n" s="0">
        <v>83.67</v>
      </c>
      <c r="B18368" t="n" s="0">
        <f>(-5-((((-5*(-5/((-5/(((-5*(83.67--5))-(-5+((-5*83.67)*(((-5--5)+(83.67--5))+83.67))))-(-5+-5)))*-5)))/-5)--5)+(-5*(((83.67*(83.67-(-5/-5)))*(83.67-(83.67/(-5*83.67))))-(-5/-5)))))</f>
        <v>2914962.506515</v>
      </c>
      <c r="C18368" t="n" s="0">
        <v>2914962.506515</v>
      </c>
    </row>
    <row r="18369">
      <c r="A18369" t="n" s="0">
        <v>83.68</v>
      </c>
      <c r="B18369" t="n" s="0">
        <f>(-5-((((-5*(-5/((-5/(((-5*(83.68--5))-(-5+((-5*83.68)*(((-5--5)+(83.68--5))+83.68))))-(-5+-5)))*-5)))/-5)--5)+(-5*(((83.68*(83.68-(-5/-5)))*(83.68-(83.68/(-5*83.68))))-(-5/-5)))))</f>
        <v>2916009.41536</v>
      </c>
      <c r="C18369" t="n" s="0">
        <v>2916009.415360001</v>
      </c>
    </row>
    <row r="18370">
      <c r="A18370" t="n" s="0">
        <v>83.69</v>
      </c>
      <c r="B18370" t="n" s="0">
        <f>(-5-((((-5*(-5/((-5/(((-5*(83.69--5))-(-5+((-5*83.69)*(((-5--5)+(83.69--5))+83.69))))-(-5+-5)))*-5)))/-5)--5)+(-5*(((83.69*(83.69-(-5/-5)))*(83.69-(83.69/(-5*83.69))))-(-5/-5)))))</f>
        <v>2917056.574845</v>
      </c>
      <c r="C18370" t="n" s="0">
        <v>2917056.5748449997</v>
      </c>
    </row>
    <row r="18371">
      <c r="A18371" t="n" s="0">
        <v>83.7</v>
      </c>
      <c r="B18371" t="n" s="0">
        <f>(-5-((((-5*(-5/((-5/(((-5*(83.7--5))-(-5+((-5*83.7)*(((-5--5)+(83.7--5))+83.7))))-(-5+-5)))*-5)))/-5)--5)+(-5*(((83.7*(83.7-(-5/-5)))*(83.7-(83.7/(-5*83.7))))-(-5/-5)))))</f>
        <v>2918103.9850000003</v>
      </c>
      <c r="C18371" t="n" s="0">
        <v>2918103.9850000003</v>
      </c>
    </row>
    <row r="18372">
      <c r="A18372" t="n" s="0">
        <v>83.71</v>
      </c>
      <c r="B18372" t="n" s="0">
        <f>(-5-((((-5*(-5/((-5/(((-5*(83.71--5))-(-5+((-5*83.71)*(((-5--5)+(83.71--5))+83.71))))-(-5+-5)))*-5)))/-5)--5)+(-5*(((83.71*(83.71-(-5/-5)))*(83.71-(83.71/(-5*83.71))))-(-5/-5)))))</f>
        <v>2919151.6458550002</v>
      </c>
      <c r="C18372" t="n" s="0">
        <v>2919151.6458549993</v>
      </c>
    </row>
    <row r="18373">
      <c r="A18373" t="n" s="0">
        <v>83.72</v>
      </c>
      <c r="B18373" t="n" s="0">
        <f>(-5-((((-5*(-5/((-5/(((-5*(83.72--5))-(-5+((-5*83.72)*(((-5--5)+(83.72--5))+83.72))))-(-5+-5)))*-5)))/-5)--5)+(-5*(((83.72*(83.72-(-5/-5)))*(83.72-(83.72/(-5*83.72))))-(-5/-5)))))</f>
        <v>2920199.5574399997</v>
      </c>
      <c r="C18373" t="n" s="0">
        <v>2920199.55744</v>
      </c>
    </row>
    <row r="18374">
      <c r="A18374" t="n" s="0">
        <v>83.73</v>
      </c>
      <c r="B18374" t="n" s="0">
        <f>(-5-((((-5*(-5/((-5/(((-5*(83.73--5))-(-5+((-5*83.73)*(((-5--5)+(83.73--5))+83.73))))-(-5+-5)))*-5)))/-5)--5)+(-5*(((83.73*(83.73-(-5/-5)))*(83.73-(83.73/(-5*83.73))))-(-5/-5)))))</f>
        <v>2921247.7197849997</v>
      </c>
      <c r="C18374" t="n" s="0">
        <v>2921247.7197850007</v>
      </c>
    </row>
    <row r="18375">
      <c r="A18375" t="n" s="0">
        <v>83.74</v>
      </c>
      <c r="B18375" t="n" s="0">
        <f>(-5-((((-5*(-5/((-5/(((-5*(83.74--5))-(-5+((-5*83.74)*(((-5--5)+(83.74--5))+83.74))))-(-5+-5)))*-5)))/-5)--5)+(-5*(((83.74*(83.74-(-5/-5)))*(83.74-(83.74/(-5*83.74))))-(-5/-5)))))</f>
        <v>2922296.13292</v>
      </c>
      <c r="C18375" t="n" s="0">
        <v>2922296.13292</v>
      </c>
    </row>
    <row r="18376">
      <c r="A18376" t="n" s="0">
        <v>83.75</v>
      </c>
      <c r="B18376" t="n" s="0">
        <f>(-5-((((-5*(-5/((-5/(((-5*(83.75--5))-(-5+((-5*83.75)*(((-5--5)+(83.75--5))+83.75))))-(-5+-5)))*-5)))/-5)--5)+(-5*(((83.75*(83.75-(-5/-5)))*(83.75-(83.75/(-5*83.75))))-(-5/-5)))))</f>
        <v>2923344.796875</v>
      </c>
      <c r="C18376" t="n" s="0">
        <v>2923344.796875</v>
      </c>
    </row>
    <row r="18377">
      <c r="A18377" t="n" s="0">
        <v>83.76</v>
      </c>
      <c r="B18377" t="n" s="0">
        <f>(-5-((((-5*(-5/((-5/(((-5*(83.76--5))-(-5+((-5*83.76)*(((-5--5)+(83.76--5))+83.76))))-(-5+-5)))*-5)))/-5)--5)+(-5*(((83.76*(83.76-(-5/-5)))*(83.76-(83.76/(-5*83.76))))-(-5/-5)))))</f>
        <v>2924393.7116799997</v>
      </c>
      <c r="C18377" t="n" s="0">
        <v>2924393.7116799997</v>
      </c>
    </row>
    <row r="18378">
      <c r="A18378" t="n" s="0">
        <v>83.77</v>
      </c>
      <c r="B18378" t="n" s="0">
        <f>(-5-((((-5*(-5/((-5/(((-5*(83.77--5))-(-5+((-5*83.77)*(((-5--5)+(83.77--5))+83.77))))-(-5+-5)))*-5)))/-5)--5)+(-5*(((83.77*(83.77-(-5/-5)))*(83.77-(83.77/(-5*83.77))))-(-5/-5)))))</f>
        <v>2925442.8773649996</v>
      </c>
      <c r="C18378" t="n" s="0">
        <v>2925442.877364999</v>
      </c>
    </row>
    <row r="18379">
      <c r="A18379" t="n" s="0">
        <v>83.78</v>
      </c>
      <c r="B18379" t="n" s="0">
        <f>(-5-((((-5*(-5/((-5/(((-5*(83.78--5))-(-5+((-5*83.78)*(((-5--5)+(83.78--5))+83.78))))-(-5+-5)))*-5)))/-5)--5)+(-5*(((83.78*(83.78-(-5/-5)))*(83.78-(83.78/(-5*83.78))))-(-5/-5)))))</f>
        <v>2926492.29396</v>
      </c>
      <c r="C18379" t="n" s="0">
        <v>2926492.29396</v>
      </c>
    </row>
    <row r="18380">
      <c r="A18380" t="n" s="0">
        <v>83.79</v>
      </c>
      <c r="B18380" t="n" s="0">
        <f>(-5-((((-5*(-5/((-5/(((-5*(83.79--5))-(-5+((-5*83.79)*(((-5--5)+(83.79--5))+83.79))))-(-5+-5)))*-5)))/-5)--5)+(-5*(((83.79*(83.79-(-5/-5)))*(83.79-(83.79/(-5*83.79))))-(-5/-5)))))</f>
        <v>2927541.9614950004</v>
      </c>
      <c r="C18380" t="n" s="0">
        <v>2927541.961495001</v>
      </c>
    </row>
    <row r="18381">
      <c r="A18381" t="n" s="0">
        <v>83.8</v>
      </c>
      <c r="B18381" t="n" s="0">
        <f>(-5-((((-5*(-5/((-5/(((-5*(83.8--5))-(-5+((-5*83.8)*(((-5--5)+(83.8--5))+83.8))))-(-5+-5)))*-5)))/-5)--5)+(-5*(((83.8*(83.8-(-5/-5)))*(83.8-(83.8/(-5*83.8))))-(-5/-5)))))</f>
        <v>2928591.88</v>
      </c>
      <c r="C18381" t="n" s="0">
        <v>2928591.88</v>
      </c>
    </row>
    <row r="18382">
      <c r="A18382" t="n" s="0">
        <v>83.81</v>
      </c>
      <c r="B18382" t="n" s="0">
        <f>(-5-((((-5*(-5/((-5/(((-5*(83.81--5))-(-5+((-5*83.81)*(((-5--5)+(83.81--5))+83.81))))-(-5+-5)))*-5)))/-5)--5)+(-5*(((83.81*(83.81-(-5/-5)))*(83.81-(83.81/(-5*83.81))))-(-5/-5)))))</f>
        <v>2929642.049505</v>
      </c>
      <c r="C18382" t="n" s="0">
        <v>2929642.0495050005</v>
      </c>
    </row>
    <row r="18383">
      <c r="A18383" t="n" s="0">
        <v>83.82</v>
      </c>
      <c r="B18383" t="n" s="0">
        <f>(-5-((((-5*(-5/((-5/(((-5*(83.82--5))-(-5+((-5*83.82)*(((-5--5)+(83.82--5))+83.82))))-(-5+-5)))*-5)))/-5)--5)+(-5*(((83.82*(83.82-(-5/-5)))*(83.82-(83.82/(-5*83.82))))-(-5/-5)))))</f>
        <v>2930692.47004</v>
      </c>
      <c r="C18383" t="n" s="0">
        <v>2930692.4700399996</v>
      </c>
    </row>
    <row r="18384">
      <c r="A18384" t="n" s="0">
        <v>83.83</v>
      </c>
      <c r="B18384" t="n" s="0">
        <f>(-5-((((-5*(-5/((-5/(((-5*(83.83--5))-(-5+((-5*83.83)*(((-5--5)+(83.83--5))+83.83))))-(-5+-5)))*-5)))/-5)--5)+(-5*(((83.83*(83.83-(-5/-5)))*(83.83-(83.83/(-5*83.83))))-(-5/-5)))))</f>
        <v>2931743.141635</v>
      </c>
      <c r="C18384" t="n" s="0">
        <v>2931743.1416350002</v>
      </c>
    </row>
    <row r="18385">
      <c r="A18385" t="n" s="0">
        <v>83.84</v>
      </c>
      <c r="B18385" t="n" s="0">
        <f>(-5-((((-5*(-5/((-5/(((-5*(83.84--5))-(-5+((-5*83.84)*(((-5--5)+(83.84--5))+83.84))))-(-5+-5)))*-5)))/-5)--5)+(-5*(((83.84*(83.84-(-5/-5)))*(83.84-(83.84/(-5*83.84))))-(-5/-5)))))</f>
        <v>2932794.0643200004</v>
      </c>
      <c r="C18385" t="n" s="0">
        <v>2932794.0643200004</v>
      </c>
    </row>
    <row r="18386">
      <c r="A18386" t="n" s="0">
        <v>83.85</v>
      </c>
      <c r="B18386" t="n" s="0">
        <f>(-5-((((-5*(-5/((-5/(((-5*(83.85--5))-(-5+((-5*83.85)*(((-5--5)+(83.85--5))+83.85))))-(-5+-5)))*-5)))/-5)--5)+(-5*(((83.85*(83.85-(-5/-5)))*(83.85-(83.85/(-5*83.85))))-(-5/-5)))))</f>
        <v>2933845.238125</v>
      </c>
      <c r="C18386" t="n" s="0">
        <v>2933845.238124999</v>
      </c>
    </row>
    <row r="18387">
      <c r="A18387" t="n" s="0">
        <v>83.86</v>
      </c>
      <c r="B18387" t="n" s="0">
        <f>(-5-((((-5*(-5/((-5/(((-5*(83.86--5))-(-5+((-5*83.86)*(((-5--5)+(83.86--5))+83.86))))-(-5+-5)))*-5)))/-5)--5)+(-5*(((83.86*(83.86-(-5/-5)))*(83.86-(83.86/(-5*83.86))))-(-5/-5)))))</f>
        <v>2934896.66308</v>
      </c>
      <c r="C18387" t="n" s="0">
        <v>2934896.66308</v>
      </c>
    </row>
    <row r="18388">
      <c r="A18388" t="n" s="0">
        <v>83.87</v>
      </c>
      <c r="B18388" t="n" s="0">
        <f>(-5-((((-5*(-5/((-5/(((-5*(83.87--5))-(-5+((-5*83.87)*(((-5--5)+(83.87--5))+83.87))))-(-5+-5)))*-5)))/-5)--5)+(-5*(((83.87*(83.87-(-5/-5)))*(83.87-(83.87/(-5*83.87))))-(-5/-5)))))</f>
        <v>2935948.339215</v>
      </c>
      <c r="C18388" t="n" s="0">
        <v>2935948.339215</v>
      </c>
    </row>
    <row r="18389">
      <c r="A18389" t="n" s="0">
        <v>83.88</v>
      </c>
      <c r="B18389" t="n" s="0">
        <f>(-5-((((-5*(-5/((-5/(((-5*(83.88--5))-(-5+((-5*83.88)*(((-5--5)+(83.88--5))+83.88))))-(-5+-5)))*-5)))/-5)--5)+(-5*(((83.88*(83.88-(-5/-5)))*(83.88-(83.88/(-5*83.88))))-(-5/-5)))))</f>
        <v>2937000.2665600004</v>
      </c>
      <c r="C18389" t="n" s="0">
        <v>2937000.2665599994</v>
      </c>
    </row>
    <row r="18390">
      <c r="A18390" t="n" s="0">
        <v>83.89</v>
      </c>
      <c r="B18390" t="n" s="0">
        <f>(-5-((((-5*(-5/((-5/(((-5*(83.89--5))-(-5+((-5*83.89)*(((-5--5)+(83.89--5))+83.89))))-(-5+-5)))*-5)))/-5)--5)+(-5*(((83.89*(83.89-(-5/-5)))*(83.89-(83.89/(-5*83.89))))-(-5/-5)))))</f>
        <v>2938052.445145</v>
      </c>
      <c r="C18390" t="n" s="0">
        <v>2938052.4451450002</v>
      </c>
    </row>
    <row r="18391">
      <c r="A18391" t="n" s="0">
        <v>83.9</v>
      </c>
      <c r="B18391" t="n" s="0">
        <f>(-5-((((-5*(-5/((-5/(((-5*(83.9--5))-(-5+((-5*83.9)*(((-5--5)+(83.9--5))+83.9))))-(-5+-5)))*-5)))/-5)--5)+(-5*(((83.9*(83.9-(-5/-5)))*(83.9-(83.9/(-5*83.9))))-(-5/-5)))))</f>
        <v>2939104.875</v>
      </c>
      <c r="C18391" t="n" s="0">
        <v>2939104.875000001</v>
      </c>
    </row>
    <row r="18392">
      <c r="A18392" t="n" s="0">
        <v>83.91</v>
      </c>
      <c r="B18392" t="n" s="0">
        <f>(-5-((((-5*(-5/((-5/(((-5*(83.91--5))-(-5+((-5*83.91)*(((-5--5)+(83.91--5))+83.91))))-(-5+-5)))*-5)))/-5)--5)+(-5*(((83.91*(83.91-(-5/-5)))*(83.91-(83.91/(-5*83.91))))-(-5/-5)))))</f>
        <v>2940157.556155</v>
      </c>
      <c r="C18392" t="n" s="0">
        <v>2940157.5561549994</v>
      </c>
    </row>
    <row r="18393">
      <c r="A18393" t="n" s="0">
        <v>83.92</v>
      </c>
      <c r="B18393" t="n" s="0">
        <f>(-5-((((-5*(-5/((-5/(((-5*(83.92--5))-(-5+((-5*83.92)*(((-5--5)+(83.92--5))+83.92))))-(-5+-5)))*-5)))/-5)--5)+(-5*(((83.92*(83.92-(-5/-5)))*(83.92-(83.92/(-5*83.92))))-(-5/-5)))))</f>
        <v>2941210.48864</v>
      </c>
      <c r="C18393" t="n" s="0">
        <v>2941210.48864</v>
      </c>
    </row>
    <row r="18394">
      <c r="A18394" t="n" s="0">
        <v>83.93</v>
      </c>
      <c r="B18394" t="n" s="0">
        <f>(-5-((((-5*(-5/((-5/(((-5*(83.93--5))-(-5+((-5*83.93)*(((-5--5)+(83.93--5))+83.93))))-(-5+-5)))*-5)))/-5)--5)+(-5*(((83.93*(83.93-(-5/-5)))*(83.93-(83.93/(-5*83.93))))-(-5/-5)))))</f>
        <v>2942263.672485</v>
      </c>
      <c r="C18394" t="n" s="0">
        <v>2942263.672485001</v>
      </c>
    </row>
    <row r="18395">
      <c r="A18395" t="n" s="0">
        <v>83.94</v>
      </c>
      <c r="B18395" t="n" s="0">
        <f>(-5-((((-5*(-5/((-5/(((-5*(83.94--5))-(-5+((-5*83.94)*(((-5--5)+(83.94--5))+83.94))))-(-5+-5)))*-5)))/-5)--5)+(-5*(((83.94*(83.94-(-5/-5)))*(83.94-(83.94/(-5*83.94))))-(-5/-5)))))</f>
        <v>2943317.1077199997</v>
      </c>
      <c r="C18395" t="n" s="0">
        <v>2943317.1077199993</v>
      </c>
    </row>
    <row r="18396">
      <c r="A18396" t="n" s="0">
        <v>83.95</v>
      </c>
      <c r="B18396" t="n" s="0">
        <f>(-5-((((-5*(-5/((-5/(((-5*(83.95--5))-(-5+((-5*83.95)*(((-5--5)+(83.95--5))+83.95))))-(-5+-5)))*-5)))/-5)--5)+(-5*(((83.95*(83.95-(-5/-5)))*(83.95-(83.95/(-5*83.95))))-(-5/-5)))))</f>
        <v>2944370.794375</v>
      </c>
      <c r="C18396" t="n" s="0">
        <v>2944370.7943750005</v>
      </c>
    </row>
    <row r="18397">
      <c r="A18397" t="n" s="0">
        <v>83.96</v>
      </c>
      <c r="B18397" t="n" s="0">
        <f>(-5-((((-5*(-5/((-5/(((-5*(83.96--5))-(-5+((-5*83.96)*(((-5--5)+(83.96--5))+83.96))))-(-5+-5)))*-5)))/-5)--5)+(-5*(((83.96*(83.96-(-5/-5)))*(83.96-(83.96/(-5*83.96))))-(-5/-5)))))</f>
        <v>2945424.7324800002</v>
      </c>
      <c r="C18397" t="n" s="0">
        <v>2945424.732479999</v>
      </c>
    </row>
    <row r="18398">
      <c r="A18398" t="n" s="0">
        <v>83.97</v>
      </c>
      <c r="B18398" t="n" s="0">
        <f>(-5-((((-5*(-5/((-5/(((-5*(83.97--5))-(-5+((-5*83.97)*(((-5--5)+(83.97--5))+83.97))))-(-5+-5)))*-5)))/-5)--5)+(-5*(((83.97*(83.97-(-5/-5)))*(83.97-(83.97/(-5*83.97))))-(-5/-5)))))</f>
        <v>2946478.922065</v>
      </c>
      <c r="C18398" t="n" s="0">
        <v>2946478.9220649996</v>
      </c>
    </row>
    <row r="18399">
      <c r="A18399" t="n" s="0">
        <v>83.98</v>
      </c>
      <c r="B18399" t="n" s="0">
        <f>(-5-((((-5*(-5/((-5/(((-5*(83.98--5))-(-5+((-5*83.98)*(((-5--5)+(83.98--5))+83.98))))-(-5+-5)))*-5)))/-5)--5)+(-5*(((83.98*(83.98-(-5/-5)))*(83.98-(83.98/(-5*83.98))))-(-5/-5)))))</f>
        <v>2947533.36316</v>
      </c>
      <c r="C18399" t="n" s="0">
        <v>2947533.3631600006</v>
      </c>
    </row>
    <row r="18400">
      <c r="A18400" t="n" s="0">
        <v>83.99</v>
      </c>
      <c r="B18400" t="n" s="0">
        <f>(-5-((((-5*(-5/((-5/(((-5*(83.99--5))-(-5+((-5*83.99)*(((-5--5)+(83.99--5))+83.99))))-(-5+-5)))*-5)))/-5)--5)+(-5*(((83.99*(83.99-(-5/-5)))*(83.99-(83.99/(-5*83.99))))-(-5/-5)))))</f>
        <v>2948588.0557950004</v>
      </c>
      <c r="C18400" t="n" s="0">
        <v>2948588.055795</v>
      </c>
    </row>
    <row r="18401">
      <c r="A18401" t="n" s="0">
        <v>84.0</v>
      </c>
      <c r="B18401" t="n" s="0">
        <f>(-5-((((-5*(-5/((-5/(((-5*(84--5))-(-5+((-5*84)*(((-5--5)+(84--5))+84))))-(-5+-5)))*-5)))/-5)--5)+(-5*(((84*(84-(-5/-5)))*(84-(84/(-5*84))))-(-5/-5)))))</f>
        <v>2949643.0</v>
      </c>
      <c r="C18401" t="n" s="0">
        <v>2949643.0</v>
      </c>
    </row>
    <row r="18402">
      <c r="A18402" t="n" s="0">
        <v>84.01</v>
      </c>
      <c r="B18402" t="n" s="0">
        <f>(-5-((((-5*(-5/((-5/(((-5*(84.01--5))-(-5+((-5*84.01)*(((-5--5)+(84.01--5))+84.01))))-(-5+-5)))*-5)))/-5)--5)+(-5*(((84.01*(84.01-(-5/-5)))*(84.01-(84.01/(-5*84.01))))-(-5/-5)))))</f>
        <v>2950698.195805</v>
      </c>
      <c r="C18402" t="n" s="0">
        <v>2950698.195805</v>
      </c>
    </row>
    <row r="18403">
      <c r="A18403" t="n" s="0">
        <v>84.02</v>
      </c>
      <c r="B18403" t="n" s="0">
        <f>(-5-((((-5*(-5/((-5/(((-5*(84.02--5))-(-5+((-5*84.02)*(((-5--5)+(84.02--5))+84.02))))-(-5+-5)))*-5)))/-5)--5)+(-5*(((84.02*(84.02-(-5/-5)))*(84.02-(84.02/(-5*84.02))))-(-5/-5)))))</f>
        <v>2951753.6432399997</v>
      </c>
      <c r="C18403" t="n" s="0">
        <v>2951753.64324</v>
      </c>
    </row>
    <row r="18404">
      <c r="A18404" t="n" s="0">
        <v>84.03</v>
      </c>
      <c r="B18404" t="n" s="0">
        <f>(-5-((((-5*(-5/((-5/(((-5*(84.03--5))-(-5+((-5*84.03)*(((-5--5)+(84.03--5))+84.03))))-(-5+-5)))*-5)))/-5)--5)+(-5*(((84.03*(84.03-(-5/-5)))*(84.03-(84.03/(-5*84.03))))-(-5/-5)))))</f>
        <v>2952809.3423349997</v>
      </c>
      <c r="C18404" t="n" s="0">
        <v>2952809.3423350006</v>
      </c>
    </row>
    <row r="18405">
      <c r="A18405" t="n" s="0">
        <v>84.04</v>
      </c>
      <c r="B18405" t="n" s="0">
        <f>(-5-((((-5*(-5/((-5/(((-5*(84.04--5))-(-5+((-5*84.04)*(((-5--5)+(84.04--5))+84.04))))-(-5+-5)))*-5)))/-5)--5)+(-5*(((84.04*(84.04-(-5/-5)))*(84.04-(84.04/(-5*84.04))))-(-5/-5)))))</f>
        <v>2953865.2931199996</v>
      </c>
      <c r="C18405" t="n" s="0">
        <v>2953865.293120001</v>
      </c>
    </row>
    <row r="18406">
      <c r="A18406" t="n" s="0">
        <v>84.05</v>
      </c>
      <c r="B18406" t="n" s="0">
        <f>(-5-((((-5*(-5/((-5/(((-5*(84.05--5))-(-5+((-5*84.05)*(((-5--5)+(84.05--5))+84.05))))-(-5+-5)))*-5)))/-5)--5)+(-5*(((84.05*(84.05-(-5/-5)))*(84.05-(84.05/(-5*84.05))))-(-5/-5)))))</f>
        <v>2954921.495625</v>
      </c>
      <c r="C18406" t="n" s="0">
        <v>2954921.4956249995</v>
      </c>
    </row>
    <row r="18407">
      <c r="A18407" t="n" s="0">
        <v>84.06</v>
      </c>
      <c r="B18407" t="n" s="0">
        <f>(-5-((((-5*(-5/((-5/(((-5*(84.06--5))-(-5+((-5*84.06)*(((-5--5)+(84.06--5))+84.06))))-(-5+-5)))*-5)))/-5)--5)+(-5*(((84.06*(84.06-(-5/-5)))*(84.06-(84.06/(-5*84.06))))-(-5/-5)))))</f>
        <v>2955977.9498799997</v>
      </c>
      <c r="C18407" t="n" s="0">
        <v>2955977.9498800007</v>
      </c>
    </row>
    <row r="18408">
      <c r="A18408" t="n" s="0">
        <v>84.07</v>
      </c>
      <c r="B18408" t="n" s="0">
        <f>(-5-((((-5*(-5/((-5/(((-5*(84.07--5))-(-5+((-5*84.07)*(((-5--5)+(84.07--5))+84.07))))-(-5+-5)))*-5)))/-5)--5)+(-5*(((84.07*(84.07-(-5/-5)))*(84.07-(84.07/(-5*84.07))))-(-5/-5)))))</f>
        <v>2957034.655915</v>
      </c>
      <c r="C18408" t="n" s="0">
        <v>2957034.655914999</v>
      </c>
    </row>
    <row r="18409">
      <c r="A18409" t="n" s="0">
        <v>84.08</v>
      </c>
      <c r="B18409" t="n" s="0">
        <f>(-5-((((-5*(-5/((-5/(((-5*(84.08--5))-(-5+((-5*84.08)*(((-5--5)+(84.08--5))+84.08))))-(-5+-5)))*-5)))/-5)--5)+(-5*(((84.08*(84.08-(-5/-5)))*(84.08-(84.08/(-5*84.08))))-(-5/-5)))))</f>
        <v>2958091.61376</v>
      </c>
      <c r="C18409" t="n" s="0">
        <v>2958091.61376</v>
      </c>
    </row>
    <row r="18410">
      <c r="A18410" t="n" s="0">
        <v>84.09</v>
      </c>
      <c r="B18410" t="n" s="0">
        <f>(-5-((((-5*(-5/((-5/(((-5*(84.09--5))-(-5+((-5*84.09)*(((-5--5)+(84.09--5))+84.09))))-(-5+-5)))*-5)))/-5)--5)+(-5*(((84.09*(84.09-(-5/-5)))*(84.09-(84.09/(-5*84.09))))-(-5/-5)))))</f>
        <v>2959148.823445</v>
      </c>
      <c r="C18410" t="n" s="0">
        <v>2959148.823445</v>
      </c>
    </row>
    <row r="18411">
      <c r="A18411" t="n" s="0">
        <v>84.1</v>
      </c>
      <c r="B18411" t="n" s="0">
        <f>(-5-((((-5*(-5/((-5/(((-5*(84.1--5))-(-5+((-5*84.1)*(((-5--5)+(84.1--5))+84.1))))-(-5+-5)))*-5)))/-5)--5)+(-5*(((84.1*(84.1-(-5/-5)))*(84.1-(84.1/(-5*84.1))))-(-5/-5)))))</f>
        <v>2960206.285</v>
      </c>
      <c r="C18411" t="n" s="0">
        <v>2960206.284999999</v>
      </c>
    </row>
    <row r="18412">
      <c r="A18412" t="n" s="0">
        <v>84.11</v>
      </c>
      <c r="B18412" t="n" s="0">
        <f>(-5-((((-5*(-5/((-5/(((-5*(84.11--5))-(-5+((-5*84.11)*(((-5--5)+(84.11--5))+84.11))))-(-5+-5)))*-5)))/-5)--5)+(-5*(((84.11*(84.11-(-5/-5)))*(84.11-(84.11/(-5*84.11))))-(-5/-5)))))</f>
        <v>2961263.9984549996</v>
      </c>
      <c r="C18412" t="n" s="0">
        <v>2961263.998455</v>
      </c>
    </row>
    <row r="18413">
      <c r="A18413" t="n" s="0">
        <v>84.12</v>
      </c>
      <c r="B18413" t="n" s="0">
        <f>(-5-((((-5*(-5/((-5/(((-5*(84.12--5))-(-5+((-5*84.12)*(((-5--5)+(84.12--5))+84.12))))-(-5+-5)))*-5)))/-5)--5)+(-5*(((84.12*(84.12-(-5/-5)))*(84.12-(84.12/(-5*84.12))))-(-5/-5)))))</f>
        <v>2962321.96384</v>
      </c>
      <c r="C18413" t="n" s="0">
        <v>2962321.963840001</v>
      </c>
    </row>
    <row r="18414">
      <c r="A18414" t="n" s="0">
        <v>84.13</v>
      </c>
      <c r="B18414" t="n" s="0">
        <f>(-5-((((-5*(-5/((-5/(((-5*(84.13--5))-(-5+((-5*84.13)*(((-5--5)+(84.13--5))+84.13))))-(-5+-5)))*-5)))/-5)--5)+(-5*(((84.13*(84.13-(-5/-5)))*(84.13-(84.13/(-5*84.13))))-(-5/-5)))))</f>
        <v>2963380.181185</v>
      </c>
      <c r="C18414" t="n" s="0">
        <v>2963380.1811849996</v>
      </c>
    </row>
    <row r="18415">
      <c r="A18415" t="n" s="0">
        <v>84.14</v>
      </c>
      <c r="B18415" t="n" s="0">
        <f>(-5-((((-5*(-5/((-5/(((-5*(84.14--5))-(-5+((-5*84.14)*(((-5--5)+(84.14--5))+84.14))))-(-5+-5)))*-5)))/-5)--5)+(-5*(((84.14*(84.14-(-5/-5)))*(84.14-(84.14/(-5*84.14))))-(-5/-5)))))</f>
        <v>2964438.65052</v>
      </c>
      <c r="C18415" t="n" s="0">
        <v>2964438.6505199997</v>
      </c>
    </row>
    <row r="18416">
      <c r="A18416" t="n" s="0">
        <v>84.15</v>
      </c>
      <c r="B18416" t="n" s="0">
        <f>(-5-((((-5*(-5/((-5/(((-5*(84.15--5))-(-5+((-5*84.15)*(((-5--5)+(84.15--5))+84.15))))-(-5+-5)))*-5)))/-5)--5)+(-5*(((84.15*(84.15-(-5/-5)))*(84.15-(84.15/(-5*84.15))))-(-5/-5)))))</f>
        <v>2965497.3718749997</v>
      </c>
      <c r="C18416" t="n" s="0">
        <v>2965497.3718750007</v>
      </c>
    </row>
    <row r="18417">
      <c r="A18417" t="n" s="0">
        <v>84.16</v>
      </c>
      <c r="B18417" t="n" s="0">
        <f>(-5-((((-5*(-5/((-5/(((-5*(84.16--5))-(-5+((-5*84.16)*(((-5--5)+(84.16--5))+84.16))))-(-5+-5)))*-5)))/-5)--5)+(-5*(((84.16*(84.16-(-5/-5)))*(84.16-(84.16/(-5*84.16))))-(-5/-5)))))</f>
        <v>2966556.34528</v>
      </c>
      <c r="C18417" t="n" s="0">
        <v>2966556.3452799995</v>
      </c>
    </row>
    <row r="18418">
      <c r="A18418" t="n" s="0">
        <v>84.17</v>
      </c>
      <c r="B18418" t="n" s="0">
        <f>(-5-((((-5*(-5/((-5/(((-5*(84.17--5))-(-5+((-5*84.17)*(((-5--5)+(84.17--5))+84.17))))-(-5+-5)))*-5)))/-5)--5)+(-5*(((84.17*(84.17-(-5/-5)))*(84.17-(84.17/(-5*84.17))))-(-5/-5)))))</f>
        <v>2967615.570765</v>
      </c>
      <c r="C18418" t="n" s="0">
        <v>2967615.570765</v>
      </c>
    </row>
    <row r="18419">
      <c r="A18419" t="n" s="0">
        <v>84.18</v>
      </c>
      <c r="B18419" t="n" s="0">
        <f>(-5-((((-5*(-5/((-5/(((-5*(84.18--5))-(-5+((-5*84.18)*(((-5--5)+(84.18--5))+84.18))))-(-5+-5)))*-5)))/-5)--5)+(-5*(((84.18*(84.18-(-5/-5)))*(84.18-(84.18/(-5*84.18))))-(-5/-5)))))</f>
        <v>2968675.04836</v>
      </c>
      <c r="C18419" t="n" s="0">
        <v>2968675.0483600013</v>
      </c>
    </row>
    <row r="18420">
      <c r="A18420" t="n" s="0">
        <v>84.19</v>
      </c>
      <c r="B18420" t="n" s="0">
        <f>(-5-((((-5*(-5/((-5/(((-5*(84.19--5))-(-5+((-5*84.19)*(((-5--5)+(84.19--5))+84.19))))-(-5+-5)))*-5)))/-5)--5)+(-5*(((84.19*(84.19-(-5/-5)))*(84.19-(84.19/(-5*84.19))))-(-5/-5)))))</f>
        <v>2969734.778095</v>
      </c>
      <c r="C18420" t="n" s="0">
        <v>2969734.7780949995</v>
      </c>
    </row>
    <row r="18421">
      <c r="A18421" t="n" s="0">
        <v>84.2</v>
      </c>
      <c r="B18421" t="n" s="0">
        <f>(-5-((((-5*(-5/((-5/(((-5*(84.2--5))-(-5+((-5*84.2)*(((-5--5)+(84.2--5))+84.2))))-(-5+-5)))*-5)))/-5)--5)+(-5*(((84.2*(84.2-(-5/-5)))*(84.2-(84.2/(-5*84.2))))-(-5/-5)))))</f>
        <v>2970794.7600000002</v>
      </c>
      <c r="C18421" t="n" s="0">
        <v>2970794.7600000007</v>
      </c>
    </row>
    <row r="18422">
      <c r="A18422" t="n" s="0">
        <v>84.21</v>
      </c>
      <c r="B18422" t="n" s="0">
        <f>(-5-((((-5*(-5/((-5/(((-5*(84.21--5))-(-5+((-5*84.21)*(((-5--5)+(84.21--5))+84.21))))-(-5+-5)))*-5)))/-5)--5)+(-5*(((84.21*(84.21-(-5/-5)))*(84.21-(84.21/(-5*84.21))))-(-5/-5)))))</f>
        <v>2971854.994105</v>
      </c>
      <c r="C18422" t="n" s="0">
        <v>2971854.994104999</v>
      </c>
    </row>
    <row r="18423">
      <c r="A18423" t="n" s="0">
        <v>84.22</v>
      </c>
      <c r="B18423" t="n" s="0">
        <f>(-5-((((-5*(-5/((-5/(((-5*(84.22--5))-(-5+((-5*84.22)*(((-5--5)+(84.22--5))+84.22))))-(-5+-5)))*-5)))/-5)--5)+(-5*(((84.22*(84.22-(-5/-5)))*(84.22-(84.22/(-5*84.22))))-(-5/-5)))))</f>
        <v>2972915.48044</v>
      </c>
      <c r="C18423" t="n" s="0">
        <v>2972915.48044</v>
      </c>
    </row>
    <row r="18424">
      <c r="A18424" t="n" s="0">
        <v>84.23</v>
      </c>
      <c r="B18424" t="n" s="0">
        <f>(-5-((((-5*(-5/((-5/(((-5*(84.23--5))-(-5+((-5*84.23)*(((-5--5)+(84.23--5))+84.23))))-(-5+-5)))*-5)))/-5)--5)+(-5*(((84.23*(84.23-(-5/-5)))*(84.23-(84.23/(-5*84.23))))-(-5/-5)))))</f>
        <v>2973976.219035</v>
      </c>
      <c r="C18424" t="n" s="0">
        <v>2973976.2190350005</v>
      </c>
    </row>
    <row r="18425">
      <c r="A18425" t="n" s="0">
        <v>84.24</v>
      </c>
      <c r="B18425" t="n" s="0">
        <f>(-5-((((-5*(-5/((-5/(((-5*(84.24--5))-(-5+((-5*84.24)*(((-5--5)+(84.24--5))+84.24))))-(-5+-5)))*-5)))/-5)--5)+(-5*(((84.24*(84.24-(-5/-5)))*(84.24-(84.24/(-5*84.24))))-(-5/-5)))))</f>
        <v>2975037.20992</v>
      </c>
      <c r="C18425" t="n" s="0">
        <v>2975037.2099199994</v>
      </c>
    </row>
    <row r="18426">
      <c r="A18426" t="n" s="0">
        <v>84.25</v>
      </c>
      <c r="B18426" t="n" s="0">
        <f>(-5-((((-5*(-5/((-5/(((-5*(84.25--5))-(-5+((-5*84.25)*(((-5--5)+(84.25--5))+84.25))))-(-5+-5)))*-5)))/-5)--5)+(-5*(((84.25*(84.25-(-5/-5)))*(84.25-(84.25/(-5*84.25))))-(-5/-5)))))</f>
        <v>2976098.453125</v>
      </c>
      <c r="C18426" t="n" s="0">
        <v>2976098.453125</v>
      </c>
    </row>
    <row r="18427">
      <c r="A18427" t="n" s="0">
        <v>84.26</v>
      </c>
      <c r="B18427" t="n" s="0">
        <f>(-5-((((-5*(-5/((-5/(((-5*(84.26--5))-(-5+((-5*84.26)*(((-5--5)+(84.26--5))+84.26))))-(-5+-5)))*-5)))/-5)--5)+(-5*(((84.26*(84.26-(-5/-5)))*(84.26-(84.26/(-5*84.26))))-(-5/-5)))))</f>
        <v>2977159.94868</v>
      </c>
      <c r="C18427" t="n" s="0">
        <v>2977159.948680001</v>
      </c>
    </row>
    <row r="18428">
      <c r="A18428" t="n" s="0">
        <v>84.27</v>
      </c>
      <c r="B18428" t="n" s="0">
        <f>(-5-((((-5*(-5/((-5/(((-5*(84.27--5))-(-5+((-5*84.27)*(((-5--5)+(84.27--5))+84.27))))-(-5+-5)))*-5)))/-5)--5)+(-5*(((84.27*(84.27-(-5/-5)))*(84.27-(84.27/(-5*84.27))))-(-5/-5)))))</f>
        <v>2978221.696615</v>
      </c>
      <c r="C18428" t="n" s="0">
        <v>2978221.696615</v>
      </c>
    </row>
    <row r="18429">
      <c r="A18429" t="n" s="0">
        <v>84.28</v>
      </c>
      <c r="B18429" t="n" s="0">
        <f>(-5-((((-5*(-5/((-5/(((-5*(84.28--5))-(-5+((-5*84.28)*(((-5--5)+(84.28--5))+84.28))))-(-5+-5)))*-5)))/-5)--5)+(-5*(((84.28*(84.28-(-5/-5)))*(84.28-(84.28/(-5*84.28))))-(-5/-5)))))</f>
        <v>2979283.6969600003</v>
      </c>
      <c r="C18429" t="n" s="0">
        <v>2979283.69696</v>
      </c>
    </row>
    <row r="18430">
      <c r="A18430" t="n" s="0">
        <v>84.29</v>
      </c>
      <c r="B18430" t="n" s="0">
        <f>(-5-((((-5*(-5/((-5/(((-5*(84.29--5))-(-5+((-5*84.29)*(((-5--5)+(84.29--5))+84.29))))-(-5+-5)))*-5)))/-5)--5)+(-5*(((84.29*(84.29-(-5/-5)))*(84.29-(84.29/(-5*84.29))))-(-5/-5)))))</f>
        <v>2980345.949745</v>
      </c>
      <c r="C18430" t="n" s="0">
        <v>2980345.9497450003</v>
      </c>
    </row>
    <row r="18431">
      <c r="A18431" t="n" s="0">
        <v>84.3</v>
      </c>
      <c r="B18431" t="n" s="0">
        <f>(-5-((((-5*(-5/((-5/(((-5*(84.3--5))-(-5+((-5*84.3)*(((-5--5)+(84.3--5))+84.3))))-(-5+-5)))*-5)))/-5)--5)+(-5*(((84.3*(84.3-(-5/-5)))*(84.3-(84.3/(-5*84.3))))-(-5/-5)))))</f>
        <v>2981408.455</v>
      </c>
      <c r="C18431" t="n" s="0">
        <v>2981408.4549999996</v>
      </c>
    </row>
    <row r="18432">
      <c r="A18432" t="n" s="0">
        <v>84.31</v>
      </c>
      <c r="B18432" t="n" s="0">
        <f>(-5-((((-5*(-5/((-5/(((-5*(84.31--5))-(-5+((-5*84.31)*(((-5--5)+(84.31--5))+84.31))))-(-5+-5)))*-5)))/-5)--5)+(-5*(((84.31*(84.31-(-5/-5)))*(84.31-(84.31/(-5*84.31))))-(-5/-5)))))</f>
        <v>2982471.2127549998</v>
      </c>
      <c r="C18432" t="n" s="0">
        <v>2982471.2127550007</v>
      </c>
    </row>
    <row r="18433">
      <c r="A18433" t="n" s="0">
        <v>84.32</v>
      </c>
      <c r="B18433" t="n" s="0">
        <f>(-5-((((-5*(-5/((-5/(((-5*(84.32--5))-(-5+((-5*84.32)*(((-5--5)+(84.32--5))+84.32))))-(-5+-5)))*-5)))/-5)--5)+(-5*(((84.32*(84.32-(-5/-5)))*(84.32-(84.32/(-5*84.32))))-(-5/-5)))))</f>
        <v>2983534.22304</v>
      </c>
      <c r="C18433" t="n" s="0">
        <v>2983534.223039999</v>
      </c>
    </row>
    <row r="18434">
      <c r="A18434" t="n" s="0">
        <v>84.33</v>
      </c>
      <c r="B18434" t="n" s="0">
        <f>(-5-((((-5*(-5/((-5/(((-5*(84.33--5))-(-5+((-5*84.33)*(((-5--5)+(84.33--5))+84.33))))-(-5+-5)))*-5)))/-5)--5)+(-5*(((84.33*(84.33-(-5/-5)))*(84.33-(84.33/(-5*84.33))))-(-5/-5)))))</f>
        <v>2984597.485885</v>
      </c>
      <c r="C18434" t="n" s="0">
        <v>2984597.485885</v>
      </c>
    </row>
    <row r="18435">
      <c r="A18435" t="n" s="0">
        <v>84.34</v>
      </c>
      <c r="B18435" t="n" s="0">
        <f>(-5-((((-5*(-5/((-5/(((-5*(84.34--5))-(-5+((-5*84.34)*(((-5--5)+(84.34--5))+84.34))))-(-5+-5)))*-5)))/-5)--5)+(-5*(((84.34*(84.34-(-5/-5)))*(84.34-(84.34/(-5*84.34))))-(-5/-5)))))</f>
        <v>2985661.00132</v>
      </c>
      <c r="C18435" t="n" s="0">
        <v>2985661.0013200003</v>
      </c>
    </row>
    <row r="18436">
      <c r="A18436" t="n" s="0">
        <v>84.35</v>
      </c>
      <c r="B18436" t="n" s="0">
        <f>(-5-((((-5*(-5/((-5/(((-5*(84.35--5))-(-5+((-5*84.35)*(((-5--5)+(84.35--5))+84.35))))-(-5+-5)))*-5)))/-5)--5)+(-5*(((84.35*(84.35-(-5/-5)))*(84.35-(84.35/(-5*84.35))))-(-5/-5)))))</f>
        <v>2986724.769375</v>
      </c>
      <c r="C18436" t="n" s="0">
        <v>2986724.7693749988</v>
      </c>
    </row>
    <row r="18437">
      <c r="A18437" t="n" s="0">
        <v>84.36</v>
      </c>
      <c r="B18437" t="n" s="0">
        <f>(-5-((((-5*(-5/((-5/(((-5*(84.36--5))-(-5+((-5*84.36)*(((-5--5)+(84.36--5))+84.36))))-(-5+-5)))*-5)))/-5)--5)+(-5*(((84.36*(84.36-(-5/-5)))*(84.36-(84.36/(-5*84.36))))-(-5/-5)))))</f>
        <v>2987788.79008</v>
      </c>
      <c r="C18437" t="n" s="0">
        <v>2987788.7900799997</v>
      </c>
    </row>
    <row r="18438">
      <c r="A18438" t="n" s="0">
        <v>84.37</v>
      </c>
      <c r="B18438" t="n" s="0">
        <f>(-5-((((-5*(-5/((-5/(((-5*(84.37--5))-(-5+((-5*84.37)*(((-5--5)+(84.37--5))+84.37))))-(-5+-5)))*-5)))/-5)--5)+(-5*(((84.37*(84.37-(-5/-5)))*(84.37-(84.37/(-5*84.37))))-(-5/-5)))))</f>
        <v>2988853.0634649997</v>
      </c>
      <c r="C18438" t="n" s="0">
        <v>2988853.0634650006</v>
      </c>
    </row>
    <row r="18439">
      <c r="A18439" t="n" s="0">
        <v>84.38</v>
      </c>
      <c r="B18439" t="n" s="0">
        <f>(-5-((((-5*(-5/((-5/(((-5*(84.38--5))-(-5+((-5*84.38)*(((-5--5)+(84.38--5))+84.38))))-(-5+-5)))*-5)))/-5)--5)+(-5*(((84.38*(84.38-(-5/-5)))*(84.38-(84.38/(-5*84.38))))-(-5/-5)))))</f>
        <v>2989917.5895599998</v>
      </c>
      <c r="C18439" t="n" s="0">
        <v>2989917.5895599998</v>
      </c>
    </row>
    <row r="18440">
      <c r="A18440" t="n" s="0">
        <v>84.39</v>
      </c>
      <c r="B18440" t="n" s="0">
        <f>(-5-((((-5*(-5/((-5/(((-5*(84.39--5))-(-5+((-5*84.39)*(((-5--5)+(84.39--5))+84.39))))-(-5+-5)))*-5)))/-5)--5)+(-5*(((84.39*(84.39-(-5/-5)))*(84.39-(84.39/(-5*84.39))))-(-5/-5)))))</f>
        <v>2990982.368395</v>
      </c>
      <c r="C18440" t="n" s="0">
        <v>2990982.3683949998</v>
      </c>
    </row>
    <row r="18441">
      <c r="A18441" t="n" s="0">
        <v>84.4</v>
      </c>
      <c r="B18441" t="n" s="0">
        <f>(-5-((((-5*(-5/((-5/(((-5*(84.4--5))-(-5+((-5*84.4)*(((-5--5)+(84.4--5))+84.4))))-(-5+-5)))*-5)))/-5)--5)+(-5*(((84.4*(84.4-(-5/-5)))*(84.4-(84.4/(-5*84.4))))-(-5/-5)))))</f>
        <v>2992047.4</v>
      </c>
      <c r="C18441" t="n" s="0">
        <v>2992047.400000001</v>
      </c>
    </row>
    <row r="18442">
      <c r="A18442" t="n" s="0">
        <v>84.41</v>
      </c>
      <c r="B18442" t="n" s="0">
        <f>(-5-((((-5*(-5/((-5/(((-5*(84.41--5))-(-5+((-5*84.41)*(((-5--5)+(84.41--5))+84.41))))-(-5+-5)))*-5)))/-5)--5)+(-5*(((84.41*(84.41-(-5/-5)))*(84.41-(84.41/(-5*84.41))))-(-5/-5)))))</f>
        <v>2993112.684405</v>
      </c>
      <c r="C18442" t="n" s="0">
        <v>2993112.6844049995</v>
      </c>
    </row>
    <row r="18443">
      <c r="A18443" t="n" s="0">
        <v>84.42</v>
      </c>
      <c r="B18443" t="n" s="0">
        <f>(-5-((((-5*(-5/((-5/(((-5*(84.42--5))-(-5+((-5*84.42)*(((-5--5)+(84.42--5))+84.42))))-(-5+-5)))*-5)))/-5)--5)+(-5*(((84.42*(84.42-(-5/-5)))*(84.42-(84.42/(-5*84.42))))-(-5/-5)))))</f>
        <v>2994178.2216399997</v>
      </c>
      <c r="C18443" t="n" s="0">
        <v>2994178.2216399997</v>
      </c>
    </row>
    <row r="18444">
      <c r="A18444" t="n" s="0">
        <v>84.43</v>
      </c>
      <c r="B18444" t="n" s="0">
        <f>(-5-((((-5*(-5/((-5/(((-5*(84.43--5))-(-5+((-5*84.43)*(((-5--5)+(84.43--5))+84.43))))-(-5+-5)))*-5)))/-5)--5)+(-5*(((84.43*(84.43-(-5/-5)))*(84.43-(84.43/(-5*84.43))))-(-5/-5)))))</f>
        <v>2995244.011735</v>
      </c>
      <c r="C18444" t="n" s="0">
        <v>2995244.0117350006</v>
      </c>
    </row>
    <row r="18445">
      <c r="A18445" t="n" s="0">
        <v>84.44</v>
      </c>
      <c r="B18445" t="n" s="0">
        <f>(-5-((((-5*(-5/((-5/(((-5*(84.44--5))-(-5+((-5*84.44)*(((-5--5)+(84.44--5))+84.44))))-(-5+-5)))*-5)))/-5)--5)+(-5*(((84.44*(84.44-(-5/-5)))*(84.44-(84.44/(-5*84.44))))-(-5/-5)))))</f>
        <v>2996310.05472</v>
      </c>
      <c r="C18445" t="n" s="0">
        <v>2996310.0547199994</v>
      </c>
    </row>
    <row r="18446">
      <c r="A18446" t="n" s="0">
        <v>84.45</v>
      </c>
      <c r="B18446" t="n" s="0">
        <f>(-5-((((-5*(-5/((-5/(((-5*(84.45--5))-(-5+((-5*84.45)*(((-5--5)+(84.45--5))+84.45))))-(-5+-5)))*-5)))/-5)--5)+(-5*(((84.45*(84.45-(-5/-5)))*(84.45-(84.45/(-5*84.45))))-(-5/-5)))))</f>
        <v>2997376.350625</v>
      </c>
      <c r="C18446" t="n" s="0">
        <v>2997376.3506250004</v>
      </c>
    </row>
    <row r="18447">
      <c r="A18447" t="n" s="0">
        <v>84.46</v>
      </c>
      <c r="B18447" t="n" s="0">
        <f>(-5-((((-5*(-5/((-5/(((-5*(84.46--5))-(-5+((-5*84.46)*(((-5--5)+(84.46--5))+84.46))))-(-5+-5)))*-5)))/-5)--5)+(-5*(((84.46*(84.46-(-5/-5)))*(84.46-(84.46/(-5*84.46))))-(-5/-5)))))</f>
        <v>2998442.89948</v>
      </c>
      <c r="C18447" t="n" s="0">
        <v>2998442.8994799987</v>
      </c>
    </row>
    <row r="18448">
      <c r="A18448" t="n" s="0">
        <v>84.47</v>
      </c>
      <c r="B18448" t="n" s="0">
        <f>(-5-((((-5*(-5/((-5/(((-5*(84.47--5))-(-5+((-5*84.47)*(((-5--5)+(84.47--5))+84.47))))-(-5+-5)))*-5)))/-5)--5)+(-5*(((84.47*(84.47-(-5/-5)))*(84.47-(84.47/(-5*84.47))))-(-5/-5)))))</f>
        <v>2999509.701315</v>
      </c>
      <c r="C18448" t="n" s="0">
        <v>2999509.7013149997</v>
      </c>
    </row>
    <row r="18449">
      <c r="A18449" t="n" s="0">
        <v>84.48</v>
      </c>
      <c r="B18449" t="n" s="0">
        <f>(-5-((((-5*(-5/((-5/(((-5*(84.48--5))-(-5+((-5*84.48)*(((-5--5)+(84.48--5))+84.48))))-(-5+-5)))*-5)))/-5)--5)+(-5*(((84.48*(84.48-(-5/-5)))*(84.48-(84.48/(-5*84.48))))-(-5/-5)))))</f>
        <v>3000576.7561600003</v>
      </c>
      <c r="C18449" t="n" s="0">
        <v>3000576.7561600003</v>
      </c>
    </row>
    <row r="18450">
      <c r="A18450" t="n" s="0">
        <v>84.49</v>
      </c>
      <c r="B18450" t="n" s="0">
        <f>(-5-((((-5*(-5/((-5/(((-5*(84.49--5))-(-5+((-5*84.49)*(((-5--5)+(84.49--5))+84.49))))-(-5+-5)))*-5)))/-5)--5)+(-5*(((84.49*(84.49-(-5/-5)))*(84.49-(84.49/(-5*84.49))))-(-5/-5)))))</f>
        <v>3001644.0640450004</v>
      </c>
      <c r="C18450" t="n" s="0">
        <v>3001644.064045</v>
      </c>
    </row>
    <row r="18451">
      <c r="A18451" t="n" s="0">
        <v>84.5</v>
      </c>
      <c r="B18451" t="n" s="0">
        <f>(-5-((((-5*(-5/((-5/(((-5*(84.5--5))-(-5+((-5*84.5)*(((-5--5)+(84.5--5))+84.5))))-(-5+-5)))*-5)))/-5)--5)+(-5*(((84.5*(84.5-(-5/-5)))*(84.5-(84.5/(-5*84.5))))-(-5/-5)))))</f>
        <v>3002711.625</v>
      </c>
      <c r="C18451" t="n" s="0">
        <v>3002711.625</v>
      </c>
    </row>
    <row r="18452">
      <c r="A18452" t="n" s="0">
        <v>84.51</v>
      </c>
      <c r="B18452" t="n" s="0">
        <f>(-5-((((-5*(-5/((-5/(((-5*(84.51--5))-(-5+((-5*84.51)*(((-5--5)+(84.51--5))+84.51))))-(-5+-5)))*-5)))/-5)--5)+(-5*(((84.51*(84.51-(-5/-5)))*(84.51-(84.51/(-5*84.51))))-(-5/-5)))))</f>
        <v>3003779.439055</v>
      </c>
      <c r="C18452" t="n" s="0">
        <v>3003779.4390550004</v>
      </c>
    </row>
    <row r="18453">
      <c r="A18453" t="n" s="0">
        <v>84.52</v>
      </c>
      <c r="B18453" t="n" s="0">
        <f>(-5-((((-5*(-5/((-5/(((-5*(84.52--5))-(-5+((-5*84.52)*(((-5--5)+(84.52--5))+84.52))))-(-5+-5)))*-5)))/-5)--5)+(-5*(((84.52*(84.52-(-5/-5)))*(84.52-(84.52/(-5*84.52))))-(-5/-5)))))</f>
        <v>3004847.50624</v>
      </c>
      <c r="C18453" t="n" s="0">
        <v>3004847.50624</v>
      </c>
    </row>
    <row r="18454">
      <c r="A18454" t="n" s="0">
        <v>84.53</v>
      </c>
      <c r="B18454" t="n" s="0">
        <f>(-5-((((-5*(-5/((-5/(((-5*(84.53--5))-(-5+((-5*84.53)*(((-5--5)+(84.53--5))+84.53))))-(-5+-5)))*-5)))/-5)--5)+(-5*(((84.53*(84.53-(-5/-5)))*(84.53-(84.53/(-5*84.53))))-(-5/-5)))))</f>
        <v>3005915.826585</v>
      </c>
      <c r="C18454" t="n" s="0">
        <v>3005915.826585</v>
      </c>
    </row>
    <row r="18455">
      <c r="A18455" t="n" s="0">
        <v>84.54</v>
      </c>
      <c r="B18455" t="n" s="0">
        <f>(-5-((((-5*(-5/((-5/(((-5*(84.54--5))-(-5+((-5*84.54)*(((-5--5)+(84.54--5))+84.54))))-(-5+-5)))*-5)))/-5)--5)+(-5*(((84.54*(84.54-(-5/-5)))*(84.54-(84.54/(-5*84.54))))-(-5/-5)))))</f>
        <v>3006984.40012</v>
      </c>
      <c r="C18455" t="n" s="0">
        <v>3006984.400120001</v>
      </c>
    </row>
    <row r="18456">
      <c r="A18456" t="n" s="0">
        <v>84.55</v>
      </c>
      <c r="B18456" t="n" s="0">
        <f>(-5-((((-5*(-5/((-5/(((-5*(84.55--5))-(-5+((-5*84.55)*(((-5--5)+(84.55--5))+84.55))))-(-5+-5)))*-5)))/-5)--5)+(-5*(((84.55*(84.55-(-5/-5)))*(84.55-(84.55/(-5*84.55))))-(-5/-5)))))</f>
        <v>3008053.226875</v>
      </c>
      <c r="C18456" t="n" s="0">
        <v>3008053.2268749997</v>
      </c>
    </row>
    <row r="18457">
      <c r="A18457" t="n" s="0">
        <v>84.56</v>
      </c>
      <c r="B18457" t="n" s="0">
        <f>(-5-((((-5*(-5/((-5/(((-5*(84.56--5))-(-5+((-5*84.56)*(((-5--5)+(84.56--5))+84.56))))-(-5+-5)))*-5)))/-5)--5)+(-5*(((84.56*(84.56-(-5/-5)))*(84.56-(84.56/(-5*84.56))))-(-5/-5)))))</f>
        <v>3009122.30688</v>
      </c>
      <c r="C18457" t="n" s="0">
        <v>3009122.3068800005</v>
      </c>
    </row>
    <row r="18458">
      <c r="A18458" t="n" s="0">
        <v>84.57</v>
      </c>
      <c r="B18458" t="n" s="0">
        <f>(-5-((((-5*(-5/((-5/(((-5*(84.57--5))-(-5+((-5*84.57)*(((-5--5)+(84.57--5))+84.57))))-(-5+-5)))*-5)))/-5)--5)+(-5*(((84.57*(84.57-(-5/-5)))*(84.57-(84.57/(-5*84.57))))-(-5/-5)))))</f>
        <v>3010191.640165</v>
      </c>
      <c r="C18458" t="n" s="0">
        <v>3010191.6401649998</v>
      </c>
    </row>
    <row r="18459">
      <c r="A18459" t="n" s="0">
        <v>84.58</v>
      </c>
      <c r="B18459" t="n" s="0">
        <f>(-5-((((-5*(-5/((-5/(((-5*(84.58--5))-(-5+((-5*84.58)*(((-5--5)+(84.58--5))+84.58))))-(-5+-5)))*-5)))/-5)--5)+(-5*(((84.58*(84.58-(-5/-5)))*(84.58-(84.58/(-5*84.58))))-(-5/-5)))))</f>
        <v>3011261.22676</v>
      </c>
      <c r="C18459" t="n" s="0">
        <v>3011261.22676</v>
      </c>
    </row>
    <row r="18460">
      <c r="A18460" t="n" s="0">
        <v>84.59</v>
      </c>
      <c r="B18460" t="n" s="0">
        <f>(-5-((((-5*(-5/((-5/(((-5*(84.59--5))-(-5+((-5*84.59)*(((-5--5)+(84.59--5))+84.59))))-(-5+-5)))*-5)))/-5)--5)+(-5*(((84.59*(84.59-(-5/-5)))*(84.59-(84.59/(-5*84.59))))-(-5/-5)))))</f>
        <v>3012331.066695</v>
      </c>
      <c r="C18460" t="n" s="0">
        <v>3012331.0666950005</v>
      </c>
    </row>
    <row r="18461">
      <c r="A18461" t="n" s="0">
        <v>84.6</v>
      </c>
      <c r="B18461" t="n" s="0">
        <f>(-5-((((-5*(-5/((-5/(((-5*(84.6--5))-(-5+((-5*84.6)*(((-5--5)+(84.6--5))+84.6))))-(-5+-5)))*-5)))/-5)--5)+(-5*(((84.6*(84.6-(-5/-5)))*(84.6-(84.6/(-5*84.6))))-(-5/-5)))))</f>
        <v>3013401.16</v>
      </c>
      <c r="C18461" t="n" s="0">
        <v>3013401.1599999997</v>
      </c>
    </row>
    <row r="18462">
      <c r="A18462" t="n" s="0">
        <v>84.61</v>
      </c>
      <c r="B18462" t="n" s="0">
        <f>(-5-((((-5*(-5/((-5/(((-5*(84.61--5))-(-5+((-5*84.61)*(((-5--5)+(84.61--5))+84.61))))-(-5+-5)))*-5)))/-5)--5)+(-5*(((84.61*(84.61-(-5/-5)))*(84.61-(84.61/(-5*84.61))))-(-5/-5)))))</f>
        <v>3014471.506705</v>
      </c>
      <c r="C18462" t="n" s="0">
        <v>3014471.506705</v>
      </c>
    </row>
    <row r="18463">
      <c r="A18463" t="n" s="0">
        <v>84.62</v>
      </c>
      <c r="B18463" t="n" s="0">
        <f>(-5-((((-5*(-5/((-5/(((-5*(84.62--5))-(-5+((-5*84.62)*(((-5--5)+(84.62--5))+84.62))))-(-5+-5)))*-5)))/-5)--5)+(-5*(((84.62*(84.62-(-5/-5)))*(84.62-(84.62/(-5*84.62))))-(-5/-5)))))</f>
        <v>3015542.10684</v>
      </c>
      <c r="C18463" t="n" s="0">
        <v>3015542.1068400005</v>
      </c>
    </row>
    <row r="18464">
      <c r="A18464" t="n" s="0">
        <v>84.63</v>
      </c>
      <c r="B18464" t="n" s="0">
        <f>(-5-((((-5*(-5/((-5/(((-5*(84.63--5))-(-5+((-5*84.63)*(((-5--5)+(84.63--5))+84.63))))-(-5+-5)))*-5)))/-5)--5)+(-5*(((84.63*(84.63-(-5/-5)))*(84.63-(84.63/(-5*84.63))))-(-5/-5)))))</f>
        <v>3016612.960435</v>
      </c>
      <c r="C18464" t="n" s="0">
        <v>3016612.960435</v>
      </c>
    </row>
    <row r="18465">
      <c r="A18465" t="n" s="0">
        <v>84.64</v>
      </c>
      <c r="B18465" t="n" s="0">
        <f>(-5-((((-5*(-5/((-5/(((-5*(84.64--5))-(-5+((-5*84.64)*(((-5--5)+(84.64--5))+84.64))))-(-5+-5)))*-5)))/-5)--5)+(-5*(((84.64*(84.64-(-5/-5)))*(84.64-(84.64/(-5*84.64))))-(-5/-5)))))</f>
        <v>3017684.06752</v>
      </c>
      <c r="C18465" t="n" s="0">
        <v>3017684.06752</v>
      </c>
    </row>
    <row r="18466">
      <c r="A18466" t="n" s="0">
        <v>84.65</v>
      </c>
      <c r="B18466" t="n" s="0">
        <f>(-5-((((-5*(-5/((-5/(((-5*(84.65--5))-(-5+((-5*84.65)*(((-5--5)+(84.65--5))+84.65))))-(-5+-5)))*-5)))/-5)--5)+(-5*(((84.65*(84.65-(-5/-5)))*(84.65-(84.65/(-5*84.65))))-(-5/-5)))))</f>
        <v>3018755.428125</v>
      </c>
      <c r="C18466" t="n" s="0">
        <v>3018755.4281250006</v>
      </c>
    </row>
    <row r="18467">
      <c r="A18467" t="n" s="0">
        <v>84.66</v>
      </c>
      <c r="B18467" t="n" s="0">
        <f>(-5-((((-5*(-5/((-5/(((-5*(84.66--5))-(-5+((-5*84.66)*(((-5--5)+(84.66--5))+84.66))))-(-5+-5)))*-5)))/-5)--5)+(-5*(((84.66*(84.66-(-5/-5)))*(84.66-(84.66/(-5*84.66))))-(-5/-5)))))</f>
        <v>3019827.0422799997</v>
      </c>
      <c r="C18467" t="n" s="0">
        <v>3019827.0422799992</v>
      </c>
    </row>
    <row r="18468">
      <c r="A18468" t="n" s="0">
        <v>84.67</v>
      </c>
      <c r="B18468" t="n" s="0">
        <f>(-5-((((-5*(-5/((-5/(((-5*(84.67--5))-(-5+((-5*84.67)*(((-5--5)+(84.67--5))+84.67))))-(-5+-5)))*-5)))/-5)--5)+(-5*(((84.67*(84.67-(-5/-5)))*(84.67-(84.67/(-5*84.67))))-(-5/-5)))))</f>
        <v>3020898.910015</v>
      </c>
      <c r="C18468" t="n" s="0">
        <v>3020898.9100149996</v>
      </c>
    </row>
    <row r="18469">
      <c r="A18469" t="n" s="0">
        <v>84.68</v>
      </c>
      <c r="B18469" t="n" s="0">
        <f>(-5-((((-5*(-5/((-5/(((-5*(84.68--5))-(-5+((-5*84.68)*(((-5--5)+(84.68--5))+84.68))))-(-5+-5)))*-5)))/-5)--5)+(-5*(((84.68*(84.68-(-5/-5)))*(84.68-(84.68/(-5*84.68))))-(-5/-5)))))</f>
        <v>3021971.03136</v>
      </c>
      <c r="C18469" t="n" s="0">
        <v>3021971.031360001</v>
      </c>
    </row>
    <row r="18470">
      <c r="A18470" t="n" s="0">
        <v>84.69</v>
      </c>
      <c r="B18470" t="n" s="0">
        <f>(-5-((((-5*(-5/((-5/(((-5*(84.69--5))-(-5+((-5*84.69)*(((-5--5)+(84.69--5))+84.69))))-(-5+-5)))*-5)))/-5)--5)+(-5*(((84.69*(84.69-(-5/-5)))*(84.69-(84.69/(-5*84.69))))-(-5/-5)))))</f>
        <v>3023043.406345</v>
      </c>
      <c r="C18470" t="n" s="0">
        <v>3023043.406344999</v>
      </c>
    </row>
    <row r="18471">
      <c r="A18471" t="n" s="0">
        <v>84.7</v>
      </c>
      <c r="B18471" t="n" s="0">
        <f>(-5-((((-5*(-5/((-5/(((-5*(84.7--5))-(-5+((-5*84.7)*(((-5--5)+(84.7--5))+84.7))))-(-5+-5)))*-5)))/-5)--5)+(-5*(((84.7*(84.7-(-5/-5)))*(84.7-(84.7/(-5*84.7))))-(-5/-5)))))</f>
        <v>3024116.035</v>
      </c>
      <c r="C18471" t="n" s="0">
        <v>3024116.035</v>
      </c>
    </row>
    <row r="18472">
      <c r="A18472" t="n" s="0">
        <v>84.71</v>
      </c>
      <c r="B18472" t="n" s="0">
        <f>(-5-((((-5*(-5/((-5/(((-5*(84.71--5))-(-5+((-5*84.71)*(((-5--5)+(84.71--5))+84.71))))-(-5+-5)))*-5)))/-5)--5)+(-5*(((84.71*(84.71-(-5/-5)))*(84.71-(84.71/(-5*84.71))))-(-5/-5)))))</f>
        <v>3025188.917355</v>
      </c>
      <c r="C18472" t="n" s="0">
        <v>3025188.917354999</v>
      </c>
    </row>
    <row r="18473">
      <c r="A18473" t="n" s="0">
        <v>84.72</v>
      </c>
      <c r="B18473" t="n" s="0">
        <f>(-5-((((-5*(-5/((-5/(((-5*(84.72--5))-(-5+((-5*84.72)*(((-5--5)+(84.72--5))+84.72))))-(-5+-5)))*-5)))/-5)--5)+(-5*(((84.72*(84.72-(-5/-5)))*(84.72-(84.72/(-5*84.72))))-(-5/-5)))))</f>
        <v>3026262.0534400004</v>
      </c>
      <c r="C18473" t="n" s="0">
        <v>3026262.0534400004</v>
      </c>
    </row>
    <row r="18474">
      <c r="A18474" t="n" s="0">
        <v>84.73</v>
      </c>
      <c r="B18474" t="n" s="0">
        <f>(-5-((((-5*(-5/((-5/(((-5*(84.73--5))-(-5+((-5*84.73)*(((-5--5)+(84.73--5))+84.73))))-(-5+-5)))*-5)))/-5)--5)+(-5*(((84.73*(84.73-(-5/-5)))*(84.73-(84.73/(-5*84.73))))-(-5/-5)))))</f>
        <v>3027335.443285</v>
      </c>
      <c r="C18474" t="n" s="0">
        <v>3027335.4432850005</v>
      </c>
    </row>
    <row r="18475">
      <c r="A18475" t="n" s="0">
        <v>84.74</v>
      </c>
      <c r="B18475" t="n" s="0">
        <f>(-5-((((-5*(-5/((-5/(((-5*(84.74--5))-(-5+((-5*84.74)*(((-5--5)+(84.74--5))+84.74))))-(-5+-5)))*-5)))/-5)--5)+(-5*(((84.74*(84.74-(-5/-5)))*(84.74-(84.74/(-5*84.74))))-(-5/-5)))))</f>
        <v>3028409.08692</v>
      </c>
      <c r="C18475" t="n" s="0">
        <v>3028409.08692</v>
      </c>
    </row>
    <row r="18476">
      <c r="A18476" t="n" s="0">
        <v>84.75</v>
      </c>
      <c r="B18476" t="n" s="0">
        <f>(-5-((((-5*(-5/((-5/(((-5*(84.75--5))-(-5+((-5*84.75)*(((-5--5)+(84.75--5))+84.75))))-(-5+-5)))*-5)))/-5)--5)+(-5*(((84.75*(84.75-(-5/-5)))*(84.75-(84.75/(-5*84.75))))-(-5/-5)))))</f>
        <v>3029482.984375</v>
      </c>
      <c r="C18476" t="n" s="0">
        <v>3029482.984375</v>
      </c>
    </row>
    <row r="18477">
      <c r="A18477" t="n" s="0">
        <v>84.76</v>
      </c>
      <c r="B18477" t="n" s="0">
        <f>(-5-((((-5*(-5/((-5/(((-5*(84.76--5))-(-5+((-5*84.76)*(((-5--5)+(84.76--5))+84.76))))-(-5+-5)))*-5)))/-5)--5)+(-5*(((84.76*(84.76-(-5/-5)))*(84.76-(84.76/(-5*84.76))))-(-5/-5)))))</f>
        <v>3030557.13568</v>
      </c>
      <c r="C18477" t="n" s="0">
        <v>3030557.1356800003</v>
      </c>
    </row>
    <row r="18478">
      <c r="A18478" t="n" s="0">
        <v>84.77</v>
      </c>
      <c r="B18478" t="n" s="0">
        <f>(-5-((((-5*(-5/((-5/(((-5*(84.77--5))-(-5+((-5*84.77)*(((-5--5)+(84.77--5))+84.77))))-(-5+-5)))*-5)))/-5)--5)+(-5*(((84.77*(84.77-(-5/-5)))*(84.77-(84.77/(-5*84.77))))-(-5/-5)))))</f>
        <v>3031631.540865</v>
      </c>
      <c r="C18478" t="n" s="0">
        <v>3031631.540865</v>
      </c>
    </row>
    <row r="18479">
      <c r="A18479" t="n" s="0">
        <v>84.78</v>
      </c>
      <c r="B18479" t="n" s="0">
        <f>(-5-((((-5*(-5/((-5/(((-5*(84.78--5))-(-5+((-5*84.78)*(((-5--5)+(84.78--5))+84.78))))-(-5+-5)))*-5)))/-5)--5)+(-5*(((84.78*(84.78-(-5/-5)))*(84.78-(84.78/(-5*84.78))))-(-5/-5)))))</f>
        <v>3032706.19996</v>
      </c>
      <c r="C18479" t="n" s="0">
        <v>3032706.19996</v>
      </c>
    </row>
    <row r="18480">
      <c r="A18480" t="n" s="0">
        <v>84.79</v>
      </c>
      <c r="B18480" t="n" s="0">
        <f>(-5-((((-5*(-5/((-5/(((-5*(84.79--5))-(-5+((-5*84.79)*(((-5--5)+(84.79--5))+84.79))))-(-5+-5)))*-5)))/-5)--5)+(-5*(((84.79*(84.79-(-5/-5)))*(84.79-(84.79/(-5*84.79))))-(-5/-5)))))</f>
        <v>3033781.112995</v>
      </c>
      <c r="C18480" t="n" s="0">
        <v>3033781.1129950006</v>
      </c>
    </row>
    <row r="18481">
      <c r="A18481" t="n" s="0">
        <v>84.8</v>
      </c>
      <c r="B18481" t="n" s="0">
        <f>(-5-((((-5*(-5/((-5/(((-5*(84.8--5))-(-5+((-5*84.8)*(((-5--5)+(84.8--5))+84.8))))-(-5+-5)))*-5)))/-5)--5)+(-5*(((84.8*(84.8-(-5/-5)))*(84.8-(84.8/(-5*84.8))))-(-5/-5)))))</f>
        <v>3034856.28</v>
      </c>
      <c r="C18481" t="n" s="0">
        <v>3034856.2799999993</v>
      </c>
    </row>
    <row r="18482">
      <c r="A18482" t="n" s="0">
        <v>84.81</v>
      </c>
      <c r="B18482" t="n" s="0">
        <f>(-5-((((-5*(-5/((-5/(((-5*(84.81--5))-(-5+((-5*84.81)*(((-5--5)+(84.81--5))+84.81))))-(-5+-5)))*-5)))/-5)--5)+(-5*(((84.81*(84.81-(-5/-5)))*(84.81-(84.81/(-5*84.81))))-(-5/-5)))))</f>
        <v>3035931.701005</v>
      </c>
      <c r="C18482" t="n" s="0">
        <v>3035931.7010050006</v>
      </c>
    </row>
    <row r="18483">
      <c r="A18483" t="n" s="0">
        <v>84.82</v>
      </c>
      <c r="B18483" t="n" s="0">
        <f>(-5-((((-5*(-5/((-5/(((-5*(84.82--5))-(-5+((-5*84.82)*(((-5--5)+(84.82--5))+84.82))))-(-5+-5)))*-5)))/-5)--5)+(-5*(((84.82*(84.82-(-5/-5)))*(84.82-(84.82/(-5*84.82))))-(-5/-5)))))</f>
        <v>3037007.37604</v>
      </c>
      <c r="C18483" t="n" s="0">
        <v>3037007.376039999</v>
      </c>
    </row>
    <row r="18484">
      <c r="A18484" t="n" s="0">
        <v>84.83</v>
      </c>
      <c r="B18484" t="n" s="0">
        <f>(-5-((((-5*(-5/((-5/(((-5*(84.83--5))-(-5+((-5*84.83)*(((-5--5)+(84.83--5))+84.83))))-(-5+-5)))*-5)))/-5)--5)+(-5*(((84.83*(84.83-(-5/-5)))*(84.83-(84.83/(-5*84.83))))-(-5/-5)))))</f>
        <v>3038083.305135</v>
      </c>
      <c r="C18484" t="n" s="0">
        <v>3038083.3051350005</v>
      </c>
    </row>
    <row r="18485">
      <c r="A18485" t="n" s="0">
        <v>84.84</v>
      </c>
      <c r="B18485" t="n" s="0">
        <f>(-5-((((-5*(-5/((-5/(((-5*(84.84--5))-(-5+((-5*84.84)*(((-5--5)+(84.84--5))+84.84))))-(-5+-5)))*-5)))/-5)--5)+(-5*(((84.84*(84.84-(-5/-5)))*(84.84-(84.84/(-5*84.84))))-(-5/-5)))))</f>
        <v>3039159.48832</v>
      </c>
      <c r="C18485" t="n" s="0">
        <v>3039159.48832</v>
      </c>
    </row>
    <row r="18486">
      <c r="A18486" t="n" s="0">
        <v>84.85</v>
      </c>
      <c r="B18486" t="n" s="0">
        <f>(-5-((((-5*(-5/((-5/(((-5*(84.85--5))-(-5+((-5*84.85)*(((-5--5)+(84.85--5))+84.85))))-(-5+-5)))*-5)))/-5)--5)+(-5*(((84.85*(84.85-(-5/-5)))*(84.85-(84.85/(-5*84.85))))-(-5/-5)))))</f>
        <v>3040235.9256249997</v>
      </c>
      <c r="C18486" t="n" s="0">
        <v>3040235.925624999</v>
      </c>
    </row>
    <row r="18487">
      <c r="A18487" t="n" s="0">
        <v>84.86</v>
      </c>
      <c r="B18487" t="n" s="0">
        <f>(-5-((((-5*(-5/((-5/(((-5*(84.86--5))-(-5+((-5*84.86)*(((-5--5)+(84.86--5))+84.86))))-(-5+-5)))*-5)))/-5)--5)+(-5*(((84.86*(84.86-(-5/-5)))*(84.86-(84.86/(-5*84.86))))-(-5/-5)))))</f>
        <v>3041312.6170799998</v>
      </c>
      <c r="C18487" t="n" s="0">
        <v>3041312.61708</v>
      </c>
    </row>
    <row r="18488">
      <c r="A18488" t="n" s="0">
        <v>84.87</v>
      </c>
      <c r="B18488" t="n" s="0">
        <f>(-5-((((-5*(-5/((-5/(((-5*(84.87--5))-(-5+((-5*84.87)*(((-5--5)+(84.87--5))+84.87))))-(-5+-5)))*-5)))/-5)--5)+(-5*(((84.87*(84.87-(-5/-5)))*(84.87-(84.87/(-5*84.87))))-(-5/-5)))))</f>
        <v>3042389.562715</v>
      </c>
      <c r="C18488" t="n" s="0">
        <v>3042389.5627150005</v>
      </c>
    </row>
    <row r="18489">
      <c r="A18489" t="n" s="0">
        <v>84.88</v>
      </c>
      <c r="B18489" t="n" s="0">
        <f>(-5-((((-5*(-5/((-5/(((-5*(84.88--5))-(-5+((-5*84.88)*(((-5--5)+(84.88--5))+84.88))))-(-5+-5)))*-5)))/-5)--5)+(-5*(((84.88*(84.88-(-5/-5)))*(84.88-(84.88/(-5*84.88))))-(-5/-5)))))</f>
        <v>3043466.76256</v>
      </c>
      <c r="C18489" t="n" s="0">
        <v>3043466.7625599997</v>
      </c>
    </row>
    <row r="18490">
      <c r="A18490" t="n" s="0">
        <v>84.89</v>
      </c>
      <c r="B18490" t="n" s="0">
        <f>(-5-((((-5*(-5/((-5/(((-5*(84.89--5))-(-5+((-5*84.89)*(((-5--5)+(84.89--5))+84.89))))-(-5+-5)))*-5)))/-5)--5)+(-5*(((84.89*(84.89-(-5/-5)))*(84.89-(84.89/(-5*84.89))))-(-5/-5)))))</f>
        <v>3044544.216645</v>
      </c>
      <c r="C18490" t="n" s="0">
        <v>3044544.216645</v>
      </c>
    </row>
    <row r="18491">
      <c r="A18491" t="n" s="0">
        <v>84.9</v>
      </c>
      <c r="B18491" t="n" s="0">
        <f>(-5-((((-5*(-5/((-5/(((-5*(84.9--5))-(-5+((-5*84.9)*(((-5--5)+(84.9--5))+84.9))))-(-5+-5)))*-5)))/-5)--5)+(-5*(((84.9*(84.9-(-5/-5)))*(84.9-(84.9/(-5*84.9))))-(-5/-5)))))</f>
        <v>3045621.9250000003</v>
      </c>
      <c r="C18491" t="n" s="0">
        <v>3045621.9250000007</v>
      </c>
    </row>
    <row r="18492">
      <c r="A18492" t="n" s="0">
        <v>84.91</v>
      </c>
      <c r="B18492" t="n" s="0">
        <f>(-5-((((-5*(-5/((-5/(((-5*(84.91--5))-(-5+((-5*84.91)*(((-5--5)+(84.91--5))+84.91))))-(-5+-5)))*-5)))/-5)--5)+(-5*(((84.91*(84.91-(-5/-5)))*(84.91-(84.91/(-5*84.91))))-(-5/-5)))))</f>
        <v>3046699.887655</v>
      </c>
      <c r="C18492" t="n" s="0">
        <v>3046699.8876549997</v>
      </c>
    </row>
    <row r="18493">
      <c r="A18493" t="n" s="0">
        <v>84.92</v>
      </c>
      <c r="B18493" t="n" s="0">
        <f>(-5-((((-5*(-5/((-5/(((-5*(84.92--5))-(-5+((-5*84.92)*(((-5--5)+(84.92--5))+84.92))))-(-5+-5)))*-5)))/-5)--5)+(-5*(((84.92*(84.92-(-5/-5)))*(84.92-(84.92/(-5*84.92))))-(-5/-5)))))</f>
        <v>3047778.10464</v>
      </c>
      <c r="C18493" t="n" s="0">
        <v>3047778.10464</v>
      </c>
    </row>
    <row r="18494">
      <c r="A18494" t="n" s="0">
        <v>84.93</v>
      </c>
      <c r="B18494" t="n" s="0">
        <f>(-5-((((-5*(-5/((-5/(((-5*(84.93--5))-(-5+((-5*84.93)*(((-5--5)+(84.93--5))+84.93))))-(-5+-5)))*-5)))/-5)--5)+(-5*(((84.93*(84.93-(-5/-5)))*(84.93-(84.93/(-5*84.93))))-(-5/-5)))))</f>
        <v>3048856.575985</v>
      </c>
      <c r="C18494" t="n" s="0">
        <v>3048856.575985001</v>
      </c>
    </row>
    <row r="18495">
      <c r="A18495" t="n" s="0">
        <v>84.94</v>
      </c>
      <c r="B18495" t="n" s="0">
        <f>(-5-((((-5*(-5/((-5/(((-5*(84.94--5))-(-5+((-5*84.94)*(((-5--5)+(84.94--5))+84.94))))-(-5+-5)))*-5)))/-5)--5)+(-5*(((84.94*(84.94-(-5/-5)))*(84.94-(84.94/(-5*84.94))))-(-5/-5)))))</f>
        <v>3049935.3017200003</v>
      </c>
      <c r="C18495" t="n" s="0">
        <v>3049935.3017199994</v>
      </c>
    </row>
    <row r="18496">
      <c r="A18496" t="n" s="0">
        <v>84.95</v>
      </c>
      <c r="B18496" t="n" s="0">
        <f>(-5-((((-5*(-5/((-5/(((-5*(84.95--5))-(-5+((-5*84.95)*(((-5--5)+(84.95--5))+84.95))))-(-5+-5)))*-5)))/-5)--5)+(-5*(((84.95*(84.95-(-5/-5)))*(84.95-(84.95/(-5*84.95))))-(-5/-5)))))</f>
        <v>3051014.2818750003</v>
      </c>
      <c r="C18496" t="n" s="0">
        <v>3051014.2818750003</v>
      </c>
    </row>
    <row r="18497">
      <c r="A18497" t="n" s="0">
        <v>84.96</v>
      </c>
      <c r="B18497" t="n" s="0">
        <f>(-5-((((-5*(-5/((-5/(((-5*(84.96--5))-(-5+((-5*84.96)*(((-5--5)+(84.96--5))+84.96))))-(-5+-5)))*-5)))/-5)--5)+(-5*(((84.96*(84.96-(-5/-5)))*(84.96-(84.96/(-5*84.96))))-(-5/-5)))))</f>
        <v>3052093.5164799998</v>
      </c>
      <c r="C18497" t="n" s="0">
        <v>3052093.5164799993</v>
      </c>
    </row>
    <row r="18498">
      <c r="A18498" t="n" s="0">
        <v>84.97</v>
      </c>
      <c r="B18498" t="n" s="0">
        <f>(-5-((((-5*(-5/((-5/(((-5*(84.97--5))-(-5+((-5*84.97)*(((-5--5)+(84.97--5))+84.97))))-(-5+-5)))*-5)))/-5)--5)+(-5*(((84.97*(84.97-(-5/-5)))*(84.97-(84.97/(-5*84.97))))-(-5/-5)))))</f>
        <v>3053173.0055649998</v>
      </c>
      <c r="C18498" t="n" s="0">
        <v>3053173.0055649998</v>
      </c>
    </row>
    <row r="18499">
      <c r="A18499" t="n" s="0">
        <v>84.98</v>
      </c>
      <c r="B18499" t="n" s="0">
        <f>(-5-((((-5*(-5/((-5/(((-5*(84.98--5))-(-5+((-5*84.98)*(((-5--5)+(84.98--5))+84.98))))-(-5+-5)))*-5)))/-5)--5)+(-5*(((84.98*(84.98-(-5/-5)))*(84.98-(84.98/(-5*84.98))))-(-5/-5)))))</f>
        <v>3054252.74916</v>
      </c>
      <c r="C18499" t="n" s="0">
        <v>3054252.74916</v>
      </c>
    </row>
    <row r="18500">
      <c r="A18500" t="n" s="0">
        <v>84.99</v>
      </c>
      <c r="B18500" t="n" s="0">
        <f>(-5-((((-5*(-5/((-5/(((-5*(84.99--5))-(-5+((-5*84.99)*(((-5--5)+(84.99--5))+84.99))))-(-5+-5)))*-5)))/-5)--5)+(-5*(((84.99*(84.99-(-5/-5)))*(84.99-(84.99/(-5*84.99))))-(-5/-5)))))</f>
        <v>3055332.747295</v>
      </c>
      <c r="C18500" t="n" s="0">
        <v>3055332.747294999</v>
      </c>
    </row>
    <row r="18501">
      <c r="A18501" t="n" s="0">
        <v>85.0</v>
      </c>
      <c r="B18501" t="n" s="0">
        <f>(-5-((((-5*(-5/((-5/(((-5*(85--5))-(-5+((-5*85)*(((-5--5)+(85--5))+85))))-(-5+-5)))*-5)))/-5)--5)+(-5*(((85*(85-(-5/-5)))*(85-(85/(-5*85))))-(-5/-5)))))</f>
        <v>3056413.0</v>
      </c>
      <c r="C18501" t="n" s="0">
        <v>3056413.0</v>
      </c>
    </row>
    <row r="18502">
      <c r="A18502" t="n" s="0">
        <v>85.01</v>
      </c>
      <c r="B18502" t="n" s="0">
        <f>(-5-((((-5*(-5/((-5/(((-5*(85.01--5))-(-5+((-5*85.01)*(((-5--5)+(85.01--5))+85.01))))-(-5+-5)))*-5)))/-5)--5)+(-5*(((85.01*(85.01-(-5/-5)))*(85.01-(85.01/(-5*85.01))))-(-5/-5)))))</f>
        <v>3057493.507305</v>
      </c>
      <c r="C18502" t="n" s="0">
        <v>3057493.5073050004</v>
      </c>
    </row>
    <row r="18503">
      <c r="A18503" t="n" s="0">
        <v>85.02</v>
      </c>
      <c r="B18503" t="n" s="0">
        <f>(-5-((((-5*(-5/((-5/(((-5*(85.02--5))-(-5+((-5*85.02)*(((-5--5)+(85.02--5))+85.02))))-(-5+-5)))*-5)))/-5)--5)+(-5*(((85.02*(85.02-(-5/-5)))*(85.02-(85.02/(-5*85.02))))-(-5/-5)))))</f>
        <v>3058574.26924</v>
      </c>
      <c r="C18503" t="n" s="0">
        <v>3058574.26924</v>
      </c>
    </row>
    <row r="18504">
      <c r="A18504" t="n" s="0">
        <v>85.03</v>
      </c>
      <c r="B18504" t="n" s="0">
        <f>(-5-((((-5*(-5/((-5/(((-5*(85.03--5))-(-5+((-5*85.03)*(((-5--5)+(85.03--5))+85.03))))-(-5+-5)))*-5)))/-5)--5)+(-5*(((85.03*(85.03-(-5/-5)))*(85.03-(85.03/(-5*85.03))))-(-5/-5)))))</f>
        <v>3059655.285835</v>
      </c>
      <c r="C18504" t="n" s="0">
        <v>3059655.2858349998</v>
      </c>
    </row>
    <row r="18505">
      <c r="A18505" t="n" s="0">
        <v>85.04</v>
      </c>
      <c r="B18505" t="n" s="0">
        <f>(-5-((((-5*(-5/((-5/(((-5*(85.04--5))-(-5+((-5*85.04)*(((-5--5)+(85.04--5))+85.04))))-(-5+-5)))*-5)))/-5)--5)+(-5*(((85.04*(85.04-(-5/-5)))*(85.04-(85.04/(-5*85.04))))-(-5/-5)))))</f>
        <v>3060736.55712</v>
      </c>
      <c r="C18505" t="n" s="0">
        <v>3060736.5571200014</v>
      </c>
    </row>
    <row r="18506">
      <c r="A18506" t="n" s="0">
        <v>85.05</v>
      </c>
      <c r="B18506" t="n" s="0">
        <f>(-5-((((-5*(-5/((-5/(((-5*(85.05--5))-(-5+((-5*85.05)*(((-5--5)+(85.05--5))+85.05))))-(-5+-5)))*-5)))/-5)--5)+(-5*(((85.05*(85.05-(-5/-5)))*(85.05-(85.05/(-5*85.05))))-(-5/-5)))))</f>
        <v>3061818.083125</v>
      </c>
      <c r="C18506" t="n" s="0">
        <v>3061818.083125</v>
      </c>
    </row>
    <row r="18507">
      <c r="A18507" t="n" s="0">
        <v>85.06</v>
      </c>
      <c r="B18507" t="n" s="0">
        <f>(-5-((((-5*(-5/((-5/(((-5*(85.06--5))-(-5+((-5*85.06)*(((-5--5)+(85.06--5))+85.06))))-(-5+-5)))*-5)))/-5)--5)+(-5*(((85.06*(85.06-(-5/-5)))*(85.06-(85.06/(-5*85.06))))-(-5/-5)))))</f>
        <v>3062899.86388</v>
      </c>
      <c r="C18507" t="n" s="0">
        <v>3062899.863880001</v>
      </c>
    </row>
    <row r="18508">
      <c r="A18508" t="n" s="0">
        <v>85.07</v>
      </c>
      <c r="B18508" t="n" s="0">
        <f>(-5-((((-5*(-5/((-5/(((-5*(85.07--5))-(-5+((-5*85.07)*(((-5--5)+(85.07--5))+85.07))))-(-5+-5)))*-5)))/-5)--5)+(-5*(((85.07*(85.07-(-5/-5)))*(85.07-(85.07/(-5*85.07))))-(-5/-5)))))</f>
        <v>3063981.8994150003</v>
      </c>
      <c r="C18508" t="n" s="0">
        <v>3063981.8994149994</v>
      </c>
    </row>
    <row r="18509">
      <c r="A18509" t="n" s="0">
        <v>85.08</v>
      </c>
      <c r="B18509" t="n" s="0">
        <f>(-5-((((-5*(-5/((-5/(((-5*(85.08--5))-(-5+((-5*85.08)*(((-5--5)+(85.08--5))+85.08))))-(-5+-5)))*-5)))/-5)--5)+(-5*(((85.08*(85.08-(-5/-5)))*(85.08-(85.08/(-5*85.08))))-(-5/-5)))))</f>
        <v>3065064.18976</v>
      </c>
      <c r="C18509" t="n" s="0">
        <v>3065064.18976</v>
      </c>
    </row>
    <row r="18510">
      <c r="A18510" t="n" s="0">
        <v>85.09</v>
      </c>
      <c r="B18510" t="n" s="0">
        <f>(-5-((((-5*(-5/((-5/(((-5*(85.09--5))-(-5+((-5*85.09)*(((-5--5)+(85.09--5))+85.09))))-(-5+-5)))*-5)))/-5)--5)+(-5*(((85.09*(85.09-(-5/-5)))*(85.09-(85.09/(-5*85.09))))-(-5/-5)))))</f>
        <v>3066146.734945</v>
      </c>
      <c r="C18510" t="n" s="0">
        <v>3066146.7349450006</v>
      </c>
    </row>
    <row r="18511">
      <c r="A18511" t="n" s="0">
        <v>85.1</v>
      </c>
      <c r="B18511" t="n" s="0">
        <f>(-5-((((-5*(-5/((-5/(((-5*(85.1--5))-(-5+((-5*85.1)*(((-5--5)+(85.1--5))+85.1))))-(-5+-5)))*-5)))/-5)--5)+(-5*(((85.1*(85.1-(-5/-5)))*(85.1-(85.1/(-5*85.1))))-(-5/-5)))))</f>
        <v>3067229.535</v>
      </c>
      <c r="C18511" t="n" s="0">
        <v>3067229.534999999</v>
      </c>
    </row>
    <row r="18512">
      <c r="A18512" t="n" s="0">
        <v>85.11</v>
      </c>
      <c r="B18512" t="n" s="0">
        <f>(-5-((((-5*(-5/((-5/(((-5*(85.11--5))-(-5+((-5*85.11)*(((-5--5)+(85.11--5))+85.11))))-(-5+-5)))*-5)))/-5)--5)+(-5*(((85.11*(85.11-(-5/-5)))*(85.11-(85.11/(-5*85.11))))-(-5/-5)))))</f>
        <v>3068312.589955</v>
      </c>
      <c r="C18512" t="n" s="0">
        <v>3068312.5899549997</v>
      </c>
    </row>
    <row r="18513">
      <c r="A18513" t="n" s="0">
        <v>85.12</v>
      </c>
      <c r="B18513" t="n" s="0">
        <f>(-5-((((-5*(-5/((-5/(((-5*(85.12--5))-(-5+((-5*85.12)*(((-5--5)+(85.12--5))+85.12))))-(-5+-5)))*-5)))/-5)--5)+(-5*(((85.12*(85.12-(-5/-5)))*(85.12-(85.12/(-5*85.12))))-(-5/-5)))))</f>
        <v>3069395.89984</v>
      </c>
      <c r="C18513" t="n" s="0">
        <v>3069395.899840001</v>
      </c>
    </row>
    <row r="18514">
      <c r="A18514" t="n" s="0">
        <v>85.13</v>
      </c>
      <c r="B18514" t="n" s="0">
        <f>(-5-((((-5*(-5/((-5/(((-5*(85.13--5))-(-5+((-5*85.13)*(((-5--5)+(85.13--5))+85.13))))-(-5+-5)))*-5)))/-5)--5)+(-5*(((85.13*(85.13-(-5/-5)))*(85.13-(85.13/(-5*85.13))))-(-5/-5)))))</f>
        <v>3070479.464685</v>
      </c>
      <c r="C18514" t="n" s="0">
        <v>3070479.4646849995</v>
      </c>
    </row>
    <row r="18515">
      <c r="A18515" t="n" s="0">
        <v>85.14</v>
      </c>
      <c r="B18515" t="n" s="0">
        <f>(-5-((((-5*(-5/((-5/(((-5*(85.14--5))-(-5+((-5*85.14)*(((-5--5)+(85.14--5))+85.14))))-(-5+-5)))*-5)))/-5)--5)+(-5*(((85.14*(85.14-(-5/-5)))*(85.14-(85.14/(-5*85.14))))-(-5/-5)))))</f>
        <v>3071563.28452</v>
      </c>
      <c r="C18515" t="n" s="0">
        <v>3071563.2845199998</v>
      </c>
    </row>
    <row r="18516">
      <c r="A18516" t="n" s="0">
        <v>85.15</v>
      </c>
      <c r="B18516" t="n" s="0">
        <f>(-5-((((-5*(-5/((-5/(((-5*(85.15--5))-(-5+((-5*85.15)*(((-5--5)+(85.15--5))+85.15))))-(-5+-5)))*-5)))/-5)--5)+(-5*(((85.15*(85.15-(-5/-5)))*(85.15-(85.15/(-5*85.15))))-(-5/-5)))))</f>
        <v>3072647.359375</v>
      </c>
      <c r="C18516" t="n" s="0">
        <v>3072647.359375001</v>
      </c>
    </row>
    <row r="18517">
      <c r="A18517" t="n" s="0">
        <v>85.16</v>
      </c>
      <c r="B18517" t="n" s="0">
        <f>(-5-((((-5*(-5/((-5/(((-5*(85.16--5))-(-5+((-5*85.16)*(((-5--5)+(85.16--5))+85.16))))-(-5+-5)))*-5)))/-5)--5)+(-5*(((85.16*(85.16-(-5/-5)))*(85.16-(85.16/(-5*85.16))))-(-5/-5)))))</f>
        <v>3073731.68928</v>
      </c>
      <c r="C18517" t="n" s="0">
        <v>3073731.6892799996</v>
      </c>
    </row>
    <row r="18518">
      <c r="A18518" t="n" s="0">
        <v>85.17</v>
      </c>
      <c r="B18518" t="n" s="0">
        <f>(-5-((((-5*(-5/((-5/(((-5*(85.17--5))-(-5+((-5*85.17)*(((-5--5)+(85.17--5))+85.17))))-(-5+-5)))*-5)))/-5)--5)+(-5*(((85.17*(85.17-(-5/-5)))*(85.17-(85.17/(-5*85.17))))-(-5/-5)))))</f>
        <v>3074816.274265</v>
      </c>
      <c r="C18518" t="n" s="0">
        <v>3074816.274265</v>
      </c>
    </row>
    <row r="18519">
      <c r="A18519" t="n" s="0">
        <v>85.18</v>
      </c>
      <c r="B18519" t="n" s="0">
        <f>(-5-((((-5*(-5/((-5/(((-5*(85.18--5))-(-5+((-5*85.18)*(((-5--5)+(85.18--5))+85.18))))-(-5+-5)))*-5)))/-5)--5)+(-5*(((85.18*(85.18-(-5/-5)))*(85.18-(85.18/(-5*85.18))))-(-5/-5)))))</f>
        <v>3075901.11436</v>
      </c>
      <c r="C18519" t="n" s="0">
        <v>3075901.114360001</v>
      </c>
    </row>
    <row r="18520">
      <c r="A18520" t="n" s="0">
        <v>85.19</v>
      </c>
      <c r="B18520" t="n" s="0">
        <f>(-5-((((-5*(-5/((-5/(((-5*(85.19--5))-(-5+((-5*85.19)*(((-5--5)+(85.19--5))+85.19))))-(-5+-5)))*-5)))/-5)--5)+(-5*(((85.19*(85.19-(-5/-5)))*(85.19-(85.19/(-5*85.19))))-(-5/-5)))))</f>
        <v>3076986.2095950004</v>
      </c>
      <c r="C18520" t="n" s="0">
        <v>3076986.209595</v>
      </c>
    </row>
    <row r="18521">
      <c r="A18521" t="n" s="0">
        <v>85.2</v>
      </c>
      <c r="B18521" t="n" s="0">
        <f>(-5-((((-5*(-5/((-5/(((-5*(85.2--5))-(-5+((-5*85.2)*(((-5--5)+(85.2--5))+85.2))))-(-5+-5)))*-5)))/-5)--5)+(-5*(((85.2*(85.2-(-5/-5)))*(85.2-(85.2/(-5*85.2))))-(-5/-5)))))</f>
        <v>3078071.56</v>
      </c>
      <c r="C18521" t="n" s="0">
        <v>3078071.5600000005</v>
      </c>
    </row>
    <row r="18522">
      <c r="A18522" t="n" s="0">
        <v>85.21</v>
      </c>
      <c r="B18522" t="n" s="0">
        <f>(-5-((((-5*(-5/((-5/(((-5*(85.21--5))-(-5+((-5*85.21)*(((-5--5)+(85.21--5))+85.21))))-(-5+-5)))*-5)))/-5)--5)+(-5*(((85.21*(85.21-(-5/-5)))*(85.21-(85.21/(-5*85.21))))-(-5/-5)))))</f>
        <v>3079157.1656049998</v>
      </c>
      <c r="C18522" t="n" s="0">
        <v>3079157.165604999</v>
      </c>
    </row>
    <row r="18523">
      <c r="A18523" t="n" s="0">
        <v>85.22</v>
      </c>
      <c r="B18523" t="n" s="0">
        <f>(-5-((((-5*(-5/((-5/(((-5*(85.22--5))-(-5+((-5*85.22)*(((-5--5)+(85.22--5))+85.22))))-(-5+-5)))*-5)))/-5)--5)+(-5*(((85.22*(85.22-(-5/-5)))*(85.22-(85.22/(-5*85.22))))-(-5/-5)))))</f>
        <v>3080243.02644</v>
      </c>
      <c r="C18523" t="n" s="0">
        <v>3080243.02644</v>
      </c>
    </row>
    <row r="18524">
      <c r="A18524" t="n" s="0">
        <v>85.23</v>
      </c>
      <c r="B18524" t="n" s="0">
        <f>(-5-((((-5*(-5/((-5/(((-5*(85.23--5))-(-5+((-5*85.23)*(((-5--5)+(85.23--5))+85.23))))-(-5+-5)))*-5)))/-5)--5)+(-5*(((85.23*(85.23-(-5/-5)))*(85.23-(85.23/(-5*85.23))))-(-5/-5)))))</f>
        <v>3081329.142535</v>
      </c>
      <c r="C18524" t="n" s="0">
        <v>3081329.1425350006</v>
      </c>
    </row>
    <row r="18525">
      <c r="A18525" t="n" s="0">
        <v>85.24</v>
      </c>
      <c r="B18525" t="n" s="0">
        <f>(-5-((((-5*(-5/((-5/(((-5*(85.24--5))-(-5+((-5*85.24)*(((-5--5)+(85.24--5))+85.24))))-(-5+-5)))*-5)))/-5)--5)+(-5*(((85.24*(85.24-(-5/-5)))*(85.24-(85.24/(-5*85.24))))-(-5/-5)))))</f>
        <v>3082415.51392</v>
      </c>
      <c r="C18525" t="n" s="0">
        <v>3082415.51392</v>
      </c>
    </row>
    <row r="18526">
      <c r="A18526" t="n" s="0">
        <v>85.25</v>
      </c>
      <c r="B18526" t="n" s="0">
        <f>(-5-((((-5*(-5/((-5/(((-5*(85.25--5))-(-5+((-5*85.25)*(((-5--5)+(85.25--5))+85.25))))-(-5+-5)))*-5)))/-5)--5)+(-5*(((85.25*(85.25-(-5/-5)))*(85.25-(85.25/(-5*85.25))))-(-5/-5)))))</f>
        <v>3083502.140625</v>
      </c>
      <c r="C18526" t="n" s="0">
        <v>3083502.140625</v>
      </c>
    </row>
    <row r="18527">
      <c r="A18527" t="n" s="0">
        <v>85.26</v>
      </c>
      <c r="B18527" t="n" s="0">
        <f>(-5-((((-5*(-5/((-5/(((-5*(85.26--5))-(-5+((-5*85.26)*(((-5--5)+(85.26--5))+85.26))))-(-5+-5)))*-5)))/-5)--5)+(-5*(((85.26*(85.26-(-5/-5)))*(85.26-(85.26/(-5*85.26))))-(-5/-5)))))</f>
        <v>3084589.02268</v>
      </c>
      <c r="C18527" t="n" s="0">
        <v>3084589.0226800004</v>
      </c>
    </row>
    <row r="18528">
      <c r="A18528" t="n" s="0">
        <v>85.27</v>
      </c>
      <c r="B18528" t="n" s="0">
        <f>(-5-((((-5*(-5/((-5/(((-5*(85.27--5))-(-5+((-5*85.27)*(((-5--5)+(85.27--5))+85.27))))-(-5+-5)))*-5)))/-5)--5)+(-5*(((85.27*(85.27-(-5/-5)))*(85.27-(85.27/(-5*85.27))))-(-5/-5)))))</f>
        <v>3085676.160115</v>
      </c>
      <c r="C18528" t="n" s="0">
        <v>3085676.160115</v>
      </c>
    </row>
    <row r="18529">
      <c r="A18529" t="n" s="0">
        <v>85.28</v>
      </c>
      <c r="B18529" t="n" s="0">
        <f>(-5-((((-5*(-5/((-5/(((-5*(85.28--5))-(-5+((-5*85.28)*(((-5--5)+(85.28--5))+85.28))))-(-5+-5)))*-5)))/-5)--5)+(-5*(((85.28*(85.28-(-5/-5)))*(85.28-(85.28/(-5*85.28))))-(-5/-5)))))</f>
        <v>3086763.55296</v>
      </c>
      <c r="C18529" t="n" s="0">
        <v>3086763.55296</v>
      </c>
    </row>
    <row r="18530">
      <c r="A18530" t="n" s="0">
        <v>85.29</v>
      </c>
      <c r="B18530" t="n" s="0">
        <f>(-5-((((-5*(-5/((-5/(((-5*(85.29--5))-(-5+((-5*85.29)*(((-5--5)+(85.29--5))+85.29))))-(-5+-5)))*-5)))/-5)--5)+(-5*(((85.29*(85.29-(-5/-5)))*(85.29-(85.29/(-5*85.29))))-(-5/-5)))))</f>
        <v>3087851.201245</v>
      </c>
      <c r="C18530" t="n" s="0">
        <v>3087851.201245001</v>
      </c>
    </row>
    <row r="18531">
      <c r="A18531" t="n" s="0">
        <v>85.3</v>
      </c>
      <c r="B18531" t="n" s="0">
        <f>(-5-((((-5*(-5/((-5/(((-5*(85.3--5))-(-5+((-5*85.3)*(((-5--5)+(85.3--5))+85.3))))-(-5+-5)))*-5)))/-5)--5)+(-5*(((85.3*(85.3-(-5/-5)))*(85.3-(85.3/(-5*85.3))))-(-5/-5)))))</f>
        <v>3088939.105</v>
      </c>
      <c r="C18531" t="n" s="0">
        <v>3088939.1049999995</v>
      </c>
    </row>
    <row r="18532">
      <c r="A18532" t="n" s="0">
        <v>85.31</v>
      </c>
      <c r="B18532" t="n" s="0">
        <f>(-5-((((-5*(-5/((-5/(((-5*(85.31--5))-(-5+((-5*85.31)*(((-5--5)+(85.31--5))+85.31))))-(-5+-5)))*-5)))/-5)--5)+(-5*(((85.31*(85.31-(-5/-5)))*(85.31-(85.31/(-5*85.31))))-(-5/-5)))))</f>
        <v>3090027.2642550003</v>
      </c>
      <c r="C18532" t="n" s="0">
        <v>3090027.2642550007</v>
      </c>
    </row>
    <row r="18533">
      <c r="A18533" t="n" s="0">
        <v>85.32</v>
      </c>
      <c r="B18533" t="n" s="0">
        <f>(-5-((((-5*(-5/((-5/(((-5*(85.32--5))-(-5+((-5*85.32)*(((-5--5)+(85.32--5))+85.32))))-(-5+-5)))*-5)))/-5)--5)+(-5*(((85.32*(85.32-(-5/-5)))*(85.32-(85.32/(-5*85.32))))-(-5/-5)))))</f>
        <v>3091115.67904</v>
      </c>
      <c r="C18533" t="n" s="0">
        <v>3091115.679039999</v>
      </c>
    </row>
    <row r="18534">
      <c r="A18534" t="n" s="0">
        <v>85.33</v>
      </c>
      <c r="B18534" t="n" s="0">
        <f>(-5-((((-5*(-5/((-5/(((-5*(85.33--5))-(-5+((-5*85.33)*(((-5--5)+(85.33--5))+85.33))))-(-5+-5)))*-5)))/-5)--5)+(-5*(((85.33*(85.33-(-5/-5)))*(85.33-(85.33/(-5*85.33))))-(-5/-5)))))</f>
        <v>3092204.349385</v>
      </c>
      <c r="C18534" t="n" s="0">
        <v>3092204.3493850003</v>
      </c>
    </row>
    <row r="18535">
      <c r="A18535" t="n" s="0">
        <v>85.34</v>
      </c>
      <c r="B18535" t="n" s="0">
        <f>(-5-((((-5*(-5/((-5/(((-5*(85.34--5))-(-5+((-5*85.34)*(((-5--5)+(85.34--5))+85.34))))-(-5+-5)))*-5)))/-5)--5)+(-5*(((85.34*(85.34-(-5/-5)))*(85.34-(85.34/(-5*85.34))))-(-5/-5)))))</f>
        <v>3093293.2753199995</v>
      </c>
      <c r="C18535" t="n" s="0">
        <v>3093293.2753200005</v>
      </c>
    </row>
    <row r="18536">
      <c r="A18536" t="n" s="0">
        <v>85.35</v>
      </c>
      <c r="B18536" t="n" s="0">
        <f>(-5-((((-5*(-5/((-5/(((-5*(85.35--5))-(-5+((-5*85.35)*(((-5--5)+(85.35--5))+85.35))))-(-5+-5)))*-5)))/-5)--5)+(-5*(((85.35*(85.35-(-5/-5)))*(85.35-(85.35/(-5*85.35))))-(-5/-5)))))</f>
        <v>3094382.456875</v>
      </c>
      <c r="C18536" t="n" s="0">
        <v>3094382.456874999</v>
      </c>
    </row>
    <row r="18537">
      <c r="A18537" t="n" s="0">
        <v>85.36</v>
      </c>
      <c r="B18537" t="n" s="0">
        <f>(-5-((((-5*(-5/((-5/(((-5*(85.36--5))-(-5+((-5*85.36)*(((-5--5)+(85.36--5))+85.36))))-(-5+-5)))*-5)))/-5)--5)+(-5*(((85.36*(85.36-(-5/-5)))*(85.36-(85.36/(-5*85.36))))-(-5/-5)))))</f>
        <v>3095471.89408</v>
      </c>
      <c r="C18537" t="n" s="0">
        <v>3095471.89408</v>
      </c>
    </row>
    <row r="18538">
      <c r="A18538" t="n" s="0">
        <v>85.37</v>
      </c>
      <c r="B18538" t="n" s="0">
        <f>(-5-((((-5*(-5/((-5/(((-5*(85.37--5))-(-5+((-5*85.37)*(((-5--5)+(85.37--5))+85.37))))-(-5+-5)))*-5)))/-5)--5)+(-5*(((85.37*(85.37-(-5/-5)))*(85.37-(85.37/(-5*85.37))))-(-5/-5)))))</f>
        <v>3096561.586965</v>
      </c>
      <c r="C18538" t="n" s="0">
        <v>3096561.5869650003</v>
      </c>
    </row>
    <row r="18539">
      <c r="A18539" t="n" s="0">
        <v>85.38</v>
      </c>
      <c r="B18539" t="n" s="0">
        <f>(-5-((((-5*(-5/((-5/(((-5*(85.38--5))-(-5+((-5*85.38)*(((-5--5)+(85.38--5))+85.38))))-(-5+-5)))*-5)))/-5)--5)+(-5*(((85.38*(85.38-(-5/-5)))*(85.38-(85.38/(-5*85.38))))-(-5/-5)))))</f>
        <v>3097651.5355599998</v>
      </c>
      <c r="C18539" t="n" s="0">
        <v>3097651.5355599998</v>
      </c>
    </row>
    <row r="18540">
      <c r="A18540" t="n" s="0">
        <v>85.39</v>
      </c>
      <c r="B18540" t="n" s="0">
        <f>(-5-((((-5*(-5/((-5/(((-5*(85.39--5))-(-5+((-5*85.39)*(((-5--5)+(85.39--5))+85.39))))-(-5+-5)))*-5)))/-5)--5)+(-5*(((85.39*(85.39-(-5/-5)))*(85.39-(85.39/(-5*85.39))))-(-5/-5)))))</f>
        <v>3098741.7398949997</v>
      </c>
      <c r="C18540" t="n" s="0">
        <v>3098741.7398949997</v>
      </c>
    </row>
    <row r="18541">
      <c r="A18541" t="n" s="0">
        <v>85.4</v>
      </c>
      <c r="B18541" t="n" s="0">
        <f>(-5-((((-5*(-5/((-5/(((-5*(85.4--5))-(-5+((-5*85.4)*(((-5--5)+(85.4--5))+85.4))))-(-5+-5)))*-5)))/-5)--5)+(-5*(((85.4*(85.4-(-5/-5)))*(85.4-(85.4/(-5*85.4))))-(-5/-5)))))</f>
        <v>3099832.1999999997</v>
      </c>
      <c r="C18541" t="n" s="0">
        <v>3099832.200000001</v>
      </c>
    </row>
    <row r="18542">
      <c r="A18542" t="n" s="0">
        <v>85.41</v>
      </c>
      <c r="B18542" t="n" s="0">
        <f>(-5-((((-5*(-5/((-5/(((-5*(85.41--5))-(-5+((-5*85.41)*(((-5--5)+(85.41--5))+85.41))))-(-5+-5)))*-5)))/-5)--5)+(-5*(((85.41*(85.41-(-5/-5)))*(85.41-(85.41/(-5*85.41))))-(-5/-5)))))</f>
        <v>3100922.9159049997</v>
      </c>
      <c r="C18542" t="n" s="0">
        <v>3100922.9159049997</v>
      </c>
    </row>
    <row r="18543">
      <c r="A18543" t="n" s="0">
        <v>85.42</v>
      </c>
      <c r="B18543" t="n" s="0">
        <f>(-5-((((-5*(-5/((-5/(((-5*(85.42--5))-(-5+((-5*85.42)*(((-5--5)+(85.42--5))+85.42))))-(-5+-5)))*-5)))/-5)--5)+(-5*(((85.42*(85.42-(-5/-5)))*(85.42-(85.42/(-5*85.42))))-(-5/-5)))))</f>
        <v>3102013.88764</v>
      </c>
      <c r="C18543" t="n" s="0">
        <v>3102013.8876400003</v>
      </c>
    </row>
    <row r="18544">
      <c r="A18544" t="n" s="0">
        <v>85.43</v>
      </c>
      <c r="B18544" t="n" s="0">
        <f>(-5-((((-5*(-5/((-5/(((-5*(85.43--5))-(-5+((-5*85.43)*(((-5--5)+(85.43--5))+85.43))))-(-5+-5)))*-5)))/-5)--5)+(-5*(((85.43*(85.43-(-5/-5)))*(85.43-(85.43/(-5*85.43))))-(-5/-5)))))</f>
        <v>3103105.115235</v>
      </c>
      <c r="C18544" t="n" s="0">
        <v>3103105.1152350004</v>
      </c>
    </row>
    <row r="18545">
      <c r="A18545" t="n" s="0">
        <v>85.44</v>
      </c>
      <c r="B18545" t="n" s="0">
        <f>(-5-((((-5*(-5/((-5/(((-5*(85.44--5))-(-5+((-5*85.44)*(((-5--5)+(85.44--5))+85.44))))-(-5+-5)))*-5)))/-5)--5)+(-5*(((85.44*(85.44-(-5/-5)))*(85.44-(85.44/(-5*85.44))))-(-5/-5)))))</f>
        <v>3104196.59872</v>
      </c>
      <c r="C18545" t="n" s="0">
        <v>3104196.59872</v>
      </c>
    </row>
    <row r="18546">
      <c r="A18546" t="n" s="0">
        <v>85.45</v>
      </c>
      <c r="B18546" t="n" s="0">
        <f>(-5-((((-5*(-5/((-5/(((-5*(85.45--5))-(-5+((-5*85.45)*(((-5--5)+(85.45--5))+85.45))))-(-5+-5)))*-5)))/-5)--5)+(-5*(((85.45*(85.45-(-5/-5)))*(85.45-(85.45/(-5*85.45))))-(-5/-5)))))</f>
        <v>3105288.3381250002</v>
      </c>
      <c r="C18546" t="n" s="0">
        <v>3105288.3381250007</v>
      </c>
    </row>
    <row r="18547">
      <c r="A18547" t="n" s="0">
        <v>85.46</v>
      </c>
      <c r="B18547" t="n" s="0">
        <f>(-5-((((-5*(-5/((-5/(((-5*(85.46--5))-(-5+((-5*85.46)*(((-5--5)+(85.46--5))+85.46))))-(-5+-5)))*-5)))/-5)--5)+(-5*(((85.46*(85.46-(-5/-5)))*(85.46-(85.46/(-5*85.46))))-(-5/-5)))))</f>
        <v>3106380.33348</v>
      </c>
      <c r="C18547" t="n" s="0">
        <v>3106380.333479999</v>
      </c>
    </row>
    <row r="18548">
      <c r="A18548" t="n" s="0">
        <v>85.47</v>
      </c>
      <c r="B18548" t="n" s="0">
        <f>(-5-((((-5*(-5/((-5/(((-5*(85.47--5))-(-5+((-5*85.47)*(((-5--5)+(85.47--5))+85.47))))-(-5+-5)))*-5)))/-5)--5)+(-5*(((85.47*(85.47-(-5/-5)))*(85.47-(85.47/(-5*85.47))))-(-5/-5)))))</f>
        <v>3107472.5848149997</v>
      </c>
      <c r="C18548" t="n" s="0">
        <v>3107472.584815</v>
      </c>
    </row>
    <row r="18549">
      <c r="A18549" t="n" s="0">
        <v>85.48</v>
      </c>
      <c r="B18549" t="n" s="0">
        <f>(-5-((((-5*(-5/((-5/(((-5*(85.48--5))-(-5+((-5*85.48)*(((-5--5)+(85.48--5))+85.48))))-(-5+-5)))*-5)))/-5)--5)+(-5*(((85.48*(85.48-(-5/-5)))*(85.48-(85.48/(-5*85.48))))-(-5/-5)))))</f>
        <v>3108565.09216</v>
      </c>
      <c r="C18549" t="n" s="0">
        <v>3108565.09216</v>
      </c>
    </row>
    <row r="18550">
      <c r="A18550" t="n" s="0">
        <v>85.49</v>
      </c>
      <c r="B18550" t="n" s="0">
        <f>(-5-((((-5*(-5/((-5/(((-5*(85.49--5))-(-5+((-5*85.49)*(((-5--5)+(85.49--5))+85.49))))-(-5+-5)))*-5)))/-5)--5)+(-5*(((85.49*(85.49-(-5/-5)))*(85.49-(85.49/(-5*85.49))))-(-5/-5)))))</f>
        <v>3109657.855545</v>
      </c>
      <c r="C18550" t="n" s="0">
        <v>3109657.8555449992</v>
      </c>
    </row>
    <row r="18551">
      <c r="A18551" t="n" s="0">
        <v>85.5</v>
      </c>
      <c r="B18551" t="n" s="0">
        <f>(-5-((((-5*(-5/((-5/(((-5*(85.5--5))-(-5+((-5*85.5)*(((-5--5)+(85.5--5))+85.5))))-(-5+-5)))*-5)))/-5)--5)+(-5*(((85.5*(85.5-(-5/-5)))*(85.5-(85.5/(-5*85.5))))-(-5/-5)))))</f>
        <v>3110750.875</v>
      </c>
      <c r="C18551" t="n" s="0">
        <v>3110750.875</v>
      </c>
    </row>
    <row r="18552">
      <c r="A18552" t="n" s="0">
        <v>85.51</v>
      </c>
      <c r="B18552" t="n" s="0">
        <f>(-5-((((-5*(-5/((-5/(((-5*(85.51--5))-(-5+((-5*85.51)*(((-5--5)+(85.51--5))+85.51))))-(-5+-5)))*-5)))/-5)--5)+(-5*(((85.51*(85.51-(-5/-5)))*(85.51-(85.51/(-5*85.51))))-(-5/-5)))))</f>
        <v>3111844.150555</v>
      </c>
      <c r="C18552" t="n" s="0">
        <v>3111844.150555</v>
      </c>
    </row>
    <row r="18553">
      <c r="A18553" t="n" s="0">
        <v>85.52</v>
      </c>
      <c r="B18553" t="n" s="0">
        <f>(-5-((((-5*(-5/((-5/(((-5*(85.52--5))-(-5+((-5*85.52)*(((-5--5)+(85.52--5))+85.52))))-(-5+-5)))*-5)))/-5)--5)+(-5*(((85.52*(85.52-(-5/-5)))*(85.52-(85.52/(-5*85.52))))-(-5/-5)))))</f>
        <v>3112937.68224</v>
      </c>
      <c r="C18553" t="n" s="0">
        <v>3112937.68224</v>
      </c>
    </row>
    <row r="18554">
      <c r="A18554" t="n" s="0">
        <v>85.53</v>
      </c>
      <c r="B18554" t="n" s="0">
        <f>(-5-((((-5*(-5/((-5/(((-5*(85.53--5))-(-5+((-5*85.53)*(((-5--5)+(85.53--5))+85.53))))-(-5+-5)))*-5)))/-5)--5)+(-5*(((85.53*(85.53-(-5/-5)))*(85.53-(85.53/(-5*85.53))))-(-5/-5)))))</f>
        <v>3114031.470085</v>
      </c>
      <c r="C18554" t="n" s="0">
        <v>3114031.470085</v>
      </c>
    </row>
    <row r="18555">
      <c r="A18555" t="n" s="0">
        <v>85.54</v>
      </c>
      <c r="B18555" t="n" s="0">
        <f>(-5-((((-5*(-5/((-5/(((-5*(85.54--5))-(-5+((-5*85.54)*(((-5--5)+(85.54--5))+85.54))))-(-5+-5)))*-5)))/-5)--5)+(-5*(((85.54*(85.54-(-5/-5)))*(85.54-(85.54/(-5*85.54))))-(-5/-5)))))</f>
        <v>3115125.51412</v>
      </c>
      <c r="C18555" t="n" s="0">
        <v>3115125.5141200013</v>
      </c>
    </row>
    <row r="18556">
      <c r="A18556" t="n" s="0">
        <v>85.55</v>
      </c>
      <c r="B18556" t="n" s="0">
        <f>(-5-((((-5*(-5/((-5/(((-5*(85.55--5))-(-5+((-5*85.55)*(((-5--5)+(85.55--5))+85.55))))-(-5+-5)))*-5)))/-5)--5)+(-5*(((85.55*(85.55-(-5/-5)))*(85.55-(85.55/(-5*85.55))))-(-5/-5)))))</f>
        <v>3116219.814375</v>
      </c>
      <c r="C18556" t="n" s="0">
        <v>3116219.814375</v>
      </c>
    </row>
    <row r="18557">
      <c r="A18557" t="n" s="0">
        <v>85.56</v>
      </c>
      <c r="B18557" t="n" s="0">
        <f>(-5-((((-5*(-5/((-5/(((-5*(85.56--5))-(-5+((-5*85.56)*(((-5--5)+(85.56--5))+85.56))))-(-5+-5)))*-5)))/-5)--5)+(-5*(((85.56*(85.56-(-5/-5)))*(85.56-(85.56/(-5*85.56))))-(-5/-5)))))</f>
        <v>3117314.3708800003</v>
      </c>
      <c r="C18557" t="n" s="0">
        <v>3117314.3708800008</v>
      </c>
    </row>
    <row r="18558">
      <c r="A18558" t="n" s="0">
        <v>85.57</v>
      </c>
      <c r="B18558" t="n" s="0">
        <f>(-5-((((-5*(-5/((-5/(((-5*(85.57--5))-(-5+((-5*85.57)*(((-5--5)+(85.57--5))+85.57))))-(-5+-5)))*-5)))/-5)--5)+(-5*(((85.57*(85.57-(-5/-5)))*(85.57-(85.57/(-5*85.57))))-(-5/-5)))))</f>
        <v>3118409.183665</v>
      </c>
      <c r="C18558" t="n" s="0">
        <v>3118409.1836649994</v>
      </c>
    </row>
    <row r="18559">
      <c r="A18559" t="n" s="0">
        <v>85.58</v>
      </c>
      <c r="B18559" t="n" s="0">
        <f>(-5-((((-5*(-5/((-5/(((-5*(85.58--5))-(-5+((-5*85.58)*(((-5--5)+(85.58--5))+85.58))))-(-5+-5)))*-5)))/-5)--5)+(-5*(((85.58*(85.58-(-5/-5)))*(85.58-(85.58/(-5*85.58))))-(-5/-5)))))</f>
        <v>3119504.25276</v>
      </c>
      <c r="C18559" t="n" s="0">
        <v>3119504.25276</v>
      </c>
    </row>
    <row r="18560">
      <c r="A18560" t="n" s="0">
        <v>85.59</v>
      </c>
      <c r="B18560" t="n" s="0">
        <f>(-5-((((-5*(-5/((-5/(((-5*(85.59--5))-(-5+((-5*85.59)*(((-5--5)+(85.59--5))+85.59))))-(-5+-5)))*-5)))/-5)--5)+(-5*(((85.59*(85.59-(-5/-5)))*(85.59-(85.59/(-5*85.59))))-(-5/-5)))))</f>
        <v>3120599.578195</v>
      </c>
      <c r="C18560" t="n" s="0">
        <v>3120599.578195</v>
      </c>
    </row>
    <row r="18561">
      <c r="A18561" t="n" s="0">
        <v>85.6</v>
      </c>
      <c r="B18561" t="n" s="0">
        <f>(-5-((((-5*(-5/((-5/(((-5*(85.6--5))-(-5+((-5*85.6)*(((-5--5)+(85.6--5))+85.6))))-(-5+-5)))*-5)))/-5)--5)+(-5*(((85.6*(85.6-(-5/-5)))*(85.6-(85.6/(-5*85.6))))-(-5/-5)))))</f>
        <v>3121695.16</v>
      </c>
      <c r="C18561" t="n" s="0">
        <v>3121695.1599999988</v>
      </c>
    </row>
    <row r="18562">
      <c r="A18562" t="n" s="0">
        <v>85.61</v>
      </c>
      <c r="B18562" t="n" s="0">
        <f>(-5-((((-5*(-5/((-5/(((-5*(85.61--5))-(-5+((-5*85.61)*(((-5--5)+(85.61--5))+85.61))))-(-5+-5)))*-5)))/-5)--5)+(-5*(((85.61*(85.61-(-5/-5)))*(85.61-(85.61/(-5*85.61))))-(-5/-5)))))</f>
        <v>3122790.998205</v>
      </c>
      <c r="C18562" t="n" s="0">
        <v>3122790.998205</v>
      </c>
    </row>
    <row r="18563">
      <c r="A18563" t="n" s="0">
        <v>85.62</v>
      </c>
      <c r="B18563" t="n" s="0">
        <f>(-5-((((-5*(-5/((-5/(((-5*(85.62--5))-(-5+((-5*85.62)*(((-5--5)+(85.62--5))+85.62))))-(-5+-5)))*-5)))/-5)--5)+(-5*(((85.62*(85.62-(-5/-5)))*(85.62-(85.62/(-5*85.62))))-(-5/-5)))))</f>
        <v>3123887.09284</v>
      </c>
      <c r="C18563" t="n" s="0">
        <v>3123887.09284</v>
      </c>
    </row>
    <row r="18564">
      <c r="A18564" t="n" s="0">
        <v>85.63</v>
      </c>
      <c r="B18564" t="n" s="0">
        <f>(-5-((((-5*(-5/((-5/(((-5*(85.63--5))-(-5+((-5*85.63)*(((-5--5)+(85.63--5))+85.63))))-(-5+-5)))*-5)))/-5)--5)+(-5*(((85.63*(85.63-(-5/-5)))*(85.63-(85.63/(-5*85.63))))-(-5/-5)))))</f>
        <v>3124983.443935</v>
      </c>
      <c r="C18564" t="n" s="0">
        <v>3124983.443935</v>
      </c>
    </row>
    <row r="18565">
      <c r="A18565" t="n" s="0">
        <v>85.64</v>
      </c>
      <c r="B18565" t="n" s="0">
        <f>(-5-((((-5*(-5/((-5/(((-5*(85.64--5))-(-5+((-5*85.64)*(((-5--5)+(85.64--5))+85.64))))-(-5+-5)))*-5)))/-5)--5)+(-5*(((85.64*(85.64-(-5/-5)))*(85.64-(85.64/(-5*85.64))))-(-5/-5)))))</f>
        <v>3126080.0515199997</v>
      </c>
      <c r="C18565" t="n" s="0">
        <v>3126080.05152</v>
      </c>
    </row>
    <row r="18566">
      <c r="A18566" t="n" s="0">
        <v>85.65</v>
      </c>
      <c r="B18566" t="n" s="0">
        <f>(-5-((((-5*(-5/((-5/(((-5*(85.65--5))-(-5+((-5*85.65)*(((-5--5)+(85.65--5))+85.65))))-(-5+-5)))*-5)))/-5)--5)+(-5*(((85.65*(85.65-(-5/-5)))*(85.65-(85.65/(-5*85.65))))-(-5/-5)))))</f>
        <v>3127176.915625</v>
      </c>
      <c r="C18566" t="n" s="0">
        <v>3127176.915625001</v>
      </c>
    </row>
    <row r="18567">
      <c r="A18567" t="n" s="0">
        <v>85.66</v>
      </c>
      <c r="B18567" t="n" s="0">
        <f>(-5-((((-5*(-5/((-5/(((-5*(85.66--5))-(-5+((-5*85.66)*(((-5--5)+(85.66--5))+85.66))))-(-5+-5)))*-5)))/-5)--5)+(-5*(((85.66*(85.66-(-5/-5)))*(85.66-(85.66/(-5*85.66))))-(-5/-5)))))</f>
        <v>3128274.03628</v>
      </c>
      <c r="C18567" t="n" s="0">
        <v>3128274.0362799997</v>
      </c>
    </row>
    <row r="18568">
      <c r="A18568" t="n" s="0">
        <v>85.67</v>
      </c>
      <c r="B18568" t="n" s="0">
        <f>(-5-((((-5*(-5/((-5/(((-5*(85.67--5))-(-5+((-5*85.67)*(((-5--5)+(85.67--5))+85.67))))-(-5+-5)))*-5)))/-5)--5)+(-5*(((85.67*(85.67-(-5/-5)))*(85.67-(85.67/(-5*85.67))))-(-5/-5)))))</f>
        <v>3129371.4135149997</v>
      </c>
      <c r="C18568" t="n" s="0">
        <v>3129371.4135149997</v>
      </c>
    </row>
    <row r="18569">
      <c r="A18569" t="n" s="0">
        <v>85.68</v>
      </c>
      <c r="B18569" t="n" s="0">
        <f>(-5-((((-5*(-5/((-5/(((-5*(85.68--5))-(-5+((-5*85.68)*(((-5--5)+(85.68--5))+85.68))))-(-5+-5)))*-5)))/-5)--5)+(-5*(((85.68*(85.68-(-5/-5)))*(85.68-(85.68/(-5*85.68))))-(-5/-5)))))</f>
        <v>3130469.04736</v>
      </c>
      <c r="C18569" t="n" s="0">
        <v>3130469.047360001</v>
      </c>
    </row>
    <row r="18570">
      <c r="A18570" t="n" s="0">
        <v>85.69</v>
      </c>
      <c r="B18570" t="n" s="0">
        <f>(-5-((((-5*(-5/((-5/(((-5*(85.69--5))-(-5+((-5*85.69)*(((-5--5)+(85.69--5))+85.69))))-(-5+-5)))*-5)))/-5)--5)+(-5*(((85.69*(85.69-(-5/-5)))*(85.69-(85.69/(-5*85.69))))-(-5/-5)))))</f>
        <v>3131566.937845</v>
      </c>
      <c r="C18570" t="n" s="0">
        <v>3131566.937845</v>
      </c>
    </row>
    <row r="18571">
      <c r="A18571" t="n" s="0">
        <v>85.7</v>
      </c>
      <c r="B18571" t="n" s="0">
        <f>(-5-((((-5*(-5/((-5/(((-5*(85.7--5))-(-5+((-5*85.7)*(((-5--5)+(85.7--5))+85.7))))-(-5+-5)))*-5)))/-5)--5)+(-5*(((85.7*(85.7-(-5/-5)))*(85.7-(85.7/(-5*85.7))))-(-5/-5)))))</f>
        <v>3132665.085</v>
      </c>
      <c r="C18571" t="n" s="0">
        <v>3132665.0850000004</v>
      </c>
    </row>
    <row r="18572">
      <c r="A18572" t="n" s="0">
        <v>85.71</v>
      </c>
      <c r="B18572" t="n" s="0">
        <f>(-5-((((-5*(-5/((-5/(((-5*(85.71--5))-(-5+((-5*85.71)*(((-5--5)+(85.71--5))+85.71))))-(-5+-5)))*-5)))/-5)--5)+(-5*(((85.71*(85.71-(-5/-5)))*(85.71-(85.71/(-5*85.71))))-(-5/-5)))))</f>
        <v>3133763.4888549997</v>
      </c>
      <c r="C18572" t="n" s="0">
        <v>3133763.4888549997</v>
      </c>
    </row>
    <row r="18573">
      <c r="A18573" t="n" s="0">
        <v>85.72</v>
      </c>
      <c r="B18573" t="n" s="0">
        <f>(-5-((((-5*(-5/((-5/(((-5*(85.72--5))-(-5+((-5*85.72)*(((-5--5)+(85.72--5))+85.72))))-(-5+-5)))*-5)))/-5)--5)+(-5*(((85.72*(85.72-(-5/-5)))*(85.72-(85.72/(-5*85.72))))-(-5/-5)))))</f>
        <v>3134862.14944</v>
      </c>
      <c r="C18573" t="n" s="0">
        <v>3134862.14944</v>
      </c>
    </row>
    <row r="18574">
      <c r="A18574" t="n" s="0">
        <v>85.73</v>
      </c>
      <c r="B18574" t="n" s="0">
        <f>(-5-((((-5*(-5/((-5/(((-5*(85.73--5))-(-5+((-5*85.73)*(((-5--5)+(85.73--5))+85.73))))-(-5+-5)))*-5)))/-5)--5)+(-5*(((85.73*(85.73-(-5/-5)))*(85.73-(85.73/(-5*85.73))))-(-5/-5)))))</f>
        <v>3135961.0667850003</v>
      </c>
      <c r="C18574" t="n" s="0">
        <v>3135961.0667850007</v>
      </c>
    </row>
    <row r="18575">
      <c r="A18575" t="n" s="0">
        <v>85.74</v>
      </c>
      <c r="B18575" t="n" s="0">
        <f>(-5-((((-5*(-5/((-5/(((-5*(85.74--5))-(-5+((-5*85.74)*(((-5--5)+(85.74--5))+85.74))))-(-5+-5)))*-5)))/-5)--5)+(-5*(((85.74*(85.74-(-5/-5)))*(85.74-(85.74/(-5*85.74))))-(-5/-5)))))</f>
        <v>3137060.24092</v>
      </c>
      <c r="C18575" t="n" s="0">
        <v>3137060.24092</v>
      </c>
    </row>
    <row r="18576">
      <c r="A18576" t="n" s="0">
        <v>85.75</v>
      </c>
      <c r="B18576" t="n" s="0">
        <f>(-5-((((-5*(-5/((-5/(((-5*(85.75--5))-(-5+((-5*85.75)*(((-5--5)+(85.75--5))+85.75))))-(-5+-5)))*-5)))/-5)--5)+(-5*(((85.75*(85.75-(-5/-5)))*(85.75-(85.75/(-5*85.75))))-(-5/-5)))))</f>
        <v>3138159.671875</v>
      </c>
      <c r="C18576" t="n" s="0">
        <v>3138159.671875</v>
      </c>
    </row>
    <row r="18577">
      <c r="A18577" t="n" s="0">
        <v>85.76</v>
      </c>
      <c r="B18577" t="n" s="0">
        <f>(-5-((((-5*(-5/((-5/(((-5*(85.76--5))-(-5+((-5*85.76)*(((-5--5)+(85.76--5))+85.76))))-(-5+-5)))*-5)))/-5)--5)+(-5*(((85.76*(85.76-(-5/-5)))*(85.76-(85.76/(-5*85.76))))-(-5/-5)))))</f>
        <v>3139259.3596799998</v>
      </c>
      <c r="C18577" t="n" s="0">
        <v>3139259.3596800007</v>
      </c>
    </row>
    <row r="18578">
      <c r="A18578" t="n" s="0">
        <v>85.77</v>
      </c>
      <c r="B18578" t="n" s="0">
        <f>(-5-((((-5*(-5/((-5/(((-5*(85.77--5))-(-5+((-5*85.77)*(((-5--5)+(85.77--5))+85.77))))-(-5+-5)))*-5)))/-5)--5)+(-5*(((85.77*(85.77-(-5/-5)))*(85.77-(85.77/(-5*85.77))))-(-5/-5)))))</f>
        <v>3140359.3043649998</v>
      </c>
      <c r="C18578" t="n" s="0">
        <v>3140359.304365</v>
      </c>
    </row>
    <row r="18579">
      <c r="A18579" t="n" s="0">
        <v>85.78</v>
      </c>
      <c r="B18579" t="n" s="0">
        <f>(-5-((((-5*(-5/((-5/(((-5*(85.78--5))-(-5+((-5*85.78)*(((-5--5)+(85.78--5))+85.78))))-(-5+-5)))*-5)))/-5)--5)+(-5*(((85.78*(85.78-(-5/-5)))*(85.78-(85.78/(-5*85.78))))-(-5/-5)))))</f>
        <v>3141459.5059599997</v>
      </c>
      <c r="C18579" t="n" s="0">
        <v>3141459.50596</v>
      </c>
    </row>
    <row r="18580">
      <c r="A18580" t="n" s="0">
        <v>85.79</v>
      </c>
      <c r="B18580" t="n" s="0">
        <f>(-5-((((-5*(-5/((-5/(((-5*(85.79--5))-(-5+((-5*85.79)*(((-5--5)+(85.79--5))+85.79))))-(-5+-5)))*-5)))/-5)--5)+(-5*(((85.79*(85.79-(-5/-5)))*(85.79-(85.79/(-5*85.79))))-(-5/-5)))))</f>
        <v>3142559.964495</v>
      </c>
      <c r="C18580" t="n" s="0">
        <v>3142559.9644950014</v>
      </c>
    </row>
    <row r="18581">
      <c r="A18581" t="n" s="0">
        <v>85.8</v>
      </c>
      <c r="B18581" t="n" s="0">
        <f>(-5-((((-5*(-5/((-5/(((-5*(85.8--5))-(-5+((-5*85.8)*(((-5--5)+(85.8--5))+85.8))))-(-5+-5)))*-5)))/-5)--5)+(-5*(((85.8*(85.8-(-5/-5)))*(85.8-(85.8/(-5*85.8))))-(-5/-5)))))</f>
        <v>3143660.68</v>
      </c>
      <c r="C18581" t="n" s="0">
        <v>3143660.6799999997</v>
      </c>
    </row>
    <row r="18582">
      <c r="A18582" t="n" s="0">
        <v>85.81</v>
      </c>
      <c r="B18582" t="n" s="0">
        <f>(-5-((((-5*(-5/((-5/(((-5*(85.81--5))-(-5+((-5*85.81)*(((-5--5)+(85.81--5))+85.81))))-(-5+-5)))*-5)))/-5)--5)+(-5*(((85.81*(85.81-(-5/-5)))*(85.81-(85.81/(-5*85.81))))-(-5/-5)))))</f>
        <v>3144761.652505</v>
      </c>
      <c r="C18582" t="n" s="0">
        <v>3144761.6525050006</v>
      </c>
    </row>
    <row r="18583">
      <c r="A18583" t="n" s="0">
        <v>85.82</v>
      </c>
      <c r="B18583" t="n" s="0">
        <f>(-5-((((-5*(-5/((-5/(((-5*(85.82--5))-(-5+((-5*85.82)*(((-5--5)+(85.82--5))+85.82))))-(-5+-5)))*-5)))/-5)--5)+(-5*(((85.82*(85.82-(-5/-5)))*(85.82-(85.82/(-5*85.82))))-(-5/-5)))))</f>
        <v>3145862.88204</v>
      </c>
      <c r="C18583" t="n" s="0">
        <v>3145862.882039999</v>
      </c>
    </row>
    <row r="18584">
      <c r="A18584" t="n" s="0">
        <v>85.83</v>
      </c>
      <c r="B18584" t="n" s="0">
        <f>(-5-((((-5*(-5/((-5/(((-5*(85.83--5))-(-5+((-5*85.83)*(((-5--5)+(85.83--5))+85.83))))-(-5+-5)))*-5)))/-5)--5)+(-5*(((85.83*(85.83-(-5/-5)))*(85.83-(85.83/(-5*85.83))))-(-5/-5)))))</f>
        <v>3146964.3686349997</v>
      </c>
      <c r="C18584" t="n" s="0">
        <v>3146964.368635</v>
      </c>
    </row>
    <row r="18585">
      <c r="A18585" t="n" s="0">
        <v>85.84</v>
      </c>
      <c r="B18585" t="n" s="0">
        <f>(-5-((((-5*(-5/((-5/(((-5*(85.84--5))-(-5+((-5*85.84)*(((-5--5)+(85.84--5))+85.84))))-(-5+-5)))*-5)))/-5)--5)+(-5*(((85.84*(85.84-(-5/-5)))*(85.84-(85.84/(-5*85.84))))-(-5/-5)))))</f>
        <v>3148066.11232</v>
      </c>
      <c r="C18585" t="n" s="0">
        <v>3148066.1123200003</v>
      </c>
    </row>
    <row r="18586">
      <c r="A18586" t="n" s="0">
        <v>85.85</v>
      </c>
      <c r="B18586" t="n" s="0">
        <f>(-5-((((-5*(-5/((-5/(((-5*(85.85--5))-(-5+((-5*85.85)*(((-5--5)+(85.85--5))+85.85))))-(-5+-5)))*-5)))/-5)--5)+(-5*(((85.85*(85.85-(-5/-5)))*(85.85-(85.85/(-5*85.85))))-(-5/-5)))))</f>
        <v>3149168.113125</v>
      </c>
      <c r="C18586" t="n" s="0">
        <v>3149168.1131249997</v>
      </c>
    </row>
    <row r="18587">
      <c r="A18587" t="n" s="0">
        <v>85.86</v>
      </c>
      <c r="B18587" t="n" s="0">
        <f>(-5-((((-5*(-5/((-5/(((-5*(85.86--5))-(-5+((-5*85.86)*(((-5--5)+(85.86--5))+85.86))))-(-5+-5)))*-5)))/-5)--5)+(-5*(((85.86*(85.86-(-5/-5)))*(85.86-(85.86/(-5*85.86))))-(-5/-5)))))</f>
        <v>3150270.37108</v>
      </c>
      <c r="C18587" t="n" s="0">
        <v>3150270.3710800004</v>
      </c>
    </row>
    <row r="18588">
      <c r="A18588" t="n" s="0">
        <v>85.87</v>
      </c>
      <c r="B18588" t="n" s="0">
        <f>(-5-((((-5*(-5/((-5/(((-5*(85.87--5))-(-5+((-5*85.87)*(((-5--5)+(85.87--5))+85.87))))-(-5+-5)))*-5)))/-5)--5)+(-5*(((85.87*(85.87-(-5/-5)))*(85.87-(85.87/(-5*85.87))))-(-5/-5)))))</f>
        <v>3151372.886215</v>
      </c>
      <c r="C18588" t="n" s="0">
        <v>3151372.8862150004</v>
      </c>
    </row>
    <row r="18589">
      <c r="A18589" t="n" s="0">
        <v>85.88</v>
      </c>
      <c r="B18589" t="n" s="0">
        <f>(-5-((((-5*(-5/((-5/(((-5*(85.88--5))-(-5+((-5*85.88)*(((-5--5)+(85.88--5))+85.88))))-(-5+-5)))*-5)))/-5)--5)+(-5*(((85.88*(85.88-(-5/-5)))*(85.88-(85.88/(-5*85.88))))-(-5/-5)))))</f>
        <v>3152475.6585600004</v>
      </c>
      <c r="C18589" t="n" s="0">
        <v>3152475.6585599994</v>
      </c>
    </row>
    <row r="18590">
      <c r="A18590" t="n" s="0">
        <v>85.89</v>
      </c>
      <c r="B18590" t="n" s="0">
        <f>(-5-((((-5*(-5/((-5/(((-5*(85.89--5))-(-5+((-5*85.89)*(((-5--5)+(85.89--5))+85.89))))-(-5+-5)))*-5)))/-5)--5)+(-5*(((85.89*(85.89-(-5/-5)))*(85.89-(85.89/(-5*85.89))))-(-5/-5)))))</f>
        <v>3153578.688145</v>
      </c>
      <c r="C18590" t="n" s="0">
        <v>3153578.688145</v>
      </c>
    </row>
    <row r="18591">
      <c r="A18591" t="n" s="0">
        <v>85.9</v>
      </c>
      <c r="B18591" t="n" s="0">
        <f>(-5-((((-5*(-5/((-5/(((-5*(85.9--5))-(-5+((-5*85.9)*(((-5--5)+(85.9--5))+85.9))))-(-5+-5)))*-5)))/-5)--5)+(-5*(((85.9*(85.9-(-5/-5)))*(85.9-(85.9/(-5*85.9))))-(-5/-5)))))</f>
        <v>3154681.975</v>
      </c>
      <c r="C18591" t="n" s="0">
        <v>3154681.9750000006</v>
      </c>
    </row>
    <row r="18592">
      <c r="A18592" t="n" s="0">
        <v>85.91</v>
      </c>
      <c r="B18592" t="n" s="0">
        <f>(-5-((((-5*(-5/((-5/(((-5*(85.91--5))-(-5+((-5*85.91)*(((-5--5)+(85.91--5))+85.91))))-(-5+-5)))*-5)))/-5)--5)+(-5*(((85.91*(85.91-(-5/-5)))*(85.91-(85.91/(-5*85.91))))-(-5/-5)))))</f>
        <v>3155785.5191550003</v>
      </c>
      <c r="C18592" t="n" s="0">
        <v>3155785.519155</v>
      </c>
    </row>
    <row r="18593">
      <c r="A18593" t="n" s="0">
        <v>85.92</v>
      </c>
      <c r="B18593" t="n" s="0">
        <f>(-5-((((-5*(-5/((-5/(((-5*(85.92--5))-(-5+((-5*85.92)*(((-5--5)+(85.92--5))+85.92))))-(-5+-5)))*-5)))/-5)--5)+(-5*(((85.92*(85.92-(-5/-5)))*(85.92-(85.92/(-5*85.92))))-(-5/-5)))))</f>
        <v>3156889.32064</v>
      </c>
      <c r="C18593" t="n" s="0">
        <v>3156889.3206399996</v>
      </c>
    </row>
    <row r="18594">
      <c r="A18594" t="n" s="0">
        <v>85.93</v>
      </c>
      <c r="B18594" t="n" s="0">
        <f>(-5-((((-5*(-5/((-5/(((-5*(85.93--5))-(-5+((-5*85.93)*(((-5--5)+(85.93--5))+85.93))))-(-5+-5)))*-5)))/-5)--5)+(-5*(((85.93*(85.93-(-5/-5)))*(85.93-(85.93/(-5*85.93))))-(-5/-5)))))</f>
        <v>3157993.379485</v>
      </c>
      <c r="C18594" t="n" s="0">
        <v>3157993.379485001</v>
      </c>
    </row>
    <row r="18595">
      <c r="A18595" t="n" s="0">
        <v>85.94</v>
      </c>
      <c r="B18595" t="n" s="0">
        <f>(-5-((((-5*(-5/((-5/(((-5*(85.94--5))-(-5+((-5*85.94)*(((-5--5)+(85.94--5))+85.94))))-(-5+-5)))*-5)))/-5)--5)+(-5*(((85.94*(85.94-(-5/-5)))*(85.94-(85.94/(-5*85.94))))-(-5/-5)))))</f>
        <v>3159097.69572</v>
      </c>
      <c r="C18595" t="n" s="0">
        <v>3159097.6957199993</v>
      </c>
    </row>
    <row r="18596">
      <c r="A18596" t="n" s="0">
        <v>85.95</v>
      </c>
      <c r="B18596" t="n" s="0">
        <f>(-5-((((-5*(-5/((-5/(((-5*(85.95--5))-(-5+((-5*85.95)*(((-5--5)+(85.95--5))+85.95))))-(-5+-5)))*-5)))/-5)--5)+(-5*(((85.95*(85.95-(-5/-5)))*(85.95-(85.95/(-5*85.95))))-(-5/-5)))))</f>
        <v>3160202.269375</v>
      </c>
      <c r="C18596" t="n" s="0">
        <v>3160202.269375</v>
      </c>
    </row>
    <row r="18597">
      <c r="A18597" t="n" s="0">
        <v>85.96</v>
      </c>
      <c r="B18597" t="n" s="0">
        <f>(-5-((((-5*(-5/((-5/(((-5*(85.96--5))-(-5+((-5*85.96)*(((-5--5)+(85.96--5))+85.96))))-(-5+-5)))*-5)))/-5)--5)+(-5*(((85.96*(85.96-(-5/-5)))*(85.96-(85.96/(-5*85.96))))-(-5/-5)))))</f>
        <v>3161307.10048</v>
      </c>
      <c r="C18597" t="n" s="0">
        <v>3161307.1004799996</v>
      </c>
    </row>
    <row r="18598">
      <c r="A18598" t="n" s="0">
        <v>85.97</v>
      </c>
      <c r="B18598" t="n" s="0">
        <f>(-5-((((-5*(-5/((-5/(((-5*(85.97--5))-(-5+((-5*85.97)*(((-5--5)+(85.97--5))+85.97))))-(-5+-5)))*-5)))/-5)--5)+(-5*(((85.97*(85.97-(-5/-5)))*(85.97-(85.97/(-5*85.97))))-(-5/-5)))))</f>
        <v>3162412.1890649996</v>
      </c>
      <c r="C18598" t="n" s="0">
        <v>3162412.189065</v>
      </c>
    </row>
    <row r="18599">
      <c r="A18599" t="n" s="0">
        <v>85.98</v>
      </c>
      <c r="B18599" t="n" s="0">
        <f>(-5-((((-5*(-5/((-5/(((-5*(85.98--5))-(-5+((-5*85.98)*(((-5--5)+(85.98--5))+85.98))))-(-5+-5)))*-5)))/-5)--5)+(-5*(((85.98*(85.98-(-5/-5)))*(85.98-(85.98/(-5*85.98))))-(-5/-5)))))</f>
        <v>3163517.53516</v>
      </c>
      <c r="C18599" t="n" s="0">
        <v>3163517.53516</v>
      </c>
    </row>
    <row r="18600">
      <c r="A18600" t="n" s="0">
        <v>85.99</v>
      </c>
      <c r="B18600" t="n" s="0">
        <f>(-5-((((-5*(-5/((-5/(((-5*(85.99--5))-(-5+((-5*85.99)*(((-5--5)+(85.99--5))+85.99))))-(-5+-5)))*-5)))/-5)--5)+(-5*(((85.99*(85.99-(-5/-5)))*(85.99-(85.99/(-5*85.99))))-(-5/-5)))))</f>
        <v>3164623.138795</v>
      </c>
      <c r="C18600" t="n" s="0">
        <v>3164623.1387949996</v>
      </c>
    </row>
    <row r="18601">
      <c r="A18601" t="n" s="0">
        <v>86.0</v>
      </c>
      <c r="B18601" t="n" s="0">
        <f>(-5-((((-5*(-5/((-5/(((-5*(86--5))-(-5+((-5*86)*(((-5--5)+(86--5))+86))))-(-5+-5)))*-5)))/-5)--5)+(-5*(((86*(86-(-5/-5)))*(86-(86/(-5*86))))-(-5/-5)))))</f>
        <v>3165729.0</v>
      </c>
      <c r="C18601" t="n" s="0">
        <v>3165729.0</v>
      </c>
    </row>
    <row r="18602">
      <c r="A18602" t="n" s="0">
        <v>86.01</v>
      </c>
      <c r="B18602" t="n" s="0">
        <f>(-5-((((-5*(-5/((-5/(((-5*(86.01--5))-(-5+((-5*86.01)*(((-5--5)+(86.01--5))+86.01))))-(-5+-5)))*-5)))/-5)--5)+(-5*(((86.01*(86.01-(-5/-5)))*(86.01-(86.01/(-5*86.01))))-(-5/-5)))))</f>
        <v>3166835.118805</v>
      </c>
      <c r="C18602" t="n" s="0">
        <v>3166835.118805</v>
      </c>
    </row>
    <row r="18603">
      <c r="A18603" t="n" s="0">
        <v>86.02</v>
      </c>
      <c r="B18603" t="n" s="0">
        <f>(-5-((((-5*(-5/((-5/(((-5*(86.02--5))-(-5+((-5*86.02)*(((-5--5)+(86.02--5))+86.02))))-(-5+-5)))*-5)))/-5)--5)+(-5*(((86.02*(86.02-(-5/-5)))*(86.02-(86.02/(-5*86.02))))-(-5/-5)))))</f>
        <v>3167941.49524</v>
      </c>
      <c r="C18603" t="n" s="0">
        <v>3167941.49524</v>
      </c>
    </row>
    <row r="18604">
      <c r="A18604" t="n" s="0">
        <v>86.03</v>
      </c>
      <c r="B18604" t="n" s="0">
        <f>(-5-((((-5*(-5/((-5/(((-5*(86.03--5))-(-5+((-5*86.03)*(((-5--5)+(86.03--5))+86.03))))-(-5+-5)))*-5)))/-5)--5)+(-5*(((86.03*(86.03-(-5/-5)))*(86.03-(86.03/(-5*86.03))))-(-5/-5)))))</f>
        <v>3169048.129335</v>
      </c>
      <c r="C18604" t="n" s="0">
        <v>3169048.129335</v>
      </c>
    </row>
    <row r="18605">
      <c r="A18605" t="n" s="0">
        <v>86.04</v>
      </c>
      <c r="B18605" t="n" s="0">
        <f>(-5-((((-5*(-5/((-5/(((-5*(86.04--5))-(-5+((-5*86.04)*(((-5--5)+(86.04--5))+86.04))))-(-5+-5)))*-5)))/-5)--5)+(-5*(((86.04*(86.04-(-5/-5)))*(86.04-(86.04/(-5*86.04))))-(-5/-5)))))</f>
        <v>3170155.02112</v>
      </c>
      <c r="C18605" t="n" s="0">
        <v>3170155.0211200006</v>
      </c>
    </row>
    <row r="18606">
      <c r="A18606" t="n" s="0">
        <v>86.05</v>
      </c>
      <c r="B18606" t="n" s="0">
        <f>(-5-((((-5*(-5/((-5/(((-5*(86.05--5))-(-5+((-5*86.05)*(((-5--5)+(86.05--5))+86.05))))-(-5+-5)))*-5)))/-5)--5)+(-5*(((86.05*(86.05-(-5/-5)))*(86.05-(86.05/(-5*86.05))))-(-5/-5)))))</f>
        <v>3171262.170625</v>
      </c>
      <c r="C18606" t="n" s="0">
        <v>3171262.170625</v>
      </c>
    </row>
    <row r="18607">
      <c r="A18607" t="n" s="0">
        <v>86.06</v>
      </c>
      <c r="B18607" t="n" s="0">
        <f>(-5-((((-5*(-5/((-5/(((-5*(86.06--5))-(-5+((-5*86.06)*(((-5--5)+(86.06--5))+86.06))))-(-5+-5)))*-5)))/-5)--5)+(-5*(((86.06*(86.06-(-5/-5)))*(86.06-(86.06/(-5*86.06))))-(-5/-5)))))</f>
        <v>3172369.57788</v>
      </c>
      <c r="C18607" t="n" s="0">
        <v>3172369.57788</v>
      </c>
    </row>
    <row r="18608">
      <c r="A18608" t="n" s="0">
        <v>86.07</v>
      </c>
      <c r="B18608" t="n" s="0">
        <f>(-5-((((-5*(-5/((-5/(((-5*(86.07--5))-(-5+((-5*86.07)*(((-5--5)+(86.07--5))+86.07))))-(-5+-5)))*-5)))/-5)--5)+(-5*(((86.07*(86.07-(-5/-5)))*(86.07-(86.07/(-5*86.07))))-(-5/-5)))))</f>
        <v>3173477.242915</v>
      </c>
      <c r="C18608" t="n" s="0">
        <v>3173477.242914999</v>
      </c>
    </row>
    <row r="18609">
      <c r="A18609" t="n" s="0">
        <v>86.08</v>
      </c>
      <c r="B18609" t="n" s="0">
        <f>(-5-((((-5*(-5/((-5/(((-5*(86.08--5))-(-5+((-5*86.08)*(((-5--5)+(86.08--5))+86.08))))-(-5+-5)))*-5)))/-5)--5)+(-5*(((86.08*(86.08-(-5/-5)))*(86.08-(86.08/(-5*86.08))))-(-5/-5)))))</f>
        <v>3174585.16576</v>
      </c>
      <c r="C18609" t="n" s="0">
        <v>3174585.16576</v>
      </c>
    </row>
    <row r="18610">
      <c r="A18610" t="n" s="0">
        <v>86.09</v>
      </c>
      <c r="B18610" t="n" s="0">
        <f>(-5-((((-5*(-5/((-5/(((-5*(86.09--5))-(-5+((-5*86.09)*(((-5--5)+(86.09--5))+86.09))))-(-5+-5)))*-5)))/-5)--5)+(-5*(((86.09*(86.09-(-5/-5)))*(86.09-(86.09/(-5*86.09))))-(-5/-5)))))</f>
        <v>3175693.346445</v>
      </c>
      <c r="C18610" t="n" s="0">
        <v>3175693.3464450007</v>
      </c>
    </row>
    <row r="18611">
      <c r="A18611" t="n" s="0">
        <v>86.1</v>
      </c>
      <c r="B18611" t="n" s="0">
        <f>(-5-((((-5*(-5/((-5/(((-5*(86.1--5))-(-5+((-5*86.1)*(((-5--5)+(86.1--5))+86.1))))-(-5+-5)))*-5)))/-5)--5)+(-5*(((86.1*(86.1-(-5/-5)))*(86.1-(86.1/(-5*86.1))))-(-5/-5)))))</f>
        <v>3176801.7849999997</v>
      </c>
      <c r="C18611" t="n" s="0">
        <v>3176801.784999999</v>
      </c>
    </row>
    <row r="18612">
      <c r="A18612" t="n" s="0">
        <v>86.11</v>
      </c>
      <c r="B18612" t="n" s="0">
        <f>(-5-((((-5*(-5/((-5/(((-5*(86.11--5))-(-5+((-5*86.11)*(((-5--5)+(86.11--5))+86.11))))-(-5+-5)))*-5)))/-5)--5)+(-5*(((86.11*(86.11-(-5/-5)))*(86.11-(86.11/(-5*86.11))))-(-5/-5)))))</f>
        <v>3177910.481455</v>
      </c>
      <c r="C18612" t="n" s="0">
        <v>3177910.481455</v>
      </c>
    </row>
    <row r="18613">
      <c r="A18613" t="n" s="0">
        <v>86.12</v>
      </c>
      <c r="B18613" t="n" s="0">
        <f>(-5-((((-5*(-5/((-5/(((-5*(86.12--5))-(-5+((-5*86.12)*(((-5--5)+(86.12--5))+86.12))))-(-5+-5)))*-5)))/-5)--5)+(-5*(((86.12*(86.12-(-5/-5)))*(86.12-(86.12/(-5*86.12))))-(-5/-5)))))</f>
        <v>3179019.4358400004</v>
      </c>
      <c r="C18613" t="n" s="0">
        <v>3179019.4358400004</v>
      </c>
    </row>
    <row r="18614">
      <c r="A18614" t="n" s="0">
        <v>86.13</v>
      </c>
      <c r="B18614" t="n" s="0">
        <f>(-5-((((-5*(-5/((-5/(((-5*(86.13--5))-(-5+((-5*86.13)*(((-5--5)+(86.13--5))+86.13))))-(-5+-5)))*-5)))/-5)--5)+(-5*(((86.13*(86.13-(-5/-5)))*(86.13-(86.13/(-5*86.13))))-(-5/-5)))))</f>
        <v>3180128.6481850003</v>
      </c>
      <c r="C18614" t="n" s="0">
        <v>3180128.6481849994</v>
      </c>
    </row>
    <row r="18615">
      <c r="A18615" t="n" s="0">
        <v>86.14</v>
      </c>
      <c r="B18615" t="n" s="0">
        <f>(-5-((((-5*(-5/((-5/(((-5*(86.14--5))-(-5+((-5*86.14)*(((-5--5)+(86.14--5))+86.14))))-(-5+-5)))*-5)))/-5)--5)+(-5*(((86.14*(86.14-(-5/-5)))*(86.14-(86.14/(-5*86.14))))-(-5/-5)))))</f>
        <v>3181238.11852</v>
      </c>
      <c r="C18615" t="n" s="0">
        <v>3181238.11852</v>
      </c>
    </row>
    <row r="18616">
      <c r="A18616" t="n" s="0">
        <v>86.15</v>
      </c>
      <c r="B18616" t="n" s="0">
        <f>(-5-((((-5*(-5/((-5/(((-5*(86.15--5))-(-5+((-5*86.15)*(((-5--5)+(86.15--5))+86.15))))-(-5+-5)))*-5)))/-5)--5)+(-5*(((86.15*(86.15-(-5/-5)))*(86.15-(86.15/(-5*86.15))))-(-5/-5)))))</f>
        <v>3182347.8468750003</v>
      </c>
      <c r="C18616" t="n" s="0">
        <v>3182347.8468750007</v>
      </c>
    </row>
    <row r="18617">
      <c r="A18617" t="n" s="0">
        <v>86.16</v>
      </c>
      <c r="B18617" t="n" s="0">
        <f>(-5-((((-5*(-5/((-5/(((-5*(86.16--5))-(-5+((-5*86.16)*(((-5--5)+(86.16--5))+86.16))))-(-5+-5)))*-5)))/-5)--5)+(-5*(((86.16*(86.16-(-5/-5)))*(86.16-(86.16/(-5*86.16))))-(-5/-5)))))</f>
        <v>3183457.83328</v>
      </c>
      <c r="C18617" t="n" s="0">
        <v>3183457.8332799994</v>
      </c>
    </row>
    <row r="18618">
      <c r="A18618" t="n" s="0">
        <v>86.17</v>
      </c>
      <c r="B18618" t="n" s="0">
        <f>(-5-((((-5*(-5/((-5/(((-5*(86.17--5))-(-5+((-5*86.17)*(((-5--5)+(86.17--5))+86.17))))-(-5+-5)))*-5)))/-5)--5)+(-5*(((86.17*(86.17-(-5/-5)))*(86.17-(86.17/(-5*86.17))))-(-5/-5)))))</f>
        <v>3184568.077765</v>
      </c>
      <c r="C18618" t="n" s="0">
        <v>3184568.077765</v>
      </c>
    </row>
    <row r="18619">
      <c r="A18619" t="n" s="0">
        <v>86.18</v>
      </c>
      <c r="B18619" t="n" s="0">
        <f>(-5-((((-5*(-5/((-5/(((-5*(86.18--5))-(-5+((-5*86.18)*(((-5--5)+(86.18--5))+86.18))))-(-5+-5)))*-5)))/-5)--5)+(-5*(((86.18*(86.18-(-5/-5)))*(86.18-(86.18/(-5*86.18))))-(-5/-5)))))</f>
        <v>3185678.58036</v>
      </c>
      <c r="C18619" t="n" s="0">
        <v>3185678.580360001</v>
      </c>
    </row>
    <row r="18620">
      <c r="A18620" t="n" s="0">
        <v>86.19</v>
      </c>
      <c r="B18620" t="n" s="0">
        <f>(-5-((((-5*(-5/((-5/(((-5*(86.19--5))-(-5+((-5*86.19)*(((-5--5)+(86.19--5))+86.19))))-(-5+-5)))*-5)))/-5)--5)+(-5*(((86.19*(86.19-(-5/-5)))*(86.19-(86.19/(-5*86.19))))-(-5/-5)))))</f>
        <v>3186789.341095</v>
      </c>
      <c r="C18620" t="n" s="0">
        <v>3186789.3410949996</v>
      </c>
    </row>
    <row r="18621">
      <c r="A18621" t="n" s="0">
        <v>86.2</v>
      </c>
      <c r="B18621" t="n" s="0">
        <f>(-5-((((-5*(-5/((-5/(((-5*(86.2--5))-(-5+((-5*86.2)*(((-5--5)+(86.2--5))+86.2))))-(-5+-5)))*-5)))/-5)--5)+(-5*(((86.2*(86.2-(-5/-5)))*(86.2-(86.2/(-5*86.2))))-(-5/-5)))))</f>
        <v>3187900.3600000003</v>
      </c>
      <c r="C18621" t="n" s="0">
        <v>3187900.360000001</v>
      </c>
    </row>
    <row r="18622">
      <c r="A18622" t="n" s="0">
        <v>86.21</v>
      </c>
      <c r="B18622" t="n" s="0">
        <f>(-5-((((-5*(-5/((-5/(((-5*(86.21--5))-(-5+((-5*86.21)*(((-5--5)+(86.21--5))+86.21))))-(-5+-5)))*-5)))/-5)--5)+(-5*(((86.21*(86.21-(-5/-5)))*(86.21-(86.21/(-5*86.21))))-(-5/-5)))))</f>
        <v>3189011.637105</v>
      </c>
      <c r="C18622" t="n" s="0">
        <v>3189011.6371049993</v>
      </c>
    </row>
    <row r="18623">
      <c r="A18623" t="n" s="0">
        <v>86.22</v>
      </c>
      <c r="B18623" t="n" s="0">
        <f>(-5-((((-5*(-5/((-5/(((-5*(86.22--5))-(-5+((-5*86.22)*(((-5--5)+(86.22--5))+86.22))))-(-5+-5)))*-5)))/-5)--5)+(-5*(((86.22*(86.22-(-5/-5)))*(86.22-(86.22/(-5*86.22))))-(-5/-5)))))</f>
        <v>3190123.17244</v>
      </c>
      <c r="C18623" t="n" s="0">
        <v>3190123.17244</v>
      </c>
    </row>
    <row r="18624">
      <c r="A18624" t="n" s="0">
        <v>86.23</v>
      </c>
      <c r="B18624" t="n" s="0">
        <f>(-5-((((-5*(-5/((-5/(((-5*(86.23--5))-(-5+((-5*86.23)*(((-5--5)+(86.23--5))+86.23))))-(-5+-5)))*-5)))/-5)--5)+(-5*(((86.23*(86.23-(-5/-5)))*(86.23-(86.23/(-5*86.23))))-(-5/-5)))))</f>
        <v>3191234.966035</v>
      </c>
      <c r="C18624" t="n" s="0">
        <v>3191234.9660350005</v>
      </c>
    </row>
    <row r="18625">
      <c r="A18625" t="n" s="0">
        <v>86.24</v>
      </c>
      <c r="B18625" t="n" s="0">
        <f>(-5-((((-5*(-5/((-5/(((-5*(86.24--5))-(-5+((-5*86.24)*(((-5--5)+(86.24--5))+86.24))))-(-5+-5)))*-5)))/-5)--5)+(-5*(((86.24*(86.24-(-5/-5)))*(86.24-(86.24/(-5*86.24))))-(-5/-5)))))</f>
        <v>3192347.01792</v>
      </c>
      <c r="C18625" t="n" s="0">
        <v>3192347.01792</v>
      </c>
    </row>
    <row r="18626">
      <c r="A18626" t="n" s="0">
        <v>86.25</v>
      </c>
      <c r="B18626" t="n" s="0">
        <f>(-5-((((-5*(-5/((-5/(((-5*(86.25--5))-(-5+((-5*86.25)*(((-5--5)+(86.25--5))+86.25))))-(-5+-5)))*-5)))/-5)--5)+(-5*(((86.25*(86.25-(-5/-5)))*(86.25-(86.25/(-5*86.25))))-(-5/-5)))))</f>
        <v>3193459.328125</v>
      </c>
      <c r="C18626" t="n" s="0">
        <v>3193459.328125</v>
      </c>
    </row>
    <row r="18627">
      <c r="A18627" t="n" s="0">
        <v>86.26</v>
      </c>
      <c r="B18627" t="n" s="0">
        <f>(-5-((((-5*(-5/((-5/(((-5*(86.26--5))-(-5+((-5*86.26)*(((-5--5)+(86.26--5))+86.26))))-(-5+-5)))*-5)))/-5)--5)+(-5*(((86.26*(86.26-(-5/-5)))*(86.26-(86.26/(-5*86.26))))-(-5/-5)))))</f>
        <v>3194571.89668</v>
      </c>
      <c r="C18627" t="n" s="0">
        <v>3194571.8966800002</v>
      </c>
    </row>
    <row r="18628">
      <c r="A18628" t="n" s="0">
        <v>86.27</v>
      </c>
      <c r="B18628" t="n" s="0">
        <f>(-5-((((-5*(-5/((-5/(((-5*(86.27--5))-(-5+((-5*86.27)*(((-5--5)+(86.27--5))+86.27))))-(-5+-5)))*-5)))/-5)--5)+(-5*(((86.27*(86.27-(-5/-5)))*(86.27-(86.27/(-5*86.27))))-(-5/-5)))))</f>
        <v>3195684.723615</v>
      </c>
      <c r="C18628" t="n" s="0">
        <v>3195684.7236149996</v>
      </c>
    </row>
    <row r="18629">
      <c r="A18629" t="n" s="0">
        <v>86.28</v>
      </c>
      <c r="B18629" t="n" s="0">
        <f>(-5-((((-5*(-5/((-5/(((-5*(86.28--5))-(-5+((-5*86.28)*(((-5--5)+(86.28--5))+86.28))))-(-5+-5)))*-5)))/-5)--5)+(-5*(((86.28*(86.28-(-5/-5)))*(86.28-(86.28/(-5*86.28))))-(-5/-5)))))</f>
        <v>3196797.80896</v>
      </c>
      <c r="C18629" t="n" s="0">
        <v>3196797.8089600005</v>
      </c>
    </row>
    <row r="18630">
      <c r="A18630" t="n" s="0">
        <v>86.29</v>
      </c>
      <c r="B18630" t="n" s="0">
        <f>(-5-((((-5*(-5/((-5/(((-5*(86.29--5))-(-5+((-5*86.29)*(((-5--5)+(86.29--5))+86.29))))-(-5+-5)))*-5)))/-5)--5)+(-5*(((86.29*(86.29-(-5/-5)))*(86.29-(86.29/(-5*86.29))))-(-5/-5)))))</f>
        <v>3197911.152745</v>
      </c>
      <c r="C18630" t="n" s="0">
        <v>3197911.152745001</v>
      </c>
    </row>
    <row r="18631">
      <c r="A18631" t="n" s="0">
        <v>86.3</v>
      </c>
      <c r="B18631" t="n" s="0">
        <f>(-5-((((-5*(-5/((-5/(((-5*(86.3--5))-(-5+((-5*86.3)*(((-5--5)+(86.3--5))+86.3))))-(-5+-5)))*-5)))/-5)--5)+(-5*(((86.3*(86.3-(-5/-5)))*(86.3-(86.3/(-5*86.3))))-(-5/-5)))))</f>
        <v>3199024.755</v>
      </c>
      <c r="C18631" t="n" s="0">
        <v>3199024.7549999994</v>
      </c>
    </row>
    <row r="18632">
      <c r="A18632" t="n" s="0">
        <v>86.31</v>
      </c>
      <c r="B18632" t="n" s="0">
        <f>(-5-((((-5*(-5/((-5/(((-5*(86.31--5))-(-5+((-5*86.31)*(((-5--5)+(86.31--5))+86.31))))-(-5+-5)))*-5)))/-5)--5)+(-5*(((86.31*(86.31-(-5/-5)))*(86.31-(86.31/(-5*86.31))))-(-5/-5)))))</f>
        <v>3200138.6157549997</v>
      </c>
      <c r="C18632" t="n" s="0">
        <v>3200138.6157550006</v>
      </c>
    </row>
    <row r="18633">
      <c r="A18633" t="n" s="0">
        <v>86.32</v>
      </c>
      <c r="B18633" t="n" s="0">
        <f>(-5-((((-5*(-5/((-5/(((-5*(86.32--5))-(-5+((-5*86.32)*(((-5--5)+(86.32--5))+86.32))))-(-5+-5)))*-5)))/-5)--5)+(-5*(((86.32*(86.32-(-5/-5)))*(86.32-(86.32/(-5*86.32))))-(-5/-5)))))</f>
        <v>3201252.7350399997</v>
      </c>
      <c r="C18633" t="n" s="0">
        <v>3201252.7350399992</v>
      </c>
    </row>
    <row r="18634">
      <c r="A18634" t="n" s="0">
        <v>86.33</v>
      </c>
      <c r="B18634" t="n" s="0">
        <f>(-5-((((-5*(-5/((-5/(((-5*(86.33--5))-(-5+((-5*86.33)*(((-5--5)+(86.33--5))+86.33))))-(-5+-5)))*-5)))/-5)--5)+(-5*(((86.33*(86.33-(-5/-5)))*(86.33-(86.33/(-5*86.33))))-(-5/-5)))))</f>
        <v>3202367.112885</v>
      </c>
      <c r="C18634" t="n" s="0">
        <v>3202367.1128850006</v>
      </c>
    </row>
    <row r="18635">
      <c r="A18635" t="n" s="0">
        <v>86.34</v>
      </c>
      <c r="B18635" t="n" s="0">
        <f>(-5-((((-5*(-5/((-5/(((-5*(86.34--5))-(-5+((-5*86.34)*(((-5--5)+(86.34--5))+86.34))))-(-5+-5)))*-5)))/-5)--5)+(-5*(((86.34*(86.34-(-5/-5)))*(86.34-(86.34/(-5*86.34))))-(-5/-5)))))</f>
        <v>3203481.74932</v>
      </c>
      <c r="C18635" t="n" s="0">
        <v>3203481.74932</v>
      </c>
    </row>
    <row r="18636">
      <c r="A18636" t="n" s="0">
        <v>86.35</v>
      </c>
      <c r="B18636" t="n" s="0">
        <f>(-5-((((-5*(-5/((-5/(((-5*(86.35--5))-(-5+((-5*86.35)*(((-5--5)+(86.35--5))+86.35))))-(-5+-5)))*-5)))/-5)--5)+(-5*(((86.35*(86.35-(-5/-5)))*(86.35-(86.35/(-5*86.35))))-(-5/-5)))))</f>
        <v>3204596.644375</v>
      </c>
      <c r="C18636" t="n" s="0">
        <v>3204596.6443749988</v>
      </c>
    </row>
    <row r="18637">
      <c r="A18637" t="n" s="0">
        <v>86.36</v>
      </c>
      <c r="B18637" t="n" s="0">
        <f>(-5-((((-5*(-5/((-5/(((-5*(86.36--5))-(-5+((-5*86.36)*(((-5--5)+(86.36--5))+86.36))))-(-5+-5)))*-5)))/-5)--5)+(-5*(((86.36*(86.36-(-5/-5)))*(86.36-(86.36/(-5*86.36))))-(-5/-5)))))</f>
        <v>3205711.79808</v>
      </c>
      <c r="C18637" t="n" s="0">
        <v>3205711.79808</v>
      </c>
    </row>
    <row r="18638">
      <c r="A18638" t="n" s="0">
        <v>86.37</v>
      </c>
      <c r="B18638" t="n" s="0">
        <f>(-5-((((-5*(-5/((-5/(((-5*(86.37--5))-(-5+((-5*86.37)*(((-5--5)+(86.37--5))+86.37))))-(-5+-5)))*-5)))/-5)--5)+(-5*(((86.37*(86.37-(-5/-5)))*(86.37-(86.37/(-5*86.37))))-(-5/-5)))))</f>
        <v>3206827.210465</v>
      </c>
      <c r="C18638" t="n" s="0">
        <v>3206827.2104650005</v>
      </c>
    </row>
    <row r="18639">
      <c r="A18639" t="n" s="0">
        <v>86.38</v>
      </c>
      <c r="B18639" t="n" s="0">
        <f>(-5-((((-5*(-5/((-5/(((-5*(86.38--5))-(-5+((-5*86.38)*(((-5--5)+(86.38--5))+86.38))))-(-5+-5)))*-5)))/-5)--5)+(-5*(((86.38*(86.38-(-5/-5)))*(86.38-(86.38/(-5*86.38))))-(-5/-5)))))</f>
        <v>3207942.88156</v>
      </c>
      <c r="C18639" t="n" s="0">
        <v>3207942.881559999</v>
      </c>
    </row>
    <row r="18640">
      <c r="A18640" t="n" s="0">
        <v>86.39</v>
      </c>
      <c r="B18640" t="n" s="0">
        <f>(-5-((((-5*(-5/((-5/(((-5*(86.39--5))-(-5+((-5*86.39)*(((-5--5)+(86.39--5))+86.39))))-(-5+-5)))*-5)))/-5)--5)+(-5*(((86.39*(86.39-(-5/-5)))*(86.39-(86.39/(-5*86.39))))-(-5/-5)))))</f>
        <v>3209058.8113949997</v>
      </c>
      <c r="C18640" t="n" s="0">
        <v>3209058.811395</v>
      </c>
    </row>
    <row r="18641">
      <c r="A18641" t="n" s="0">
        <v>86.4</v>
      </c>
      <c r="B18641" t="n" s="0">
        <f>(-5-((((-5*(-5/((-5/(((-5*(86.4--5))-(-5+((-5*86.4)*(((-5--5)+(86.4--5))+86.4))))-(-5+-5)))*-5)))/-5)--5)+(-5*(((86.4*(86.4-(-5/-5)))*(86.4-(86.4/(-5*86.4))))-(-5/-5)))))</f>
        <v>3210175.0</v>
      </c>
      <c r="C18641" t="n" s="0">
        <v>3210175.000000001</v>
      </c>
    </row>
    <row r="18642">
      <c r="A18642" t="n" s="0">
        <v>86.41</v>
      </c>
      <c r="B18642" t="n" s="0">
        <f>(-5-((((-5*(-5/((-5/(((-5*(86.41--5))-(-5+((-5*86.41)*(((-5--5)+(86.41--5))+86.41))))-(-5+-5)))*-5)))/-5)--5)+(-5*(((86.41*(86.41-(-5/-5)))*(86.41-(86.41/(-5*86.41))))-(-5/-5)))))</f>
        <v>3211291.4474049998</v>
      </c>
      <c r="C18642" t="n" s="0">
        <v>3211291.4474049998</v>
      </c>
    </row>
    <row r="18643">
      <c r="A18643" t="n" s="0">
        <v>86.42</v>
      </c>
      <c r="B18643" t="n" s="0">
        <f>(-5-((((-5*(-5/((-5/(((-5*(86.42--5))-(-5+((-5*86.42)*(((-5--5)+(86.42--5))+86.42))))-(-5+-5)))*-5)))/-5)--5)+(-5*(((86.42*(86.42-(-5/-5)))*(86.42-(86.42/(-5*86.42))))-(-5/-5)))))</f>
        <v>3212408.15364</v>
      </c>
      <c r="C18643" t="n" s="0">
        <v>3212408.15364</v>
      </c>
    </row>
    <row r="18644">
      <c r="A18644" t="n" s="0">
        <v>86.43</v>
      </c>
      <c r="B18644" t="n" s="0">
        <f>(-5-((((-5*(-5/((-5/(((-5*(86.43--5))-(-5+((-5*86.43)*(((-5--5)+(86.43--5))+86.43))))-(-5+-5)))*-5)))/-5)--5)+(-5*(((86.43*(86.43-(-5/-5)))*(86.43-(86.43/(-5*86.43))))-(-5/-5)))))</f>
        <v>3213525.118735</v>
      </c>
      <c r="C18644" t="n" s="0">
        <v>3213525.118735001</v>
      </c>
    </row>
    <row r="18645">
      <c r="A18645" t="n" s="0">
        <v>86.44</v>
      </c>
      <c r="B18645" t="n" s="0">
        <f>(-5-((((-5*(-5/((-5/(((-5*(86.44--5))-(-5+((-5*86.44)*(((-5--5)+(86.44--5))+86.44))))-(-5+-5)))*-5)))/-5)--5)+(-5*(((86.44*(86.44-(-5/-5)))*(86.44-(86.44/(-5*86.44))))-(-5/-5)))))</f>
        <v>3214642.34272</v>
      </c>
      <c r="C18645" t="n" s="0">
        <v>3214642.3427199996</v>
      </c>
    </row>
    <row r="18646">
      <c r="A18646" t="n" s="0">
        <v>86.45</v>
      </c>
      <c r="B18646" t="n" s="0">
        <f>(-5-((((-5*(-5/((-5/(((-5*(86.45--5))-(-5+((-5*86.45)*(((-5--5)+(86.45--5))+86.45))))-(-5+-5)))*-5)))/-5)--5)+(-5*(((86.45*(86.45-(-5/-5)))*(86.45-(86.45/(-5*86.45))))-(-5/-5)))))</f>
        <v>3215759.825625</v>
      </c>
      <c r="C18646" t="n" s="0">
        <v>3215759.825625</v>
      </c>
    </row>
    <row r="18647">
      <c r="A18647" t="n" s="0">
        <v>86.46</v>
      </c>
      <c r="B18647" t="n" s="0">
        <f>(-5-((((-5*(-5/((-5/(((-5*(86.46--5))-(-5+((-5*86.46)*(((-5--5)+(86.46--5))+86.46))))-(-5+-5)))*-5)))/-5)--5)+(-5*(((86.46*(86.46-(-5/-5)))*(86.46-(86.46/(-5*86.46))))-(-5/-5)))))</f>
        <v>3216877.56748</v>
      </c>
      <c r="C18647" t="n" s="0">
        <v>3216877.5674799997</v>
      </c>
    </row>
    <row r="18648">
      <c r="A18648" t="n" s="0">
        <v>86.47</v>
      </c>
      <c r="B18648" t="n" s="0">
        <f>(-5-((((-5*(-5/((-5/(((-5*(86.47--5))-(-5+((-5*86.47)*(((-5--5)+(86.47--5))+86.47))))-(-5+-5)))*-5)))/-5)--5)+(-5*(((86.47*(86.47-(-5/-5)))*(86.47-(86.47/(-5*86.47))))-(-5/-5)))))</f>
        <v>3217995.5683150003</v>
      </c>
      <c r="C18648" t="n" s="0">
        <v>3217995.5683150003</v>
      </c>
    </row>
    <row r="18649">
      <c r="A18649" t="n" s="0">
        <v>86.48</v>
      </c>
      <c r="B18649" t="n" s="0">
        <f>(-5-((((-5*(-5/((-5/(((-5*(86.48--5))-(-5+((-5*86.48)*(((-5--5)+(86.48--5))+86.48))))-(-5+-5)))*-5)))/-5)--5)+(-5*(((86.48*(86.48-(-5/-5)))*(86.48-(86.48/(-5*86.48))))-(-5/-5)))))</f>
        <v>3219113.82816</v>
      </c>
      <c r="C18649" t="n" s="0">
        <v>3219113.82816</v>
      </c>
    </row>
    <row r="18650">
      <c r="A18650" t="n" s="0">
        <v>86.49</v>
      </c>
      <c r="B18650" t="n" s="0">
        <f>(-5-((((-5*(-5/((-5/(((-5*(86.49--5))-(-5+((-5*86.49)*(((-5--5)+(86.49--5))+86.49))))-(-5+-5)))*-5)))/-5)--5)+(-5*(((86.49*(86.49-(-5/-5)))*(86.49-(86.49/(-5*86.49))))-(-5/-5)))))</f>
        <v>3220232.347045</v>
      </c>
      <c r="C18650" t="n" s="0">
        <v>3220232.3470449997</v>
      </c>
    </row>
    <row r="18651">
      <c r="A18651" t="n" s="0">
        <v>86.5</v>
      </c>
      <c r="B18651" t="n" s="0">
        <f>(-5-((((-5*(-5/((-5/(((-5*(86.5--5))-(-5+((-5*86.5)*(((-5--5)+(86.5--5))+86.5))))-(-5+-5)))*-5)))/-5)--5)+(-5*(((86.5*(86.5-(-5/-5)))*(86.5-(86.5/(-5*86.5))))-(-5/-5)))))</f>
        <v>3221351.125</v>
      </c>
      <c r="C18651" t="n" s="0">
        <v>3221351.125</v>
      </c>
    </row>
    <row r="18652">
      <c r="A18652" t="n" s="0">
        <v>86.51</v>
      </c>
      <c r="B18652" t="n" s="0">
        <f>(-5-((((-5*(-5/((-5/(((-5*(86.51--5))-(-5+((-5*86.51)*(((-5--5)+(86.51--5))+86.51))))-(-5+-5)))*-5)))/-5)--5)+(-5*(((86.51*(86.51-(-5/-5)))*(86.51-(86.51/(-5*86.51))))-(-5/-5)))))</f>
        <v>3222470.162055</v>
      </c>
      <c r="C18652" t="n" s="0">
        <v>3222470.162055</v>
      </c>
    </row>
    <row r="18653">
      <c r="A18653" t="n" s="0">
        <v>86.52</v>
      </c>
      <c r="B18653" t="n" s="0">
        <f>(-5-((((-5*(-5/((-5/(((-5*(86.52--5))-(-5+((-5*86.52)*(((-5--5)+(86.52--5))+86.52))))-(-5+-5)))*-5)))/-5)--5)+(-5*(((86.52*(86.52-(-5/-5)))*(86.52-(86.52/(-5*86.52))))-(-5/-5)))))</f>
        <v>3223589.45824</v>
      </c>
      <c r="C18653" t="n" s="0">
        <v>3223589.4582399996</v>
      </c>
    </row>
    <row r="18654">
      <c r="A18654" t="n" s="0">
        <v>86.53</v>
      </c>
      <c r="B18654" t="n" s="0">
        <f>(-5-((((-5*(-5/((-5/(((-5*(86.53--5))-(-5+((-5*86.53)*(((-5--5)+(86.53--5))+86.53))))-(-5+-5)))*-5)))/-5)--5)+(-5*(((86.53*(86.53-(-5/-5)))*(86.53-(86.53/(-5*86.53))))-(-5/-5)))))</f>
        <v>3224709.0135850003</v>
      </c>
      <c r="C18654" t="n" s="0">
        <v>3224709.013585</v>
      </c>
    </row>
    <row r="18655">
      <c r="A18655" t="n" s="0">
        <v>86.54</v>
      </c>
      <c r="B18655" t="n" s="0">
        <f>(-5-((((-5*(-5/((-5/(((-5*(86.54--5))-(-5+((-5*86.54)*(((-5--5)+(86.54--5))+86.54))))-(-5+-5)))*-5)))/-5)--5)+(-5*(((86.54*(86.54-(-5/-5)))*(86.54-(86.54/(-5*86.54))))-(-5/-5)))))</f>
        <v>3225828.82812</v>
      </c>
      <c r="C18655" t="n" s="0">
        <v>3225828.828120001</v>
      </c>
    </row>
    <row r="18656">
      <c r="A18656" t="n" s="0">
        <v>86.55</v>
      </c>
      <c r="B18656" t="n" s="0">
        <f>(-5-((((-5*(-5/((-5/(((-5*(86.55--5))-(-5+((-5*86.55)*(((-5--5)+(86.55--5))+86.55))))-(-5+-5)))*-5)))/-5)--5)+(-5*(((86.55*(86.55-(-5/-5)))*(86.55-(86.55/(-5*86.55))))-(-5/-5)))))</f>
        <v>3226948.901875</v>
      </c>
      <c r="C18656" t="n" s="0">
        <v>3226948.9018749995</v>
      </c>
    </row>
    <row r="18657">
      <c r="A18657" t="n" s="0">
        <v>86.56</v>
      </c>
      <c r="B18657" t="n" s="0">
        <f>(-5-((((-5*(-5/((-5/(((-5*(86.56--5))-(-5+((-5*86.56)*(((-5--5)+(86.56--5))+86.56))))-(-5+-5)))*-5)))/-5)--5)+(-5*(((86.56*(86.56-(-5/-5)))*(86.56-(86.56/(-5*86.56))))-(-5/-5)))))</f>
        <v>3228069.23488</v>
      </c>
      <c r="C18657" t="n" s="0">
        <v>3228069.2348800004</v>
      </c>
    </row>
    <row r="18658">
      <c r="A18658" t="n" s="0">
        <v>86.57</v>
      </c>
      <c r="B18658" t="n" s="0">
        <f>(-5-((((-5*(-5/((-5/(((-5*(86.57--5))-(-5+((-5*86.57)*(((-5--5)+(86.57--5))+86.57))))-(-5+-5)))*-5)))/-5)--5)+(-5*(((86.57*(86.57-(-5/-5)))*(86.57-(86.57/(-5*86.57))))-(-5/-5)))))</f>
        <v>3229189.827165</v>
      </c>
      <c r="C18658" t="n" s="0">
        <v>3229189.827164999</v>
      </c>
    </row>
    <row r="18659">
      <c r="A18659" t="n" s="0">
        <v>86.58</v>
      </c>
      <c r="B18659" t="n" s="0">
        <f>(-5-((((-5*(-5/((-5/(((-5*(86.58--5))-(-5+((-5*86.58)*(((-5--5)+(86.58--5))+86.58))))-(-5+-5)))*-5)))/-5)--5)+(-5*(((86.58*(86.58-(-5/-5)))*(86.58-(86.58/(-5*86.58))))-(-5/-5)))))</f>
        <v>3230310.67876</v>
      </c>
      <c r="C18659" t="n" s="0">
        <v>3230310.6787600005</v>
      </c>
    </row>
    <row r="18660">
      <c r="A18660" t="n" s="0">
        <v>86.59</v>
      </c>
      <c r="B18660" t="n" s="0">
        <f>(-5-((((-5*(-5/((-5/(((-5*(86.59--5))-(-5+((-5*86.59)*(((-5--5)+(86.59--5))+86.59))))-(-5+-5)))*-5)))/-5)--5)+(-5*(((86.59*(86.59-(-5/-5)))*(86.59-(86.59/(-5*86.59))))-(-5/-5)))))</f>
        <v>3231431.789695</v>
      </c>
      <c r="C18660" t="n" s="0">
        <v>3231431.789695</v>
      </c>
    </row>
    <row r="18661">
      <c r="A18661" t="n" s="0">
        <v>86.6</v>
      </c>
      <c r="B18661" t="n" s="0">
        <f>(-5-((((-5*(-5/((-5/(((-5*(86.6--5))-(-5+((-5*86.6)*(((-5--5)+(86.6--5))+86.6))))-(-5+-5)))*-5)))/-5)--5)+(-5*(((86.6*(86.6-(-5/-5)))*(86.6-(86.6/(-5*86.6))))-(-5/-5)))))</f>
        <v>3232553.16</v>
      </c>
      <c r="C18661" t="n" s="0">
        <v>3232553.1599999988</v>
      </c>
    </row>
    <row r="18662">
      <c r="A18662" t="n" s="0">
        <v>86.61</v>
      </c>
      <c r="B18662" t="n" s="0">
        <f>(-5-((((-5*(-5/((-5/(((-5*(86.61--5))-(-5+((-5*86.61)*(((-5--5)+(86.61--5))+86.61))))-(-5+-5)))*-5)))/-5)--5)+(-5*(((86.61*(86.61-(-5/-5)))*(86.61-(86.61/(-5*86.61))))-(-5/-5)))))</f>
        <v>3233674.789705</v>
      </c>
      <c r="C18662" t="n" s="0">
        <v>3233674.789705</v>
      </c>
    </row>
    <row r="18663">
      <c r="A18663" t="n" s="0">
        <v>86.62</v>
      </c>
      <c r="B18663" t="n" s="0">
        <f>(-5-((((-5*(-5/((-5/(((-5*(86.62--5))-(-5+((-5*86.62)*(((-5--5)+(86.62--5))+86.62))))-(-5+-5)))*-5)))/-5)--5)+(-5*(((86.62*(86.62-(-5/-5)))*(86.62-(86.62/(-5*86.62))))-(-5/-5)))))</f>
        <v>3234796.67884</v>
      </c>
      <c r="C18663" t="n" s="0">
        <v>3234796.67884</v>
      </c>
    </row>
    <row r="18664">
      <c r="A18664" t="n" s="0">
        <v>86.63</v>
      </c>
      <c r="B18664" t="n" s="0">
        <f>(-5-((((-5*(-5/((-5/(((-5*(86.63--5))-(-5+((-5*86.63)*(((-5--5)+(86.63--5))+86.63))))-(-5+-5)))*-5)))/-5)--5)+(-5*(((86.63*(86.63-(-5/-5)))*(86.63-(86.63/(-5*86.63))))-(-5/-5)))))</f>
        <v>3235918.827435</v>
      </c>
      <c r="C18664" t="n" s="0">
        <v>3235918.8274349994</v>
      </c>
    </row>
    <row r="18665">
      <c r="A18665" t="n" s="0">
        <v>86.64</v>
      </c>
      <c r="B18665" t="n" s="0">
        <f>(-5-((((-5*(-5/((-5/(((-5*(86.64--5))-(-5+((-5*86.64)*(((-5--5)+(86.64--5))+86.64))))-(-5+-5)))*-5)))/-5)--5)+(-5*(((86.64*(86.64-(-5/-5)))*(86.64-(86.64/(-5*86.64))))-(-5/-5)))))</f>
        <v>3237041.23552</v>
      </c>
      <c r="C18665" t="n" s="0">
        <v>3237041.23552</v>
      </c>
    </row>
    <row r="18666">
      <c r="A18666" t="n" s="0">
        <v>86.65</v>
      </c>
      <c r="B18666" t="n" s="0">
        <f>(-5-((((-5*(-5/((-5/(((-5*(86.65--5))-(-5+((-5*86.65)*(((-5--5)+(86.65--5))+86.65))))-(-5+-5)))*-5)))/-5)--5)+(-5*(((86.65*(86.65-(-5/-5)))*(86.65-(86.65/(-5*86.65))))-(-5/-5)))))</f>
        <v>3238163.9031249997</v>
      </c>
      <c r="C18666" t="n" s="0">
        <v>3238163.903125001</v>
      </c>
    </row>
    <row r="18667">
      <c r="A18667" t="n" s="0">
        <v>86.66</v>
      </c>
      <c r="B18667" t="n" s="0">
        <f>(-5-((((-5*(-5/((-5/(((-5*(86.66--5))-(-5+((-5*86.66)*(((-5--5)+(86.66--5))+86.66))))-(-5+-5)))*-5)))/-5)--5)+(-5*(((86.66*(86.66-(-5/-5)))*(86.66-(86.66/(-5*86.66))))-(-5/-5)))))</f>
        <v>3239286.83028</v>
      </c>
      <c r="C18667" t="n" s="0">
        <v>3239286.8302799994</v>
      </c>
    </row>
    <row r="18668">
      <c r="A18668" t="n" s="0">
        <v>86.67</v>
      </c>
      <c r="B18668" t="n" s="0">
        <f>(-5-((((-5*(-5/((-5/(((-5*(86.67--5))-(-5+((-5*86.67)*(((-5--5)+(86.67--5))+86.67))))-(-5+-5)))*-5)))/-5)--5)+(-5*(((86.67*(86.67-(-5/-5)))*(86.67-(86.67/(-5*86.67))))-(-5/-5)))))</f>
        <v>3240410.017015</v>
      </c>
      <c r="C18668" t="n" s="0">
        <v>3240410.017015</v>
      </c>
    </row>
    <row r="18669">
      <c r="A18669" t="n" s="0">
        <v>86.68</v>
      </c>
      <c r="B18669" t="n" s="0">
        <f>(-5-((((-5*(-5/((-5/(((-5*(86.68--5))-(-5+((-5*86.68)*(((-5--5)+(86.68--5))+86.68))))-(-5+-5)))*-5)))/-5)--5)+(-5*(((86.68*(86.68-(-5/-5)))*(86.68-(86.68/(-5*86.68))))-(-5/-5)))))</f>
        <v>3241533.46336</v>
      </c>
      <c r="C18669" t="n" s="0">
        <v>3241533.4633600004</v>
      </c>
    </row>
    <row r="18670">
      <c r="A18670" t="n" s="0">
        <v>86.69</v>
      </c>
      <c r="B18670" t="n" s="0">
        <f>(-5-((((-5*(-5/((-5/(((-5*(86.69--5))-(-5+((-5*86.69)*(((-5--5)+(86.69--5))+86.69))))-(-5+-5)))*-5)))/-5)--5)+(-5*(((86.69*(86.69-(-5/-5)))*(86.69-(86.69/(-5*86.69))))-(-5/-5)))))</f>
        <v>3242657.169345</v>
      </c>
      <c r="C18670" t="n" s="0">
        <v>3242657.1693449994</v>
      </c>
    </row>
    <row r="18671">
      <c r="A18671" t="n" s="0">
        <v>86.7</v>
      </c>
      <c r="B18671" t="n" s="0">
        <f>(-5-((((-5*(-5/((-5/(((-5*(86.7--5))-(-5+((-5*86.7)*(((-5--5)+(86.7--5))+86.7))))-(-5+-5)))*-5)))/-5)--5)+(-5*(((86.7*(86.7-(-5/-5)))*(86.7-(86.7/(-5*86.7))))-(-5/-5)))))</f>
        <v>3243781.1350000002</v>
      </c>
      <c r="C18671" t="n" s="0">
        <v>3243781.1350000002</v>
      </c>
    </row>
    <row r="18672">
      <c r="A18672" t="n" s="0">
        <v>86.71</v>
      </c>
      <c r="B18672" t="n" s="0">
        <f>(-5-((((-5*(-5/((-5/(((-5*(86.71--5))-(-5+((-5*86.71)*(((-5--5)+(86.71--5))+86.71))))-(-5+-5)))*-5)))/-5)--5)+(-5*(((86.71*(86.71-(-5/-5)))*(86.71-(86.71/(-5*86.71))))-(-5/-5)))))</f>
        <v>3244905.360355</v>
      </c>
      <c r="C18672" t="n" s="0">
        <v>3244905.3603549995</v>
      </c>
    </row>
    <row r="18673">
      <c r="A18673" t="n" s="0">
        <v>86.72</v>
      </c>
      <c r="B18673" t="n" s="0">
        <f>(-5-((((-5*(-5/((-5/(((-5*(86.72--5))-(-5+((-5*86.72)*(((-5--5)+(86.72--5))+86.72))))-(-5+-5)))*-5)))/-5)--5)+(-5*(((86.72*(86.72-(-5/-5)))*(86.72-(86.72/(-5*86.72))))-(-5/-5)))))</f>
        <v>3246029.84544</v>
      </c>
      <c r="C18673" t="n" s="0">
        <v>3246029.8454400003</v>
      </c>
    </row>
    <row r="18674">
      <c r="A18674" t="n" s="0">
        <v>86.73</v>
      </c>
      <c r="B18674" t="n" s="0">
        <f>(-5-((((-5*(-5/((-5/(((-5*(86.73--5))-(-5+((-5*86.73)*(((-5--5)+(86.73--5))+86.73))))-(-5+-5)))*-5)))/-5)--5)+(-5*(((86.73*(86.73-(-5/-5)))*(86.73-(86.73/(-5*86.73))))-(-5/-5)))))</f>
        <v>3247154.590285</v>
      </c>
      <c r="C18674" t="n" s="0">
        <v>3247154.5902850004</v>
      </c>
    </row>
    <row r="18675">
      <c r="A18675" t="n" s="0">
        <v>86.74</v>
      </c>
      <c r="B18675" t="n" s="0">
        <f>(-5-((((-5*(-5/((-5/(((-5*(86.74--5))-(-5+((-5*86.74)*(((-5--5)+(86.74--5))+86.74))))-(-5+-5)))*-5)))/-5)--5)+(-5*(((86.74*(86.74-(-5/-5)))*(86.74-(86.74/(-5*86.74))))-(-5/-5)))))</f>
        <v>3248279.59492</v>
      </c>
      <c r="C18675" t="n" s="0">
        <v>3248279.59492</v>
      </c>
    </row>
    <row r="18676">
      <c r="A18676" t="n" s="0">
        <v>86.75</v>
      </c>
      <c r="B18676" t="n" s="0">
        <f>(-5-((((-5*(-5/((-5/(((-5*(86.75--5))-(-5+((-5*86.75)*(((-5--5)+(86.75--5))+86.75))))-(-5+-5)))*-5)))/-5)--5)+(-5*(((86.75*(86.75-(-5/-5)))*(86.75-(86.75/(-5*86.75))))-(-5/-5)))))</f>
        <v>3249404.859375</v>
      </c>
      <c r="C18676" t="n" s="0">
        <v>3249404.859375</v>
      </c>
    </row>
    <row r="18677">
      <c r="A18677" t="n" s="0">
        <v>86.76</v>
      </c>
      <c r="B18677" t="n" s="0">
        <f>(-5-((((-5*(-5/((-5/(((-5*(86.76--5))-(-5+((-5*86.76)*(((-5--5)+(86.76--5))+86.76))))-(-5+-5)))*-5)))/-5)--5)+(-5*(((86.76*(86.76-(-5/-5)))*(86.76-(86.76/(-5*86.76))))-(-5/-5)))))</f>
        <v>3250530.38368</v>
      </c>
      <c r="C18677" t="n" s="0">
        <v>3250530.3836800004</v>
      </c>
    </row>
    <row r="18678">
      <c r="A18678" t="n" s="0">
        <v>86.77</v>
      </c>
      <c r="B18678" t="n" s="0">
        <f>(-5-((((-5*(-5/((-5/(((-5*(86.77--5))-(-5+((-5*86.77)*(((-5--5)+(86.77--5))+86.77))))-(-5+-5)))*-5)))/-5)--5)+(-5*(((86.77*(86.77-(-5/-5)))*(86.77-(86.77/(-5*86.77))))-(-5/-5)))))</f>
        <v>3251656.167865</v>
      </c>
      <c r="C18678" t="n" s="0">
        <v>3251656.1678649993</v>
      </c>
    </row>
    <row r="18679">
      <c r="A18679" t="n" s="0">
        <v>86.78</v>
      </c>
      <c r="B18679" t="n" s="0">
        <f>(-5-((((-5*(-5/((-5/(((-5*(86.78--5))-(-5+((-5*86.78)*(((-5--5)+(86.78--5))+86.78))))-(-5+-5)))*-5)))/-5)--5)+(-5*(((86.78*(86.78-(-5/-5)))*(86.78-(86.78/(-5*86.78))))-(-5/-5)))))</f>
        <v>3252782.21196</v>
      </c>
      <c r="C18679" t="n" s="0">
        <v>3252782.21196</v>
      </c>
    </row>
    <row r="18680">
      <c r="A18680" t="n" s="0">
        <v>86.79</v>
      </c>
      <c r="B18680" t="n" s="0">
        <f>(-5-((((-5*(-5/((-5/(((-5*(86.79--5))-(-5+((-5*86.79)*(((-5--5)+(86.79--5))+86.79))))-(-5+-5)))*-5)))/-5)--5)+(-5*(((86.79*(86.79-(-5/-5)))*(86.79-(86.79/(-5*86.79))))-(-5/-5)))))</f>
        <v>3253908.515995</v>
      </c>
      <c r="C18680" t="n" s="0">
        <v>3253908.5159950005</v>
      </c>
    </row>
    <row r="18681">
      <c r="A18681" t="n" s="0">
        <v>86.8</v>
      </c>
      <c r="B18681" t="n" s="0">
        <f>(-5-((((-5*(-5/((-5/(((-5*(86.8--5))-(-5+((-5*86.8)*(((-5--5)+(86.8--5))+86.8))))-(-5+-5)))*-5)))/-5)--5)+(-5*(((86.8*(86.8-(-5/-5)))*(86.8-(86.8/(-5*86.8))))-(-5/-5)))))</f>
        <v>3255035.08</v>
      </c>
      <c r="C18681" t="n" s="0">
        <v>3255035.079999999</v>
      </c>
    </row>
    <row r="18682">
      <c r="A18682" t="n" s="0">
        <v>86.81</v>
      </c>
      <c r="B18682" t="n" s="0">
        <f>(-5-((((-5*(-5/((-5/(((-5*(86.81--5))-(-5+((-5*86.81)*(((-5--5)+(86.81--5))+86.81))))-(-5+-5)))*-5)))/-5)--5)+(-5*(((86.81*(86.81-(-5/-5)))*(86.81-(86.81/(-5*86.81))))-(-5/-5)))))</f>
        <v>3256161.904005</v>
      </c>
      <c r="C18682" t="n" s="0">
        <v>3256161.9040050004</v>
      </c>
    </row>
    <row r="18683">
      <c r="A18683" t="n" s="0">
        <v>86.82</v>
      </c>
      <c r="B18683" t="n" s="0">
        <f>(-5-((((-5*(-5/((-5/(((-5*(86.82--5))-(-5+((-5*86.82)*(((-5--5)+(86.82--5))+86.82))))-(-5+-5)))*-5)))/-5)--5)+(-5*(((86.82*(86.82-(-5/-5)))*(86.82-(86.82/(-5*86.82))))-(-5/-5)))))</f>
        <v>3257288.9880399997</v>
      </c>
      <c r="C18683" t="n" s="0">
        <v>3257288.9880399993</v>
      </c>
    </row>
    <row r="18684">
      <c r="A18684" t="n" s="0">
        <v>86.83</v>
      </c>
      <c r="B18684" t="n" s="0">
        <f>(-5-((((-5*(-5/((-5/(((-5*(86.83--5))-(-5+((-5*86.83)*(((-5--5)+(86.83--5))+86.83))))-(-5+-5)))*-5)))/-5)--5)+(-5*(((86.83*(86.83-(-5/-5)))*(86.83-(86.83/(-5*86.83))))-(-5/-5)))))</f>
        <v>3258416.3321350003</v>
      </c>
      <c r="C18684" t="n" s="0">
        <v>3258416.3321350003</v>
      </c>
    </row>
    <row r="18685">
      <c r="A18685" t="n" s="0">
        <v>86.84</v>
      </c>
      <c r="B18685" t="n" s="0">
        <f>(-5-((((-5*(-5/((-5/(((-5*(86.84--5))-(-5+((-5*86.84)*(((-5--5)+(86.84--5))+86.84))))-(-5+-5)))*-5)))/-5)--5)+(-5*(((86.84*(86.84-(-5/-5)))*(86.84-(86.84/(-5*86.84))))-(-5/-5)))))</f>
        <v>3259543.93632</v>
      </c>
      <c r="C18685" t="n" s="0">
        <v>3259543.9363200003</v>
      </c>
    </row>
    <row r="18686">
      <c r="A18686" t="n" s="0">
        <v>86.85</v>
      </c>
      <c r="B18686" t="n" s="0">
        <f>(-5-((((-5*(-5/((-5/(((-5*(86.85--5))-(-5+((-5*86.85)*(((-5--5)+(86.85--5))+86.85))))-(-5+-5)))*-5)))/-5)--5)+(-5*(((86.85*(86.85-(-5/-5)))*(86.85-(86.85/(-5*86.85))))-(-5/-5)))))</f>
        <v>3260671.800625</v>
      </c>
      <c r="C18686" t="n" s="0">
        <v>3260671.800624999</v>
      </c>
    </row>
    <row r="18687">
      <c r="A18687" t="n" s="0">
        <v>86.86</v>
      </c>
      <c r="B18687" t="n" s="0">
        <f>(-5-((((-5*(-5/((-5/(((-5*(86.86--5))-(-5+((-5*86.86)*(((-5--5)+(86.86--5))+86.86))))-(-5+-5)))*-5)))/-5)--5)+(-5*(((86.86*(86.86-(-5/-5)))*(86.86-(86.86/(-5*86.86))))-(-5/-5)))))</f>
        <v>3261799.9250800004</v>
      </c>
      <c r="C18687" t="n" s="0">
        <v>3261799.9250800004</v>
      </c>
    </row>
    <row r="18688">
      <c r="A18688" t="n" s="0">
        <v>86.87</v>
      </c>
      <c r="B18688" t="n" s="0">
        <f>(-5-((((-5*(-5/((-5/(((-5*(86.87--5))-(-5+((-5*86.87)*(((-5--5)+(86.87--5))+86.87))))-(-5+-5)))*-5)))/-5)--5)+(-5*(((86.87*(86.87-(-5/-5)))*(86.87-(86.87/(-5*86.87))))-(-5/-5)))))</f>
        <v>3262928.309715</v>
      </c>
      <c r="C18688" t="n" s="0">
        <v>3262928.3097150004</v>
      </c>
    </row>
    <row r="18689">
      <c r="A18689" t="n" s="0">
        <v>86.88</v>
      </c>
      <c r="B18689" t="n" s="0">
        <f>(-5-((((-5*(-5/((-5/(((-5*(86.88--5))-(-5+((-5*86.88)*(((-5--5)+(86.88--5))+86.88))))-(-5+-5)))*-5)))/-5)--5)+(-5*(((86.88*(86.88-(-5/-5)))*(86.88-(86.88/(-5*86.88))))-(-5/-5)))))</f>
        <v>3264056.95456</v>
      </c>
      <c r="C18689" t="n" s="0">
        <v>3264056.954559999</v>
      </c>
    </row>
    <row r="18690">
      <c r="A18690" t="n" s="0">
        <v>86.89</v>
      </c>
      <c r="B18690" t="n" s="0">
        <f>(-5-((((-5*(-5/((-5/(((-5*(86.89--5))-(-5+((-5*86.89)*(((-5--5)+(86.89--5))+86.89))))-(-5+-5)))*-5)))/-5)--5)+(-5*(((86.89*(86.89-(-5/-5)))*(86.89-(86.89/(-5*86.89))))-(-5/-5)))))</f>
        <v>3265185.859645</v>
      </c>
      <c r="C18690" t="n" s="0">
        <v>3265185.8596449997</v>
      </c>
    </row>
    <row r="18691">
      <c r="A18691" t="n" s="0">
        <v>86.9</v>
      </c>
      <c r="B18691" t="n" s="0">
        <f>(-5-((((-5*(-5/((-5/(((-5*(86.9--5))-(-5+((-5*86.9)*(((-5--5)+(86.9--5))+86.9))))-(-5+-5)))*-5)))/-5)--5)+(-5*(((86.9*(86.9-(-5/-5)))*(86.9-(86.9/(-5*86.9))))-(-5/-5)))))</f>
        <v>3266315.025</v>
      </c>
      <c r="C18691" t="n" s="0">
        <v>3266315.0250000004</v>
      </c>
    </row>
    <row r="18692">
      <c r="A18692" t="n" s="0">
        <v>86.91</v>
      </c>
      <c r="B18692" t="n" s="0">
        <f>(-5-((((-5*(-5/((-5/(((-5*(86.91--5))-(-5+((-5*86.91)*(((-5--5)+(86.91--5))+86.91))))-(-5+-5)))*-5)))/-5)--5)+(-5*(((86.91*(86.91-(-5/-5)))*(86.91-(86.91/(-5*86.91))))-(-5/-5)))))</f>
        <v>3267444.450655</v>
      </c>
      <c r="C18692" t="n" s="0">
        <v>3267444.4506549994</v>
      </c>
    </row>
    <row r="18693">
      <c r="A18693" t="n" s="0">
        <v>86.92</v>
      </c>
      <c r="B18693" t="n" s="0">
        <f>(-5-((((-5*(-5/((-5/(((-5*(86.92--5))-(-5+((-5*86.92)*(((-5--5)+(86.92--5))+86.92))))-(-5+-5)))*-5)))/-5)--5)+(-5*(((86.92*(86.92-(-5/-5)))*(86.92-(86.92/(-5*86.92))))-(-5/-5)))))</f>
        <v>3268574.13664</v>
      </c>
      <c r="C18693" t="n" s="0">
        <v>3268574.13664</v>
      </c>
    </row>
    <row r="18694">
      <c r="A18694" t="n" s="0">
        <v>86.93</v>
      </c>
      <c r="B18694" t="n" s="0">
        <f>(-5-((((-5*(-5/((-5/(((-5*(86.93--5))-(-5+((-5*86.93)*(((-5--5)+(86.93--5))+86.93))))-(-5+-5)))*-5)))/-5)--5)+(-5*(((86.93*(86.93-(-5/-5)))*(86.93-(86.93/(-5*86.93))))-(-5/-5)))))</f>
        <v>3269704.0829849998</v>
      </c>
      <c r="C18694" t="n" s="0">
        <v>3269704.0829850007</v>
      </c>
    </row>
    <row r="18695">
      <c r="A18695" t="n" s="0">
        <v>86.94</v>
      </c>
      <c r="B18695" t="n" s="0">
        <f>(-5-((((-5*(-5/((-5/(((-5*(86.94--5))-(-5+((-5*86.94)*(((-5--5)+(86.94--5))+86.94))))-(-5+-5)))*-5)))/-5)--5)+(-5*(((86.94*(86.94-(-5/-5)))*(86.94-(86.94/(-5*86.94))))-(-5/-5)))))</f>
        <v>3270834.2897200002</v>
      </c>
      <c r="C18695" t="n" s="0">
        <v>3270834.28972</v>
      </c>
    </row>
    <row r="18696">
      <c r="A18696" t="n" s="0">
        <v>86.95</v>
      </c>
      <c r="B18696" t="n" s="0">
        <f>(-5-((((-5*(-5/((-5/(((-5*(86.95--5))-(-5+((-5*86.95)*(((-5--5)+(86.95--5))+86.95))))-(-5+-5)))*-5)))/-5)--5)+(-5*(((86.95*(86.95-(-5/-5)))*(86.95-(86.95/(-5*86.95))))-(-5/-5)))))</f>
        <v>3271964.756875</v>
      </c>
      <c r="C18696" t="n" s="0">
        <v>3271964.7568750004</v>
      </c>
    </row>
    <row r="18697">
      <c r="A18697" t="n" s="0">
        <v>86.96</v>
      </c>
      <c r="B18697" t="n" s="0">
        <f>(-5-((((-5*(-5/((-5/(((-5*(86.96--5))-(-5+((-5*86.96)*(((-5--5)+(86.96--5))+86.96))))-(-5+-5)))*-5)))/-5)--5)+(-5*(((86.96*(86.96-(-5/-5)))*(86.96-(86.96/(-5*86.96))))-(-5/-5)))))</f>
        <v>3273095.48448</v>
      </c>
      <c r="C18697" t="n" s="0">
        <v>3273095.484479999</v>
      </c>
    </row>
    <row r="18698">
      <c r="A18698" t="n" s="0">
        <v>86.97</v>
      </c>
      <c r="B18698" t="n" s="0">
        <f>(-5-((((-5*(-5/((-5/(((-5*(86.97--5))-(-5+((-5*86.97)*(((-5--5)+(86.97--5))+86.97))))-(-5+-5)))*-5)))/-5)--5)+(-5*(((86.97*(86.97-(-5/-5)))*(86.97-(86.97/(-5*86.97))))-(-5/-5)))))</f>
        <v>3274226.472565</v>
      </c>
      <c r="C18698" t="n" s="0">
        <v>3274226.4725650004</v>
      </c>
    </row>
    <row r="18699">
      <c r="A18699" t="n" s="0">
        <v>86.98</v>
      </c>
      <c r="B18699" t="n" s="0">
        <f>(-5-((((-5*(-5/((-5/(((-5*(86.98--5))-(-5+((-5*86.98)*(((-5--5)+(86.98--5))+86.98))))-(-5+-5)))*-5)))/-5)--5)+(-5*(((86.98*(86.98-(-5/-5)))*(86.98-(86.98/(-5*86.98))))-(-5/-5)))))</f>
        <v>3275357.72116</v>
      </c>
      <c r="C18699" t="n" s="0">
        <v>3275357.72116</v>
      </c>
    </row>
    <row r="18700">
      <c r="A18700" t="n" s="0">
        <v>86.99</v>
      </c>
      <c r="B18700" t="n" s="0">
        <f>(-5-((((-5*(-5/((-5/(((-5*(86.99--5))-(-5+((-5*86.99)*(((-5--5)+(86.99--5))+86.99))))-(-5+-5)))*-5)))/-5)--5)+(-5*(((86.99*(86.99-(-5/-5)))*(86.99-(86.99/(-5*86.99))))-(-5/-5)))))</f>
        <v>3276489.230295</v>
      </c>
      <c r="C18700" t="n" s="0">
        <v>3276489.230294999</v>
      </c>
    </row>
    <row r="18701">
      <c r="A18701" t="n" s="0">
        <v>87.0</v>
      </c>
      <c r="B18701" t="n" s="0">
        <f>(-5-((((-5*(-5/((-5/(((-5*(87--5))-(-5+((-5*87)*(((-5--5)+(87--5))+87))))-(-5+-5)))*-5)))/-5)--5)+(-5*(((87*(87-(-5/-5)))*(87-(87/(-5*87))))-(-5/-5)))))</f>
        <v>3277621.0</v>
      </c>
      <c r="C18701" t="n" s="0">
        <v>3277621.0</v>
      </c>
    </row>
    <row r="18702">
      <c r="A18702" t="n" s="0">
        <v>87.01</v>
      </c>
      <c r="B18702" t="n" s="0">
        <f>(-5-((((-5*(-5/((-5/(((-5*(87.01--5))-(-5+((-5*87.01)*(((-5--5)+(87.01--5))+87.01))))-(-5+-5)))*-5)))/-5)--5)+(-5*(((87.01*(87.01-(-5/-5)))*(87.01-(87.01/(-5*87.01))))-(-5/-5)))))</f>
        <v>3278753.030305</v>
      </c>
      <c r="C18702" t="n" s="0">
        <v>3278753.030305</v>
      </c>
    </row>
    <row r="18703">
      <c r="A18703" t="n" s="0">
        <v>87.02</v>
      </c>
      <c r="B18703" t="n" s="0">
        <f>(-5-((((-5*(-5/((-5/(((-5*(87.02--5))-(-5+((-5*87.02)*(((-5--5)+(87.02--5))+87.02))))-(-5+-5)))*-5)))/-5)--5)+(-5*(((87.02*(87.02-(-5/-5)))*(87.02-(87.02/(-5*87.02))))-(-5/-5)))))</f>
        <v>3279885.32124</v>
      </c>
      <c r="C18703" t="n" s="0">
        <v>3279885.3212399995</v>
      </c>
    </row>
    <row r="18704">
      <c r="A18704" t="n" s="0">
        <v>87.03</v>
      </c>
      <c r="B18704" t="n" s="0">
        <f>(-5-((((-5*(-5/((-5/(((-5*(87.03--5))-(-5+((-5*87.03)*(((-5--5)+(87.03--5))+87.03))))-(-5+-5)))*-5)))/-5)--5)+(-5*(((87.03*(87.03-(-5/-5)))*(87.03-(87.03/(-5*87.03))))-(-5/-5)))))</f>
        <v>3281017.8728349996</v>
      </c>
      <c r="C18704" t="n" s="0">
        <v>3281017.8728349996</v>
      </c>
    </row>
    <row r="18705">
      <c r="A18705" t="n" s="0">
        <v>87.04</v>
      </c>
      <c r="B18705" t="n" s="0">
        <f>(-5-((((-5*(-5/((-5/(((-5*(87.04--5))-(-5+((-5*87.04)*(((-5--5)+(87.04--5))+87.04))))-(-5+-5)))*-5)))/-5)--5)+(-5*(((87.04*(87.04-(-5/-5)))*(87.04-(87.04/(-5*87.04))))-(-5/-5)))))</f>
        <v>3282150.68512</v>
      </c>
      <c r="C18705" t="n" s="0">
        <v>3282150.6851200005</v>
      </c>
    </row>
    <row r="18706">
      <c r="A18706" t="n" s="0">
        <v>87.05</v>
      </c>
      <c r="B18706" t="n" s="0">
        <f>(-5-((((-5*(-5/((-5/(((-5*(87.05--5))-(-5+((-5*87.05)*(((-5--5)+(87.05--5))+87.05))))-(-5+-5)))*-5)))/-5)--5)+(-5*(((87.05*(87.05-(-5/-5)))*(87.05-(87.05/(-5*87.05))))-(-5/-5)))))</f>
        <v>3283283.758125</v>
      </c>
      <c r="C18706" t="n" s="0">
        <v>3283283.7581249997</v>
      </c>
    </row>
    <row r="18707">
      <c r="A18707" t="n" s="0">
        <v>87.06</v>
      </c>
      <c r="B18707" t="n" s="0">
        <f>(-5-((((-5*(-5/((-5/(((-5*(87.06--5))-(-5+((-5*87.06)*(((-5--5)+(87.06--5))+87.06))))-(-5+-5)))*-5)))/-5)--5)+(-5*(((87.06*(87.06-(-5/-5)))*(87.06-(87.06/(-5*87.06))))-(-5/-5)))))</f>
        <v>3284417.09188</v>
      </c>
      <c r="C18707" t="n" s="0">
        <v>3284417.09188</v>
      </c>
    </row>
    <row r="18708">
      <c r="A18708" t="n" s="0">
        <v>87.07</v>
      </c>
      <c r="B18708" t="n" s="0">
        <f>(-5-((((-5*(-5/((-5/(((-5*(87.07--5))-(-5+((-5*87.07)*(((-5--5)+(87.07--5))+87.07))))-(-5+-5)))*-5)))/-5)--5)+(-5*(((87.07*(87.07-(-5/-5)))*(87.07-(87.07/(-5*87.07))))-(-5/-5)))))</f>
        <v>3285550.686415</v>
      </c>
      <c r="C18708" t="n" s="0">
        <v>3285550.6864149994</v>
      </c>
    </row>
    <row r="18709">
      <c r="A18709" t="n" s="0">
        <v>87.08</v>
      </c>
      <c r="B18709" t="n" s="0">
        <f>(-5-((((-5*(-5/((-5/(((-5*(87.08--5))-(-5+((-5*87.08)*(((-5--5)+(87.08--5))+87.08))))-(-5+-5)))*-5)))/-5)--5)+(-5*(((87.08*(87.08-(-5/-5)))*(87.08-(87.08/(-5*87.08))))-(-5/-5)))))</f>
        <v>3286684.54176</v>
      </c>
      <c r="C18709" t="n" s="0">
        <v>3286684.54176</v>
      </c>
    </row>
    <row r="18710">
      <c r="A18710" t="n" s="0">
        <v>87.09</v>
      </c>
      <c r="B18710" t="n" s="0">
        <f>(-5-((((-5*(-5/((-5/(((-5*(87.09--5))-(-5+((-5*87.09)*(((-5--5)+(87.09--5))+87.09))))-(-5+-5)))*-5)))/-5)--5)+(-5*(((87.09*(87.09-(-5/-5)))*(87.09-(87.09/(-5*87.09))))-(-5/-5)))))</f>
        <v>3287818.657945</v>
      </c>
      <c r="C18710" t="n" s="0">
        <v>3287818.6579450006</v>
      </c>
    </row>
    <row r="18711">
      <c r="A18711" t="n" s="0">
        <v>87.1</v>
      </c>
      <c r="B18711" t="n" s="0">
        <f>(-5-((((-5*(-5/((-5/(((-5*(87.1--5))-(-5+((-5*87.1)*(((-5--5)+(87.1--5))+87.1))))-(-5+-5)))*-5)))/-5)--5)+(-5*(((87.1*(87.1-(-5/-5)))*(87.1-(87.1/(-5*87.1))))-(-5/-5)))))</f>
        <v>3288953.035</v>
      </c>
      <c r="C18711" t="n" s="0">
        <v>3288953.034999999</v>
      </c>
    </row>
    <row r="18712">
      <c r="A18712" t="n" s="0">
        <v>87.11</v>
      </c>
      <c r="B18712" t="n" s="0">
        <f>(-5-((((-5*(-5/((-5/(((-5*(87.11--5))-(-5+((-5*87.11)*(((-5--5)+(87.11--5))+87.11))))-(-5+-5)))*-5)))/-5)--5)+(-5*(((87.11*(87.11-(-5/-5)))*(87.11-(87.11/(-5*87.11))))-(-5/-5)))))</f>
        <v>3290087.672955</v>
      </c>
      <c r="C18712" t="n" s="0">
        <v>3290087.672955</v>
      </c>
    </row>
    <row r="18713">
      <c r="A18713" t="n" s="0">
        <v>87.12</v>
      </c>
      <c r="B18713" t="n" s="0">
        <f>(-5-((((-5*(-5/((-5/(((-5*(87.12--5))-(-5+((-5*87.12)*(((-5--5)+(87.12--5))+87.12))))-(-5+-5)))*-5)))/-5)--5)+(-5*(((87.12*(87.12-(-5/-5)))*(87.12-(87.12/(-5*87.12))))-(-5/-5)))))</f>
        <v>3291222.5718400003</v>
      </c>
      <c r="C18713" t="n" s="0">
        <v>3291222.5718400003</v>
      </c>
    </row>
    <row r="18714">
      <c r="A18714" t="n" s="0">
        <v>87.13</v>
      </c>
      <c r="B18714" t="n" s="0">
        <f>(-5-((((-5*(-5/((-5/(((-5*(87.13--5))-(-5+((-5*87.13)*(((-5--5)+(87.13--5))+87.13))))-(-5+-5)))*-5)))/-5)--5)+(-5*(((87.13*(87.13-(-5/-5)))*(87.13-(87.13/(-5*87.13))))-(-5/-5)))))</f>
        <v>3292357.731685</v>
      </c>
      <c r="C18714" t="n" s="0">
        <v>3292357.7316849995</v>
      </c>
    </row>
    <row r="18715">
      <c r="A18715" t="n" s="0">
        <v>87.14</v>
      </c>
      <c r="B18715" t="n" s="0">
        <f>(-5-((((-5*(-5/((-5/(((-5*(87.14--5))-(-5+((-5*87.14)*(((-5--5)+(87.14--5))+87.14))))-(-5+-5)))*-5)))/-5)--5)+(-5*(((87.14*(87.14-(-5/-5)))*(87.14-(87.14/(-5*87.14))))-(-5/-5)))))</f>
        <v>3293493.15252</v>
      </c>
      <c r="C18715" t="n" s="0">
        <v>3293493.15252</v>
      </c>
    </row>
    <row r="18716">
      <c r="A18716" t="n" s="0">
        <v>87.15</v>
      </c>
      <c r="B18716" t="n" s="0">
        <f>(-5-((((-5*(-5/((-5/(((-5*(87.15--5))-(-5+((-5*87.15)*(((-5--5)+(87.15--5))+87.15))))-(-5+-5)))*-5)))/-5)--5)+(-5*(((87.15*(87.15-(-5/-5)))*(87.15-(87.15/(-5*87.15))))-(-5/-5)))))</f>
        <v>3294628.834375</v>
      </c>
      <c r="C18716" t="n" s="0">
        <v>3294628.8343750006</v>
      </c>
    </row>
    <row r="18717">
      <c r="A18717" t="n" s="0">
        <v>87.16</v>
      </c>
      <c r="B18717" t="n" s="0">
        <f>(-5-((((-5*(-5/((-5/(((-5*(87.16--5))-(-5+((-5*87.16)*(((-5--5)+(87.16--5))+87.16))))-(-5+-5)))*-5)))/-5)--5)+(-5*(((87.16*(87.16-(-5/-5)))*(87.16-(87.16/(-5*87.16))))-(-5/-5)))))</f>
        <v>3295764.77728</v>
      </c>
      <c r="C18717" t="n" s="0">
        <v>3295764.7772799996</v>
      </c>
    </row>
    <row r="18718">
      <c r="A18718" t="n" s="0">
        <v>87.17</v>
      </c>
      <c r="B18718" t="n" s="0">
        <f>(-5-((((-5*(-5/((-5/(((-5*(87.17--5))-(-5+((-5*87.17)*(((-5--5)+(87.17--5))+87.17))))-(-5+-5)))*-5)))/-5)--5)+(-5*(((87.17*(87.17-(-5/-5)))*(87.17-(87.17/(-5*87.17))))-(-5/-5)))))</f>
        <v>3296900.981265</v>
      </c>
      <c r="C18718" t="n" s="0">
        <v>3296900.9812649996</v>
      </c>
    </row>
    <row r="18719">
      <c r="A18719" t="n" s="0">
        <v>87.18</v>
      </c>
      <c r="B18719" t="n" s="0">
        <f>(-5-((((-5*(-5/((-5/(((-5*(87.18--5))-(-5+((-5*87.18)*(((-5--5)+(87.18--5))+87.18))))-(-5+-5)))*-5)))/-5)--5)+(-5*(((87.18*(87.18-(-5/-5)))*(87.18-(87.18/(-5*87.18))))-(-5/-5)))))</f>
        <v>3298037.44636</v>
      </c>
      <c r="C18719" t="n" s="0">
        <v>3298037.446360001</v>
      </c>
    </row>
    <row r="18720">
      <c r="A18720" t="n" s="0">
        <v>87.19</v>
      </c>
      <c r="B18720" t="n" s="0">
        <f>(-5-((((-5*(-5/((-5/(((-5*(87.19--5))-(-5+((-5*87.19)*(((-5--5)+(87.19--5))+87.19))))-(-5+-5)))*-5)))/-5)--5)+(-5*(((87.19*(87.19-(-5/-5)))*(87.19-(87.19/(-5*87.19))))-(-5/-5)))))</f>
        <v>3299174.1725950004</v>
      </c>
      <c r="C18720" t="n" s="0">
        <v>3299174.172595</v>
      </c>
    </row>
    <row r="18721">
      <c r="A18721" t="n" s="0">
        <v>87.2</v>
      </c>
      <c r="B18721" t="n" s="0">
        <f>(-5-((((-5*(-5/((-5/(((-5*(87.2--5))-(-5+((-5*87.2)*(((-5--5)+(87.2--5))+87.2))))-(-5+-5)))*-5)))/-5)--5)+(-5*(((87.2*(87.2-(-5/-5)))*(87.2-(87.2/(-5*87.2))))-(-5/-5)))))</f>
        <v>3300311.16</v>
      </c>
      <c r="C18721" t="n" s="0">
        <v>3300311.1600000006</v>
      </c>
    </row>
    <row r="18722">
      <c r="A18722" t="n" s="0">
        <v>87.21</v>
      </c>
      <c r="B18722" t="n" s="0">
        <f>(-5-((((-5*(-5/((-5/(((-5*(87.21--5))-(-5+((-5*87.21)*(((-5--5)+(87.21--5))+87.21))))-(-5+-5)))*-5)))/-5)--5)+(-5*(((87.21*(87.21-(-5/-5)))*(87.21-(87.21/(-5*87.21))))-(-5/-5)))))</f>
        <v>3301448.408605</v>
      </c>
      <c r="C18722" t="n" s="0">
        <v>3301448.408604999</v>
      </c>
    </row>
    <row r="18723">
      <c r="A18723" t="n" s="0">
        <v>87.22</v>
      </c>
      <c r="B18723" t="n" s="0">
        <f>(-5-((((-5*(-5/((-5/(((-5*(87.22--5))-(-5+((-5*87.22)*(((-5--5)+(87.22--5))+87.22))))-(-5+-5)))*-5)))/-5)--5)+(-5*(((87.22*(87.22-(-5/-5)))*(87.22-(87.22/(-5*87.22))))-(-5/-5)))))</f>
        <v>3302585.9184399997</v>
      </c>
      <c r="C18723" t="n" s="0">
        <v>3302585.91844</v>
      </c>
    </row>
    <row r="18724">
      <c r="A18724" t="n" s="0">
        <v>87.23</v>
      </c>
      <c r="B18724" t="n" s="0">
        <f>(-5-((((-5*(-5/((-5/(((-5*(87.23--5))-(-5+((-5*87.23)*(((-5--5)+(87.23--5))+87.23))))-(-5+-5)))*-5)))/-5)--5)+(-5*(((87.23*(87.23-(-5/-5)))*(87.23-(87.23/(-5*87.23))))-(-5/-5)))))</f>
        <v>3303723.689535</v>
      </c>
      <c r="C18724" t="n" s="0">
        <v>3303723.689535</v>
      </c>
    </row>
    <row r="18725">
      <c r="A18725" t="n" s="0">
        <v>87.24</v>
      </c>
      <c r="B18725" t="n" s="0">
        <f>(-5-((((-5*(-5/((-5/(((-5*(87.24--5))-(-5+((-5*87.24)*(((-5--5)+(87.24--5))+87.24))))-(-5+-5)))*-5)))/-5)--5)+(-5*(((87.24*(87.24-(-5/-5)))*(87.24-(87.24/(-5*87.24))))-(-5/-5)))))</f>
        <v>3304861.72192</v>
      </c>
      <c r="C18725" t="n" s="0">
        <v>3304861.72192</v>
      </c>
    </row>
    <row r="18726">
      <c r="A18726" t="n" s="0">
        <v>87.25</v>
      </c>
      <c r="B18726" t="n" s="0">
        <f>(-5-((((-5*(-5/((-5/(((-5*(87.25--5))-(-5+((-5*87.25)*(((-5--5)+(87.25--5))+87.25))))-(-5+-5)))*-5)))/-5)--5)+(-5*(((87.25*(87.25-(-5/-5)))*(87.25-(87.25/(-5*87.25))))-(-5/-5)))))</f>
        <v>3306000.015625</v>
      </c>
      <c r="C18726" t="n" s="0">
        <v>3306000.015625</v>
      </c>
    </row>
    <row r="18727">
      <c r="A18727" t="n" s="0">
        <v>87.26</v>
      </c>
      <c r="B18727" t="n" s="0">
        <f>(-5-((((-5*(-5/((-5/(((-5*(87.26--5))-(-5+((-5*87.26)*(((-5--5)+(87.26--5))+87.26))))-(-5+-5)))*-5)))/-5)--5)+(-5*(((87.26*(87.26-(-5/-5)))*(87.26-(87.26/(-5*87.26))))-(-5/-5)))))</f>
        <v>3307138.57068</v>
      </c>
      <c r="C18727" t="n" s="0">
        <v>3307138.5706800004</v>
      </c>
    </row>
    <row r="18728">
      <c r="A18728" t="n" s="0">
        <v>87.27</v>
      </c>
      <c r="B18728" t="n" s="0">
        <f>(-5-((((-5*(-5/((-5/(((-5*(87.27--5))-(-5+((-5*87.27)*(((-5--5)+(87.27--5))+87.27))))-(-5+-5)))*-5)))/-5)--5)+(-5*(((87.27*(87.27-(-5/-5)))*(87.27-(87.27/(-5*87.27))))-(-5/-5)))))</f>
        <v>3308277.3871150003</v>
      </c>
      <c r="C18728" t="n" s="0">
        <v>3308277.3871149994</v>
      </c>
    </row>
    <row r="18729">
      <c r="A18729" t="n" s="0">
        <v>87.28</v>
      </c>
      <c r="B18729" t="n" s="0">
        <f>(-5-((((-5*(-5/((-5/(((-5*(87.28--5))-(-5+((-5*87.28)*(((-5--5)+(87.28--5))+87.28))))-(-5+-5)))*-5)))/-5)--5)+(-5*(((87.28*(87.28-(-5/-5)))*(87.28-(87.28/(-5*87.28))))-(-5/-5)))))</f>
        <v>3309416.46496</v>
      </c>
      <c r="C18729" t="n" s="0">
        <v>3309416.46496</v>
      </c>
    </row>
    <row r="18730">
      <c r="A18730" t="n" s="0">
        <v>87.29</v>
      </c>
      <c r="B18730" t="n" s="0">
        <f>(-5-((((-5*(-5/((-5/(((-5*(87.29--5))-(-5+((-5*87.29)*(((-5--5)+(87.29--5))+87.29))))-(-5+-5)))*-5)))/-5)--5)+(-5*(((87.29*(87.29-(-5/-5)))*(87.29-(87.29/(-5*87.29))))-(-5/-5)))))</f>
        <v>3310555.804245</v>
      </c>
      <c r="C18730" t="n" s="0">
        <v>3310555.8042450007</v>
      </c>
    </row>
    <row r="18731">
      <c r="A18731" t="n" s="0">
        <v>87.3</v>
      </c>
      <c r="B18731" t="n" s="0">
        <f>(-5-((((-5*(-5/((-5/(((-5*(87.3--5))-(-5+((-5*87.3)*(((-5--5)+(87.3--5))+87.3))))-(-5+-5)))*-5)))/-5)--5)+(-5*(((87.3*(87.3-(-5/-5)))*(87.3-(87.3/(-5*87.3))))-(-5/-5)))))</f>
        <v>3311695.405</v>
      </c>
      <c r="C18731" t="n" s="0">
        <v>3311695.405</v>
      </c>
    </row>
    <row r="18732">
      <c r="A18732" t="n" s="0">
        <v>87.31</v>
      </c>
      <c r="B18732" t="n" s="0">
        <f>(-5-((((-5*(-5/((-5/(((-5*(87.31--5))-(-5+((-5*87.31)*(((-5--5)+(87.31--5))+87.31))))-(-5+-5)))*-5)))/-5)--5)+(-5*(((87.31*(87.31-(-5/-5)))*(87.31-(87.31/(-5*87.31))))-(-5/-5)))))</f>
        <v>3312835.267255</v>
      </c>
      <c r="C18732" t="n" s="0">
        <v>3312835.267255001</v>
      </c>
    </row>
    <row r="18733">
      <c r="A18733" t="n" s="0">
        <v>87.32</v>
      </c>
      <c r="B18733" t="n" s="0">
        <f>(-5-((((-5*(-5/((-5/(((-5*(87.32--5))-(-5+((-5*87.32)*(((-5--5)+(87.32--5))+87.32))))-(-5+-5)))*-5)))/-5)--5)+(-5*(((87.32*(87.32-(-5/-5)))*(87.32-(87.32/(-5*87.32))))-(-5/-5)))))</f>
        <v>3313975.39104</v>
      </c>
      <c r="C18733" t="n" s="0">
        <v>3313975.391039999</v>
      </c>
    </row>
    <row r="18734">
      <c r="A18734" t="n" s="0">
        <v>87.33</v>
      </c>
      <c r="B18734" t="n" s="0">
        <f>(-5-((((-5*(-5/((-5/(((-5*(87.33--5))-(-5+((-5*87.33)*(((-5--5)+(87.33--5))+87.33))))-(-5+-5)))*-5)))/-5)--5)+(-5*(((87.33*(87.33-(-5/-5)))*(87.33-(87.33/(-5*87.33))))-(-5/-5)))))</f>
        <v>3315115.776385</v>
      </c>
      <c r="C18734" t="n" s="0">
        <v>3315115.7763850004</v>
      </c>
    </row>
    <row r="18735">
      <c r="A18735" t="n" s="0">
        <v>87.34</v>
      </c>
      <c r="B18735" t="n" s="0">
        <f>(-5-((((-5*(-5/((-5/(((-5*(87.34--5))-(-5+((-5*87.34)*(((-5--5)+(87.34--5))+87.34))))-(-5+-5)))*-5)))/-5)--5)+(-5*(((87.34*(87.34-(-5/-5)))*(87.34-(87.34/(-5*87.34))))-(-5/-5)))))</f>
        <v>3316256.42332</v>
      </c>
      <c r="C18735" t="n" s="0">
        <v>3316256.4233200005</v>
      </c>
    </row>
    <row r="18736">
      <c r="A18736" t="n" s="0">
        <v>87.35</v>
      </c>
      <c r="B18736" t="n" s="0">
        <f>(-5-((((-5*(-5/((-5/(((-5*(87.35--5))-(-5+((-5*87.35)*(((-5--5)+(87.35--5))+87.35))))-(-5+-5)))*-5)))/-5)--5)+(-5*(((87.35*(87.35-(-5/-5)))*(87.35-(87.35/(-5*87.35))))-(-5/-5)))))</f>
        <v>3317397.3318749997</v>
      </c>
      <c r="C18736" t="n" s="0">
        <v>3317397.331874999</v>
      </c>
    </row>
    <row r="18737">
      <c r="A18737" t="n" s="0">
        <v>87.36</v>
      </c>
      <c r="B18737" t="n" s="0">
        <f>(-5-((((-5*(-5/((-5/(((-5*(87.36--5))-(-5+((-5*87.36)*(((-5--5)+(87.36--5))+87.36))))-(-5+-5)))*-5)))/-5)--5)+(-5*(((87.36*(87.36-(-5/-5)))*(87.36-(87.36/(-5*87.36))))-(-5/-5)))))</f>
        <v>3318538.50208</v>
      </c>
      <c r="C18737" t="n" s="0">
        <v>3318538.50208</v>
      </c>
    </row>
    <row r="18738">
      <c r="A18738" t="n" s="0">
        <v>87.37</v>
      </c>
      <c r="B18738" t="n" s="0">
        <f>(-5-((((-5*(-5/((-5/(((-5*(87.37--5))-(-5+((-5*87.37)*(((-5--5)+(87.37--5))+87.37))))-(-5+-5)))*-5)))/-5)--5)+(-5*(((87.37*(87.37-(-5/-5)))*(87.37-(87.37/(-5*87.37))))-(-5/-5)))))</f>
        <v>3319679.933965</v>
      </c>
      <c r="C18738" t="n" s="0">
        <v>3319679.9339650003</v>
      </c>
    </row>
    <row r="18739">
      <c r="A18739" t="n" s="0">
        <v>87.38</v>
      </c>
      <c r="B18739" t="n" s="0">
        <f>(-5-((((-5*(-5/((-5/(((-5*(87.38--5))-(-5+((-5*87.38)*(((-5--5)+(87.38--5))+87.38))))-(-5+-5)))*-5)))/-5)--5)+(-5*(((87.38*(87.38-(-5/-5)))*(87.38-(87.38/(-5*87.38))))-(-5/-5)))))</f>
        <v>3320821.62756</v>
      </c>
      <c r="C18739" t="n" s="0">
        <v>3320821.62756</v>
      </c>
    </row>
    <row r="18740">
      <c r="A18740" t="n" s="0">
        <v>87.39</v>
      </c>
      <c r="B18740" t="n" s="0">
        <f>(-5-((((-5*(-5/((-5/(((-5*(87.39--5))-(-5+((-5*87.39)*(((-5--5)+(87.39--5))+87.39))))-(-5+-5)))*-5)))/-5)--5)+(-5*(((87.39*(87.39-(-5/-5)))*(87.39-(87.39/(-5*87.39))))-(-5/-5)))))</f>
        <v>3321963.582895</v>
      </c>
      <c r="C18740" t="n" s="0">
        <v>3321963.582895</v>
      </c>
    </row>
    <row r="18741">
      <c r="A18741" t="n" s="0">
        <v>87.4</v>
      </c>
      <c r="B18741" t="n" s="0">
        <f>(-5-((((-5*(-5/((-5/(((-5*(87.4--5))-(-5+((-5*87.4)*(((-5--5)+(87.4--5))+87.4))))-(-5+-5)))*-5)))/-5)--5)+(-5*(((87.4*(87.4-(-5/-5)))*(87.4-(87.4/(-5*87.4))))-(-5/-5)))))</f>
        <v>3323105.8000000003</v>
      </c>
      <c r="C18741" t="n" s="0">
        <v>3323105.800000001</v>
      </c>
    </row>
    <row r="18742">
      <c r="A18742" t="n" s="0">
        <v>87.41</v>
      </c>
      <c r="B18742" t="n" s="0">
        <f>(-5-((((-5*(-5/((-5/(((-5*(87.41--5))-(-5+((-5*87.41)*(((-5--5)+(87.41--5))+87.41))))-(-5+-5)))*-5)))/-5)--5)+(-5*(((87.41*(87.41-(-5/-5)))*(87.41-(87.41/(-5*87.41))))-(-5/-5)))))</f>
        <v>3324248.278905</v>
      </c>
      <c r="C18742" t="n" s="0">
        <v>3324248.2789049996</v>
      </c>
    </row>
    <row r="18743">
      <c r="A18743" t="n" s="0">
        <v>87.42</v>
      </c>
      <c r="B18743" t="n" s="0">
        <f>(-5-((((-5*(-5/((-5/(((-5*(87.42--5))-(-5+((-5*87.42)*(((-5--5)+(87.42--5))+87.42))))-(-5+-5)))*-5)))/-5)--5)+(-5*(((87.42*(87.42-(-5/-5)))*(87.42-(87.42/(-5*87.42))))-(-5/-5)))))</f>
        <v>3325391.01964</v>
      </c>
      <c r="C18743" t="n" s="0">
        <v>3325391.0196399996</v>
      </c>
    </row>
    <row r="18744">
      <c r="A18744" t="n" s="0">
        <v>87.43</v>
      </c>
      <c r="B18744" t="n" s="0">
        <f>(-5-((((-5*(-5/((-5/(((-5*(87.43--5))-(-5+((-5*87.43)*(((-5--5)+(87.43--5))+87.43))))-(-5+-5)))*-5)))/-5)--5)+(-5*(((87.43*(87.43-(-5/-5)))*(87.43-(87.43/(-5*87.43))))-(-5/-5)))))</f>
        <v>3326534.022235</v>
      </c>
      <c r="C18744" t="n" s="0">
        <v>3326534.022235001</v>
      </c>
    </row>
    <row r="18745">
      <c r="A18745" t="n" s="0">
        <v>87.44</v>
      </c>
      <c r="B18745" t="n" s="0">
        <f>(-5-((((-5*(-5/((-5/(((-5*(87.44--5))-(-5+((-5*87.44)*(((-5--5)+(87.44--5))+87.44))))-(-5+-5)))*-5)))/-5)--5)+(-5*(((87.44*(87.44-(-5/-5)))*(87.44-(87.44/(-5*87.44))))-(-5/-5)))))</f>
        <v>3327677.28672</v>
      </c>
      <c r="C18745" t="n" s="0">
        <v>3327677.2867199997</v>
      </c>
    </row>
    <row r="18746">
      <c r="A18746" t="n" s="0">
        <v>87.45</v>
      </c>
      <c r="B18746" t="n" s="0">
        <f>(-5-((((-5*(-5/((-5/(((-5*(87.45--5))-(-5+((-5*87.45)*(((-5--5)+(87.45--5))+87.45))))-(-5+-5)))*-5)))/-5)--5)+(-5*(((87.45*(87.45-(-5/-5)))*(87.45-(87.45/(-5*87.45))))-(-5/-5)))))</f>
        <v>3328820.8131250003</v>
      </c>
      <c r="C18746" t="n" s="0">
        <v>3328820.813125001</v>
      </c>
    </row>
    <row r="18747">
      <c r="A18747" t="n" s="0">
        <v>87.46</v>
      </c>
      <c r="B18747" t="n" s="0">
        <f>(-5-((((-5*(-5/((-5/(((-5*(87.46--5))-(-5+((-5*87.46)*(((-5--5)+(87.46--5))+87.46))))-(-5+-5)))*-5)))/-5)--5)+(-5*(((87.46*(87.46-(-5/-5)))*(87.46-(87.46/(-5*87.46))))-(-5/-5)))))</f>
        <v>3329964.60148</v>
      </c>
      <c r="C18747" t="n" s="0">
        <v>3329964.6014799993</v>
      </c>
    </row>
    <row r="18748">
      <c r="A18748" t="n" s="0">
        <v>87.47</v>
      </c>
      <c r="B18748" t="n" s="0">
        <f>(-5-((((-5*(-5/((-5/(((-5*(87.47--5))-(-5+((-5*87.47)*(((-5--5)+(87.47--5))+87.47))))-(-5+-5)))*-5)))/-5)--5)+(-5*(((87.47*(87.47-(-5/-5)))*(87.47-(87.47/(-5*87.47))))-(-5/-5)))))</f>
        <v>3331108.651815</v>
      </c>
      <c r="C18748" t="n" s="0">
        <v>3331108.651815</v>
      </c>
    </row>
    <row r="18749">
      <c r="A18749" t="n" s="0">
        <v>87.48</v>
      </c>
      <c r="B18749" t="n" s="0">
        <f>(-5-((((-5*(-5/((-5/(((-5*(87.48--5))-(-5+((-5*87.48)*(((-5--5)+(87.48--5))+87.48))))-(-5+-5)))*-5)))/-5)--5)+(-5*(((87.48*(87.48-(-5/-5)))*(87.48-(87.48/(-5*87.48))))-(-5/-5)))))</f>
        <v>3332252.96416</v>
      </c>
      <c r="C18749" t="n" s="0">
        <v>3332252.96416</v>
      </c>
    </row>
    <row r="18750">
      <c r="A18750" t="n" s="0">
        <v>87.49</v>
      </c>
      <c r="B18750" t="n" s="0">
        <f>(-5-((((-5*(-5/((-5/(((-5*(87.49--5))-(-5+((-5*87.49)*(((-5--5)+(87.49--5))+87.49))))-(-5+-5)))*-5)))/-5)--5)+(-5*(((87.49*(87.49-(-5/-5)))*(87.49-(87.49/(-5*87.49))))-(-5/-5)))))</f>
        <v>3333397.538545</v>
      </c>
      <c r="C18750" t="n" s="0">
        <v>3333397.5385449994</v>
      </c>
    </row>
    <row r="18751">
      <c r="A18751" t="n" s="0">
        <v>87.5</v>
      </c>
      <c r="B18751" t="n" s="0">
        <f>(-5-((((-5*(-5/((-5/(((-5*(87.5--5))-(-5+((-5*87.5)*(((-5--5)+(87.5--5))+87.5))))-(-5+-5)))*-5)))/-5)--5)+(-5*(((87.5*(87.5-(-5/-5)))*(87.5-(87.5/(-5*87.5))))-(-5/-5)))))</f>
        <v>3334542.375</v>
      </c>
      <c r="C18751" t="n" s="0">
        <v>3334542.375</v>
      </c>
    </row>
    <row r="18752">
      <c r="A18752" t="n" s="0">
        <v>87.51</v>
      </c>
      <c r="B18752" t="n" s="0">
        <f>(-5-((((-5*(-5/((-5/(((-5*(87.51--5))-(-5+((-5*87.51)*(((-5--5)+(87.51--5))+87.51))))-(-5+-5)))*-5)))/-5)--5)+(-5*(((87.51*(87.51-(-5/-5)))*(87.51-(87.51/(-5*87.51))))-(-5/-5)))))</f>
        <v>3335687.473555</v>
      </c>
      <c r="C18752" t="n" s="0">
        <v>3335687.4735550005</v>
      </c>
    </row>
    <row r="18753">
      <c r="A18753" t="n" s="0">
        <v>87.52</v>
      </c>
      <c r="B18753" t="n" s="0">
        <f>(-5-((((-5*(-5/((-5/(((-5*(87.52--5))-(-5+((-5*87.52)*(((-5--5)+(87.52--5))+87.52))))-(-5+-5)))*-5)))/-5)--5)+(-5*(((87.52*(87.52-(-5/-5)))*(87.52-(87.52/(-5*87.52))))-(-5/-5)))))</f>
        <v>3336832.83424</v>
      </c>
      <c r="C18753" t="n" s="0">
        <v>3336832.8342399998</v>
      </c>
    </row>
    <row r="18754">
      <c r="A18754" t="n" s="0">
        <v>87.53</v>
      </c>
      <c r="B18754" t="n" s="0">
        <f>(-5-((((-5*(-5/((-5/(((-5*(87.53--5))-(-5+((-5*87.53)*(((-5--5)+(87.53--5))+87.53))))-(-5+-5)))*-5)))/-5)--5)+(-5*(((87.53*(87.53-(-5/-5)))*(87.53-(87.53/(-5*87.53))))-(-5/-5)))))</f>
        <v>3337978.457085</v>
      </c>
      <c r="C18754" t="n" s="0">
        <v>3337978.457085</v>
      </c>
    </row>
    <row r="18755">
      <c r="A18755" t="n" s="0">
        <v>87.54</v>
      </c>
      <c r="B18755" t="n" s="0">
        <f>(-5-((((-5*(-5/((-5/(((-5*(87.54--5))-(-5+((-5*87.54)*(((-5--5)+(87.54--5))+87.54))))-(-5+-5)))*-5)))/-5)--5)+(-5*(((87.54*(87.54-(-5/-5)))*(87.54-(87.54/(-5*87.54))))-(-5/-5)))))</f>
        <v>3339124.3421199997</v>
      </c>
      <c r="C18755" t="n" s="0">
        <v>3339124.342120001</v>
      </c>
    </row>
    <row r="18756">
      <c r="A18756" t="n" s="0">
        <v>87.55</v>
      </c>
      <c r="B18756" t="n" s="0">
        <f>(-5-((((-5*(-5/((-5/(((-5*(87.55--5))-(-5+((-5*87.55)*(((-5--5)+(87.55--5))+87.55))))-(-5+-5)))*-5)))/-5)--5)+(-5*(((87.55*(87.55-(-5/-5)))*(87.55-(87.55/(-5*87.55))))-(-5/-5)))))</f>
        <v>3340270.489375</v>
      </c>
      <c r="C18756" t="n" s="0">
        <v>3340270.4893749994</v>
      </c>
    </row>
    <row r="18757">
      <c r="A18757" t="n" s="0">
        <v>87.56</v>
      </c>
      <c r="B18757" t="n" s="0">
        <f>(-5-((((-5*(-5/((-5/(((-5*(87.56--5))-(-5+((-5*87.56)*(((-5--5)+(87.56--5))+87.56))))-(-5+-5)))*-5)))/-5)--5)+(-5*(((87.56*(87.56-(-5/-5)))*(87.56-(87.56/(-5*87.56))))-(-5/-5)))))</f>
        <v>3341416.89888</v>
      </c>
      <c r="C18757" t="n" s="0">
        <v>3341416.8988800007</v>
      </c>
    </row>
    <row r="18758">
      <c r="A18758" t="n" s="0">
        <v>87.57</v>
      </c>
      <c r="B18758" t="n" s="0">
        <f>(-5-((((-5*(-5/((-5/(((-5*(87.57--5))-(-5+((-5*87.57)*(((-5--5)+(87.57--5))+87.57))))-(-5+-5)))*-5)))/-5)--5)+(-5*(((87.57*(87.57-(-5/-5)))*(87.57-(87.57/(-5*87.57))))-(-5/-5)))))</f>
        <v>3342563.570665</v>
      </c>
      <c r="C18758" t="n" s="0">
        <v>3342563.570664999</v>
      </c>
    </row>
    <row r="18759">
      <c r="A18759" t="n" s="0">
        <v>87.58</v>
      </c>
      <c r="B18759" t="n" s="0">
        <f>(-5-((((-5*(-5/((-5/(((-5*(87.58--5))-(-5+((-5*87.58)*(((-5--5)+(87.58--5))+87.58))))-(-5+-5)))*-5)))/-5)--5)+(-5*(((87.58*(87.58-(-5/-5)))*(87.58-(87.58/(-5*87.58))))-(-5/-5)))))</f>
        <v>3343710.50476</v>
      </c>
      <c r="C18759" t="n" s="0">
        <v>3343710.50476</v>
      </c>
    </row>
    <row r="18760">
      <c r="A18760" t="n" s="0">
        <v>87.59</v>
      </c>
      <c r="B18760" t="n" s="0">
        <f>(-5-((((-5*(-5/((-5/(((-5*(87.59--5))-(-5+((-5*87.59)*(((-5--5)+(87.59--5))+87.59))))-(-5+-5)))*-5)))/-5)--5)+(-5*(((87.59*(87.59-(-5/-5)))*(87.59-(87.59/(-5*87.59))))-(-5/-5)))))</f>
        <v>3344857.7011949997</v>
      </c>
      <c r="C18760" t="n" s="0">
        <v>3344857.701195</v>
      </c>
    </row>
    <row r="18761">
      <c r="A18761" t="n" s="0">
        <v>87.6</v>
      </c>
      <c r="B18761" t="n" s="0">
        <f>(-5-((((-5*(-5/((-5/(((-5*(87.6--5))-(-5+((-5*87.6)*(((-5--5)+(87.6--5))+87.6))))-(-5+-5)))*-5)))/-5)--5)+(-5*(((87.6*(87.6-(-5/-5)))*(87.6-(87.6/(-5*87.6))))-(-5/-5)))))</f>
        <v>3346005.16</v>
      </c>
      <c r="C18761" t="n" s="0">
        <v>3346005.1599999988</v>
      </c>
    </row>
    <row r="18762">
      <c r="A18762" t="n" s="0">
        <v>87.61</v>
      </c>
      <c r="B18762" t="n" s="0">
        <f>(-5-((((-5*(-5/((-5/(((-5*(87.61--5))-(-5+((-5*87.61)*(((-5--5)+(87.61--5))+87.61))))-(-5+-5)))*-5)))/-5)--5)+(-5*(((87.61*(87.61-(-5/-5)))*(87.61-(87.61/(-5*87.61))))-(-5/-5)))))</f>
        <v>3347152.881205</v>
      </c>
      <c r="C18762" t="n" s="0">
        <v>3347152.8812050004</v>
      </c>
    </row>
    <row r="18763">
      <c r="A18763" t="n" s="0">
        <v>87.62</v>
      </c>
      <c r="B18763" t="n" s="0">
        <f>(-5-((((-5*(-5/((-5/(((-5*(87.62--5))-(-5+((-5*87.62)*(((-5--5)+(87.62--5))+87.62))))-(-5+-5)))*-5)))/-5)--5)+(-5*(((87.62*(87.62-(-5/-5)))*(87.62-(87.62/(-5*87.62))))-(-5/-5)))))</f>
        <v>3348300.86484</v>
      </c>
      <c r="C18763" t="n" s="0">
        <v>3348300.864840001</v>
      </c>
    </row>
    <row r="18764">
      <c r="A18764" t="n" s="0">
        <v>87.63</v>
      </c>
      <c r="B18764" t="n" s="0">
        <f>(-5-((((-5*(-5/((-5/(((-5*(87.63--5))-(-5+((-5*87.63)*(((-5--5)+(87.63--5))+87.63))))-(-5+-5)))*-5)))/-5)--5)+(-5*(((87.63*(87.63-(-5/-5)))*(87.63-(87.63/(-5*87.63))))-(-5/-5)))))</f>
        <v>3349449.110935</v>
      </c>
      <c r="C18764" t="n" s="0">
        <v>3349449.110935</v>
      </c>
    </row>
    <row r="18765">
      <c r="A18765" t="n" s="0">
        <v>87.64</v>
      </c>
      <c r="B18765" t="n" s="0">
        <f>(-5-((((-5*(-5/((-5/(((-5*(87.64--5))-(-5+((-5*87.64)*(((-5--5)+(87.64--5))+87.64))))-(-5+-5)))*-5)))/-5)--5)+(-5*(((87.64*(87.64-(-5/-5)))*(87.64-(87.64/(-5*87.64))))-(-5/-5)))))</f>
        <v>3350597.61952</v>
      </c>
      <c r="C18765" t="n" s="0">
        <v>3350597.6195199997</v>
      </c>
    </row>
    <row r="18766">
      <c r="A18766" t="n" s="0">
        <v>87.65</v>
      </c>
      <c r="B18766" t="n" s="0">
        <f>(-5-((((-5*(-5/((-5/(((-5*(87.65--5))-(-5+((-5*87.65)*(((-5--5)+(87.65--5))+87.65))))-(-5+-5)))*-5)))/-5)--5)+(-5*(((87.65*(87.65-(-5/-5)))*(87.65-(87.65/(-5*87.65))))-(-5/-5)))))</f>
        <v>3351746.390625</v>
      </c>
      <c r="C18766" t="n" s="0">
        <v>3351746.390625001</v>
      </c>
    </row>
    <row r="18767">
      <c r="A18767" t="n" s="0">
        <v>87.66</v>
      </c>
      <c r="B18767" t="n" s="0">
        <f>(-5-((((-5*(-5/((-5/(((-5*(87.66--5))-(-5+((-5*87.66)*(((-5--5)+(87.66--5))+87.66))))-(-5+-5)))*-5)))/-5)--5)+(-5*(((87.66*(87.66-(-5/-5)))*(87.66-(87.66/(-5*87.66))))-(-5/-5)))))</f>
        <v>3352895.42428</v>
      </c>
      <c r="C18767" t="n" s="0">
        <v>3352895.42428</v>
      </c>
    </row>
    <row r="18768">
      <c r="A18768" t="n" s="0">
        <v>87.67</v>
      </c>
      <c r="B18768" t="n" s="0">
        <f>(-5-((((-5*(-5/((-5/(((-5*(87.67--5))-(-5+((-5*87.67)*(((-5--5)+(87.67--5))+87.67))))-(-5+-5)))*-5)))/-5)--5)+(-5*(((87.67*(87.67-(-5/-5)))*(87.67-(87.67/(-5*87.67))))-(-5/-5)))))</f>
        <v>3354044.7205149997</v>
      </c>
      <c r="C18768" t="n" s="0">
        <v>3354044.720515</v>
      </c>
    </row>
    <row r="18769">
      <c r="A18769" t="n" s="0">
        <v>87.68</v>
      </c>
      <c r="B18769" t="n" s="0">
        <f>(-5-((((-5*(-5/((-5/(((-5*(87.68--5))-(-5+((-5*87.68)*(((-5--5)+(87.68--5))+87.68))))-(-5+-5)))*-5)))/-5)--5)+(-5*(((87.68*(87.68-(-5/-5)))*(87.68-(87.68/(-5*87.68))))-(-5/-5)))))</f>
        <v>3355194.27936</v>
      </c>
      <c r="C18769" t="n" s="0">
        <v>3355194.279360001</v>
      </c>
    </row>
    <row r="18770">
      <c r="A18770" t="n" s="0">
        <v>87.69</v>
      </c>
      <c r="B18770" t="n" s="0">
        <f>(-5-((((-5*(-5/((-5/(((-5*(87.69--5))-(-5+((-5*87.69)*(((-5--5)+(87.69--5))+87.69))))-(-5+-5)))*-5)))/-5)--5)+(-5*(((87.69*(87.69-(-5/-5)))*(87.69-(87.69/(-5*87.69))))-(-5/-5)))))</f>
        <v>3356344.1008450002</v>
      </c>
      <c r="C18770" t="n" s="0">
        <v>3356344.100845</v>
      </c>
    </row>
    <row r="18771">
      <c r="A18771" t="n" s="0">
        <v>87.7</v>
      </c>
      <c r="B18771" t="n" s="0">
        <f>(-5-((((-5*(-5/((-5/(((-5*(87.7--5))-(-5+((-5*87.7)*(((-5--5)+(87.7--5))+87.7))))-(-5+-5)))*-5)))/-5)--5)+(-5*(((87.7*(87.7-(-5/-5)))*(87.7-(87.7/(-5*87.7))))-(-5/-5)))))</f>
        <v>3357494.185</v>
      </c>
      <c r="C18771" t="n" s="0">
        <v>3357494.185</v>
      </c>
    </row>
    <row r="18772">
      <c r="A18772" t="n" s="0">
        <v>87.71</v>
      </c>
      <c r="B18772" t="n" s="0">
        <f>(-5-((((-5*(-5/((-5/(((-5*(87.71--5))-(-5+((-5*87.71)*(((-5--5)+(87.71--5))+87.71))))-(-5+-5)))*-5)))/-5)--5)+(-5*(((87.71*(87.71-(-5/-5)))*(87.71-(87.71/(-5*87.71))))-(-5/-5)))))</f>
        <v>3358644.531855</v>
      </c>
      <c r="C18772" t="n" s="0">
        <v>3358644.5318549993</v>
      </c>
    </row>
    <row r="18773">
      <c r="A18773" t="n" s="0">
        <v>87.72</v>
      </c>
      <c r="B18773" t="n" s="0">
        <f>(-5-((((-5*(-5/((-5/(((-5*(87.72--5))-(-5+((-5*87.72)*(((-5--5)+(87.72--5))+87.72))))-(-5+-5)))*-5)))/-5)--5)+(-5*(((87.72*(87.72-(-5/-5)))*(87.72-(87.72/(-5*87.72))))-(-5/-5)))))</f>
        <v>3359795.14144</v>
      </c>
      <c r="C18773" t="n" s="0">
        <v>3359795.1414400004</v>
      </c>
    </row>
    <row r="18774">
      <c r="A18774" t="n" s="0">
        <v>87.73</v>
      </c>
      <c r="B18774" t="n" s="0">
        <f>(-5-((((-5*(-5/((-5/(((-5*(87.73--5))-(-5+((-5*87.73)*(((-5--5)+(87.73--5))+87.73))))-(-5+-5)))*-5)))/-5)--5)+(-5*(((87.73*(87.73-(-5/-5)))*(87.73-(87.73/(-5*87.73))))-(-5/-5)))))</f>
        <v>3360946.013785</v>
      </c>
      <c r="C18774" t="n" s="0">
        <v>3360946.0137850004</v>
      </c>
    </row>
    <row r="18775">
      <c r="A18775" t="n" s="0">
        <v>87.74</v>
      </c>
      <c r="B18775" t="n" s="0">
        <f>(-5-((((-5*(-5/((-5/(((-5*(87.74--5))-(-5+((-5*87.74)*(((-5--5)+(87.74--5))+87.74))))-(-5+-5)))*-5)))/-5)--5)+(-5*(((87.74*(87.74-(-5/-5)))*(87.74-(87.74/(-5*87.74))))-(-5/-5)))))</f>
        <v>3362097.14892</v>
      </c>
      <c r="C18775" t="n" s="0">
        <v>3362097.14892</v>
      </c>
    </row>
    <row r="18776">
      <c r="A18776" t="n" s="0">
        <v>87.75</v>
      </c>
      <c r="B18776" t="n" s="0">
        <f>(-5-((((-5*(-5/((-5/(((-5*(87.75--5))-(-5+((-5*87.75)*(((-5--5)+(87.75--5))+87.75))))-(-5+-5)))*-5)))/-5)--5)+(-5*(((87.75*(87.75-(-5/-5)))*(87.75-(87.75/(-5*87.75))))-(-5/-5)))))</f>
        <v>3363248.546875</v>
      </c>
      <c r="C18776" t="n" s="0">
        <v>3363248.546875</v>
      </c>
    </row>
    <row r="18777">
      <c r="A18777" t="n" s="0">
        <v>87.76</v>
      </c>
      <c r="B18777" t="n" s="0">
        <f>(-5-((((-5*(-5/((-5/(((-5*(87.76--5))-(-5+((-5*87.76)*(((-5--5)+(87.76--5))+87.76))))-(-5+-5)))*-5)))/-5)--5)+(-5*(((87.76*(87.76-(-5/-5)))*(87.76-(87.76/(-5*87.76))))-(-5/-5)))))</f>
        <v>3364400.20768</v>
      </c>
      <c r="C18777" t="n" s="0">
        <v>3364400.20768</v>
      </c>
    </row>
    <row r="18778">
      <c r="A18778" t="n" s="0">
        <v>87.77</v>
      </c>
      <c r="B18778" t="n" s="0">
        <f>(-5-((((-5*(-5/((-5/(((-5*(87.77--5))-(-5+((-5*87.77)*(((-5--5)+(87.77--5))+87.77))))-(-5+-5)))*-5)))/-5)--5)+(-5*(((87.77*(87.77-(-5/-5)))*(87.77-(87.77/(-5*87.77))))-(-5/-5)))))</f>
        <v>3365552.1313650003</v>
      </c>
      <c r="C18778" t="n" s="0">
        <v>3365552.131365</v>
      </c>
    </row>
    <row r="18779">
      <c r="A18779" t="n" s="0">
        <v>87.78</v>
      </c>
      <c r="B18779" t="n" s="0">
        <f>(-5-((((-5*(-5/((-5/(((-5*(87.78--5))-(-5+((-5*87.78)*(((-5--5)+(87.78--5))+87.78))))-(-5+-5)))*-5)))/-5)--5)+(-5*(((87.78*(87.78-(-5/-5)))*(87.78-(87.78/(-5*87.78))))-(-5/-5)))))</f>
        <v>3366704.31796</v>
      </c>
      <c r="C18779" t="n" s="0">
        <v>3366704.31796</v>
      </c>
    </row>
    <row r="18780">
      <c r="A18780" t="n" s="0">
        <v>87.79</v>
      </c>
      <c r="B18780" t="n" s="0">
        <f>(-5-((((-5*(-5/((-5/(((-5*(87.79--5))-(-5+((-5*87.79)*(((-5--5)+(87.79--5))+87.79))))-(-5+-5)))*-5)))/-5)--5)+(-5*(((87.79*(87.79-(-5/-5)))*(87.79-(87.79/(-5*87.79))))-(-5/-5)))))</f>
        <v>3367856.767495</v>
      </c>
      <c r="C18780" t="n" s="0">
        <v>3367856.7674950007</v>
      </c>
    </row>
    <row r="18781">
      <c r="A18781" t="n" s="0">
        <v>87.8</v>
      </c>
      <c r="B18781" t="n" s="0">
        <f>(-5-((((-5*(-5/((-5/(((-5*(87.8--5))-(-5+((-5*87.8)*(((-5--5)+(87.8--5))+87.8))))-(-5+-5)))*-5)))/-5)--5)+(-5*(((87.8*(87.8-(-5/-5)))*(87.8-(87.8/(-5*87.8))))-(-5/-5)))))</f>
        <v>3369009.48</v>
      </c>
      <c r="C18781" t="n" s="0">
        <v>3369009.479999999</v>
      </c>
    </row>
    <row r="18782">
      <c r="A18782" t="n" s="0">
        <v>87.81</v>
      </c>
      <c r="B18782" t="n" s="0">
        <f>(-5-((((-5*(-5/((-5/(((-5*(87.81--5))-(-5+((-5*87.81)*(((-5--5)+(87.81--5))+87.81))))-(-5+-5)))*-5)))/-5)--5)+(-5*(((87.81*(87.81-(-5/-5)))*(87.81-(87.81/(-5*87.81))))-(-5/-5)))))</f>
        <v>3370162.455505</v>
      </c>
      <c r="C18782" t="n" s="0">
        <v>3370162.4555050004</v>
      </c>
    </row>
    <row r="18783">
      <c r="A18783" t="n" s="0">
        <v>87.82</v>
      </c>
      <c r="B18783" t="n" s="0">
        <f>(-5-((((-5*(-5/((-5/(((-5*(87.82--5))-(-5+((-5*87.82)*(((-5--5)+(87.82--5))+87.82))))-(-5+-5)))*-5)))/-5)--5)+(-5*(((87.82*(87.82-(-5/-5)))*(87.82-(87.82/(-5*87.82))))-(-5/-5)))))</f>
        <v>3371315.6940400004</v>
      </c>
      <c r="C18783" t="n" s="0">
        <v>3371315.694039999</v>
      </c>
    </row>
    <row r="18784">
      <c r="A18784" t="n" s="0">
        <v>87.83</v>
      </c>
      <c r="B18784" t="n" s="0">
        <f>(-5-((((-5*(-5/((-5/(((-5*(87.83--5))-(-5+((-5*87.83)*(((-5--5)+(87.83--5))+87.83))))-(-5+-5)))*-5)))/-5)--5)+(-5*(((87.83*(87.83-(-5/-5)))*(87.83-(87.83/(-5*87.83))))-(-5/-5)))))</f>
        <v>3372469.1956350002</v>
      </c>
      <c r="C18784" t="n" s="0">
        <v>3372469.195635</v>
      </c>
    </row>
    <row r="18785">
      <c r="A18785" t="n" s="0">
        <v>87.84</v>
      </c>
      <c r="B18785" t="n" s="0">
        <f>(-5-((((-5*(-5/((-5/(((-5*(87.84--5))-(-5+((-5*87.84)*(((-5--5)+(87.84--5))+87.84))))-(-5+-5)))*-5)))/-5)--5)+(-5*(((87.84*(87.84-(-5/-5)))*(87.84-(87.84/(-5*87.84))))-(-5/-5)))))</f>
        <v>3373622.96032</v>
      </c>
      <c r="C18785" t="n" s="0">
        <v>3373622.9603200005</v>
      </c>
    </row>
    <row r="18786">
      <c r="A18786" t="n" s="0">
        <v>87.85</v>
      </c>
      <c r="B18786" t="n" s="0">
        <f>(-5-((((-5*(-5/((-5/(((-5*(87.85--5))-(-5+((-5*87.85)*(((-5--5)+(87.85--5))+87.85))))-(-5+-5)))*-5)))/-5)--5)+(-5*(((87.85*(87.85-(-5/-5)))*(87.85-(87.85/(-5*87.85))))-(-5/-5)))))</f>
        <v>3374776.988125</v>
      </c>
      <c r="C18786" t="n" s="0">
        <v>3374776.988124999</v>
      </c>
    </row>
    <row r="18787">
      <c r="A18787" t="n" s="0">
        <v>87.86</v>
      </c>
      <c r="B18787" t="n" s="0">
        <f>(-5-((((-5*(-5/((-5/(((-5*(87.86--5))-(-5+((-5*87.86)*(((-5--5)+(87.86--5))+87.86))))-(-5+-5)))*-5)))/-5)--5)+(-5*(((87.86*(87.86-(-5/-5)))*(87.86-(87.86/(-5*87.86))))-(-5/-5)))))</f>
        <v>3375931.2790800002</v>
      </c>
      <c r="C18787" t="n" s="0">
        <v>3375931.27908</v>
      </c>
    </row>
    <row r="18788">
      <c r="A18788" t="n" s="0">
        <v>87.87</v>
      </c>
      <c r="B18788" t="n" s="0">
        <f>(-5-((((-5*(-5/((-5/(((-5*(87.87--5))-(-5+((-5*87.87)*(((-5--5)+(87.87--5))+87.87))))-(-5+-5)))*-5)))/-5)--5)+(-5*(((87.87*(87.87-(-5/-5)))*(87.87-(87.87/(-5*87.87))))-(-5/-5)))))</f>
        <v>3377085.833215</v>
      </c>
      <c r="C18788" t="n" s="0">
        <v>3377085.8332150006</v>
      </c>
    </row>
    <row r="18789">
      <c r="A18789" t="n" s="0">
        <v>87.88</v>
      </c>
      <c r="B18789" t="n" s="0">
        <f>(-5-((((-5*(-5/((-5/(((-5*(87.88--5))-(-5+((-5*87.88)*(((-5--5)+(87.88--5))+87.88))))-(-5+-5)))*-5)))/-5)--5)+(-5*(((87.88*(87.88-(-5/-5)))*(87.88-(87.88/(-5*87.88))))-(-5/-5)))))</f>
        <v>3378240.6505600004</v>
      </c>
      <c r="C18789" t="n" s="0">
        <v>3378240.6505599995</v>
      </c>
    </row>
    <row r="18790">
      <c r="A18790" t="n" s="0">
        <v>87.89</v>
      </c>
      <c r="B18790" t="n" s="0">
        <f>(-5-((((-5*(-5/((-5/(((-5*(87.89--5))-(-5+((-5*87.89)*(((-5--5)+(87.89--5))+87.89))))-(-5+-5)))*-5)))/-5)--5)+(-5*(((87.89*(87.89-(-5/-5)))*(87.89-(87.89/(-5*87.89))))-(-5/-5)))))</f>
        <v>3379395.731145</v>
      </c>
      <c r="C18790" t="n" s="0">
        <v>3379395.731145</v>
      </c>
    </row>
    <row r="18791">
      <c r="A18791" t="n" s="0">
        <v>87.9</v>
      </c>
      <c r="B18791" t="n" s="0">
        <f>(-5-((((-5*(-5/((-5/(((-5*(87.9--5))-(-5+((-5*87.9)*(((-5--5)+(87.9--5))+87.9))))-(-5+-5)))*-5)))/-5)--5)+(-5*(((87.9*(87.9-(-5/-5)))*(87.9-(87.9/(-5*87.9))))-(-5/-5)))))</f>
        <v>3380551.0749999997</v>
      </c>
      <c r="C18791" t="n" s="0">
        <v>3380551.075000001</v>
      </c>
    </row>
    <row r="18792">
      <c r="A18792" t="n" s="0">
        <v>87.91</v>
      </c>
      <c r="B18792" t="n" s="0">
        <f>(-5-((((-5*(-5/((-5/(((-5*(87.91--5))-(-5+((-5*87.91)*(((-5--5)+(87.91--5))+87.91))))-(-5+-5)))*-5)))/-5)--5)+(-5*(((87.91*(87.91-(-5/-5)))*(87.91-(87.91/(-5*87.91))))-(-5/-5)))))</f>
        <v>3381706.682155</v>
      </c>
      <c r="C18792" t="n" s="0">
        <v>3381706.682155</v>
      </c>
    </row>
    <row r="18793">
      <c r="A18793" t="n" s="0">
        <v>87.92</v>
      </c>
      <c r="B18793" t="n" s="0">
        <f>(-5-((((-5*(-5/((-5/(((-5*(87.92--5))-(-5+((-5*87.92)*(((-5--5)+(87.92--5))+87.92))))-(-5+-5)))*-5)))/-5)--5)+(-5*(((87.92*(87.92-(-5/-5)))*(87.92-(87.92/(-5*87.92))))-(-5/-5)))))</f>
        <v>3382862.5526400004</v>
      </c>
      <c r="C18793" t="n" s="0">
        <v>3382862.55264</v>
      </c>
    </row>
    <row r="18794">
      <c r="A18794" t="n" s="0">
        <v>87.93</v>
      </c>
      <c r="B18794" t="n" s="0">
        <f>(-5-((((-5*(-5/((-5/(((-5*(87.93--5))-(-5+((-5*87.93)*(((-5--5)+(87.93--5))+87.93))))-(-5+-5)))*-5)))/-5)--5)+(-5*(((87.93*(87.93-(-5/-5)))*(87.93-(87.93/(-5*87.93))))-(-5/-5)))))</f>
        <v>3384018.6864850004</v>
      </c>
      <c r="C18794" t="n" s="0">
        <v>3384018.686485001</v>
      </c>
    </row>
    <row r="18795">
      <c r="A18795" t="n" s="0">
        <v>87.94</v>
      </c>
      <c r="B18795" t="n" s="0">
        <f>(-5-((((-5*(-5/((-5/(((-5*(87.94--5))-(-5+((-5*87.94)*(((-5--5)+(87.94--5))+87.94))))-(-5+-5)))*-5)))/-5)--5)+(-5*(((87.94*(87.94-(-5/-5)))*(87.94-(87.94/(-5*87.94))))-(-5/-5)))))</f>
        <v>3385175.08372</v>
      </c>
      <c r="C18795" t="n" s="0">
        <v>3385175.083719999</v>
      </c>
    </row>
    <row r="18796">
      <c r="A18796" t="n" s="0">
        <v>87.95</v>
      </c>
      <c r="B18796" t="n" s="0">
        <f>(-5-((((-5*(-5/((-5/(((-5*(87.95--5))-(-5+((-5*87.95)*(((-5--5)+(87.95--5))+87.95))))-(-5+-5)))*-5)))/-5)--5)+(-5*(((87.95*(87.95-(-5/-5)))*(87.95-(87.95/(-5*87.95))))-(-5/-5)))))</f>
        <v>3386331.7443750002</v>
      </c>
      <c r="C18796" t="n" s="0">
        <v>3386331.7443750007</v>
      </c>
    </row>
    <row r="18797">
      <c r="A18797" t="n" s="0">
        <v>87.96</v>
      </c>
      <c r="B18797" t="n" s="0">
        <f>(-5-((((-5*(-5/((-5/(((-5*(87.96--5))-(-5+((-5*87.96)*(((-5--5)+(87.96--5))+87.96))))-(-5+-5)))*-5)))/-5)--5)+(-5*(((87.96*(87.96-(-5/-5)))*(87.96-(87.96/(-5*87.96))))-(-5/-5)))))</f>
        <v>3387488.66848</v>
      </c>
      <c r="C18797" t="n" s="0">
        <v>3387488.668479999</v>
      </c>
    </row>
    <row r="18798">
      <c r="A18798" t="n" s="0">
        <v>87.97</v>
      </c>
      <c r="B18798" t="n" s="0">
        <f>(-5-((((-5*(-5/((-5/(((-5*(87.97--5))-(-5+((-5*87.97)*(((-5--5)+(87.97--5))+87.97))))-(-5+-5)))*-5)))/-5)--5)+(-5*(((87.97*(87.97-(-5/-5)))*(87.97-(87.97/(-5*87.97))))-(-5/-5)))))</f>
        <v>3388645.856065</v>
      </c>
      <c r="C18798" t="n" s="0">
        <v>3388645.8560649995</v>
      </c>
    </row>
    <row r="18799">
      <c r="A18799" t="n" s="0">
        <v>87.98</v>
      </c>
      <c r="B18799" t="n" s="0">
        <f>(-5-((((-5*(-5/((-5/(((-5*(87.98--5))-(-5+((-5*87.98)*(((-5--5)+(87.98--5))+87.98))))-(-5+-5)))*-5)))/-5)--5)+(-5*(((87.98*(87.98-(-5/-5)))*(87.98-(87.98/(-5*87.98))))-(-5/-5)))))</f>
        <v>3389803.30716</v>
      </c>
      <c r="C18799" t="n" s="0">
        <v>3389803.3071600003</v>
      </c>
    </row>
    <row r="18800">
      <c r="A18800" t="n" s="0">
        <v>87.99</v>
      </c>
      <c r="B18800" t="n" s="0">
        <f>(-5-((((-5*(-5/((-5/(((-5*(87.99--5))-(-5+((-5*87.99)*(((-5--5)+(87.99--5))+87.99))))-(-5+-5)))*-5)))/-5)--5)+(-5*(((87.99*(87.99-(-5/-5)))*(87.99-(87.99/(-5*87.99))))-(-5/-5)))))</f>
        <v>3390961.021795</v>
      </c>
      <c r="C18800" t="n" s="0">
        <v>3390961.0217949995</v>
      </c>
    </row>
    <row r="18801">
      <c r="A18801" t="n" s="0">
        <v>88.0</v>
      </c>
      <c r="B18801" t="n" s="0">
        <f>(-5-((((-5*(-5/((-5/(((-5*(88--5))-(-5+((-5*88)*(((-5--5)+(88--5))+88))))-(-5+-5)))*-5)))/-5)--5)+(-5*(((88*(88-(-5/-5)))*(88-(88/(-5*88))))-(-5/-5)))))</f>
        <v>3392119.0</v>
      </c>
      <c r="C18801" t="n" s="0">
        <v>3392119.0</v>
      </c>
    </row>
    <row r="18802">
      <c r="A18802" t="n" s="0">
        <v>88.01</v>
      </c>
      <c r="B18802" t="n" s="0">
        <f>(-5-((((-5*(-5/((-5/(((-5*(88.01--5))-(-5+((-5*88.01)*(((-5--5)+(88.01--5))+88.01))))-(-5+-5)))*-5)))/-5)--5)+(-5*(((88.01*(88.01-(-5/-5)))*(88.01-(88.01/(-5*88.01))))-(-5/-5)))))</f>
        <v>3393277.241805</v>
      </c>
      <c r="C18802" t="n" s="0">
        <v>3393277.2418050007</v>
      </c>
    </row>
    <row r="18803">
      <c r="A18803" t="n" s="0">
        <v>88.02</v>
      </c>
      <c r="B18803" t="n" s="0">
        <f>(-5-((((-5*(-5/((-5/(((-5*(88.02--5))-(-5+((-5*88.02)*(((-5--5)+(88.02--5))+88.02))))-(-5+-5)))*-5)))/-5)--5)+(-5*(((88.02*(88.02-(-5/-5)))*(88.02-(88.02/(-5*88.02))))-(-5/-5)))))</f>
        <v>3394435.74724</v>
      </c>
      <c r="C18803" t="n" s="0">
        <v>3394435.7472399995</v>
      </c>
    </row>
    <row r="18804">
      <c r="A18804" t="n" s="0">
        <v>88.03</v>
      </c>
      <c r="B18804" t="n" s="0">
        <f>(-5-((((-5*(-5/((-5/(((-5*(88.03--5))-(-5+((-5*88.03)*(((-5--5)+(88.03--5))+88.03))))-(-5+-5)))*-5)))/-5)--5)+(-5*(((88.03*(88.03-(-5/-5)))*(88.03-(88.03/(-5*88.03))))-(-5/-5)))))</f>
        <v>3395594.516335</v>
      </c>
      <c r="C18804" t="n" s="0">
        <v>3395594.5163350003</v>
      </c>
    </row>
    <row r="18805">
      <c r="A18805" t="n" s="0">
        <v>88.04</v>
      </c>
      <c r="B18805" t="n" s="0">
        <f>(-5-((((-5*(-5/((-5/(((-5*(88.04--5))-(-5+((-5*88.04)*(((-5--5)+(88.04--5))+88.04))))-(-5+-5)))*-5)))/-5)--5)+(-5*(((88.04*(88.04-(-5/-5)))*(88.04-(88.04/(-5*88.04))))-(-5/-5)))))</f>
        <v>3396753.54912</v>
      </c>
      <c r="C18805" t="n" s="0">
        <v>3396753.5491200006</v>
      </c>
    </row>
    <row r="18806">
      <c r="A18806" t="n" s="0">
        <v>88.05</v>
      </c>
      <c r="B18806" t="n" s="0">
        <f>(-5-((((-5*(-5/((-5/(((-5*(88.05--5))-(-5+((-5*88.05)*(((-5--5)+(88.05--5))+88.05))))-(-5+-5)))*-5)))/-5)--5)+(-5*(((88.05*(88.05-(-5/-5)))*(88.05-(88.05/(-5*88.05))))-(-5/-5)))))</f>
        <v>3397912.845625</v>
      </c>
      <c r="C18806" t="n" s="0">
        <v>3397912.8456249996</v>
      </c>
    </row>
    <row r="18807">
      <c r="A18807" t="n" s="0">
        <v>88.06</v>
      </c>
      <c r="B18807" t="n" s="0">
        <f>(-5-((((-5*(-5/((-5/(((-5*(88.06--5))-(-5+((-5*88.06)*(((-5--5)+(88.06--5))+88.06))))-(-5+-5)))*-5)))/-5)--5)+(-5*(((88.06*(88.06-(-5/-5)))*(88.06-(88.06/(-5*88.06))))-(-5/-5)))))</f>
        <v>3399072.4058800004</v>
      </c>
      <c r="C18807" t="n" s="0">
        <v>3399072.4058800004</v>
      </c>
    </row>
    <row r="18808">
      <c r="A18808" t="n" s="0">
        <v>88.07</v>
      </c>
      <c r="B18808" t="n" s="0">
        <f>(-5-((((-5*(-5/((-5/(((-5*(88.07--5))-(-5+((-5*88.07)*(((-5--5)+(88.07--5))+88.07))))-(-5+-5)))*-5)))/-5)--5)+(-5*(((88.07*(88.07-(-5/-5)))*(88.07-(88.07/(-5*88.07))))-(-5/-5)))))</f>
        <v>3400232.229915</v>
      </c>
      <c r="C18808" t="n" s="0">
        <v>3400232.229914999</v>
      </c>
    </row>
    <row r="18809">
      <c r="A18809" t="n" s="0">
        <v>88.08</v>
      </c>
      <c r="B18809" t="n" s="0">
        <f>(-5-((((-5*(-5/((-5/(((-5*(88.08--5))-(-5+((-5*88.08)*(((-5--5)+(88.08--5))+88.08))))-(-5+-5)))*-5)))/-5)--5)+(-5*(((88.08*(88.08-(-5/-5)))*(88.08-(88.08/(-5*88.08))))-(-5/-5)))))</f>
        <v>3401392.31776</v>
      </c>
      <c r="C18809" t="n" s="0">
        <v>3401392.31776</v>
      </c>
    </row>
    <row r="18810">
      <c r="A18810" t="n" s="0">
        <v>88.09</v>
      </c>
      <c r="B18810" t="n" s="0">
        <f>(-5-((((-5*(-5/((-5/(((-5*(88.09--5))-(-5+((-5*88.09)*(((-5--5)+(88.09--5))+88.09))))-(-5+-5)))*-5)))/-5)--5)+(-5*(((88.09*(88.09-(-5/-5)))*(88.09-(88.09/(-5*88.09))))-(-5/-5)))))</f>
        <v>3402552.669445</v>
      </c>
      <c r="C18810" t="n" s="0">
        <v>3402552.669445</v>
      </c>
    </row>
    <row r="18811">
      <c r="A18811" t="n" s="0">
        <v>88.1</v>
      </c>
      <c r="B18811" t="n" s="0">
        <f>(-5-((((-5*(-5/((-5/(((-5*(88.1--5))-(-5+((-5*88.1)*(((-5--5)+(88.1--5))+88.1))))-(-5+-5)))*-5)))/-5)--5)+(-5*(((88.1*(88.1-(-5/-5)))*(88.1-(88.1/(-5*88.1))))-(-5/-5)))))</f>
        <v>3403713.285</v>
      </c>
      <c r="C18811" t="n" s="0">
        <v>3403713.284999999</v>
      </c>
    </row>
    <row r="18812">
      <c r="A18812" t="n" s="0">
        <v>88.11</v>
      </c>
      <c r="B18812" t="n" s="0">
        <f>(-5-((((-5*(-5/((-5/(((-5*(88.11--5))-(-5+((-5*88.11)*(((-5--5)+(88.11--5))+88.11))))-(-5+-5)))*-5)))/-5)--5)+(-5*(((88.11*(88.11-(-5/-5)))*(88.11-(88.11/(-5*88.11))))-(-5/-5)))))</f>
        <v>3404874.164455</v>
      </c>
      <c r="C18812" t="n" s="0">
        <v>3404874.164455</v>
      </c>
    </row>
    <row r="18813">
      <c r="A18813" t="n" s="0">
        <v>88.12</v>
      </c>
      <c r="B18813" t="n" s="0">
        <f>(-5-((((-5*(-5/((-5/(((-5*(88.12--5))-(-5+((-5*88.12)*(((-5--5)+(88.12--5))+88.12))))-(-5+-5)))*-5)))/-5)--5)+(-5*(((88.12*(88.12-(-5/-5)))*(88.12-(88.12/(-5*88.12))))-(-5/-5)))))</f>
        <v>3406035.3078400004</v>
      </c>
      <c r="C18813" t="n" s="0">
        <v>3406035.30784</v>
      </c>
    </row>
    <row r="18814">
      <c r="A18814" t="n" s="0">
        <v>88.13</v>
      </c>
      <c r="B18814" t="n" s="0">
        <f>(-5-((((-5*(-5/((-5/(((-5*(88.13--5))-(-5+((-5*88.13)*(((-5--5)+(88.13--5))+88.13))))-(-5+-5)))*-5)))/-5)--5)+(-5*(((88.13*(88.13-(-5/-5)))*(88.13-(88.13/(-5*88.13))))-(-5/-5)))))</f>
        <v>3407196.715185</v>
      </c>
      <c r="C18814" t="n" s="0">
        <v>3407196.7151849996</v>
      </c>
    </row>
    <row r="18815">
      <c r="A18815" t="n" s="0">
        <v>88.14</v>
      </c>
      <c r="B18815" t="n" s="0">
        <f>(-5-((((-5*(-5/((-5/(((-5*(88.14--5))-(-5+((-5*88.14)*(((-5--5)+(88.14--5))+88.14))))-(-5+-5)))*-5)))/-5)--5)+(-5*(((88.14*(88.14-(-5/-5)))*(88.14-(88.14/(-5*88.14))))-(-5/-5)))))</f>
        <v>3408358.3865199997</v>
      </c>
      <c r="C18815" t="n" s="0">
        <v>3408358.38652</v>
      </c>
    </row>
    <row r="18816">
      <c r="A18816" t="n" s="0">
        <v>88.15</v>
      </c>
      <c r="B18816" t="n" s="0">
        <f>(-5-((((-5*(-5/((-5/(((-5*(88.15--5))-(-5+((-5*88.15)*(((-5--5)+(88.15--5))+88.15))))-(-5+-5)))*-5)))/-5)--5)+(-5*(((88.15*(88.15-(-5/-5)))*(88.15-(88.15/(-5*88.15))))-(-5/-5)))))</f>
        <v>3409520.321875</v>
      </c>
      <c r="C18816" t="n" s="0">
        <v>3409520.3218750004</v>
      </c>
    </row>
    <row r="18817">
      <c r="A18817" t="n" s="0">
        <v>88.16</v>
      </c>
      <c r="B18817" t="n" s="0">
        <f>(-5-((((-5*(-5/((-5/(((-5*(88.16--5))-(-5+((-5*88.16)*(((-5--5)+(88.16--5))+88.16))))-(-5+-5)))*-5)))/-5)--5)+(-5*(((88.16*(88.16-(-5/-5)))*(88.16-(88.16/(-5*88.16))))-(-5/-5)))))</f>
        <v>3410682.52128</v>
      </c>
      <c r="C18817" t="n" s="0">
        <v>3410682.5212799995</v>
      </c>
    </row>
    <row r="18818">
      <c r="A18818" t="n" s="0">
        <v>88.17</v>
      </c>
      <c r="B18818" t="n" s="0">
        <f>(-5-((((-5*(-5/((-5/(((-5*(88.17--5))-(-5+((-5*88.17)*(((-5--5)+(88.17--5))+88.17))))-(-5+-5)))*-5)))/-5)--5)+(-5*(((88.17*(88.17-(-5/-5)))*(88.17-(88.17/(-5*88.17))))-(-5/-5)))))</f>
        <v>3411844.984765</v>
      </c>
      <c r="C18818" t="n" s="0">
        <v>3411844.984765</v>
      </c>
    </row>
    <row r="18819">
      <c r="A18819" t="n" s="0">
        <v>88.18</v>
      </c>
      <c r="B18819" t="n" s="0">
        <f>(-5-((((-5*(-5/((-5/(((-5*(88.18--5))-(-5+((-5*88.18)*(((-5--5)+(88.18--5))+88.18))))-(-5+-5)))*-5)))/-5)--5)+(-5*(((88.18*(88.18-(-5/-5)))*(88.18-(88.18/(-5*88.18))))-(-5/-5)))))</f>
        <v>3413007.71236</v>
      </c>
      <c r="C18819" t="n" s="0">
        <v>3413007.7123600007</v>
      </c>
    </row>
    <row r="18820">
      <c r="A18820" t="n" s="0">
        <v>88.19</v>
      </c>
      <c r="B18820" t="n" s="0">
        <f>(-5-((((-5*(-5/((-5/(((-5*(88.19--5))-(-5+((-5*88.19)*(((-5--5)+(88.19--5))+88.19))))-(-5+-5)))*-5)))/-5)--5)+(-5*(((88.19*(88.19-(-5/-5)))*(88.19-(88.19/(-5*88.19))))-(-5/-5)))))</f>
        <v>3414170.704095</v>
      </c>
      <c r="C18820" t="n" s="0">
        <v>3414170.7040949995</v>
      </c>
    </row>
    <row r="18821">
      <c r="A18821" t="n" s="0">
        <v>88.2</v>
      </c>
      <c r="B18821" t="n" s="0">
        <f>(-5-((((-5*(-5/((-5/(((-5*(88.2--5))-(-5+((-5*88.2)*(((-5--5)+(88.2--5))+88.2))))-(-5+-5)))*-5)))/-5)--5)+(-5*(((88.2*(88.2-(-5/-5)))*(88.2-(88.2/(-5*88.2))))-(-5/-5)))))</f>
        <v>3415333.96</v>
      </c>
      <c r="C18821" t="n" s="0">
        <v>3415333.960000001</v>
      </c>
    </row>
    <row r="18822">
      <c r="A18822" t="n" s="0">
        <v>88.21</v>
      </c>
      <c r="B18822" t="n" s="0">
        <f>(-5-((((-5*(-5/((-5/(((-5*(88.21--5))-(-5+((-5*88.21)*(((-5--5)+(88.21--5))+88.21))))-(-5+-5)))*-5)))/-5)--5)+(-5*(((88.21*(88.21-(-5/-5)))*(88.21-(88.21/(-5*88.21))))-(-5/-5)))))</f>
        <v>3416497.480105</v>
      </c>
      <c r="C18822" t="n" s="0">
        <v>3416497.480104999</v>
      </c>
    </row>
    <row r="18823">
      <c r="A18823" t="n" s="0">
        <v>88.22</v>
      </c>
      <c r="B18823" t="n" s="0">
        <f>(-5-((((-5*(-5/((-5/(((-5*(88.22--5))-(-5+((-5*88.22)*(((-5--5)+(88.22--5))+88.22))))-(-5+-5)))*-5)))/-5)--5)+(-5*(((88.22*(88.22-(-5/-5)))*(88.22-(88.22/(-5*88.22))))-(-5/-5)))))</f>
        <v>3417661.2644399996</v>
      </c>
      <c r="C18823" t="n" s="0">
        <v>3417661.26444</v>
      </c>
    </row>
    <row r="18824">
      <c r="A18824" t="n" s="0">
        <v>88.23</v>
      </c>
      <c r="B18824" t="n" s="0">
        <f>(-5-((((-5*(-5/((-5/(((-5*(88.23--5))-(-5+((-5*88.23)*(((-5--5)+(88.23--5))+88.23))))-(-5+-5)))*-5)))/-5)--5)+(-5*(((88.23*(88.23-(-5/-5)))*(88.23-(88.23/(-5*88.23))))-(-5/-5)))))</f>
        <v>3418825.313035</v>
      </c>
      <c r="C18824" t="n" s="0">
        <v>3418825.3130350006</v>
      </c>
    </row>
    <row r="18825">
      <c r="A18825" t="n" s="0">
        <v>88.24</v>
      </c>
      <c r="B18825" t="n" s="0">
        <f>(-5-((((-5*(-5/((-5/(((-5*(88.24--5))-(-5+((-5*88.24)*(((-5--5)+(88.24--5))+88.24))))-(-5+-5)))*-5)))/-5)--5)+(-5*(((88.24*(88.24-(-5/-5)))*(88.24-(88.24/(-5*88.24))))-(-5/-5)))))</f>
        <v>3419989.62592</v>
      </c>
      <c r="C18825" t="n" s="0">
        <v>3419989.6259199996</v>
      </c>
    </row>
    <row r="18826">
      <c r="A18826" t="n" s="0">
        <v>88.25</v>
      </c>
      <c r="B18826" t="n" s="0">
        <f>(-5-((((-5*(-5/((-5/(((-5*(88.25--5))-(-5+((-5*88.25)*(((-5--5)+(88.25--5))+88.25))))-(-5+-5)))*-5)))/-5)--5)+(-5*(((88.25*(88.25-(-5/-5)))*(88.25-(88.25/(-5*88.25))))-(-5/-5)))))</f>
        <v>3421154.203125</v>
      </c>
      <c r="C18826" t="n" s="0">
        <v>3421154.203125</v>
      </c>
    </row>
    <row r="18827">
      <c r="A18827" t="n" s="0">
        <v>88.26</v>
      </c>
      <c r="B18827" t="n" s="0">
        <f>(-5-((((-5*(-5/((-5/(((-5*(88.26--5))-(-5+((-5*88.26)*(((-5--5)+(88.26--5))+88.26))))-(-5+-5)))*-5)))/-5)--5)+(-5*(((88.26*(88.26-(-5/-5)))*(88.26-(88.26/(-5*88.26))))-(-5/-5)))))</f>
        <v>3422319.04468</v>
      </c>
      <c r="C18827" t="n" s="0">
        <v>3422319.0446800007</v>
      </c>
    </row>
    <row r="18828">
      <c r="A18828" t="n" s="0">
        <v>88.27</v>
      </c>
      <c r="B18828" t="n" s="0">
        <f>(-5-((((-5*(-5/((-5/(((-5*(88.27--5))-(-5+((-5*88.27)*(((-5--5)+(88.27--5))+88.27))))-(-5+-5)))*-5)))/-5)--5)+(-5*(((88.27*(88.27-(-5/-5)))*(88.27-(88.27/(-5*88.27))))-(-5/-5)))))</f>
        <v>3423484.150615</v>
      </c>
      <c r="C18828" t="n" s="0">
        <v>3423484.1506149992</v>
      </c>
    </row>
    <row r="18829">
      <c r="A18829" t="n" s="0">
        <v>88.28</v>
      </c>
      <c r="B18829" t="n" s="0">
        <f>(-5-((((-5*(-5/((-5/(((-5*(88.28--5))-(-5+((-5*88.28)*(((-5--5)+(88.28--5))+88.28))))-(-5+-5)))*-5)))/-5)--5)+(-5*(((88.28*(88.28-(-5/-5)))*(88.28-(88.28/(-5*88.28))))-(-5/-5)))))</f>
        <v>3424649.5209600003</v>
      </c>
      <c r="C18829" t="n" s="0">
        <v>3424649.52096</v>
      </c>
    </row>
    <row r="18830">
      <c r="A18830" t="n" s="0">
        <v>88.29</v>
      </c>
      <c r="B18830" t="n" s="0">
        <f>(-5-((((-5*(-5/((-5/(((-5*(88.29--5))-(-5+((-5*88.29)*(((-5--5)+(88.29--5))+88.29))))-(-5+-5)))*-5)))/-5)--5)+(-5*(((88.29*(88.29-(-5/-5)))*(88.29-(88.29/(-5*88.29))))-(-5/-5)))))</f>
        <v>3425815.155745</v>
      </c>
      <c r="C18830" t="n" s="0">
        <v>3425815.155745001</v>
      </c>
    </row>
    <row r="18831">
      <c r="A18831" t="n" s="0">
        <v>88.3</v>
      </c>
      <c r="B18831" t="n" s="0">
        <f>(-5-((((-5*(-5/((-5/(((-5*(88.3--5))-(-5+((-5*88.3)*(((-5--5)+(88.3--5))+88.3))))-(-5+-5)))*-5)))/-5)--5)+(-5*(((88.3*(88.3-(-5/-5)))*(88.3-(88.3/(-5*88.3))))-(-5/-5)))))</f>
        <v>3426981.055</v>
      </c>
      <c r="C18831" t="n" s="0">
        <v>3426981.055</v>
      </c>
    </row>
    <row r="18832">
      <c r="A18832" t="n" s="0">
        <v>88.31</v>
      </c>
      <c r="B18832" t="n" s="0">
        <f>(-5-((((-5*(-5/((-5/(((-5*(88.31--5))-(-5+((-5*88.31)*(((-5--5)+(88.31--5))+88.31))))-(-5+-5)))*-5)))/-5)--5)+(-5*(((88.31*(88.31-(-5/-5)))*(88.31-(88.31/(-5*88.31))))-(-5/-5)))))</f>
        <v>3428147.218755</v>
      </c>
      <c r="C18832" t="n" s="0">
        <v>3428147.2187550003</v>
      </c>
    </row>
    <row r="18833">
      <c r="A18833" t="n" s="0">
        <v>88.32</v>
      </c>
      <c r="B18833" t="n" s="0">
        <f>(-5-((((-5*(-5/((-5/(((-5*(88.32--5))-(-5+((-5*88.32)*(((-5--5)+(88.32--5))+88.32))))-(-5+-5)))*-5)))/-5)--5)+(-5*(((88.32*(88.32-(-5/-5)))*(88.32-(88.32/(-5*88.32))))-(-5/-5)))))</f>
        <v>3429313.6470399997</v>
      </c>
      <c r="C18833" t="n" s="0">
        <v>3429313.6470399993</v>
      </c>
    </row>
    <row r="18834">
      <c r="A18834" t="n" s="0">
        <v>88.33</v>
      </c>
      <c r="B18834" t="n" s="0">
        <f>(-5-((((-5*(-5/((-5/(((-5*(88.33--5))-(-5+((-5*88.33)*(((-5--5)+(88.33--5))+88.33))))-(-5+-5)))*-5)))/-5)--5)+(-5*(((88.33*(88.33-(-5/-5)))*(88.33-(88.33/(-5*88.33))))-(-5/-5)))))</f>
        <v>3430480.339885</v>
      </c>
      <c r="C18834" t="n" s="0">
        <v>3430480.339885</v>
      </c>
    </row>
    <row r="18835">
      <c r="A18835" t="n" s="0">
        <v>88.34</v>
      </c>
      <c r="B18835" t="n" s="0">
        <f>(-5-((((-5*(-5/((-5/(((-5*(88.34--5))-(-5+((-5*88.34)*(((-5--5)+(88.34--5))+88.34))))-(-5+-5)))*-5)))/-5)--5)+(-5*(((88.34*(88.34-(-5/-5)))*(88.34-(88.34/(-5*88.34))))-(-5/-5)))))</f>
        <v>3431647.29732</v>
      </c>
      <c r="C18835" t="n" s="0">
        <v>3431647.2973200004</v>
      </c>
    </row>
    <row r="18836">
      <c r="A18836" t="n" s="0">
        <v>88.35</v>
      </c>
      <c r="B18836" t="n" s="0">
        <f>(-5-((((-5*(-5/((-5/(((-5*(88.35--5))-(-5+((-5*88.35)*(((-5--5)+(88.35--5))+88.35))))-(-5+-5)))*-5)))/-5)--5)+(-5*(((88.35*(88.35-(-5/-5)))*(88.35-(88.35/(-5*88.35))))-(-5/-5)))))</f>
        <v>3432814.519375</v>
      </c>
      <c r="C18836" t="n" s="0">
        <v>3432814.519374999</v>
      </c>
    </row>
    <row r="18837">
      <c r="A18837" t="n" s="0">
        <v>88.36</v>
      </c>
      <c r="B18837" t="n" s="0">
        <f>(-5-((((-5*(-5/((-5/(((-5*(88.36--5))-(-5+((-5*88.36)*(((-5--5)+(88.36--5))+88.36))))-(-5+-5)))*-5)))/-5)--5)+(-5*(((88.36*(88.36-(-5/-5)))*(88.36-(88.36/(-5*88.36))))-(-5/-5)))))</f>
        <v>3433982.0060799997</v>
      </c>
      <c r="C18837" t="n" s="0">
        <v>3433982.00608</v>
      </c>
    </row>
    <row r="18838">
      <c r="A18838" t="n" s="0">
        <v>88.37</v>
      </c>
      <c r="B18838" t="n" s="0">
        <f>(-5-((((-5*(-5/((-5/(((-5*(88.37--5))-(-5+((-5*88.37)*(((-5--5)+(88.37--5))+88.37))))-(-5+-5)))*-5)))/-5)--5)+(-5*(((88.37*(88.37-(-5/-5)))*(88.37-(88.37/(-5*88.37))))-(-5/-5)))))</f>
        <v>3435149.757465</v>
      </c>
      <c r="C18838" t="n" s="0">
        <v>3435149.7574650003</v>
      </c>
    </row>
    <row r="18839">
      <c r="A18839" t="n" s="0">
        <v>88.38</v>
      </c>
      <c r="B18839" t="n" s="0">
        <f>(-5-((((-5*(-5/((-5/(((-5*(88.38--5))-(-5+((-5*88.38)*(((-5--5)+(88.38--5))+88.38))))-(-5+-5)))*-5)))/-5)--5)+(-5*(((88.38*(88.38-(-5/-5)))*(88.38-(88.38/(-5*88.38))))-(-5/-5)))))</f>
        <v>3436317.77356</v>
      </c>
      <c r="C18839" t="n" s="0">
        <v>3436317.7735599997</v>
      </c>
    </row>
    <row r="18840">
      <c r="A18840" t="n" s="0">
        <v>88.39</v>
      </c>
      <c r="B18840" t="n" s="0">
        <f>(-5-((((-5*(-5/((-5/(((-5*(88.39--5))-(-5+((-5*88.39)*(((-5--5)+(88.39--5))+88.39))))-(-5+-5)))*-5)))/-5)--5)+(-5*(((88.39*(88.39-(-5/-5)))*(88.39-(88.39/(-5*88.39))))-(-5/-5)))))</f>
        <v>3437486.054395</v>
      </c>
      <c r="C18840" t="n" s="0">
        <v>3437486.054395</v>
      </c>
    </row>
    <row r="18841">
      <c r="A18841" t="n" s="0">
        <v>88.4</v>
      </c>
      <c r="B18841" t="n" s="0">
        <f>(-5-((((-5*(-5/((-5/(((-5*(88.4--5))-(-5+((-5*88.4)*(((-5--5)+(88.4--5))+88.4))))-(-5+-5)))*-5)))/-5)--5)+(-5*(((88.4*(88.4-(-5/-5)))*(88.4-(88.4/(-5*88.4))))-(-5/-5)))))</f>
        <v>3438654.6</v>
      </c>
      <c r="C18841" t="n" s="0">
        <v>3438654.600000001</v>
      </c>
    </row>
    <row r="18842">
      <c r="A18842" t="n" s="0">
        <v>88.41</v>
      </c>
      <c r="B18842" t="n" s="0">
        <f>(-5-((((-5*(-5/((-5/(((-5*(88.41--5))-(-5+((-5*88.41)*(((-5--5)+(88.41--5))+88.41))))-(-5+-5)))*-5)))/-5)--5)+(-5*(((88.41*(88.41-(-5/-5)))*(88.41-(88.41/(-5*88.41))))-(-5/-5)))))</f>
        <v>3439823.410405</v>
      </c>
      <c r="C18842" t="n" s="0">
        <v>3439823.4104049993</v>
      </c>
    </row>
    <row r="18843">
      <c r="A18843" t="n" s="0">
        <v>88.42</v>
      </c>
      <c r="B18843" t="n" s="0">
        <f>(-5-((((-5*(-5/((-5/(((-5*(88.42--5))-(-5+((-5*88.42)*(((-5--5)+(88.42--5))+88.42))))-(-5+-5)))*-5)))/-5)--5)+(-5*(((88.42*(88.42-(-5/-5)))*(88.42-(88.42/(-5*88.42))))-(-5/-5)))))</f>
        <v>3440992.48564</v>
      </c>
      <c r="C18843" t="n" s="0">
        <v>3440992.48564</v>
      </c>
    </row>
    <row r="18844">
      <c r="A18844" t="n" s="0">
        <v>88.43</v>
      </c>
      <c r="B18844" t="n" s="0">
        <f>(-5-((((-5*(-5/((-5/(((-5*(88.43--5))-(-5+((-5*88.43)*(((-5--5)+(88.43--5))+88.43))))-(-5+-5)))*-5)))/-5)--5)+(-5*(((88.43*(88.43-(-5/-5)))*(88.43-(88.43/(-5*88.43))))-(-5/-5)))))</f>
        <v>3442161.825735</v>
      </c>
      <c r="C18844" t="n" s="0">
        <v>3442161.825735001</v>
      </c>
    </row>
    <row r="18845">
      <c r="A18845" t="n" s="0">
        <v>88.44</v>
      </c>
      <c r="B18845" t="n" s="0">
        <f>(-5-((((-5*(-5/((-5/(((-5*(88.44--5))-(-5+((-5*88.44)*(((-5--5)+(88.44--5))+88.44))))-(-5+-5)))*-5)))/-5)--5)+(-5*(((88.44*(88.44-(-5/-5)))*(88.44-(88.44/(-5*88.44))))-(-5/-5)))))</f>
        <v>3443331.43072</v>
      </c>
      <c r="C18845" t="n" s="0">
        <v>3443331.4307199996</v>
      </c>
    </row>
    <row r="18846">
      <c r="A18846" t="n" s="0">
        <v>88.45</v>
      </c>
      <c r="B18846" t="n" s="0">
        <f>(-5-((((-5*(-5/((-5/(((-5*(88.45--5))-(-5+((-5*88.45)*(((-5--5)+(88.45--5))+88.45))))-(-5+-5)))*-5)))/-5)--5)+(-5*(((88.45*(88.45-(-5/-5)))*(88.45-(88.45/(-5*88.45))))-(-5/-5)))))</f>
        <v>3444501.300625</v>
      </c>
      <c r="C18846" t="n" s="0">
        <v>3444501.300625</v>
      </c>
    </row>
    <row r="18847">
      <c r="A18847" t="n" s="0">
        <v>88.46</v>
      </c>
      <c r="B18847" t="n" s="0">
        <f>(-5-((((-5*(-5/((-5/(((-5*(88.46--5))-(-5+((-5*88.46)*(((-5--5)+(88.46--5))+88.46))))-(-5+-5)))*-5)))/-5)--5)+(-5*(((88.46*(88.46-(-5/-5)))*(88.46-(88.46/(-5*88.46))))-(-5/-5)))))</f>
        <v>3445671.43548</v>
      </c>
      <c r="C18847" t="n" s="0">
        <v>3445671.4354799995</v>
      </c>
    </row>
    <row r="18848">
      <c r="A18848" t="n" s="0">
        <v>88.47</v>
      </c>
      <c r="B18848" t="n" s="0">
        <f>(-5-((((-5*(-5/((-5/(((-5*(88.47--5))-(-5+((-5*88.47)*(((-5--5)+(88.47--5))+88.47))))-(-5+-5)))*-5)))/-5)--5)+(-5*(((88.47*(88.47-(-5/-5)))*(88.47-(88.47/(-5*88.47))))-(-5/-5)))))</f>
        <v>3446841.835315</v>
      </c>
      <c r="C18848" t="n" s="0">
        <v>3446841.835315</v>
      </c>
    </row>
    <row r="18849">
      <c r="A18849" t="n" s="0">
        <v>88.48</v>
      </c>
      <c r="B18849" t="n" s="0">
        <f>(-5-((((-5*(-5/((-5/(((-5*(88.48--5))-(-5+((-5*88.48)*(((-5--5)+(88.48--5))+88.48))))-(-5+-5)))*-5)))/-5)--5)+(-5*(((88.48*(88.48-(-5/-5)))*(88.48-(88.48/(-5*88.48))))-(-5/-5)))))</f>
        <v>3448012.50016</v>
      </c>
      <c r="C18849" t="n" s="0">
        <v>3448012.5001600003</v>
      </c>
    </row>
    <row r="18850">
      <c r="A18850" t="n" s="0">
        <v>88.49</v>
      </c>
      <c r="B18850" t="n" s="0">
        <f>(-5-((((-5*(-5/((-5/(((-5*(88.49--5))-(-5+((-5*88.49)*(((-5--5)+(88.49--5))+88.49))))-(-5+-5)))*-5)))/-5)--5)+(-5*(((88.49*(88.49-(-5/-5)))*(88.49-(88.49/(-5*88.49))))-(-5/-5)))))</f>
        <v>3449183.4300450003</v>
      </c>
      <c r="C18850" t="n" s="0">
        <v>3449183.430045</v>
      </c>
    </row>
    <row r="18851">
      <c r="A18851" t="n" s="0">
        <v>88.5</v>
      </c>
      <c r="B18851" t="n" s="0">
        <f>(-5-((((-5*(-5/((-5/(((-5*(88.5--5))-(-5+((-5*88.5)*(((-5--5)+(88.5--5))+88.5))))-(-5+-5)))*-5)))/-5)--5)+(-5*(((88.5*(88.5-(-5/-5)))*(88.5-(88.5/(-5*88.5))))-(-5/-5)))))</f>
        <v>3450354.625</v>
      </c>
      <c r="C18851" t="n" s="0">
        <v>3450354.625</v>
      </c>
    </row>
    <row r="18852">
      <c r="A18852" t="n" s="0">
        <v>88.51</v>
      </c>
      <c r="B18852" t="n" s="0">
        <f>(-5-((((-5*(-5/((-5/(((-5*(88.51--5))-(-5+((-5*88.51)*(((-5--5)+(88.51--5))+88.51))))-(-5+-5)))*-5)))/-5)--5)+(-5*(((88.51*(88.51-(-5/-5)))*(88.51-(88.51/(-5*88.51))))-(-5/-5)))))</f>
        <v>3451526.085055</v>
      </c>
      <c r="C18852" t="n" s="0">
        <v>3451526.085055</v>
      </c>
    </row>
    <row r="18853">
      <c r="A18853" t="n" s="0">
        <v>88.52</v>
      </c>
      <c r="B18853" t="n" s="0">
        <f>(-5-((((-5*(-5/((-5/(((-5*(88.52--5))-(-5+((-5*88.52)*(((-5--5)+(88.52--5))+88.52))))-(-5+-5)))*-5)))/-5)--5)+(-5*(((88.52*(88.52-(-5/-5)))*(88.52-(88.52/(-5*88.52))))-(-5/-5)))))</f>
        <v>3452697.81024</v>
      </c>
      <c r="C18853" t="n" s="0">
        <v>3452697.8102399996</v>
      </c>
    </row>
    <row r="18854">
      <c r="A18854" t="n" s="0">
        <v>88.53</v>
      </c>
      <c r="B18854" t="n" s="0">
        <f>(-5-((((-5*(-5/((-5/(((-5*(88.53--5))-(-5+((-5*88.53)*(((-5--5)+(88.53--5))+88.53))))-(-5+-5)))*-5)))/-5)--5)+(-5*(((88.53*(88.53-(-5/-5)))*(88.53-(88.53/(-5*88.53))))-(-5/-5)))))</f>
        <v>3453869.800585</v>
      </c>
      <c r="C18854" t="n" s="0">
        <v>3453869.8005850003</v>
      </c>
    </row>
    <row r="18855">
      <c r="A18855" t="n" s="0">
        <v>88.54</v>
      </c>
      <c r="B18855" t="n" s="0">
        <f>(-5-((((-5*(-5/((-5/(((-5*(88.54--5))-(-5+((-5*88.54)*(((-5--5)+(88.54--5))+88.54))))-(-5+-5)))*-5)))/-5)--5)+(-5*(((88.54*(88.54-(-5/-5)))*(88.54-(88.54/(-5*88.54))))-(-5/-5)))))</f>
        <v>3455042.05612</v>
      </c>
      <c r="C18855" t="n" s="0">
        <v>3455042.0561200012</v>
      </c>
    </row>
    <row r="18856">
      <c r="A18856" t="n" s="0">
        <v>88.55</v>
      </c>
      <c r="B18856" t="n" s="0">
        <f>(-5-((((-5*(-5/((-5/(((-5*(88.55--5))-(-5+((-5*88.55)*(((-5--5)+(88.55--5))+88.55))))-(-5+-5)))*-5)))/-5)--5)+(-5*(((88.55*(88.55-(-5/-5)))*(88.55-(88.55/(-5*88.55))))-(-5/-5)))))</f>
        <v>3456214.576875</v>
      </c>
      <c r="C18856" t="n" s="0">
        <v>3456214.5768749993</v>
      </c>
    </row>
    <row r="18857">
      <c r="A18857" t="n" s="0">
        <v>88.56</v>
      </c>
      <c r="B18857" t="n" s="0">
        <f>(-5-((((-5*(-5/((-5/(((-5*(88.56--5))-(-5+((-5*88.56)*(((-5--5)+(88.56--5))+88.56))))-(-5+-5)))*-5)))/-5)--5)+(-5*(((88.56*(88.56-(-5/-5)))*(88.56-(88.56/(-5*88.56))))-(-5/-5)))))</f>
        <v>3457387.36288</v>
      </c>
      <c r="C18857" t="n" s="0">
        <v>3457387.3628800004</v>
      </c>
    </row>
    <row r="18858">
      <c r="A18858" t="n" s="0">
        <v>88.57</v>
      </c>
      <c r="B18858" t="n" s="0">
        <f>(-5-((((-5*(-5/((-5/(((-5*(88.57--5))-(-5+((-5*88.57)*(((-5--5)+(88.57--5))+88.57))))-(-5+-5)))*-5)))/-5)--5)+(-5*(((88.57*(88.57-(-5/-5)))*(88.57-(88.57/(-5*88.57))))-(-5/-5)))))</f>
        <v>3458560.414165</v>
      </c>
      <c r="C18858" t="n" s="0">
        <v>3458560.414164999</v>
      </c>
    </row>
    <row r="18859">
      <c r="A18859" t="n" s="0">
        <v>88.58</v>
      </c>
      <c r="B18859" t="n" s="0">
        <f>(-5-((((-5*(-5/((-5/(((-5*(88.58--5))-(-5+((-5*88.58)*(((-5--5)+(88.58--5))+88.58))))-(-5+-5)))*-5)))/-5)--5)+(-5*(((88.58*(88.58-(-5/-5)))*(88.58-(88.58/(-5*88.58))))-(-5/-5)))))</f>
        <v>3459733.7307599997</v>
      </c>
      <c r="C18859" t="n" s="0">
        <v>3459733.73076</v>
      </c>
    </row>
    <row r="18860">
      <c r="A18860" t="n" s="0">
        <v>88.59</v>
      </c>
      <c r="B18860" t="n" s="0">
        <f>(-5-((((-5*(-5/((-5/(((-5*(88.59--5))-(-5+((-5*88.59)*(((-5--5)+(88.59--5))+88.59))))-(-5+-5)))*-5)))/-5)--5)+(-5*(((88.59*(88.59-(-5/-5)))*(88.59-(88.59/(-5*88.59))))-(-5/-5)))))</f>
        <v>3460907.3126950003</v>
      </c>
      <c r="C18860" t="n" s="0">
        <v>3460907.312695001</v>
      </c>
    </row>
    <row r="18861">
      <c r="A18861" t="n" s="0">
        <v>88.6</v>
      </c>
      <c r="B18861" t="n" s="0">
        <f>(-5-((((-5*(-5/((-5/(((-5*(88.6--5))-(-5+((-5*88.6)*(((-5--5)+(88.6--5))+88.6))))-(-5+-5)))*-5)))/-5)--5)+(-5*(((88.6*(88.6-(-5/-5)))*(88.6-(88.6/(-5*88.6))))-(-5/-5)))))</f>
        <v>3462081.1599999997</v>
      </c>
      <c r="C18861" t="n" s="0">
        <v>3462081.159999999</v>
      </c>
    </row>
    <row r="18862">
      <c r="A18862" t="n" s="0">
        <v>88.61</v>
      </c>
      <c r="B18862" t="n" s="0">
        <f>(-5-((((-5*(-5/((-5/(((-5*(88.61--5))-(-5+((-5*88.61)*(((-5--5)+(88.61--5))+88.61))))-(-5+-5)))*-5)))/-5)--5)+(-5*(((88.61*(88.61-(-5/-5)))*(88.61-(88.61/(-5*88.61))))-(-5/-5)))))</f>
        <v>3463255.2727050004</v>
      </c>
      <c r="C18862" t="n" s="0">
        <v>3463255.2727050004</v>
      </c>
    </row>
    <row r="18863">
      <c r="A18863" t="n" s="0">
        <v>88.62</v>
      </c>
      <c r="B18863" t="n" s="0">
        <f>(-5-((((-5*(-5/((-5/(((-5*(88.62--5))-(-5+((-5*88.62)*(((-5--5)+(88.62--5))+88.62))))-(-5+-5)))*-5)))/-5)--5)+(-5*(((88.62*(88.62-(-5/-5)))*(88.62-(88.62/(-5*88.62))))-(-5/-5)))))</f>
        <v>3464429.65084</v>
      </c>
      <c r="C18863" t="n" s="0">
        <v>3464429.6508400002</v>
      </c>
    </row>
    <row r="18864">
      <c r="A18864" t="n" s="0">
        <v>88.63</v>
      </c>
      <c r="B18864" t="n" s="0">
        <f>(-5-((((-5*(-5/((-5/(((-5*(88.63--5))-(-5+((-5*88.63)*(((-5--5)+(88.63--5))+88.63))))-(-5+-5)))*-5)))/-5)--5)+(-5*(((88.63*(88.63-(-5/-5)))*(88.63-(88.63/(-5*88.63))))-(-5/-5)))))</f>
        <v>3465604.294435</v>
      </c>
      <c r="C18864" t="n" s="0">
        <v>3465604.2944349996</v>
      </c>
    </row>
    <row r="18865">
      <c r="A18865" t="n" s="0">
        <v>88.64</v>
      </c>
      <c r="B18865" t="n" s="0">
        <f>(-5-((((-5*(-5/((-5/(((-5*(88.64--5))-(-5+((-5*88.64)*(((-5--5)+(88.64--5))+88.64))))-(-5+-5)))*-5)))/-5)--5)+(-5*(((88.64*(88.64-(-5/-5)))*(88.64-(88.64/(-5*88.64))))-(-5/-5)))))</f>
        <v>3466779.20352</v>
      </c>
      <c r="C18865" t="n" s="0">
        <v>3466779.20352</v>
      </c>
    </row>
    <row r="18866">
      <c r="A18866" t="n" s="0">
        <v>88.65</v>
      </c>
      <c r="B18866" t="n" s="0">
        <f>(-5-((((-5*(-5/((-5/(((-5*(88.65--5))-(-5+((-5*88.65)*(((-5--5)+(88.65--5))+88.65))))-(-5+-5)))*-5)))/-5)--5)+(-5*(((88.65*(88.65-(-5/-5)))*(88.65-(88.65/(-5*88.65))))-(-5/-5)))))</f>
        <v>3467954.3781250003</v>
      </c>
      <c r="C18866" t="n" s="0">
        <v>3467954.378125001</v>
      </c>
    </row>
    <row r="18867">
      <c r="A18867" t="n" s="0">
        <v>88.66</v>
      </c>
      <c r="B18867" t="n" s="0">
        <f>(-5-((((-5*(-5/((-5/(((-5*(88.66--5))-(-5+((-5*88.66)*(((-5--5)+(88.66--5))+88.66))))-(-5+-5)))*-5)))/-5)--5)+(-5*(((88.66*(88.66-(-5/-5)))*(88.66-(88.66/(-5*88.66))))-(-5/-5)))))</f>
        <v>3469129.81828</v>
      </c>
      <c r="C18867" t="n" s="0">
        <v>3469129.8182799993</v>
      </c>
    </row>
    <row r="18868">
      <c r="A18868" t="n" s="0">
        <v>88.67</v>
      </c>
      <c r="B18868" t="n" s="0">
        <f>(-5-((((-5*(-5/((-5/(((-5*(88.67--5))-(-5+((-5*88.67)*(((-5--5)+(88.67--5))+88.67))))-(-5+-5)))*-5)))/-5)--5)+(-5*(((88.67*(88.67-(-5/-5)))*(88.67-(88.67/(-5*88.67))))-(-5/-5)))))</f>
        <v>3470305.524015</v>
      </c>
      <c r="C18868" t="n" s="0">
        <v>3470305.5240150006</v>
      </c>
    </row>
    <row r="18869">
      <c r="A18869" t="n" s="0">
        <v>88.68</v>
      </c>
      <c r="B18869" t="n" s="0">
        <f>(-5-((((-5*(-5/((-5/(((-5*(88.68--5))-(-5+((-5*88.68)*(((-5--5)+(88.68--5))+88.68))))-(-5+-5)))*-5)))/-5)--5)+(-5*(((88.68*(88.68-(-5/-5)))*(88.68-(88.68/(-5*88.68))))-(-5/-5)))))</f>
        <v>3471481.49536</v>
      </c>
      <c r="C18869" t="n" s="0">
        <v>3471481.495360001</v>
      </c>
    </row>
    <row r="18870">
      <c r="A18870" t="n" s="0">
        <v>88.69</v>
      </c>
      <c r="B18870" t="n" s="0">
        <f>(-5-((((-5*(-5/((-5/(((-5*(88.69--5))-(-5+((-5*88.69)*(((-5--5)+(88.69--5))+88.69))))-(-5+-5)))*-5)))/-5)--5)+(-5*(((88.69*(88.69-(-5/-5)))*(88.69-(88.69/(-5*88.69))))-(-5/-5)))))</f>
        <v>3472657.732345</v>
      </c>
      <c r="C18870" t="n" s="0">
        <v>3472657.7323449994</v>
      </c>
    </row>
    <row r="18871">
      <c r="A18871" t="n" s="0">
        <v>88.7</v>
      </c>
      <c r="B18871" t="n" s="0">
        <f>(-5-((((-5*(-5/((-5/(((-5*(88.7--5))-(-5+((-5*88.7)*(((-5--5)+(88.7--5))+88.7))))-(-5+-5)))*-5)))/-5)--5)+(-5*(((88.7*(88.7-(-5/-5)))*(88.7-(88.7/(-5*88.7))))-(-5/-5)))))</f>
        <v>3473834.2350000003</v>
      </c>
      <c r="C18871" t="n" s="0">
        <v>3473834.235000001</v>
      </c>
    </row>
    <row r="18872">
      <c r="A18872" t="n" s="0">
        <v>88.71</v>
      </c>
      <c r="B18872" t="n" s="0">
        <f>(-5-((((-5*(-5/((-5/(((-5*(88.71--5))-(-5+((-5*88.71)*(((-5--5)+(88.71--5))+88.71))))-(-5+-5)))*-5)))/-5)--5)+(-5*(((88.71*(88.71-(-5/-5)))*(88.71-(88.71/(-5*88.71))))-(-5/-5)))))</f>
        <v>3475011.0033549997</v>
      </c>
      <c r="C18872" t="n" s="0">
        <v>3475011.0033549992</v>
      </c>
    </row>
    <row r="18873">
      <c r="A18873" t="n" s="0">
        <v>88.72</v>
      </c>
      <c r="B18873" t="n" s="0">
        <f>(-5-((((-5*(-5/((-5/(((-5*(88.72--5))-(-5+((-5*88.72)*(((-5--5)+(88.72--5))+88.72))))-(-5+-5)))*-5)))/-5)--5)+(-5*(((88.72*(88.72-(-5/-5)))*(88.72-(88.72/(-5*88.72))))-(-5/-5)))))</f>
        <v>3476188.03744</v>
      </c>
      <c r="C18873" t="n" s="0">
        <v>3476188.03744</v>
      </c>
    </row>
    <row r="18874">
      <c r="A18874" t="n" s="0">
        <v>88.73</v>
      </c>
      <c r="B18874" t="n" s="0">
        <f>(-5-((((-5*(-5/((-5/(((-5*(88.73--5))-(-5+((-5*88.73)*(((-5--5)+(88.73--5))+88.73))))-(-5+-5)))*-5)))/-5)--5)+(-5*(((88.73*(88.73-(-5/-5)))*(88.73-(88.73/(-5*88.73))))-(-5/-5)))))</f>
        <v>3477365.337285</v>
      </c>
      <c r="C18874" t="n" s="0">
        <v>3477365.3372850004</v>
      </c>
    </row>
    <row r="18875">
      <c r="A18875" t="n" s="0">
        <v>88.74</v>
      </c>
      <c r="B18875" t="n" s="0">
        <f>(-5-((((-5*(-5/((-5/(((-5*(88.74--5))-(-5+((-5*88.74)*(((-5--5)+(88.74--5))+88.74))))-(-5+-5)))*-5)))/-5)--5)+(-5*(((88.74*(88.74-(-5/-5)))*(88.74-(88.74/(-5*88.74))))-(-5/-5)))))</f>
        <v>3478542.90292</v>
      </c>
      <c r="C18875" t="n" s="0">
        <v>3478542.90292</v>
      </c>
    </row>
    <row r="18876">
      <c r="A18876" t="n" s="0">
        <v>88.75</v>
      </c>
      <c r="B18876" t="n" s="0">
        <f>(-5-((((-5*(-5/((-5/(((-5*(88.75--5))-(-5+((-5*88.75)*(((-5--5)+(88.75--5))+88.75))))-(-5+-5)))*-5)))/-5)--5)+(-5*(((88.75*(88.75-(-5/-5)))*(88.75-(88.75/(-5*88.75))))-(-5/-5)))))</f>
        <v>3479720.734375</v>
      </c>
      <c r="C18876" t="n" s="0">
        <v>3479720.734375</v>
      </c>
    </row>
    <row r="18877">
      <c r="A18877" t="n" s="0">
        <v>88.76</v>
      </c>
      <c r="B18877" t="n" s="0">
        <f>(-5-((((-5*(-5/((-5/(((-5*(88.76--5))-(-5+((-5*88.76)*(((-5--5)+(88.76--5))+88.76))))-(-5+-5)))*-5)))/-5)--5)+(-5*(((88.76*(88.76-(-5/-5)))*(88.76-(88.76/(-5*88.76))))-(-5/-5)))))</f>
        <v>3480898.83168</v>
      </c>
      <c r="C18877" t="n" s="0">
        <v>3480898.8316800003</v>
      </c>
    </row>
    <row r="18878">
      <c r="A18878" t="n" s="0">
        <v>88.77</v>
      </c>
      <c r="B18878" t="n" s="0">
        <f>(-5-((((-5*(-5/((-5/(((-5*(88.77--5))-(-5+((-5*88.77)*(((-5--5)+(88.77--5))+88.77))))-(-5+-5)))*-5)))/-5)--5)+(-5*(((88.77*(88.77-(-5/-5)))*(88.77-(88.77/(-5*88.77))))-(-5/-5)))))</f>
        <v>3482077.1948650004</v>
      </c>
      <c r="C18878" t="n" s="0">
        <v>3482077.1948649995</v>
      </c>
    </row>
    <row r="18879">
      <c r="A18879" t="n" s="0">
        <v>88.78</v>
      </c>
      <c r="B18879" t="n" s="0">
        <f>(-5-((((-5*(-5/((-5/(((-5*(88.78--5))-(-5+((-5*88.78)*(((-5--5)+(88.78--5))+88.78))))-(-5+-5)))*-5)))/-5)--5)+(-5*(((88.78*(88.78-(-5/-5)))*(88.78-(88.78/(-5*88.78))))-(-5/-5)))))</f>
        <v>3483255.82396</v>
      </c>
      <c r="C18879" t="n" s="0">
        <v>3483255.8239599997</v>
      </c>
    </row>
    <row r="18880">
      <c r="A18880" t="n" s="0">
        <v>88.79</v>
      </c>
      <c r="B18880" t="n" s="0">
        <f>(-5-((((-5*(-5/((-5/(((-5*(88.79--5))-(-5+((-5*88.79)*(((-5--5)+(88.79--5))+88.79))))-(-5+-5)))*-5)))/-5)--5)+(-5*(((88.79*(88.79-(-5/-5)))*(88.79-(88.79/(-5*88.79))))-(-5/-5)))))</f>
        <v>3484434.7189950002</v>
      </c>
      <c r="C18880" t="n" s="0">
        <v>3484434.7189950007</v>
      </c>
    </row>
    <row r="18881">
      <c r="A18881" t="n" s="0">
        <v>88.8</v>
      </c>
      <c r="B18881" t="n" s="0">
        <f>(-5-((((-5*(-5/((-5/(((-5*(88.8--5))-(-5+((-5*88.8)*(((-5--5)+(88.8--5))+88.8))))-(-5+-5)))*-5)))/-5)--5)+(-5*(((88.8*(88.8-(-5/-5)))*(88.8-(88.8/(-5*88.8))))-(-5/-5)))))</f>
        <v>3485613.88</v>
      </c>
      <c r="C18881" t="n" s="0">
        <v>3485613.8799999994</v>
      </c>
    </row>
    <row r="18882">
      <c r="A18882" t="n" s="0">
        <v>88.81</v>
      </c>
      <c r="B18882" t="n" s="0">
        <f>(-5-((((-5*(-5/((-5/(((-5*(88.81--5))-(-5+((-5*88.81)*(((-5--5)+(88.81--5))+88.81))))-(-5+-5)))*-5)))/-5)--5)+(-5*(((88.81*(88.81-(-5/-5)))*(88.81-(88.81/(-5*88.81))))-(-5/-5)))))</f>
        <v>3486793.307005</v>
      </c>
      <c r="C18882" t="n" s="0">
        <v>3486793.3070050003</v>
      </c>
    </row>
    <row r="18883">
      <c r="A18883" t="n" s="0">
        <v>88.82</v>
      </c>
      <c r="B18883" t="n" s="0">
        <f>(-5-((((-5*(-5/((-5/(((-5*(88.82--5))-(-5+((-5*88.82)*(((-5--5)+(88.82--5))+88.82))))-(-5+-5)))*-5)))/-5)--5)+(-5*(((88.82*(88.82-(-5/-5)))*(88.82-(88.82/(-5*88.82))))-(-5/-5)))))</f>
        <v>3487973.00004</v>
      </c>
      <c r="C18883" t="n" s="0">
        <v>3487973.000039999</v>
      </c>
    </row>
    <row r="18884">
      <c r="A18884" t="n" s="0">
        <v>88.83</v>
      </c>
      <c r="B18884" t="n" s="0">
        <f>(-5-((((-5*(-5/((-5/(((-5*(88.83--5))-(-5+((-5*88.83)*(((-5--5)+(88.83--5))+88.83))))-(-5+-5)))*-5)))/-5)--5)+(-5*(((88.83*(88.83-(-5/-5)))*(88.83-(88.83/(-5*88.83))))-(-5/-5)))))</f>
        <v>3489152.9591349997</v>
      </c>
      <c r="C18884" t="n" s="0">
        <v>3489152.959135</v>
      </c>
    </row>
    <row r="18885">
      <c r="A18885" t="n" s="0">
        <v>88.84</v>
      </c>
      <c r="B18885" t="n" s="0">
        <f>(-5-((((-5*(-5/((-5/(((-5*(88.84--5))-(-5+((-5*88.84)*(((-5--5)+(88.84--5))+88.84))))-(-5+-5)))*-5)))/-5)--5)+(-5*(((88.84*(88.84-(-5/-5)))*(88.84-(88.84/(-5*88.84))))-(-5/-5)))))</f>
        <v>3490333.18432</v>
      </c>
      <c r="C18885" t="n" s="0">
        <v>3490333.18432</v>
      </c>
    </row>
    <row r="18886">
      <c r="A18886" t="n" s="0">
        <v>88.85</v>
      </c>
      <c r="B18886" t="n" s="0">
        <f>(-5-((((-5*(-5/((-5/(((-5*(88.85--5))-(-5+((-5*88.85)*(((-5--5)+(88.85--5))+88.85))))-(-5+-5)))*-5)))/-5)--5)+(-5*(((88.85*(88.85-(-5/-5)))*(88.85-(88.85/(-5*88.85))))-(-5/-5)))))</f>
        <v>3491513.675625</v>
      </c>
      <c r="C18886" t="n" s="0">
        <v>3491513.675624999</v>
      </c>
    </row>
    <row r="18887">
      <c r="A18887" t="n" s="0">
        <v>88.86</v>
      </c>
      <c r="B18887" t="n" s="0">
        <f>(-5-((((-5*(-5/((-5/(((-5*(88.86--5))-(-5+((-5*88.86)*(((-5--5)+(88.86--5))+88.86))))-(-5+-5)))*-5)))/-5)--5)+(-5*(((88.86*(88.86-(-5/-5)))*(88.86-(88.86/(-5*88.86))))-(-5/-5)))))</f>
        <v>3492694.43308</v>
      </c>
      <c r="C18887" t="n" s="0">
        <v>3492694.43308</v>
      </c>
    </row>
    <row r="18888">
      <c r="A18888" t="n" s="0">
        <v>88.87</v>
      </c>
      <c r="B18888" t="n" s="0">
        <f>(-5-((((-5*(-5/((-5/(((-5*(88.87--5))-(-5+((-5*88.87)*(((-5--5)+(88.87--5))+88.87))))-(-5+-5)))*-5)))/-5)--5)+(-5*(((88.87*(88.87-(-5/-5)))*(88.87-(88.87/(-5*88.87))))-(-5/-5)))))</f>
        <v>3493875.456715</v>
      </c>
      <c r="C18888" t="n" s="0">
        <v>3493875.4567150003</v>
      </c>
    </row>
    <row r="18889">
      <c r="A18889" t="n" s="0">
        <v>88.88</v>
      </c>
      <c r="B18889" t="n" s="0">
        <f>(-5-((((-5*(-5/((-5/(((-5*(88.88--5))-(-5+((-5*88.88)*(((-5--5)+(88.88--5))+88.88))))-(-5+-5)))*-5)))/-5)--5)+(-5*(((88.88*(88.88-(-5/-5)))*(88.88-(88.88/(-5*88.88))))-(-5/-5)))))</f>
        <v>3495056.74656</v>
      </c>
      <c r="C18889" t="n" s="0">
        <v>3495056.7465599994</v>
      </c>
    </row>
    <row r="18890">
      <c r="A18890" t="n" s="0">
        <v>88.89</v>
      </c>
      <c r="B18890" t="n" s="0">
        <f>(-5-((((-5*(-5/((-5/(((-5*(88.89--5))-(-5+((-5*88.89)*(((-5--5)+(88.89--5))+88.89))))-(-5+-5)))*-5)))/-5)--5)+(-5*(((88.89*(88.89-(-5/-5)))*(88.89-(88.89/(-5*88.89))))-(-5/-5)))))</f>
        <v>3496238.3026449997</v>
      </c>
      <c r="C18890" t="n" s="0">
        <v>3496238.3026449997</v>
      </c>
    </row>
    <row r="18891">
      <c r="A18891" t="n" s="0">
        <v>88.9</v>
      </c>
      <c r="B18891" t="n" s="0">
        <f>(-5-((((-5*(-5/((-5/(((-5*(88.9--5))-(-5+((-5*88.9)*(((-5--5)+(88.9--5))+88.9))))-(-5+-5)))*-5)))/-5)--5)+(-5*(((88.9*(88.9-(-5/-5)))*(88.9-(88.9/(-5*88.9))))-(-5/-5)))))</f>
        <v>3497420.125</v>
      </c>
      <c r="C18891" t="n" s="0">
        <v>3497420.125000001</v>
      </c>
    </row>
    <row r="18892">
      <c r="A18892" t="n" s="0">
        <v>88.91</v>
      </c>
      <c r="B18892" t="n" s="0">
        <f>(-5-((((-5*(-5/((-5/(((-5*(88.91--5))-(-5+((-5*88.91)*(((-5--5)+(88.91--5))+88.91))))-(-5+-5)))*-5)))/-5)--5)+(-5*(((88.91*(88.91-(-5/-5)))*(88.91-(88.91/(-5*88.91))))-(-5/-5)))))</f>
        <v>3498602.213655</v>
      </c>
      <c r="C18892" t="n" s="0">
        <v>3498602.2136549996</v>
      </c>
    </row>
    <row r="18893">
      <c r="A18893" t="n" s="0">
        <v>88.92</v>
      </c>
      <c r="B18893" t="n" s="0">
        <f>(-5-((((-5*(-5/((-5/(((-5*(88.92--5))-(-5+((-5*88.92)*(((-5--5)+(88.92--5))+88.92))))-(-5+-5)))*-5)))/-5)--5)+(-5*(((88.92*(88.92-(-5/-5)))*(88.92-(88.92/(-5*88.92))))-(-5/-5)))))</f>
        <v>3499784.5686399997</v>
      </c>
      <c r="C18893" t="n" s="0">
        <v>3499784.5686399997</v>
      </c>
    </row>
    <row r="18894">
      <c r="A18894" t="n" s="0">
        <v>88.93</v>
      </c>
      <c r="B18894" t="n" s="0">
        <f>(-5-((((-5*(-5/((-5/(((-5*(88.93--5))-(-5+((-5*88.93)*(((-5--5)+(88.93--5))+88.93))))-(-5+-5)))*-5)))/-5)--5)+(-5*(((88.93*(88.93-(-5/-5)))*(88.93-(88.93/(-5*88.93))))-(-5/-5)))))</f>
        <v>3500967.189985</v>
      </c>
      <c r="C18894" t="n" s="0">
        <v>3500967.1899850005</v>
      </c>
    </row>
    <row r="18895">
      <c r="A18895" t="n" s="0">
        <v>88.94</v>
      </c>
      <c r="B18895" t="n" s="0">
        <f>(-5-((((-5*(-5/((-5/(((-5*(88.94--5))-(-5+((-5*88.94)*(((-5--5)+(88.94--5))+88.94))))-(-5+-5)))*-5)))/-5)--5)+(-5*(((88.94*(88.94-(-5/-5)))*(88.94-(88.94/(-5*88.94))))-(-5/-5)))))</f>
        <v>3502150.07772</v>
      </c>
      <c r="C18895" t="n" s="0">
        <v>3502150.0777199995</v>
      </c>
    </row>
    <row r="18896">
      <c r="A18896" t="n" s="0">
        <v>88.95</v>
      </c>
      <c r="B18896" t="n" s="0">
        <f>(-5-((((-5*(-5/((-5/(((-5*(88.95--5))-(-5+((-5*88.95)*(((-5--5)+(88.95--5))+88.95))))-(-5+-5)))*-5)))/-5)--5)+(-5*(((88.95*(88.95-(-5/-5)))*(88.95-(88.95/(-5*88.95))))-(-5/-5)))))</f>
        <v>3503333.231875</v>
      </c>
      <c r="C18896" t="n" s="0">
        <v>3503333.231875</v>
      </c>
    </row>
    <row r="18897">
      <c r="A18897" t="n" s="0">
        <v>88.96</v>
      </c>
      <c r="B18897" t="n" s="0">
        <f>(-5-((((-5*(-5/((-5/(((-5*(88.96--5))-(-5+((-5*88.96)*(((-5--5)+(88.96--5))+88.96))))-(-5+-5)))*-5)))/-5)--5)+(-5*(((88.96*(88.96-(-5/-5)))*(88.96-(88.96/(-5*88.96))))-(-5/-5)))))</f>
        <v>3504516.6524799997</v>
      </c>
      <c r="C18897" t="n" s="0">
        <v>3504516.6524799992</v>
      </c>
    </row>
    <row r="18898">
      <c r="A18898" t="n" s="0">
        <v>88.97</v>
      </c>
      <c r="B18898" t="n" s="0">
        <f>(-5-((((-5*(-5/((-5/(((-5*(88.97--5))-(-5+((-5*88.97)*(((-5--5)+(88.97--5))+88.97))))-(-5+-5)))*-5)))/-5)--5)+(-5*(((88.97*(88.97-(-5/-5)))*(88.97-(88.97/(-5*88.97))))-(-5/-5)))))</f>
        <v>3505700.339565</v>
      </c>
      <c r="C18898" t="n" s="0">
        <v>3505700.339565</v>
      </c>
    </row>
    <row r="18899">
      <c r="A18899" t="n" s="0">
        <v>88.98</v>
      </c>
      <c r="B18899" t="n" s="0">
        <f>(-5-((((-5*(-5/((-5/(((-5*(88.98--5))-(-5+((-5*88.98)*(((-5--5)+(88.98--5))+88.98))))-(-5+-5)))*-5)))/-5)--5)+(-5*(((88.98*(88.98-(-5/-5)))*(88.98-(88.98/(-5*88.98))))-(-5/-5)))))</f>
        <v>3506884.29316</v>
      </c>
      <c r="C18899" t="n" s="0">
        <v>3506884.293160001</v>
      </c>
    </row>
    <row r="18900">
      <c r="A18900" t="n" s="0">
        <v>88.99</v>
      </c>
      <c r="B18900" t="n" s="0">
        <f>(-5-((((-5*(-5/((-5/(((-5*(88.99--5))-(-5+((-5*88.99)*(((-5--5)+(88.99--5))+88.99))))-(-5+-5)))*-5)))/-5)--5)+(-5*(((88.99*(88.99-(-5/-5)))*(88.99-(88.99/(-5*88.99))))-(-5/-5)))))</f>
        <v>3508068.513295</v>
      </c>
      <c r="C18900" t="n" s="0">
        <v>3508068.513295</v>
      </c>
    </row>
    <row r="18901">
      <c r="A18901" t="n" s="0">
        <v>89.0</v>
      </c>
      <c r="B18901" t="n" s="0">
        <f>(-5-((((-5*(-5/((-5/(((-5*(89--5))-(-5+((-5*89)*(((-5--5)+(89--5))+89))))-(-5+-5)))*-5)))/-5)--5)+(-5*(((89*(89-(-5/-5)))*(89-(89/(-5*89))))-(-5/-5)))))</f>
        <v>3509253.0</v>
      </c>
      <c r="C18901" t="n" s="0">
        <v>3509253.0</v>
      </c>
    </row>
    <row r="18902">
      <c r="A18902" t="n" s="0">
        <v>89.01</v>
      </c>
      <c r="B18902" t="n" s="0">
        <f>(-5-((((-5*(-5/((-5/(((-5*(89.01--5))-(-5+((-5*89.01)*(((-5--5)+(89.01--5))+89.01))))-(-5+-5)))*-5)))/-5)--5)+(-5*(((89.01*(89.01-(-5/-5)))*(89.01-(89.01/(-5*89.01))))-(-5/-5)))))</f>
        <v>3510437.7533050003</v>
      </c>
      <c r="C18902" t="n" s="0">
        <v>3510437.7533050007</v>
      </c>
    </row>
    <row r="18903">
      <c r="A18903" t="n" s="0">
        <v>89.02</v>
      </c>
      <c r="B18903" t="n" s="0">
        <f>(-5-((((-5*(-5/((-5/(((-5*(89.02--5))-(-5+((-5*89.02)*(((-5--5)+(89.02--5))+89.02))))-(-5+-5)))*-5)))/-5)--5)+(-5*(((89.02*(89.02-(-5/-5)))*(89.02-(89.02/(-5*89.02))))-(-5/-5)))))</f>
        <v>3511622.77324</v>
      </c>
      <c r="C18903" t="n" s="0">
        <v>3511622.7732399995</v>
      </c>
    </row>
    <row r="18904">
      <c r="A18904" t="n" s="0">
        <v>89.03</v>
      </c>
      <c r="B18904" t="n" s="0">
        <f>(-5-((((-5*(-5/((-5/(((-5*(89.03--5))-(-5+((-5*89.03)*(((-5--5)+(89.03--5))+89.03))))-(-5+-5)))*-5)))/-5)--5)+(-5*(((89.03*(89.03-(-5/-5)))*(89.03-(89.03/(-5*89.03))))-(-5/-5)))))</f>
        <v>3512808.059835</v>
      </c>
      <c r="C18904" t="n" s="0">
        <v>3512808.0598350004</v>
      </c>
    </row>
    <row r="18905">
      <c r="A18905" t="n" s="0">
        <v>89.04</v>
      </c>
      <c r="B18905" t="n" s="0">
        <f>(-5-((((-5*(-5/((-5/(((-5*(89.04--5))-(-5+((-5*89.04)*(((-5--5)+(89.04--5))+89.04))))-(-5+-5)))*-5)))/-5)--5)+(-5*(((89.04*(89.04-(-5/-5)))*(89.04-(89.04/(-5*89.04))))-(-5/-5)))))</f>
        <v>3513993.61312</v>
      </c>
      <c r="C18905" t="n" s="0">
        <v>3513993.6131200013</v>
      </c>
    </row>
    <row r="18906">
      <c r="A18906" t="n" s="0">
        <v>89.05</v>
      </c>
      <c r="B18906" t="n" s="0">
        <f>(-5-((((-5*(-5/((-5/(((-5*(89.05--5))-(-5+((-5*89.05)*(((-5--5)+(89.05--5))+89.05))))-(-5+-5)))*-5)))/-5)--5)+(-5*(((89.05*(89.05-(-5/-5)))*(89.05-(89.05/(-5*89.05))))-(-5/-5)))))</f>
        <v>3515179.433125</v>
      </c>
      <c r="C18906" t="n" s="0">
        <v>3515179.4331249995</v>
      </c>
    </row>
    <row r="18907">
      <c r="A18907" t="n" s="0">
        <v>89.06</v>
      </c>
      <c r="B18907" t="n" s="0">
        <f>(-5-((((-5*(-5/((-5/(((-5*(89.06--5))-(-5+((-5*89.06)*(((-5--5)+(89.06--5))+89.06))))-(-5+-5)))*-5)))/-5)--5)+(-5*(((89.06*(89.06-(-5/-5)))*(89.06-(89.06/(-5*89.06))))-(-5/-5)))))</f>
        <v>3516365.51988</v>
      </c>
      <c r="C18907" t="n" s="0">
        <v>3516365.51988</v>
      </c>
    </row>
    <row r="18908">
      <c r="A18908" t="n" s="0">
        <v>89.07</v>
      </c>
      <c r="B18908" t="n" s="0">
        <f>(-5-((((-5*(-5/((-5/(((-5*(89.07--5))-(-5+((-5*89.07)*(((-5--5)+(89.07--5))+89.07))))-(-5+-5)))*-5)))/-5)--5)+(-5*(((89.07*(89.07-(-5/-5)))*(89.07-(89.07/(-5*89.07))))-(-5/-5)))))</f>
        <v>3517551.873415</v>
      </c>
      <c r="C18908" t="n" s="0">
        <v>3517551.8734149993</v>
      </c>
    </row>
    <row r="18909">
      <c r="A18909" t="n" s="0">
        <v>89.08</v>
      </c>
      <c r="B18909" t="n" s="0">
        <f>(-5-((((-5*(-5/((-5/(((-5*(89.08--5))-(-5+((-5*89.08)*(((-5--5)+(89.08--5))+89.08))))-(-5+-5)))*-5)))/-5)--5)+(-5*(((89.08*(89.08-(-5/-5)))*(89.08-(89.08/(-5*89.08))))-(-5/-5)))))</f>
        <v>3518738.49376</v>
      </c>
      <c r="C18909" t="n" s="0">
        <v>3518738.49376</v>
      </c>
    </row>
    <row r="18910">
      <c r="A18910" t="n" s="0">
        <v>89.09</v>
      </c>
      <c r="B18910" t="n" s="0">
        <f>(-5-((((-5*(-5/((-5/(((-5*(89.09--5))-(-5+((-5*89.09)*(((-5--5)+(89.09--5))+89.09))))-(-5+-5)))*-5)))/-5)--5)+(-5*(((89.09*(89.09-(-5/-5)))*(89.09-(89.09/(-5*89.09))))-(-5/-5)))))</f>
        <v>3519925.380945</v>
      </c>
      <c r="C18910" t="n" s="0">
        <v>3519925.380945001</v>
      </c>
    </row>
    <row r="18911">
      <c r="A18911" t="n" s="0">
        <v>89.1</v>
      </c>
      <c r="B18911" t="n" s="0">
        <f>(-5-((((-5*(-5/((-5/(((-5*(89.1--5))-(-5+((-5*89.1)*(((-5--5)+(89.1--5))+89.1))))-(-5+-5)))*-5)))/-5)--5)+(-5*(((89.1*(89.1-(-5/-5)))*(89.1-(89.1/(-5*89.1))))-(-5/-5)))))</f>
        <v>3521112.535</v>
      </c>
      <c r="C18911" t="n" s="0">
        <v>3521112.534999999</v>
      </c>
    </row>
    <row r="18912">
      <c r="A18912" t="n" s="0">
        <v>89.11</v>
      </c>
      <c r="B18912" t="n" s="0">
        <f>(-5-((((-5*(-5/((-5/(((-5*(89.11--5))-(-5+((-5*89.11)*(((-5--5)+(89.11--5))+89.11))))-(-5+-5)))*-5)))/-5)--5)+(-5*(((89.11*(89.11-(-5/-5)))*(89.11-(89.11/(-5*89.11))))-(-5/-5)))))</f>
        <v>3522299.955955</v>
      </c>
      <c r="C18912" t="n" s="0">
        <v>3522299.955955</v>
      </c>
    </row>
    <row r="18913">
      <c r="A18913" t="n" s="0">
        <v>89.12</v>
      </c>
      <c r="B18913" t="n" s="0">
        <f>(-5-((((-5*(-5/((-5/(((-5*(89.12--5))-(-5+((-5*89.12)*(((-5--5)+(89.12--5))+89.12))))-(-5+-5)))*-5)))/-5)--5)+(-5*(((89.12*(89.12-(-5/-5)))*(89.12-(89.12/(-5*89.12))))-(-5/-5)))))</f>
        <v>3523487.64384</v>
      </c>
      <c r="C18913" t="n" s="0">
        <v>3523487.6438400005</v>
      </c>
    </row>
    <row r="18914">
      <c r="A18914" t="n" s="0">
        <v>89.13</v>
      </c>
      <c r="B18914" t="n" s="0">
        <f>(-5-((((-5*(-5/((-5/(((-5*(89.13--5))-(-5+((-5*89.13)*(((-5--5)+(89.13--5))+89.13))))-(-5+-5)))*-5)))/-5)--5)+(-5*(((89.13*(89.13-(-5/-5)))*(89.13-(89.13/(-5*89.13))))-(-5/-5)))))</f>
        <v>3524675.598685</v>
      </c>
      <c r="C18914" t="n" s="0">
        <v>3524675.598684999</v>
      </c>
    </row>
    <row r="18915">
      <c r="A18915" t="n" s="0">
        <v>89.14</v>
      </c>
      <c r="B18915" t="n" s="0">
        <f>(-5-((((-5*(-5/((-5/(((-5*(89.14--5))-(-5+((-5*89.14)*(((-5--5)+(89.14--5))+89.14))))-(-5+-5)))*-5)))/-5)--5)+(-5*(((89.14*(89.14-(-5/-5)))*(89.14-(89.14/(-5*89.14))))-(-5/-5)))))</f>
        <v>3525863.82052</v>
      </c>
      <c r="C18915" t="n" s="0">
        <v>3525863.82052</v>
      </c>
    </row>
    <row r="18916">
      <c r="A18916" t="n" s="0">
        <v>89.15</v>
      </c>
      <c r="B18916" t="n" s="0">
        <f>(-5-((((-5*(-5/((-5/(((-5*(89.15--5))-(-5+((-5*89.15)*(((-5--5)+(89.15--5))+89.15))))-(-5+-5)))*-5)))/-5)--5)+(-5*(((89.15*(89.15-(-5/-5)))*(89.15-(89.15/(-5*89.15))))-(-5/-5)))))</f>
        <v>3527052.3093749997</v>
      </c>
      <c r="C18916" t="n" s="0">
        <v>3527052.3093750007</v>
      </c>
    </row>
    <row r="18917">
      <c r="A18917" t="n" s="0">
        <v>89.16</v>
      </c>
      <c r="B18917" t="n" s="0">
        <f>(-5-((((-5*(-5/((-5/(((-5*(89.16--5))-(-5+((-5*89.16)*(((-5--5)+(89.16--5))+89.16))))-(-5+-5)))*-5)))/-5)--5)+(-5*(((89.16*(89.16-(-5/-5)))*(89.16-(89.16/(-5*89.16))))-(-5/-5)))))</f>
        <v>3528241.06528</v>
      </c>
      <c r="C18917" t="n" s="0">
        <v>3528241.0652799997</v>
      </c>
    </row>
    <row r="18918">
      <c r="A18918" t="n" s="0">
        <v>89.17</v>
      </c>
      <c r="B18918" t="n" s="0">
        <f>(-5-((((-5*(-5/((-5/(((-5*(89.17--5))-(-5+((-5*89.17)*(((-5--5)+(89.17--5))+89.17))))-(-5+-5)))*-5)))/-5)--5)+(-5*(((89.17*(89.17-(-5/-5)))*(89.17-(89.17/(-5*89.17))))-(-5/-5)))))</f>
        <v>3529430.088265</v>
      </c>
      <c r="C18918" t="n" s="0">
        <v>3529430.088265</v>
      </c>
    </row>
    <row r="18919">
      <c r="A18919" t="n" s="0">
        <v>89.18</v>
      </c>
      <c r="B18919" t="n" s="0">
        <f>(-5-((((-5*(-5/((-5/(((-5*(89.18--5))-(-5+((-5*89.18)*(((-5--5)+(89.18--5))+89.18))))-(-5+-5)))*-5)))/-5)--5)+(-5*(((89.18*(89.18-(-5/-5)))*(89.18-(89.18/(-5*89.18))))-(-5/-5)))))</f>
        <v>3530619.37836</v>
      </c>
      <c r="C18919" t="n" s="0">
        <v>3530619.3783600014</v>
      </c>
    </row>
    <row r="18920">
      <c r="A18920" t="n" s="0">
        <v>89.19</v>
      </c>
      <c r="B18920" t="n" s="0">
        <f>(-5-((((-5*(-5/((-5/(((-5*(89.19--5))-(-5+((-5*89.19)*(((-5--5)+(89.19--5))+89.19))))-(-5+-5)))*-5)))/-5)--5)+(-5*(((89.19*(89.19-(-5/-5)))*(89.19-(89.19/(-5*89.19))))-(-5/-5)))))</f>
        <v>3531808.935595</v>
      </c>
      <c r="C18920" t="n" s="0">
        <v>3531808.9355949997</v>
      </c>
    </row>
    <row r="18921">
      <c r="A18921" t="n" s="0">
        <v>89.2</v>
      </c>
      <c r="B18921" t="n" s="0">
        <f>(-5-((((-5*(-5/((-5/(((-5*(89.2--5))-(-5+((-5*89.2)*(((-5--5)+(89.2--5))+89.2))))-(-5+-5)))*-5)))/-5)--5)+(-5*(((89.2*(89.2-(-5/-5)))*(89.2-(89.2/(-5*89.2))))-(-5/-5)))))</f>
        <v>3532998.7600000002</v>
      </c>
      <c r="C18921" t="n" s="0">
        <v>3532998.7600000007</v>
      </c>
    </row>
    <row r="18922">
      <c r="A18922" t="n" s="0">
        <v>89.21</v>
      </c>
      <c r="B18922" t="n" s="0">
        <f>(-5-((((-5*(-5/((-5/(((-5*(89.21--5))-(-5+((-5*89.21)*(((-5--5)+(89.21--5))+89.21))))-(-5+-5)))*-5)))/-5)--5)+(-5*(((89.21*(89.21-(-5/-5)))*(89.21-(89.21/(-5*89.21))))-(-5/-5)))))</f>
        <v>3534188.8516050004</v>
      </c>
      <c r="C18922" t="n" s="0">
        <v>3534188.8516049995</v>
      </c>
    </row>
    <row r="18923">
      <c r="A18923" t="n" s="0">
        <v>89.22</v>
      </c>
      <c r="B18923" t="n" s="0">
        <f>(-5-((((-5*(-5/((-5/(((-5*(89.22--5))-(-5+((-5*89.22)*(((-5--5)+(89.22--5))+89.22))))-(-5+-5)))*-5)))/-5)--5)+(-5*(((89.22*(89.22-(-5/-5)))*(89.22-(89.22/(-5*89.22))))-(-5/-5)))))</f>
        <v>3535379.21044</v>
      </c>
      <c r="C18923" t="n" s="0">
        <v>3535379.2104400005</v>
      </c>
    </row>
    <row r="18924">
      <c r="A18924" t="n" s="0">
        <v>89.23</v>
      </c>
      <c r="B18924" t="n" s="0">
        <f>(-5-((((-5*(-5/((-5/(((-5*(89.23--5))-(-5+((-5*89.23)*(((-5--5)+(89.23--5))+89.23))))-(-5+-5)))*-5)))/-5)--5)+(-5*(((89.23*(89.23-(-5/-5)))*(89.23-(89.23/(-5*89.23))))-(-5/-5)))))</f>
        <v>3536569.836535</v>
      </c>
      <c r="C18924" t="n" s="0">
        <v>3536569.8365350007</v>
      </c>
    </row>
    <row r="18925">
      <c r="A18925" t="n" s="0">
        <v>89.24</v>
      </c>
      <c r="B18925" t="n" s="0">
        <f>(-5-((((-5*(-5/((-5/(((-5*(89.24--5))-(-5+((-5*89.24)*(((-5--5)+(89.24--5))+89.24))))-(-5+-5)))*-5)))/-5)--5)+(-5*(((89.24*(89.24-(-5/-5)))*(89.24-(89.24/(-5*89.24))))-(-5/-5)))))</f>
        <v>3537760.72992</v>
      </c>
      <c r="C18925" t="n" s="0">
        <v>3537760.72992</v>
      </c>
    </row>
    <row r="18926">
      <c r="A18926" t="n" s="0">
        <v>89.25</v>
      </c>
      <c r="B18926" t="n" s="0">
        <f>(-5-((((-5*(-5/((-5/(((-5*(89.25--5))-(-5+((-5*89.25)*(((-5--5)+(89.25--5))+89.25))))-(-5+-5)))*-5)))/-5)--5)+(-5*(((89.25*(89.25-(-5/-5)))*(89.25-(89.25/(-5*89.25))))-(-5/-5)))))</f>
        <v>3538951.890625</v>
      </c>
      <c r="C18926" t="n" s="0">
        <v>3538951.890625</v>
      </c>
    </row>
    <row r="18927">
      <c r="A18927" t="n" s="0">
        <v>89.26</v>
      </c>
      <c r="B18927" t="n" s="0">
        <f>(-5-((((-5*(-5/((-5/(((-5*(89.26--5))-(-5+((-5*89.26)*(((-5--5)+(89.26--5))+89.26))))-(-5+-5)))*-5)))/-5)--5)+(-5*(((89.26*(89.26-(-5/-5)))*(89.26-(89.26/(-5*89.26))))-(-5/-5)))))</f>
        <v>3540143.31868</v>
      </c>
      <c r="C18927" t="n" s="0">
        <v>3540143.31868</v>
      </c>
    </row>
    <row r="18928">
      <c r="A18928" t="n" s="0">
        <v>89.27</v>
      </c>
      <c r="B18928" t="n" s="0">
        <f>(-5-((((-5*(-5/((-5/(((-5*(89.27--5))-(-5+((-5*89.27)*(((-5--5)+(89.27--5))+89.27))))-(-5+-5)))*-5)))/-5)--5)+(-5*(((89.27*(89.27-(-5/-5)))*(89.27-(89.27/(-5*89.27))))-(-5/-5)))))</f>
        <v>3541335.0141149997</v>
      </c>
      <c r="C18928" t="n" s="0">
        <v>3541335.0141149997</v>
      </c>
    </row>
    <row r="18929">
      <c r="A18929" t="n" s="0">
        <v>89.28</v>
      </c>
      <c r="B18929" t="n" s="0">
        <f>(-5-((((-5*(-5/((-5/(((-5*(89.28--5))-(-5+((-5*89.28)*(((-5--5)+(89.28--5))+89.28))))-(-5+-5)))*-5)))/-5)--5)+(-5*(((89.28*(89.28-(-5/-5)))*(89.28-(89.28/(-5*89.28))))-(-5/-5)))))</f>
        <v>3542526.9769599997</v>
      </c>
      <c r="C18929" t="n" s="0">
        <v>3542526.97696</v>
      </c>
    </row>
    <row r="18930">
      <c r="A18930" t="n" s="0">
        <v>89.29</v>
      </c>
      <c r="B18930" t="n" s="0">
        <f>(-5-((((-5*(-5/((-5/(((-5*(89.29--5))-(-5+((-5*89.29)*(((-5--5)+(89.29--5))+89.29))))-(-5+-5)))*-5)))/-5)--5)+(-5*(((89.29*(89.29-(-5/-5)))*(89.29-(89.29/(-5*89.29))))-(-5/-5)))))</f>
        <v>3543719.207245</v>
      </c>
      <c r="C18930" t="n" s="0">
        <v>3543719.207245001</v>
      </c>
    </row>
    <row r="18931">
      <c r="A18931" t="n" s="0">
        <v>89.3</v>
      </c>
      <c r="B18931" t="n" s="0">
        <f>(-5-((((-5*(-5/((-5/(((-5*(89.3--5))-(-5+((-5*89.3)*(((-5--5)+(89.3--5))+89.3))))-(-5+-5)))*-5)))/-5)--5)+(-5*(((89.3*(89.3-(-5/-5)))*(89.3-(89.3/(-5*89.3))))-(-5/-5)))))</f>
        <v>3544911.705</v>
      </c>
      <c r="C18931" t="n" s="0">
        <v>3544911.7049999996</v>
      </c>
    </row>
    <row r="18932">
      <c r="A18932" t="n" s="0">
        <v>89.31</v>
      </c>
      <c r="B18932" t="n" s="0">
        <f>(-5-((((-5*(-5/((-5/(((-5*(89.31--5))-(-5+((-5*89.31)*(((-5--5)+(89.31--5))+89.31))))-(-5+-5)))*-5)))/-5)--5)+(-5*(((89.31*(89.31-(-5/-5)))*(89.31-(89.31/(-5*89.31))))-(-5/-5)))))</f>
        <v>3546104.470255</v>
      </c>
      <c r="C18932" t="n" s="0">
        <v>3546104.4702550005</v>
      </c>
    </row>
    <row r="18933">
      <c r="A18933" t="n" s="0">
        <v>89.32</v>
      </c>
      <c r="B18933" t="n" s="0">
        <f>(-5-((((-5*(-5/((-5/(((-5*(89.32--5))-(-5+((-5*89.32)*(((-5--5)+(89.32--5))+89.32))))-(-5+-5)))*-5)))/-5)--5)+(-5*(((89.32*(89.32-(-5/-5)))*(89.32-(89.32/(-5*89.32))))-(-5/-5)))))</f>
        <v>3547297.5030400003</v>
      </c>
      <c r="C18933" t="n" s="0">
        <v>3547297.5030399994</v>
      </c>
    </row>
    <row r="18934">
      <c r="A18934" t="n" s="0">
        <v>89.33</v>
      </c>
      <c r="B18934" t="n" s="0">
        <f>(-5-((((-5*(-5/((-5/(((-5*(89.33--5))-(-5+((-5*89.33)*(((-5--5)+(89.33--5))+89.33))))-(-5+-5)))*-5)))/-5)--5)+(-5*(((89.33*(89.33-(-5/-5)))*(89.33-(89.33/(-5*89.33))))-(-5/-5)))))</f>
        <v>3548490.803385</v>
      </c>
      <c r="C18934" t="n" s="0">
        <v>3548490.8033849997</v>
      </c>
    </row>
    <row r="18935">
      <c r="A18935" t="n" s="0">
        <v>89.34</v>
      </c>
      <c r="B18935" t="n" s="0">
        <f>(-5-((((-5*(-5/((-5/(((-5*(89.34--5))-(-5+((-5*89.34)*(((-5--5)+(89.34--5))+89.34))))-(-5+-5)))*-5)))/-5)--5)+(-5*(((89.34*(89.34-(-5/-5)))*(89.34-(89.34/(-5*89.34))))-(-5/-5)))))</f>
        <v>3549684.3713200004</v>
      </c>
      <c r="C18935" t="n" s="0">
        <v>3549684.371320001</v>
      </c>
    </row>
    <row r="18936">
      <c r="A18936" t="n" s="0">
        <v>89.35</v>
      </c>
      <c r="B18936" t="n" s="0">
        <f>(-5-((((-5*(-5/((-5/(((-5*(89.35--5))-(-5+((-5*89.35)*(((-5--5)+(89.35--5))+89.35))))-(-5+-5)))*-5)))/-5)--5)+(-5*(((89.35*(89.35-(-5/-5)))*(89.35-(89.35/(-5*89.35))))-(-5/-5)))))</f>
        <v>3550878.206875</v>
      </c>
      <c r="C18936" t="n" s="0">
        <v>3550878.2068749988</v>
      </c>
    </row>
    <row r="18937">
      <c r="A18937" t="n" s="0">
        <v>89.36</v>
      </c>
      <c r="B18937" t="n" s="0">
        <f>(-5-((((-5*(-5/((-5/(((-5*(89.36--5))-(-5+((-5*89.36)*(((-5--5)+(89.36--5))+89.36))))-(-5+-5)))*-5)))/-5)--5)+(-5*(((89.36*(89.36-(-5/-5)))*(89.36-(89.36/(-5*89.36))))-(-5/-5)))))</f>
        <v>3552072.3100799997</v>
      </c>
      <c r="C18937" t="n" s="0">
        <v>3552072.31008</v>
      </c>
    </row>
    <row r="18938">
      <c r="A18938" t="n" s="0">
        <v>89.37</v>
      </c>
      <c r="B18938" t="n" s="0">
        <f>(-5-((((-5*(-5/((-5/(((-5*(89.37--5))-(-5+((-5*89.37)*(((-5--5)+(89.37--5))+89.37))))-(-5+-5)))*-5)))/-5)--5)+(-5*(((89.37*(89.37-(-5/-5)))*(89.37-(89.37/(-5*89.37))))-(-5/-5)))))</f>
        <v>3553266.680965</v>
      </c>
      <c r="C18938" t="n" s="0">
        <v>3553266.6809650008</v>
      </c>
    </row>
    <row r="18939">
      <c r="A18939" t="n" s="0">
        <v>89.38</v>
      </c>
      <c r="B18939" t="n" s="0">
        <f>(-5-((((-5*(-5/((-5/(((-5*(89.38--5))-(-5+((-5*89.38)*(((-5--5)+(89.38--5))+89.38))))-(-5+-5)))*-5)))/-5)--5)+(-5*(((89.38*(89.38-(-5/-5)))*(89.38-(89.38/(-5*89.38))))-(-5/-5)))))</f>
        <v>3554461.31956</v>
      </c>
      <c r="C18939" t="n" s="0">
        <v>3554461.3195599997</v>
      </c>
    </row>
    <row r="18940">
      <c r="A18940" t="n" s="0">
        <v>89.39</v>
      </c>
      <c r="B18940" t="n" s="0">
        <f>(-5-((((-5*(-5/((-5/(((-5*(89.39--5))-(-5+((-5*89.39)*(((-5--5)+(89.39--5))+89.39))))-(-5+-5)))*-5)))/-5)--5)+(-5*(((89.39*(89.39-(-5/-5)))*(89.39-(89.39/(-5*89.39))))-(-5/-5)))))</f>
        <v>3555656.225895</v>
      </c>
      <c r="C18940" t="n" s="0">
        <v>3555656.225895</v>
      </c>
    </row>
    <row r="18941">
      <c r="A18941" t="n" s="0">
        <v>89.4</v>
      </c>
      <c r="B18941" t="n" s="0">
        <f>(-5-((((-5*(-5/((-5/(((-5*(89.4--5))-(-5+((-5*89.4)*(((-5--5)+(89.4--5))+89.4))))-(-5+-5)))*-5)))/-5)--5)+(-5*(((89.4*(89.4-(-5/-5)))*(89.4-(89.4/(-5*89.4))))-(-5/-5)))))</f>
        <v>3556851.4</v>
      </c>
      <c r="C18941" t="n" s="0">
        <v>3556851.400000001</v>
      </c>
    </row>
    <row r="18942">
      <c r="A18942" t="n" s="0">
        <v>89.41</v>
      </c>
      <c r="B18942" t="n" s="0">
        <f>(-5-((((-5*(-5/((-5/(((-5*(89.41--5))-(-5+((-5*89.41)*(((-5--5)+(89.41--5))+89.41))))-(-5+-5)))*-5)))/-5)--5)+(-5*(((89.41*(89.41-(-5/-5)))*(89.41-(89.41/(-5*89.41))))-(-5/-5)))))</f>
        <v>3558046.8419049997</v>
      </c>
      <c r="C18942" t="n" s="0">
        <v>3558046.841904999</v>
      </c>
    </row>
    <row r="18943">
      <c r="A18943" t="n" s="0">
        <v>89.42</v>
      </c>
      <c r="B18943" t="n" s="0">
        <f>(-5-((((-5*(-5/((-5/(((-5*(89.42--5))-(-5+((-5*89.42)*(((-5--5)+(89.42--5))+89.42))))-(-5+-5)))*-5)))/-5)--5)+(-5*(((89.42*(89.42-(-5/-5)))*(89.42-(89.42/(-5*89.42))))-(-5/-5)))))</f>
        <v>3559242.55164</v>
      </c>
      <c r="C18943" t="n" s="0">
        <v>3559242.5516399997</v>
      </c>
    </row>
    <row r="18944">
      <c r="A18944" t="n" s="0">
        <v>89.43</v>
      </c>
      <c r="B18944" t="n" s="0">
        <f>(-5-((((-5*(-5/((-5/(((-5*(89.43--5))-(-5+((-5*89.43)*(((-5--5)+(89.43--5))+89.43))))-(-5+-5)))*-5)))/-5)--5)+(-5*(((89.43*(89.43-(-5/-5)))*(89.43-(89.43/(-5*89.43))))-(-5/-5)))))</f>
        <v>3560438.529235</v>
      </c>
      <c r="C18944" t="n" s="0">
        <v>3560438.529235001</v>
      </c>
    </row>
    <row r="18945">
      <c r="A18945" t="n" s="0">
        <v>89.44</v>
      </c>
      <c r="B18945" t="n" s="0">
        <f>(-5-((((-5*(-5/((-5/(((-5*(89.44--5))-(-5+((-5*89.44)*(((-5--5)+(89.44--5))+89.44))))-(-5+-5)))*-5)))/-5)--5)+(-5*(((89.44*(89.44-(-5/-5)))*(89.44-(89.44/(-5*89.44))))-(-5/-5)))))</f>
        <v>3561634.77472</v>
      </c>
      <c r="C18945" t="n" s="0">
        <v>3561634.7747199996</v>
      </c>
    </row>
    <row r="18946">
      <c r="A18946" t="n" s="0">
        <v>89.45</v>
      </c>
      <c r="B18946" t="n" s="0">
        <f>(-5-((((-5*(-5/((-5/(((-5*(89.45--5))-(-5+((-5*89.45)*(((-5--5)+(89.45--5))+89.45))))-(-5+-5)))*-5)))/-5)--5)+(-5*(((89.45*(89.45-(-5/-5)))*(89.45-(89.45/(-5*89.45))))-(-5/-5)))))</f>
        <v>3562831.288125</v>
      </c>
      <c r="C18946" t="n" s="0">
        <v>3562831.288125</v>
      </c>
    </row>
    <row r="18947">
      <c r="A18947" t="n" s="0">
        <v>89.46</v>
      </c>
      <c r="B18947" t="n" s="0">
        <f>(-5-((((-5*(-5/((-5/(((-5*(89.46--5))-(-5+((-5*89.46)*(((-5--5)+(89.46--5))+89.46))))-(-5+-5)))*-5)))/-5)--5)+(-5*(((89.46*(89.46-(-5/-5)))*(89.46-(89.46/(-5*89.46))))-(-5/-5)))))</f>
        <v>3564028.06948</v>
      </c>
      <c r="C18947" t="n" s="0">
        <v>3564028.069479999</v>
      </c>
    </row>
    <row r="18948">
      <c r="A18948" t="n" s="0">
        <v>89.47</v>
      </c>
      <c r="B18948" t="n" s="0">
        <f>(-5-((((-5*(-5/((-5/(((-5*(89.47--5))-(-5+((-5*89.47)*(((-5--5)+(89.47--5))+89.47))))-(-5+-5)))*-5)))/-5)--5)+(-5*(((89.47*(89.47-(-5/-5)))*(89.47-(89.47/(-5*89.47))))-(-5/-5)))))</f>
        <v>3565225.1188149997</v>
      </c>
      <c r="C18948" t="n" s="0">
        <v>3565225.118815</v>
      </c>
    </row>
    <row r="18949">
      <c r="A18949" t="n" s="0">
        <v>89.48</v>
      </c>
      <c r="B18949" t="n" s="0">
        <f>(-5-((((-5*(-5/((-5/(((-5*(89.48--5))-(-5+((-5*89.48)*(((-5--5)+(89.48--5))+89.48))))-(-5+-5)))*-5)))/-5)--5)+(-5*(((89.48*(89.48-(-5/-5)))*(89.48-(89.48/(-5*89.48))))-(-5/-5)))))</f>
        <v>3566422.43616</v>
      </c>
      <c r="C18949" t="n" s="0">
        <v>3566422.43616</v>
      </c>
    </row>
    <row r="18950">
      <c r="A18950" t="n" s="0">
        <v>89.49</v>
      </c>
      <c r="B18950" t="n" s="0">
        <f>(-5-((((-5*(-5/((-5/(((-5*(89.49--5))-(-5+((-5*89.49)*(((-5--5)+(89.49--5))+89.49))))-(-5+-5)))*-5)))/-5)--5)+(-5*(((89.49*(89.49-(-5/-5)))*(89.49-(89.49/(-5*89.49))))-(-5/-5)))))</f>
        <v>3567620.021545</v>
      </c>
      <c r="C18950" t="n" s="0">
        <v>3567620.0215449994</v>
      </c>
    </row>
    <row r="18951">
      <c r="A18951" t="n" s="0">
        <v>89.5</v>
      </c>
      <c r="B18951" t="n" s="0">
        <f>(-5-((((-5*(-5/((-5/(((-5*(89.5--5))-(-5+((-5*89.5)*(((-5--5)+(89.5--5))+89.5))))-(-5+-5)))*-5)))/-5)--5)+(-5*(((89.5*(89.5-(-5/-5)))*(89.5-(89.5/(-5*89.5))))-(-5/-5)))))</f>
        <v>3568817.875</v>
      </c>
      <c r="C18951" t="n" s="0">
        <v>3568817.875</v>
      </c>
    </row>
    <row r="18952">
      <c r="A18952" t="n" s="0">
        <v>89.51</v>
      </c>
      <c r="B18952" t="n" s="0">
        <f>(-5-((((-5*(-5/((-5/(((-5*(89.51--5))-(-5+((-5*89.51)*(((-5--5)+(89.51--5))+89.51))))-(-5+-5)))*-5)))/-5)--5)+(-5*(((89.51*(89.51-(-5/-5)))*(89.51-(89.51/(-5*89.51))))-(-5/-5)))))</f>
        <v>3570015.9965549996</v>
      </c>
      <c r="C18952" t="n" s="0">
        <v>3570015.9965550005</v>
      </c>
    </row>
    <row r="18953">
      <c r="A18953" t="n" s="0">
        <v>89.52</v>
      </c>
      <c r="B18953" t="n" s="0">
        <f>(-5-((((-5*(-5/((-5/(((-5*(89.52--5))-(-5+((-5*89.52)*(((-5--5)+(89.52--5))+89.52))))-(-5+-5)))*-5)))/-5)--5)+(-5*(((89.52*(89.52-(-5/-5)))*(89.52-(89.52/(-5*89.52))))-(-5/-5)))))</f>
        <v>3571214.38624</v>
      </c>
      <c r="C18953" t="n" s="0">
        <v>3571214.3862399994</v>
      </c>
    </row>
    <row r="18954">
      <c r="A18954" t="n" s="0">
        <v>89.53</v>
      </c>
      <c r="B18954" t="n" s="0">
        <f>(-5-((((-5*(-5/((-5/(((-5*(89.53--5))-(-5+((-5*89.53)*(((-5--5)+(89.53--5))+89.53))))-(-5+-5)))*-5)))/-5)--5)+(-5*(((89.53*(89.53-(-5/-5)))*(89.53-(89.53/(-5*89.53))))-(-5/-5)))))</f>
        <v>3572413.044085</v>
      </c>
      <c r="C18954" t="n" s="0">
        <v>3572413.044085</v>
      </c>
    </row>
    <row r="18955">
      <c r="A18955" t="n" s="0">
        <v>89.54</v>
      </c>
      <c r="B18955" t="n" s="0">
        <f>(-5-((((-5*(-5/((-5/(((-5*(89.54--5))-(-5+((-5*89.54)*(((-5--5)+(89.54--5))+89.54))))-(-5+-5)))*-5)))/-5)--5)+(-5*(((89.54*(89.54-(-5/-5)))*(89.54-(89.54/(-5*89.54))))-(-5/-5)))))</f>
        <v>3573611.97012</v>
      </c>
      <c r="C18955" t="n" s="0">
        <v>3573611.970120001</v>
      </c>
    </row>
    <row r="18956">
      <c r="A18956" t="n" s="0">
        <v>89.55</v>
      </c>
      <c r="B18956" t="n" s="0">
        <f>(-5-((((-5*(-5/((-5/(((-5*(89.55--5))-(-5+((-5*89.55)*(((-5--5)+(89.55--5))+89.55))))-(-5+-5)))*-5)))/-5)--5)+(-5*(((89.55*(89.55-(-5/-5)))*(89.55-(89.55/(-5*89.55))))-(-5/-5)))))</f>
        <v>3574811.164375</v>
      </c>
      <c r="C18956" t="n" s="0">
        <v>3574811.1643749997</v>
      </c>
    </row>
    <row r="18957">
      <c r="A18957" t="n" s="0">
        <v>89.56</v>
      </c>
      <c r="B18957" t="n" s="0">
        <f>(-5-((((-5*(-5/((-5/(((-5*(89.56--5))-(-5+((-5*89.56)*(((-5--5)+(89.56--5))+89.56))))-(-5+-5)))*-5)))/-5)--5)+(-5*(((89.56*(89.56-(-5/-5)))*(89.56-(89.56/(-5*89.56))))-(-5/-5)))))</f>
        <v>3576010.62688</v>
      </c>
      <c r="C18957" t="n" s="0">
        <v>3576010.6268800003</v>
      </c>
    </row>
    <row r="18958">
      <c r="A18958" t="n" s="0">
        <v>89.57</v>
      </c>
      <c r="B18958" t="n" s="0">
        <f>(-5-((((-5*(-5/((-5/(((-5*(89.57--5))-(-5+((-5*89.57)*(((-5--5)+(89.57--5))+89.57))))-(-5+-5)))*-5)))/-5)--5)+(-5*(((89.57*(89.57-(-5/-5)))*(89.57-(89.57/(-5*89.57))))-(-5/-5)))))</f>
        <v>3577210.357665</v>
      </c>
      <c r="C18958" t="n" s="0">
        <v>3577210.3576649986</v>
      </c>
    </row>
    <row r="18959">
      <c r="A18959" t="n" s="0">
        <v>89.58</v>
      </c>
      <c r="B18959" t="n" s="0">
        <f>(-5-((((-5*(-5/((-5/(((-5*(89.58--5))-(-5+((-5*89.58)*(((-5--5)+(89.58--5))+89.58))))-(-5+-5)))*-5)))/-5)--5)+(-5*(((89.58*(89.58-(-5/-5)))*(89.58-(89.58/(-5*89.58))))-(-5/-5)))))</f>
        <v>3578410.35676</v>
      </c>
      <c r="C18959" t="n" s="0">
        <v>3578410.35676</v>
      </c>
    </row>
    <row r="18960">
      <c r="A18960" t="n" s="0">
        <v>89.59</v>
      </c>
      <c r="B18960" t="n" s="0">
        <f>(-5-((((-5*(-5/((-5/(((-5*(89.59--5))-(-5+((-5*89.59)*(((-5--5)+(89.59--5))+89.59))))-(-5+-5)))*-5)))/-5)--5)+(-5*(((89.59*(89.59-(-5/-5)))*(89.59-(89.59/(-5*89.59))))-(-5/-5)))))</f>
        <v>3579610.624195</v>
      </c>
      <c r="C18960" t="n" s="0">
        <v>3579610.6241950006</v>
      </c>
    </row>
    <row r="18961">
      <c r="A18961" t="n" s="0">
        <v>89.6</v>
      </c>
      <c r="B18961" t="n" s="0">
        <f>(-5-((((-5*(-5/((-5/(((-5*(89.6--5))-(-5+((-5*89.6)*(((-5--5)+(89.6--5))+89.6))))-(-5+-5)))*-5)))/-5)--5)+(-5*(((89.6*(89.6-(-5/-5)))*(89.6-(89.6/(-5*89.6))))-(-5/-5)))))</f>
        <v>3580811.16</v>
      </c>
      <c r="C18961" t="n" s="0">
        <v>3580811.159999999</v>
      </c>
    </row>
    <row r="18962">
      <c r="A18962" t="n" s="0">
        <v>89.61</v>
      </c>
      <c r="B18962" t="n" s="0">
        <f>(-5-((((-5*(-5/((-5/(((-5*(89.61--5))-(-5+((-5*89.61)*(((-5--5)+(89.61--5))+89.61))))-(-5+-5)))*-5)))/-5)--5)+(-5*(((89.61*(89.61-(-5/-5)))*(89.61-(89.61/(-5*89.61))))-(-5/-5)))))</f>
        <v>3582011.964205</v>
      </c>
      <c r="C18962" t="n" s="0">
        <v>3582011.9642049996</v>
      </c>
    </row>
    <row r="18963">
      <c r="A18963" t="n" s="0">
        <v>89.62</v>
      </c>
      <c r="B18963" t="n" s="0">
        <f>(-5-((((-5*(-5/((-5/(((-5*(89.62--5))-(-5+((-5*89.62)*(((-5--5)+(89.62--5))+89.62))))-(-5+-5)))*-5)))/-5)--5)+(-5*(((89.62*(89.62-(-5/-5)))*(89.62-(89.62/(-5*89.62))))-(-5/-5)))))</f>
        <v>3583213.0368399997</v>
      </c>
      <c r="C18963" t="n" s="0">
        <v>3583213.0368400007</v>
      </c>
    </row>
    <row r="18964">
      <c r="A18964" t="n" s="0">
        <v>89.63</v>
      </c>
      <c r="B18964" t="n" s="0">
        <f>(-5-((((-5*(-5/((-5/(((-5*(89.63--5))-(-5+((-5*89.63)*(((-5--5)+(89.63--5))+89.63))))-(-5+-5)))*-5)))/-5)--5)+(-5*(((89.63*(89.63-(-5/-5)))*(89.63-(89.63/(-5*89.63))))-(-5/-5)))))</f>
        <v>3584414.3779349998</v>
      </c>
      <c r="C18964" t="n" s="0">
        <v>3584414.3779349998</v>
      </c>
    </row>
    <row r="18965">
      <c r="A18965" t="n" s="0">
        <v>89.64</v>
      </c>
      <c r="B18965" t="n" s="0">
        <f>(-5-((((-5*(-5/((-5/(((-5*(89.64--5))-(-5+((-5*89.64)*(((-5--5)+(89.64--5))+89.64))))-(-5+-5)))*-5)))/-5)--5)+(-5*(((89.64*(89.64-(-5/-5)))*(89.64-(89.64/(-5*89.64))))-(-5/-5)))))</f>
        <v>3585615.98752</v>
      </c>
      <c r="C18965" t="n" s="0">
        <v>3585615.98752</v>
      </c>
    </row>
    <row r="18966">
      <c r="A18966" t="n" s="0">
        <v>89.65</v>
      </c>
      <c r="B18966" t="n" s="0">
        <f>(-5-((((-5*(-5/((-5/(((-5*(89.65--5))-(-5+((-5*89.65)*(((-5--5)+(89.65--5))+89.65))))-(-5+-5)))*-5)))/-5)--5)+(-5*(((89.65*(89.65-(-5/-5)))*(89.65-(89.65/(-5*89.65))))-(-5/-5)))))</f>
        <v>3586817.865625</v>
      </c>
      <c r="C18966" t="n" s="0">
        <v>3586817.8656250006</v>
      </c>
    </row>
    <row r="18967">
      <c r="A18967" t="n" s="0">
        <v>89.66</v>
      </c>
      <c r="B18967" t="n" s="0">
        <f>(-5-((((-5*(-5/((-5/(((-5*(89.66--5))-(-5+((-5*89.66)*(((-5--5)+(89.66--5))+89.66))))-(-5+-5)))*-5)))/-5)--5)+(-5*(((89.66*(89.66-(-5/-5)))*(89.66-(89.66/(-5*89.66))))-(-5/-5)))))</f>
        <v>3588020.01228</v>
      </c>
      <c r="C18967" t="n" s="0">
        <v>3588020.01228</v>
      </c>
    </row>
    <row r="18968">
      <c r="A18968" t="n" s="0">
        <v>89.67</v>
      </c>
      <c r="B18968" t="n" s="0">
        <f>(-5-((((-5*(-5/((-5/(((-5*(89.67--5))-(-5+((-5*89.67)*(((-5--5)+(89.67--5))+89.67))))-(-5+-5)))*-5)))/-5)--5)+(-5*(((89.67*(89.67-(-5/-5)))*(89.67-(89.67/(-5*89.67))))-(-5/-5)))))</f>
        <v>3589222.427515</v>
      </c>
      <c r="C18968" t="n" s="0">
        <v>3589222.4275149996</v>
      </c>
    </row>
    <row r="18969">
      <c r="A18969" t="n" s="0">
        <v>89.68</v>
      </c>
      <c r="B18969" t="n" s="0">
        <f>(-5-((((-5*(-5/((-5/(((-5*(89.68--5))-(-5+((-5*89.68)*(((-5--5)+(89.68--5))+89.68))))-(-5+-5)))*-5)))/-5)--5)+(-5*(((89.68*(89.68-(-5/-5)))*(89.68-(89.68/(-5*89.68))))-(-5/-5)))))</f>
        <v>3590425.11136</v>
      </c>
      <c r="C18969" t="n" s="0">
        <v>3590425.1113600004</v>
      </c>
    </row>
    <row r="18970">
      <c r="A18970" t="n" s="0">
        <v>89.69</v>
      </c>
      <c r="B18970" t="n" s="0">
        <f>(-5-((((-5*(-5/((-5/(((-5*(89.69--5))-(-5+((-5*89.69)*(((-5--5)+(89.69--5))+89.69))))-(-5+-5)))*-5)))/-5)--5)+(-5*(((89.69*(89.69-(-5/-5)))*(89.69-(89.69/(-5*89.69))))-(-5/-5)))))</f>
        <v>3591628.063845</v>
      </c>
      <c r="C18970" t="n" s="0">
        <v>3591628.0638449998</v>
      </c>
    </row>
    <row r="18971">
      <c r="A18971" t="n" s="0">
        <v>89.7</v>
      </c>
      <c r="B18971" t="n" s="0">
        <f>(-5-((((-5*(-5/((-5/(((-5*(89.7--5))-(-5+((-5*89.7)*(((-5--5)+(89.7--5))+89.7))))-(-5+-5)))*-5)))/-5)--5)+(-5*(((89.7*(89.7-(-5/-5)))*(89.7-(89.7/(-5*89.7))))-(-5/-5)))))</f>
        <v>3592831.285</v>
      </c>
      <c r="C18971" t="n" s="0">
        <v>3592831.285</v>
      </c>
    </row>
    <row r="18972">
      <c r="A18972" t="n" s="0">
        <v>89.71</v>
      </c>
      <c r="B18972" t="n" s="0">
        <f>(-5-((((-5*(-5/((-5/(((-5*(89.71--5))-(-5+((-5*89.71)*(((-5--5)+(89.71--5))+89.71))))-(-5+-5)))*-5)))/-5)--5)+(-5*(((89.71*(89.71-(-5/-5)))*(89.71-(89.71/(-5*89.71))))-(-5/-5)))))</f>
        <v>3594034.774855</v>
      </c>
      <c r="C18972" t="n" s="0">
        <v>3594034.774854999</v>
      </c>
    </row>
    <row r="18973">
      <c r="A18973" t="n" s="0">
        <v>89.72</v>
      </c>
      <c r="B18973" t="n" s="0">
        <f>(-5-((((-5*(-5/((-5/(((-5*(89.72--5))-(-5+((-5*89.72)*(((-5--5)+(89.72--5))+89.72))))-(-5+-5)))*-5)))/-5)--5)+(-5*(((89.72*(89.72-(-5/-5)))*(89.72-(89.72/(-5*89.72))))-(-5/-5)))))</f>
        <v>3595238.53344</v>
      </c>
      <c r="C18973" t="n" s="0">
        <v>3595238.53344</v>
      </c>
    </row>
    <row r="18974">
      <c r="A18974" t="n" s="0">
        <v>89.73</v>
      </c>
      <c r="B18974" t="n" s="0">
        <f>(-5-((((-5*(-5/((-5/(((-5*(89.73--5))-(-5+((-5*89.73)*(((-5--5)+(89.73--5))+89.73))))-(-5+-5)))*-5)))/-5)--5)+(-5*(((89.73*(89.73-(-5/-5)))*(89.73-(89.73/(-5*89.73))))-(-5/-5)))))</f>
        <v>3596442.5607849997</v>
      </c>
      <c r="C18974" t="n" s="0">
        <v>3596442.5607850007</v>
      </c>
    </row>
    <row r="18975">
      <c r="A18975" t="n" s="0">
        <v>89.74</v>
      </c>
      <c r="B18975" t="n" s="0">
        <f>(-5-((((-5*(-5/((-5/(((-5*(89.74--5))-(-5+((-5*89.74)*(((-5--5)+(89.74--5))+89.74))))-(-5+-5)))*-5)))/-5)--5)+(-5*(((89.74*(89.74-(-5/-5)))*(89.74-(89.74/(-5*89.74))))-(-5/-5)))))</f>
        <v>3597646.8569199997</v>
      </c>
      <c r="C18975" t="n" s="0">
        <v>3597646.8569199997</v>
      </c>
    </row>
    <row r="18976">
      <c r="A18976" t="n" s="0">
        <v>89.75</v>
      </c>
      <c r="B18976" t="n" s="0">
        <f>(-5-((((-5*(-5/((-5/(((-5*(89.75--5))-(-5+((-5*89.75)*(((-5--5)+(89.75--5))+89.75))))-(-5+-5)))*-5)))/-5)--5)+(-5*(((89.75*(89.75-(-5/-5)))*(89.75-(89.75/(-5*89.75))))-(-5/-5)))))</f>
        <v>3598851.421875</v>
      </c>
      <c r="C18976" t="n" s="0">
        <v>3598851.421875</v>
      </c>
    </row>
    <row r="18977">
      <c r="A18977" t="n" s="0">
        <v>89.76</v>
      </c>
      <c r="B18977" t="n" s="0">
        <f>(-5-((((-5*(-5/((-5/(((-5*(89.76--5))-(-5+((-5*89.76)*(((-5--5)+(89.76--5))+89.76))))-(-5+-5)))*-5)))/-5)--5)+(-5*(((89.76*(89.76-(-5/-5)))*(89.76-(89.76/(-5*89.76))))-(-5/-5)))))</f>
        <v>3600056.25568</v>
      </c>
      <c r="C18977" t="n" s="0">
        <v>3600056.2556800004</v>
      </c>
    </row>
    <row r="18978">
      <c r="A18978" t="n" s="0">
        <v>89.77</v>
      </c>
      <c r="B18978" t="n" s="0">
        <f>(-5-((((-5*(-5/((-5/(((-5*(89.77--5))-(-5+((-5*89.77)*(((-5--5)+(89.77--5))+89.77))))-(-5+-5)))*-5)))/-5)--5)+(-5*(((89.77*(89.77-(-5/-5)))*(89.77-(89.77/(-5*89.77))))-(-5/-5)))))</f>
        <v>3601261.3583649998</v>
      </c>
      <c r="C18978" t="n" s="0">
        <v>3601261.3583649998</v>
      </c>
    </row>
    <row r="18979">
      <c r="A18979" t="n" s="0">
        <v>89.78</v>
      </c>
      <c r="B18979" t="n" s="0">
        <f>(-5-((((-5*(-5/((-5/(((-5*(89.78--5))-(-5+((-5*89.78)*(((-5--5)+(89.78--5))+89.78))))-(-5+-5)))*-5)))/-5)--5)+(-5*(((89.78*(89.78-(-5/-5)))*(89.78-(89.78/(-5*89.78))))-(-5/-5)))))</f>
        <v>3602466.7299599997</v>
      </c>
      <c r="C18979" t="n" s="0">
        <v>3602466.7299599997</v>
      </c>
    </row>
    <row r="18980">
      <c r="A18980" t="n" s="0">
        <v>89.79</v>
      </c>
      <c r="B18980" t="n" s="0">
        <f>(-5-((((-5*(-5/((-5/(((-5*(89.79--5))-(-5+((-5*89.79)*(((-5--5)+(89.79--5))+89.79))))-(-5+-5)))*-5)))/-5)--5)+(-5*(((89.79*(89.79-(-5/-5)))*(89.79-(89.79/(-5*89.79))))-(-5/-5)))))</f>
        <v>3603672.3704950004</v>
      </c>
      <c r="C18980" t="n" s="0">
        <v>3603672.370495001</v>
      </c>
    </row>
    <row r="18981">
      <c r="A18981" t="n" s="0">
        <v>89.8</v>
      </c>
      <c r="B18981" t="n" s="0">
        <f>(-5-((((-5*(-5/((-5/(((-5*(89.8--5))-(-5+((-5*89.8)*(((-5--5)+(89.8--5))+89.8))))-(-5+-5)))*-5)))/-5)--5)+(-5*(((89.8*(89.8-(-5/-5)))*(89.8-(89.8/(-5*89.8))))-(-5/-5)))))</f>
        <v>3604878.28</v>
      </c>
      <c r="C18981" t="n" s="0">
        <v>3604878.2799999993</v>
      </c>
    </row>
    <row r="18982">
      <c r="A18982" t="n" s="0">
        <v>89.81</v>
      </c>
      <c r="B18982" t="n" s="0">
        <f>(-5-((((-5*(-5/((-5/(((-5*(89.81--5))-(-5+((-5*89.81)*(((-5--5)+(89.81--5))+89.81))))-(-5+-5)))*-5)))/-5)--5)+(-5*(((89.81*(89.81-(-5/-5)))*(89.81-(89.81/(-5*89.81))))-(-5/-5)))))</f>
        <v>3606084.458505</v>
      </c>
      <c r="C18982" t="n" s="0">
        <v>3606084.4585050005</v>
      </c>
    </row>
    <row r="18983">
      <c r="A18983" t="n" s="0">
        <v>89.82</v>
      </c>
      <c r="B18983" t="n" s="0">
        <f>(-5-((((-5*(-5/((-5/(((-5*(89.82--5))-(-5+((-5*89.82)*(((-5--5)+(89.82--5))+89.82))))-(-5+-5)))*-5)))/-5)--5)+(-5*(((89.82*(89.82-(-5/-5)))*(89.82-(89.82/(-5*89.82))))-(-5/-5)))))</f>
        <v>3607290.90604</v>
      </c>
      <c r="C18983" t="n" s="0">
        <v>3607290.9060399993</v>
      </c>
    </row>
    <row r="18984">
      <c r="A18984" t="n" s="0">
        <v>89.83</v>
      </c>
      <c r="B18984" t="n" s="0">
        <f>(-5-((((-5*(-5/((-5/(((-5*(89.83--5))-(-5+((-5*89.83)*(((-5--5)+(89.83--5))+89.83))))-(-5+-5)))*-5)))/-5)--5)+(-5*(((89.83*(89.83-(-5/-5)))*(89.83-(89.83/(-5*89.83))))-(-5/-5)))))</f>
        <v>3608497.6226350004</v>
      </c>
      <c r="C18984" t="n" s="0">
        <v>3608497.622635</v>
      </c>
    </row>
    <row r="18985">
      <c r="A18985" t="n" s="0">
        <v>89.84</v>
      </c>
      <c r="B18985" t="n" s="0">
        <f>(-5-((((-5*(-5/((-5/(((-5*(89.84--5))-(-5+((-5*89.84)*(((-5--5)+(89.84--5))+89.84))))-(-5+-5)))*-5)))/-5)--5)+(-5*(((89.84*(89.84-(-5/-5)))*(89.84-(89.84/(-5*89.84))))-(-5/-5)))))</f>
        <v>3609704.6083199997</v>
      </c>
      <c r="C18985" t="n" s="0">
        <v>3609704.6083200006</v>
      </c>
    </row>
    <row r="18986">
      <c r="A18986" t="n" s="0">
        <v>89.85</v>
      </c>
      <c r="B18986" t="n" s="0">
        <f>(-5-((((-5*(-5/((-5/(((-5*(89.85--5))-(-5+((-5*89.85)*(((-5--5)+(89.85--5))+89.85))))-(-5+-5)))*-5)))/-5)--5)+(-5*(((89.85*(89.85-(-5/-5)))*(89.85-(89.85/(-5*89.85))))-(-5/-5)))))</f>
        <v>3610911.8631249997</v>
      </c>
      <c r="C18986" t="n" s="0">
        <v>3610911.863124999</v>
      </c>
    </row>
    <row r="18987">
      <c r="A18987" t="n" s="0">
        <v>89.86</v>
      </c>
      <c r="B18987" t="n" s="0">
        <f>(-5-((((-5*(-5/((-5/(((-5*(89.86--5))-(-5+((-5*89.86)*(((-5--5)+(89.86--5))+89.86))))-(-5+-5)))*-5)))/-5)--5)+(-5*(((89.86*(89.86-(-5/-5)))*(89.86-(89.86/(-5*89.86))))-(-5/-5)))))</f>
        <v>3612119.3870800002</v>
      </c>
      <c r="C18987" t="n" s="0">
        <v>3612119.38708</v>
      </c>
    </row>
    <row r="18988">
      <c r="A18988" t="n" s="0">
        <v>89.87</v>
      </c>
      <c r="B18988" t="n" s="0">
        <f>(-5-((((-5*(-5/((-5/(((-5*(89.87--5))-(-5+((-5*89.87)*(((-5--5)+(89.87--5))+89.87))))-(-5+-5)))*-5)))/-5)--5)+(-5*(((89.87*(89.87-(-5/-5)))*(89.87-(89.87/(-5*89.87))))-(-5/-5)))))</f>
        <v>3613327.180215</v>
      </c>
      <c r="C18988" t="n" s="0">
        <v>3613327.180215</v>
      </c>
    </row>
    <row r="18989">
      <c r="A18989" t="n" s="0">
        <v>89.88</v>
      </c>
      <c r="B18989" t="n" s="0">
        <f>(-5-((((-5*(-5/((-5/(((-5*(89.88--5))-(-5+((-5*89.88)*(((-5--5)+(89.88--5))+89.88))))-(-5+-5)))*-5)))/-5)--5)+(-5*(((89.88*(89.88-(-5/-5)))*(89.88-(89.88/(-5*89.88))))-(-5/-5)))))</f>
        <v>3614535.2425599997</v>
      </c>
      <c r="C18989" t="n" s="0">
        <v>3614535.24256</v>
      </c>
    </row>
    <row r="18990">
      <c r="A18990" t="n" s="0">
        <v>89.89</v>
      </c>
      <c r="B18990" t="n" s="0">
        <f>(-5-((((-5*(-5/((-5/(((-5*(89.89--5))-(-5+((-5*89.89)*(((-5--5)+(89.89--5))+89.89))))-(-5+-5)))*-5)))/-5)--5)+(-5*(((89.89*(89.89-(-5/-5)))*(89.89-(89.89/(-5*89.89))))-(-5/-5)))))</f>
        <v>3615743.574145</v>
      </c>
      <c r="C18990" t="n" s="0">
        <v>3615743.574145</v>
      </c>
    </row>
    <row r="18991">
      <c r="A18991" t="n" s="0">
        <v>89.9</v>
      </c>
      <c r="B18991" t="n" s="0">
        <f>(-5-((((-5*(-5/((-5/(((-5*(89.9--5))-(-5+((-5*89.9)*(((-5--5)+(89.9--5))+89.9))))-(-5+-5)))*-5)))/-5)--5)+(-5*(((89.9*(89.9-(-5/-5)))*(89.9-(89.9/(-5*89.9))))-(-5/-5)))))</f>
        <v>3616952.1750000003</v>
      </c>
      <c r="C18991" t="n" s="0">
        <v>3616952.1750000007</v>
      </c>
    </row>
    <row r="18992">
      <c r="A18992" t="n" s="0">
        <v>89.91</v>
      </c>
      <c r="B18992" t="n" s="0">
        <f>(-5-((((-5*(-5/((-5/(((-5*(89.91--5))-(-5+((-5*89.91)*(((-5--5)+(89.91--5))+89.91))))-(-5+-5)))*-5)))/-5)--5)+(-5*(((89.91*(89.91-(-5/-5)))*(89.91-(89.91/(-5*89.91))))-(-5/-5)))))</f>
        <v>3618161.0451550004</v>
      </c>
      <c r="C18992" t="n" s="0">
        <v>3618161.0451549995</v>
      </c>
    </row>
    <row r="18993">
      <c r="A18993" t="n" s="0">
        <v>89.92</v>
      </c>
      <c r="B18993" t="n" s="0">
        <f>(-5-((((-5*(-5/((-5/(((-5*(89.92--5))-(-5+((-5*89.92)*(((-5--5)+(89.92--5))+89.92))))-(-5+-5)))*-5)))/-5)--5)+(-5*(((89.92*(89.92-(-5/-5)))*(89.92-(89.92/(-5*89.92))))-(-5/-5)))))</f>
        <v>3619370.18464</v>
      </c>
      <c r="C18993" t="n" s="0">
        <v>3619370.18464</v>
      </c>
    </row>
    <row r="18994">
      <c r="A18994" t="n" s="0">
        <v>89.93</v>
      </c>
      <c r="B18994" t="n" s="0">
        <f>(-5-((((-5*(-5/((-5/(((-5*(89.93--5))-(-5+((-5*89.93)*(((-5--5)+(89.93--5))+89.93))))-(-5+-5)))*-5)))/-5)--5)+(-5*(((89.93*(89.93-(-5/-5)))*(89.93-(89.93/(-5*89.93))))-(-5/-5)))))</f>
        <v>3620579.593485</v>
      </c>
      <c r="C18994" t="n" s="0">
        <v>3620579.593485001</v>
      </c>
    </row>
    <row r="18995">
      <c r="A18995" t="n" s="0">
        <v>89.94</v>
      </c>
      <c r="B18995" t="n" s="0">
        <f>(-5-((((-5*(-5/((-5/(((-5*(89.94--5))-(-5+((-5*89.94)*(((-5--5)+(89.94--5))+89.94))))-(-5+-5)))*-5)))/-5)--5)+(-5*(((89.94*(89.94-(-5/-5)))*(89.94-(89.94/(-5*89.94))))-(-5/-5)))))</f>
        <v>3621789.27172</v>
      </c>
      <c r="C18995" t="n" s="0">
        <v>3621789.2717199996</v>
      </c>
    </row>
    <row r="18996">
      <c r="A18996" t="n" s="0">
        <v>89.95</v>
      </c>
      <c r="B18996" t="n" s="0">
        <f>(-5-((((-5*(-5/((-5/(((-5*(89.95--5))-(-5+((-5*89.95)*(((-5--5)+(89.95--5))+89.95))))-(-5+-5)))*-5)))/-5)--5)+(-5*(((89.95*(89.95-(-5/-5)))*(89.95-(89.95/(-5*89.95))))-(-5/-5)))))</f>
        <v>3622999.2193750003</v>
      </c>
      <c r="C18996" t="n" s="0">
        <v>3622999.2193750003</v>
      </c>
    </row>
    <row r="18997">
      <c r="A18997" t="n" s="0">
        <v>89.96</v>
      </c>
      <c r="B18997" t="n" s="0">
        <f>(-5-((((-5*(-5/((-5/(((-5*(89.96--5))-(-5+((-5*89.96)*(((-5--5)+(89.96--5))+89.96))))-(-5+-5)))*-5)))/-5)--5)+(-5*(((89.96*(89.96-(-5/-5)))*(89.96-(89.96/(-5*89.96))))-(-5/-5)))))</f>
        <v>3624209.43648</v>
      </c>
      <c r="C18997" t="n" s="0">
        <v>3624209.4364799997</v>
      </c>
    </row>
    <row r="18998">
      <c r="A18998" t="n" s="0">
        <v>89.97</v>
      </c>
      <c r="B18998" t="n" s="0">
        <f>(-5-((((-5*(-5/((-5/(((-5*(89.97--5))-(-5+((-5*89.97)*(((-5--5)+(89.97--5))+89.97))))-(-5+-5)))*-5)))/-5)--5)+(-5*(((89.97*(89.97-(-5/-5)))*(89.97-(89.97/(-5*89.97))))-(-5/-5)))))</f>
        <v>3625419.9230649997</v>
      </c>
      <c r="C18998" t="n" s="0">
        <v>3625419.9230649997</v>
      </c>
    </row>
    <row r="18999">
      <c r="A18999" t="n" s="0">
        <v>89.98</v>
      </c>
      <c r="B18999" t="n" s="0">
        <f>(-5-((((-5*(-5/((-5/(((-5*(89.98--5))-(-5+((-5*89.98)*(((-5--5)+(89.98--5))+89.98))))-(-5+-5)))*-5)))/-5)--5)+(-5*(((89.98*(89.98-(-5/-5)))*(89.98-(89.98/(-5*89.98))))-(-5/-5)))))</f>
        <v>3626630.67916</v>
      </c>
      <c r="C18999" t="n" s="0">
        <v>3626630.6791600003</v>
      </c>
    </row>
    <row r="19000">
      <c r="A19000" t="n" s="0">
        <v>89.99</v>
      </c>
      <c r="B19000" t="n" s="0">
        <f>(-5-((((-5*(-5/((-5/(((-5*(89.99--5))-(-5+((-5*89.99)*(((-5--5)+(89.99--5))+89.99))))-(-5+-5)))*-5)))/-5)--5)+(-5*(((89.99*(89.99-(-5/-5)))*(89.99-(89.99/(-5*89.99))))-(-5/-5)))))</f>
        <v>3627841.704795</v>
      </c>
      <c r="C19000" t="n" s="0">
        <v>3627841.7047949997</v>
      </c>
    </row>
    <row r="19001">
      <c r="A19001" t="n" s="0">
        <v>90.0</v>
      </c>
      <c r="B19001" t="n" s="0">
        <f>(-5-((((-5*(-5/((-5/(((-5*(90--5))-(-5+((-5*90)*(((-5--5)+(90--5))+90))))-(-5+-5)))*-5)))/-5)--5)+(-5*(((90*(90-(-5/-5)))*(90-(90/(-5*90))))-(-5/-5)))))</f>
        <v>3629053.0</v>
      </c>
      <c r="C19001" t="n" s="0">
        <v>3629053.0</v>
      </c>
    </row>
    <row r="19002">
      <c r="A19002" t="n" s="0">
        <v>90.01</v>
      </c>
      <c r="B19002" t="n" s="0">
        <f>(-5-((((-5*(-5/((-5/(((-5*(90.01--5))-(-5+((-5*90.01)*(((-5--5)+(90.01--5))+90.01))))-(-5+-5)))*-5)))/-5)--5)+(-5*(((90.01*(90.01-(-5/-5)))*(90.01-(90.01/(-5*90.01))))-(-5/-5)))))</f>
        <v>3630264.5648049996</v>
      </c>
      <c r="C19002" t="n" s="0">
        <v>3630264.564805</v>
      </c>
    </row>
    <row r="19003">
      <c r="A19003" t="n" s="0">
        <v>90.02</v>
      </c>
      <c r="B19003" t="n" s="0">
        <f>(-5-((((-5*(-5/((-5/(((-5*(90.02--5))-(-5+((-5*90.02)*(((-5--5)+(90.02--5))+90.02))))-(-5+-5)))*-5)))/-5)--5)+(-5*(((90.02*(90.02-(-5/-5)))*(90.02-(90.02/(-5*90.02))))-(-5/-5)))))</f>
        <v>3631476.3992399997</v>
      </c>
      <c r="C19003" t="n" s="0">
        <v>3631476.3992399997</v>
      </c>
    </row>
    <row r="19004">
      <c r="A19004" t="n" s="0">
        <v>90.03</v>
      </c>
      <c r="B19004" t="n" s="0">
        <f>(-5-((((-5*(-5/((-5/(((-5*(90.03--5))-(-5+((-5*90.03)*(((-5--5)+(90.03--5))+90.03))))-(-5+-5)))*-5)))/-5)--5)+(-5*(((90.03*(90.03-(-5/-5)))*(90.03-(90.03/(-5*90.03))))-(-5/-5)))))</f>
        <v>3632688.503335</v>
      </c>
      <c r="C19004" t="n" s="0">
        <v>3632688.5033349996</v>
      </c>
    </row>
    <row r="19005">
      <c r="A19005" t="n" s="0">
        <v>90.04</v>
      </c>
      <c r="B19005" t="n" s="0">
        <f>(-5-((((-5*(-5/((-5/(((-5*(90.04--5))-(-5+((-5*90.04)*(((-5--5)+(90.04--5))+90.04))))-(-5+-5)))*-5)))/-5)--5)+(-5*(((90.04*(90.04-(-5/-5)))*(90.04-(90.04/(-5*90.04))))-(-5/-5)))))</f>
        <v>3633900.8771200003</v>
      </c>
      <c r="C19005" t="n" s="0">
        <v>3633900.877120001</v>
      </c>
    </row>
    <row r="19006">
      <c r="A19006" t="n" s="0">
        <v>90.05</v>
      </c>
      <c r="B19006" t="n" s="0">
        <f>(-5-((((-5*(-5/((-5/(((-5*(90.05--5))-(-5+((-5*90.05)*(((-5--5)+(90.05--5))+90.05))))-(-5+-5)))*-5)))/-5)--5)+(-5*(((90.05*(90.05-(-5/-5)))*(90.05-(90.05/(-5*90.05))))-(-5/-5)))))</f>
        <v>3635113.520625</v>
      </c>
      <c r="C19006" t="n" s="0">
        <v>3635113.520625</v>
      </c>
    </row>
    <row r="19007">
      <c r="A19007" t="n" s="0">
        <v>90.06</v>
      </c>
      <c r="B19007" t="n" s="0">
        <f>(-5-((((-5*(-5/((-5/(((-5*(90.06--5))-(-5+((-5*90.06)*(((-5--5)+(90.06--5))+90.06))))-(-5+-5)))*-5)))/-5)--5)+(-5*(((90.06*(90.06-(-5/-5)))*(90.06-(90.06/(-5*90.06))))-(-5/-5)))))</f>
        <v>3636326.4338800004</v>
      </c>
      <c r="C19007" t="n" s="0">
        <v>3636326.4338800004</v>
      </c>
    </row>
    <row r="19008">
      <c r="A19008" t="n" s="0">
        <v>90.07</v>
      </c>
      <c r="B19008" t="n" s="0">
        <f>(-5-((((-5*(-5/((-5/(((-5*(90.07--5))-(-5+((-5*90.07)*(((-5--5)+(90.07--5))+90.07))))-(-5+-5)))*-5)))/-5)--5)+(-5*(((90.07*(90.07-(-5/-5)))*(90.07-(90.07/(-5*90.07))))-(-5/-5)))))</f>
        <v>3637539.616915</v>
      </c>
      <c r="C19008" t="n" s="0">
        <v>3637539.616914999</v>
      </c>
    </row>
    <row r="19009">
      <c r="A19009" t="n" s="0">
        <v>90.08</v>
      </c>
      <c r="B19009" t="n" s="0">
        <f>(-5-((((-5*(-5/((-5/(((-5*(90.08--5))-(-5+((-5*90.08)*(((-5--5)+(90.08--5))+90.08))))-(-5+-5)))*-5)))/-5)--5)+(-5*(((90.08*(90.08-(-5/-5)))*(90.08-(90.08/(-5*90.08))))-(-5/-5)))))</f>
        <v>3638753.06976</v>
      </c>
      <c r="C19009" t="n" s="0">
        <v>3638753.06976</v>
      </c>
    </row>
    <row r="19010">
      <c r="A19010" t="n" s="0">
        <v>90.09</v>
      </c>
      <c r="B19010" t="n" s="0">
        <f>(-5-((((-5*(-5/((-5/(((-5*(90.09--5))-(-5+((-5*90.09)*(((-5--5)+(90.09--5))+90.09))))-(-5+-5)))*-5)))/-5)--5)+(-5*(((90.09*(90.09-(-5/-5)))*(90.09-(90.09/(-5*90.09))))-(-5/-5)))))</f>
        <v>3639966.7924450003</v>
      </c>
      <c r="C19010" t="n" s="0">
        <v>3639966.7924450007</v>
      </c>
    </row>
    <row r="19011">
      <c r="A19011" t="n" s="0">
        <v>90.1</v>
      </c>
      <c r="B19011" t="n" s="0">
        <f>(-5-((((-5*(-5/((-5/(((-5*(90.1--5))-(-5+((-5*90.1)*(((-5--5)+(90.1--5))+90.1))))-(-5+-5)))*-5)))/-5)--5)+(-5*(((90.1*(90.1-(-5/-5)))*(90.1-(90.1/(-5*90.1))))-(-5/-5)))))</f>
        <v>3641180.785</v>
      </c>
      <c r="C19011" t="n" s="0">
        <v>3641180.784999999</v>
      </c>
    </row>
    <row r="19012">
      <c r="A19012" t="n" s="0">
        <v>90.11</v>
      </c>
      <c r="B19012" t="n" s="0">
        <f>(-5-((((-5*(-5/((-5/(((-5*(90.11--5))-(-5+((-5*90.11)*(((-5--5)+(90.11--5))+90.11))))-(-5+-5)))*-5)))/-5)--5)+(-5*(((90.11*(90.11-(-5/-5)))*(90.11-(90.11/(-5*90.11))))-(-5/-5)))))</f>
        <v>3642395.0474549998</v>
      </c>
      <c r="C19012" t="n" s="0">
        <v>3642395.047455</v>
      </c>
    </row>
    <row r="19013">
      <c r="A19013" t="n" s="0">
        <v>90.12</v>
      </c>
      <c r="B19013" t="n" s="0">
        <f>(-5-((((-5*(-5/((-5/(((-5*(90.12--5))-(-5+((-5*90.12)*(((-5--5)+(90.12--5))+90.12))))-(-5+-5)))*-5)))/-5)--5)+(-5*(((90.12*(90.12-(-5/-5)))*(90.12-(90.12/(-5*90.12))))-(-5/-5)))))</f>
        <v>3643609.5798400003</v>
      </c>
      <c r="C19013" t="n" s="0">
        <v>3643609.5798400007</v>
      </c>
    </row>
    <row r="19014">
      <c r="A19014" t="n" s="0">
        <v>90.13</v>
      </c>
      <c r="B19014" t="n" s="0">
        <f>(-5-((((-5*(-5/((-5/(((-5*(90.13--5))-(-5+((-5*90.13)*(((-5--5)+(90.13--5))+90.13))))-(-5+-5)))*-5)))/-5)--5)+(-5*(((90.13*(90.13-(-5/-5)))*(90.13-(90.13/(-5*90.13))))-(-5/-5)))))</f>
        <v>3644824.382185</v>
      </c>
      <c r="C19014" t="n" s="0">
        <v>3644824.3821849995</v>
      </c>
    </row>
    <row r="19015">
      <c r="A19015" t="n" s="0">
        <v>90.14</v>
      </c>
      <c r="B19015" t="n" s="0">
        <f>(-5-((((-5*(-5/((-5/(((-5*(90.14--5))-(-5+((-5*90.14)*(((-5--5)+(90.14--5))+90.14))))-(-5+-5)))*-5)))/-5)--5)+(-5*(((90.14*(90.14-(-5/-5)))*(90.14-(90.14/(-5*90.14))))-(-5/-5)))))</f>
        <v>3646039.45452</v>
      </c>
      <c r="C19015" t="n" s="0">
        <v>3646039.45452</v>
      </c>
    </row>
    <row r="19016">
      <c r="A19016" t="n" s="0">
        <v>90.15</v>
      </c>
      <c r="B19016" t="n" s="0">
        <f>(-5-((((-5*(-5/((-5/(((-5*(90.15--5))-(-5+((-5*90.15)*(((-5--5)+(90.15--5))+90.15))))-(-5+-5)))*-5)))/-5)--5)+(-5*(((90.15*(90.15-(-5/-5)))*(90.15-(90.15/(-5*90.15))))-(-5/-5)))))</f>
        <v>3647254.796875</v>
      </c>
      <c r="C19016" t="n" s="0">
        <v>3647254.796875001</v>
      </c>
    </row>
    <row r="19017">
      <c r="A19017" t="n" s="0">
        <v>90.16</v>
      </c>
      <c r="B19017" t="n" s="0">
        <f>(-5-((((-5*(-5/((-5/(((-5*(90.16--5))-(-5+((-5*90.16)*(((-5--5)+(90.16--5))+90.16))))-(-5+-5)))*-5)))/-5)--5)+(-5*(((90.16*(90.16-(-5/-5)))*(90.16-(90.16/(-5*90.16))))-(-5/-5)))))</f>
        <v>3648470.40928</v>
      </c>
      <c r="C19017" t="n" s="0">
        <v>3648470.4092799993</v>
      </c>
    </row>
    <row r="19018">
      <c r="A19018" t="n" s="0">
        <v>90.17</v>
      </c>
      <c r="B19018" t="n" s="0">
        <f>(-5-((((-5*(-5/((-5/(((-5*(90.17--5))-(-5+((-5*90.17)*(((-5--5)+(90.17--5))+90.17))))-(-5+-5)))*-5)))/-5)--5)+(-5*(((90.17*(90.17-(-5/-5)))*(90.17-(90.17/(-5*90.17))))-(-5/-5)))))</f>
        <v>3649686.2917649997</v>
      </c>
      <c r="C19018" t="n" s="0">
        <v>3649686.2917649997</v>
      </c>
    </row>
    <row r="19019">
      <c r="A19019" t="n" s="0">
        <v>90.18</v>
      </c>
      <c r="B19019" t="n" s="0">
        <f>(-5-((((-5*(-5/((-5/(((-5*(90.18--5))-(-5+((-5*90.18)*(((-5--5)+(90.18--5))+90.18))))-(-5+-5)))*-5)))/-5)--5)+(-5*(((90.18*(90.18-(-5/-5)))*(90.18-(90.18/(-5*90.18))))-(-5/-5)))))</f>
        <v>3650902.4443599996</v>
      </c>
      <c r="C19019" t="n" s="0">
        <v>3650902.444360001</v>
      </c>
    </row>
    <row r="19020">
      <c r="A19020" t="n" s="0">
        <v>90.19</v>
      </c>
      <c r="B19020" t="n" s="0">
        <f>(-5-((((-5*(-5/((-5/(((-5*(90.19--5))-(-5+((-5*90.19)*(((-5--5)+(90.19--5))+90.19))))-(-5+-5)))*-5)))/-5)--5)+(-5*(((90.19*(90.19-(-5/-5)))*(90.19-(90.19/(-5*90.19))))-(-5/-5)))))</f>
        <v>3652118.867095</v>
      </c>
      <c r="C19020" t="n" s="0">
        <v>3652118.867094999</v>
      </c>
    </row>
    <row r="19021">
      <c r="A19021" t="n" s="0">
        <v>90.2</v>
      </c>
      <c r="B19021" t="n" s="0">
        <f>(-5-((((-5*(-5/((-5/(((-5*(90.2--5))-(-5+((-5*90.2)*(((-5--5)+(90.2--5))+90.2))))-(-5+-5)))*-5)))/-5)--5)+(-5*(((90.2*(90.2-(-5/-5)))*(90.2-(90.2/(-5*90.2))))-(-5/-5)))))</f>
        <v>3653335.56</v>
      </c>
      <c r="C19021" t="n" s="0">
        <v>3653335.5600000005</v>
      </c>
    </row>
    <row r="19022">
      <c r="A19022" t="n" s="0">
        <v>90.21</v>
      </c>
      <c r="B19022" t="n" s="0">
        <f>(-5-((((-5*(-5/((-5/(((-5*(90.21--5))-(-5+((-5*90.21)*(((-5--5)+(90.21--5))+90.21))))-(-5+-5)))*-5)))/-5)--5)+(-5*(((90.21*(90.21-(-5/-5)))*(90.21-(90.21/(-5*90.21))))-(-5/-5)))))</f>
        <v>3654552.523105</v>
      </c>
      <c r="C19022" t="n" s="0">
        <v>3654552.5231049987</v>
      </c>
    </row>
    <row r="19023">
      <c r="A19023" t="n" s="0">
        <v>90.22</v>
      </c>
      <c r="B19023" t="n" s="0">
        <f>(-5-((((-5*(-5/((-5/(((-5*(90.22--5))-(-5+((-5*90.22)*(((-5--5)+(90.22--5))+90.22))))-(-5+-5)))*-5)))/-5)--5)+(-5*(((90.22*(90.22-(-5/-5)))*(90.22-(90.22/(-5*90.22))))-(-5/-5)))))</f>
        <v>3655769.75644</v>
      </c>
      <c r="C19023" t="n" s="0">
        <v>3655769.75644</v>
      </c>
    </row>
    <row r="19024">
      <c r="A19024" t="n" s="0">
        <v>90.23</v>
      </c>
      <c r="B19024" t="n" s="0">
        <f>(-5-((((-5*(-5/((-5/(((-5*(90.23--5))-(-5+((-5*90.23)*(((-5--5)+(90.23--5))+90.23))))-(-5+-5)))*-5)))/-5)--5)+(-5*(((90.23*(90.23-(-5/-5)))*(90.23-(90.23/(-5*90.23))))-(-5/-5)))))</f>
        <v>3656987.2600350003</v>
      </c>
      <c r="C19024" t="n" s="0">
        <v>3656987.2600350007</v>
      </c>
    </row>
    <row r="19025">
      <c r="A19025" t="n" s="0">
        <v>90.24</v>
      </c>
      <c r="B19025" t="n" s="0">
        <f>(-5-((((-5*(-5/((-5/(((-5*(90.24--5))-(-5+((-5*90.24)*(((-5--5)+(90.24--5))+90.24))))-(-5+-5)))*-5)))/-5)--5)+(-5*(((90.24*(90.24-(-5/-5)))*(90.24-(90.24/(-5*90.24))))-(-5/-5)))))</f>
        <v>3658205.0339200003</v>
      </c>
      <c r="C19025" t="n" s="0">
        <v>3658205.0339200003</v>
      </c>
    </row>
    <row r="19026">
      <c r="A19026" t="n" s="0">
        <v>90.25</v>
      </c>
      <c r="B19026" t="n" s="0">
        <f>(-5-((((-5*(-5/((-5/(((-5*(90.25--5))-(-5+((-5*90.25)*(((-5--5)+(90.25--5))+90.25))))-(-5+-5)))*-5)))/-5)--5)+(-5*(((90.25*(90.25-(-5/-5)))*(90.25-(90.25/(-5*90.25))))-(-5/-5)))))</f>
        <v>3659423.078125</v>
      </c>
      <c r="C19026" t="n" s="0">
        <v>3659423.078125</v>
      </c>
    </row>
    <row r="19027">
      <c r="A19027" t="n" s="0">
        <v>90.26</v>
      </c>
      <c r="B19027" t="n" s="0">
        <f>(-5-((((-5*(-5/((-5/(((-5*(90.26--5))-(-5+((-5*90.26)*(((-5--5)+(90.26--5))+90.26))))-(-5+-5)))*-5)))/-5)--5)+(-5*(((90.26*(90.26-(-5/-5)))*(90.26-(90.26/(-5*90.26))))-(-5/-5)))))</f>
        <v>3660641.39268</v>
      </c>
      <c r="C19027" t="n" s="0">
        <v>3660641.3926800005</v>
      </c>
    </row>
    <row r="19028">
      <c r="A19028" t="n" s="0">
        <v>90.27</v>
      </c>
      <c r="B19028" t="n" s="0">
        <f>(-5-((((-5*(-5/((-5/(((-5*(90.27--5))-(-5+((-5*90.27)*(((-5--5)+(90.27--5))+90.27))))-(-5+-5)))*-5)))/-5)--5)+(-5*(((90.27*(90.27-(-5/-5)))*(90.27-(90.27/(-5*90.27))))-(-5/-5)))))</f>
        <v>3661859.9776149997</v>
      </c>
      <c r="C19028" t="n" s="0">
        <v>3661859.9776149997</v>
      </c>
    </row>
    <row r="19029">
      <c r="A19029" t="n" s="0">
        <v>90.28</v>
      </c>
      <c r="B19029" t="n" s="0">
        <f>(-5-((((-5*(-5/((-5/(((-5*(90.28--5))-(-5+((-5*90.28)*(((-5--5)+(90.28--5))+90.28))))-(-5+-5)))*-5)))/-5)--5)+(-5*(((90.28*(90.28-(-5/-5)))*(90.28-(90.28/(-5*90.28))))-(-5/-5)))))</f>
        <v>3663078.83296</v>
      </c>
      <c r="C19029" t="n" s="0">
        <v>3663078.8329600003</v>
      </c>
    </row>
    <row r="19030">
      <c r="A19030" t="n" s="0">
        <v>90.29</v>
      </c>
      <c r="B19030" t="n" s="0">
        <f>(-5-((((-5*(-5/((-5/(((-5*(90.29--5))-(-5+((-5*90.29)*(((-5--5)+(90.29--5))+90.29))))-(-5+-5)))*-5)))/-5)--5)+(-5*(((90.29*(90.29-(-5/-5)))*(90.29-(90.29/(-5*90.29))))-(-5/-5)))))</f>
        <v>3664297.958745</v>
      </c>
      <c r="C19030" t="n" s="0">
        <v>3664297.958745001</v>
      </c>
    </row>
    <row r="19031">
      <c r="A19031" t="n" s="0">
        <v>90.3</v>
      </c>
      <c r="B19031" t="n" s="0">
        <f>(-5-((((-5*(-5/((-5/(((-5*(90.3--5))-(-5+((-5*90.3)*(((-5--5)+(90.3--5))+90.3))))-(-5+-5)))*-5)))/-5)--5)+(-5*(((90.3*(90.3-(-5/-5)))*(90.3-(90.3/(-5*90.3))))-(-5/-5)))))</f>
        <v>3665517.355</v>
      </c>
      <c r="C19031" t="n" s="0">
        <v>3665517.3549999995</v>
      </c>
    </row>
    <row r="19032">
      <c r="A19032" t="n" s="0">
        <v>90.31</v>
      </c>
      <c r="B19032" t="n" s="0">
        <f>(-5-((((-5*(-5/((-5/(((-5*(90.31--5))-(-5+((-5*90.31)*(((-5--5)+(90.31--5))+90.31))))-(-5+-5)))*-5)))/-5)--5)+(-5*(((90.31*(90.31-(-5/-5)))*(90.31-(90.31/(-5*90.31))))-(-5/-5)))))</f>
        <v>3666737.0217549996</v>
      </c>
      <c r="C19032" t="n" s="0">
        <v>3666737.0217550006</v>
      </c>
    </row>
    <row r="19033">
      <c r="A19033" t="n" s="0">
        <v>90.32</v>
      </c>
      <c r="B19033" t="n" s="0">
        <f>(-5-((((-5*(-5/((-5/(((-5*(90.32--5))-(-5+((-5*90.32)*(((-5--5)+(90.32--5))+90.32))))-(-5+-5)))*-5)))/-5)--5)+(-5*(((90.32*(90.32-(-5/-5)))*(90.32-(90.32/(-5*90.32))))-(-5/-5)))))</f>
        <v>3667956.95904</v>
      </c>
      <c r="C19033" t="n" s="0">
        <v>3667956.959039999</v>
      </c>
    </row>
    <row r="19034">
      <c r="A19034" t="n" s="0">
        <v>90.33</v>
      </c>
      <c r="B19034" t="n" s="0">
        <f>(-5-((((-5*(-5/((-5/(((-5*(90.33--5))-(-5+((-5*90.33)*(((-5--5)+(90.33--5))+90.33))))-(-5+-5)))*-5)))/-5)--5)+(-5*(((90.33*(90.33-(-5/-5)))*(90.33-(90.33/(-5*90.33))))-(-5/-5)))))</f>
        <v>3669177.1668849997</v>
      </c>
      <c r="C19034" t="n" s="0">
        <v>3669177.166885</v>
      </c>
    </row>
    <row r="19035">
      <c r="A19035" t="n" s="0">
        <v>90.34</v>
      </c>
      <c r="B19035" t="n" s="0">
        <f>(-5-((((-5*(-5/((-5/(((-5*(90.34--5))-(-5+((-5*90.34)*(((-5--5)+(90.34--5))+90.34))))-(-5+-5)))*-5)))/-5)--5)+(-5*(((90.34*(90.34-(-5/-5)))*(90.34-(90.34/(-5*90.34))))-(-5/-5)))))</f>
        <v>3670397.64532</v>
      </c>
      <c r="C19035" t="n" s="0">
        <v>3670397.64532</v>
      </c>
    </row>
    <row r="19036">
      <c r="A19036" t="n" s="0">
        <v>90.35</v>
      </c>
      <c r="B19036" t="n" s="0">
        <f>(-5-((((-5*(-5/((-5/(((-5*(90.35--5))-(-5+((-5*90.35)*(((-5--5)+(90.35--5))+90.35))))-(-5+-5)))*-5)))/-5)--5)+(-5*(((90.35*(90.35-(-5/-5)))*(90.35-(90.35/(-5*90.35))))-(-5/-5)))))</f>
        <v>3671618.394375</v>
      </c>
      <c r="C19036" t="n" s="0">
        <v>3671618.394374999</v>
      </c>
    </row>
    <row r="19037">
      <c r="A19037" t="n" s="0">
        <v>90.36</v>
      </c>
      <c r="B19037" t="n" s="0">
        <f>(-5-((((-5*(-5/((-5/(((-5*(90.36--5))-(-5+((-5*90.36)*(((-5--5)+(90.36--5))+90.36))))-(-5+-5)))*-5)))/-5)--5)+(-5*(((90.36*(90.36-(-5/-5)))*(90.36-(90.36/(-5*90.36))))-(-5/-5)))))</f>
        <v>3672839.4140799996</v>
      </c>
      <c r="C19037" t="n" s="0">
        <v>3672839.41408</v>
      </c>
    </row>
    <row r="19038">
      <c r="A19038" t="n" s="0">
        <v>90.37</v>
      </c>
      <c r="B19038" t="n" s="0">
        <f>(-5-((((-5*(-5/((-5/(((-5*(90.37--5))-(-5+((-5*90.37)*(((-5--5)+(90.37--5))+90.37))))-(-5+-5)))*-5)))/-5)--5)+(-5*(((90.37*(90.37-(-5/-5)))*(90.37-(90.37/(-5*90.37))))-(-5/-5)))))</f>
        <v>3674060.704465</v>
      </c>
      <c r="C19038" t="n" s="0">
        <v>3674060.7044650004</v>
      </c>
    </row>
    <row r="19039">
      <c r="A19039" t="n" s="0">
        <v>90.38</v>
      </c>
      <c r="B19039" t="n" s="0">
        <f>(-5-((((-5*(-5/((-5/(((-5*(90.38--5))-(-5+((-5*90.38)*(((-5--5)+(90.38--5))+90.38))))-(-5+-5)))*-5)))/-5)--5)+(-5*(((90.38*(90.38-(-5/-5)))*(90.38-(90.38/(-5*90.38))))-(-5/-5)))))</f>
        <v>3675282.26556</v>
      </c>
      <c r="C19039" t="n" s="0">
        <v>3675282.2655599997</v>
      </c>
    </row>
    <row r="19040">
      <c r="A19040" t="n" s="0">
        <v>90.39</v>
      </c>
      <c r="B19040" t="n" s="0">
        <f>(-5-((((-5*(-5/((-5/(((-5*(90.39--5))-(-5+((-5*90.39)*(((-5--5)+(90.39--5))+90.39))))-(-5+-5)))*-5)))/-5)--5)+(-5*(((90.39*(90.39-(-5/-5)))*(90.39-(90.39/(-5*90.39))))-(-5/-5)))))</f>
        <v>3676504.097395</v>
      </c>
      <c r="C19040" t="n" s="0">
        <v>3676504.097395</v>
      </c>
    </row>
    <row r="19041">
      <c r="A19041" t="n" s="0">
        <v>90.4</v>
      </c>
      <c r="B19041" t="n" s="0">
        <f>(-5-((((-5*(-5/((-5/(((-5*(90.4--5))-(-5+((-5*90.4)*(((-5--5)+(90.4--5))+90.4))))-(-5+-5)))*-5)))/-5)--5)+(-5*(((90.4*(90.4-(-5/-5)))*(90.4-(90.4/(-5*90.4))))-(-5/-5)))))</f>
        <v>3677726.1999999997</v>
      </c>
      <c r="C19041" t="n" s="0">
        <v>3677726.2000000007</v>
      </c>
    </row>
    <row r="19042">
      <c r="A19042" t="n" s="0">
        <v>90.41</v>
      </c>
      <c r="B19042" t="n" s="0">
        <f>(-5-((((-5*(-5/((-5/(((-5*(90.41--5))-(-5+((-5*90.41)*(((-5--5)+(90.41--5))+90.41))))-(-5+-5)))*-5)))/-5)--5)+(-5*(((90.41*(90.41-(-5/-5)))*(90.41-(90.41/(-5*90.41))))-(-5/-5)))))</f>
        <v>3678948.573405</v>
      </c>
      <c r="C19042" t="n" s="0">
        <v>3678948.5734049994</v>
      </c>
    </row>
    <row r="19043">
      <c r="A19043" t="n" s="0">
        <v>90.42</v>
      </c>
      <c r="B19043" t="n" s="0">
        <f>(-5-((((-5*(-5/((-5/(((-5*(90.42--5))-(-5+((-5*90.42)*(((-5--5)+(90.42--5))+90.42))))-(-5+-5)))*-5)))/-5)--5)+(-5*(((90.42*(90.42-(-5/-5)))*(90.42-(90.42/(-5*90.42))))-(-5/-5)))))</f>
        <v>3680171.21764</v>
      </c>
      <c r="C19043" t="n" s="0">
        <v>3680171.21764</v>
      </c>
    </row>
    <row r="19044">
      <c r="A19044" t="n" s="0">
        <v>90.43</v>
      </c>
      <c r="B19044" t="n" s="0">
        <f>(-5-((((-5*(-5/((-5/(((-5*(90.43--5))-(-5+((-5*90.43)*(((-5--5)+(90.43--5))+90.43))))-(-5+-5)))*-5)))/-5)--5)+(-5*(((90.43*(90.43-(-5/-5)))*(90.43-(90.43/(-5*90.43))))-(-5/-5)))))</f>
        <v>3681394.132735</v>
      </c>
      <c r="C19044" t="n" s="0">
        <v>3681394.132735001</v>
      </c>
    </row>
    <row r="19045">
      <c r="A19045" t="n" s="0">
        <v>90.44</v>
      </c>
      <c r="B19045" t="n" s="0">
        <f>(-5-((((-5*(-5/((-5/(((-5*(90.44--5))-(-5+((-5*90.44)*(((-5--5)+(90.44--5))+90.44))))-(-5+-5)))*-5)))/-5)--5)+(-5*(((90.44*(90.44-(-5/-5)))*(90.44-(90.44/(-5*90.44))))-(-5/-5)))))</f>
        <v>3682617.31872</v>
      </c>
      <c r="C19045" t="n" s="0">
        <v>3682617.3187199994</v>
      </c>
    </row>
    <row r="19046">
      <c r="A19046" t="n" s="0">
        <v>90.45</v>
      </c>
      <c r="B19046" t="n" s="0">
        <f>(-5-((((-5*(-5/((-5/(((-5*(90.45--5))-(-5+((-5*90.45)*(((-5--5)+(90.45--5))+90.45))))-(-5+-5)))*-5)))/-5)--5)+(-5*(((90.45*(90.45-(-5/-5)))*(90.45-(90.45/(-5*90.45))))-(-5/-5)))))</f>
        <v>3683840.7756250002</v>
      </c>
      <c r="C19046" t="n" s="0">
        <v>3683840.7756250007</v>
      </c>
    </row>
    <row r="19047">
      <c r="A19047" t="n" s="0">
        <v>90.46</v>
      </c>
      <c r="B19047" t="n" s="0">
        <f>(-5-((((-5*(-5/((-5/(((-5*(90.46--5))-(-5+((-5*90.46)*(((-5--5)+(90.46--5))+90.46))))-(-5+-5)))*-5)))/-5)--5)+(-5*(((90.46*(90.46-(-5/-5)))*(90.46-(90.46/(-5*90.46))))-(-5/-5)))))</f>
        <v>3685064.50348</v>
      </c>
      <c r="C19047" t="n" s="0">
        <v>3685064.503479999</v>
      </c>
    </row>
    <row r="19048">
      <c r="A19048" t="n" s="0">
        <v>90.47</v>
      </c>
      <c r="B19048" t="n" s="0">
        <f>(-5-((((-5*(-5/((-5/(((-5*(90.47--5))-(-5+((-5*90.47)*(((-5--5)+(90.47--5))+90.47))))-(-5+-5)))*-5)))/-5)--5)+(-5*(((90.47*(90.47-(-5/-5)))*(90.47-(90.47/(-5*90.47))))-(-5/-5)))))</f>
        <v>3686288.502315</v>
      </c>
      <c r="C19048" t="n" s="0">
        <v>3686288.502315</v>
      </c>
    </row>
    <row r="19049">
      <c r="A19049" t="n" s="0">
        <v>90.48</v>
      </c>
      <c r="B19049" t="n" s="0">
        <f>(-5-((((-5*(-5/((-5/(((-5*(90.48--5))-(-5+((-5*90.48)*(((-5--5)+(90.48--5))+90.48))))-(-5+-5)))*-5)))/-5)--5)+(-5*(((90.48*(90.48-(-5/-5)))*(90.48-(90.48/(-5*90.48))))-(-5/-5)))))</f>
        <v>3687512.77216</v>
      </c>
      <c r="C19049" t="n" s="0">
        <v>3687512.77216</v>
      </c>
    </row>
    <row r="19050">
      <c r="A19050" t="n" s="0">
        <v>90.49</v>
      </c>
      <c r="B19050" t="n" s="0">
        <f>(-5-((((-5*(-5/((-5/(((-5*(90.49--5))-(-5+((-5*90.49)*(((-5--5)+(90.49--5))+90.49))))-(-5+-5)))*-5)))/-5)--5)+(-5*(((90.49*(90.49-(-5/-5)))*(90.49-(90.49/(-5*90.49))))-(-5/-5)))))</f>
        <v>3688737.313045</v>
      </c>
      <c r="C19050" t="n" s="0">
        <v>3688737.3130449993</v>
      </c>
    </row>
    <row r="19051">
      <c r="A19051" t="n" s="0">
        <v>90.5</v>
      </c>
      <c r="B19051" t="n" s="0">
        <f>(-5-((((-5*(-5/((-5/(((-5*(90.5--5))-(-5+((-5*90.5)*(((-5--5)+(90.5--5))+90.5))))-(-5+-5)))*-5)))/-5)--5)+(-5*(((90.5*(90.5-(-5/-5)))*(90.5-(90.5/(-5*90.5))))-(-5/-5)))))</f>
        <v>3689962.125</v>
      </c>
      <c r="C19051" t="n" s="0">
        <v>3689962.125</v>
      </c>
    </row>
    <row r="19052">
      <c r="A19052" t="n" s="0">
        <v>90.51</v>
      </c>
      <c r="B19052" t="n" s="0">
        <f>(-5-((((-5*(-5/((-5/(((-5*(90.51--5))-(-5+((-5*90.51)*(((-5--5)+(90.51--5))+90.51))))-(-5+-5)))*-5)))/-5)--5)+(-5*(((90.51*(90.51-(-5/-5)))*(90.51-(90.51/(-5*90.51))))-(-5/-5)))))</f>
        <v>3691187.208055</v>
      </c>
      <c r="C19052" t="n" s="0">
        <v>3691187.2080550008</v>
      </c>
    </row>
    <row r="19053">
      <c r="A19053" t="n" s="0">
        <v>90.52</v>
      </c>
      <c r="B19053" t="n" s="0">
        <f>(-5-((((-5*(-5/((-5/(((-5*(90.52--5))-(-5+((-5*90.52)*(((-5--5)+(90.52--5))+90.52))))-(-5+-5)))*-5)))/-5)--5)+(-5*(((90.52*(90.52-(-5/-5)))*(90.52-(90.52/(-5*90.52))))-(-5/-5)))))</f>
        <v>3692412.56224</v>
      </c>
      <c r="C19053" t="n" s="0">
        <v>3692412.56224</v>
      </c>
    </row>
    <row r="19054">
      <c r="A19054" t="n" s="0">
        <v>90.53</v>
      </c>
      <c r="B19054" t="n" s="0">
        <f>(-5-((((-5*(-5/((-5/(((-5*(90.53--5))-(-5+((-5*90.53)*(((-5--5)+(90.53--5))+90.53))))-(-5+-5)))*-5)))/-5)--5)+(-5*(((90.53*(90.53-(-5/-5)))*(90.53-(90.53/(-5*90.53))))-(-5/-5)))))</f>
        <v>3693638.1875850004</v>
      </c>
      <c r="C19054" t="n" s="0">
        <v>3693638.187585</v>
      </c>
    </row>
    <row r="19055">
      <c r="A19055" t="n" s="0">
        <v>90.54</v>
      </c>
      <c r="B19055" t="n" s="0">
        <f>(-5-((((-5*(-5/((-5/(((-5*(90.54--5))-(-5+((-5*90.54)*(((-5--5)+(90.54--5))+90.54))))-(-5+-5)))*-5)))/-5)--5)+(-5*(((90.54*(90.54-(-5/-5)))*(90.54-(90.54/(-5*90.54))))-(-5/-5)))))</f>
        <v>3694864.08412</v>
      </c>
      <c r="C19055" t="n" s="0">
        <v>3694864.0841200007</v>
      </c>
    </row>
    <row r="19056">
      <c r="A19056" t="n" s="0">
        <v>90.55</v>
      </c>
      <c r="B19056" t="n" s="0">
        <f>(-5-((((-5*(-5/((-5/(((-5*(90.55--5))-(-5+((-5*90.55)*(((-5--5)+(90.55--5))+90.55))))-(-5+-5)))*-5)))/-5)--5)+(-5*(((90.55*(90.55-(-5/-5)))*(90.55-(90.55/(-5*90.55))))-(-5/-5)))))</f>
        <v>3696090.251875</v>
      </c>
      <c r="C19056" t="n" s="0">
        <v>3696090.2518749996</v>
      </c>
    </row>
    <row r="19057">
      <c r="A19057" t="n" s="0">
        <v>90.56</v>
      </c>
      <c r="B19057" t="n" s="0">
        <f>(-5-((((-5*(-5/((-5/(((-5*(90.56--5))-(-5+((-5*90.56)*(((-5--5)+(90.56--5))+90.56))))-(-5+-5)))*-5)))/-5)--5)+(-5*(((90.56*(90.56-(-5/-5)))*(90.56-(90.56/(-5*90.56))))-(-5/-5)))))</f>
        <v>3697316.6908799997</v>
      </c>
      <c r="C19057" t="n" s="0">
        <v>3697316.6908800006</v>
      </c>
    </row>
    <row r="19058">
      <c r="A19058" t="n" s="0">
        <v>90.57</v>
      </c>
      <c r="B19058" t="n" s="0">
        <f>(-5-((((-5*(-5/((-5/(((-5*(90.57--5))-(-5+((-5*90.57)*(((-5--5)+(90.57--5))+90.57))))-(-5+-5)))*-5)))/-5)--5)+(-5*(((90.57*(90.57-(-5/-5)))*(90.57-(90.57/(-5*90.57))))-(-5/-5)))))</f>
        <v>3698543.401165</v>
      </c>
      <c r="C19058" t="n" s="0">
        <v>3698543.4011649988</v>
      </c>
    </row>
    <row r="19059">
      <c r="A19059" t="n" s="0">
        <v>90.58</v>
      </c>
      <c r="B19059" t="n" s="0">
        <f>(-5-((((-5*(-5/((-5/(((-5*(90.58--5))-(-5+((-5*90.58)*(((-5--5)+(90.58--5))+90.58))))-(-5+-5)))*-5)))/-5)--5)+(-5*(((90.58*(90.58-(-5/-5)))*(90.58-(90.58/(-5*90.58))))-(-5/-5)))))</f>
        <v>3699770.38276</v>
      </c>
      <c r="C19059" t="n" s="0">
        <v>3699770.38276</v>
      </c>
    </row>
    <row r="19060">
      <c r="A19060" t="n" s="0">
        <v>90.59</v>
      </c>
      <c r="B19060" t="n" s="0">
        <f>(-5-((((-5*(-5/((-5/(((-5*(90.59--5))-(-5+((-5*90.59)*(((-5--5)+(90.59--5))+90.59))))-(-5+-5)))*-5)))/-5)--5)+(-5*(((90.59*(90.59-(-5/-5)))*(90.59-(90.59/(-5*90.59))))-(-5/-5)))))</f>
        <v>3700997.6356949997</v>
      </c>
      <c r="C19060" t="n" s="0">
        <v>3700997.6356950006</v>
      </c>
    </row>
    <row r="19061">
      <c r="A19061" t="n" s="0">
        <v>90.6</v>
      </c>
      <c r="B19061" t="n" s="0">
        <f>(-5-((((-5*(-5/((-5/(((-5*(90.6--5))-(-5+((-5*90.6)*(((-5--5)+(90.6--5))+90.6))))-(-5+-5)))*-5)))/-5)--5)+(-5*(((90.6*(90.6-(-5/-5)))*(90.6-(90.6/(-5*90.6))))-(-5/-5)))))</f>
        <v>3702225.16</v>
      </c>
      <c r="C19061" t="n" s="0">
        <v>3702225.1599999988</v>
      </c>
    </row>
    <row r="19062">
      <c r="A19062" t="n" s="0">
        <v>90.61</v>
      </c>
      <c r="B19062" t="n" s="0">
        <f>(-5-((((-5*(-5/((-5/(((-5*(90.61--5))-(-5+((-5*90.61)*(((-5--5)+(90.61--5))+90.61))))-(-5+-5)))*-5)))/-5)--5)+(-5*(((90.61*(90.61-(-5/-5)))*(90.61-(90.61/(-5*90.61))))-(-5/-5)))))</f>
        <v>3703452.955705</v>
      </c>
      <c r="C19062" t="n" s="0">
        <v>3703452.955705</v>
      </c>
    </row>
    <row r="19063">
      <c r="A19063" t="n" s="0">
        <v>90.62</v>
      </c>
      <c r="B19063" t="n" s="0">
        <f>(-5-((((-5*(-5/((-5/(((-5*(90.62--5))-(-5+((-5*90.62)*(((-5--5)+(90.62--5))+90.62))))-(-5+-5)))*-5)))/-5)--5)+(-5*(((90.62*(90.62-(-5/-5)))*(90.62-(90.62/(-5*90.62))))-(-5/-5)))))</f>
        <v>3704681.0228399998</v>
      </c>
      <c r="C19063" t="n" s="0">
        <v>3704681.0228400007</v>
      </c>
    </row>
    <row r="19064">
      <c r="A19064" t="n" s="0">
        <v>90.63</v>
      </c>
      <c r="B19064" t="n" s="0">
        <f>(-5-((((-5*(-5/((-5/(((-5*(90.63--5))-(-5+((-5*90.63)*(((-5--5)+(90.63--5))+90.63))))-(-5+-5)))*-5)))/-5)--5)+(-5*(((90.63*(90.63-(-5/-5)))*(90.63-(90.63/(-5*90.63))))-(-5/-5)))))</f>
        <v>3705909.361435</v>
      </c>
      <c r="C19064" t="n" s="0">
        <v>3705909.3614349994</v>
      </c>
    </row>
    <row r="19065">
      <c r="A19065" t="n" s="0">
        <v>90.64</v>
      </c>
      <c r="B19065" t="n" s="0">
        <f>(-5-((((-5*(-5/((-5/(((-5*(90.64--5))-(-5+((-5*90.64)*(((-5--5)+(90.64--5))+90.64))))-(-5+-5)))*-5)))/-5)--5)+(-5*(((90.64*(90.64-(-5/-5)))*(90.64-(90.64/(-5*90.64))))-(-5/-5)))))</f>
        <v>3707137.97152</v>
      </c>
      <c r="C19065" t="n" s="0">
        <v>3707137.9715199997</v>
      </c>
    </row>
    <row r="19066">
      <c r="A19066" t="n" s="0">
        <v>90.65</v>
      </c>
      <c r="B19066" t="n" s="0">
        <f>(-5-((((-5*(-5/((-5/(((-5*(90.65--5))-(-5+((-5*90.65)*(((-5--5)+(90.65--5))+90.65))))-(-5+-5)))*-5)))/-5)--5)+(-5*(((90.65*(90.65-(-5/-5)))*(90.65-(90.65/(-5*90.65))))-(-5/-5)))))</f>
        <v>3708366.853125</v>
      </c>
      <c r="C19066" t="n" s="0">
        <v>3708366.853125001</v>
      </c>
    </row>
    <row r="19067">
      <c r="A19067" t="n" s="0">
        <v>90.66</v>
      </c>
      <c r="B19067" t="n" s="0">
        <f>(-5-((((-5*(-5/((-5/(((-5*(90.66--5))-(-5+((-5*90.66)*(((-5--5)+(90.66--5))+90.66))))-(-5+-5)))*-5)))/-5)--5)+(-5*(((90.66*(90.66-(-5/-5)))*(90.66-(90.66/(-5*90.66))))-(-5/-5)))))</f>
        <v>3709596.0062800003</v>
      </c>
      <c r="C19067" t="n" s="0">
        <v>3709596.0062799994</v>
      </c>
    </row>
    <row r="19068">
      <c r="A19068" t="n" s="0">
        <v>90.67</v>
      </c>
      <c r="B19068" t="n" s="0">
        <f>(-5-((((-5*(-5/((-5/(((-5*(90.67--5))-(-5+((-5*90.67)*(((-5--5)+(90.67--5))+90.67))))-(-5+-5)))*-5)))/-5)--5)+(-5*(((90.67*(90.67-(-5/-5)))*(90.67-(90.67/(-5*90.67))))-(-5/-5)))))</f>
        <v>3710825.4310149997</v>
      </c>
      <c r="C19068" t="n" s="0">
        <v>3710825.4310149997</v>
      </c>
    </row>
    <row r="19069">
      <c r="A19069" t="n" s="0">
        <v>90.68</v>
      </c>
      <c r="B19069" t="n" s="0">
        <f>(-5-((((-5*(-5/((-5/(((-5*(90.68--5))-(-5+((-5*90.68)*(((-5--5)+(90.68--5))+90.68))))-(-5+-5)))*-5)))/-5)--5)+(-5*(((90.68*(90.68-(-5/-5)))*(90.68-(90.68/(-5*90.68))))-(-5/-5)))))</f>
        <v>3712055.1273600003</v>
      </c>
      <c r="C19069" t="n" s="0">
        <v>3712055.1273600007</v>
      </c>
    </row>
    <row r="19070">
      <c r="A19070" t="n" s="0">
        <v>90.69</v>
      </c>
      <c r="B19070" t="n" s="0">
        <f>(-5-((((-5*(-5/((-5/(((-5*(90.69--5))-(-5+((-5*90.69)*(((-5--5)+(90.69--5))+90.69))))-(-5+-5)))*-5)))/-5)--5)+(-5*(((90.69*(90.69-(-5/-5)))*(90.69-(90.69/(-5*90.69))))-(-5/-5)))))</f>
        <v>3713285.095345</v>
      </c>
      <c r="C19070" t="n" s="0">
        <v>3713285.0953449993</v>
      </c>
    </row>
    <row r="19071">
      <c r="A19071" t="n" s="0">
        <v>90.7</v>
      </c>
      <c r="B19071" t="n" s="0">
        <f>(-5-((((-5*(-5/((-5/(((-5*(90.7--5))-(-5+((-5*90.7)*(((-5--5)+(90.7--5))+90.7))))-(-5+-5)))*-5)))/-5)--5)+(-5*(((90.7*(90.7-(-5/-5)))*(90.7-(90.7/(-5*90.7))))-(-5/-5)))))</f>
        <v>3714515.335</v>
      </c>
      <c r="C19071" t="n" s="0">
        <v>3714515.3350000004</v>
      </c>
    </row>
    <row r="19072">
      <c r="A19072" t="n" s="0">
        <v>90.71</v>
      </c>
      <c r="B19072" t="n" s="0">
        <f>(-5-((((-5*(-5/((-5/(((-5*(90.71--5))-(-5+((-5*90.71)*(((-5--5)+(90.71--5))+90.71))))-(-5+-5)))*-5)))/-5)--5)+(-5*(((90.71*(90.71-(-5/-5)))*(90.71-(90.71/(-5*90.71))))-(-5/-5)))))</f>
        <v>3715745.846355</v>
      </c>
      <c r="C19072" t="n" s="0">
        <v>3715745.846354999</v>
      </c>
    </row>
    <row r="19073">
      <c r="A19073" t="n" s="0">
        <v>90.72</v>
      </c>
      <c r="B19073" t="n" s="0">
        <f>(-5-((((-5*(-5/((-5/(((-5*(90.72--5))-(-5+((-5*90.72)*(((-5--5)+(90.72--5))+90.72))))-(-5+-5)))*-5)))/-5)--5)+(-5*(((90.72*(90.72-(-5/-5)))*(90.72-(90.72/(-5*90.72))))-(-5/-5)))))</f>
        <v>3716976.62944</v>
      </c>
      <c r="C19073" t="n" s="0">
        <v>3716976.62944</v>
      </c>
    </row>
    <row r="19074">
      <c r="A19074" t="n" s="0">
        <v>90.73</v>
      </c>
      <c r="B19074" t="n" s="0">
        <f>(-5-((((-5*(-5/((-5/(((-5*(90.73--5))-(-5+((-5*90.73)*(((-5--5)+(90.73--5))+90.73))))-(-5+-5)))*-5)))/-5)--5)+(-5*(((90.73*(90.73-(-5/-5)))*(90.73-(90.73/(-5*90.73))))-(-5/-5)))))</f>
        <v>3718207.684285</v>
      </c>
      <c r="C19074" t="n" s="0">
        <v>3718207.684285001</v>
      </c>
    </row>
    <row r="19075">
      <c r="A19075" t="n" s="0">
        <v>90.74</v>
      </c>
      <c r="B19075" t="n" s="0">
        <f>(-5-((((-5*(-5/((-5/(((-5*(90.74--5))-(-5+((-5*90.74)*(((-5--5)+(90.74--5))+90.74))))-(-5+-5)))*-5)))/-5)--5)+(-5*(((90.74*(90.74-(-5/-5)))*(90.74-(90.74/(-5*90.74))))-(-5/-5)))))</f>
        <v>3719439.0109200003</v>
      </c>
      <c r="C19075" t="n" s="0">
        <v>3719439.01092</v>
      </c>
    </row>
    <row r="19076">
      <c r="A19076" t="n" s="0">
        <v>90.75</v>
      </c>
      <c r="B19076" t="n" s="0">
        <f>(-5-((((-5*(-5/((-5/(((-5*(90.75--5))-(-5+((-5*90.75)*(((-5--5)+(90.75--5))+90.75))))-(-5+-5)))*-5)))/-5)--5)+(-5*(((90.75*(90.75-(-5/-5)))*(90.75-(90.75/(-5*90.75))))-(-5/-5)))))</f>
        <v>3720670.609375</v>
      </c>
      <c r="C19076" t="n" s="0">
        <v>3720670.609375</v>
      </c>
    </row>
    <row r="19077">
      <c r="A19077" t="n" s="0">
        <v>90.76</v>
      </c>
      <c r="B19077" t="n" s="0">
        <f>(-5-((((-5*(-5/((-5/(((-5*(90.76--5))-(-5+((-5*90.76)*(((-5--5)+(90.76--5))+90.76))))-(-5+-5)))*-5)))/-5)--5)+(-5*(((90.76*(90.76-(-5/-5)))*(90.76-(90.76/(-5*90.76))))-(-5/-5)))))</f>
        <v>3721902.47968</v>
      </c>
      <c r="C19077" t="n" s="0">
        <v>3721902.4796800003</v>
      </c>
    </row>
    <row r="19078">
      <c r="A19078" t="n" s="0">
        <v>90.77</v>
      </c>
      <c r="B19078" t="n" s="0">
        <f>(-5-((((-5*(-5/((-5/(((-5*(90.77--5))-(-5+((-5*90.77)*(((-5--5)+(90.77--5))+90.77))))-(-5+-5)))*-5)))/-5)--5)+(-5*(((90.77*(90.77-(-5/-5)))*(90.77-(90.77/(-5*90.77))))-(-5/-5)))))</f>
        <v>3723134.621865</v>
      </c>
      <c r="C19078" t="n" s="0">
        <v>3723134.6218649996</v>
      </c>
    </row>
    <row r="19079">
      <c r="A19079" t="n" s="0">
        <v>90.78</v>
      </c>
      <c r="B19079" t="n" s="0">
        <f>(-5-((((-5*(-5/((-5/(((-5*(90.78--5))-(-5+((-5*90.78)*(((-5--5)+(90.78--5))+90.78))))-(-5+-5)))*-5)))/-5)--5)+(-5*(((90.78*(90.78-(-5/-5)))*(90.78-(90.78/(-5*90.78))))-(-5/-5)))))</f>
        <v>3724367.03596</v>
      </c>
      <c r="C19079" t="n" s="0">
        <v>3724367.03596</v>
      </c>
    </row>
    <row r="19080">
      <c r="A19080" t="n" s="0">
        <v>90.79</v>
      </c>
      <c r="B19080" t="n" s="0">
        <f>(-5-((((-5*(-5/((-5/(((-5*(90.79--5))-(-5+((-5*90.79)*(((-5--5)+(90.79--5))+90.79))))-(-5+-5)))*-5)))/-5)--5)+(-5*(((90.79*(90.79-(-5/-5)))*(90.79-(90.79/(-5*90.79))))-(-5/-5)))))</f>
        <v>3725599.721995</v>
      </c>
      <c r="C19080" t="n" s="0">
        <v>3725599.7219950007</v>
      </c>
    </row>
    <row r="19081">
      <c r="A19081" t="n" s="0">
        <v>90.8</v>
      </c>
      <c r="B19081" t="n" s="0">
        <f>(-5-((((-5*(-5/((-5/(((-5*(90.8--5))-(-5+((-5*90.8)*(((-5--5)+(90.8--5))+90.8))))-(-5+-5)))*-5)))/-5)--5)+(-5*(((90.8*(90.8-(-5/-5)))*(90.8-(90.8/(-5*90.8))))-(-5/-5)))))</f>
        <v>3726832.68</v>
      </c>
      <c r="C19081" t="n" s="0">
        <v>3726832.6799999997</v>
      </c>
    </row>
    <row r="19082">
      <c r="A19082" t="n" s="0">
        <v>90.81</v>
      </c>
      <c r="B19082" t="n" s="0">
        <f>(-5-((((-5*(-5/((-5/(((-5*(90.81--5))-(-5+((-5*90.81)*(((-5--5)+(90.81--5))+90.81))))-(-5+-5)))*-5)))/-5)--5)+(-5*(((90.81*(90.81-(-5/-5)))*(90.81-(90.81/(-5*90.81))))-(-5/-5)))))</f>
        <v>3728065.910005</v>
      </c>
      <c r="C19082" t="n" s="0">
        <v>3728065.9100050004</v>
      </c>
    </row>
    <row r="19083">
      <c r="A19083" t="n" s="0">
        <v>90.82</v>
      </c>
      <c r="B19083" t="n" s="0">
        <f>(-5-((((-5*(-5/((-5/(((-5*(90.82--5))-(-5+((-5*90.82)*(((-5--5)+(90.82--5))+90.82))))-(-5+-5)))*-5)))/-5)--5)+(-5*(((90.82*(90.82-(-5/-5)))*(90.82-(90.82/(-5*90.82))))-(-5/-5)))))</f>
        <v>3729299.41204</v>
      </c>
      <c r="C19083" t="n" s="0">
        <v>3729299.4120399994</v>
      </c>
    </row>
    <row r="19084">
      <c r="A19084" t="n" s="0">
        <v>90.83</v>
      </c>
      <c r="B19084" t="n" s="0">
        <f>(-5-((((-5*(-5/((-5/(((-5*(90.83--5))-(-5+((-5*90.83)*(((-5--5)+(90.83--5))+90.83))))-(-5+-5)))*-5)))/-5)--5)+(-5*(((90.83*(90.83-(-5/-5)))*(90.83-(90.83/(-5*90.83))))-(-5/-5)))))</f>
        <v>3730533.186135</v>
      </c>
      <c r="C19084" t="n" s="0">
        <v>3730533.186135</v>
      </c>
    </row>
    <row r="19085">
      <c r="A19085" t="n" s="0">
        <v>90.84</v>
      </c>
      <c r="B19085" t="n" s="0">
        <f>(-5-((((-5*(-5/((-5/(((-5*(90.84--5))-(-5+((-5*90.84)*(((-5--5)+(90.84--5))+90.84))))-(-5+-5)))*-5)))/-5)--5)+(-5*(((90.84*(90.84-(-5/-5)))*(90.84-(90.84/(-5*90.84))))-(-5/-5)))))</f>
        <v>3731767.2323200004</v>
      </c>
      <c r="C19085" t="n" s="0">
        <v>3731767.2323200004</v>
      </c>
    </row>
    <row r="19086">
      <c r="A19086" t="n" s="0">
        <v>90.85</v>
      </c>
      <c r="B19086" t="n" s="0">
        <f>(-5-((((-5*(-5/((-5/(((-5*(90.85--5))-(-5+((-5*90.85)*(((-5--5)+(90.85--5))+90.85))))-(-5+-5)))*-5)))/-5)--5)+(-5*(((90.85*(90.85-(-5/-5)))*(90.85-(90.85/(-5*90.85))))-(-5/-5)))))</f>
        <v>3733001.550625</v>
      </c>
      <c r="C19086" t="n" s="0">
        <v>3733001.5506249997</v>
      </c>
    </row>
    <row r="19087">
      <c r="A19087" t="n" s="0">
        <v>90.86</v>
      </c>
      <c r="B19087" t="n" s="0">
        <f>(-5-((((-5*(-5/((-5/(((-5*(90.86--5))-(-5+((-5*90.86)*(((-5--5)+(90.86--5))+90.86))))-(-5+-5)))*-5)))/-5)--5)+(-5*(((90.86*(90.86-(-5/-5)))*(90.86-(90.86/(-5*90.86))))-(-5/-5)))))</f>
        <v>3734236.14108</v>
      </c>
      <c r="C19087" t="n" s="0">
        <v>3734236.14108</v>
      </c>
    </row>
    <row r="19088">
      <c r="A19088" t="n" s="0">
        <v>90.87</v>
      </c>
      <c r="B19088" t="n" s="0">
        <f>(-5-((((-5*(-5/((-5/(((-5*(90.87--5))-(-5+((-5*90.87)*(((-5--5)+(90.87--5))+90.87))))-(-5+-5)))*-5)))/-5)--5)+(-5*(((90.87*(90.87-(-5/-5)))*(90.87-(90.87/(-5*90.87))))-(-5/-5)))))</f>
        <v>3735471.003715</v>
      </c>
      <c r="C19088" t="n" s="0">
        <v>3735471.003715</v>
      </c>
    </row>
    <row r="19089">
      <c r="A19089" t="n" s="0">
        <v>90.88</v>
      </c>
      <c r="B19089" t="n" s="0">
        <f>(-5-((((-5*(-5/((-5/(((-5*(90.88--5))-(-5+((-5*90.88)*(((-5--5)+(90.88--5))+90.88))))-(-5+-5)))*-5)))/-5)--5)+(-5*(((90.88*(90.88-(-5/-5)))*(90.88-(90.88/(-5*90.88))))-(-5/-5)))))</f>
        <v>3736706.13856</v>
      </c>
      <c r="C19089" t="n" s="0">
        <v>3736706.1385599994</v>
      </c>
    </row>
    <row r="19090">
      <c r="A19090" t="n" s="0">
        <v>90.89</v>
      </c>
      <c r="B19090" t="n" s="0">
        <f>(-5-((((-5*(-5/((-5/(((-5*(90.89--5))-(-5+((-5*90.89)*(((-5--5)+(90.89--5))+90.89))))-(-5+-5)))*-5)))/-5)--5)+(-5*(((90.89*(90.89-(-5/-5)))*(90.89-(90.89/(-5*90.89))))-(-5/-5)))))</f>
        <v>3737941.545645</v>
      </c>
      <c r="C19090" t="n" s="0">
        <v>3737941.5456450004</v>
      </c>
    </row>
    <row r="19091">
      <c r="A19091" t="n" s="0">
        <v>90.9</v>
      </c>
      <c r="B19091" t="n" s="0">
        <f>(-5-((((-5*(-5/((-5/(((-5*(90.9--5))-(-5+((-5*90.9)*(((-5--5)+(90.9--5))+90.9))))-(-5+-5)))*-5)))/-5)--5)+(-5*(((90.9*(90.9-(-5/-5)))*(90.9-(90.9/(-5*90.9))))-(-5/-5)))))</f>
        <v>3739177.225</v>
      </c>
      <c r="C19091" t="n" s="0">
        <v>3739177.2250000006</v>
      </c>
    </row>
    <row r="19092">
      <c r="A19092" t="n" s="0">
        <v>90.91</v>
      </c>
      <c r="B19092" t="n" s="0">
        <f>(-5-((((-5*(-5/((-5/(((-5*(90.91--5))-(-5+((-5*90.91)*(((-5--5)+(90.91--5))+90.91))))-(-5+-5)))*-5)))/-5)--5)+(-5*(((90.91*(90.91-(-5/-5)))*(90.91-(90.91/(-5*90.91))))-(-5/-5)))))</f>
        <v>3740413.1766549996</v>
      </c>
      <c r="C19092" t="n" s="0">
        <v>3740413.176654999</v>
      </c>
    </row>
    <row r="19093">
      <c r="A19093" t="n" s="0">
        <v>90.92</v>
      </c>
      <c r="B19093" t="n" s="0">
        <f>(-5-((((-5*(-5/((-5/(((-5*(90.92--5))-(-5+((-5*90.92)*(((-5--5)+(90.92--5))+90.92))))-(-5+-5)))*-5)))/-5)--5)+(-5*(((90.92*(90.92-(-5/-5)))*(90.92-(90.92/(-5*90.92))))-(-5/-5)))))</f>
        <v>3741649.40064</v>
      </c>
      <c r="C19093" t="n" s="0">
        <v>3741649.40064</v>
      </c>
    </row>
    <row r="19094">
      <c r="A19094" t="n" s="0">
        <v>90.93</v>
      </c>
      <c r="B19094" t="n" s="0">
        <f>(-5-((((-5*(-5/((-5/(((-5*(90.93--5))-(-5+((-5*90.93)*(((-5--5)+(90.93--5))+90.93))))-(-5+-5)))*-5)))/-5)--5)+(-5*(((90.93*(90.93-(-5/-5)))*(90.93-(90.93/(-5*90.93))))-(-5/-5)))))</f>
        <v>3742885.896985</v>
      </c>
      <c r="C19094" t="n" s="0">
        <v>3742885.896985001</v>
      </c>
    </row>
    <row r="19095">
      <c r="A19095" t="n" s="0">
        <v>90.94</v>
      </c>
      <c r="B19095" t="n" s="0">
        <f>(-5-((((-5*(-5/((-5/(((-5*(90.94--5))-(-5+((-5*90.94)*(((-5--5)+(90.94--5))+90.94))))-(-5+-5)))*-5)))/-5)--5)+(-5*(((90.94*(90.94-(-5/-5)))*(90.94-(90.94/(-5*90.94))))-(-5/-5)))))</f>
        <v>3744122.66572</v>
      </c>
      <c r="C19095" t="n" s="0">
        <v>3744122.6657199995</v>
      </c>
    </row>
    <row r="19096">
      <c r="A19096" t="n" s="0">
        <v>90.95</v>
      </c>
      <c r="B19096" t="n" s="0">
        <f>(-5-((((-5*(-5/((-5/(((-5*(90.95--5))-(-5+((-5*90.95)*(((-5--5)+(90.95--5))+90.95))))-(-5+-5)))*-5)))/-5)--5)+(-5*(((90.95*(90.95-(-5/-5)))*(90.95-(90.95/(-5*90.95))))-(-5/-5)))))</f>
        <v>3745359.706875</v>
      </c>
      <c r="C19096" t="n" s="0">
        <v>3745359.706875</v>
      </c>
    </row>
    <row r="19097">
      <c r="A19097" t="n" s="0">
        <v>90.96</v>
      </c>
      <c r="B19097" t="n" s="0">
        <f>(-5-((((-5*(-5/((-5/(((-5*(90.96--5))-(-5+((-5*90.96)*(((-5--5)+(90.96--5))+90.96))))-(-5+-5)))*-5)))/-5)--5)+(-5*(((90.96*(90.96-(-5/-5)))*(90.96-(90.96/(-5*90.96))))-(-5/-5)))))</f>
        <v>3746597.02048</v>
      </c>
      <c r="C19097" t="n" s="0">
        <v>3746597.020479999</v>
      </c>
    </row>
    <row r="19098">
      <c r="A19098" t="n" s="0">
        <v>90.97</v>
      </c>
      <c r="B19098" t="n" s="0">
        <f>(-5-((((-5*(-5/((-5/(((-5*(90.97--5))-(-5+((-5*90.97)*(((-5--5)+(90.97--5))+90.97))))-(-5+-5)))*-5)))/-5)--5)+(-5*(((90.97*(90.97-(-5/-5)))*(90.97-(90.97/(-5*90.97))))-(-5/-5)))))</f>
        <v>3747834.606565</v>
      </c>
      <c r="C19098" t="n" s="0">
        <v>3747834.606565</v>
      </c>
    </row>
    <row r="19099">
      <c r="A19099" t="n" s="0">
        <v>90.98</v>
      </c>
      <c r="B19099" t="n" s="0">
        <f>(-5-((((-5*(-5/((-5/(((-5*(90.98--5))-(-5+((-5*90.98)*(((-5--5)+(90.98--5))+90.98))))-(-5+-5)))*-5)))/-5)--5)+(-5*(((90.98*(90.98-(-5/-5)))*(90.98-(90.98/(-5*90.98))))-(-5/-5)))))</f>
        <v>3749072.46516</v>
      </c>
      <c r="C19099" t="n" s="0">
        <v>3749072.465160001</v>
      </c>
    </row>
    <row r="19100">
      <c r="A19100" t="n" s="0">
        <v>90.99</v>
      </c>
      <c r="B19100" t="n" s="0">
        <f>(-5-((((-5*(-5/((-5/(((-5*(90.99--5))-(-5+((-5*90.99)*(((-5--5)+(90.99--5))+90.99))))-(-5+-5)))*-5)))/-5)--5)+(-5*(((90.99*(90.99-(-5/-5)))*(90.99-(90.99/(-5*90.99))))-(-5/-5)))))</f>
        <v>3750310.596295</v>
      </c>
      <c r="C19100" t="n" s="0">
        <v>3750310.5962949996</v>
      </c>
    </row>
    <row r="19101">
      <c r="A19101" t="n" s="0">
        <v>91.0</v>
      </c>
      <c r="B19101" t="n" s="0">
        <f>(-5-((((-5*(-5/((-5/(((-5*(91--5))-(-5+((-5*91)*(((-5--5)+(91--5))+91))))-(-5+-5)))*-5)))/-5)--5)+(-5*(((91*(91-(-5/-5)))*(91-(91/(-5*91))))-(-5/-5)))))</f>
        <v>3751549.0</v>
      </c>
      <c r="C19101" t="n" s="0">
        <v>3751549.0</v>
      </c>
    </row>
    <row r="19102">
      <c r="A19102" t="n" s="0">
        <v>91.01</v>
      </c>
      <c r="B19102" t="n" s="0">
        <f>(-5-((((-5*(-5/((-5/(((-5*(91.01--5))-(-5+((-5*91.01)*(((-5--5)+(91.01--5))+91.01))))-(-5+-5)))*-5)))/-5)--5)+(-5*(((91.01*(91.01-(-5/-5)))*(91.01-(91.01/(-5*91.01))))-(-5/-5)))))</f>
        <v>3752787.6763049997</v>
      </c>
      <c r="C19102" t="n" s="0">
        <v>3752787.6763050007</v>
      </c>
    </row>
    <row r="19103">
      <c r="A19103" t="n" s="0">
        <v>91.02</v>
      </c>
      <c r="B19103" t="n" s="0">
        <f>(-5-((((-5*(-5/((-5/(((-5*(91.02--5))-(-5+((-5*91.02)*(((-5--5)+(91.02--5))+91.02))))-(-5+-5)))*-5)))/-5)--5)+(-5*(((91.02*(91.02-(-5/-5)))*(91.02-(91.02/(-5*91.02))))-(-5/-5)))))</f>
        <v>3754026.62524</v>
      </c>
      <c r="C19103" t="n" s="0">
        <v>3754026.6252399995</v>
      </c>
    </row>
    <row r="19104">
      <c r="A19104" t="n" s="0">
        <v>91.03</v>
      </c>
      <c r="B19104" t="n" s="0">
        <f>(-5-((((-5*(-5/((-5/(((-5*(91.03--5))-(-5+((-5*91.03)*(((-5--5)+(91.03--5))+91.03))))-(-5+-5)))*-5)))/-5)--5)+(-5*(((91.03*(91.03-(-5/-5)))*(91.03-(91.03/(-5*91.03))))-(-5/-5)))))</f>
        <v>3755265.846835</v>
      </c>
      <c r="C19104" t="n" s="0">
        <v>3755265.8468349995</v>
      </c>
    </row>
    <row r="19105">
      <c r="A19105" t="n" s="0">
        <v>91.04</v>
      </c>
      <c r="B19105" t="n" s="0">
        <f>(-5-((((-5*(-5/((-5/(((-5*(91.04--5))-(-5+((-5*91.04)*(((-5--5)+(91.04--5))+91.04))))-(-5+-5)))*-5)))/-5)--5)+(-5*(((91.04*(91.04-(-5/-5)))*(91.04-(91.04/(-5*91.04))))-(-5/-5)))))</f>
        <v>3756505.34112</v>
      </c>
      <c r="C19105" t="n" s="0">
        <v>3756505.3411200005</v>
      </c>
    </row>
    <row r="19106">
      <c r="A19106" t="n" s="0">
        <v>91.05</v>
      </c>
      <c r="B19106" t="n" s="0">
        <f>(-5-((((-5*(-5/((-5/(((-5*(91.05--5))-(-5+((-5*91.05)*(((-5--5)+(91.05--5))+91.05))))-(-5+-5)))*-5)))/-5)--5)+(-5*(((91.05*(91.05-(-5/-5)))*(91.05-(91.05/(-5*91.05))))-(-5/-5)))))</f>
        <v>3757745.108125</v>
      </c>
      <c r="C19106" t="n" s="0">
        <v>3757745.1081249993</v>
      </c>
    </row>
    <row r="19107">
      <c r="A19107" t="n" s="0">
        <v>91.06</v>
      </c>
      <c r="B19107" t="n" s="0">
        <f>(-5-((((-5*(-5/((-5/(((-5*(91.06--5))-(-5+((-5*91.06)*(((-5--5)+(91.06--5))+91.06))))-(-5+-5)))*-5)))/-5)--5)+(-5*(((91.06*(91.06-(-5/-5)))*(91.06-(91.06/(-5*91.06))))-(-5/-5)))))</f>
        <v>3758985.14788</v>
      </c>
      <c r="C19107" t="n" s="0">
        <v>3758985.1478800005</v>
      </c>
    </row>
    <row r="19108">
      <c r="A19108" t="n" s="0">
        <v>91.07</v>
      </c>
      <c r="B19108" t="n" s="0">
        <f>(-5-((((-5*(-5/((-5/(((-5*(91.07--5))-(-5+((-5*91.07)*(((-5--5)+(91.07--5))+91.07))))-(-5+-5)))*-5)))/-5)--5)+(-5*(((91.07*(91.07-(-5/-5)))*(91.07-(91.07/(-5*91.07))))-(-5/-5)))))</f>
        <v>3760225.460415</v>
      </c>
      <c r="C19108" t="n" s="0">
        <v>3760225.460414999</v>
      </c>
    </row>
    <row r="19109">
      <c r="A19109" t="n" s="0">
        <v>91.08</v>
      </c>
      <c r="B19109" t="n" s="0">
        <f>(-5-((((-5*(-5/((-5/(((-5*(91.08--5))-(-5+((-5*91.08)*(((-5--5)+(91.08--5))+91.08))))-(-5+-5)))*-5)))/-5)--5)+(-5*(((91.08*(91.08-(-5/-5)))*(91.08-(91.08/(-5*91.08))))-(-5/-5)))))</f>
        <v>3761466.04576</v>
      </c>
      <c r="C19109" t="n" s="0">
        <v>3761466.04576</v>
      </c>
    </row>
    <row r="19110">
      <c r="A19110" t="n" s="0">
        <v>91.09</v>
      </c>
      <c r="B19110" t="n" s="0">
        <f>(-5-((((-5*(-5/((-5/(((-5*(91.09--5))-(-5+((-5*91.09)*(((-5--5)+(91.09--5))+91.09))))-(-5+-5)))*-5)))/-5)--5)+(-5*(((91.09*(91.09-(-5/-5)))*(91.09-(91.09/(-5*91.09))))-(-5/-5)))))</f>
        <v>3762706.903945</v>
      </c>
      <c r="C19110" t="n" s="0">
        <v>3762706.903945</v>
      </c>
    </row>
    <row r="19111">
      <c r="A19111" t="n" s="0">
        <v>91.1</v>
      </c>
      <c r="B19111" t="n" s="0">
        <f>(-5-((((-5*(-5/((-5/(((-5*(91.1--5))-(-5+((-5*91.1)*(((-5--5)+(91.1--5))+91.1))))-(-5+-5)))*-5)))/-5)--5)+(-5*(((91.1*(91.1-(-5/-5)))*(91.1-(91.1/(-5*91.1))))-(-5/-5)))))</f>
        <v>3763948.0349999997</v>
      </c>
      <c r="C19111" t="n" s="0">
        <v>3763948.034999999</v>
      </c>
    </row>
    <row r="19112">
      <c r="A19112" t="n" s="0">
        <v>91.11</v>
      </c>
      <c r="B19112" t="n" s="0">
        <f>(-5-((((-5*(-5/((-5/(((-5*(91.11--5))-(-5+((-5*91.11)*(((-5--5)+(91.11--5))+91.11))))-(-5+-5)))*-5)))/-5)--5)+(-5*(((91.11*(91.11-(-5/-5)))*(91.11-(91.11/(-5*91.11))))-(-5/-5)))))</f>
        <v>3765189.4389549997</v>
      </c>
      <c r="C19112" t="n" s="0">
        <v>3765189.438955</v>
      </c>
    </row>
    <row r="19113">
      <c r="A19113" t="n" s="0">
        <v>91.12</v>
      </c>
      <c r="B19113" t="n" s="0">
        <f>(-5-((((-5*(-5/((-5/(((-5*(91.12--5))-(-5+((-5*91.12)*(((-5--5)+(91.12--5))+91.12))))-(-5+-5)))*-5)))/-5)--5)+(-5*(((91.12*(91.12-(-5/-5)))*(91.12-(91.12/(-5*91.12))))-(-5/-5)))))</f>
        <v>3766431.11584</v>
      </c>
      <c r="C19113" t="n" s="0">
        <v>3766431.1158400006</v>
      </c>
    </row>
    <row r="19114">
      <c r="A19114" t="n" s="0">
        <v>91.13</v>
      </c>
      <c r="B19114" t="n" s="0">
        <f>(-5-((((-5*(-5/((-5/(((-5*(91.13--5))-(-5+((-5*91.13)*(((-5--5)+(91.13--5))+91.13))))-(-5+-5)))*-5)))/-5)--5)+(-5*(((91.13*(91.13-(-5/-5)))*(91.13-(91.13/(-5*91.13))))-(-5/-5)))))</f>
        <v>3767673.0656850003</v>
      </c>
      <c r="C19114" t="n" s="0">
        <v>3767673.0656849993</v>
      </c>
    </row>
    <row r="19115">
      <c r="A19115" t="n" s="0">
        <v>91.14</v>
      </c>
      <c r="B19115" t="n" s="0">
        <f>(-5-((((-5*(-5/((-5/(((-5*(91.14--5))-(-5+((-5*91.14)*(((-5--5)+(91.14--5))+91.14))))-(-5+-5)))*-5)))/-5)--5)+(-5*(((91.14*(91.14-(-5/-5)))*(91.14-(91.14/(-5*91.14))))-(-5/-5)))))</f>
        <v>3768915.28852</v>
      </c>
      <c r="C19115" t="n" s="0">
        <v>3768915.28852</v>
      </c>
    </row>
    <row r="19116">
      <c r="A19116" t="n" s="0">
        <v>91.15</v>
      </c>
      <c r="B19116" t="n" s="0">
        <f>(-5-((((-5*(-5/((-5/(((-5*(91.15--5))-(-5+((-5*91.15)*(((-5--5)+(91.15--5))+91.15))))-(-5+-5)))*-5)))/-5)--5)+(-5*(((91.15*(91.15-(-5/-5)))*(91.15-(91.15/(-5*91.15))))-(-5/-5)))))</f>
        <v>3770157.7843750003</v>
      </c>
      <c r="C19116" t="n" s="0">
        <v>3770157.7843750007</v>
      </c>
    </row>
    <row r="19117">
      <c r="A19117" t="n" s="0">
        <v>91.16</v>
      </c>
      <c r="B19117" t="n" s="0">
        <f>(-5-((((-5*(-5/((-5/(((-5*(91.16--5))-(-5+((-5*91.16)*(((-5--5)+(91.16--5))+91.16))))-(-5+-5)))*-5)))/-5)--5)+(-5*(((91.16*(91.16-(-5/-5)))*(91.16-(91.16/(-5*91.16))))-(-5/-5)))))</f>
        <v>3771400.55328</v>
      </c>
      <c r="C19117" t="n" s="0">
        <v>3771400.5532799996</v>
      </c>
    </row>
    <row r="19118">
      <c r="A19118" t="n" s="0">
        <v>91.17</v>
      </c>
      <c r="B19118" t="n" s="0">
        <f>(-5-((((-5*(-5/((-5/(((-5*(91.17--5))-(-5+((-5*91.17)*(((-5--5)+(91.17--5))+91.17))))-(-5+-5)))*-5)))/-5)--5)+(-5*(((91.17*(91.17-(-5/-5)))*(91.17-(91.17/(-5*91.17))))-(-5/-5)))))</f>
        <v>3772643.595265</v>
      </c>
      <c r="C19118" t="n" s="0">
        <v>3772643.595265</v>
      </c>
    </row>
    <row r="19119">
      <c r="A19119" t="n" s="0">
        <v>91.18</v>
      </c>
      <c r="B19119" t="n" s="0">
        <f>(-5-((((-5*(-5/((-5/(((-5*(91.18--5))-(-5+((-5*91.18)*(((-5--5)+(91.18--5))+91.18))))-(-5+-5)))*-5)))/-5)--5)+(-5*(((91.18*(91.18-(-5/-5)))*(91.18-(91.18/(-5*91.18))))-(-5/-5)))))</f>
        <v>3773886.91036</v>
      </c>
      <c r="C19119" t="n" s="0">
        <v>3773886.910360001</v>
      </c>
    </row>
    <row r="19120">
      <c r="A19120" t="n" s="0">
        <v>91.19</v>
      </c>
      <c r="B19120" t="n" s="0">
        <f>(-5-((((-5*(-5/((-5/(((-5*(91.19--5))-(-5+((-5*91.19)*(((-5--5)+(91.19--5))+91.19))))-(-5+-5)))*-5)))/-5)--5)+(-5*(((91.19*(91.19-(-5/-5)))*(91.19-(91.19/(-5*91.19))))-(-5/-5)))))</f>
        <v>3775130.4985950002</v>
      </c>
      <c r="C19120" t="n" s="0">
        <v>3775130.4985949993</v>
      </c>
    </row>
    <row r="19121">
      <c r="A19121" t="n" s="0">
        <v>91.2</v>
      </c>
      <c r="B19121" t="n" s="0">
        <f>(-5-((((-5*(-5/((-5/(((-5*(91.2--5))-(-5+((-5*91.2)*(((-5--5)+(91.2--5))+91.2))))-(-5+-5)))*-5)))/-5)--5)+(-5*(((91.2*(91.2-(-5/-5)))*(91.2-(91.2/(-5*91.2))))-(-5/-5)))))</f>
        <v>3776374.3600000003</v>
      </c>
      <c r="C19121" t="n" s="0">
        <v>3776374.3600000003</v>
      </c>
    </row>
    <row r="19122">
      <c r="A19122" t="n" s="0">
        <v>91.21</v>
      </c>
      <c r="B19122" t="n" s="0">
        <f>(-5-((((-5*(-5/((-5/(((-5*(91.21--5))-(-5+((-5*91.21)*(((-5--5)+(91.21--5))+91.21))))-(-5+-5)))*-5)))/-5)--5)+(-5*(((91.21*(91.21-(-5/-5)))*(91.21-(91.21/(-5*91.21))))-(-5/-5)))))</f>
        <v>3777618.494605</v>
      </c>
      <c r="C19122" t="n" s="0">
        <v>3777618.4946049987</v>
      </c>
    </row>
    <row r="19123">
      <c r="A19123" t="n" s="0">
        <v>91.22</v>
      </c>
      <c r="B19123" t="n" s="0">
        <f>(-5-((((-5*(-5/((-5/(((-5*(91.22--5))-(-5+((-5*91.22)*(((-5--5)+(91.22--5))+91.22))))-(-5+-5)))*-5)))/-5)--5)+(-5*(((91.22*(91.22-(-5/-5)))*(91.22-(91.22/(-5*91.22))))-(-5/-5)))))</f>
        <v>3778862.90244</v>
      </c>
      <c r="C19123" t="n" s="0">
        <v>3778862.9024400003</v>
      </c>
    </row>
    <row r="19124">
      <c r="A19124" t="n" s="0">
        <v>91.23</v>
      </c>
      <c r="B19124" t="n" s="0">
        <f>(-5-((((-5*(-5/((-5/(((-5*(91.23--5))-(-5+((-5*91.23)*(((-5--5)+(91.23--5))+91.23))))-(-5+-5)))*-5)))/-5)--5)+(-5*(((91.23*(91.23-(-5/-5)))*(91.23-(91.23/(-5*91.23))))-(-5/-5)))))</f>
        <v>3780107.583535</v>
      </c>
      <c r="C19124" t="n" s="0">
        <v>3780107.583535</v>
      </c>
    </row>
    <row r="19125">
      <c r="A19125" t="n" s="0">
        <v>91.24</v>
      </c>
      <c r="B19125" t="n" s="0">
        <f>(-5-((((-5*(-5/((-5/(((-5*(91.24--5))-(-5+((-5*91.24)*(((-5--5)+(91.24--5))+91.24))))-(-5+-5)))*-5)))/-5)--5)+(-5*(((91.24*(91.24-(-5/-5)))*(91.24-(91.24/(-5*91.24))))-(-5/-5)))))</f>
        <v>3781352.53792</v>
      </c>
      <c r="C19125" t="n" s="0">
        <v>3781352.537919999</v>
      </c>
    </row>
    <row r="19126">
      <c r="A19126" t="n" s="0">
        <v>91.25</v>
      </c>
      <c r="B19126" t="n" s="0">
        <f>(-5-((((-5*(-5/((-5/(((-5*(91.25--5))-(-5+((-5*91.25)*(((-5--5)+(91.25--5))+91.25))))-(-5+-5)))*-5)))/-5)--5)+(-5*(((91.25*(91.25-(-5/-5)))*(91.25-(91.25/(-5*91.25))))-(-5/-5)))))</f>
        <v>3782597.765625</v>
      </c>
      <c r="C19126" t="n" s="0">
        <v>3782597.765625</v>
      </c>
    </row>
    <row r="19127">
      <c r="A19127" t="n" s="0">
        <v>91.26</v>
      </c>
      <c r="B19127" t="n" s="0">
        <f>(-5-((((-5*(-5/((-5/(((-5*(91.26--5))-(-5+((-5*91.26)*(((-5--5)+(91.26--5))+91.26))))-(-5+-5)))*-5)))/-5)--5)+(-5*(((91.26*(91.26-(-5/-5)))*(91.26-(91.26/(-5*91.26))))-(-5/-5)))))</f>
        <v>3783843.26668</v>
      </c>
      <c r="C19127" t="n" s="0">
        <v>3783843.26668</v>
      </c>
    </row>
    <row r="19128">
      <c r="A19128" t="n" s="0">
        <v>91.27</v>
      </c>
      <c r="B19128" t="n" s="0">
        <f>(-5-((((-5*(-5/((-5/(((-5*(91.27--5))-(-5+((-5*91.27)*(((-5--5)+(91.27--5))+91.27))))-(-5+-5)))*-5)))/-5)--5)+(-5*(((91.27*(91.27-(-5/-5)))*(91.27-(91.27/(-5*91.27))))-(-5/-5)))))</f>
        <v>3785089.041115</v>
      </c>
      <c r="C19128" t="n" s="0">
        <v>3785089.0411149994</v>
      </c>
    </row>
    <row r="19129">
      <c r="A19129" t="n" s="0">
        <v>91.28</v>
      </c>
      <c r="B19129" t="n" s="0">
        <f>(-5-((((-5*(-5/((-5/(((-5*(91.28--5))-(-5+((-5*91.28)*(((-5--5)+(91.28--5))+91.28))))-(-5+-5)))*-5)))/-5)--5)+(-5*(((91.28*(91.28-(-5/-5)))*(91.28-(91.28/(-5*91.28))))-(-5/-5)))))</f>
        <v>3786335.08896</v>
      </c>
      <c r="C19129" t="n" s="0">
        <v>3786335.0889600003</v>
      </c>
    </row>
    <row r="19130">
      <c r="A19130" t="n" s="0">
        <v>91.29</v>
      </c>
      <c r="B19130" t="n" s="0">
        <f>(-5-((((-5*(-5/((-5/(((-5*(91.29--5))-(-5+((-5*91.29)*(((-5--5)+(91.29--5))+91.29))))-(-5+-5)))*-5)))/-5)--5)+(-5*(((91.29*(91.29-(-5/-5)))*(91.29-(91.29/(-5*91.29))))-(-5/-5)))))</f>
        <v>3787581.410245</v>
      </c>
      <c r="C19130" t="n" s="0">
        <v>3787581.410245001</v>
      </c>
    </row>
    <row r="19131">
      <c r="A19131" t="n" s="0">
        <v>91.3</v>
      </c>
      <c r="B19131" t="n" s="0">
        <f>(-5-((((-5*(-5/((-5/(((-5*(91.3--5))-(-5+((-5*91.3)*(((-5--5)+(91.3--5))+91.3))))-(-5+-5)))*-5)))/-5)--5)+(-5*(((91.3*(91.3-(-5/-5)))*(91.3-(91.3/(-5*91.3))))-(-5/-5)))))</f>
        <v>3788828.005</v>
      </c>
      <c r="C19131" t="n" s="0">
        <v>3788828.005</v>
      </c>
    </row>
    <row r="19132">
      <c r="A19132" t="n" s="0">
        <v>91.31</v>
      </c>
      <c r="B19132" t="n" s="0">
        <f>(-5-((((-5*(-5/((-5/(((-5*(91.31--5))-(-5+((-5*91.31)*(((-5--5)+(91.31--5))+91.31))))-(-5+-5)))*-5)))/-5)--5)+(-5*(((91.31*(91.31-(-5/-5)))*(91.31-(91.31/(-5*91.31))))-(-5/-5)))))</f>
        <v>3790074.873255</v>
      </c>
      <c r="C19132" t="n" s="0">
        <v>3790074.873255001</v>
      </c>
    </row>
    <row r="19133">
      <c r="A19133" t="n" s="0">
        <v>91.32</v>
      </c>
      <c r="B19133" t="n" s="0">
        <f>(-5-((((-5*(-5/((-5/(((-5*(91.32--5))-(-5+((-5*91.32)*(((-5--5)+(91.32--5))+91.32))))-(-5+-5)))*-5)))/-5)--5)+(-5*(((91.32*(91.32-(-5/-5)))*(91.32-(91.32/(-5*91.32))))-(-5/-5)))))</f>
        <v>3791322.01504</v>
      </c>
      <c r="C19133" t="n" s="0">
        <v>3791322.015039999</v>
      </c>
    </row>
    <row r="19134">
      <c r="A19134" t="n" s="0">
        <v>91.33</v>
      </c>
      <c r="B19134" t="n" s="0">
        <f>(-5-((((-5*(-5/((-5/(((-5*(91.33--5))-(-5+((-5*91.33)*(((-5--5)+(91.33--5))+91.33))))-(-5+-5)))*-5)))/-5)--5)+(-5*(((91.33*(91.33-(-5/-5)))*(91.33-(91.33/(-5*91.33))))-(-5/-5)))))</f>
        <v>3792569.430385</v>
      </c>
      <c r="C19134" t="n" s="0">
        <v>3792569.430385</v>
      </c>
    </row>
    <row r="19135">
      <c r="A19135" t="n" s="0">
        <v>91.34</v>
      </c>
      <c r="B19135" t="n" s="0">
        <f>(-5-((((-5*(-5/((-5/(((-5*(91.34--5))-(-5+((-5*91.34)*(((-5--5)+(91.34--5))+91.34))))-(-5+-5)))*-5)))/-5)--5)+(-5*(((91.34*(91.34-(-5/-5)))*(91.34-(91.34/(-5*91.34))))-(-5/-5)))))</f>
        <v>3793817.11932</v>
      </c>
      <c r="C19135" t="n" s="0">
        <v>3793817.1193200005</v>
      </c>
    </row>
    <row r="19136">
      <c r="A19136" t="n" s="0">
        <v>91.35</v>
      </c>
      <c r="B19136" t="n" s="0">
        <f>(-5-((((-5*(-5/((-5/(((-5*(91.35--5))-(-5+((-5*91.35)*(((-5--5)+(91.35--5))+91.35))))-(-5+-5)))*-5)))/-5)--5)+(-5*(((91.35*(91.35-(-5/-5)))*(91.35-(91.35/(-5*91.35))))-(-5/-5)))))</f>
        <v>3795065.081875</v>
      </c>
      <c r="C19136" t="n" s="0">
        <v>3795065.081874999</v>
      </c>
    </row>
    <row r="19137">
      <c r="A19137" t="n" s="0">
        <v>91.36</v>
      </c>
      <c r="B19137" t="n" s="0">
        <f>(-5-((((-5*(-5/((-5/(((-5*(91.36--5))-(-5+((-5*91.36)*(((-5--5)+(91.36--5))+91.36))))-(-5+-5)))*-5)))/-5)--5)+(-5*(((91.36*(91.36-(-5/-5)))*(91.36-(91.36/(-5*91.36))))-(-5/-5)))))</f>
        <v>3796313.31808</v>
      </c>
      <c r="C19137" t="n" s="0">
        <v>3796313.31808</v>
      </c>
    </row>
    <row r="19138">
      <c r="A19138" t="n" s="0">
        <v>91.37</v>
      </c>
      <c r="B19138" t="n" s="0">
        <f>(-5-((((-5*(-5/((-5/(((-5*(91.37--5))-(-5+((-5*91.37)*(((-5--5)+(91.37--5))+91.37))))-(-5+-5)))*-5)))/-5)--5)+(-5*(((91.37*(91.37-(-5/-5)))*(91.37-(91.37/(-5*91.37))))-(-5/-5)))))</f>
        <v>3797561.8279649997</v>
      </c>
      <c r="C19138" t="n" s="0">
        <v>3797561.8279650006</v>
      </c>
    </row>
    <row r="19139">
      <c r="A19139" t="n" s="0">
        <v>91.38</v>
      </c>
      <c r="B19139" t="n" s="0">
        <f>(-5-((((-5*(-5/((-5/(((-5*(91.38--5))-(-5+((-5*91.38)*(((-5--5)+(91.38--5))+91.38))))-(-5+-5)))*-5)))/-5)--5)+(-5*(((91.38*(91.38-(-5/-5)))*(91.38-(91.38/(-5*91.38))))-(-5/-5)))))</f>
        <v>3798810.61156</v>
      </c>
      <c r="C19139" t="n" s="0">
        <v>3798810.611559999</v>
      </c>
    </row>
    <row r="19140">
      <c r="A19140" t="n" s="0">
        <v>91.39</v>
      </c>
      <c r="B19140" t="n" s="0">
        <f>(-5-((((-5*(-5/((-5/(((-5*(91.39--5))-(-5+((-5*91.39)*(((-5--5)+(91.39--5))+91.39))))-(-5+-5)))*-5)))/-5)--5)+(-5*(((91.39*(91.39-(-5/-5)))*(91.39-(91.39/(-5*91.39))))-(-5/-5)))))</f>
        <v>3800059.668895</v>
      </c>
      <c r="C19140" t="n" s="0">
        <v>3800059.6688949997</v>
      </c>
    </row>
    <row r="19141">
      <c r="A19141" t="n" s="0">
        <v>91.4</v>
      </c>
      <c r="B19141" t="n" s="0">
        <f>(-5-((((-5*(-5/((-5/(((-5*(91.4--5))-(-5+((-5*91.4)*(((-5--5)+(91.4--5))+91.4))))-(-5+-5)))*-5)))/-5)--5)+(-5*(((91.4*(91.4-(-5/-5)))*(91.4-(91.4/(-5*91.4))))-(-5/-5)))))</f>
        <v>3801309.0</v>
      </c>
      <c r="C19141" t="n" s="0">
        <v>3801309.000000001</v>
      </c>
    </row>
    <row r="19142">
      <c r="A19142" t="n" s="0">
        <v>91.41</v>
      </c>
      <c r="B19142" t="n" s="0">
        <f>(-5-((((-5*(-5/((-5/(((-5*(91.41--5))-(-5+((-5*91.41)*(((-5--5)+(91.41--5))+91.41))))-(-5+-5)))*-5)))/-5)--5)+(-5*(((91.41*(91.41-(-5/-5)))*(91.41-(91.41/(-5*91.41))))-(-5/-5)))))</f>
        <v>3802558.604905</v>
      </c>
      <c r="C19142" t="n" s="0">
        <v>3802558.6049049995</v>
      </c>
    </row>
    <row r="19143">
      <c r="A19143" t="n" s="0">
        <v>91.42</v>
      </c>
      <c r="B19143" t="n" s="0">
        <f>(-5-((((-5*(-5/((-5/(((-5*(91.42--5))-(-5+((-5*91.42)*(((-5--5)+(91.42--5))+91.42))))-(-5+-5)))*-5)))/-5)--5)+(-5*(((91.42*(91.42-(-5/-5)))*(91.42-(91.42/(-5*91.42))))-(-5/-5)))))</f>
        <v>3803808.48364</v>
      </c>
      <c r="C19143" t="n" s="0">
        <v>3803808.48364</v>
      </c>
    </row>
    <row r="19144">
      <c r="A19144" t="n" s="0">
        <v>91.43</v>
      </c>
      <c r="B19144" t="n" s="0">
        <f>(-5-((((-5*(-5/((-5/(((-5*(91.43--5))-(-5+((-5*91.43)*(((-5--5)+(91.43--5))+91.43))))-(-5+-5)))*-5)))/-5)--5)+(-5*(((91.43*(91.43-(-5/-5)))*(91.43-(91.43/(-5*91.43))))-(-5/-5)))))</f>
        <v>3805058.636235</v>
      </c>
      <c r="C19144" t="n" s="0">
        <v>3805058.636235001</v>
      </c>
    </row>
    <row r="19145">
      <c r="A19145" t="n" s="0">
        <v>91.44</v>
      </c>
      <c r="B19145" t="n" s="0">
        <f>(-5-((((-5*(-5/((-5/(((-5*(91.44--5))-(-5+((-5*91.44)*(((-5--5)+(91.44--5))+91.44))))-(-5+-5)))*-5)))/-5)--5)+(-5*(((91.44*(91.44-(-5/-5)))*(91.44-(91.44/(-5*91.44))))-(-5/-5)))))</f>
        <v>3806309.0627200003</v>
      </c>
      <c r="C19145" t="n" s="0">
        <v>3806309.0627199993</v>
      </c>
    </row>
    <row r="19146">
      <c r="A19146" t="n" s="0">
        <v>91.45</v>
      </c>
      <c r="B19146" t="n" s="0">
        <f>(-5-((((-5*(-5/((-5/(((-5*(91.45--5))-(-5+((-5*91.45)*(((-5--5)+(91.45--5))+91.45))))-(-5+-5)))*-5)))/-5)--5)+(-5*(((91.45*(91.45-(-5/-5)))*(91.45-(91.45/(-5*91.45))))-(-5/-5)))))</f>
        <v>3807559.763125</v>
      </c>
      <c r="C19146" t="n" s="0">
        <v>3807559.7631250005</v>
      </c>
    </row>
    <row r="19147">
      <c r="A19147" t="n" s="0">
        <v>91.46</v>
      </c>
      <c r="B19147" t="n" s="0">
        <f>(-5-((((-5*(-5/((-5/(((-5*(91.46--5))-(-5+((-5*91.46)*(((-5--5)+(91.46--5))+91.46))))-(-5+-5)))*-5)))/-5)--5)+(-5*(((91.46*(91.46-(-5/-5)))*(91.46-(91.46/(-5*91.46))))-(-5/-5)))))</f>
        <v>3808810.7374799997</v>
      </c>
      <c r="C19147" t="n" s="0">
        <v>3808810.737479999</v>
      </c>
    </row>
    <row r="19148">
      <c r="A19148" t="n" s="0">
        <v>91.47</v>
      </c>
      <c r="B19148" t="n" s="0">
        <f>(-5-((((-5*(-5/((-5/(((-5*(91.47--5))-(-5+((-5*91.47)*(((-5--5)+(91.47--5))+91.47))))-(-5+-5)))*-5)))/-5)--5)+(-5*(((91.47*(91.47-(-5/-5)))*(91.47-(91.47/(-5*91.47))))-(-5/-5)))))</f>
        <v>3810061.9858150003</v>
      </c>
      <c r="C19148" t="n" s="0">
        <v>3810061.985815</v>
      </c>
    </row>
    <row r="19149">
      <c r="A19149" t="n" s="0">
        <v>91.48</v>
      </c>
      <c r="B19149" t="n" s="0">
        <f>(-5-((((-5*(-5/((-5/(((-5*(91.48--5))-(-5+((-5*91.48)*(((-5--5)+(91.48--5))+91.48))))-(-5+-5)))*-5)))/-5)--5)+(-5*(((91.48*(91.48-(-5/-5)))*(91.48-(91.48/(-5*91.48))))-(-5/-5)))))</f>
        <v>3811313.50816</v>
      </c>
      <c r="C19149" t="n" s="0">
        <v>3811313.50816</v>
      </c>
    </row>
    <row r="19150">
      <c r="A19150" t="n" s="0">
        <v>91.49</v>
      </c>
      <c r="B19150" t="n" s="0">
        <f>(-5-((((-5*(-5/((-5/(((-5*(91.49--5))-(-5+((-5*91.49)*(((-5--5)+(91.49--5))+91.49))))-(-5+-5)))*-5)))/-5)--5)+(-5*(((91.49*(91.49-(-5/-5)))*(91.49-(91.49/(-5*91.49))))-(-5/-5)))))</f>
        <v>3812565.3045449997</v>
      </c>
      <c r="C19150" t="n" s="0">
        <v>3812565.3045449993</v>
      </c>
    </row>
    <row r="19151">
      <c r="A19151" t="n" s="0">
        <v>91.5</v>
      </c>
      <c r="B19151" t="n" s="0">
        <f>(-5-((((-5*(-5/((-5/(((-5*(91.5--5))-(-5+((-5*91.5)*(((-5--5)+(91.5--5))+91.5))))-(-5+-5)))*-5)))/-5)--5)+(-5*(((91.5*(91.5-(-5/-5)))*(91.5-(91.5/(-5*91.5))))-(-5/-5)))))</f>
        <v>3813817.375</v>
      </c>
      <c r="C19151" t="n" s="0">
        <v>3813817.375</v>
      </c>
    </row>
    <row r="19152">
      <c r="A19152" t="n" s="0">
        <v>91.51</v>
      </c>
      <c r="B19152" t="n" s="0">
        <f>(-5-((((-5*(-5/((-5/(((-5*(91.51--5))-(-5+((-5*91.51)*(((-5--5)+(91.51--5))+91.51))))-(-5+-5)))*-5)))/-5)--5)+(-5*(((91.51*(91.51-(-5/-5)))*(91.51-(91.51/(-5*91.51))))-(-5/-5)))))</f>
        <v>3815069.719555</v>
      </c>
      <c r="C19152" t="n" s="0">
        <v>3815069.719555001</v>
      </c>
    </row>
    <row r="19153">
      <c r="A19153" t="n" s="0">
        <v>91.52</v>
      </c>
      <c r="B19153" t="n" s="0">
        <f>(-5-((((-5*(-5/((-5/(((-5*(91.52--5))-(-5+((-5*91.52)*(((-5--5)+(91.52--5))+91.52))))-(-5+-5)))*-5)))/-5)--5)+(-5*(((91.52*(91.52-(-5/-5)))*(91.52-(91.52/(-5*91.52))))-(-5/-5)))))</f>
        <v>3816322.33824</v>
      </c>
      <c r="C19153" t="n" s="0">
        <v>3816322.3382399995</v>
      </c>
    </row>
    <row r="19154">
      <c r="A19154" t="n" s="0">
        <v>91.53</v>
      </c>
      <c r="B19154" t="n" s="0">
        <f>(-5-((((-5*(-5/((-5/(((-5*(91.53--5))-(-5+((-5*91.53)*(((-5--5)+(91.53--5))+91.53))))-(-5+-5)))*-5)))/-5)--5)+(-5*(((91.53*(91.53-(-5/-5)))*(91.53-(91.53/(-5*91.53))))-(-5/-5)))))</f>
        <v>3817575.2310849996</v>
      </c>
      <c r="C19154" t="n" s="0">
        <v>3817575.2310849996</v>
      </c>
    </row>
    <row r="19155">
      <c r="A19155" t="n" s="0">
        <v>91.54</v>
      </c>
      <c r="B19155" t="n" s="0">
        <f>(-5-((((-5*(-5/((-5/(((-5*(91.54--5))-(-5+((-5*91.54)*(((-5--5)+(91.54--5))+91.54))))-(-5+-5)))*-5)))/-5)--5)+(-5*(((91.54*(91.54-(-5/-5)))*(91.54-(91.54/(-5*91.54))))-(-5/-5)))))</f>
        <v>3818828.39812</v>
      </c>
      <c r="C19155" t="n" s="0">
        <v>3818828.3981200014</v>
      </c>
    </row>
    <row r="19156">
      <c r="A19156" t="n" s="0">
        <v>91.55</v>
      </c>
      <c r="B19156" t="n" s="0">
        <f>(-5-((((-5*(-5/((-5/(((-5*(91.55--5))-(-5+((-5*91.55)*(((-5--5)+(91.55--5))+91.55))))-(-5+-5)))*-5)))/-5)--5)+(-5*(((91.55*(91.55-(-5/-5)))*(91.55-(91.55/(-5*91.55))))-(-5/-5)))))</f>
        <v>3820081.839375</v>
      </c>
      <c r="C19156" t="n" s="0">
        <v>3820081.8393749995</v>
      </c>
    </row>
    <row r="19157">
      <c r="A19157" t="n" s="0">
        <v>91.56</v>
      </c>
      <c r="B19157" t="n" s="0">
        <f>(-5-((((-5*(-5/((-5/(((-5*(91.56--5))-(-5+((-5*91.56)*(((-5--5)+(91.56--5))+91.56))))-(-5+-5)))*-5)))/-5)--5)+(-5*(((91.56*(91.56-(-5/-5)))*(91.56-(91.56/(-5*91.56))))-(-5/-5)))))</f>
        <v>3821335.55488</v>
      </c>
      <c r="C19157" t="n" s="0">
        <v>3821335.5548800007</v>
      </c>
    </row>
    <row r="19158">
      <c r="A19158" t="n" s="0">
        <v>91.57</v>
      </c>
      <c r="B19158" t="n" s="0">
        <f>(-5-((((-5*(-5/((-5/(((-5*(91.57--5))-(-5+((-5*91.57)*(((-5--5)+(91.57--5))+91.57))))-(-5+-5)))*-5)))/-5)--5)+(-5*(((91.57*(91.57-(-5/-5)))*(91.57-(91.57/(-5*91.57))))-(-5/-5)))))</f>
        <v>3822589.544665</v>
      </c>
      <c r="C19158" t="n" s="0">
        <v>3822589.5446649985</v>
      </c>
    </row>
    <row r="19159">
      <c r="A19159" t="n" s="0">
        <v>91.58</v>
      </c>
      <c r="B19159" t="n" s="0">
        <f>(-5-((((-5*(-5/((-5/(((-5*(91.58--5))-(-5+((-5*91.58)*(((-5--5)+(91.58--5))+91.58))))-(-5+-5)))*-5)))/-5)--5)+(-5*(((91.58*(91.58-(-5/-5)))*(91.58-(91.58/(-5*91.58))))-(-5/-5)))))</f>
        <v>3823843.80876</v>
      </c>
      <c r="C19159" t="n" s="0">
        <v>3823843.8087600004</v>
      </c>
    </row>
    <row r="19160">
      <c r="A19160" t="n" s="0">
        <v>91.59</v>
      </c>
      <c r="B19160" t="n" s="0">
        <f>(-5-((((-5*(-5/((-5/(((-5*(91.59--5))-(-5+((-5*91.59)*(((-5--5)+(91.59--5))+91.59))))-(-5+-5)))*-5)))/-5)--5)+(-5*(((91.59*(91.59-(-5/-5)))*(91.59-(91.59/(-5*91.59))))-(-5/-5)))))</f>
        <v>3825098.3471950004</v>
      </c>
      <c r="C19160" t="n" s="0">
        <v>3825098.3471950004</v>
      </c>
    </row>
    <row r="19161">
      <c r="A19161" t="n" s="0">
        <v>91.6</v>
      </c>
      <c r="B19161" t="n" s="0">
        <f>(-5-((((-5*(-5/((-5/(((-5*(91.6--5))-(-5+((-5*91.6)*(((-5--5)+(91.6--5))+91.6))))-(-5+-5)))*-5)))/-5)--5)+(-5*(((91.6*(91.6-(-5/-5)))*(91.6-(91.6/(-5*91.6))))-(-5/-5)))))</f>
        <v>3826353.16</v>
      </c>
      <c r="C19161" t="n" s="0">
        <v>3826353.159999999</v>
      </c>
    </row>
    <row r="19162">
      <c r="A19162" t="n" s="0">
        <v>91.61</v>
      </c>
      <c r="B19162" t="n" s="0">
        <f>(-5-((((-5*(-5/((-5/(((-5*(91.61--5))-(-5+((-5*91.61)*(((-5--5)+(91.61--5))+91.61))))-(-5+-5)))*-5)))/-5)--5)+(-5*(((91.61*(91.61-(-5/-5)))*(91.61-(91.61/(-5*91.61))))-(-5/-5)))))</f>
        <v>3827608.247205</v>
      </c>
      <c r="C19162" t="n" s="0">
        <v>3827608.247205</v>
      </c>
    </row>
    <row r="19163">
      <c r="A19163" t="n" s="0">
        <v>91.62</v>
      </c>
      <c r="B19163" t="n" s="0">
        <f>(-5-((((-5*(-5/((-5/(((-5*(91.62--5))-(-5+((-5*91.62)*(((-5--5)+(91.62--5))+91.62))))-(-5+-5)))*-5)))/-5)--5)+(-5*(((91.62*(91.62-(-5/-5)))*(91.62-(91.62/(-5*91.62))))-(-5/-5)))))</f>
        <v>3828863.60884</v>
      </c>
      <c r="C19163" t="n" s="0">
        <v>3828863.6088400004</v>
      </c>
    </row>
    <row r="19164">
      <c r="A19164" t="n" s="0">
        <v>91.63</v>
      </c>
      <c r="B19164" t="n" s="0">
        <f>(-5-((((-5*(-5/((-5/(((-5*(91.63--5))-(-5+((-5*91.63)*(((-5--5)+(91.63--5))+91.63))))-(-5+-5)))*-5)))/-5)--5)+(-5*(((91.63*(91.63-(-5/-5)))*(91.63-(91.63/(-5*91.63))))-(-5/-5)))))</f>
        <v>3830119.244935</v>
      </c>
      <c r="C19164" t="n" s="0">
        <v>3830119.2449349994</v>
      </c>
    </row>
    <row r="19165">
      <c r="A19165" t="n" s="0">
        <v>91.64</v>
      </c>
      <c r="B19165" t="n" s="0">
        <f>(-5-((((-5*(-5/((-5/(((-5*(91.64--5))-(-5+((-5*91.64)*(((-5--5)+(91.64--5))+91.64))))-(-5+-5)))*-5)))/-5)--5)+(-5*(((91.64*(91.64-(-5/-5)))*(91.64-(91.64/(-5*91.64))))-(-5/-5)))))</f>
        <v>3831375.15552</v>
      </c>
      <c r="C19165" t="n" s="0">
        <v>3831375.15552</v>
      </c>
    </row>
    <row r="19166">
      <c r="A19166" t="n" s="0">
        <v>91.65</v>
      </c>
      <c r="B19166" t="n" s="0">
        <f>(-5-((((-5*(-5/((-5/(((-5*(91.65--5))-(-5+((-5*91.65)*(((-5--5)+(91.65--5))+91.65))))-(-5+-5)))*-5)))/-5)--5)+(-5*(((91.65*(91.65-(-5/-5)))*(91.65-(91.65/(-5*91.65))))-(-5/-5)))))</f>
        <v>3832631.3406249997</v>
      </c>
      <c r="C19166" t="n" s="0">
        <v>3832631.340625001</v>
      </c>
    </row>
    <row r="19167">
      <c r="A19167" t="n" s="0">
        <v>91.66</v>
      </c>
      <c r="B19167" t="n" s="0">
        <f>(-5-((((-5*(-5/((-5/(((-5*(91.66--5))-(-5+((-5*91.66)*(((-5--5)+(91.66--5))+91.66))))-(-5+-5)))*-5)))/-5)--5)+(-5*(((91.66*(91.66-(-5/-5)))*(91.66-(91.66/(-5*91.66))))-(-5/-5)))))</f>
        <v>3833887.8002799996</v>
      </c>
      <c r="C19167" t="n" s="0">
        <v>3833887.8002799996</v>
      </c>
    </row>
    <row r="19168">
      <c r="A19168" t="n" s="0">
        <v>91.67</v>
      </c>
      <c r="B19168" t="n" s="0">
        <f>(-5-((((-5*(-5/((-5/(((-5*(91.67--5))-(-5+((-5*91.67)*(((-5--5)+(91.67--5))+91.67))))-(-5+-5)))*-5)))/-5)--5)+(-5*(((91.67*(91.67-(-5/-5)))*(91.67-(91.67/(-5*91.67))))-(-5/-5)))))</f>
        <v>3835144.534515</v>
      </c>
      <c r="C19168" t="n" s="0">
        <v>3835144.5345150004</v>
      </c>
    </row>
    <row r="19169">
      <c r="A19169" t="n" s="0">
        <v>91.68</v>
      </c>
      <c r="B19169" t="n" s="0">
        <f>(-5-((((-5*(-5/((-5/(((-5*(91.68--5))-(-5+((-5*91.68)*(((-5--5)+(91.68--5))+91.68))))-(-5+-5)))*-5)))/-5)--5)+(-5*(((91.68*(91.68-(-5/-5)))*(91.68-(91.68/(-5*91.68))))-(-5/-5)))))</f>
        <v>3836401.54336</v>
      </c>
      <c r="C19169" t="n" s="0">
        <v>3836401.5433600005</v>
      </c>
    </row>
    <row r="19170">
      <c r="A19170" t="n" s="0">
        <v>91.69</v>
      </c>
      <c r="B19170" t="n" s="0">
        <f>(-5-((((-5*(-5/((-5/(((-5*(91.69--5))-(-5+((-5*91.69)*(((-5--5)+(91.69--5))+91.69))))-(-5+-5)))*-5)))/-5)--5)+(-5*(((91.69*(91.69-(-5/-5)))*(91.69-(91.69/(-5*91.69))))-(-5/-5)))))</f>
        <v>3837658.826845</v>
      </c>
      <c r="C19170" t="n" s="0">
        <v>3837658.826845</v>
      </c>
    </row>
    <row r="19171">
      <c r="A19171" t="n" s="0">
        <v>91.7</v>
      </c>
      <c r="B19171" t="n" s="0">
        <f>(-5-((((-5*(-5/((-5/(((-5*(91.7--5))-(-5+((-5*91.7)*(((-5--5)+(91.7--5))+91.7))))-(-5+-5)))*-5)))/-5)--5)+(-5*(((91.7*(91.7-(-5/-5)))*(91.7-(91.7/(-5*91.7))))-(-5/-5)))))</f>
        <v>3838916.3850000002</v>
      </c>
      <c r="C19171" t="n" s="0">
        <v>3838916.3850000007</v>
      </c>
    </row>
    <row r="19172">
      <c r="A19172" t="n" s="0">
        <v>91.71</v>
      </c>
      <c r="B19172" t="n" s="0">
        <f>(-5-((((-5*(-5/((-5/(((-5*(91.71--5))-(-5+((-5*91.71)*(((-5--5)+(91.71--5))+91.71))))-(-5+-5)))*-5)))/-5)--5)+(-5*(((91.71*(91.71-(-5/-5)))*(91.71-(91.71/(-5*91.71))))-(-5/-5)))))</f>
        <v>3840174.217855</v>
      </c>
      <c r="C19172" t="n" s="0">
        <v>3840174.217854999</v>
      </c>
    </row>
    <row r="19173">
      <c r="A19173" t="n" s="0">
        <v>91.72</v>
      </c>
      <c r="B19173" t="n" s="0">
        <f>(-5-((((-5*(-5/((-5/(((-5*(91.72--5))-(-5+((-5*91.72)*(((-5--5)+(91.72--5))+91.72))))-(-5+-5)))*-5)))/-5)--5)+(-5*(((91.72*(91.72-(-5/-5)))*(91.72-(91.72/(-5*91.72))))-(-5/-5)))))</f>
        <v>3841432.32544</v>
      </c>
      <c r="C19173" t="n" s="0">
        <v>3841432.32544</v>
      </c>
    </row>
    <row r="19174">
      <c r="A19174" t="n" s="0">
        <v>91.73</v>
      </c>
      <c r="B19174" t="n" s="0">
        <f>(-5-((((-5*(-5/((-5/(((-5*(91.73--5))-(-5+((-5*91.73)*(((-5--5)+(91.73--5))+91.73))))-(-5+-5)))*-5)))/-5)--5)+(-5*(((91.73*(91.73-(-5/-5)))*(91.73-(91.73/(-5*91.73))))-(-5/-5)))))</f>
        <v>3842690.707785</v>
      </c>
      <c r="C19174" t="n" s="0">
        <v>3842690.707785</v>
      </c>
    </row>
    <row r="19175">
      <c r="A19175" t="n" s="0">
        <v>91.74</v>
      </c>
      <c r="B19175" t="n" s="0">
        <f>(-5-((((-5*(-5/((-5/(((-5*(91.74--5))-(-5+((-5*91.74)*(((-5--5)+(91.74--5))+91.74))))-(-5+-5)))*-5)))/-5)--5)+(-5*(((91.74*(91.74-(-5/-5)))*(91.74-(91.74/(-5*91.74))))-(-5/-5)))))</f>
        <v>3843949.36492</v>
      </c>
      <c r="C19175" t="n" s="0">
        <v>3843949.3649199996</v>
      </c>
    </row>
    <row r="19176">
      <c r="A19176" t="n" s="0">
        <v>91.75</v>
      </c>
      <c r="B19176" t="n" s="0">
        <f>(-5-((((-5*(-5/((-5/(((-5*(91.75--5))-(-5+((-5*91.75)*(((-5--5)+(91.75--5))+91.75))))-(-5+-5)))*-5)))/-5)--5)+(-5*(((91.75*(91.75-(-5/-5)))*(91.75-(91.75/(-5*91.75))))-(-5/-5)))))</f>
        <v>3845208.296875</v>
      </c>
      <c r="C19176" t="n" s="0">
        <v>3845208.296875</v>
      </c>
    </row>
    <row r="19177">
      <c r="A19177" t="n" s="0">
        <v>91.76</v>
      </c>
      <c r="B19177" t="n" s="0">
        <f>(-5-((((-5*(-5/((-5/(((-5*(91.76--5))-(-5+((-5*91.76)*(((-5--5)+(91.76--5))+91.76))))-(-5+-5)))*-5)))/-5)--5)+(-5*(((91.76*(91.76-(-5/-5)))*(91.76-(91.76/(-5*91.76))))-(-5/-5)))))</f>
        <v>3846467.50368</v>
      </c>
      <c r="C19177" t="n" s="0">
        <v>3846467.5036800005</v>
      </c>
    </row>
    <row r="19178">
      <c r="A19178" t="n" s="0">
        <v>91.77</v>
      </c>
      <c r="B19178" t="n" s="0">
        <f>(-5-((((-5*(-5/((-5/(((-5*(91.77--5))-(-5+((-5*91.77)*(((-5--5)+(91.77--5))+91.77))))-(-5+-5)))*-5)))/-5)--5)+(-5*(((91.77*(91.77-(-5/-5)))*(91.77-(91.77/(-5*91.77))))-(-5/-5)))))</f>
        <v>3847726.985365</v>
      </c>
      <c r="C19178" t="n" s="0">
        <v>3847726.9853649996</v>
      </c>
    </row>
    <row r="19179">
      <c r="A19179" t="n" s="0">
        <v>91.78</v>
      </c>
      <c r="B19179" t="n" s="0">
        <f>(-5-((((-5*(-5/((-5/(((-5*(91.78--5))-(-5+((-5*91.78)*(((-5--5)+(91.78--5))+91.78))))-(-5+-5)))*-5)))/-5)--5)+(-5*(((91.78*(91.78-(-5/-5)))*(91.78-(91.78/(-5*91.78))))-(-5/-5)))))</f>
        <v>3848986.7419600002</v>
      </c>
      <c r="C19179" t="n" s="0">
        <v>3848986.74196</v>
      </c>
    </row>
    <row r="19180">
      <c r="A19180" t="n" s="0">
        <v>91.79</v>
      </c>
      <c r="B19180" t="n" s="0">
        <f>(-5-((((-5*(-5/((-5/(((-5*(91.79--5))-(-5+((-5*91.79)*(((-5--5)+(91.79--5))+91.79))))-(-5+-5)))*-5)))/-5)--5)+(-5*(((91.79*(91.79-(-5/-5)))*(91.79-(91.79/(-5*91.79))))-(-5/-5)))))</f>
        <v>3850246.773495</v>
      </c>
      <c r="C19180" t="n" s="0">
        <v>3850246.7734950013</v>
      </c>
    </row>
    <row r="19181">
      <c r="A19181" t="n" s="0">
        <v>91.8</v>
      </c>
      <c r="B19181" t="n" s="0">
        <f>(-5-((((-5*(-5/((-5/(((-5*(91.8--5))-(-5+((-5*91.8)*(((-5--5)+(91.8--5))+91.8))))-(-5+-5)))*-5)))/-5)--5)+(-5*(((91.8*(91.8-(-5/-5)))*(91.8-(91.8/(-5*91.8))))-(-5/-5)))))</f>
        <v>3851507.08</v>
      </c>
      <c r="C19181" t="n" s="0">
        <v>3851507.08</v>
      </c>
    </row>
    <row r="19182">
      <c r="A19182" t="n" s="0">
        <v>91.81</v>
      </c>
      <c r="B19182" t="n" s="0">
        <f>(-5-((((-5*(-5/((-5/(((-5*(91.81--5))-(-5+((-5*91.81)*(((-5--5)+(91.81--5))+91.81))))-(-5+-5)))*-5)))/-5)--5)+(-5*(((91.81*(91.81-(-5/-5)))*(91.81-(91.81/(-5*91.81))))-(-5/-5)))))</f>
        <v>3852767.661505</v>
      </c>
      <c r="C19182" t="n" s="0">
        <v>3852767.6615050007</v>
      </c>
    </row>
    <row r="19183">
      <c r="A19183" t="n" s="0">
        <v>91.82</v>
      </c>
      <c r="B19183" t="n" s="0">
        <f>(-5-((((-5*(-5/((-5/(((-5*(91.82--5))-(-5+((-5*91.82)*(((-5--5)+(91.82--5))+91.82))))-(-5+-5)))*-5)))/-5)--5)+(-5*(((91.82*(91.82-(-5/-5)))*(91.82-(91.82/(-5*91.82))))-(-5/-5)))))</f>
        <v>3854028.51804</v>
      </c>
      <c r="C19183" t="n" s="0">
        <v>3854028.518039999</v>
      </c>
    </row>
    <row r="19184">
      <c r="A19184" t="n" s="0">
        <v>91.83</v>
      </c>
      <c r="B19184" t="n" s="0">
        <f>(-5-((((-5*(-5/((-5/(((-5*(91.83--5))-(-5+((-5*91.83)*(((-5--5)+(91.83--5))+91.83))))-(-5+-5)))*-5)))/-5)--5)+(-5*(((91.83*(91.83-(-5/-5)))*(91.83-(91.83/(-5*91.83))))-(-5/-5)))))</f>
        <v>3855289.6496349997</v>
      </c>
      <c r="C19184" t="n" s="0">
        <v>3855289.649635</v>
      </c>
    </row>
    <row r="19185">
      <c r="A19185" t="n" s="0">
        <v>91.84</v>
      </c>
      <c r="B19185" t="n" s="0">
        <f>(-5-((((-5*(-5/((-5/(((-5*(91.84--5))-(-5+((-5*91.84)*(((-5--5)+(91.84--5))+91.84))))-(-5+-5)))*-5)))/-5)--5)+(-5*(((91.84*(91.84-(-5/-5)))*(91.84-(91.84/(-5*91.84))))-(-5/-5)))))</f>
        <v>3856551.05632</v>
      </c>
      <c r="C19185" t="n" s="0">
        <v>3856551.0563200004</v>
      </c>
    </row>
    <row r="19186">
      <c r="A19186" t="n" s="0">
        <v>91.85</v>
      </c>
      <c r="B19186" t="n" s="0">
        <f>(-5-((((-5*(-5/((-5/(((-5*(91.85--5))-(-5+((-5*91.85)*(((-5--5)+(91.85--5))+91.85))))-(-5+-5)))*-5)))/-5)--5)+(-5*(((91.85*(91.85-(-5/-5)))*(91.85-(91.85/(-5*91.85))))-(-5/-5)))))</f>
        <v>3857812.738125</v>
      </c>
      <c r="C19186" t="n" s="0">
        <v>3857812.7381249988</v>
      </c>
    </row>
    <row r="19187">
      <c r="A19187" t="n" s="0">
        <v>91.86</v>
      </c>
      <c r="B19187" t="n" s="0">
        <f>(-5-((((-5*(-5/((-5/(((-5*(91.86--5))-(-5+((-5*91.86)*(((-5--5)+(91.86--5))+91.86))))-(-5+-5)))*-5)))/-5)--5)+(-5*(((91.86*(91.86-(-5/-5)))*(91.86-(91.86/(-5*91.86))))-(-5/-5)))))</f>
        <v>3859074.69508</v>
      </c>
      <c r="C19187" t="n" s="0">
        <v>3859074.69508</v>
      </c>
    </row>
    <row r="19188">
      <c r="A19188" t="n" s="0">
        <v>91.87</v>
      </c>
      <c r="B19188" t="n" s="0">
        <f>(-5-((((-5*(-5/((-5/(((-5*(91.87--5))-(-5+((-5*91.87)*(((-5--5)+(91.87--5))+91.87))))-(-5+-5)))*-5)))/-5)--5)+(-5*(((91.87*(91.87-(-5/-5)))*(91.87-(91.87/(-5*91.87))))-(-5/-5)))))</f>
        <v>3860336.927215</v>
      </c>
      <c r="C19188" t="n" s="0">
        <v>3860336.927215</v>
      </c>
    </row>
    <row r="19189">
      <c r="A19189" t="n" s="0">
        <v>91.88</v>
      </c>
      <c r="B19189" t="n" s="0">
        <f>(-5-((((-5*(-5/((-5/(((-5*(91.88--5))-(-5+((-5*91.88)*(((-5--5)+(91.88--5))+91.88))))-(-5+-5)))*-5)))/-5)--5)+(-5*(((91.88*(91.88-(-5/-5)))*(91.88-(91.88/(-5*91.88))))-(-5/-5)))))</f>
        <v>3861599.43456</v>
      </c>
      <c r="C19189" t="n" s="0">
        <v>3861599.43456</v>
      </c>
    </row>
    <row r="19190">
      <c r="A19190" t="n" s="0">
        <v>91.89</v>
      </c>
      <c r="B19190" t="n" s="0">
        <f>(-5-((((-5*(-5/((-5/(((-5*(91.89--5))-(-5+((-5*91.89)*(((-5--5)+(91.89--5))+91.89))))-(-5+-5)))*-5)))/-5)--5)+(-5*(((91.89*(91.89-(-5/-5)))*(91.89-(91.89/(-5*91.89))))-(-5/-5)))))</f>
        <v>3862862.217145</v>
      </c>
      <c r="C19190" t="n" s="0">
        <v>3862862.217145</v>
      </c>
    </row>
    <row r="19191">
      <c r="A19191" t="n" s="0">
        <v>91.9</v>
      </c>
      <c r="B19191" t="n" s="0">
        <f>(-5-((((-5*(-5/((-5/(((-5*(91.9--5))-(-5+((-5*91.9)*(((-5--5)+(91.9--5))+91.9))))-(-5+-5)))*-5)))/-5)--5)+(-5*(((91.9*(91.9-(-5/-5)))*(91.9-(91.9/(-5*91.9))))-(-5/-5)))))</f>
        <v>3864125.275</v>
      </c>
      <c r="C19191" t="n" s="0">
        <v>3864125.275000001</v>
      </c>
    </row>
    <row r="19192">
      <c r="A19192" t="n" s="0">
        <v>91.91</v>
      </c>
      <c r="B19192" t="n" s="0">
        <f>(-5-((((-5*(-5/((-5/(((-5*(91.91--5))-(-5+((-5*91.91)*(((-5--5)+(91.91--5))+91.91))))-(-5+-5)))*-5)))/-5)--5)+(-5*(((91.91*(91.91-(-5/-5)))*(91.91-(91.91/(-5*91.91))))-(-5/-5)))))</f>
        <v>3865388.608155</v>
      </c>
      <c r="C19192" t="n" s="0">
        <v>3865388.6081549996</v>
      </c>
    </row>
    <row r="19193">
      <c r="A19193" t="n" s="0">
        <v>91.92</v>
      </c>
      <c r="B19193" t="n" s="0">
        <f>(-5-((((-5*(-5/((-5/(((-5*(91.92--5))-(-5+((-5*91.92)*(((-5--5)+(91.92--5))+91.92))))-(-5+-5)))*-5)))/-5)--5)+(-5*(((91.92*(91.92-(-5/-5)))*(91.92-(91.92/(-5*91.92))))-(-5/-5)))))</f>
        <v>3866652.2166399998</v>
      </c>
      <c r="C19193" t="n" s="0">
        <v>3866652.2166399998</v>
      </c>
    </row>
    <row r="19194">
      <c r="A19194" t="n" s="0">
        <v>91.93</v>
      </c>
      <c r="B19194" t="n" s="0">
        <f>(-5-((((-5*(-5/((-5/(((-5*(91.93--5))-(-5+((-5*91.93)*(((-5--5)+(91.93--5))+91.93))))-(-5+-5)))*-5)))/-5)--5)+(-5*(((91.93*(91.93-(-5/-5)))*(91.93-(91.93/(-5*91.93))))-(-5/-5)))))</f>
        <v>3867916.1004850003</v>
      </c>
      <c r="C19194" t="n" s="0">
        <v>3867916.100485001</v>
      </c>
    </row>
    <row r="19195">
      <c r="A19195" t="n" s="0">
        <v>91.94</v>
      </c>
      <c r="B19195" t="n" s="0">
        <f>(-5-((((-5*(-5/((-5/(((-5*(91.94--5))-(-5+((-5*91.94)*(((-5--5)+(91.94--5))+91.94))))-(-5+-5)))*-5)))/-5)--5)+(-5*(((91.94*(91.94-(-5/-5)))*(91.94-(91.94/(-5*91.94))))-(-5/-5)))))</f>
        <v>3869180.25972</v>
      </c>
      <c r="C19195" t="n" s="0">
        <v>3869180.2597199995</v>
      </c>
    </row>
    <row r="19196">
      <c r="A19196" t="n" s="0">
        <v>91.95</v>
      </c>
      <c r="B19196" t="n" s="0">
        <f>(-5-((((-5*(-5/((-5/(((-5*(91.95--5))-(-5+((-5*91.95)*(((-5--5)+(91.95--5))+91.95))))-(-5+-5)))*-5)))/-5)--5)+(-5*(((91.95*(91.95-(-5/-5)))*(91.95-(91.95/(-5*91.95))))-(-5/-5)))))</f>
        <v>3870444.694375</v>
      </c>
      <c r="C19196" t="n" s="0">
        <v>3870444.6943750004</v>
      </c>
    </row>
    <row r="19197">
      <c r="A19197" t="n" s="0">
        <v>91.96</v>
      </c>
      <c r="B19197" t="n" s="0">
        <f>(-5-((((-5*(-5/((-5/(((-5*(91.96--5))-(-5+((-5*91.96)*(((-5--5)+(91.96--5))+91.96))))-(-5+-5)))*-5)))/-5)--5)+(-5*(((91.96*(91.96-(-5/-5)))*(91.96-(91.96/(-5*91.96))))-(-5/-5)))))</f>
        <v>3871709.40448</v>
      </c>
      <c r="C19197" t="n" s="0">
        <v>3871709.404479999</v>
      </c>
    </row>
    <row r="19198">
      <c r="A19198" t="n" s="0">
        <v>91.97</v>
      </c>
      <c r="B19198" t="n" s="0">
        <f>(-5-((((-5*(-5/((-5/(((-5*(91.97--5))-(-5+((-5*91.97)*(((-5--5)+(91.97--5))+91.97))))-(-5+-5)))*-5)))/-5)--5)+(-5*(((91.97*(91.97-(-5/-5)))*(91.97-(91.97/(-5*91.97))))-(-5/-5)))))</f>
        <v>3872974.390065</v>
      </c>
      <c r="C19198" t="n" s="0">
        <v>3872974.390065</v>
      </c>
    </row>
    <row r="19199">
      <c r="A19199" t="n" s="0">
        <v>91.98</v>
      </c>
      <c r="B19199" t="n" s="0">
        <f>(-5-((((-5*(-5/((-5/(((-5*(91.98--5))-(-5+((-5*91.98)*(((-5--5)+(91.98--5))+91.98))))-(-5+-5)))*-5)))/-5)--5)+(-5*(((91.98*(91.98-(-5/-5)))*(91.98-(91.98/(-5*91.98))))-(-5/-5)))))</f>
        <v>3874239.65116</v>
      </c>
      <c r="C19199" t="n" s="0">
        <v>3874239.6511600004</v>
      </c>
    </row>
    <row r="19200">
      <c r="A19200" t="n" s="0">
        <v>91.99</v>
      </c>
      <c r="B19200" t="n" s="0">
        <f>(-5-((((-5*(-5/((-5/(((-5*(91.99--5))-(-5+((-5*91.99)*(((-5--5)+(91.99--5))+91.99))))-(-5+-5)))*-5)))/-5)--5)+(-5*(((91.99*(91.99-(-5/-5)))*(91.99-(91.99/(-5*91.99))))-(-5/-5)))))</f>
        <v>3875505.187795</v>
      </c>
      <c r="C19200" t="n" s="0">
        <v>3875505.1877949997</v>
      </c>
    </row>
    <row r="19201">
      <c r="A19201" t="n" s="0">
        <v>92.0</v>
      </c>
      <c r="B19201" t="n" s="0">
        <f>(-5-((((-5*(-5/((-5/(((-5*(92--5))-(-5+((-5*92)*(((-5--5)+(92--5))+92))))-(-5+-5)))*-5)))/-5)--5)+(-5*(((92*(92-(-5/-5)))*(92-(92/(-5*92))))-(-5/-5)))))</f>
        <v>3876771.0</v>
      </c>
      <c r="C19201" t="n" s="0">
        <v>3876771.0</v>
      </c>
    </row>
    <row r="19202">
      <c r="A19202" t="n" s="0">
        <v>92.01</v>
      </c>
      <c r="B19202" t="n" s="0">
        <f>(-5-((((-5*(-5/((-5/(((-5*(92.01--5))-(-5+((-5*92.01)*(((-5--5)+(92.01--5))+92.01))))-(-5+-5)))*-5)))/-5)--5)+(-5*(((92.01*(92.01-(-5/-5)))*(92.01-(92.01/(-5*92.01))))-(-5/-5)))))</f>
        <v>3878037.0878049997</v>
      </c>
      <c r="C19202" t="n" s="0">
        <v>3878037.087805</v>
      </c>
    </row>
    <row r="19203">
      <c r="A19203" t="n" s="0">
        <v>92.02</v>
      </c>
      <c r="B19203" t="n" s="0">
        <f>(-5-((((-5*(-5/((-5/(((-5*(92.02--5))-(-5+((-5*92.02)*(((-5--5)+(92.02--5))+92.02))))-(-5+-5)))*-5)))/-5)--5)+(-5*(((92.02*(92.02-(-5/-5)))*(92.02-(92.02/(-5*92.02))))-(-5/-5)))))</f>
        <v>3879303.45124</v>
      </c>
      <c r="C19203" t="n" s="0">
        <v>3879303.45124</v>
      </c>
    </row>
    <row r="19204">
      <c r="A19204" t="n" s="0">
        <v>92.03</v>
      </c>
      <c r="B19204" t="n" s="0">
        <f>(-5-((((-5*(-5/((-5/(((-5*(92.03--5))-(-5+((-5*92.03)*(((-5--5)+(92.03--5))+92.03))))-(-5+-5)))*-5)))/-5)--5)+(-5*(((92.03*(92.03-(-5/-5)))*(92.03-(92.03/(-5*92.03))))-(-5/-5)))))</f>
        <v>3880570.090335</v>
      </c>
      <c r="C19204" t="n" s="0">
        <v>3880570.0903350003</v>
      </c>
    </row>
    <row r="19205">
      <c r="A19205" t="n" s="0">
        <v>92.04</v>
      </c>
      <c r="B19205" t="n" s="0">
        <f>(-5-((((-5*(-5/((-5/(((-5*(92.04--5))-(-5+((-5*92.04)*(((-5--5)+(92.04--5))+92.04))))-(-5+-5)))*-5)))/-5)--5)+(-5*(((92.04*(92.04-(-5/-5)))*(92.04-(92.04/(-5*92.04))))-(-5/-5)))))</f>
        <v>3881837.00512</v>
      </c>
      <c r="C19205" t="n" s="0">
        <v>3881837.0051200013</v>
      </c>
    </row>
    <row r="19206">
      <c r="A19206" t="n" s="0">
        <v>92.05</v>
      </c>
      <c r="B19206" t="n" s="0">
        <f>(-5-((((-5*(-5/((-5/(((-5*(92.05--5))-(-5+((-5*92.05)*(((-5--5)+(92.05--5))+92.05))))-(-5+-5)))*-5)))/-5)--5)+(-5*(((92.05*(92.05-(-5/-5)))*(92.05-(92.05/(-5*92.05))))-(-5/-5)))))</f>
        <v>3883104.195625</v>
      </c>
      <c r="C19206" t="n" s="0">
        <v>3883104.1956249997</v>
      </c>
    </row>
    <row r="19207">
      <c r="A19207" t="n" s="0">
        <v>92.06</v>
      </c>
      <c r="B19207" t="n" s="0">
        <f>(-5-((((-5*(-5/((-5/(((-5*(92.06--5))-(-5+((-5*92.06)*(((-5--5)+(92.06--5))+92.06))))-(-5+-5)))*-5)))/-5)--5)+(-5*(((92.06*(92.06-(-5/-5)))*(92.06-(92.06/(-5*92.06))))-(-5/-5)))))</f>
        <v>3884371.66188</v>
      </c>
      <c r="C19207" t="n" s="0">
        <v>3884371.6618800005</v>
      </c>
    </row>
    <row r="19208">
      <c r="A19208" t="n" s="0">
        <v>92.07</v>
      </c>
      <c r="B19208" t="n" s="0">
        <f>(-5-((((-5*(-5/((-5/(((-5*(92.07--5))-(-5+((-5*92.07)*(((-5--5)+(92.07--5))+92.07))))-(-5+-5)))*-5)))/-5)--5)+(-5*(((92.07*(92.07-(-5/-5)))*(92.07-(92.07/(-5*92.07))))-(-5/-5)))))</f>
        <v>3885639.403915</v>
      </c>
      <c r="C19208" t="n" s="0">
        <v>3885639.403914999</v>
      </c>
    </row>
    <row r="19209">
      <c r="A19209" t="n" s="0">
        <v>92.08</v>
      </c>
      <c r="B19209" t="n" s="0">
        <f>(-5-((((-5*(-5/((-5/(((-5*(92.08--5))-(-5+((-5*92.08)*(((-5--5)+(92.08--5))+92.08))))-(-5+-5)))*-5)))/-5)--5)+(-5*(((92.08*(92.08-(-5/-5)))*(92.08-(92.08/(-5*92.08))))-(-5/-5)))))</f>
        <v>3886907.42176</v>
      </c>
      <c r="C19209" t="n" s="0">
        <v>3886907.4217600003</v>
      </c>
    </row>
    <row r="19210">
      <c r="A19210" t="n" s="0">
        <v>92.09</v>
      </c>
      <c r="B19210" t="n" s="0">
        <f>(-5-((((-5*(-5/((-5/(((-5*(92.09--5))-(-5+((-5*92.09)*(((-5--5)+(92.09--5))+92.09))))-(-5+-5)))*-5)))/-5)--5)+(-5*(((92.09*(92.09-(-5/-5)))*(92.09-(92.09/(-5*92.09))))-(-5/-5)))))</f>
        <v>3888175.7154449997</v>
      </c>
      <c r="C19210" t="n" s="0">
        <v>3888175.7154450007</v>
      </c>
    </row>
    <row r="19211">
      <c r="A19211" t="n" s="0">
        <v>92.1</v>
      </c>
      <c r="B19211" t="n" s="0">
        <f>(-5-((((-5*(-5/((-5/(((-5*(92.1--5))-(-5+((-5*92.1)*(((-5--5)+(92.1--5))+92.1))))-(-5+-5)))*-5)))/-5)--5)+(-5*(((92.1*(92.1-(-5/-5)))*(92.1-(92.1/(-5*92.1))))-(-5/-5)))))</f>
        <v>3889444.285</v>
      </c>
      <c r="C19211" t="n" s="0">
        <v>3889444.2849999997</v>
      </c>
    </row>
    <row r="19212">
      <c r="A19212" t="n" s="0">
        <v>92.11</v>
      </c>
      <c r="B19212" t="n" s="0">
        <f>(-5-((((-5*(-5/((-5/(((-5*(92.11--5))-(-5+((-5*92.11)*(((-5--5)+(92.11--5))+92.11))))-(-5+-5)))*-5)))/-5)--5)+(-5*(((92.11*(92.11-(-5/-5)))*(92.11-(92.11/(-5*92.11))))-(-5/-5)))))</f>
        <v>3890713.130455</v>
      </c>
      <c r="C19212" t="n" s="0">
        <v>3890713.130455</v>
      </c>
    </row>
    <row r="19213">
      <c r="A19213" t="n" s="0">
        <v>92.12</v>
      </c>
      <c r="B19213" t="n" s="0">
        <f>(-5-((((-5*(-5/((-5/(((-5*(92.12--5))-(-5+((-5*92.12)*(((-5--5)+(92.12--5))+92.12))))-(-5+-5)))*-5)))/-5)--5)+(-5*(((92.12*(92.12-(-5/-5)))*(92.12-(92.12/(-5*92.12))))-(-5/-5)))))</f>
        <v>3891982.25184</v>
      </c>
      <c r="C19213" t="n" s="0">
        <v>3891982.25184</v>
      </c>
    </row>
    <row r="19214">
      <c r="A19214" t="n" s="0">
        <v>92.13</v>
      </c>
      <c r="B19214" t="n" s="0">
        <f>(-5-((((-5*(-5/((-5/(((-5*(92.13--5))-(-5+((-5*92.13)*(((-5--5)+(92.13--5))+92.13))))-(-5+-5)))*-5)))/-5)--5)+(-5*(((92.13*(92.13-(-5/-5)))*(92.13-(92.13/(-5*92.13))))-(-5/-5)))))</f>
        <v>3893251.649185</v>
      </c>
      <c r="C19214" t="n" s="0">
        <v>3893251.6491849995</v>
      </c>
    </row>
    <row r="19215">
      <c r="A19215" t="n" s="0">
        <v>92.14</v>
      </c>
      <c r="B19215" t="n" s="0">
        <f>(-5-((((-5*(-5/((-5/(((-5*(92.14--5))-(-5+((-5*92.14)*(((-5--5)+(92.14--5))+92.14))))-(-5+-5)))*-5)))/-5)--5)+(-5*(((92.14*(92.14-(-5/-5)))*(92.14-(92.14/(-5*92.14))))-(-5/-5)))))</f>
        <v>3894521.32252</v>
      </c>
      <c r="C19215" t="n" s="0">
        <v>3894521.32252</v>
      </c>
    </row>
    <row r="19216">
      <c r="A19216" t="n" s="0">
        <v>92.15</v>
      </c>
      <c r="B19216" t="n" s="0">
        <f>(-5-((((-5*(-5/((-5/(((-5*(92.15--5))-(-5+((-5*92.15)*(((-5--5)+(92.15--5))+92.15))))-(-5+-5)))*-5)))/-5)--5)+(-5*(((92.15*(92.15-(-5/-5)))*(92.15-(92.15/(-5*92.15))))-(-5/-5)))))</f>
        <v>3895791.271875</v>
      </c>
      <c r="C19216" t="n" s="0">
        <v>3895791.2718750006</v>
      </c>
    </row>
    <row r="19217">
      <c r="A19217" t="n" s="0">
        <v>92.16</v>
      </c>
      <c r="B19217" t="n" s="0">
        <f>(-5-((((-5*(-5/((-5/(((-5*(92.16--5))-(-5+((-5*92.16)*(((-5--5)+(92.16--5))+92.16))))-(-5+-5)))*-5)))/-5)--5)+(-5*(((92.16*(92.16-(-5/-5)))*(92.16-(92.16/(-5*92.16))))-(-5/-5)))))</f>
        <v>3897061.4972800002</v>
      </c>
      <c r="C19217" t="n" s="0">
        <v>3897061.49728</v>
      </c>
    </row>
    <row r="19218">
      <c r="A19218" t="n" s="0">
        <v>92.17</v>
      </c>
      <c r="B19218" t="n" s="0">
        <f>(-5-((((-5*(-5/((-5/(((-5*(92.17--5))-(-5+((-5*92.17)*(((-5--5)+(92.17--5))+92.17))))-(-5+-5)))*-5)))/-5)--5)+(-5*(((92.17*(92.17-(-5/-5)))*(92.17-(92.17/(-5*92.17))))-(-5/-5)))))</f>
        <v>3898331.9987649997</v>
      </c>
      <c r="C19218" t="n" s="0">
        <v>3898331.998765</v>
      </c>
    </row>
    <row r="19219">
      <c r="A19219" t="n" s="0">
        <v>92.18</v>
      </c>
      <c r="B19219" t="n" s="0">
        <f>(-5-((((-5*(-5/((-5/(((-5*(92.18--5))-(-5+((-5*92.18)*(((-5--5)+(92.18--5))+92.18))))-(-5+-5)))*-5)))/-5)--5)+(-5*(((92.18*(92.18-(-5/-5)))*(92.18-(92.18/(-5*92.18))))-(-5/-5)))))</f>
        <v>3899602.7763599996</v>
      </c>
      <c r="C19219" t="n" s="0">
        <v>3899602.776360001</v>
      </c>
    </row>
    <row r="19220">
      <c r="A19220" t="n" s="0">
        <v>92.19</v>
      </c>
      <c r="B19220" t="n" s="0">
        <f>(-5-((((-5*(-5/((-5/(((-5*(92.19--5))-(-5+((-5*92.19)*(((-5--5)+(92.19--5))+92.19))))-(-5+-5)))*-5)))/-5)--5)+(-5*(((92.19*(92.19-(-5/-5)))*(92.19-(92.19/(-5*92.19))))-(-5/-5)))))</f>
        <v>3900873.830095</v>
      </c>
      <c r="C19220" t="n" s="0">
        <v>3900873.830094999</v>
      </c>
    </row>
    <row r="19221">
      <c r="A19221" t="n" s="0">
        <v>92.2</v>
      </c>
      <c r="B19221" t="n" s="0">
        <f>(-5-((((-5*(-5/((-5/(((-5*(92.2--5))-(-5+((-5*92.2)*(((-5--5)+(92.2--5))+92.2))))-(-5+-5)))*-5)))/-5)--5)+(-5*(((92.2*(92.2-(-5/-5)))*(92.2-(92.2/(-5*92.2))))-(-5/-5)))))</f>
        <v>3902145.16</v>
      </c>
      <c r="C19221" t="n" s="0">
        <v>3902145.16</v>
      </c>
    </row>
    <row r="19222">
      <c r="A19222" t="n" s="0">
        <v>92.21</v>
      </c>
      <c r="B19222" t="n" s="0">
        <f>(-5-((((-5*(-5/((-5/(((-5*(92.21--5))-(-5+((-5*92.21)*(((-5--5)+(92.21--5))+92.21))))-(-5+-5)))*-5)))/-5)--5)+(-5*(((92.21*(92.21-(-5/-5)))*(92.21-(92.21/(-5*92.21))))-(-5/-5)))))</f>
        <v>3903416.7661050004</v>
      </c>
      <c r="C19222" t="n" s="0">
        <v>3903416.766104999</v>
      </c>
    </row>
    <row r="19223">
      <c r="A19223" t="n" s="0">
        <v>92.22</v>
      </c>
      <c r="B19223" t="n" s="0">
        <f>(-5-((((-5*(-5/((-5/(((-5*(92.22--5))-(-5+((-5*92.22)*(((-5--5)+(92.22--5))+92.22))))-(-5+-5)))*-5)))/-5)--5)+(-5*(((92.22*(92.22-(-5/-5)))*(92.22-(92.22/(-5*92.22))))-(-5/-5)))))</f>
        <v>3904688.6484399997</v>
      </c>
      <c r="C19223" t="n" s="0">
        <v>3904688.64844</v>
      </c>
    </row>
    <row r="19224">
      <c r="A19224" t="n" s="0">
        <v>92.23</v>
      </c>
      <c r="B19224" t="n" s="0">
        <f>(-5-((((-5*(-5/((-5/(((-5*(92.23--5))-(-5+((-5*92.23)*(((-5--5)+(92.23--5))+92.23))))-(-5+-5)))*-5)))/-5)--5)+(-5*(((92.23*(92.23-(-5/-5)))*(92.23-(92.23/(-5*92.23))))-(-5/-5)))))</f>
        <v>3905960.807035</v>
      </c>
      <c r="C19224" t="n" s="0">
        <v>3905960.8070350005</v>
      </c>
    </row>
    <row r="19225">
      <c r="A19225" t="n" s="0">
        <v>92.24</v>
      </c>
      <c r="B19225" t="n" s="0">
        <f>(-5-((((-5*(-5/((-5/(((-5*(92.24--5))-(-5+((-5*92.24)*(((-5--5)+(92.24--5))+92.24))))-(-5+-5)))*-5)))/-5)--5)+(-5*(((92.24*(92.24-(-5/-5)))*(92.24-(92.24/(-5*92.24))))-(-5/-5)))))</f>
        <v>3907233.24192</v>
      </c>
      <c r="C19225" t="n" s="0">
        <v>3907233.2419199995</v>
      </c>
    </row>
    <row r="19226">
      <c r="A19226" t="n" s="0">
        <v>92.25</v>
      </c>
      <c r="B19226" t="n" s="0">
        <f>(-5-((((-5*(-5/((-5/(((-5*(92.25--5))-(-5+((-5*92.25)*(((-5--5)+(92.25--5))+92.25))))-(-5+-5)))*-5)))/-5)--5)+(-5*(((92.25*(92.25-(-5/-5)))*(92.25-(92.25/(-5*92.25))))-(-5/-5)))))</f>
        <v>3908505.953125</v>
      </c>
      <c r="C19226" t="n" s="0">
        <v>3908505.953125</v>
      </c>
    </row>
    <row r="19227">
      <c r="A19227" t="n" s="0">
        <v>92.26</v>
      </c>
      <c r="B19227" t="n" s="0">
        <f>(-5-((((-5*(-5/((-5/(((-5*(92.26--5))-(-5+((-5*92.26)*(((-5--5)+(92.26--5))+92.26))))-(-5+-5)))*-5)))/-5)--5)+(-5*(((92.26*(92.26-(-5/-5)))*(92.26-(92.26/(-5*92.26))))-(-5/-5)))))</f>
        <v>3909778.94068</v>
      </c>
      <c r="C19227" t="n" s="0">
        <v>3909778.9406800005</v>
      </c>
    </row>
    <row r="19228">
      <c r="A19228" t="n" s="0">
        <v>92.27</v>
      </c>
      <c r="B19228" t="n" s="0">
        <f>(-5-((((-5*(-5/((-5/(((-5*(92.27--5))-(-5+((-5*92.27)*(((-5--5)+(92.27--5))+92.27))))-(-5+-5)))*-5)))/-5)--5)+(-5*(((92.27*(92.27-(-5/-5)))*(92.27-(92.27/(-5*92.27))))-(-5/-5)))))</f>
        <v>3911052.204615</v>
      </c>
      <c r="C19228" t="n" s="0">
        <v>3911052.2046149997</v>
      </c>
    </row>
    <row r="19229">
      <c r="A19229" t="n" s="0">
        <v>92.28</v>
      </c>
      <c r="B19229" t="n" s="0">
        <f>(-5-((((-5*(-5/((-5/(((-5*(92.28--5))-(-5+((-5*92.28)*(((-5--5)+(92.28--5))+92.28))))-(-5+-5)))*-5)))/-5)--5)+(-5*(((92.28*(92.28-(-5/-5)))*(92.28-(92.28/(-5*92.28))))-(-5/-5)))))</f>
        <v>3912325.7449600003</v>
      </c>
      <c r="C19229" t="n" s="0">
        <v>3912325.74496</v>
      </c>
    </row>
    <row r="19230">
      <c r="A19230" t="n" s="0">
        <v>92.29</v>
      </c>
      <c r="B19230" t="n" s="0">
        <f>(-5-((((-5*(-5/((-5/(((-5*(92.29--5))-(-5+((-5*92.29)*(((-5--5)+(92.29--5))+92.29))))-(-5+-5)))*-5)))/-5)--5)+(-5*(((92.29*(92.29-(-5/-5)))*(92.29-(92.29/(-5*92.29))))-(-5/-5)))))</f>
        <v>3913599.561745</v>
      </c>
      <c r="C19230" t="n" s="0">
        <v>3913599.561745001</v>
      </c>
    </row>
    <row r="19231">
      <c r="A19231" t="n" s="0">
        <v>92.3</v>
      </c>
      <c r="B19231" t="n" s="0">
        <f>(-5-((((-5*(-5/((-5/(((-5*(92.3--5))-(-5+((-5*92.3)*(((-5--5)+(92.3--5))+92.3))))-(-5+-5)))*-5)))/-5)--5)+(-5*(((92.3*(92.3-(-5/-5)))*(92.3-(92.3/(-5*92.3))))-(-5/-5)))))</f>
        <v>3914873.655</v>
      </c>
      <c r="C19231" t="n" s="0">
        <v>3914873.655</v>
      </c>
    </row>
    <row r="19232">
      <c r="A19232" t="n" s="0">
        <v>92.31</v>
      </c>
      <c r="B19232" t="n" s="0">
        <f>(-5-((((-5*(-5/((-5/(((-5*(92.31--5))-(-5+((-5*92.31)*(((-5--5)+(92.31--5))+92.31))))-(-5+-5)))*-5)))/-5)--5)+(-5*(((92.31*(92.31-(-5/-5)))*(92.31-(92.31/(-5*92.31))))-(-5/-5)))))</f>
        <v>3916148.024755</v>
      </c>
      <c r="C19232" t="n" s="0">
        <v>3916148.024755</v>
      </c>
    </row>
    <row r="19233">
      <c r="A19233" t="n" s="0">
        <v>92.32</v>
      </c>
      <c r="B19233" t="n" s="0">
        <f>(-5-((((-5*(-5/((-5/(((-5*(92.32--5))-(-5+((-5*92.32)*(((-5--5)+(92.32--5))+92.32))))-(-5+-5)))*-5)))/-5)--5)+(-5*(((92.32*(92.32-(-5/-5)))*(92.32-(92.32/(-5*92.32))))-(-5/-5)))))</f>
        <v>3917422.67104</v>
      </c>
      <c r="C19233" t="n" s="0">
        <v>3917422.671039999</v>
      </c>
    </row>
    <row r="19234">
      <c r="A19234" t="n" s="0">
        <v>92.33</v>
      </c>
      <c r="B19234" t="n" s="0">
        <f>(-5-((((-5*(-5/((-5/(((-5*(92.33--5))-(-5+((-5*92.33)*(((-5--5)+(92.33--5))+92.33))))-(-5+-5)))*-5)))/-5)--5)+(-5*(((92.33*(92.33-(-5/-5)))*(92.33-(92.33/(-5*92.33))))-(-5/-5)))))</f>
        <v>3918697.593885</v>
      </c>
      <c r="C19234" t="n" s="0">
        <v>3918697.593885</v>
      </c>
    </row>
    <row r="19235">
      <c r="A19235" t="n" s="0">
        <v>92.34</v>
      </c>
      <c r="B19235" t="n" s="0">
        <f>(-5-((((-5*(-5/((-5/(((-5*(92.34--5))-(-5+((-5*92.34)*(((-5--5)+(92.34--5))+92.34))))-(-5+-5)))*-5)))/-5)--5)+(-5*(((92.34*(92.34-(-5/-5)))*(92.34-(92.34/(-5*92.34))))-(-5/-5)))))</f>
        <v>3919972.7933199997</v>
      </c>
      <c r="C19235" t="n" s="0">
        <v>3919972.79332</v>
      </c>
    </row>
    <row r="19236">
      <c r="A19236" t="n" s="0">
        <v>92.35</v>
      </c>
      <c r="B19236" t="n" s="0">
        <f>(-5-((((-5*(-5/((-5/(((-5*(92.35--5))-(-5+((-5*92.35)*(((-5--5)+(92.35--5))+92.35))))-(-5+-5)))*-5)))/-5)--5)+(-5*(((92.35*(92.35-(-5/-5)))*(92.35-(92.35/(-5*92.35))))-(-5/-5)))))</f>
        <v>3921248.2693749997</v>
      </c>
      <c r="C19236" t="n" s="0">
        <v>3921248.269374999</v>
      </c>
    </row>
    <row r="19237">
      <c r="A19237" t="n" s="0">
        <v>92.36</v>
      </c>
      <c r="B19237" t="n" s="0">
        <f>(-5-((((-5*(-5/((-5/(((-5*(92.36--5))-(-5+((-5*92.36)*(((-5--5)+(92.36--5))+92.36))))-(-5+-5)))*-5)))/-5)--5)+(-5*(((92.36*(92.36-(-5/-5)))*(92.36-(92.36/(-5*92.36))))-(-5/-5)))))</f>
        <v>3922524.02208</v>
      </c>
      <c r="C19237" t="n" s="0">
        <v>3922524.0220799996</v>
      </c>
    </row>
    <row r="19238">
      <c r="A19238" t="n" s="0">
        <v>92.37</v>
      </c>
      <c r="B19238" t="n" s="0">
        <f>(-5-((((-5*(-5/((-5/(((-5*(92.37--5))-(-5+((-5*92.37)*(((-5--5)+(92.37--5))+92.37))))-(-5+-5)))*-5)))/-5)--5)+(-5*(((92.37*(92.37-(-5/-5)))*(92.37-(92.37/(-5*92.37))))-(-5/-5)))))</f>
        <v>3923800.051465</v>
      </c>
      <c r="C19238" t="n" s="0">
        <v>3923800.0514650005</v>
      </c>
    </row>
    <row r="19239">
      <c r="A19239" t="n" s="0">
        <v>92.38</v>
      </c>
      <c r="B19239" t="n" s="0">
        <f>(-5-((((-5*(-5/((-5/(((-5*(92.38--5))-(-5+((-5*92.38)*(((-5--5)+(92.38--5))+92.38))))-(-5+-5)))*-5)))/-5)--5)+(-5*(((92.38*(92.38-(-5/-5)))*(92.38-(92.38/(-5*92.38))))-(-5/-5)))))</f>
        <v>3925076.35756</v>
      </c>
      <c r="C19239" t="n" s="0">
        <v>3925076.35756</v>
      </c>
    </row>
    <row r="19240">
      <c r="A19240" t="n" s="0">
        <v>92.39</v>
      </c>
      <c r="B19240" t="n" s="0">
        <f>(-5-((((-5*(-5/((-5/(((-5*(92.39--5))-(-5+((-5*92.39)*(((-5--5)+(92.39--5))+92.39))))-(-5+-5)))*-5)))/-5)--5)+(-5*(((92.39*(92.39-(-5/-5)))*(92.39-(92.39/(-5*92.39))))-(-5/-5)))))</f>
        <v>3926352.9403950004</v>
      </c>
      <c r="C19240" t="n" s="0">
        <v>3926352.9403949995</v>
      </c>
    </row>
    <row r="19241">
      <c r="A19241" t="n" s="0">
        <v>92.4</v>
      </c>
      <c r="B19241" t="n" s="0">
        <f>(-5-((((-5*(-5/((-5/(((-5*(92.4--5))-(-5+((-5*92.4)*(((-5--5)+(92.4--5))+92.4))))-(-5+-5)))*-5)))/-5)--5)+(-5*(((92.4*(92.4-(-5/-5)))*(92.4-(92.4/(-5*92.4))))-(-5/-5)))))</f>
        <v>3927629.8000000003</v>
      </c>
      <c r="C19241" t="n" s="0">
        <v>3927629.8000000007</v>
      </c>
    </row>
    <row r="19242">
      <c r="A19242" t="n" s="0">
        <v>92.41</v>
      </c>
      <c r="B19242" t="n" s="0">
        <f>(-5-((((-5*(-5/((-5/(((-5*(92.41--5))-(-5+((-5*92.41)*(((-5--5)+(92.41--5))+92.41))))-(-5+-5)))*-5)))/-5)--5)+(-5*(((92.41*(92.41-(-5/-5)))*(92.41-(92.41/(-5*92.41))))-(-5/-5)))))</f>
        <v>3928906.936405</v>
      </c>
      <c r="C19242" t="n" s="0">
        <v>3928906.9364049993</v>
      </c>
    </row>
    <row r="19243">
      <c r="A19243" t="n" s="0">
        <v>92.42</v>
      </c>
      <c r="B19243" t="n" s="0">
        <f>(-5-((((-5*(-5/((-5/(((-5*(92.42--5))-(-5+((-5*92.42)*(((-5--5)+(92.42--5))+92.42))))-(-5+-5)))*-5)))/-5)--5)+(-5*(((92.42*(92.42-(-5/-5)))*(92.42-(92.42/(-5*92.42))))-(-5/-5)))))</f>
        <v>3930184.34964</v>
      </c>
      <c r="C19243" t="n" s="0">
        <v>3930184.3496399997</v>
      </c>
    </row>
    <row r="19244">
      <c r="A19244" t="n" s="0">
        <v>92.43</v>
      </c>
      <c r="B19244" t="n" s="0">
        <f>(-5-((((-5*(-5/((-5/(((-5*(92.43--5))-(-5+((-5*92.43)*(((-5--5)+(92.43--5))+92.43))))-(-5+-5)))*-5)))/-5)--5)+(-5*(((92.43*(92.43-(-5/-5)))*(92.43-(92.43/(-5*92.43))))-(-5/-5)))))</f>
        <v>3931462.039735</v>
      </c>
      <c r="C19244" t="n" s="0">
        <v>3931462.0397350006</v>
      </c>
    </row>
    <row r="19245">
      <c r="A19245" t="n" s="0">
        <v>92.44</v>
      </c>
      <c r="B19245" t="n" s="0">
        <f>(-5-((((-5*(-5/((-5/(((-5*(92.44--5))-(-5+((-5*92.44)*(((-5--5)+(92.44--5))+92.44))))-(-5+-5)))*-5)))/-5)--5)+(-5*(((92.44*(92.44-(-5/-5)))*(92.44-(92.44/(-5*92.44))))-(-5/-5)))))</f>
        <v>3932740.00672</v>
      </c>
      <c r="C19245" t="n" s="0">
        <v>3932740.0067199995</v>
      </c>
    </row>
    <row r="19246">
      <c r="A19246" t="n" s="0">
        <v>92.45</v>
      </c>
      <c r="B19246" t="n" s="0">
        <f>(-5-((((-5*(-5/((-5/(((-5*(92.45--5))-(-5+((-5*92.45)*(((-5--5)+(92.45--5))+92.45))))-(-5+-5)))*-5)))/-5)--5)+(-5*(((92.45*(92.45-(-5/-5)))*(92.45-(92.45/(-5*92.45))))-(-5/-5)))))</f>
        <v>3934018.2506250003</v>
      </c>
      <c r="C19246" t="n" s="0">
        <v>3934018.250625001</v>
      </c>
    </row>
    <row r="19247">
      <c r="A19247" t="n" s="0">
        <v>92.46</v>
      </c>
      <c r="B19247" t="n" s="0">
        <f>(-5-((((-5*(-5/((-5/(((-5*(92.46--5))-(-5+((-5*92.46)*(((-5--5)+(92.46--5))+92.46))))-(-5+-5)))*-5)))/-5)--5)+(-5*(((92.46*(92.46-(-5/-5)))*(92.46-(92.46/(-5*92.46))))-(-5/-5)))))</f>
        <v>3935296.77148</v>
      </c>
      <c r="C19247" t="n" s="0">
        <v>3935296.771479999</v>
      </c>
    </row>
    <row r="19248">
      <c r="A19248" t="n" s="0">
        <v>92.47</v>
      </c>
      <c r="B19248" t="n" s="0">
        <f>(-5-((((-5*(-5/((-5/(((-5*(92.47--5))-(-5+((-5*92.47)*(((-5--5)+(92.47--5))+92.47))))-(-5+-5)))*-5)))/-5)--5)+(-5*(((92.47*(92.47-(-5/-5)))*(92.47-(92.47/(-5*92.47))))-(-5/-5)))))</f>
        <v>3936575.569315</v>
      </c>
      <c r="C19248" t="n" s="0">
        <v>3936575.569315</v>
      </c>
    </row>
    <row r="19249">
      <c r="A19249" t="n" s="0">
        <v>92.48</v>
      </c>
      <c r="B19249" t="n" s="0">
        <f>(-5-((((-5*(-5/((-5/(((-5*(92.48--5))-(-5+((-5*92.48)*(((-5--5)+(92.48--5))+92.48))))-(-5+-5)))*-5)))/-5)--5)+(-5*(((92.48*(92.48-(-5/-5)))*(92.48-(92.48/(-5*92.48))))-(-5/-5)))))</f>
        <v>3937854.64416</v>
      </c>
      <c r="C19249" t="n" s="0">
        <v>3937854.64416</v>
      </c>
    </row>
    <row r="19250">
      <c r="A19250" t="n" s="0">
        <v>92.49</v>
      </c>
      <c r="B19250" t="n" s="0">
        <f>(-5-((((-5*(-5/((-5/(((-5*(92.49--5))-(-5+((-5*92.49)*(((-5--5)+(92.49--5))+92.49))))-(-5+-5)))*-5)))/-5)--5)+(-5*(((92.49*(92.49-(-5/-5)))*(92.49-(92.49/(-5*92.49))))-(-5/-5)))))</f>
        <v>3939133.996045</v>
      </c>
      <c r="C19250" t="n" s="0">
        <v>3939133.996045</v>
      </c>
    </row>
    <row r="19251">
      <c r="A19251" t="n" s="0">
        <v>92.5</v>
      </c>
      <c r="B19251" t="n" s="0">
        <f>(-5-((((-5*(-5/((-5/(((-5*(92.5--5))-(-5+((-5*92.5)*(((-5--5)+(92.5--5))+92.5))))-(-5+-5)))*-5)))/-5)--5)+(-5*(((92.5*(92.5-(-5/-5)))*(92.5-(92.5/(-5*92.5))))-(-5/-5)))))</f>
        <v>3940413.625</v>
      </c>
      <c r="C19251" t="n" s="0">
        <v>3940413.625</v>
      </c>
    </row>
    <row r="19252">
      <c r="A19252" t="n" s="0">
        <v>92.51</v>
      </c>
      <c r="B19252" t="n" s="0">
        <f>(-5-((((-5*(-5/((-5/(((-5*(92.51--5))-(-5+((-5*92.51)*(((-5--5)+(92.51--5))+92.51))))-(-5+-5)))*-5)))/-5)--5)+(-5*(((92.51*(92.51-(-5/-5)))*(92.51-(92.51/(-5*92.51))))-(-5/-5)))))</f>
        <v>3941693.5310549997</v>
      </c>
      <c r="C19252" t="n" s="0">
        <v>3941693.5310550006</v>
      </c>
    </row>
    <row r="19253">
      <c r="A19253" t="n" s="0">
        <v>92.52</v>
      </c>
      <c r="B19253" t="n" s="0">
        <f>(-5-((((-5*(-5/((-5/(((-5*(92.52--5))-(-5+((-5*92.52)*(((-5--5)+(92.52--5))+92.52))))-(-5+-5)))*-5)))/-5)--5)+(-5*(((92.52*(92.52-(-5/-5)))*(92.52-(92.52/(-5*92.52))))-(-5/-5)))))</f>
        <v>3942973.71424</v>
      </c>
      <c r="C19253" t="n" s="0">
        <v>3942973.714239999</v>
      </c>
    </row>
    <row r="19254">
      <c r="A19254" t="n" s="0">
        <v>92.53</v>
      </c>
      <c r="B19254" t="n" s="0">
        <f>(-5-((((-5*(-5/((-5/(((-5*(92.53--5))-(-5+((-5*92.53)*(((-5--5)+(92.53--5))+92.53))))-(-5+-5)))*-5)))/-5)--5)+(-5*(((92.53*(92.53-(-5/-5)))*(92.53-(92.53/(-5*92.53))))-(-5/-5)))))</f>
        <v>3944254.174585</v>
      </c>
      <c r="C19254" t="n" s="0">
        <v>3944254.174585</v>
      </c>
    </row>
    <row r="19255">
      <c r="A19255" t="n" s="0">
        <v>92.54</v>
      </c>
      <c r="B19255" t="n" s="0">
        <f>(-5-((((-5*(-5/((-5/(((-5*(92.54--5))-(-5+((-5*92.54)*(((-5--5)+(92.54--5))+92.54))))-(-5+-5)))*-5)))/-5)--5)+(-5*(((92.54*(92.54-(-5/-5)))*(92.54-(92.54/(-5*92.54))))-(-5/-5)))))</f>
        <v>3945534.91212</v>
      </c>
      <c r="C19255" t="n" s="0">
        <v>3945534.912120001</v>
      </c>
    </row>
    <row r="19256">
      <c r="A19256" t="n" s="0">
        <v>92.55</v>
      </c>
      <c r="B19256" t="n" s="0">
        <f>(-5-((((-5*(-5/((-5/(((-5*(92.55--5))-(-5+((-5*92.55)*(((-5--5)+(92.55--5))+92.55))))-(-5+-5)))*-5)))/-5)--5)+(-5*(((92.55*(92.55-(-5/-5)))*(92.55-(92.55/(-5*92.55))))-(-5/-5)))))</f>
        <v>3946815.926875</v>
      </c>
      <c r="C19256" t="n" s="0">
        <v>3946815.9268749994</v>
      </c>
    </row>
    <row r="19257">
      <c r="A19257" t="n" s="0">
        <v>92.56</v>
      </c>
      <c r="B19257" t="n" s="0">
        <f>(-5-((((-5*(-5/((-5/(((-5*(92.56--5))-(-5+((-5*92.56)*(((-5--5)+(92.56--5))+92.56))))-(-5+-5)))*-5)))/-5)--5)+(-5*(((92.56*(92.56-(-5/-5)))*(92.56-(92.56/(-5*92.56))))-(-5/-5)))))</f>
        <v>3948097.2188799996</v>
      </c>
      <c r="C19257" t="n" s="0">
        <v>3948097.2188800005</v>
      </c>
    </row>
    <row r="19258">
      <c r="A19258" t="n" s="0">
        <v>92.57</v>
      </c>
      <c r="B19258" t="n" s="0">
        <f>(-5-((((-5*(-5/((-5/(((-5*(92.57--5))-(-5+((-5*92.57)*(((-5--5)+(92.57--5))+92.57))))-(-5+-5)))*-5)))/-5)--5)+(-5*(((92.57*(92.57-(-5/-5)))*(92.57-(92.57/(-5*92.57))))-(-5/-5)))))</f>
        <v>3949378.788165</v>
      </c>
      <c r="C19258" t="n" s="0">
        <v>3949378.7881649993</v>
      </c>
    </row>
    <row r="19259">
      <c r="A19259" t="n" s="0">
        <v>92.58</v>
      </c>
      <c r="B19259" t="n" s="0">
        <f>(-5-((((-5*(-5/((-5/(((-5*(92.58--5))-(-5+((-5*92.58)*(((-5--5)+(92.58--5))+92.58))))-(-5+-5)))*-5)))/-5)--5)+(-5*(((92.58*(92.58-(-5/-5)))*(92.58-(92.58/(-5*92.58))))-(-5/-5)))))</f>
        <v>3950660.6347600003</v>
      </c>
      <c r="C19259" t="n" s="0">
        <v>3950660.6347600003</v>
      </c>
    </row>
    <row r="19260">
      <c r="A19260" t="n" s="0">
        <v>92.59</v>
      </c>
      <c r="B19260" t="n" s="0">
        <f>(-5-((((-5*(-5/((-5/(((-5*(92.59--5))-(-5+((-5*92.59)*(((-5--5)+(92.59--5))+92.59))))-(-5+-5)))*-5)))/-5)--5)+(-5*(((92.59*(92.59-(-5/-5)))*(92.59-(92.59/(-5*92.59))))-(-5/-5)))))</f>
        <v>3951942.7586950003</v>
      </c>
      <c r="C19260" t="n" s="0">
        <v>3951942.7586950003</v>
      </c>
    </row>
    <row r="19261">
      <c r="A19261" t="n" s="0">
        <v>92.6</v>
      </c>
      <c r="B19261" t="n" s="0">
        <f>(-5-((((-5*(-5/((-5/(((-5*(92.6--5))-(-5+((-5*92.6)*(((-5--5)+(92.6--5))+92.6))))-(-5+-5)))*-5)))/-5)--5)+(-5*(((92.6*(92.6-(-5/-5)))*(92.6-(92.6/(-5*92.6))))-(-5/-5)))))</f>
        <v>3953225.16</v>
      </c>
      <c r="C19261" t="n" s="0">
        <v>3953225.1599999988</v>
      </c>
    </row>
    <row r="19262">
      <c r="A19262" t="n" s="0">
        <v>92.61</v>
      </c>
      <c r="B19262" t="n" s="0">
        <f>(-5-((((-5*(-5/((-5/(((-5*(92.61--5))-(-5+((-5*92.61)*(((-5--5)+(92.61--5))+92.61))))-(-5+-5)))*-5)))/-5)--5)+(-5*(((92.61*(92.61-(-5/-5)))*(92.61-(92.61/(-5*92.61))))-(-5/-5)))))</f>
        <v>3954507.838705</v>
      </c>
      <c r="C19262" t="n" s="0">
        <v>3954507.838705</v>
      </c>
    </row>
    <row r="19263">
      <c r="A19263" t="n" s="0">
        <v>92.62</v>
      </c>
      <c r="B19263" t="n" s="0">
        <f>(-5-((((-5*(-5/((-5/(((-5*(92.62--5))-(-5+((-5*92.62)*(((-5--5)+(92.62--5))+92.62))))-(-5+-5)))*-5)))/-5)--5)+(-5*(((92.62*(92.62-(-5/-5)))*(92.62-(92.62/(-5*92.62))))-(-5/-5)))))</f>
        <v>3955790.7948399996</v>
      </c>
      <c r="C19263" t="n" s="0">
        <v>3955790.794840001</v>
      </c>
    </row>
    <row r="19264">
      <c r="A19264" t="n" s="0">
        <v>92.63</v>
      </c>
      <c r="B19264" t="n" s="0">
        <f>(-5-((((-5*(-5/((-5/(((-5*(92.63--5))-(-5+((-5*92.63)*(((-5--5)+(92.63--5))+92.63))))-(-5+-5)))*-5)))/-5)--5)+(-5*(((92.63*(92.63-(-5/-5)))*(92.63-(92.63/(-5*92.63))))-(-5/-5)))))</f>
        <v>3957074.0284349998</v>
      </c>
      <c r="C19264" t="n" s="0">
        <v>3957074.0284349998</v>
      </c>
    </row>
    <row r="19265">
      <c r="A19265" t="n" s="0">
        <v>92.64</v>
      </c>
      <c r="B19265" t="n" s="0">
        <f>(-5-((((-5*(-5/((-5/(((-5*(92.64--5))-(-5+((-5*92.64)*(((-5--5)+(92.64--5))+92.64))))-(-5+-5)))*-5)))/-5)--5)+(-5*(((92.64*(92.64-(-5/-5)))*(92.64-(92.64/(-5*92.64))))-(-5/-5)))))</f>
        <v>3958357.5395199996</v>
      </c>
      <c r="C19265" t="n" s="0">
        <v>3958357.5395200006</v>
      </c>
    </row>
    <row r="19266">
      <c r="A19266" t="n" s="0">
        <v>92.65</v>
      </c>
      <c r="B19266" t="n" s="0">
        <f>(-5-((((-5*(-5/((-5/(((-5*(92.65--5))-(-5+((-5*92.65)*(((-5--5)+(92.65--5))+92.65))))-(-5+-5)))*-5)))/-5)--5)+(-5*(((92.65*(92.65-(-5/-5)))*(92.65-(92.65/(-5*92.65))))-(-5/-5)))))</f>
        <v>3959641.328125</v>
      </c>
      <c r="C19266" t="n" s="0">
        <v>3959641.328125001</v>
      </c>
    </row>
    <row r="19267">
      <c r="A19267" t="n" s="0">
        <v>92.66</v>
      </c>
      <c r="B19267" t="n" s="0">
        <f>(-5-((((-5*(-5/((-5/(((-5*(92.66--5))-(-5+((-5*92.66)*(((-5--5)+(92.66--5))+92.66))))-(-5+-5)))*-5)))/-5)--5)+(-5*(((92.66*(92.66-(-5/-5)))*(92.66-(92.66/(-5*92.66))))-(-5/-5)))))</f>
        <v>3960925.39428</v>
      </c>
      <c r="C19267" t="n" s="0">
        <v>3960925.3942799997</v>
      </c>
    </row>
    <row r="19268">
      <c r="A19268" t="n" s="0">
        <v>92.67</v>
      </c>
      <c r="B19268" t="n" s="0">
        <f>(-5-((((-5*(-5/((-5/(((-5*(92.67--5))-(-5+((-5*92.67)*(((-5--5)+(92.67--5))+92.67))))-(-5+-5)))*-5)))/-5)--5)+(-5*(((92.67*(92.67-(-5/-5)))*(92.67-(92.67/(-5*92.67))))-(-5/-5)))))</f>
        <v>3962209.7380150002</v>
      </c>
      <c r="C19268" t="n" s="0">
        <v>3962209.738015</v>
      </c>
    </row>
    <row r="19269">
      <c r="A19269" t="n" s="0">
        <v>92.68</v>
      </c>
      <c r="B19269" t="n" s="0">
        <f>(-5-((((-5*(-5/((-5/(((-5*(92.68--5))-(-5+((-5*92.68)*(((-5--5)+(92.68--5))+92.68))))-(-5+-5)))*-5)))/-5)--5)+(-5*(((92.68*(92.68-(-5/-5)))*(92.68-(92.68/(-5*92.68))))-(-5/-5)))))</f>
        <v>3963494.35936</v>
      </c>
      <c r="C19269" t="n" s="0">
        <v>3963494.359360001</v>
      </c>
    </row>
    <row r="19270">
      <c r="A19270" t="n" s="0">
        <v>92.69</v>
      </c>
      <c r="B19270" t="n" s="0">
        <f>(-5-((((-5*(-5/((-5/(((-5*(92.69--5))-(-5+((-5*92.69)*(((-5--5)+(92.69--5))+92.69))))-(-5+-5)))*-5)))/-5)--5)+(-5*(((92.69*(92.69-(-5/-5)))*(92.69-(92.69/(-5*92.69))))-(-5/-5)))))</f>
        <v>3964779.258345</v>
      </c>
      <c r="C19270" t="n" s="0">
        <v>3964779.2583449995</v>
      </c>
    </row>
    <row r="19271">
      <c r="A19271" t="n" s="0">
        <v>92.7</v>
      </c>
      <c r="B19271" t="n" s="0">
        <f>(-5-((((-5*(-5/((-5/(((-5*(92.7--5))-(-5+((-5*92.7)*(((-5--5)+(92.7--5))+92.7))))-(-5+-5)))*-5)))/-5)--5)+(-5*(((92.7*(92.7-(-5/-5)))*(92.7-(92.7/(-5*92.7))))-(-5/-5)))))</f>
        <v>3966064.435</v>
      </c>
      <c r="C19271" t="n" s="0">
        <v>3966064.4350000005</v>
      </c>
    </row>
    <row r="19272">
      <c r="A19272" t="n" s="0">
        <v>92.71</v>
      </c>
      <c r="B19272" t="n" s="0">
        <f>(-5-((((-5*(-5/((-5/(((-5*(92.71--5))-(-5+((-5*92.71)*(((-5--5)+(92.71--5))+92.71))))-(-5+-5)))*-5)))/-5)--5)+(-5*(((92.71*(92.71-(-5/-5)))*(92.71-(92.71/(-5*92.71))))-(-5/-5)))))</f>
        <v>3967349.889355</v>
      </c>
      <c r="C19272" t="n" s="0">
        <v>3967349.889354999</v>
      </c>
    </row>
    <row r="19273">
      <c r="A19273" t="n" s="0">
        <v>92.72</v>
      </c>
      <c r="B19273" t="n" s="0">
        <f>(-5-((((-5*(-5/((-5/(((-5*(92.72--5))-(-5+((-5*92.72)*(((-5--5)+(92.72--5))+92.72))))-(-5+-5)))*-5)))/-5)--5)+(-5*(((92.72*(92.72-(-5/-5)))*(92.72-(92.72/(-5*92.72))))-(-5/-5)))))</f>
        <v>3968635.6214400004</v>
      </c>
      <c r="C19273" t="n" s="0">
        <v>3968635.62144</v>
      </c>
    </row>
    <row r="19274">
      <c r="A19274" t="n" s="0">
        <v>92.73</v>
      </c>
      <c r="B19274" t="n" s="0">
        <f>(-5-((((-5*(-5/((-5/(((-5*(92.73--5))-(-5+((-5*92.73)*(((-5--5)+(92.73--5))+92.73))))-(-5+-5)))*-5)))/-5)--5)+(-5*(((92.73*(92.73-(-5/-5)))*(92.73-(92.73/(-5*92.73))))-(-5/-5)))))</f>
        <v>3969921.631285</v>
      </c>
      <c r="C19274" t="n" s="0">
        <v>3969921.6312850006</v>
      </c>
    </row>
    <row r="19275">
      <c r="A19275" t="n" s="0">
        <v>92.74</v>
      </c>
      <c r="B19275" t="n" s="0">
        <f>(-5-((((-5*(-5/((-5/(((-5*(92.74--5))-(-5+((-5*92.74)*(((-5--5)+(92.74--5))+92.74))))-(-5+-5)))*-5)))/-5)--5)+(-5*(((92.74*(92.74-(-5/-5)))*(92.74-(92.74/(-5*92.74))))-(-5/-5)))))</f>
        <v>3971207.91892</v>
      </c>
      <c r="C19275" t="n" s="0">
        <v>3971207.918919999</v>
      </c>
    </row>
    <row r="19276">
      <c r="A19276" t="n" s="0">
        <v>92.75</v>
      </c>
      <c r="B19276" t="n" s="0">
        <f>(-5-((((-5*(-5/((-5/(((-5*(92.75--5))-(-5+((-5*92.75)*(((-5--5)+(92.75--5))+92.75))))-(-5+-5)))*-5)))/-5)--5)+(-5*(((92.75*(92.75-(-5/-5)))*(92.75-(92.75/(-5*92.75))))-(-5/-5)))))</f>
        <v>3972494.484375</v>
      </c>
      <c r="C19276" t="n" s="0">
        <v>3972494.484375</v>
      </c>
    </row>
    <row r="19277">
      <c r="A19277" t="n" s="0">
        <v>92.76</v>
      </c>
      <c r="B19277" t="n" s="0">
        <f>(-5-((((-5*(-5/((-5/(((-5*(92.76--5))-(-5+((-5*92.76)*(((-5--5)+(92.76--5))+92.76))))-(-5+-5)))*-5)))/-5)--5)+(-5*(((92.76*(92.76-(-5/-5)))*(92.76-(92.76/(-5*92.76))))-(-5/-5)))))</f>
        <v>3973781.32768</v>
      </c>
      <c r="C19277" t="n" s="0">
        <v>3973781.3276800006</v>
      </c>
    </row>
    <row r="19278">
      <c r="A19278" t="n" s="0">
        <v>92.77</v>
      </c>
      <c r="B19278" t="n" s="0">
        <f>(-5-((((-5*(-5/((-5/(((-5*(92.77--5))-(-5+((-5*92.77)*(((-5--5)+(92.77--5))+92.77))))-(-5+-5)))*-5)))/-5)--5)+(-5*(((92.77*(92.77-(-5/-5)))*(92.77-(92.77/(-5*92.77))))-(-5/-5)))))</f>
        <v>3975068.448865</v>
      </c>
      <c r="C19278" t="n" s="0">
        <v>3975068.448864999</v>
      </c>
    </row>
    <row r="19279">
      <c r="A19279" t="n" s="0">
        <v>92.78</v>
      </c>
      <c r="B19279" t="n" s="0">
        <f>(-5-((((-5*(-5/((-5/(((-5*(92.78--5))-(-5+((-5*92.78)*(((-5--5)+(92.78--5))+92.78))))-(-5+-5)))*-5)))/-5)--5)+(-5*(((92.78*(92.78-(-5/-5)))*(92.78-(92.78/(-5*92.78))))-(-5/-5)))))</f>
        <v>3976355.8479600004</v>
      </c>
      <c r="C19279" t="n" s="0">
        <v>3976355.84796</v>
      </c>
    </row>
    <row r="19280">
      <c r="A19280" t="n" s="0">
        <v>92.79</v>
      </c>
      <c r="B19280" t="n" s="0">
        <f>(-5-((((-5*(-5/((-5/(((-5*(92.79--5))-(-5+((-5*92.79)*(((-5--5)+(92.79--5))+92.79))))-(-5+-5)))*-5)))/-5)--5)+(-5*(((92.79*(92.79-(-5/-5)))*(92.79-(92.79/(-5*92.79))))-(-5/-5)))))</f>
        <v>3977643.524995</v>
      </c>
      <c r="C19280" t="n" s="0">
        <v>3977643.524995001</v>
      </c>
    </row>
    <row r="19281">
      <c r="A19281" t="n" s="0">
        <v>92.8</v>
      </c>
      <c r="B19281" t="n" s="0">
        <f>(-5-((((-5*(-5/((-5/(((-5*(92.8--5))-(-5+((-5*92.8)*(((-5--5)+(92.8--5))+92.8))))-(-5+-5)))*-5)))/-5)--5)+(-5*(((92.8*(92.8-(-5/-5)))*(92.8-(92.8/(-5*92.8))))-(-5/-5)))))</f>
        <v>3978931.48</v>
      </c>
      <c r="C19281" t="n" s="0">
        <v>3978931.4799999995</v>
      </c>
    </row>
    <row r="19282">
      <c r="A19282" t="n" s="0">
        <v>92.81</v>
      </c>
      <c r="B19282" t="n" s="0">
        <f>(-5-((((-5*(-5/((-5/(((-5*(92.81--5))-(-5+((-5*92.81)*(((-5--5)+(92.81--5))+92.81))))-(-5+-5)))*-5)))/-5)--5)+(-5*(((92.81*(92.81-(-5/-5)))*(92.81-(92.81/(-5*92.81))))-(-5/-5)))))</f>
        <v>3980219.713005</v>
      </c>
      <c r="C19282" t="n" s="0">
        <v>3980219.7130050007</v>
      </c>
    </row>
    <row r="19283">
      <c r="A19283" t="n" s="0">
        <v>92.82</v>
      </c>
      <c r="B19283" t="n" s="0">
        <f>(-5-((((-5*(-5/((-5/(((-5*(92.82--5))-(-5+((-5*92.82)*(((-5--5)+(92.82--5))+92.82))))-(-5+-5)))*-5)))/-5)--5)+(-5*(((92.82*(92.82-(-5/-5)))*(92.82-(92.82/(-5*92.82))))-(-5/-5)))))</f>
        <v>3981508.2240400002</v>
      </c>
      <c r="C19283" t="n" s="0">
        <v>3981508.224039999</v>
      </c>
    </row>
    <row r="19284">
      <c r="A19284" t="n" s="0">
        <v>92.83</v>
      </c>
      <c r="B19284" t="n" s="0">
        <f>(-5-((((-5*(-5/((-5/(((-5*(92.83--5))-(-5+((-5*92.83)*(((-5--5)+(92.83--5))+92.83))))-(-5+-5)))*-5)))/-5)--5)+(-5*(((92.83*(92.83-(-5/-5)))*(92.83-(92.83/(-5*92.83))))-(-5/-5)))))</f>
        <v>3982797.013135</v>
      </c>
      <c r="C19284" t="n" s="0">
        <v>3982797.0131350006</v>
      </c>
    </row>
    <row r="19285">
      <c r="A19285" t="n" s="0">
        <v>92.84</v>
      </c>
      <c r="B19285" t="n" s="0">
        <f>(-5-((((-5*(-5/((-5/(((-5*(92.84--5))-(-5+((-5*92.84)*(((-5--5)+(92.84--5))+92.84))))-(-5+-5)))*-5)))/-5)--5)+(-5*(((92.84*(92.84-(-5/-5)))*(92.84-(92.84/(-5*92.84))))-(-5/-5)))))</f>
        <v>3984086.08032</v>
      </c>
      <c r="C19285" t="n" s="0">
        <v>3984086.0803200006</v>
      </c>
    </row>
    <row r="19286">
      <c r="A19286" t="n" s="0">
        <v>92.85</v>
      </c>
      <c r="B19286" t="n" s="0">
        <f>(-5-((((-5*(-5/((-5/(((-5*(92.85--5))-(-5+((-5*92.85)*(((-5--5)+(92.85--5))+92.85))))-(-5+-5)))*-5)))/-5)--5)+(-5*(((92.85*(92.85-(-5/-5)))*(92.85-(92.85/(-5*92.85))))-(-5/-5)))))</f>
        <v>3985375.425625</v>
      </c>
      <c r="C19286" t="n" s="0">
        <v>3985375.4256249988</v>
      </c>
    </row>
    <row r="19287">
      <c r="A19287" t="n" s="0">
        <v>92.86</v>
      </c>
      <c r="B19287" t="n" s="0">
        <f>(-5-((((-5*(-5/((-5/(((-5*(92.86--5))-(-5+((-5*92.86)*(((-5--5)+(92.86--5))+92.86))))-(-5+-5)))*-5)))/-5)--5)+(-5*(((92.86*(92.86-(-5/-5)))*(92.86-(92.86/(-5*92.86))))-(-5/-5)))))</f>
        <v>3986665.04908</v>
      </c>
      <c r="C19287" t="n" s="0">
        <v>3986665.0490800003</v>
      </c>
    </row>
    <row r="19288">
      <c r="A19288" t="n" s="0">
        <v>92.87</v>
      </c>
      <c r="B19288" t="n" s="0">
        <f>(-5-((((-5*(-5/((-5/(((-5*(92.87--5))-(-5+((-5*92.87)*(((-5--5)+(92.87--5))+92.87))))-(-5+-5)))*-5)))/-5)--5)+(-5*(((92.87*(92.87-(-5/-5)))*(92.87-(92.87/(-5*92.87))))-(-5/-5)))))</f>
        <v>3987954.950715</v>
      </c>
      <c r="C19288" t="n" s="0">
        <v>3987954.9507150003</v>
      </c>
    </row>
    <row r="19289">
      <c r="A19289" t="n" s="0">
        <v>92.88</v>
      </c>
      <c r="B19289" t="n" s="0">
        <f>(-5-((((-5*(-5/((-5/(((-5*(92.88--5))-(-5+((-5*92.88)*(((-5--5)+(92.88--5))+92.88))))-(-5+-5)))*-5)))/-5)--5)+(-5*(((92.88*(92.88-(-5/-5)))*(92.88-(92.88/(-5*92.88))))-(-5/-5)))))</f>
        <v>3989245.13056</v>
      </c>
      <c r="C19289" t="n" s="0">
        <v>3989245.13056</v>
      </c>
    </row>
    <row r="19290">
      <c r="A19290" t="n" s="0">
        <v>92.89</v>
      </c>
      <c r="B19290" t="n" s="0">
        <f>(-5-((((-5*(-5/((-5/(((-5*(92.89--5))-(-5+((-5*92.89)*(((-5--5)+(92.89--5))+92.89))))-(-5+-5)))*-5)))/-5)--5)+(-5*(((92.89*(92.89-(-5/-5)))*(92.89-(92.89/(-5*92.89))))-(-5/-5)))))</f>
        <v>3990535.588645</v>
      </c>
      <c r="C19290" t="n" s="0">
        <v>3990535.588645</v>
      </c>
    </row>
    <row r="19291">
      <c r="A19291" t="n" s="0">
        <v>92.9</v>
      </c>
      <c r="B19291" t="n" s="0">
        <f>(-5-((((-5*(-5/((-5/(((-5*(92.9--5))-(-5+((-5*92.9)*(((-5--5)+(92.9--5))+92.9))))-(-5+-5)))*-5)))/-5)--5)+(-5*(((92.9*(92.9-(-5/-5)))*(92.9-(92.9/(-5*92.9))))-(-5/-5)))))</f>
        <v>3991826.3249999997</v>
      </c>
      <c r="C19291" t="n" s="0">
        <v>3991826.325000001</v>
      </c>
    </row>
    <row r="19292">
      <c r="A19292" t="n" s="0">
        <v>92.91</v>
      </c>
      <c r="B19292" t="n" s="0">
        <f>(-5-((((-5*(-5/((-5/(((-5*(92.91--5))-(-5+((-5*92.91)*(((-5--5)+(92.91--5))+92.91))))-(-5+-5)))*-5)))/-5)--5)+(-5*(((92.91*(92.91-(-5/-5)))*(92.91-(92.91/(-5*92.91))))-(-5/-5)))))</f>
        <v>3993117.3396550003</v>
      </c>
      <c r="C19292" t="n" s="0">
        <v>3993117.3396549993</v>
      </c>
    </row>
    <row r="19293">
      <c r="A19293" t="n" s="0">
        <v>92.92</v>
      </c>
      <c r="B19293" t="n" s="0">
        <f>(-5-((((-5*(-5/((-5/(((-5*(92.92--5))-(-5+((-5*92.92)*(((-5--5)+(92.92--5))+92.92))))-(-5+-5)))*-5)))/-5)--5)+(-5*(((92.92*(92.92-(-5/-5)))*(92.92-(92.92/(-5*92.92))))-(-5/-5)))))</f>
        <v>3994408.63264</v>
      </c>
      <c r="C19293" t="n" s="0">
        <v>3994408.63264</v>
      </c>
    </row>
    <row r="19294">
      <c r="A19294" t="n" s="0">
        <v>92.93</v>
      </c>
      <c r="B19294" t="n" s="0">
        <f>(-5-((((-5*(-5/((-5/(((-5*(92.93--5))-(-5+((-5*92.93)*(((-5--5)+(92.93--5))+92.93))))-(-5+-5)))*-5)))/-5)--5)+(-5*(((92.93*(92.93-(-5/-5)))*(92.93-(92.93/(-5*92.93))))-(-5/-5)))))</f>
        <v>3995700.203985</v>
      </c>
      <c r="C19294" t="n" s="0">
        <v>3995700.203985001</v>
      </c>
    </row>
    <row r="19295">
      <c r="A19295" t="n" s="0">
        <v>92.94</v>
      </c>
      <c r="B19295" t="n" s="0">
        <f>(-5-((((-5*(-5/((-5/(((-5*(92.94--5))-(-5+((-5*92.94)*(((-5--5)+(92.94--5))+92.94))))-(-5+-5)))*-5)))/-5)--5)+(-5*(((92.94*(92.94-(-5/-5)))*(92.94-(92.94/(-5*92.94))))-(-5/-5)))))</f>
        <v>3996992.0537199997</v>
      </c>
      <c r="C19295" t="n" s="0">
        <v>3996992.0537199993</v>
      </c>
    </row>
    <row r="19296">
      <c r="A19296" t="n" s="0">
        <v>92.95</v>
      </c>
      <c r="B19296" t="n" s="0">
        <f>(-5-((((-5*(-5/((-5/(((-5*(92.95--5))-(-5+((-5*92.95)*(((-5--5)+(92.95--5))+92.95))))-(-5+-5)))*-5)))/-5)--5)+(-5*(((92.95*(92.95-(-5/-5)))*(92.95-(92.95/(-5*92.95))))-(-5/-5)))))</f>
        <v>3998284.1818750002</v>
      </c>
      <c r="C19296" t="n" s="0">
        <v>3998284.1818750007</v>
      </c>
    </row>
    <row r="19297">
      <c r="A19297" t="n" s="0">
        <v>92.96</v>
      </c>
      <c r="B19297" t="n" s="0">
        <f>(-5-((((-5*(-5/((-5/(((-5*(92.96--5))-(-5+((-5*92.96)*(((-5--5)+(92.96--5))+92.96))))-(-5+-5)))*-5)))/-5)--5)+(-5*(((92.96*(92.96-(-5/-5)))*(92.96-(92.96/(-5*92.96))))-(-5/-5)))))</f>
        <v>3999576.58848</v>
      </c>
      <c r="C19297" t="n" s="0">
        <v>3999576.5884799995</v>
      </c>
    </row>
    <row r="19298">
      <c r="A19298" t="n" s="0">
        <v>92.97</v>
      </c>
      <c r="B19298" t="n" s="0">
        <f>(-5-((((-5*(-5/((-5/(((-5*(92.97--5))-(-5+((-5*92.97)*(((-5--5)+(92.97--5))+92.97))))-(-5+-5)))*-5)))/-5)--5)+(-5*(((92.97*(92.97-(-5/-5)))*(92.97-(92.97/(-5*92.97))))-(-5/-5)))))</f>
        <v>4000869.273565</v>
      </c>
      <c r="C19298" t="n" s="0">
        <v>4000869.273565</v>
      </c>
    </row>
    <row r="19299">
      <c r="A19299" t="n" s="0">
        <v>92.98</v>
      </c>
      <c r="B19299" t="n" s="0">
        <f>(-5-((((-5*(-5/((-5/(((-5*(92.98--5))-(-5+((-5*92.98)*(((-5--5)+(92.98--5))+92.98))))-(-5+-5)))*-5)))/-5)--5)+(-5*(((92.98*(92.98-(-5/-5)))*(92.98-(92.98/(-5*92.98))))-(-5/-5)))))</f>
        <v>4002162.23716</v>
      </c>
      <c r="C19299" t="n" s="0">
        <v>4002162.23716</v>
      </c>
    </row>
    <row r="19300">
      <c r="A19300" t="n" s="0">
        <v>92.99</v>
      </c>
      <c r="B19300" t="n" s="0">
        <f>(-5-((((-5*(-5/((-5/(((-5*(92.99--5))-(-5+((-5*92.99)*(((-5--5)+(92.99--5))+92.99))))-(-5+-5)))*-5)))/-5)--5)+(-5*(((92.99*(92.99-(-5/-5)))*(92.99-(92.99/(-5*92.99))))-(-5/-5)))))</f>
        <v>4003455.479295</v>
      </c>
      <c r="C19300" t="n" s="0">
        <v>4003455.479295</v>
      </c>
    </row>
    <row r="19301">
      <c r="A19301" t="n" s="0">
        <v>93.0</v>
      </c>
      <c r="B19301" t="n" s="0">
        <f>(-5-((((-5*(-5/((-5/(((-5*(93--5))-(-5+((-5*93)*(((-5--5)+(93--5))+93))))-(-5+-5)))*-5)))/-5)--5)+(-5*(((93*(93-(-5/-5)))*(93-(93/(-5*93))))-(-5/-5)))))</f>
        <v>4004749.0</v>
      </c>
      <c r="C19301" t="n" s="0">
        <v>4004749.0</v>
      </c>
    </row>
    <row r="19302">
      <c r="A19302" t="n" s="0">
        <v>93.01</v>
      </c>
      <c r="B19302" t="n" s="0">
        <f>(-5-((((-5*(-5/((-5/(((-5*(93.01--5))-(-5+((-5*93.01)*(((-5--5)+(93.01--5))+93.01))))-(-5+-5)))*-5)))/-5)--5)+(-5*(((93.01*(93.01-(-5/-5)))*(93.01-(93.01/(-5*93.01))))-(-5/-5)))))</f>
        <v>4006042.799305</v>
      </c>
      <c r="C19302" t="n" s="0">
        <v>4006042.7993050003</v>
      </c>
    </row>
    <row r="19303">
      <c r="A19303" t="n" s="0">
        <v>93.02</v>
      </c>
      <c r="B19303" t="n" s="0">
        <f>(-5-((((-5*(-5/((-5/(((-5*(93.02--5))-(-5+((-5*93.02)*(((-5--5)+(93.02--5))+93.02))))-(-5+-5)))*-5)))/-5)--5)+(-5*(((93.02*(93.02-(-5/-5)))*(93.02-(93.02/(-5*93.02))))-(-5/-5)))))</f>
        <v>4007336.87724</v>
      </c>
      <c r="C19303" t="n" s="0">
        <v>4007336.87724</v>
      </c>
    </row>
    <row r="19304">
      <c r="A19304" t="n" s="0">
        <v>93.03</v>
      </c>
      <c r="B19304" t="n" s="0">
        <f>(-5-((((-5*(-5/((-5/(((-5*(93.03--5))-(-5+((-5*93.03)*(((-5--5)+(93.03--5))+93.03))))-(-5+-5)))*-5)))/-5)--5)+(-5*(((93.03*(93.03-(-5/-5)))*(93.03-(93.03/(-5*93.03))))-(-5/-5)))))</f>
        <v>4008631.233835</v>
      </c>
      <c r="C19304" t="n" s="0">
        <v>4008631.233835</v>
      </c>
    </row>
    <row r="19305">
      <c r="A19305" t="n" s="0">
        <v>93.04</v>
      </c>
      <c r="B19305" t="n" s="0">
        <f>(-5-((((-5*(-5/((-5/(((-5*(93.04--5))-(-5+((-5*93.04)*(((-5--5)+(93.04--5))+93.04))))-(-5+-5)))*-5)))/-5)--5)+(-5*(((93.04*(93.04-(-5/-5)))*(93.04-(93.04/(-5*93.04))))-(-5/-5)))))</f>
        <v>4009925.8691200004</v>
      </c>
      <c r="C19305" t="n" s="0">
        <v>4009925.869120001</v>
      </c>
    </row>
    <row r="19306">
      <c r="A19306" t="n" s="0">
        <v>93.05</v>
      </c>
      <c r="B19306" t="n" s="0">
        <f>(-5-((((-5*(-5/((-5/(((-5*(93.05--5))-(-5+((-5*93.05)*(((-5--5)+(93.05--5))+93.05))))-(-5+-5)))*-5)))/-5)--5)+(-5*(((93.05*(93.05-(-5/-5)))*(93.05-(93.05/(-5*93.05))))-(-5/-5)))))</f>
        <v>4011220.783125</v>
      </c>
      <c r="C19306" t="n" s="0">
        <v>4011220.783124999</v>
      </c>
    </row>
    <row r="19307">
      <c r="A19307" t="n" s="0">
        <v>93.06</v>
      </c>
      <c r="B19307" t="n" s="0">
        <f>(-5-((((-5*(-5/((-5/(((-5*(93.06--5))-(-5+((-5*93.06)*(((-5--5)+(93.06--5))+93.06))))-(-5+-5)))*-5)))/-5)--5)+(-5*(((93.06*(93.06-(-5/-5)))*(93.06-(93.06/(-5*93.06))))-(-5/-5)))))</f>
        <v>4012515.97588</v>
      </c>
      <c r="C19307" t="n" s="0">
        <v>4012515.9758800003</v>
      </c>
    </row>
    <row r="19308">
      <c r="A19308" t="n" s="0">
        <v>93.07</v>
      </c>
      <c r="B19308" t="n" s="0">
        <f>(-5-((((-5*(-5/((-5/(((-5*(93.07--5))-(-5+((-5*93.07)*(((-5--5)+(93.07--5))+93.07))))-(-5+-5)))*-5)))/-5)--5)+(-5*(((93.07*(93.07-(-5/-5)))*(93.07-(93.07/(-5*93.07))))-(-5/-5)))))</f>
        <v>4013811.447415</v>
      </c>
      <c r="C19308" t="n" s="0">
        <v>4013811.447414999</v>
      </c>
    </row>
    <row r="19309">
      <c r="A19309" t="n" s="0">
        <v>93.08</v>
      </c>
      <c r="B19309" t="n" s="0">
        <f>(-5-((((-5*(-5/((-5/(((-5*(93.08--5))-(-5+((-5*93.08)*(((-5--5)+(93.08--5))+93.08))))-(-5+-5)))*-5)))/-5)--5)+(-5*(((93.08*(93.08-(-5/-5)))*(93.08-(93.08/(-5*93.08))))-(-5/-5)))))</f>
        <v>4015107.1977600004</v>
      </c>
      <c r="C19309" t="n" s="0">
        <v>4015107.1977600004</v>
      </c>
    </row>
    <row r="19310">
      <c r="A19310" t="n" s="0">
        <v>93.09</v>
      </c>
      <c r="B19310" t="n" s="0">
        <f>(-5-((((-5*(-5/((-5/(((-5*(93.09--5))-(-5+((-5*93.09)*(((-5--5)+(93.09--5))+93.09))))-(-5+-5)))*-5)))/-5)--5)+(-5*(((93.09*(93.09-(-5/-5)))*(93.09-(93.09/(-5*93.09))))-(-5/-5)))))</f>
        <v>4016403.226945</v>
      </c>
      <c r="C19310" t="n" s="0">
        <v>4016403.2269450007</v>
      </c>
    </row>
    <row r="19311">
      <c r="A19311" t="n" s="0">
        <v>93.1</v>
      </c>
      <c r="B19311" t="n" s="0">
        <f>(-5-((((-5*(-5/((-5/(((-5*(93.1--5))-(-5+((-5*93.1)*(((-5--5)+(93.1--5))+93.1))))-(-5+-5)))*-5)))/-5)--5)+(-5*(((93.1*(93.1-(-5/-5)))*(93.1-(93.1/(-5*93.1))))-(-5/-5)))))</f>
        <v>4017699.535</v>
      </c>
      <c r="C19311" t="n" s="0">
        <v>4017699.5349999988</v>
      </c>
    </row>
    <row r="19312">
      <c r="A19312" t="n" s="0">
        <v>93.11</v>
      </c>
      <c r="B19312" t="n" s="0">
        <f>(-5-((((-5*(-5/((-5/(((-5*(93.11--5))-(-5+((-5*93.11)*(((-5--5)+(93.11--5))+93.11))))-(-5+-5)))*-5)))/-5)--5)+(-5*(((93.11*(93.11-(-5/-5)))*(93.11-(93.11/(-5*93.11))))-(-5/-5)))))</f>
        <v>4018996.1219550003</v>
      </c>
      <c r="C19312" t="n" s="0">
        <v>4018996.1219550003</v>
      </c>
    </row>
    <row r="19313">
      <c r="A19313" t="n" s="0">
        <v>93.12</v>
      </c>
      <c r="B19313" t="n" s="0">
        <f>(-5-((((-5*(-5/((-5/(((-5*(93.12--5))-(-5+((-5*93.12)*(((-5--5)+(93.12--5))+93.12))))-(-5+-5)))*-5)))/-5)--5)+(-5*(((93.12*(93.12-(-5/-5)))*(93.12-(93.12/(-5*93.12))))-(-5/-5)))))</f>
        <v>4020292.98784</v>
      </c>
      <c r="C19313" t="n" s="0">
        <v>4020292.9878400005</v>
      </c>
    </row>
    <row r="19314">
      <c r="A19314" t="n" s="0">
        <v>93.13</v>
      </c>
      <c r="B19314" t="n" s="0">
        <f>(-5-((((-5*(-5/((-5/(((-5*(93.13--5))-(-5+((-5*93.13)*(((-5--5)+(93.13--5))+93.13))))-(-5+-5)))*-5)))/-5)--5)+(-5*(((93.13*(93.13-(-5/-5)))*(93.13-(93.13/(-5*93.13))))-(-5/-5)))))</f>
        <v>4021590.132685</v>
      </c>
      <c r="C19314" t="n" s="0">
        <v>4021590.132684999</v>
      </c>
    </row>
    <row r="19315">
      <c r="A19315" t="n" s="0">
        <v>93.14</v>
      </c>
      <c r="B19315" t="n" s="0">
        <f>(-5-((((-5*(-5/((-5/(((-5*(93.14--5))-(-5+((-5*93.14)*(((-5--5)+(93.14--5))+93.14))))-(-5+-5)))*-5)))/-5)--5)+(-5*(((93.14*(93.14-(-5/-5)))*(93.14-(93.14/(-5*93.14))))-(-5/-5)))))</f>
        <v>4022887.55652</v>
      </c>
      <c r="C19315" t="n" s="0">
        <v>4022887.55652</v>
      </c>
    </row>
    <row r="19316">
      <c r="A19316" t="n" s="0">
        <v>93.15</v>
      </c>
      <c r="B19316" t="n" s="0">
        <f>(-5-((((-5*(-5/((-5/(((-5*(93.15--5))-(-5+((-5*93.15)*(((-5--5)+(93.15--5))+93.15))))-(-5+-5)))*-5)))/-5)--5)+(-5*(((93.15*(93.15-(-5/-5)))*(93.15-(93.15/(-5*93.15))))-(-5/-5)))))</f>
        <v>4024185.259375</v>
      </c>
      <c r="C19316" t="n" s="0">
        <v>4024185.2593750004</v>
      </c>
    </row>
    <row r="19317">
      <c r="A19317" t="n" s="0">
        <v>93.16</v>
      </c>
      <c r="B19317" t="n" s="0">
        <f>(-5-((((-5*(-5/((-5/(((-5*(93.16--5))-(-5+((-5*93.16)*(((-5--5)+(93.16--5))+93.16))))-(-5+-5)))*-5)))/-5)--5)+(-5*(((93.16*(93.16-(-5/-5)))*(93.16-(93.16/(-5*93.16))))-(-5/-5)))))</f>
        <v>4025483.2412799997</v>
      </c>
      <c r="C19317" t="n" s="0">
        <v>4025483.2412799993</v>
      </c>
    </row>
    <row r="19318">
      <c r="A19318" t="n" s="0">
        <v>93.17</v>
      </c>
      <c r="B19318" t="n" s="0">
        <f>(-5-((((-5*(-5/((-5/(((-5*(93.17--5))-(-5+((-5*93.17)*(((-5--5)+(93.17--5))+93.17))))-(-5+-5)))*-5)))/-5)--5)+(-5*(((93.17*(93.17-(-5/-5)))*(93.17-(93.17/(-5*93.17))))-(-5/-5)))))</f>
        <v>4026781.502265</v>
      </c>
      <c r="C19318" t="n" s="0">
        <v>4026781.5022650003</v>
      </c>
    </row>
    <row r="19319">
      <c r="A19319" t="n" s="0">
        <v>93.18</v>
      </c>
      <c r="B19319" t="n" s="0">
        <f>(-5-((((-5*(-5/((-5/(((-5*(93.18--5))-(-5+((-5*93.18)*(((-5--5)+(93.18--5))+93.18))))-(-5+-5)))*-5)))/-5)--5)+(-5*(((93.18*(93.18-(-5/-5)))*(93.18-(93.18/(-5*93.18))))-(-5/-5)))))</f>
        <v>4028080.04236</v>
      </c>
      <c r="C19319" t="n" s="0">
        <v>4028080.0423600012</v>
      </c>
    </row>
    <row r="19320">
      <c r="A19320" t="n" s="0">
        <v>93.19</v>
      </c>
      <c r="B19320" t="n" s="0">
        <f>(-5-((((-5*(-5/((-5/(((-5*(93.19--5))-(-5+((-5*93.19)*(((-5--5)+(93.19--5))+93.19))))-(-5+-5)))*-5)))/-5)--5)+(-5*(((93.19*(93.19-(-5/-5)))*(93.19-(93.19/(-5*93.19))))-(-5/-5)))))</f>
        <v>4029378.861595</v>
      </c>
      <c r="C19320" t="n" s="0">
        <v>4029378.8615949997</v>
      </c>
    </row>
    <row r="19321">
      <c r="A19321" t="n" s="0">
        <v>93.2</v>
      </c>
      <c r="B19321" t="n" s="0">
        <f>(-5-((((-5*(-5/((-5/(((-5*(93.2--5))-(-5+((-5*93.2)*(((-5--5)+(93.2--5))+93.2))))-(-5+-5)))*-5)))/-5)--5)+(-5*(((93.2*(93.2-(-5/-5)))*(93.2-(93.2/(-5*93.2))))-(-5/-5)))))</f>
        <v>4030677.96</v>
      </c>
      <c r="C19321" t="n" s="0">
        <v>4030677.9600000004</v>
      </c>
    </row>
    <row r="19322">
      <c r="A19322" t="n" s="0">
        <v>93.21</v>
      </c>
      <c r="B19322" t="n" s="0">
        <f>(-5-((((-5*(-5/((-5/(((-5*(93.21--5))-(-5+((-5*93.21)*(((-5--5)+(93.21--5))+93.21))))-(-5+-5)))*-5)))/-5)--5)+(-5*(((93.21*(93.21-(-5/-5)))*(93.21-(93.21/(-5*93.21))))-(-5/-5)))))</f>
        <v>4031977.337605</v>
      </c>
      <c r="C19322" t="n" s="0">
        <v>4031977.3376049986</v>
      </c>
    </row>
    <row r="19323">
      <c r="A19323" t="n" s="0">
        <v>93.22</v>
      </c>
      <c r="B19323" t="n" s="0">
        <f>(-5-((((-5*(-5/((-5/(((-5*(93.22--5))-(-5+((-5*93.22)*(((-5--5)+(93.22--5))+93.22))))-(-5+-5)))*-5)))/-5)--5)+(-5*(((93.22*(93.22-(-5/-5)))*(93.22-(93.22/(-5*93.22))))-(-5/-5)))))</f>
        <v>4033276.99444</v>
      </c>
      <c r="C19323" t="n" s="0">
        <v>4033276.99444</v>
      </c>
    </row>
    <row r="19324">
      <c r="A19324" t="n" s="0">
        <v>93.23</v>
      </c>
      <c r="B19324" t="n" s="0">
        <f>(-5-((((-5*(-5/((-5/(((-5*(93.23--5))-(-5+((-5*93.23)*(((-5--5)+(93.23--5))+93.23))))-(-5+-5)))*-5)))/-5)--5)+(-5*(((93.23*(93.23-(-5/-5)))*(93.23-(93.23/(-5*93.23))))-(-5/-5)))))</f>
        <v>4034576.930535</v>
      </c>
      <c r="C19324" t="n" s="0">
        <v>4034576.9305350003</v>
      </c>
    </row>
    <row r="19325">
      <c r="A19325" t="n" s="0">
        <v>93.24</v>
      </c>
      <c r="B19325" t="n" s="0">
        <f>(-5-((((-5*(-5/((-5/(((-5*(93.24--5))-(-5+((-5*93.24)*(((-5--5)+(93.24--5))+93.24))))-(-5+-5)))*-5)))/-5)--5)+(-5*(((93.24*(93.24-(-5/-5)))*(93.24-(93.24/(-5*93.24))))-(-5/-5)))))</f>
        <v>4035877.14592</v>
      </c>
      <c r="C19325" t="n" s="0">
        <v>4035877.1459199996</v>
      </c>
    </row>
    <row r="19326">
      <c r="A19326" t="n" s="0">
        <v>93.25</v>
      </c>
      <c r="B19326" t="n" s="0">
        <f>(-5-((((-5*(-5/((-5/(((-5*(93.25--5))-(-5+((-5*93.25)*(((-5--5)+(93.25--5))+93.25))))-(-5+-5)))*-5)))/-5)--5)+(-5*(((93.25*(93.25-(-5/-5)))*(93.25-(93.25/(-5*93.25))))-(-5/-5)))))</f>
        <v>4037177.640625</v>
      </c>
      <c r="C19326" t="n" s="0">
        <v>4037177.640625</v>
      </c>
    </row>
    <row r="19327">
      <c r="A19327" t="n" s="0">
        <v>93.26</v>
      </c>
      <c r="B19327" t="n" s="0">
        <f>(-5-((((-5*(-5/((-5/(((-5*(93.26--5))-(-5+((-5*93.26)*(((-5--5)+(93.26--5))+93.26))))-(-5+-5)))*-5)))/-5)--5)+(-5*(((93.26*(93.26-(-5/-5)))*(93.26-(93.26/(-5*93.26))))-(-5/-5)))))</f>
        <v>4038478.41468</v>
      </c>
      <c r="C19327" t="n" s="0">
        <v>4038478.4146800004</v>
      </c>
    </row>
    <row r="19328">
      <c r="A19328" t="n" s="0">
        <v>93.27</v>
      </c>
      <c r="B19328" t="n" s="0">
        <f>(-5-((((-5*(-5/((-5/(((-5*(93.27--5))-(-5+((-5*93.27)*(((-5--5)+(93.27--5))+93.27))))-(-5+-5)))*-5)))/-5)--5)+(-5*(((93.27*(93.27-(-5/-5)))*(93.27-(93.27/(-5*93.27))))-(-5/-5)))))</f>
        <v>4039779.468115</v>
      </c>
      <c r="C19328" t="n" s="0">
        <v>4039779.468114999</v>
      </c>
    </row>
    <row r="19329">
      <c r="A19329" t="n" s="0">
        <v>93.28</v>
      </c>
      <c r="B19329" t="n" s="0">
        <f>(-5-((((-5*(-5/((-5/(((-5*(93.28--5))-(-5+((-5*93.28)*(((-5--5)+(93.28--5))+93.28))))-(-5+-5)))*-5)))/-5)--5)+(-5*(((93.28*(93.28-(-5/-5)))*(93.28-(93.28/(-5*93.28))))-(-5/-5)))))</f>
        <v>4041080.8009599997</v>
      </c>
      <c r="C19329" t="n" s="0">
        <v>4041080.80096</v>
      </c>
    </row>
    <row r="19330">
      <c r="A19330" t="n" s="0">
        <v>93.29</v>
      </c>
      <c r="B19330" t="n" s="0">
        <f>(-5-((((-5*(-5/((-5/(((-5*(93.29--5))-(-5+((-5*93.29)*(((-5--5)+(93.29--5))+93.29))))-(-5+-5)))*-5)))/-5)--5)+(-5*(((93.29*(93.29-(-5/-5)))*(93.29-(93.29/(-5*93.29))))-(-5/-5)))))</f>
        <v>4042382.4132450004</v>
      </c>
      <c r="C19330" t="n" s="0">
        <v>4042382.413245001</v>
      </c>
    </row>
    <row r="19331">
      <c r="A19331" t="n" s="0">
        <v>93.3</v>
      </c>
      <c r="B19331" t="n" s="0">
        <f>(-5-((((-5*(-5/((-5/(((-5*(93.3--5))-(-5+((-5*93.3)*(((-5--5)+(93.3--5))+93.3))))-(-5+-5)))*-5)))/-5)--5)+(-5*(((93.3*(93.3-(-5/-5)))*(93.3-(93.3/(-5*93.3))))-(-5/-5)))))</f>
        <v>4043684.305</v>
      </c>
      <c r="C19331" t="n" s="0">
        <v>4043684.3049999997</v>
      </c>
    </row>
    <row r="19332">
      <c r="A19332" t="n" s="0">
        <v>93.31</v>
      </c>
      <c r="B19332" t="n" s="0">
        <f>(-5-((((-5*(-5/((-5/(((-5*(93.31--5))-(-5+((-5*93.31)*(((-5--5)+(93.31--5))+93.31))))-(-5+-5)))*-5)))/-5)--5)+(-5*(((93.31*(93.31-(-5/-5)))*(93.31-(93.31/(-5*93.31))))-(-5/-5)))))</f>
        <v>4044986.476255</v>
      </c>
      <c r="C19332" t="n" s="0">
        <v>4044986.4762550006</v>
      </c>
    </row>
    <row r="19333">
      <c r="A19333" t="n" s="0">
        <v>93.32</v>
      </c>
      <c r="B19333" t="n" s="0">
        <f>(-5-((((-5*(-5/((-5/(((-5*(93.32--5))-(-5+((-5*93.32)*(((-5--5)+(93.32--5))+93.32))))-(-5+-5)))*-5)))/-5)--5)+(-5*(((93.32*(93.32-(-5/-5)))*(93.32-(93.32/(-5*93.32))))-(-5/-5)))))</f>
        <v>4046288.92704</v>
      </c>
      <c r="C19333" t="n" s="0">
        <v>4046288.927039999</v>
      </c>
    </row>
    <row r="19334">
      <c r="A19334" t="n" s="0">
        <v>93.33</v>
      </c>
      <c r="B19334" t="n" s="0">
        <f>(-5-((((-5*(-5/((-5/(((-5*(93.33--5))-(-5+((-5*93.33)*(((-5--5)+(93.33--5))+93.33))))-(-5+-5)))*-5)))/-5)--5)+(-5*(((93.33*(93.33-(-5/-5)))*(93.33-(93.33/(-5*93.33))))-(-5/-5)))))</f>
        <v>4047591.657385</v>
      </c>
      <c r="C19334" t="n" s="0">
        <v>4047591.657385</v>
      </c>
    </row>
    <row r="19335">
      <c r="A19335" t="n" s="0">
        <v>93.34</v>
      </c>
      <c r="B19335" t="n" s="0">
        <f>(-5-((((-5*(-5/((-5/(((-5*(93.34--5))-(-5+((-5*93.34)*(((-5--5)+(93.34--5))+93.34))))-(-5+-5)))*-5)))/-5)--5)+(-5*(((93.34*(93.34-(-5/-5)))*(93.34-(93.34/(-5*93.34))))-(-5/-5)))))</f>
        <v>4048894.66732</v>
      </c>
      <c r="C19335" t="n" s="0">
        <v>4048894.6673200005</v>
      </c>
    </row>
    <row r="19336">
      <c r="A19336" t="n" s="0">
        <v>93.35</v>
      </c>
      <c r="B19336" t="n" s="0">
        <f>(-5-((((-5*(-5/((-5/(((-5*(93.35--5))-(-5+((-5*93.35)*(((-5--5)+(93.35--5))+93.35))))-(-5+-5)))*-5)))/-5)--5)+(-5*(((93.35*(93.35-(-5/-5)))*(93.35-(93.35/(-5*93.35))))-(-5/-5)))))</f>
        <v>4050197.956875</v>
      </c>
      <c r="C19336" t="n" s="0">
        <v>4050197.956874999</v>
      </c>
    </row>
    <row r="19337">
      <c r="A19337" t="n" s="0">
        <v>93.36</v>
      </c>
      <c r="B19337" t="n" s="0">
        <f>(-5-((((-5*(-5/((-5/(((-5*(93.36--5))-(-5+((-5*93.36)*(((-5--5)+(93.36--5))+93.36))))-(-5+-5)))*-5)))/-5)--5)+(-5*(((93.36*(93.36-(-5/-5)))*(93.36-(93.36/(-5*93.36))))-(-5/-5)))))</f>
        <v>4051501.52608</v>
      </c>
      <c r="C19337" t="n" s="0">
        <v>4051501.5260799997</v>
      </c>
    </row>
    <row r="19338">
      <c r="A19338" t="n" s="0">
        <v>93.37</v>
      </c>
      <c r="B19338" t="n" s="0">
        <f>(-5-((((-5*(-5/((-5/(((-5*(93.37--5))-(-5+((-5*93.37)*(((-5--5)+(93.37--5))+93.37))))-(-5+-5)))*-5)))/-5)--5)+(-5*(((93.37*(93.37-(-5/-5)))*(93.37-(93.37/(-5*93.37))))-(-5/-5)))))</f>
        <v>4052805.374965</v>
      </c>
      <c r="C19338" t="n" s="0">
        <v>4052805.3749650004</v>
      </c>
    </row>
    <row r="19339">
      <c r="A19339" t="n" s="0">
        <v>93.38</v>
      </c>
      <c r="B19339" t="n" s="0">
        <f>(-5-((((-5*(-5/((-5/(((-5*(93.38--5))-(-5+((-5*93.38)*(((-5--5)+(93.38--5))+93.38))))-(-5+-5)))*-5)))/-5)--5)+(-5*(((93.38*(93.38-(-5/-5)))*(93.38-(93.38/(-5*93.38))))-(-5/-5)))))</f>
        <v>4054109.50356</v>
      </c>
      <c r="C19339" t="n" s="0">
        <v>4054109.5035599996</v>
      </c>
    </row>
    <row r="19340">
      <c r="A19340" t="n" s="0">
        <v>93.39</v>
      </c>
      <c r="B19340" t="n" s="0">
        <f>(-5-((((-5*(-5/((-5/(((-5*(93.39--5))-(-5+((-5*93.39)*(((-5--5)+(93.39--5))+93.39))))-(-5+-5)))*-5)))/-5)--5)+(-5*(((93.39*(93.39-(-5/-5)))*(93.39-(93.39/(-5*93.39))))-(-5/-5)))))</f>
        <v>4055413.911895</v>
      </c>
      <c r="C19340" t="n" s="0">
        <v>4055413.9118949994</v>
      </c>
    </row>
    <row r="19341">
      <c r="A19341" t="n" s="0">
        <v>93.4</v>
      </c>
      <c r="B19341" t="n" s="0">
        <f>(-5-((((-5*(-5/((-5/(((-5*(93.4--5))-(-5+((-5*93.4)*(((-5--5)+(93.4--5))+93.4))))-(-5+-5)))*-5)))/-5)--5)+(-5*(((93.4*(93.4-(-5/-5)))*(93.4-(93.4/(-5*93.4))))-(-5/-5)))))</f>
        <v>4056718.6</v>
      </c>
      <c r="C19341" t="n" s="0">
        <v>4056718.600000001</v>
      </c>
    </row>
    <row r="19342">
      <c r="A19342" t="n" s="0">
        <v>93.41</v>
      </c>
      <c r="B19342" t="n" s="0">
        <f>(-5-((((-5*(-5/((-5/(((-5*(93.41--5))-(-5+((-5*93.41)*(((-5--5)+(93.41--5))+93.41))))-(-5+-5)))*-5)))/-5)--5)+(-5*(((93.41*(93.41-(-5/-5)))*(93.41-(93.41/(-5*93.41))))-(-5/-5)))))</f>
        <v>4058023.567905</v>
      </c>
      <c r="C19342" t="n" s="0">
        <v>4058023.5679049995</v>
      </c>
    </row>
    <row r="19343">
      <c r="A19343" t="n" s="0">
        <v>93.42</v>
      </c>
      <c r="B19343" t="n" s="0">
        <f>(-5-((((-5*(-5/((-5/(((-5*(93.42--5))-(-5+((-5*93.42)*(((-5--5)+(93.42--5))+93.42))))-(-5+-5)))*-5)))/-5)--5)+(-5*(((93.42*(93.42-(-5/-5)))*(93.42-(93.42/(-5*93.42))))-(-5/-5)))))</f>
        <v>4059328.8156399997</v>
      </c>
      <c r="C19343" t="n" s="0">
        <v>4059328.81564</v>
      </c>
    </row>
    <row r="19344">
      <c r="A19344" t="n" s="0">
        <v>93.43</v>
      </c>
      <c r="B19344" t="n" s="0">
        <f>(-5-((((-5*(-5/((-5/(((-5*(93.43--5))-(-5+((-5*93.43)*(((-5--5)+(93.43--5))+93.43))))-(-5+-5)))*-5)))/-5)--5)+(-5*(((93.43*(93.43-(-5/-5)))*(93.43-(93.43/(-5*93.43))))-(-5/-5)))))</f>
        <v>4060634.343235</v>
      </c>
      <c r="C19344" t="n" s="0">
        <v>4060634.3432350005</v>
      </c>
    </row>
    <row r="19345">
      <c r="A19345" t="n" s="0">
        <v>93.44</v>
      </c>
      <c r="B19345" t="n" s="0">
        <f>(-5-((((-5*(-5/((-5/(((-5*(93.44--5))-(-5+((-5*93.44)*(((-5--5)+(93.44--5))+93.44))))-(-5+-5)))*-5)))/-5)--5)+(-5*(((93.44*(93.44-(-5/-5)))*(93.44-(93.44/(-5*93.44))))-(-5/-5)))))</f>
        <v>4061940.1507200003</v>
      </c>
      <c r="C19345" t="n" s="0">
        <v>4061940.1507199993</v>
      </c>
    </row>
    <row r="19346">
      <c r="A19346" t="n" s="0">
        <v>93.45</v>
      </c>
      <c r="B19346" t="n" s="0">
        <f>(-5-((((-5*(-5/((-5/(((-5*(93.45--5))-(-5+((-5*93.45)*(((-5--5)+(93.45--5))+93.45))))-(-5+-5)))*-5)))/-5)--5)+(-5*(((93.45*(93.45-(-5/-5)))*(93.45-(93.45/(-5*93.45))))-(-5/-5)))))</f>
        <v>4063246.238125</v>
      </c>
      <c r="C19346" t="n" s="0">
        <v>4063246.2381250006</v>
      </c>
    </row>
    <row r="19347">
      <c r="A19347" t="n" s="0">
        <v>93.46</v>
      </c>
      <c r="B19347" t="n" s="0">
        <f>(-5-((((-5*(-5/((-5/(((-5*(93.46--5))-(-5+((-5*93.46)*(((-5--5)+(93.46--5))+93.46))))-(-5+-5)))*-5)))/-5)--5)+(-5*(((93.46*(93.46-(-5/-5)))*(93.46-(93.46/(-5*93.46))))-(-5/-5)))))</f>
        <v>4064552.60548</v>
      </c>
      <c r="C19347" t="n" s="0">
        <v>4064552.6054799985</v>
      </c>
    </row>
    <row r="19348">
      <c r="A19348" t="n" s="0">
        <v>93.47</v>
      </c>
      <c r="B19348" t="n" s="0">
        <f>(-5-((((-5*(-5/((-5/(((-5*(93.47--5))-(-5+((-5*93.47)*(((-5--5)+(93.47--5))+93.47))))-(-5+-5)))*-5)))/-5)--5)+(-5*(((93.47*(93.47-(-5/-5)))*(93.47-(93.47/(-5*93.47))))-(-5/-5)))))</f>
        <v>4065859.252815</v>
      </c>
      <c r="C19348" t="n" s="0">
        <v>4065859.252815</v>
      </c>
    </row>
    <row r="19349">
      <c r="A19349" t="n" s="0">
        <v>93.48</v>
      </c>
      <c r="B19349" t="n" s="0">
        <f>(-5-((((-5*(-5/((-5/(((-5*(93.48--5))-(-5+((-5*93.48)*(((-5--5)+(93.48--5))+93.48))))-(-5+-5)))*-5)))/-5)--5)+(-5*(((93.48*(93.48-(-5/-5)))*(93.48-(93.48/(-5*93.48))))-(-5/-5)))))</f>
        <v>4067166.18016</v>
      </c>
      <c r="C19349" t="n" s="0">
        <v>4067166.1801600005</v>
      </c>
    </row>
    <row r="19350">
      <c r="A19350" t="n" s="0">
        <v>93.49</v>
      </c>
      <c r="B19350" t="n" s="0">
        <f>(-5-((((-5*(-5/((-5/(((-5*(93.49--5))-(-5+((-5*93.49)*(((-5--5)+(93.49--5))+93.49))))-(-5+-5)))*-5)))/-5)--5)+(-5*(((93.49*(93.49-(-5/-5)))*(93.49-(93.49/(-5*93.49))))-(-5/-5)))))</f>
        <v>4068473.387545</v>
      </c>
      <c r="C19350" t="n" s="0">
        <v>4068473.387545</v>
      </c>
    </row>
    <row r="19351">
      <c r="A19351" t="n" s="0">
        <v>93.5</v>
      </c>
      <c r="B19351" t="n" s="0">
        <f>(-5-((((-5*(-5/((-5/(((-5*(93.5--5))-(-5+((-5*93.5)*(((-5--5)+(93.5--5))+93.5))))-(-5+-5)))*-5)))/-5)--5)+(-5*(((93.5*(93.5-(-5/-5)))*(93.5-(93.5/(-5*93.5))))-(-5/-5)))))</f>
        <v>4069780.875</v>
      </c>
      <c r="C19351" t="n" s="0">
        <v>4069780.875</v>
      </c>
    </row>
    <row r="19352">
      <c r="A19352" t="n" s="0">
        <v>93.51</v>
      </c>
      <c r="B19352" t="n" s="0">
        <f>(-5-((((-5*(-5/((-5/(((-5*(93.51--5))-(-5+((-5*93.51)*(((-5--5)+(93.51--5))+93.51))))-(-5+-5)))*-5)))/-5)--5)+(-5*(((93.51*(93.51-(-5/-5)))*(93.51-(93.51/(-5*93.51))))-(-5/-5)))))</f>
        <v>4071088.642555</v>
      </c>
      <c r="C19352" t="n" s="0">
        <v>4071088.6425550007</v>
      </c>
    </row>
    <row r="19353">
      <c r="A19353" t="n" s="0">
        <v>93.52</v>
      </c>
      <c r="B19353" t="n" s="0">
        <f>(-5-((((-5*(-5/((-5/(((-5*(93.52--5))-(-5+((-5*93.52)*(((-5--5)+(93.52--5))+93.52))))-(-5+-5)))*-5)))/-5)--5)+(-5*(((93.52*(93.52-(-5/-5)))*(93.52-(93.52/(-5*93.52))))-(-5/-5)))))</f>
        <v>4072396.69024</v>
      </c>
      <c r="C19353" t="n" s="0">
        <v>4072396.69024</v>
      </c>
    </row>
    <row r="19354">
      <c r="A19354" t="n" s="0">
        <v>93.53</v>
      </c>
      <c r="B19354" t="n" s="0">
        <f>(-5-((((-5*(-5/((-5/(((-5*(93.53--5))-(-5+((-5*93.53)*(((-5--5)+(93.53--5))+93.53))))-(-5+-5)))*-5)))/-5)--5)+(-5*(((93.53*(93.53-(-5/-5)))*(93.53-(93.53/(-5*93.53))))-(-5/-5)))))</f>
        <v>4073705.018085</v>
      </c>
      <c r="C19354" t="n" s="0">
        <v>4073705.0180849996</v>
      </c>
    </row>
    <row r="19355">
      <c r="A19355" t="n" s="0">
        <v>93.54</v>
      </c>
      <c r="B19355" t="n" s="0">
        <f>(-5-((((-5*(-5/((-5/(((-5*(93.54--5))-(-5+((-5*93.54)*(((-5--5)+(93.54--5))+93.54))))-(-5+-5)))*-5)))/-5)--5)+(-5*(((93.54*(93.54-(-5/-5)))*(93.54-(93.54/(-5*93.54))))-(-5/-5)))))</f>
        <v>4075013.6261199997</v>
      </c>
      <c r="C19355" t="n" s="0">
        <v>4075013.626120001</v>
      </c>
    </row>
    <row r="19356">
      <c r="A19356" t="n" s="0">
        <v>93.55</v>
      </c>
      <c r="B19356" t="n" s="0">
        <f>(-5-((((-5*(-5/((-5/(((-5*(93.55--5))-(-5+((-5*93.55)*(((-5--5)+(93.55--5))+93.55))))-(-5+-5)))*-5)))/-5)--5)+(-5*(((93.55*(93.55-(-5/-5)))*(93.55-(93.55/(-5*93.55))))-(-5/-5)))))</f>
        <v>4076322.514375</v>
      </c>
      <c r="C19356" t="n" s="0">
        <v>4076322.514375</v>
      </c>
    </row>
    <row r="19357">
      <c r="A19357" t="n" s="0">
        <v>93.56</v>
      </c>
      <c r="B19357" t="n" s="0">
        <f>(-5-((((-5*(-5/((-5/(((-5*(93.56--5))-(-5+((-5*93.56)*(((-5--5)+(93.56--5))+93.56))))-(-5+-5)))*-5)))/-5)--5)+(-5*(((93.56*(93.56-(-5/-5)))*(93.56-(93.56/(-5*93.56))))-(-5/-5)))))</f>
        <v>4077631.68288</v>
      </c>
      <c r="C19357" t="n" s="0">
        <v>4077631.682880001</v>
      </c>
    </row>
    <row r="19358">
      <c r="A19358" t="n" s="0">
        <v>93.57</v>
      </c>
      <c r="B19358" t="n" s="0">
        <f>(-5-((((-5*(-5/((-5/(((-5*(93.57--5))-(-5+((-5*93.57)*(((-5--5)+(93.57--5))+93.57))))-(-5+-5)))*-5)))/-5)--5)+(-5*(((93.57*(93.57-(-5/-5)))*(93.57-(93.57/(-5*93.57))))-(-5/-5)))))</f>
        <v>4078941.131665</v>
      </c>
      <c r="C19358" t="n" s="0">
        <v>4078941.1316649998</v>
      </c>
    </row>
    <row r="19359">
      <c r="A19359" t="n" s="0">
        <v>93.58</v>
      </c>
      <c r="B19359" t="n" s="0">
        <f>(-5-((((-5*(-5/((-5/(((-5*(93.58--5))-(-5+((-5*93.58)*(((-5--5)+(93.58--5))+93.58))))-(-5+-5)))*-5)))/-5)--5)+(-5*(((93.58*(93.58-(-5/-5)))*(93.58-(93.58/(-5*93.58))))-(-5/-5)))))</f>
        <v>4080250.86076</v>
      </c>
      <c r="C19359" t="n" s="0">
        <v>4080250.86076</v>
      </c>
    </row>
    <row r="19360">
      <c r="A19360" t="n" s="0">
        <v>93.59</v>
      </c>
      <c r="B19360" t="n" s="0">
        <f>(-5-((((-5*(-5/((-5/(((-5*(93.59--5))-(-5+((-5*93.59)*(((-5--5)+(93.59--5))+93.59))))-(-5+-5)))*-5)))/-5)--5)+(-5*(((93.59*(93.59-(-5/-5)))*(93.59-(93.59/(-5*93.59))))-(-5/-5)))))</f>
        <v>4081560.870195</v>
      </c>
      <c r="C19360" t="n" s="0">
        <v>4081560.8701950004</v>
      </c>
    </row>
    <row r="19361">
      <c r="A19361" t="n" s="0">
        <v>93.6</v>
      </c>
      <c r="B19361" t="n" s="0">
        <f>(-5-((((-5*(-5/((-5/(((-5*(93.6--5))-(-5+((-5*93.6)*(((-5--5)+(93.6--5))+93.6))))-(-5+-5)))*-5)))/-5)--5)+(-5*(((93.6*(93.6-(-5/-5)))*(93.6-(93.6/(-5*93.6))))-(-5/-5)))))</f>
        <v>4082871.1599999997</v>
      </c>
      <c r="C19361" t="n" s="0">
        <v>4082871.1599999988</v>
      </c>
    </row>
    <row r="19362">
      <c r="A19362" t="n" s="0">
        <v>93.61</v>
      </c>
      <c r="B19362" t="n" s="0">
        <f>(-5-((((-5*(-5/((-5/(((-5*(93.61--5))-(-5+((-5*93.61)*(((-5--5)+(93.61--5))+93.61))))-(-5+-5)))*-5)))/-5)--5)+(-5*(((93.61*(93.61-(-5/-5)))*(93.61-(93.61/(-5*93.61))))-(-5/-5)))))</f>
        <v>4084181.730205</v>
      </c>
      <c r="C19362" t="n" s="0">
        <v>4084181.730205</v>
      </c>
    </row>
    <row r="19363">
      <c r="A19363" t="n" s="0">
        <v>93.62</v>
      </c>
      <c r="B19363" t="n" s="0">
        <f>(-5-((((-5*(-5/((-5/(((-5*(93.62--5))-(-5+((-5*93.62)*(((-5--5)+(93.62--5))+93.62))))-(-5+-5)))*-5)))/-5)--5)+(-5*(((93.62*(93.62-(-5/-5)))*(93.62-(93.62/(-5*93.62))))-(-5/-5)))))</f>
        <v>4085492.58084</v>
      </c>
      <c r="C19363" t="n" s="0">
        <v>4085492.5808400004</v>
      </c>
    </row>
    <row r="19364">
      <c r="A19364" t="n" s="0">
        <v>93.63</v>
      </c>
      <c r="B19364" t="n" s="0">
        <f>(-5-((((-5*(-5/((-5/(((-5*(93.63--5))-(-5+((-5*93.63)*(((-5--5)+(93.63--5))+93.63))))-(-5+-5)))*-5)))/-5)--5)+(-5*(((93.63*(93.63-(-5/-5)))*(93.63-(93.63/(-5*93.63))))-(-5/-5)))))</f>
        <v>4086803.711935</v>
      </c>
      <c r="C19364" t="n" s="0">
        <v>4086803.7119349996</v>
      </c>
    </row>
    <row r="19365">
      <c r="A19365" t="n" s="0">
        <v>93.64</v>
      </c>
      <c r="B19365" t="n" s="0">
        <f>(-5-((((-5*(-5/((-5/(((-5*(93.64--5))-(-5+((-5*93.64)*(((-5--5)+(93.64--5))+93.64))))-(-5+-5)))*-5)))/-5)--5)+(-5*(((93.64*(93.64-(-5/-5)))*(93.64-(93.64/(-5*93.64))))-(-5/-5)))))</f>
        <v>4088115.12352</v>
      </c>
      <c r="C19365" t="n" s="0">
        <v>4088115.1235200004</v>
      </c>
    </row>
    <row r="19366">
      <c r="A19366" t="n" s="0">
        <v>93.65</v>
      </c>
      <c r="B19366" t="n" s="0">
        <f>(-5-((((-5*(-5/((-5/(((-5*(93.65--5))-(-5+((-5*93.65)*(((-5--5)+(93.65--5))+93.65))))-(-5+-5)))*-5)))/-5)--5)+(-5*(((93.65*(93.65-(-5/-5)))*(93.65-(93.65/(-5*93.65))))-(-5/-5)))))</f>
        <v>4089426.8156250003</v>
      </c>
      <c r="C19366" t="n" s="0">
        <v>4089426.815625001</v>
      </c>
    </row>
    <row r="19367">
      <c r="A19367" t="n" s="0">
        <v>93.66</v>
      </c>
      <c r="B19367" t="n" s="0">
        <f>(-5-((((-5*(-5/((-5/(((-5*(93.66--5))-(-5+((-5*93.66)*(((-5--5)+(93.66--5))+93.66))))-(-5+-5)))*-5)))/-5)--5)+(-5*(((93.66*(93.66-(-5/-5)))*(93.66-(93.66/(-5*93.66))))-(-5/-5)))))</f>
        <v>4090738.78828</v>
      </c>
      <c r="C19367" t="n" s="0">
        <v>4090738.7882799995</v>
      </c>
    </row>
    <row r="19368">
      <c r="A19368" t="n" s="0">
        <v>93.67</v>
      </c>
      <c r="B19368" t="n" s="0">
        <f>(-5-((((-5*(-5/((-5/(((-5*(93.67--5))-(-5+((-5*93.67)*(((-5--5)+(93.67--5))+93.67))))-(-5+-5)))*-5)))/-5)--5)+(-5*(((93.67*(93.67-(-5/-5)))*(93.67-(93.67/(-5*93.67))))-(-5/-5)))))</f>
        <v>4092051.0415149997</v>
      </c>
      <c r="C19368" t="n" s="0">
        <v>4092051.0415149997</v>
      </c>
    </row>
    <row r="19369">
      <c r="A19369" t="n" s="0">
        <v>93.68</v>
      </c>
      <c r="B19369" t="n" s="0">
        <f>(-5-((((-5*(-5/((-5/(((-5*(93.68--5))-(-5+((-5*93.68)*(((-5--5)+(93.68--5))+93.68))))-(-5+-5)))*-5)))/-5)--5)+(-5*(((93.68*(93.68-(-5/-5)))*(93.68-(93.68/(-5*93.68))))-(-5/-5)))))</f>
        <v>4093363.5753599997</v>
      </c>
      <c r="C19369" t="n" s="0">
        <v>4093363.575360001</v>
      </c>
    </row>
    <row r="19370">
      <c r="A19370" t="n" s="0">
        <v>93.69</v>
      </c>
      <c r="B19370" t="n" s="0">
        <f>(-5-((((-5*(-5/((-5/(((-5*(93.69--5))-(-5+((-5*93.69)*(((-5--5)+(93.69--5))+93.69))))-(-5+-5)))*-5)))/-5)--5)+(-5*(((93.69*(93.69-(-5/-5)))*(93.69-(93.69/(-5*93.69))))-(-5/-5)))))</f>
        <v>4094676.389845</v>
      </c>
      <c r="C19370" t="n" s="0">
        <v>4094676.3898449996</v>
      </c>
    </row>
    <row r="19371">
      <c r="A19371" t="n" s="0">
        <v>93.7</v>
      </c>
      <c r="B19371" t="n" s="0">
        <f>(-5-((((-5*(-5/((-5/(((-5*(93.7--5))-(-5+((-5*93.7)*(((-5--5)+(93.7--5))+93.7))))-(-5+-5)))*-5)))/-5)--5)+(-5*(((93.7*(93.7-(-5/-5)))*(93.7-(93.7/(-5*93.7))))-(-5/-5)))))</f>
        <v>4095989.4850000003</v>
      </c>
      <c r="C19371" t="n" s="0">
        <v>4095989.485000001</v>
      </c>
    </row>
    <row r="19372">
      <c r="A19372" t="n" s="0">
        <v>93.71</v>
      </c>
      <c r="B19372" t="n" s="0">
        <f>(-5-((((-5*(-5/((-5/(((-5*(93.71--5))-(-5+((-5*93.71)*(((-5--5)+(93.71--5))+93.71))))-(-5+-5)))*-5)))/-5)--5)+(-5*(((93.71*(93.71-(-5/-5)))*(93.71-(93.71/(-5*93.71))))-(-5/-5)))))</f>
        <v>4097302.860855</v>
      </c>
      <c r="C19372" t="n" s="0">
        <v>4097302.8608549987</v>
      </c>
    </row>
    <row r="19373">
      <c r="A19373" t="n" s="0">
        <v>93.72</v>
      </c>
      <c r="B19373" t="n" s="0">
        <f>(-5-((((-5*(-5/((-5/(((-5*(93.72--5))-(-5+((-5*93.72)*(((-5--5)+(93.72--5))+93.72))))-(-5+-5)))*-5)))/-5)--5)+(-5*(((93.72*(93.72-(-5/-5)))*(93.72-(93.72/(-5*93.72))))-(-5/-5)))))</f>
        <v>4098616.51744</v>
      </c>
      <c r="C19373" t="n" s="0">
        <v>4098616.5174399996</v>
      </c>
    </row>
    <row r="19374">
      <c r="A19374" t="n" s="0">
        <v>93.73</v>
      </c>
      <c r="B19374" t="n" s="0">
        <f>(-5-((((-5*(-5/((-5/(((-5*(93.73--5))-(-5+((-5*93.73)*(((-5--5)+(93.73--5))+93.73))))-(-5+-5)))*-5)))/-5)--5)+(-5*(((93.73*(93.73-(-5/-5)))*(93.73-(93.73/(-5*93.73))))-(-5/-5)))))</f>
        <v>4099930.454785</v>
      </c>
      <c r="C19374" t="n" s="0">
        <v>4099930.4547850005</v>
      </c>
    </row>
    <row r="19375">
      <c r="A19375" t="n" s="0">
        <v>93.74</v>
      </c>
      <c r="B19375" t="n" s="0">
        <f>(-5-((((-5*(-5/((-5/(((-5*(93.74--5))-(-5+((-5*93.74)*(((-5--5)+(93.74--5))+93.74))))-(-5+-5)))*-5)))/-5)--5)+(-5*(((93.74*(93.74-(-5/-5)))*(93.74-(93.74/(-5*93.74))))-(-5/-5)))))</f>
        <v>4101244.6729200003</v>
      </c>
      <c r="C19375" t="n" s="0">
        <v>4101244.6729199993</v>
      </c>
    </row>
    <row r="19376">
      <c r="A19376" t="n" s="0">
        <v>93.75</v>
      </c>
      <c r="B19376" t="n" s="0">
        <f>(-5-((((-5*(-5/((-5/(((-5*(93.75--5))-(-5+((-5*93.75)*(((-5--5)+(93.75--5))+93.75))))-(-5+-5)))*-5)))/-5)--5)+(-5*(((93.75*(93.75-(-5/-5)))*(93.75-(93.75/(-5*93.75))))-(-5/-5)))))</f>
        <v>4102559.171875</v>
      </c>
      <c r="C19376" t="n" s="0">
        <v>4102559.171875</v>
      </c>
    </row>
    <row r="19377">
      <c r="A19377" t="n" s="0">
        <v>93.76</v>
      </c>
      <c r="B19377" t="n" s="0">
        <f>(-5-((((-5*(-5/((-5/(((-5*(93.76--5))-(-5+((-5*93.76)*(((-5--5)+(93.76--5))+93.76))))-(-5+-5)))*-5)))/-5)--5)+(-5*(((93.76*(93.76-(-5/-5)))*(93.76-(93.76/(-5*93.76))))-(-5/-5)))))</f>
        <v>4103873.95168</v>
      </c>
      <c r="C19377" t="n" s="0">
        <v>4103873.95168</v>
      </c>
    </row>
    <row r="19378">
      <c r="A19378" t="n" s="0">
        <v>93.77</v>
      </c>
      <c r="B19378" t="n" s="0">
        <f>(-5-((((-5*(-5/((-5/(((-5*(93.77--5))-(-5+((-5*93.77)*(((-5--5)+(93.77--5))+93.77))))-(-5+-5)))*-5)))/-5)--5)+(-5*(((93.77*(93.77-(-5/-5)))*(93.77-(93.77/(-5*93.77))))-(-5/-5)))))</f>
        <v>4105189.0123650003</v>
      </c>
      <c r="C19378" t="n" s="0">
        <v>4105189.0123649994</v>
      </c>
    </row>
    <row r="19379">
      <c r="A19379" t="n" s="0">
        <v>93.78</v>
      </c>
      <c r="B19379" t="n" s="0">
        <f>(-5-((((-5*(-5/((-5/(((-5*(93.78--5))-(-5+((-5*93.78)*(((-5--5)+(93.78--5))+93.78))))-(-5+-5)))*-5)))/-5)--5)+(-5*(((93.78*(93.78-(-5/-5)))*(93.78-(93.78/(-5*93.78))))-(-5/-5)))))</f>
        <v>4106504.35396</v>
      </c>
      <c r="C19379" t="n" s="0">
        <v>4106504.3539599995</v>
      </c>
    </row>
    <row r="19380">
      <c r="A19380" t="n" s="0">
        <v>93.79</v>
      </c>
      <c r="B19380" t="n" s="0">
        <f>(-5-((((-5*(-5/((-5/(((-5*(93.79--5))-(-5+((-5*93.79)*(((-5--5)+(93.79--5))+93.79))))-(-5+-5)))*-5)))/-5)--5)+(-5*(((93.79*(93.79-(-5/-5)))*(93.79-(93.79/(-5*93.79))))-(-5/-5)))))</f>
        <v>4107819.976495</v>
      </c>
      <c r="C19380" t="n" s="0">
        <v>4107819.976495001</v>
      </c>
    </row>
    <row r="19381">
      <c r="A19381" t="n" s="0">
        <v>93.8</v>
      </c>
      <c r="B19381" t="n" s="0">
        <f>(-5-((((-5*(-5/((-5/(((-5*(93.8--5))-(-5+((-5*93.8)*(((-5--5)+(93.8--5))+93.8))))-(-5+-5)))*-5)))/-5)--5)+(-5*(((93.8*(93.8-(-5/-5)))*(93.8-(93.8/(-5*93.8))))-(-5/-5)))))</f>
        <v>4109135.88</v>
      </c>
      <c r="C19381" t="n" s="0">
        <v>4109135.8799999994</v>
      </c>
    </row>
    <row r="19382">
      <c r="A19382" t="n" s="0">
        <v>93.81</v>
      </c>
      <c r="B19382" t="n" s="0">
        <f>(-5-((((-5*(-5/((-5/(((-5*(93.81--5))-(-5+((-5*93.81)*(((-5--5)+(93.81--5))+93.81))))-(-5+-5)))*-5)))/-5)--5)+(-5*(((93.81*(93.81-(-5/-5)))*(93.81-(93.81/(-5*93.81))))-(-5/-5)))))</f>
        <v>4110452.064505</v>
      </c>
      <c r="C19382" t="n" s="0">
        <v>4110452.0645050006</v>
      </c>
    </row>
    <row r="19383">
      <c r="A19383" t="n" s="0">
        <v>93.82</v>
      </c>
      <c r="B19383" t="n" s="0">
        <f>(-5-((((-5*(-5/((-5/(((-5*(93.82--5))-(-5+((-5*93.82)*(((-5--5)+(93.82--5))+93.82))))-(-5+-5)))*-5)))/-5)--5)+(-5*(((93.82*(93.82-(-5/-5)))*(93.82-(93.82/(-5*93.82))))-(-5/-5)))))</f>
        <v>4111768.53004</v>
      </c>
      <c r="C19383" t="n" s="0">
        <v>4111768.530039999</v>
      </c>
    </row>
    <row r="19384">
      <c r="A19384" t="n" s="0">
        <v>93.83</v>
      </c>
      <c r="B19384" t="n" s="0">
        <f>(-5-((((-5*(-5/((-5/(((-5*(93.83--5))-(-5+((-5*93.83)*(((-5--5)+(93.83--5))+93.83))))-(-5+-5)))*-5)))/-5)--5)+(-5*(((93.83*(93.83-(-5/-5)))*(93.83-(93.83/(-5*93.83))))-(-5/-5)))))</f>
        <v>4113085.276635</v>
      </c>
      <c r="C19384" t="n" s="0">
        <v>4113085.276635</v>
      </c>
    </row>
    <row r="19385">
      <c r="A19385" t="n" s="0">
        <v>93.84</v>
      </c>
      <c r="B19385" t="n" s="0">
        <f>(-5-((((-5*(-5/((-5/(((-5*(93.84--5))-(-5+((-5*93.84)*(((-5--5)+(93.84--5))+93.84))))-(-5+-5)))*-5)))/-5)--5)+(-5*(((93.84*(93.84-(-5/-5)))*(93.84-(93.84/(-5*93.84))))-(-5/-5)))))</f>
        <v>4114402.3043199996</v>
      </c>
      <c r="C19385" t="n" s="0">
        <v>4114402.30432</v>
      </c>
    </row>
    <row r="19386">
      <c r="A19386" t="n" s="0">
        <v>93.85</v>
      </c>
      <c r="B19386" t="n" s="0">
        <f>(-5-((((-5*(-5/((-5/(((-5*(93.85--5))-(-5+((-5*93.85)*(((-5--5)+(93.85--5))+93.85))))-(-5+-5)))*-5)))/-5)--5)+(-5*(((93.85*(93.85-(-5/-5)))*(93.85-(93.85/(-5*93.85))))-(-5/-5)))))</f>
        <v>4115719.613125</v>
      </c>
      <c r="C19386" t="n" s="0">
        <v>4115719.6131249988</v>
      </c>
    </row>
    <row r="19387">
      <c r="A19387" t="n" s="0">
        <v>93.86</v>
      </c>
      <c r="B19387" t="n" s="0">
        <f>(-5-((((-5*(-5/((-5/(((-5*(93.86--5))-(-5+((-5*93.86)*(((-5--5)+(93.86--5))+93.86))))-(-5+-5)))*-5)))/-5)--5)+(-5*(((93.86*(93.86-(-5/-5)))*(93.86-(93.86/(-5*93.86))))-(-5/-5)))))</f>
        <v>4117037.20308</v>
      </c>
      <c r="C19387" t="n" s="0">
        <v>4117037.20308</v>
      </c>
    </row>
    <row r="19388">
      <c r="A19388" t="n" s="0">
        <v>93.87</v>
      </c>
      <c r="B19388" t="n" s="0">
        <f>(-5-((((-5*(-5/((-5/(((-5*(93.87--5))-(-5+((-5*93.87)*(((-5--5)+(93.87--5))+93.87))))-(-5+-5)))*-5)))/-5)--5)+(-5*(((93.87*(93.87-(-5/-5)))*(93.87-(93.87/(-5*93.87))))-(-5/-5)))))</f>
        <v>4118355.074215</v>
      </c>
      <c r="C19388" t="n" s="0">
        <v>4118355.0742150005</v>
      </c>
    </row>
    <row r="19389">
      <c r="A19389" t="n" s="0">
        <v>93.88</v>
      </c>
      <c r="B19389" t="n" s="0">
        <f>(-5-((((-5*(-5/((-5/(((-5*(93.88--5))-(-5+((-5*93.88)*(((-5--5)+(93.88--5))+93.88))))-(-5+-5)))*-5)))/-5)--5)+(-5*(((93.88*(93.88-(-5/-5)))*(93.88-(93.88/(-5*93.88))))-(-5/-5)))))</f>
        <v>4119673.22656</v>
      </c>
      <c r="C19389" t="n" s="0">
        <v>4119673.22656</v>
      </c>
    </row>
    <row r="19390">
      <c r="A19390" t="n" s="0">
        <v>93.89</v>
      </c>
      <c r="B19390" t="n" s="0">
        <f>(-5-((((-5*(-5/((-5/(((-5*(93.89--5))-(-5+((-5*93.89)*(((-5--5)+(93.89--5))+93.89))))-(-5+-5)))*-5)))/-5)--5)+(-5*(((93.89*(93.89-(-5/-5)))*(93.89-(93.89/(-5*93.89))))-(-5/-5)))))</f>
        <v>4120991.660145</v>
      </c>
      <c r="C19390" t="n" s="0">
        <v>4120991.660145</v>
      </c>
    </row>
    <row r="19391">
      <c r="A19391" t="n" s="0">
        <v>93.9</v>
      </c>
      <c r="B19391" t="n" s="0">
        <f>(-5-((((-5*(-5/((-5/(((-5*(93.9--5))-(-5+((-5*93.9)*(((-5--5)+(93.9--5))+93.9))))-(-5+-5)))*-5)))/-5)--5)+(-5*(((93.9*(93.9-(-5/-5)))*(93.9-(93.9/(-5*93.9))))-(-5/-5)))))</f>
        <v>4122310.375</v>
      </c>
      <c r="C19391" t="n" s="0">
        <v>4122310.3750000014</v>
      </c>
    </row>
    <row r="19392">
      <c r="A19392" t="n" s="0">
        <v>93.91</v>
      </c>
      <c r="B19392" t="n" s="0">
        <f>(-5-((((-5*(-5/((-5/(((-5*(93.91--5))-(-5+((-5*93.91)*(((-5--5)+(93.91--5))+93.91))))-(-5+-5)))*-5)))/-5)--5)+(-5*(((93.91*(93.91-(-5/-5)))*(93.91-(93.91/(-5*93.91))))-(-5/-5)))))</f>
        <v>4123629.3711550003</v>
      </c>
      <c r="C19392" t="n" s="0">
        <v>4123629.3711549994</v>
      </c>
    </row>
    <row r="19393">
      <c r="A19393" t="n" s="0">
        <v>93.92</v>
      </c>
      <c r="B19393" t="n" s="0">
        <f>(-5-((((-5*(-5/((-5/(((-5*(93.92--5))-(-5+((-5*93.92)*(((-5--5)+(93.92--5))+93.92))))-(-5+-5)))*-5)))/-5)--5)+(-5*(((93.92*(93.92-(-5/-5)))*(93.92-(93.92/(-5*93.92))))-(-5/-5)))))</f>
        <v>4124948.64864</v>
      </c>
      <c r="C19393" t="n" s="0">
        <v>4124948.6486400003</v>
      </c>
    </row>
    <row r="19394">
      <c r="A19394" t="n" s="0">
        <v>93.93</v>
      </c>
      <c r="B19394" t="n" s="0">
        <f>(-5-((((-5*(-5/((-5/(((-5*(93.93--5))-(-5+((-5*93.93)*(((-5--5)+(93.93--5))+93.93))))-(-5+-5)))*-5)))/-5)--5)+(-5*(((93.93*(93.93-(-5/-5)))*(93.93-(93.93/(-5*93.93))))-(-5/-5)))))</f>
        <v>4126268.207485</v>
      </c>
      <c r="C19394" t="n" s="0">
        <v>4126268.2074850015</v>
      </c>
    </row>
    <row r="19395">
      <c r="A19395" t="n" s="0">
        <v>93.94</v>
      </c>
      <c r="B19395" t="n" s="0">
        <f>(-5-((((-5*(-5/((-5/(((-5*(93.94--5))-(-5+((-5*93.94)*(((-5--5)+(93.94--5))+93.94))))-(-5+-5)))*-5)))/-5)--5)+(-5*(((93.94*(93.94-(-5/-5)))*(93.94-(93.94/(-5*93.94))))-(-5/-5)))))</f>
        <v>4127588.04772</v>
      </c>
      <c r="C19395" t="n" s="0">
        <v>4127588.0477199997</v>
      </c>
    </row>
    <row r="19396">
      <c r="A19396" t="n" s="0">
        <v>93.95</v>
      </c>
      <c r="B19396" t="n" s="0">
        <f>(-5-((((-5*(-5/((-5/(((-5*(93.95--5))-(-5+((-5*93.95)*(((-5--5)+(93.95--5))+93.95))))-(-5+-5)))*-5)))/-5)--5)+(-5*(((93.95*(93.95-(-5/-5)))*(93.95-(93.95/(-5*93.95))))-(-5/-5)))))</f>
        <v>4128908.169375</v>
      </c>
      <c r="C19396" t="n" s="0">
        <v>4128908.169375</v>
      </c>
    </row>
    <row r="19397">
      <c r="A19397" t="n" s="0">
        <v>93.96</v>
      </c>
      <c r="B19397" t="n" s="0">
        <f>(-5-((((-5*(-5/((-5/(((-5*(93.96--5))-(-5+((-5*93.96)*(((-5--5)+(93.96--5))+93.96))))-(-5+-5)))*-5)))/-5)--5)+(-5*(((93.96*(93.96-(-5/-5)))*(93.96-(93.96/(-5*93.96))))-(-5/-5)))))</f>
        <v>4130228.57248</v>
      </c>
      <c r="C19397" t="n" s="0">
        <v>4130228.5724799987</v>
      </c>
    </row>
    <row r="19398">
      <c r="A19398" t="n" s="0">
        <v>93.97</v>
      </c>
      <c r="B19398" t="n" s="0">
        <f>(-5-((((-5*(-5/((-5/(((-5*(93.97--5))-(-5+((-5*93.97)*(((-5--5)+(93.97--5))+93.97))))-(-5+-5)))*-5)))/-5)--5)+(-5*(((93.97*(93.97-(-5/-5)))*(93.97-(93.97/(-5*93.97))))-(-5/-5)))))</f>
        <v>4131549.257065</v>
      </c>
      <c r="C19398" t="n" s="0">
        <v>4131549.257065</v>
      </c>
    </row>
    <row r="19399">
      <c r="A19399" t="n" s="0">
        <v>93.98</v>
      </c>
      <c r="B19399" t="n" s="0">
        <f>(-5-((((-5*(-5/((-5/(((-5*(93.98--5))-(-5+((-5*93.98)*(((-5--5)+(93.98--5))+93.98))))-(-5+-5)))*-5)))/-5)--5)+(-5*(((93.98*(93.98-(-5/-5)))*(93.98-(93.98/(-5*93.98))))-(-5/-5)))))</f>
        <v>4132870.22316</v>
      </c>
      <c r="C19399" t="n" s="0">
        <v>4132870.2231600005</v>
      </c>
    </row>
    <row r="19400">
      <c r="A19400" t="n" s="0">
        <v>93.99</v>
      </c>
      <c r="B19400" t="n" s="0">
        <f>(-5-((((-5*(-5/((-5/(((-5*(93.99--5))-(-5+((-5*93.99)*(((-5--5)+(93.99--5))+93.99))))-(-5+-5)))*-5)))/-5)--5)+(-5*(((93.99*(93.99-(-5/-5)))*(93.99-(93.99/(-5*93.99))))-(-5/-5)))))</f>
        <v>4134191.470795</v>
      </c>
      <c r="C19400" t="n" s="0">
        <v>4134191.4707949995</v>
      </c>
    </row>
    <row r="19401">
      <c r="A19401" t="n" s="0">
        <v>94.0</v>
      </c>
      <c r="B19401" t="n" s="0">
        <f>(-5-((((-5*(-5/((-5/(((-5*(94--5))-(-5+((-5*94)*(((-5--5)+(94--5))+94))))-(-5+-5)))*-5)))/-5)--5)+(-5*(((94*(94-(-5/-5)))*(94-(94/(-5*94))))-(-5/-5)))))</f>
        <v>4135513.0</v>
      </c>
      <c r="C19401" t="n" s="0">
        <v>4135513.0</v>
      </c>
    </row>
    <row r="19402">
      <c r="A19402" t="n" s="0">
        <v>94.01</v>
      </c>
      <c r="B19402" t="n" s="0">
        <f>(-5-((((-5*(-5/((-5/(((-5*(94.01--5))-(-5+((-5*94.01)*(((-5--5)+(94.01--5))+94.01))))-(-5+-5)))*-5)))/-5)--5)+(-5*(((94.01*(94.01-(-5/-5)))*(94.01-(94.01/(-5*94.01))))-(-5/-5)))))</f>
        <v>4136834.810805</v>
      </c>
      <c r="C19402" t="n" s="0">
        <v>4136834.8108050004</v>
      </c>
    </row>
    <row r="19403">
      <c r="A19403" t="n" s="0">
        <v>94.02</v>
      </c>
      <c r="B19403" t="n" s="0">
        <f>(-5-((((-5*(-5/((-5/(((-5*(94.02--5))-(-5+((-5*94.02)*(((-5--5)+(94.02--5))+94.02))))-(-5+-5)))*-5)))/-5)--5)+(-5*(((94.02*(94.02-(-5/-5)))*(94.02-(94.02/(-5*94.02))))-(-5/-5)))))</f>
        <v>4138156.9032400004</v>
      </c>
      <c r="C19403" t="n" s="0">
        <v>4138156.9032399994</v>
      </c>
    </row>
    <row r="19404">
      <c r="A19404" t="n" s="0">
        <v>94.03</v>
      </c>
      <c r="B19404" t="n" s="0">
        <f>(-5-((((-5*(-5/((-5/(((-5*(94.03--5))-(-5+((-5*94.03)*(((-5--5)+(94.03--5))+94.03))))-(-5+-5)))*-5)))/-5)--5)+(-5*(((94.03*(94.03-(-5/-5)))*(94.03-(94.03/(-5*94.03))))-(-5/-5)))))</f>
        <v>4139479.277335</v>
      </c>
      <c r="C19404" t="n" s="0">
        <v>4139479.277335</v>
      </c>
    </row>
    <row r="19405">
      <c r="A19405" t="n" s="0">
        <v>94.04</v>
      </c>
      <c r="B19405" t="n" s="0">
        <f>(-5-((((-5*(-5/((-5/(((-5*(94.04--5))-(-5+((-5*94.04)*(((-5--5)+(94.04--5))+94.04))))-(-5+-5)))*-5)))/-5)--5)+(-5*(((94.04*(94.04-(-5/-5)))*(94.04-(94.04/(-5*94.04))))-(-5/-5)))))</f>
        <v>4140801.9331199997</v>
      </c>
      <c r="C19405" t="n" s="0">
        <v>4140801.933120001</v>
      </c>
    </row>
    <row r="19406">
      <c r="A19406" t="n" s="0">
        <v>94.05</v>
      </c>
      <c r="B19406" t="n" s="0">
        <f>(-5-((((-5*(-5/((-5/(((-5*(94.05--5))-(-5+((-5*94.05)*(((-5--5)+(94.05--5))+94.05))))-(-5+-5)))*-5)))/-5)--5)+(-5*(((94.05*(94.05-(-5/-5)))*(94.05-(94.05/(-5*94.05))))-(-5/-5)))))</f>
        <v>4142124.870625</v>
      </c>
      <c r="C19406" t="n" s="0">
        <v>4142124.870624999</v>
      </c>
    </row>
    <row r="19407">
      <c r="A19407" t="n" s="0">
        <v>94.06</v>
      </c>
      <c r="B19407" t="n" s="0">
        <f>(-5-((((-5*(-5/((-5/(((-5*(94.06--5))-(-5+((-5*94.06)*(((-5--5)+(94.06--5))+94.06))))-(-5+-5)))*-5)))/-5)--5)+(-5*(((94.06*(94.06-(-5/-5)))*(94.06-(94.06/(-5*94.06))))-(-5/-5)))))</f>
        <v>4143448.0898800003</v>
      </c>
      <c r="C19407" t="n" s="0">
        <v>4143448.0898800003</v>
      </c>
    </row>
    <row r="19408">
      <c r="A19408" t="n" s="0">
        <v>94.07</v>
      </c>
      <c r="B19408" t="n" s="0">
        <f>(-5-((((-5*(-5/((-5/(((-5*(94.07--5))-(-5+((-5*94.07)*(((-5--5)+(94.07--5))+94.07))))-(-5+-5)))*-5)))/-5)--5)+(-5*(((94.07*(94.07-(-5/-5)))*(94.07-(94.07/(-5*94.07))))-(-5/-5)))))</f>
        <v>4144771.590915</v>
      </c>
      <c r="C19408" t="n" s="0">
        <v>4144771.590914999</v>
      </c>
    </row>
    <row r="19409">
      <c r="A19409" t="n" s="0">
        <v>94.08</v>
      </c>
      <c r="B19409" t="n" s="0">
        <f>(-5-((((-5*(-5/((-5/(((-5*(94.08--5))-(-5+((-5*94.08)*(((-5--5)+(94.08--5))+94.08))))-(-5+-5)))*-5)))/-5)--5)+(-5*(((94.08*(94.08-(-5/-5)))*(94.08-(94.08/(-5*94.08))))-(-5/-5)))))</f>
        <v>4146095.37376</v>
      </c>
      <c r="C19409" t="n" s="0">
        <v>4146095.37376</v>
      </c>
    </row>
    <row r="19410">
      <c r="A19410" t="n" s="0">
        <v>94.09</v>
      </c>
      <c r="B19410" t="n" s="0">
        <f>(-5-((((-5*(-5/((-5/(((-5*(94.09--5))-(-5+((-5*94.09)*(((-5--5)+(94.09--5))+94.09))))-(-5+-5)))*-5)))/-5)--5)+(-5*(((94.09*(94.09-(-5/-5)))*(94.09-(94.09/(-5*94.09))))-(-5/-5)))))</f>
        <v>4147419.438445</v>
      </c>
      <c r="C19410" t="n" s="0">
        <v>4147419.4384450004</v>
      </c>
    </row>
    <row r="19411">
      <c r="A19411" t="n" s="0">
        <v>94.1</v>
      </c>
      <c r="B19411" t="n" s="0">
        <f>(-5-((((-5*(-5/((-5/(((-5*(94.1--5))-(-5+((-5*94.1)*(((-5--5)+(94.1--5))+94.1))))-(-5+-5)))*-5)))/-5)--5)+(-5*(((94.1*(94.1-(-5/-5)))*(94.1-(94.1/(-5*94.1))))-(-5/-5)))))</f>
        <v>4148743.785</v>
      </c>
      <c r="C19411" t="n" s="0">
        <v>4148743.7849999988</v>
      </c>
    </row>
    <row r="19412">
      <c r="A19412" t="n" s="0">
        <v>94.11</v>
      </c>
      <c r="B19412" t="n" s="0">
        <f>(-5-((((-5*(-5/((-5/(((-5*(94.11--5))-(-5+((-5*94.11)*(((-5--5)+(94.11--5))+94.11))))-(-5+-5)))*-5)))/-5)--5)+(-5*(((94.11*(94.11-(-5/-5)))*(94.11-(94.11/(-5*94.11))))-(-5/-5)))))</f>
        <v>4150068.413455</v>
      </c>
      <c r="C19412" t="n" s="0">
        <v>4150068.413455</v>
      </c>
    </row>
    <row r="19413">
      <c r="A19413" t="n" s="0">
        <v>94.12</v>
      </c>
      <c r="B19413" t="n" s="0">
        <f>(-5-((((-5*(-5/((-5/(((-5*(94.12--5))-(-5+((-5*94.12)*(((-5--5)+(94.12--5))+94.12))))-(-5+-5)))*-5)))/-5)--5)+(-5*(((94.12*(94.12-(-5/-5)))*(94.12-(94.12/(-5*94.12))))-(-5/-5)))))</f>
        <v>4151393.32384</v>
      </c>
      <c r="C19413" t="n" s="0">
        <v>4151393.3238400007</v>
      </c>
    </row>
    <row r="19414">
      <c r="A19414" t="n" s="0">
        <v>94.13</v>
      </c>
      <c r="B19414" t="n" s="0">
        <f>(-5-((((-5*(-5/((-5/(((-5*(94.13--5))-(-5+((-5*94.13)*(((-5--5)+(94.13--5))+94.13))))-(-5+-5)))*-5)))/-5)--5)+(-5*(((94.13*(94.13-(-5/-5)))*(94.13-(94.13/(-5*94.13))))-(-5/-5)))))</f>
        <v>4152718.5161849996</v>
      </c>
      <c r="C19414" t="n" s="0">
        <v>4152718.516184999</v>
      </c>
    </row>
    <row r="19415">
      <c r="A19415" t="n" s="0">
        <v>94.14</v>
      </c>
      <c r="B19415" t="n" s="0">
        <f>(-5-((((-5*(-5/((-5/(((-5*(94.14--5))-(-5+((-5*94.14)*(((-5--5)+(94.14--5))+94.14))))-(-5+-5)))*-5)))/-5)--5)+(-5*(((94.14*(94.14-(-5/-5)))*(94.14-(94.14/(-5*94.14))))-(-5/-5)))))</f>
        <v>4154043.99052</v>
      </c>
      <c r="C19415" t="n" s="0">
        <v>4154043.99052</v>
      </c>
    </row>
    <row r="19416">
      <c r="A19416" t="n" s="0">
        <v>94.15</v>
      </c>
      <c r="B19416" t="n" s="0">
        <f>(-5-((((-5*(-5/((-5/(((-5*(94.15--5))-(-5+((-5*94.15)*(((-5--5)+(94.15--5))+94.15))))-(-5+-5)))*-5)))/-5)--5)+(-5*(((94.15*(94.15-(-5/-5)))*(94.15-(94.15/(-5*94.15))))-(-5/-5)))))</f>
        <v>4155369.7468749997</v>
      </c>
      <c r="C19416" t="n" s="0">
        <v>4155369.746875001</v>
      </c>
    </row>
    <row r="19417">
      <c r="A19417" t="n" s="0">
        <v>94.16</v>
      </c>
      <c r="B19417" t="n" s="0">
        <f>(-5-((((-5*(-5/((-5/(((-5*(94.16--5))-(-5+((-5*94.16)*(((-5--5)+(94.16--5))+94.16))))-(-5+-5)))*-5)))/-5)--5)+(-5*(((94.16*(94.16-(-5/-5)))*(94.16-(94.16/(-5*94.16))))-(-5/-5)))))</f>
        <v>4156695.78528</v>
      </c>
      <c r="C19417" t="n" s="0">
        <v>4156695.78528</v>
      </c>
    </row>
    <row r="19418">
      <c r="A19418" t="n" s="0">
        <v>94.17</v>
      </c>
      <c r="B19418" t="n" s="0">
        <f>(-5-((((-5*(-5/((-5/(((-5*(94.17--5))-(-5+((-5*94.17)*(((-5--5)+(94.17--5))+94.17))))-(-5+-5)))*-5)))/-5)--5)+(-5*(((94.17*(94.17-(-5/-5)))*(94.17-(94.17/(-5*94.17))))-(-5/-5)))))</f>
        <v>4158022.105765</v>
      </c>
      <c r="C19418" t="n" s="0">
        <v>4158022.105765</v>
      </c>
    </row>
    <row r="19419">
      <c r="A19419" t="n" s="0">
        <v>94.18</v>
      </c>
      <c r="B19419" t="n" s="0">
        <f>(-5-((((-5*(-5/((-5/(((-5*(94.18--5))-(-5+((-5*94.18)*(((-5--5)+(94.18--5))+94.18))))-(-5+-5)))*-5)))/-5)--5)+(-5*(((94.18*(94.18-(-5/-5)))*(94.18-(94.18/(-5*94.18))))-(-5/-5)))))</f>
        <v>4159348.70836</v>
      </c>
      <c r="C19419" t="n" s="0">
        <v>4159348.708360001</v>
      </c>
    </row>
    <row r="19420">
      <c r="A19420" t="n" s="0">
        <v>94.19</v>
      </c>
      <c r="B19420" t="n" s="0">
        <f>(-5-((((-5*(-5/((-5/(((-5*(94.19--5))-(-5+((-5*94.19)*(((-5--5)+(94.19--5))+94.19))))-(-5+-5)))*-5)))/-5)--5)+(-5*(((94.19*(94.19-(-5/-5)))*(94.19-(94.19/(-5*94.19))))-(-5/-5)))))</f>
        <v>4160675.593095</v>
      </c>
      <c r="C19420" t="n" s="0">
        <v>4160675.5930949994</v>
      </c>
    </row>
    <row r="19421">
      <c r="A19421" t="n" s="0">
        <v>94.2</v>
      </c>
      <c r="B19421" t="n" s="0">
        <f>(-5-((((-5*(-5/((-5/(((-5*(94.2--5))-(-5+((-5*94.2)*(((-5--5)+(94.2--5))+94.2))))-(-5+-5)))*-5)))/-5)--5)+(-5*(((94.2*(94.2-(-5/-5)))*(94.2-(94.2/(-5*94.2))))-(-5/-5)))))</f>
        <v>4162002.7600000002</v>
      </c>
      <c r="C19421" t="n" s="0">
        <v>4162002.7600000007</v>
      </c>
    </row>
    <row r="19422">
      <c r="A19422" t="n" s="0">
        <v>94.21</v>
      </c>
      <c r="B19422" t="n" s="0">
        <f>(-5-((((-5*(-5/((-5/(((-5*(94.21--5))-(-5+((-5*94.21)*(((-5--5)+(94.21--5))+94.21))))-(-5+-5)))*-5)))/-5)--5)+(-5*(((94.21*(94.21-(-5/-5)))*(94.21-(94.21/(-5*94.21))))-(-5/-5)))))</f>
        <v>4163330.209105</v>
      </c>
      <c r="C19422" t="n" s="0">
        <v>4163330.209104999</v>
      </c>
    </row>
    <row r="19423">
      <c r="A19423" t="n" s="0">
        <v>94.22</v>
      </c>
      <c r="B19423" t="n" s="0">
        <f>(-5-((((-5*(-5/((-5/(((-5*(94.22--5))-(-5+((-5*94.22)*(((-5--5)+(94.22--5))+94.22))))-(-5+-5)))*-5)))/-5)--5)+(-5*(((94.22*(94.22-(-5/-5)))*(94.22-(94.22/(-5*94.22))))-(-5/-5)))))</f>
        <v>4164657.94044</v>
      </c>
      <c r="C19423" t="n" s="0">
        <v>4164657.9404399996</v>
      </c>
    </row>
    <row r="19424">
      <c r="A19424" t="n" s="0">
        <v>94.23</v>
      </c>
      <c r="B19424" t="n" s="0">
        <f>(-5-((((-5*(-5/((-5/(((-5*(94.23--5))-(-5+((-5*94.23)*(((-5--5)+(94.23--5))+94.23))))-(-5+-5)))*-5)))/-5)--5)+(-5*(((94.23*(94.23-(-5/-5)))*(94.23-(94.23/(-5*94.23))))-(-5/-5)))))</f>
        <v>4165985.954035</v>
      </c>
      <c r="C19424" t="n" s="0">
        <v>4165985.9540350004</v>
      </c>
    </row>
    <row r="19425">
      <c r="A19425" t="n" s="0">
        <v>94.24</v>
      </c>
      <c r="B19425" t="n" s="0">
        <f>(-5-((((-5*(-5/((-5/(((-5*(94.24--5))-(-5+((-5*94.24)*(((-5--5)+(94.24--5))+94.24))))-(-5+-5)))*-5)))/-5)--5)+(-5*(((94.24*(94.24-(-5/-5)))*(94.24-(94.24/(-5*94.24))))-(-5/-5)))))</f>
        <v>4167314.24992</v>
      </c>
      <c r="C19425" t="n" s="0">
        <v>4167314.2499199994</v>
      </c>
    </row>
    <row r="19426">
      <c r="A19426" t="n" s="0">
        <v>94.25</v>
      </c>
      <c r="B19426" t="n" s="0">
        <f>(-5-((((-5*(-5/((-5/(((-5*(94.25--5))-(-5+((-5*94.25)*(((-5--5)+(94.25--5))+94.25))))-(-5+-5)))*-5)))/-5)--5)+(-5*(((94.25*(94.25-(-5/-5)))*(94.25-(94.25/(-5*94.25))))-(-5/-5)))))</f>
        <v>4168642.828125</v>
      </c>
      <c r="C19426" t="n" s="0">
        <v>4168642.828125</v>
      </c>
    </row>
    <row r="19427">
      <c r="A19427" t="n" s="0">
        <v>94.26</v>
      </c>
      <c r="B19427" t="n" s="0">
        <f>(-5-((((-5*(-5/((-5/(((-5*(94.26--5))-(-5+((-5*94.26)*(((-5--5)+(94.26--5))+94.26))))-(-5+-5)))*-5)))/-5)--5)+(-5*(((94.26*(94.26-(-5/-5)))*(94.26-(94.26/(-5*94.26))))-(-5/-5)))))</f>
        <v>4169971.68868</v>
      </c>
      <c r="C19427" t="n" s="0">
        <v>4169971.68868</v>
      </c>
    </row>
    <row r="19428">
      <c r="A19428" t="n" s="0">
        <v>94.27</v>
      </c>
      <c r="B19428" t="n" s="0">
        <f>(-5-((((-5*(-5/((-5/(((-5*(94.27--5))-(-5+((-5*94.27)*(((-5--5)+(94.27--5))+94.27))))-(-5+-5)))*-5)))/-5)--5)+(-5*(((94.27*(94.27-(-5/-5)))*(94.27-(94.27/(-5*94.27))))-(-5/-5)))))</f>
        <v>4171300.831615</v>
      </c>
      <c r="C19428" t="n" s="0">
        <v>4171300.8316149996</v>
      </c>
    </row>
    <row r="19429">
      <c r="A19429" t="n" s="0">
        <v>94.28</v>
      </c>
      <c r="B19429" t="n" s="0">
        <f>(-5-((((-5*(-5/((-5/(((-5*(94.28--5))-(-5+((-5*94.28)*(((-5--5)+(94.28--5))+94.28))))-(-5+-5)))*-5)))/-5)--5)+(-5*(((94.28*(94.28-(-5/-5)))*(94.28-(94.28/(-5*94.28))))-(-5/-5)))))</f>
        <v>4172630.25696</v>
      </c>
      <c r="C19429" t="n" s="0">
        <v>4172630.2569600004</v>
      </c>
    </row>
    <row r="19430">
      <c r="A19430" t="n" s="0">
        <v>94.29</v>
      </c>
      <c r="B19430" t="n" s="0">
        <f>(-5-((((-5*(-5/((-5/(((-5*(94.29--5))-(-5+((-5*94.29)*(((-5--5)+(94.29--5))+94.29))))-(-5+-5)))*-5)))/-5)--5)+(-5*(((94.29*(94.29-(-5/-5)))*(94.29-(94.29/(-5*94.29))))-(-5/-5)))))</f>
        <v>4173959.964745</v>
      </c>
      <c r="C19430" t="n" s="0">
        <v>4173959.9647450005</v>
      </c>
    </row>
    <row r="19431">
      <c r="A19431" t="n" s="0">
        <v>94.3</v>
      </c>
      <c r="B19431" t="n" s="0">
        <f>(-5-((((-5*(-5/((-5/(((-5*(94.3--5))-(-5+((-5*94.3)*(((-5--5)+(94.3--5))+94.3))))-(-5+-5)))*-5)))/-5)--5)+(-5*(((94.3*(94.3-(-5/-5)))*(94.3-(94.3/(-5*94.3))))-(-5/-5)))))</f>
        <v>4175289.955</v>
      </c>
      <c r="C19431" t="n" s="0">
        <v>4175289.9549999996</v>
      </c>
    </row>
    <row r="19432">
      <c r="A19432" t="n" s="0">
        <v>94.31</v>
      </c>
      <c r="B19432" t="n" s="0">
        <f>(-5-((((-5*(-5/((-5/(((-5*(94.31--5))-(-5+((-5*94.31)*(((-5--5)+(94.31--5))+94.31))))-(-5+-5)))*-5)))/-5)--5)+(-5*(((94.31*(94.31-(-5/-5)))*(94.31-(94.31/(-5*94.31))))-(-5/-5)))))</f>
        <v>4176620.2277550003</v>
      </c>
      <c r="C19432" t="n" s="0">
        <v>4176620.2277550003</v>
      </c>
    </row>
    <row r="19433">
      <c r="A19433" t="n" s="0">
        <v>94.32</v>
      </c>
      <c r="B19433" t="n" s="0">
        <f>(-5-((((-5*(-5/((-5/(((-5*(94.32--5))-(-5+((-5*94.32)*(((-5--5)+(94.32--5))+94.32))))-(-5+-5)))*-5)))/-5)--5)+(-5*(((94.32*(94.32-(-5/-5)))*(94.32-(94.32/(-5*94.32))))-(-5/-5)))))</f>
        <v>4177950.78304</v>
      </c>
      <c r="C19433" t="n" s="0">
        <v>4177950.783039999</v>
      </c>
    </row>
    <row r="19434">
      <c r="A19434" t="n" s="0">
        <v>94.33</v>
      </c>
      <c r="B19434" t="n" s="0">
        <f>(-5-((((-5*(-5/((-5/(((-5*(94.33--5))-(-5+((-5*94.33)*(((-5--5)+(94.33--5))+94.33))))-(-5+-5)))*-5)))/-5)--5)+(-5*(((94.33*(94.33-(-5/-5)))*(94.33-(94.33/(-5*94.33))))-(-5/-5)))))</f>
        <v>4179281.620885</v>
      </c>
      <c r="C19434" t="n" s="0">
        <v>4179281.6208849996</v>
      </c>
    </row>
    <row r="19435">
      <c r="A19435" t="n" s="0">
        <v>94.34</v>
      </c>
      <c r="B19435" t="n" s="0">
        <f>(-5-((((-5*(-5/((-5/(((-5*(94.34--5))-(-5+((-5*94.34)*(((-5--5)+(94.34--5))+94.34))))-(-5+-5)))*-5)))/-5)--5)+(-5*(((94.34*(94.34-(-5/-5)))*(94.34-(94.34/(-5*94.34))))-(-5/-5)))))</f>
        <v>4180612.74132</v>
      </c>
      <c r="C19435" t="n" s="0">
        <v>4180612.7413200005</v>
      </c>
    </row>
    <row r="19436">
      <c r="A19436" t="n" s="0">
        <v>94.35</v>
      </c>
      <c r="B19436" t="n" s="0">
        <f>(-5-((((-5*(-5/((-5/(((-5*(94.35--5))-(-5+((-5*94.35)*(((-5--5)+(94.35--5))+94.35))))-(-5+-5)))*-5)))/-5)--5)+(-5*(((94.35*(94.35-(-5/-5)))*(94.35-(94.35/(-5*94.35))))-(-5/-5)))))</f>
        <v>4181944.144375</v>
      </c>
      <c r="C19436" t="n" s="0">
        <v>4181944.1443749988</v>
      </c>
    </row>
    <row r="19437">
      <c r="A19437" t="n" s="0">
        <v>94.36</v>
      </c>
      <c r="B19437" t="n" s="0">
        <f>(-5-((((-5*(-5/((-5/(((-5*(94.36--5))-(-5+((-5*94.36)*(((-5--5)+(94.36--5))+94.36))))-(-5+-5)))*-5)))/-5)--5)+(-5*(((94.36*(94.36-(-5/-5)))*(94.36-(94.36/(-5*94.36))))-(-5/-5)))))</f>
        <v>4183275.83008</v>
      </c>
      <c r="C19437" t="n" s="0">
        <v>4183275.83008</v>
      </c>
    </row>
    <row r="19438">
      <c r="A19438" t="n" s="0">
        <v>94.37</v>
      </c>
      <c r="B19438" t="n" s="0">
        <f>(-5-((((-5*(-5/((-5/(((-5*(94.37--5))-(-5+((-5*94.37)*(((-5--5)+(94.37--5))+94.37))))-(-5+-5)))*-5)))/-5)--5)+(-5*(((94.37*(94.37-(-5/-5)))*(94.37-(94.37/(-5*94.37))))-(-5/-5)))))</f>
        <v>4184607.798465</v>
      </c>
      <c r="C19438" t="n" s="0">
        <v>4184607.7984650005</v>
      </c>
    </row>
    <row r="19439">
      <c r="A19439" t="n" s="0">
        <v>94.38</v>
      </c>
      <c r="B19439" t="n" s="0">
        <f>(-5-((((-5*(-5/((-5/(((-5*(94.38--5))-(-5+((-5*94.38)*(((-5--5)+(94.38--5))+94.38))))-(-5+-5)))*-5)))/-5)--5)+(-5*(((94.38*(94.38-(-5/-5)))*(94.38-(94.38/(-5*94.38))))-(-5/-5)))))</f>
        <v>4185940.04956</v>
      </c>
      <c r="C19439" t="n" s="0">
        <v>4185940.049559999</v>
      </c>
    </row>
    <row r="19440">
      <c r="A19440" t="n" s="0">
        <v>94.39</v>
      </c>
      <c r="B19440" t="n" s="0">
        <f>(-5-((((-5*(-5/((-5/(((-5*(94.39--5))-(-5+((-5*94.39)*(((-5--5)+(94.39--5))+94.39))))-(-5+-5)))*-5)))/-5)--5)+(-5*(((94.39*(94.39-(-5/-5)))*(94.39-(94.39/(-5*94.39))))-(-5/-5)))))</f>
        <v>4187272.583395</v>
      </c>
      <c r="C19440" t="n" s="0">
        <v>4187272.5833950005</v>
      </c>
    </row>
    <row r="19441">
      <c r="A19441" t="n" s="0">
        <v>94.4</v>
      </c>
      <c r="B19441" t="n" s="0">
        <f>(-5-((((-5*(-5/((-5/(((-5*(94.4--5))-(-5+((-5*94.4)*(((-5--5)+(94.4--5))+94.4))))-(-5+-5)))*-5)))/-5)--5)+(-5*(((94.4*(94.4-(-5/-5)))*(94.4-(94.4/(-5*94.4))))-(-5/-5)))))</f>
        <v>4188605.4</v>
      </c>
      <c r="C19441" t="n" s="0">
        <v>4188605.400000001</v>
      </c>
    </row>
    <row r="19442">
      <c r="A19442" t="n" s="0">
        <v>94.41</v>
      </c>
      <c r="B19442" t="n" s="0">
        <f>(-5-((((-5*(-5/((-5/(((-5*(94.41--5))-(-5+((-5*94.41)*(((-5--5)+(94.41--5))+94.41))))-(-5+-5)))*-5)))/-5)--5)+(-5*(((94.41*(94.41-(-5/-5)))*(94.41-(94.41/(-5*94.41))))-(-5/-5)))))</f>
        <v>4189938.499405</v>
      </c>
      <c r="C19442" t="n" s="0">
        <v>4189938.499405</v>
      </c>
    </row>
    <row r="19443">
      <c r="A19443" t="n" s="0">
        <v>94.42</v>
      </c>
      <c r="B19443" t="n" s="0">
        <f>(-5-((((-5*(-5/((-5/(((-5*(94.42--5))-(-5+((-5*94.42)*(((-5--5)+(94.42--5))+94.42))))-(-5+-5)))*-5)))/-5)--5)+(-5*(((94.42*(94.42-(-5/-5)))*(94.42-(94.42/(-5*94.42))))-(-5/-5)))))</f>
        <v>4191271.8816400003</v>
      </c>
      <c r="C19443" t="n" s="0">
        <v>4191271.8816400007</v>
      </c>
    </row>
    <row r="19444">
      <c r="A19444" t="n" s="0">
        <v>94.43</v>
      </c>
      <c r="B19444" t="n" s="0">
        <f>(-5-((((-5*(-5/((-5/(((-5*(94.43--5))-(-5+((-5*94.43)*(((-5--5)+(94.43--5))+94.43))))-(-5+-5)))*-5)))/-5)--5)+(-5*(((94.43*(94.43-(-5/-5)))*(94.43-(94.43/(-5*94.43))))-(-5/-5)))))</f>
        <v>4192605.546735</v>
      </c>
      <c r="C19444" t="n" s="0">
        <v>4192605.546735001</v>
      </c>
    </row>
    <row r="19445">
      <c r="A19445" t="n" s="0">
        <v>94.44</v>
      </c>
      <c r="B19445" t="n" s="0">
        <f>(-5-((((-5*(-5/((-5/(((-5*(94.44--5))-(-5+((-5*94.44)*(((-5--5)+(94.44--5))+94.44))))-(-5+-5)))*-5)))/-5)--5)+(-5*(((94.44*(94.44-(-5/-5)))*(94.44-(94.44/(-5*94.44))))-(-5/-5)))))</f>
        <v>4193939.49472</v>
      </c>
      <c r="C19445" t="n" s="0">
        <v>4193939.4947199994</v>
      </c>
    </row>
    <row r="19446">
      <c r="A19446" t="n" s="0">
        <v>94.45</v>
      </c>
      <c r="B19446" t="n" s="0">
        <f>(-5-((((-5*(-5/((-5/(((-5*(94.45--5))-(-5+((-5*94.45)*(((-5--5)+(94.45--5))+94.45))))-(-5+-5)))*-5)))/-5)--5)+(-5*(((94.45*(94.45-(-5/-5)))*(94.45-(94.45/(-5*94.45))))-(-5/-5)))))</f>
        <v>4195273.725625</v>
      </c>
      <c r="C19446" t="n" s="0">
        <v>4195273.725625</v>
      </c>
    </row>
    <row r="19447">
      <c r="A19447" t="n" s="0">
        <v>94.46</v>
      </c>
      <c r="B19447" t="n" s="0">
        <f>(-5-((((-5*(-5/((-5/(((-5*(94.46--5))-(-5+((-5*94.46)*(((-5--5)+(94.46--5))+94.46))))-(-5+-5)))*-5)))/-5)--5)+(-5*(((94.46*(94.46-(-5/-5)))*(94.46-(94.46/(-5*94.46))))-(-5/-5)))))</f>
        <v>4196608.23948</v>
      </c>
      <c r="C19447" t="n" s="0">
        <v>4196608.239479999</v>
      </c>
    </row>
    <row r="19448">
      <c r="A19448" t="n" s="0">
        <v>94.47</v>
      </c>
      <c r="B19448" t="n" s="0">
        <f>(-5-((((-5*(-5/((-5/(((-5*(94.47--5))-(-5+((-5*94.47)*(((-5--5)+(94.47--5))+94.47))))-(-5+-5)))*-5)))/-5)--5)+(-5*(((94.47*(94.47-(-5/-5)))*(94.47-(94.47/(-5*94.47))))-(-5/-5)))))</f>
        <v>4197943.036315</v>
      </c>
      <c r="C19448" t="n" s="0">
        <v>4197943.036315001</v>
      </c>
    </row>
    <row r="19449">
      <c r="A19449" t="n" s="0">
        <v>94.48</v>
      </c>
      <c r="B19449" t="n" s="0">
        <f>(-5-((((-5*(-5/((-5/(((-5*(94.48--5))-(-5+((-5*94.48)*(((-5--5)+(94.48--5))+94.48))))-(-5+-5)))*-5)))/-5)--5)+(-5*(((94.48*(94.48-(-5/-5)))*(94.48-(94.48/(-5*94.48))))-(-5/-5)))))</f>
        <v>4199278.11616</v>
      </c>
      <c r="C19449" t="n" s="0">
        <v>4199278.116160001</v>
      </c>
    </row>
    <row r="19450">
      <c r="A19450" t="n" s="0">
        <v>94.49</v>
      </c>
      <c r="B19450" t="n" s="0">
        <f>(-5-((((-5*(-5/((-5/(((-5*(94.49--5))-(-5+((-5*94.49)*(((-5--5)+(94.49--5))+94.49))))-(-5+-5)))*-5)))/-5)--5)+(-5*(((94.49*(94.49-(-5/-5)))*(94.49-(94.49/(-5*94.49))))-(-5/-5)))))</f>
        <v>4200613.479045</v>
      </c>
      <c r="C19450" t="n" s="0">
        <v>4200613.479044999</v>
      </c>
    </row>
    <row r="19451">
      <c r="A19451" t="n" s="0">
        <v>94.5</v>
      </c>
      <c r="B19451" t="n" s="0">
        <f>(-5-((((-5*(-5/((-5/(((-5*(94.5--5))-(-5+((-5*94.5)*(((-5--5)+(94.5--5))+94.5))))-(-5+-5)))*-5)))/-5)--5)+(-5*(((94.5*(94.5-(-5/-5)))*(94.5-(94.5/(-5*94.5))))-(-5/-5)))))</f>
        <v>4201949.125</v>
      </c>
      <c r="C19451" t="n" s="0">
        <v>4201949.125</v>
      </c>
    </row>
    <row r="19452">
      <c r="A19452" t="n" s="0">
        <v>94.51</v>
      </c>
      <c r="B19452" t="n" s="0">
        <f>(-5-((((-5*(-5/((-5/(((-5*(94.51--5))-(-5+((-5*94.51)*(((-5--5)+(94.51--5))+94.51))))-(-5+-5)))*-5)))/-5)--5)+(-5*(((94.51*(94.51-(-5/-5)))*(94.51-(94.51/(-5*94.51))))-(-5/-5)))))</f>
        <v>4203285.054055001</v>
      </c>
      <c r="C19452" t="n" s="0">
        <v>4203285.054055001</v>
      </c>
    </row>
    <row r="19453">
      <c r="A19453" t="n" s="0">
        <v>94.52</v>
      </c>
      <c r="B19453" t="n" s="0">
        <f>(-5-((((-5*(-5/((-5/(((-5*(94.52--5))-(-5+((-5*94.52)*(((-5--5)+(94.52--5))+94.52))))-(-5+-5)))*-5)))/-5)--5)+(-5*(((94.52*(94.52-(-5/-5)))*(94.52-(94.52/(-5*94.52))))-(-5/-5)))))</f>
        <v>4204621.26624</v>
      </c>
      <c r="C19453" t="n" s="0">
        <v>4204621.266239999</v>
      </c>
    </row>
    <row r="19454">
      <c r="A19454" t="n" s="0">
        <v>94.53</v>
      </c>
      <c r="B19454" t="n" s="0">
        <f>(-5-((((-5*(-5/((-5/(((-5*(94.53--5))-(-5+((-5*94.53)*(((-5--5)+(94.53--5))+94.53))))-(-5+-5)))*-5)))/-5)--5)+(-5*(((94.53*(94.53-(-5/-5)))*(94.53-(94.53/(-5*94.53))))-(-5/-5)))))</f>
        <v>4205957.761585</v>
      </c>
      <c r="C19454" t="n" s="0">
        <v>4205957.761585</v>
      </c>
    </row>
    <row r="19455">
      <c r="A19455" t="n" s="0">
        <v>94.54</v>
      </c>
      <c r="B19455" t="n" s="0">
        <f>(-5-((((-5*(-5/((-5/(((-5*(94.54--5))-(-5+((-5*94.54)*(((-5--5)+(94.54--5))+94.54))))-(-5+-5)))*-5)))/-5)--5)+(-5*(((94.54*(94.54-(-5/-5)))*(94.54-(94.54/(-5*94.54))))-(-5/-5)))))</f>
        <v>4207294.54012</v>
      </c>
      <c r="C19455" t="n" s="0">
        <v>4207294.540120001</v>
      </c>
    </row>
    <row r="19456">
      <c r="A19456" t="n" s="0">
        <v>94.55</v>
      </c>
      <c r="B19456" t="n" s="0">
        <f>(-5-((((-5*(-5/((-5/(((-5*(94.55--5))-(-5+((-5*94.55)*(((-5--5)+(94.55--5))+94.55))))-(-5+-5)))*-5)))/-5)--5)+(-5*(((94.55*(94.55-(-5/-5)))*(94.55-(94.55/(-5*94.55))))-(-5/-5)))))</f>
        <v>4208631.601875001</v>
      </c>
      <c r="C19456" t="n" s="0">
        <v>4208631.601875</v>
      </c>
    </row>
    <row r="19457">
      <c r="A19457" t="n" s="0">
        <v>94.56</v>
      </c>
      <c r="B19457" t="n" s="0">
        <f>(-5-((((-5*(-5/((-5/(((-5*(94.56--5))-(-5+((-5*94.56)*(((-5--5)+(94.56--5))+94.56))))-(-5+-5)))*-5)))/-5)--5)+(-5*(((94.56*(94.56-(-5/-5)))*(94.56-(94.56/(-5*94.56))))-(-5/-5)))))</f>
        <v>4209968.94688</v>
      </c>
      <c r="C19457" t="n" s="0">
        <v>4209968.946880001</v>
      </c>
    </row>
    <row r="19458">
      <c r="A19458" t="n" s="0">
        <v>94.57</v>
      </c>
      <c r="B19458" t="n" s="0">
        <f>(-5-((((-5*(-5/((-5/(((-5*(94.57--5))-(-5+((-5*94.57)*(((-5--5)+(94.57--5))+94.57))))-(-5+-5)))*-5)))/-5)--5)+(-5*(((94.57*(94.57-(-5/-5)))*(94.57-(94.57/(-5*94.57))))-(-5/-5)))))</f>
        <v>4211306.575165</v>
      </c>
      <c r="C19458" t="n" s="0">
        <v>4211306.575164999</v>
      </c>
    </row>
    <row r="19459">
      <c r="A19459" t="n" s="0">
        <v>94.58</v>
      </c>
      <c r="B19459" t="n" s="0">
        <f>(-5-((((-5*(-5/((-5/(((-5*(94.58--5))-(-5+((-5*94.58)*(((-5--5)+(94.58--5))+94.58))))-(-5+-5)))*-5)))/-5)--5)+(-5*(((94.58*(94.58-(-5/-5)))*(94.58-(94.58/(-5*94.58))))-(-5/-5)))))</f>
        <v>4212644.48676</v>
      </c>
      <c r="C19459" t="n" s="0">
        <v>4212644.486760001</v>
      </c>
    </row>
    <row r="19460">
      <c r="A19460" t="n" s="0">
        <v>94.59</v>
      </c>
      <c r="B19460" t="n" s="0">
        <f>(-5-((((-5*(-5/((-5/(((-5*(94.59--5))-(-5+((-5*94.59)*(((-5--5)+(94.59--5))+94.59))))-(-5+-5)))*-5)))/-5)--5)+(-5*(((94.59*(94.59-(-5/-5)))*(94.59-(94.59/(-5*94.59))))-(-5/-5)))))</f>
        <v>4213982.681695</v>
      </c>
      <c r="C19460" t="n" s="0">
        <v>4213982.681695</v>
      </c>
    </row>
    <row r="19461">
      <c r="A19461" t="n" s="0">
        <v>94.6</v>
      </c>
      <c r="B19461" t="n" s="0">
        <f>(-5-((((-5*(-5/((-5/(((-5*(94.6--5))-(-5+((-5*94.6)*(((-5--5)+(94.6--5))+94.6))))-(-5+-5)))*-5)))/-5)--5)+(-5*(((94.6*(94.6-(-5/-5)))*(94.6-(94.6/(-5*94.6))))-(-5/-5)))))</f>
        <v>4215321.16</v>
      </c>
      <c r="C19461" t="n" s="0">
        <v>4215321.159999999</v>
      </c>
    </row>
    <row r="19462">
      <c r="A19462" t="n" s="0">
        <v>94.61</v>
      </c>
      <c r="B19462" t="n" s="0">
        <f>(-5-((((-5*(-5/((-5/(((-5*(94.61--5))-(-5+((-5*94.61)*(((-5--5)+(94.61--5))+94.61))))-(-5+-5)))*-5)))/-5)--5)+(-5*(((94.61*(94.61-(-5/-5)))*(94.61-(94.61/(-5*94.61))))-(-5/-5)))))</f>
        <v>4216659.921705</v>
      </c>
      <c r="C19462" t="n" s="0">
        <v>4216659.921705</v>
      </c>
    </row>
    <row r="19463">
      <c r="A19463" t="n" s="0">
        <v>94.62</v>
      </c>
      <c r="B19463" t="n" s="0">
        <f>(-5-((((-5*(-5/((-5/(((-5*(94.62--5))-(-5+((-5*94.62)*(((-5--5)+(94.62--5))+94.62))))-(-5+-5)))*-5)))/-5)--5)+(-5*(((94.62*(94.62-(-5/-5)))*(94.62-(94.62/(-5*94.62))))-(-5/-5)))))</f>
        <v>4217998.96684</v>
      </c>
      <c r="C19463" t="n" s="0">
        <v>4217998.966840001</v>
      </c>
    </row>
    <row r="19464">
      <c r="A19464" t="n" s="0">
        <v>94.63</v>
      </c>
      <c r="B19464" t="n" s="0">
        <f>(-5-((((-5*(-5/((-5/(((-5*(94.63--5))-(-5+((-5*94.63)*(((-5--5)+(94.63--5))+94.63))))-(-5+-5)))*-5)))/-5)--5)+(-5*(((94.63*(94.63-(-5/-5)))*(94.63-(94.63/(-5*94.63))))-(-5/-5)))))</f>
        <v>4219338.295434999</v>
      </c>
      <c r="C19464" t="n" s="0">
        <v>4219338.295434999</v>
      </c>
    </row>
    <row r="19465">
      <c r="A19465" t="n" s="0">
        <v>94.64</v>
      </c>
      <c r="B19465" t="n" s="0">
        <f>(-5-((((-5*(-5/((-5/(((-5*(94.64--5))-(-5+((-5*94.64)*(((-5--5)+(94.64--5))+94.64))))-(-5+-5)))*-5)))/-5)--5)+(-5*(((94.64*(94.64-(-5/-5)))*(94.64-(94.64/(-5*94.64))))-(-5/-5)))))</f>
        <v>4220677.90752</v>
      </c>
      <c r="C19465" t="n" s="0">
        <v>4220677.90752</v>
      </c>
    </row>
    <row r="19466">
      <c r="A19466" t="n" s="0">
        <v>94.65</v>
      </c>
      <c r="B19466" t="n" s="0">
        <f>(-5-((((-5*(-5/((-5/(((-5*(94.65--5))-(-5+((-5*94.65)*(((-5--5)+(94.65--5))+94.65))))-(-5+-5)))*-5)))/-5)--5)+(-5*(((94.65*(94.65-(-5/-5)))*(94.65-(94.65/(-5*94.65))))-(-5/-5)))))</f>
        <v>4222017.803125</v>
      </c>
      <c r="C19466" t="n" s="0">
        <v>4222017.803125001</v>
      </c>
    </row>
    <row r="19467">
      <c r="A19467" t="n" s="0">
        <v>94.66</v>
      </c>
      <c r="B19467" t="n" s="0">
        <f>(-5-((((-5*(-5/((-5/(((-5*(94.66--5))-(-5+((-5*94.66)*(((-5--5)+(94.66--5))+94.66))))-(-5+-5)))*-5)))/-5)--5)+(-5*(((94.66*(94.66-(-5/-5)))*(94.66-(94.66/(-5*94.66))))-(-5/-5)))))</f>
        <v>4223357.98228</v>
      </c>
      <c r="C19467" t="n" s="0">
        <v>4223357.98228</v>
      </c>
    </row>
    <row r="19468">
      <c r="A19468" t="n" s="0">
        <v>94.67</v>
      </c>
      <c r="B19468" t="n" s="0">
        <f>(-5-((((-5*(-5/((-5/(((-5*(94.67--5))-(-5+((-5*94.67)*(((-5--5)+(94.67--5))+94.67))))-(-5+-5)))*-5)))/-5)--5)+(-5*(((94.67*(94.67-(-5/-5)))*(94.67-(94.67/(-5*94.67))))-(-5/-5)))))</f>
        <v>4224698.445015</v>
      </c>
      <c r="C19468" t="n" s="0">
        <v>4224698.445015</v>
      </c>
    </row>
    <row r="19469">
      <c r="A19469" t="n" s="0">
        <v>94.68</v>
      </c>
      <c r="B19469" t="n" s="0">
        <f>(-5-((((-5*(-5/((-5/(((-5*(94.68--5))-(-5+((-5*94.68)*(((-5--5)+(94.68--5))+94.68))))-(-5+-5)))*-5)))/-5)--5)+(-5*(((94.68*(94.68-(-5/-5)))*(94.68-(94.68/(-5*94.68))))-(-5/-5)))))</f>
        <v>4226039.19136</v>
      </c>
      <c r="C19469" t="n" s="0">
        <v>4226039.191360001</v>
      </c>
    </row>
    <row r="19470">
      <c r="A19470" t="n" s="0">
        <v>94.69</v>
      </c>
      <c r="B19470" t="n" s="0">
        <f>(-5-((((-5*(-5/((-5/(((-5*(94.69--5))-(-5+((-5*94.69)*(((-5--5)+(94.69--5))+94.69))))-(-5+-5)))*-5)))/-5)--5)+(-5*(((94.69*(94.69-(-5/-5)))*(94.69-(94.69/(-5*94.69))))-(-5/-5)))))</f>
        <v>4227380.221345</v>
      </c>
      <c r="C19470" t="n" s="0">
        <v>4227380.221345</v>
      </c>
    </row>
    <row r="19471">
      <c r="A19471" t="n" s="0">
        <v>94.7</v>
      </c>
      <c r="B19471" t="n" s="0">
        <f>(-5-((((-5*(-5/((-5/(((-5*(94.7--5))-(-5+((-5*94.7)*(((-5--5)+(94.7--5))+94.7))))-(-5+-5)))*-5)))/-5)--5)+(-5*(((94.7*(94.7-(-5/-5)))*(94.7-(94.7/(-5*94.7))))-(-5/-5)))))</f>
        <v>4228721.535</v>
      </c>
      <c r="C19471" t="n" s="0">
        <v>4228721.535</v>
      </c>
    </row>
    <row r="19472">
      <c r="A19472" t="n" s="0">
        <v>94.71</v>
      </c>
      <c r="B19472" t="n" s="0">
        <f>(-5-((((-5*(-5/((-5/(((-5*(94.71--5))-(-5+((-5*94.71)*(((-5--5)+(94.71--5))+94.71))))-(-5+-5)))*-5)))/-5)--5)+(-5*(((94.71*(94.71-(-5/-5)))*(94.71-(94.71/(-5*94.71))))-(-5/-5)))))</f>
        <v>4230063.132355</v>
      </c>
      <c r="C19472" t="n" s="0">
        <v>4230063.132354999</v>
      </c>
    </row>
    <row r="19473">
      <c r="A19473" t="n" s="0">
        <v>94.72</v>
      </c>
      <c r="B19473" t="n" s="0">
        <f>(-5-((((-5*(-5/((-5/(((-5*(94.72--5))-(-5+((-5*94.72)*(((-5--5)+(94.72--5))+94.72))))-(-5+-5)))*-5)))/-5)--5)+(-5*(((94.72*(94.72-(-5/-5)))*(94.72-(94.72/(-5*94.72))))-(-5/-5)))))</f>
        <v>4231405.013440001</v>
      </c>
      <c r="C19473" t="n" s="0">
        <v>4231405.01344</v>
      </c>
    </row>
    <row r="19474">
      <c r="A19474" t="n" s="0">
        <v>94.73</v>
      </c>
      <c r="B19474" t="n" s="0">
        <f>(-5-((((-5*(-5/((-5/(((-5*(94.73--5))-(-5+((-5*94.73)*(((-5--5)+(94.73--5))+94.73))))-(-5+-5)))*-5)))/-5)--5)+(-5*(((94.73*(94.73-(-5/-5)))*(94.73-(94.73/(-5*94.73))))-(-5/-5)))))</f>
        <v>4232747.178285</v>
      </c>
      <c r="C19474" t="n" s="0">
        <v>4232747.178285001</v>
      </c>
    </row>
    <row r="19475">
      <c r="A19475" t="n" s="0">
        <v>94.74</v>
      </c>
      <c r="B19475" t="n" s="0">
        <f>(-5-((((-5*(-5/((-5/(((-5*(94.74--5))-(-5+((-5*94.74)*(((-5--5)+(94.74--5))+94.74))))-(-5+-5)))*-5)))/-5)--5)+(-5*(((94.74*(94.74-(-5/-5)))*(94.74-(94.74/(-5*94.74))))-(-5/-5)))))</f>
        <v>4234089.62692</v>
      </c>
      <c r="C19475" t="n" s="0">
        <v>4234089.62692</v>
      </c>
    </row>
    <row r="19476">
      <c r="A19476" t="n" s="0">
        <v>94.75</v>
      </c>
      <c r="B19476" t="n" s="0">
        <f>(-5-((((-5*(-5/((-5/(((-5*(94.75--5))-(-5+((-5*94.75)*(((-5--5)+(94.75--5))+94.75))))-(-5+-5)))*-5)))/-5)--5)+(-5*(((94.75*(94.75-(-5/-5)))*(94.75-(94.75/(-5*94.75))))-(-5/-5)))))</f>
        <v>4235432.359375</v>
      </c>
      <c r="C19476" t="n" s="0">
        <v>4235432.359375</v>
      </c>
    </row>
    <row r="19477">
      <c r="A19477" t="n" s="0">
        <v>94.76</v>
      </c>
      <c r="B19477" t="n" s="0">
        <f>(-5-((((-5*(-5/((-5/(((-5*(94.76--5))-(-5+((-5*94.76)*(((-5--5)+(94.76--5))+94.76))))-(-5+-5)))*-5)))/-5)--5)+(-5*(((94.76*(94.76-(-5/-5)))*(94.76-(94.76/(-5*94.76))))-(-5/-5)))))</f>
        <v>4236775.37568</v>
      </c>
      <c r="C19477" t="n" s="0">
        <v>4236775.375680001</v>
      </c>
    </row>
    <row r="19478">
      <c r="A19478" t="n" s="0">
        <v>94.77</v>
      </c>
      <c r="B19478" t="n" s="0">
        <f>(-5-((((-5*(-5/((-5/(((-5*(94.77--5))-(-5+((-5*94.77)*(((-5--5)+(94.77--5))+94.77))))-(-5+-5)))*-5)))/-5)--5)+(-5*(((94.77*(94.77-(-5/-5)))*(94.77-(94.77/(-5*94.77))))-(-5/-5)))))</f>
        <v>4238118.675865</v>
      </c>
      <c r="C19478" t="n" s="0">
        <v>4238118.675864999</v>
      </c>
    </row>
    <row r="19479">
      <c r="A19479" t="n" s="0">
        <v>94.78</v>
      </c>
      <c r="B19479" t="n" s="0">
        <f>(-5-((((-5*(-5/((-5/(((-5*(94.78--5))-(-5+((-5*94.78)*(((-5--5)+(94.78--5))+94.78))))-(-5+-5)))*-5)))/-5)--5)+(-5*(((94.78*(94.78-(-5/-5)))*(94.78-(94.78/(-5*94.78))))-(-5/-5)))))</f>
        <v>4239462.25996</v>
      </c>
      <c r="C19479" t="n" s="0">
        <v>4239462.25996</v>
      </c>
    </row>
    <row r="19480">
      <c r="A19480" t="n" s="0">
        <v>94.79</v>
      </c>
      <c r="B19480" t="n" s="0">
        <f>(-5-((((-5*(-5/((-5/(((-5*(94.79--5))-(-5+((-5*94.79)*(((-5--5)+(94.79--5))+94.79))))-(-5+-5)))*-5)))/-5)--5)+(-5*(((94.79*(94.79-(-5/-5)))*(94.79-(94.79/(-5*94.79))))-(-5/-5)))))</f>
        <v>4240806.127995</v>
      </c>
      <c r="C19480" t="n" s="0">
        <v>4240806.127995001</v>
      </c>
    </row>
    <row r="19481">
      <c r="A19481" t="n" s="0">
        <v>94.8</v>
      </c>
      <c r="B19481" t="n" s="0">
        <f>(-5-((((-5*(-5/((-5/(((-5*(94.8--5))-(-5+((-5*94.8)*(((-5--5)+(94.8--5))+94.8))))-(-5+-5)))*-5)))/-5)--5)+(-5*(((94.8*(94.8-(-5/-5)))*(94.8-(94.8/(-5*94.8))))-(-5/-5)))))</f>
        <v>4242150.28</v>
      </c>
      <c r="C19481" t="n" s="0">
        <v>4242150.279999999</v>
      </c>
    </row>
    <row r="19482">
      <c r="A19482" t="n" s="0">
        <v>94.81</v>
      </c>
      <c r="B19482" t="n" s="0">
        <f>(-5-((((-5*(-5/((-5/(((-5*(94.81--5))-(-5+((-5*94.81)*(((-5--5)+(94.81--5))+94.81))))-(-5+-5)))*-5)))/-5)--5)+(-5*(((94.81*(94.81-(-5/-5)))*(94.81-(94.81/(-5*94.81))))-(-5/-5)))))</f>
        <v>4243494.716005</v>
      </c>
      <c r="C19482" t="n" s="0">
        <v>4243494.716005</v>
      </c>
    </row>
    <row r="19483">
      <c r="A19483" t="n" s="0">
        <v>94.82</v>
      </c>
      <c r="B19483" t="n" s="0">
        <f>(-5-((((-5*(-5/((-5/(((-5*(94.82--5))-(-5+((-5*94.82)*(((-5--5)+(94.82--5))+94.82))))-(-5+-5)))*-5)))/-5)--5)+(-5*(((94.82*(94.82-(-5/-5)))*(94.82-(94.82/(-5*94.82))))-(-5/-5)))))</f>
        <v>4244839.43604</v>
      </c>
      <c r="C19483" t="n" s="0">
        <v>4244839.436039998</v>
      </c>
    </row>
    <row r="19484">
      <c r="A19484" t="n" s="0">
        <v>94.83</v>
      </c>
      <c r="B19484" t="n" s="0">
        <f>(-5-((((-5*(-5/((-5/(((-5*(94.83--5))-(-5+((-5*94.83)*(((-5--5)+(94.83--5))+94.83))))-(-5+-5)))*-5)))/-5)--5)+(-5*(((94.83*(94.83-(-5/-5)))*(94.83-(94.83/(-5*94.83))))-(-5/-5)))))</f>
        <v>4246184.440135</v>
      </c>
      <c r="C19484" t="n" s="0">
        <v>4246184.440135</v>
      </c>
    </row>
    <row r="19485">
      <c r="A19485" t="n" s="0">
        <v>94.84</v>
      </c>
      <c r="B19485" t="n" s="0">
        <f>(-5-((((-5*(-5/((-5/(((-5*(94.84--5))-(-5+((-5*94.84)*(((-5--5)+(94.84--5))+94.84))))-(-5+-5)))*-5)))/-5)--5)+(-5*(((94.84*(94.84-(-5/-5)))*(94.84-(94.84/(-5*94.84))))-(-5/-5)))))</f>
        <v>4247529.72832</v>
      </c>
      <c r="C19485" t="n" s="0">
        <v>4247529.728320001</v>
      </c>
    </row>
    <row r="19486">
      <c r="A19486" t="n" s="0">
        <v>94.85</v>
      </c>
      <c r="B19486" t="n" s="0">
        <f>(-5-((((-5*(-5/((-5/(((-5*(94.85--5))-(-5+((-5*94.85)*(((-5--5)+(94.85--5))+94.85))))-(-5+-5)))*-5)))/-5)--5)+(-5*(((94.85*(94.85-(-5/-5)))*(94.85-(94.85/(-5*94.85))))-(-5/-5)))))</f>
        <v>4248875.300625</v>
      </c>
      <c r="C19486" t="n" s="0">
        <v>4248875.300624999</v>
      </c>
    </row>
    <row r="19487">
      <c r="A19487" t="n" s="0">
        <v>94.86</v>
      </c>
      <c r="B19487" t="n" s="0">
        <f>(-5-((((-5*(-5/((-5/(((-5*(94.86--5))-(-5+((-5*94.86)*(((-5--5)+(94.86--5))+94.86))))-(-5+-5)))*-5)))/-5)--5)+(-5*(((94.86*(94.86-(-5/-5)))*(94.86-(94.86/(-5*94.86))))-(-5/-5)))))</f>
        <v>4250221.157079999</v>
      </c>
      <c r="C19487" t="n" s="0">
        <v>4250221.157079999</v>
      </c>
    </row>
    <row r="19488">
      <c r="A19488" t="n" s="0">
        <v>94.87</v>
      </c>
      <c r="B19488" t="n" s="0">
        <f>(-5-((((-5*(-5/((-5/(((-5*(94.87--5))-(-5+((-5*94.87)*(((-5--5)+(94.87--5))+94.87))))-(-5+-5)))*-5)))/-5)--5)+(-5*(((94.87*(94.87-(-5/-5)))*(94.87-(94.87/(-5*94.87))))-(-5/-5)))))</f>
        <v>4251567.297715001</v>
      </c>
      <c r="C19488" t="n" s="0">
        <v>4251567.297715001</v>
      </c>
    </row>
    <row r="19489">
      <c r="A19489" t="n" s="0">
        <v>94.88</v>
      </c>
      <c r="B19489" t="n" s="0">
        <f>(-5-((((-5*(-5/((-5/(((-5*(94.88--5))-(-5+((-5*94.88)*(((-5--5)+(94.88--5))+94.88))))-(-5+-5)))*-5)))/-5)--5)+(-5*(((94.88*(94.88-(-5/-5)))*(94.88-(94.88/(-5*94.88))))-(-5/-5)))))</f>
        <v>4252913.722560001</v>
      </c>
      <c r="C19489" t="n" s="0">
        <v>4252913.72256</v>
      </c>
    </row>
    <row r="19490">
      <c r="A19490" t="n" s="0">
        <v>94.89</v>
      </c>
      <c r="B19490" t="n" s="0">
        <f>(-5-((((-5*(-5/((-5/(((-5*(94.89--5))-(-5+((-5*94.89)*(((-5--5)+(94.89--5))+94.89))))-(-5+-5)))*-5)))/-5)--5)+(-5*(((94.89*(94.89-(-5/-5)))*(94.89-(94.89/(-5*94.89))))-(-5/-5)))))</f>
        <v>4254260.431644999</v>
      </c>
      <c r="C19490" t="n" s="0">
        <v>4254260.431645</v>
      </c>
    </row>
    <row r="19491">
      <c r="A19491" t="n" s="0">
        <v>94.9</v>
      </c>
      <c r="B19491" t="n" s="0">
        <f>(-5-((((-5*(-5/((-5/(((-5*(94.9--5))-(-5+((-5*94.9)*(((-5--5)+(94.9--5))+94.9))))-(-5+-5)))*-5)))/-5)--5)+(-5*(((94.9*(94.9-(-5/-5)))*(94.9-(94.9/(-5*94.9))))-(-5/-5)))))</f>
        <v>4255607.425</v>
      </c>
      <c r="C19491" t="n" s="0">
        <v>4255607.425000002</v>
      </c>
    </row>
    <row r="19492">
      <c r="A19492" t="n" s="0">
        <v>94.91</v>
      </c>
      <c r="B19492" t="n" s="0">
        <f>(-5-((((-5*(-5/((-5/(((-5*(94.91--5))-(-5+((-5*94.91)*(((-5--5)+(94.91--5))+94.91))))-(-5+-5)))*-5)))/-5)--5)+(-5*(((94.91*(94.91-(-5/-5)))*(94.91-(94.91/(-5*94.91))))-(-5/-5)))))</f>
        <v>4256954.702655</v>
      </c>
      <c r="C19492" t="n" s="0">
        <v>4256954.702655</v>
      </c>
    </row>
    <row r="19493">
      <c r="A19493" t="n" s="0">
        <v>94.92</v>
      </c>
      <c r="B19493" t="n" s="0">
        <f>(-5-((((-5*(-5/((-5/(((-5*(94.92--5))-(-5+((-5*94.92)*(((-5--5)+(94.92--5))+94.92))))-(-5+-5)))*-5)))/-5)--5)+(-5*(((94.92*(94.92-(-5/-5)))*(94.92-(94.92/(-5*94.92))))-(-5/-5)))))</f>
        <v>4258302.26464</v>
      </c>
      <c r="C19493" t="n" s="0">
        <v>4258302.26464</v>
      </c>
    </row>
    <row r="19494">
      <c r="A19494" t="n" s="0">
        <v>94.93</v>
      </c>
      <c r="B19494" t="n" s="0">
        <f>(-5-((((-5*(-5/((-5/(((-5*(94.93--5))-(-5+((-5*94.93)*(((-5--5)+(94.93--5))+94.93))))-(-5+-5)))*-5)))/-5)--5)+(-5*(((94.93*(94.93-(-5/-5)))*(94.93-(94.93/(-5*94.93))))-(-5/-5)))))</f>
        <v>4259650.110985001</v>
      </c>
      <c r="C19494" t="n" s="0">
        <v>4259650.110985002</v>
      </c>
    </row>
    <row r="19495">
      <c r="A19495" t="n" s="0">
        <v>94.94</v>
      </c>
      <c r="B19495" t="n" s="0">
        <f>(-5-((((-5*(-5/((-5/(((-5*(94.94--5))-(-5+((-5*94.94)*(((-5--5)+(94.94--5))+94.94))))-(-5+-5)))*-5)))/-5)--5)+(-5*(((94.94*(94.94-(-5/-5)))*(94.94-(94.94/(-5*94.94))))-(-5/-5)))))</f>
        <v>4260998.24172</v>
      </c>
      <c r="C19495" t="n" s="0">
        <v>4260998.24172</v>
      </c>
    </row>
    <row r="19496">
      <c r="A19496" t="n" s="0">
        <v>94.95</v>
      </c>
      <c r="B19496" t="n" s="0">
        <f>(-5-((((-5*(-5/((-5/(((-5*(94.95--5))-(-5+((-5*94.95)*(((-5--5)+(94.95--5))+94.95))))-(-5+-5)))*-5)))/-5)--5)+(-5*(((94.95*(94.95-(-5/-5)))*(94.95-(94.95/(-5*94.95))))-(-5/-5)))))</f>
        <v>4262346.656874999</v>
      </c>
      <c r="C19496" t="n" s="0">
        <v>4262346.656875</v>
      </c>
    </row>
    <row r="19497">
      <c r="A19497" t="n" s="0">
        <v>94.96</v>
      </c>
      <c r="B19497" t="n" s="0">
        <f>(-5-((((-5*(-5/((-5/(((-5*(94.96--5))-(-5+((-5*94.96)*(((-5--5)+(94.96--5))+94.96))))-(-5+-5)))*-5)))/-5)--5)+(-5*(((94.96*(94.96-(-5/-5)))*(94.96-(94.96/(-5*94.96))))-(-5/-5)))))</f>
        <v>4263695.35648</v>
      </c>
      <c r="C19497" t="n" s="0">
        <v>4263695.35648</v>
      </c>
    </row>
    <row r="19498">
      <c r="A19498" t="n" s="0">
        <v>94.97</v>
      </c>
      <c r="B19498" t="n" s="0">
        <f>(-5-((((-5*(-5/((-5/(((-5*(94.97--5))-(-5+((-5*94.97)*(((-5--5)+(94.97--5))+94.97))))-(-5+-5)))*-5)))/-5)--5)+(-5*(((94.97*(94.97-(-5/-5)))*(94.97-(94.97/(-5*94.97))))-(-5/-5)))))</f>
        <v>4265044.340565</v>
      </c>
      <c r="C19498" t="n" s="0">
        <v>4265044.340565</v>
      </c>
    </row>
    <row r="19499">
      <c r="A19499" t="n" s="0">
        <v>94.98</v>
      </c>
      <c r="B19499" t="n" s="0">
        <f>(-5-((((-5*(-5/((-5/(((-5*(94.98--5))-(-5+((-5*94.98)*(((-5--5)+(94.98--5))+94.98))))-(-5+-5)))*-5)))/-5)--5)+(-5*(((94.98*(94.98-(-5/-5)))*(94.98-(94.98/(-5*94.98))))-(-5/-5)))))</f>
        <v>4266393.6091599995</v>
      </c>
      <c r="C19499" t="n" s="0">
        <v>4266393.609160001</v>
      </c>
    </row>
    <row r="19500">
      <c r="A19500" t="n" s="0">
        <v>94.99</v>
      </c>
      <c r="B19500" t="n" s="0">
        <f>(-5-((((-5*(-5/((-5/(((-5*(94.99--5))-(-5+((-5*94.99)*(((-5--5)+(94.99--5))+94.99))))-(-5+-5)))*-5)))/-5)--5)+(-5*(((94.99*(94.99-(-5/-5)))*(94.99-(94.99/(-5*94.99))))-(-5/-5)))))</f>
        <v>4267743.162295</v>
      </c>
      <c r="C19500" t="n" s="0">
        <v>4267743.162295</v>
      </c>
    </row>
    <row r="19501">
      <c r="A19501" t="n" s="0">
        <v>95.0</v>
      </c>
      <c r="B19501" t="n" s="0">
        <f>(-5-((((-5*(-5/((-5/(((-5*(95--5))-(-5+((-5*95)*(((-5--5)+(95--5))+95))))-(-5+-5)))*-5)))/-5)--5)+(-5*(((95*(95-(-5/-5)))*(95-(95/(-5*95))))-(-5/-5)))))</f>
        <v>4269093.0</v>
      </c>
      <c r="C19501" t="n" s="0">
        <v>4269093.0</v>
      </c>
    </row>
    <row r="19502">
      <c r="A19502" t="n" s="0">
        <v>95.01</v>
      </c>
      <c r="B19502" t="n" s="0">
        <f>(-5-((((-5*(-5/((-5/(((-5*(95.01--5))-(-5+((-5*95.01)*(((-5--5)+(95.01--5))+95.01))))-(-5+-5)))*-5)))/-5)--5)+(-5*(((95.01*(95.01-(-5/-5)))*(95.01-(95.01/(-5*95.01))))-(-5/-5)))))</f>
        <v>4270443.122305</v>
      </c>
      <c r="C19502" t="n" s="0">
        <v>4270443.122305</v>
      </c>
    </row>
    <row r="19503">
      <c r="A19503" t="n" s="0">
        <v>95.02</v>
      </c>
      <c r="B19503" t="n" s="0">
        <f>(-5-((((-5*(-5/((-5/(((-5*(95.02--5))-(-5+((-5*95.02)*(((-5--5)+(95.02--5))+95.02))))-(-5+-5)))*-5)))/-5)--5)+(-5*(((95.02*(95.02-(-5/-5)))*(95.02-(95.02/(-5*95.02))))-(-5/-5)))))</f>
        <v>4271793.52924</v>
      </c>
      <c r="C19503" t="n" s="0">
        <v>4271793.529239999</v>
      </c>
    </row>
    <row r="19504">
      <c r="A19504" t="n" s="0">
        <v>95.03</v>
      </c>
      <c r="B19504" t="n" s="0">
        <f>(-5-((((-5*(-5/((-5/(((-5*(95.03--5))-(-5+((-5*95.03)*(((-5--5)+(95.03--5))+95.03))))-(-5+-5)))*-5)))/-5)--5)+(-5*(((95.03*(95.03-(-5/-5)))*(95.03-(95.03/(-5*95.03))))-(-5/-5)))))</f>
        <v>4273144.220835</v>
      </c>
      <c r="C19504" t="n" s="0">
        <v>4273144.220834999</v>
      </c>
    </row>
    <row r="19505">
      <c r="A19505" t="n" s="0">
        <v>95.04</v>
      </c>
      <c r="B19505" t="n" s="0">
        <f>(-5-((((-5*(-5/((-5/(((-5*(95.04--5))-(-5+((-5*95.04)*(((-5--5)+(95.04--5))+95.04))))-(-5+-5)))*-5)))/-5)--5)+(-5*(((95.04*(95.04-(-5/-5)))*(95.04-(95.04/(-5*95.04))))-(-5/-5)))))</f>
        <v>4274495.19712</v>
      </c>
      <c r="C19505" t="n" s="0">
        <v>4274495.197120001</v>
      </c>
    </row>
    <row r="19506">
      <c r="A19506" t="n" s="0">
        <v>95.05</v>
      </c>
      <c r="B19506" t="n" s="0">
        <f>(-5-((((-5*(-5/((-5/(((-5*(95.05--5))-(-5+((-5*95.05)*(((-5--5)+(95.05--5))+95.05))))-(-5+-5)))*-5)))/-5)--5)+(-5*(((95.05*(95.05-(-5/-5)))*(95.05-(95.05/(-5*95.05))))-(-5/-5)))))</f>
        <v>4275846.458125</v>
      </c>
      <c r="C19506" t="n" s="0">
        <v>4275846.458125</v>
      </c>
    </row>
    <row r="19507">
      <c r="A19507" t="n" s="0">
        <v>95.06</v>
      </c>
      <c r="B19507" t="n" s="0">
        <f>(-5-((((-5*(-5/((-5/(((-5*(95.06--5))-(-5+((-5*95.06)*(((-5--5)+(95.06--5))+95.06))))-(-5+-5)))*-5)))/-5)--5)+(-5*(((95.06*(95.06-(-5/-5)))*(95.06-(95.06/(-5*95.06))))-(-5/-5)))))</f>
        <v>4277198.00388</v>
      </c>
      <c r="C19507" t="n" s="0">
        <v>4277198.003880001</v>
      </c>
    </row>
    <row r="19508">
      <c r="A19508" t="n" s="0">
        <v>95.07</v>
      </c>
      <c r="B19508" t="n" s="0">
        <f>(-5-((((-5*(-5/((-5/(((-5*(95.07--5))-(-5+((-5*95.07)*(((-5--5)+(95.07--5))+95.07))))-(-5+-5)))*-5)))/-5)--5)+(-5*(((95.07*(95.07-(-5/-5)))*(95.07-(95.07/(-5*95.07))))-(-5/-5)))))</f>
        <v>4278549.834415</v>
      </c>
      <c r="C19508" t="n" s="0">
        <v>4278549.834414999</v>
      </c>
    </row>
    <row r="19509">
      <c r="A19509" t="n" s="0">
        <v>95.08</v>
      </c>
      <c r="B19509" t="n" s="0">
        <f>(-5-((((-5*(-5/((-5/(((-5*(95.08--5))-(-5+((-5*95.08)*(((-5--5)+(95.08--5))+95.08))))-(-5+-5)))*-5)))/-5)--5)+(-5*(((95.08*(95.08-(-5/-5)))*(95.08-(95.08/(-5*95.08))))-(-5/-5)))))</f>
        <v>4279901.94976</v>
      </c>
      <c r="C19509" t="n" s="0">
        <v>4279901.94976</v>
      </c>
    </row>
    <row r="19510">
      <c r="A19510" t="n" s="0">
        <v>95.09</v>
      </c>
      <c r="B19510" t="n" s="0">
        <f>(-5-((((-5*(-5/((-5/(((-5*(95.09--5))-(-5+((-5*95.09)*(((-5--5)+(95.09--5))+95.09))))-(-5+-5)))*-5)))/-5)--5)+(-5*(((95.09*(95.09-(-5/-5)))*(95.09-(95.09/(-5*95.09))))-(-5/-5)))))</f>
        <v>4281254.349945</v>
      </c>
      <c r="C19510" t="n" s="0">
        <v>4281254.349945</v>
      </c>
    </row>
    <row r="19511">
      <c r="A19511" t="n" s="0">
        <v>95.1</v>
      </c>
      <c r="B19511" t="n" s="0">
        <f>(-5-((((-5*(-5/((-5/(((-5*(95.1--5))-(-5+((-5*95.1)*(((-5--5)+(95.1--5))+95.1))))-(-5+-5)))*-5)))/-5)--5)+(-5*(((95.1*(95.1-(-5/-5)))*(95.1-(95.1/(-5*95.1))))-(-5/-5)))))</f>
        <v>4282607.035</v>
      </c>
      <c r="C19511" t="n" s="0">
        <v>4282607.034999999</v>
      </c>
    </row>
    <row r="19512">
      <c r="A19512" t="n" s="0">
        <v>95.11</v>
      </c>
      <c r="B19512" t="n" s="0">
        <f>(-5-((((-5*(-5/((-5/(((-5*(95.11--5))-(-5+((-5*95.11)*(((-5--5)+(95.11--5))+95.11))))-(-5+-5)))*-5)))/-5)--5)+(-5*(((95.11*(95.11-(-5/-5)))*(95.11-(95.11/(-5*95.11))))-(-5/-5)))))</f>
        <v>4283960.004955</v>
      </c>
      <c r="C19512" t="n" s="0">
        <v>4283960.004955</v>
      </c>
    </row>
    <row r="19513">
      <c r="A19513" t="n" s="0">
        <v>95.12</v>
      </c>
      <c r="B19513" t="n" s="0">
        <f>(-5-((((-5*(-5/((-5/(((-5*(95.12--5))-(-5+((-5*95.12)*(((-5--5)+(95.12--5))+95.12))))-(-5+-5)))*-5)))/-5)--5)+(-5*(((95.12*(95.12-(-5/-5)))*(95.12-(95.12/(-5*95.12))))-(-5/-5)))))</f>
        <v>4285313.2598399995</v>
      </c>
      <c r="C19513" t="n" s="0">
        <v>4285313.259840001</v>
      </c>
    </row>
    <row r="19514">
      <c r="A19514" t="n" s="0">
        <v>95.13</v>
      </c>
      <c r="B19514" t="n" s="0">
        <f>(-5-((((-5*(-5/((-5/(((-5*(95.13--5))-(-5+((-5*95.13)*(((-5--5)+(95.13--5))+95.13))))-(-5+-5)))*-5)))/-5)--5)+(-5*(((95.13*(95.13-(-5/-5)))*(95.13-(95.13/(-5*95.13))))-(-5/-5)))))</f>
        <v>4286666.799685</v>
      </c>
      <c r="C19514" t="n" s="0">
        <v>4286666.7996849995</v>
      </c>
    </row>
    <row r="19515">
      <c r="A19515" t="n" s="0">
        <v>95.14</v>
      </c>
      <c r="B19515" t="n" s="0">
        <f>(-5-((((-5*(-5/((-5/(((-5*(95.14--5))-(-5+((-5*95.14)*(((-5--5)+(95.14--5))+95.14))))-(-5+-5)))*-5)))/-5)--5)+(-5*(((95.14*(95.14-(-5/-5)))*(95.14-(95.14/(-5*95.14))))-(-5/-5)))))</f>
        <v>4288020.62452</v>
      </c>
      <c r="C19515" t="n" s="0">
        <v>4288020.62452</v>
      </c>
    </row>
    <row r="19516">
      <c r="A19516" t="n" s="0">
        <v>95.15</v>
      </c>
      <c r="B19516" t="n" s="0">
        <f>(-5-((((-5*(-5/((-5/(((-5*(95.15--5))-(-5+((-5*95.15)*(((-5--5)+(95.15--5))+95.15))))-(-5+-5)))*-5)))/-5)--5)+(-5*(((95.15*(95.15-(-5/-5)))*(95.15-(95.15/(-5*95.15))))-(-5/-5)))))</f>
        <v>4289374.734375</v>
      </c>
      <c r="C19516" t="n" s="0">
        <v>4289374.734375001</v>
      </c>
    </row>
    <row r="19517">
      <c r="A19517" t="n" s="0">
        <v>95.16</v>
      </c>
      <c r="B19517" t="n" s="0">
        <f>(-5-((((-5*(-5/((-5/(((-5*(95.16--5))-(-5+((-5*95.16)*(((-5--5)+(95.16--5))+95.16))))-(-5+-5)))*-5)))/-5)--5)+(-5*(((95.16*(95.16-(-5/-5)))*(95.16-(95.16/(-5*95.16))))-(-5/-5)))))</f>
        <v>4290729.12928</v>
      </c>
      <c r="C19517" t="n" s="0">
        <v>4290729.12928</v>
      </c>
    </row>
    <row r="19518">
      <c r="A19518" t="n" s="0">
        <v>95.17</v>
      </c>
      <c r="B19518" t="n" s="0">
        <f>(-5-((((-5*(-5/((-5/(((-5*(95.17--5))-(-5+((-5*95.17)*(((-5--5)+(95.17--5))+95.17))))-(-5+-5)))*-5)))/-5)--5)+(-5*(((95.17*(95.17-(-5/-5)))*(95.17-(95.17/(-5*95.17))))-(-5/-5)))))</f>
        <v>4292083.809265</v>
      </c>
      <c r="C19518" t="n" s="0">
        <v>4292083.809265</v>
      </c>
    </row>
    <row r="19519">
      <c r="A19519" t="n" s="0">
        <v>95.18</v>
      </c>
      <c r="B19519" t="n" s="0">
        <f>(-5-((((-5*(-5/((-5/(((-5*(95.18--5))-(-5+((-5*95.18)*(((-5--5)+(95.18--5))+95.18))))-(-5+-5)))*-5)))/-5)--5)+(-5*(((95.18*(95.18-(-5/-5)))*(95.18-(95.18/(-5*95.18))))-(-5/-5)))))</f>
        <v>4293438.77436</v>
      </c>
      <c r="C19519" t="n" s="0">
        <v>4293438.774360001</v>
      </c>
    </row>
    <row r="19520">
      <c r="A19520" t="n" s="0">
        <v>95.19</v>
      </c>
      <c r="B19520" t="n" s="0">
        <f>(-5-((((-5*(-5/((-5/(((-5*(95.19--5))-(-5+((-5*95.19)*(((-5--5)+(95.19--5))+95.19))))-(-5+-5)))*-5)))/-5)--5)+(-5*(((95.19*(95.19-(-5/-5)))*(95.19-(95.19/(-5*95.19))))-(-5/-5)))))</f>
        <v>4294794.024595</v>
      </c>
      <c r="C19520" t="n" s="0">
        <v>4294794.024595001</v>
      </c>
    </row>
    <row r="19521">
      <c r="A19521" t="n" s="0">
        <v>95.2</v>
      </c>
      <c r="B19521" t="n" s="0">
        <f>(-5-((((-5*(-5/((-5/(((-5*(95.2--5))-(-5+((-5*95.2)*(((-5--5)+(95.2--5))+95.2))))-(-5+-5)))*-5)))/-5)--5)+(-5*(((95.2*(95.2-(-5/-5)))*(95.2-(95.2/(-5*95.2))))-(-5/-5)))))</f>
        <v>4296149.56</v>
      </c>
      <c r="C19521" t="n" s="0">
        <v>4296149.56</v>
      </c>
    </row>
    <row r="19522">
      <c r="A19522" t="n" s="0">
        <v>95.21</v>
      </c>
      <c r="B19522" t="n" s="0">
        <f>(-5-((((-5*(-5/((-5/(((-5*(95.21--5))-(-5+((-5*95.21)*(((-5--5)+(95.21--5))+95.21))))-(-5+-5)))*-5)))/-5)--5)+(-5*(((95.21*(95.21-(-5/-5)))*(95.21-(95.21/(-5*95.21))))-(-5/-5)))))</f>
        <v>4297505.380605</v>
      </c>
      <c r="C19522" t="n" s="0">
        <v>4297505.380604999</v>
      </c>
    </row>
    <row r="19523">
      <c r="A19523" t="n" s="0">
        <v>95.22</v>
      </c>
      <c r="B19523" t="n" s="0">
        <f>(-5-((((-5*(-5/((-5/(((-5*(95.22--5))-(-5+((-5*95.22)*(((-5--5)+(95.22--5))+95.22))))-(-5+-5)))*-5)))/-5)--5)+(-5*(((95.22*(95.22-(-5/-5)))*(95.22-(95.22/(-5*95.22))))-(-5/-5)))))</f>
        <v>4298861.48644</v>
      </c>
      <c r="C19523" t="n" s="0">
        <v>4298861.48644</v>
      </c>
    </row>
    <row r="19524">
      <c r="A19524" t="n" s="0">
        <v>95.23</v>
      </c>
      <c r="B19524" t="n" s="0">
        <f>(-5-((((-5*(-5/((-5/(((-5*(95.23--5))-(-5+((-5*95.23)*(((-5--5)+(95.23--5))+95.23))))-(-5+-5)))*-5)))/-5)--5)+(-5*(((95.23*(95.23-(-5/-5)))*(95.23-(95.23/(-5*95.23))))-(-5/-5)))))</f>
        <v>4300217.877535</v>
      </c>
      <c r="C19524" t="n" s="0">
        <v>4300217.877535</v>
      </c>
    </row>
    <row r="19525">
      <c r="A19525" t="n" s="0">
        <v>95.24</v>
      </c>
      <c r="B19525" t="n" s="0">
        <f>(-5-((((-5*(-5/((-5/(((-5*(95.24--5))-(-5+((-5*95.24)*(((-5--5)+(95.24--5))+95.24))))-(-5+-5)))*-5)))/-5)--5)+(-5*(((95.24*(95.24-(-5/-5)))*(95.24-(95.24/(-5*95.24))))-(-5/-5)))))</f>
        <v>4301574.55392</v>
      </c>
      <c r="C19525" t="n" s="0">
        <v>4301574.553919999</v>
      </c>
    </row>
    <row r="19526">
      <c r="A19526" t="n" s="0">
        <v>95.25</v>
      </c>
      <c r="B19526" t="n" s="0">
        <f>(-5-((((-5*(-5/((-5/(((-5*(95.25--5))-(-5+((-5*95.25)*(((-5--5)+(95.25--5))+95.25))))-(-5+-5)))*-5)))/-5)--5)+(-5*(((95.25*(95.25-(-5/-5)))*(95.25-(95.25/(-5*95.25))))-(-5/-5)))))</f>
        <v>4302931.515625</v>
      </c>
      <c r="C19526" t="n" s="0">
        <v>4302931.515625</v>
      </c>
    </row>
    <row r="19527">
      <c r="A19527" t="n" s="0">
        <v>95.26</v>
      </c>
      <c r="B19527" t="n" s="0">
        <f>(-5-((((-5*(-5/((-5/(((-5*(95.26--5))-(-5+((-5*95.26)*(((-5--5)+(95.26--5))+95.26))))-(-5+-5)))*-5)))/-5)--5)+(-5*(((95.26*(95.26-(-5/-5)))*(95.26-(95.26/(-5*95.26))))-(-5/-5)))))</f>
        <v>4304288.762680001</v>
      </c>
      <c r="C19527" t="n" s="0">
        <v>4304288.762680001</v>
      </c>
    </row>
    <row r="19528">
      <c r="A19528" t="n" s="0">
        <v>95.27</v>
      </c>
      <c r="B19528" t="n" s="0">
        <f>(-5-((((-5*(-5/((-5/(((-5*(95.27--5))-(-5+((-5*95.27)*(((-5--5)+(95.27--5))+95.27))))-(-5+-5)))*-5)))/-5)--5)+(-5*(((95.27*(95.27-(-5/-5)))*(95.27-(95.27/(-5*95.27))))-(-5/-5)))))</f>
        <v>4305646.295115</v>
      </c>
      <c r="C19528" t="n" s="0">
        <v>4305646.295114999</v>
      </c>
    </row>
    <row r="19529">
      <c r="A19529" t="n" s="0">
        <v>95.28</v>
      </c>
      <c r="B19529" t="n" s="0">
        <f>(-5-((((-5*(-5/((-5/(((-5*(95.28--5))-(-5+((-5*95.28)*(((-5--5)+(95.28--5))+95.28))))-(-5+-5)))*-5)))/-5)--5)+(-5*(((95.28*(95.28-(-5/-5)))*(95.28-(95.28/(-5*95.28))))-(-5/-5)))))</f>
        <v>4307004.11296</v>
      </c>
      <c r="C19529" t="n" s="0">
        <v>4307004.11296</v>
      </c>
    </row>
    <row r="19530">
      <c r="A19530" t="n" s="0">
        <v>95.29</v>
      </c>
      <c r="B19530" t="n" s="0">
        <f>(-5-((((-5*(-5/((-5/(((-5*(95.29--5))-(-5+((-5*95.29)*(((-5--5)+(95.29--5))+95.29))))-(-5+-5)))*-5)))/-5)--5)+(-5*(((95.29*(95.29-(-5/-5)))*(95.29-(95.29/(-5*95.29))))-(-5/-5)))))</f>
        <v>4308362.216244999</v>
      </c>
      <c r="C19530" t="n" s="0">
        <v>4308362.216245001</v>
      </c>
    </row>
    <row r="19531">
      <c r="A19531" t="n" s="0">
        <v>95.3</v>
      </c>
      <c r="B19531" t="n" s="0">
        <f>(-5-((((-5*(-5/((-5/(((-5*(95.3--5))-(-5+((-5*95.3)*(((-5--5)+(95.3--5))+95.3))))-(-5+-5)))*-5)))/-5)--5)+(-5*(((95.3*(95.3-(-5/-5)))*(95.3-(95.3/(-5*95.3))))-(-5/-5)))))</f>
        <v>4309720.6049999995</v>
      </c>
      <c r="C19531" t="n" s="0">
        <v>4309720.605</v>
      </c>
    </row>
    <row r="19532">
      <c r="A19532" t="n" s="0">
        <v>95.31</v>
      </c>
      <c r="B19532" t="n" s="0">
        <f>(-5-((((-5*(-5/((-5/(((-5*(95.31--5))-(-5+((-5*95.31)*(((-5--5)+(95.31--5))+95.31))))-(-5+-5)))*-5)))/-5)--5)+(-5*(((95.31*(95.31-(-5/-5)))*(95.31-(95.31/(-5*95.31))))-(-5/-5)))))</f>
        <v>4311079.279255001</v>
      </c>
      <c r="C19532" t="n" s="0">
        <v>4311079.279255</v>
      </c>
    </row>
    <row r="19533">
      <c r="A19533" t="n" s="0">
        <v>95.32</v>
      </c>
      <c r="B19533" t="n" s="0">
        <f>(-5-((((-5*(-5/((-5/(((-5*(95.32--5))-(-5+((-5*95.32)*(((-5--5)+(95.32--5))+95.32))))-(-5+-5)))*-5)))/-5)--5)+(-5*(((95.32*(95.32-(-5/-5)))*(95.32-(95.32/(-5*95.32))))-(-5/-5)))))</f>
        <v>4312438.23904</v>
      </c>
      <c r="C19533" t="n" s="0">
        <v>4312438.239039999</v>
      </c>
    </row>
    <row r="19534">
      <c r="A19534" t="n" s="0">
        <v>95.33</v>
      </c>
      <c r="B19534" t="n" s="0">
        <f>(-5-((((-5*(-5/((-5/(((-5*(95.33--5))-(-5+((-5*95.33)*(((-5--5)+(95.33--5))+95.33))))-(-5+-5)))*-5)))/-5)--5)+(-5*(((95.33*(95.33-(-5/-5)))*(95.33-(95.33/(-5*95.33))))-(-5/-5)))))</f>
        <v>4313797.484385001</v>
      </c>
      <c r="C19534" t="n" s="0">
        <v>4313797.484385</v>
      </c>
    </row>
    <row r="19535">
      <c r="A19535" t="n" s="0">
        <v>95.34</v>
      </c>
      <c r="B19535" t="n" s="0">
        <f>(-5-((((-5*(-5/((-5/(((-5*(95.34--5))-(-5+((-5*95.34)*(((-5--5)+(95.34--5))+95.34))))-(-5+-5)))*-5)))/-5)--5)+(-5*(((95.34*(95.34-(-5/-5)))*(95.34-(95.34/(-5*95.34))))-(-5/-5)))))</f>
        <v>4315157.01532</v>
      </c>
      <c r="C19535" t="n" s="0">
        <v>4315157.015319999</v>
      </c>
    </row>
    <row r="19536">
      <c r="A19536" t="n" s="0">
        <v>95.35</v>
      </c>
      <c r="B19536" t="n" s="0">
        <f>(-5-((((-5*(-5/((-5/(((-5*(95.35--5))-(-5+((-5*95.35)*(((-5--5)+(95.35--5))+95.35))))-(-5+-5)))*-5)))/-5)--5)+(-5*(((95.35*(95.35-(-5/-5)))*(95.35-(95.35/(-5*95.35))))-(-5/-5)))))</f>
        <v>4316516.831874999</v>
      </c>
      <c r="C19536" t="n" s="0">
        <v>4316516.831874999</v>
      </c>
    </row>
    <row r="19537">
      <c r="A19537" t="n" s="0">
        <v>95.36</v>
      </c>
      <c r="B19537" t="n" s="0">
        <f>(-5-((((-5*(-5/((-5/(((-5*(95.36--5))-(-5+((-5*95.36)*(((-5--5)+(95.36--5))+95.36))))-(-5+-5)))*-5)))/-5)--5)+(-5*(((95.36*(95.36-(-5/-5)))*(95.36-(95.36/(-5*95.36))))-(-5/-5)))))</f>
        <v>4317876.93408</v>
      </c>
      <c r="C19537" t="n" s="0">
        <v>4317876.93408</v>
      </c>
    </row>
    <row r="19538">
      <c r="A19538" t="n" s="0">
        <v>95.37</v>
      </c>
      <c r="B19538" t="n" s="0">
        <f>(-5-((((-5*(-5/((-5/(((-5*(95.37--5))-(-5+((-5*95.37)*(((-5--5)+(95.37--5))+95.37))))-(-5+-5)))*-5)))/-5)--5)+(-5*(((95.37*(95.37-(-5/-5)))*(95.37-(95.37/(-5*95.37))))-(-5/-5)))))</f>
        <v>4319237.321965</v>
      </c>
      <c r="C19538" t="n" s="0">
        <v>4319237.321965001</v>
      </c>
    </row>
    <row r="19539">
      <c r="A19539" t="n" s="0">
        <v>95.38</v>
      </c>
      <c r="B19539" t="n" s="0">
        <f>(-5-((((-5*(-5/((-5/(((-5*(95.38--5))-(-5+((-5*95.38)*(((-5--5)+(95.38--5))+95.38))))-(-5+-5)))*-5)))/-5)--5)+(-5*(((95.38*(95.38-(-5/-5)))*(95.38-(95.38/(-5*95.38))))-(-5/-5)))))</f>
        <v>4320597.99556</v>
      </c>
      <c r="C19539" t="n" s="0">
        <v>4320597.99556</v>
      </c>
    </row>
    <row r="19540">
      <c r="A19540" t="n" s="0">
        <v>95.39</v>
      </c>
      <c r="B19540" t="n" s="0">
        <f>(-5-((((-5*(-5/((-5/(((-5*(95.39--5))-(-5+((-5*95.39)*(((-5--5)+(95.39--5))+95.39))))-(-5+-5)))*-5)))/-5)--5)+(-5*(((95.39*(95.39-(-5/-5)))*(95.39-(95.39/(-5*95.39))))-(-5/-5)))))</f>
        <v>4321958.954895</v>
      </c>
      <c r="C19540" t="n" s="0">
        <v>4321958.954895</v>
      </c>
    </row>
    <row r="19541">
      <c r="A19541" t="n" s="0">
        <v>95.4</v>
      </c>
      <c r="B19541" t="n" s="0">
        <f>(-5-((((-5*(-5/((-5/(((-5*(95.4--5))-(-5+((-5*95.4)*(((-5--5)+(95.4--5))+95.4))))-(-5+-5)))*-5)))/-5)--5)+(-5*(((95.4*(95.4-(-5/-5)))*(95.4-(95.4/(-5*95.4))))-(-5/-5)))))</f>
        <v>4323320.2</v>
      </c>
      <c r="C19541" t="n" s="0">
        <v>4323320.2</v>
      </c>
    </row>
    <row r="19542">
      <c r="A19542" t="n" s="0">
        <v>95.41</v>
      </c>
      <c r="B19542" t="n" s="0">
        <f>(-5-((((-5*(-5/((-5/(((-5*(95.41--5))-(-5+((-5*95.41)*(((-5--5)+(95.41--5))+95.41))))-(-5+-5)))*-5)))/-5)--5)+(-5*(((95.41*(95.41-(-5/-5)))*(95.41-(95.41/(-5*95.41))))-(-5/-5)))))</f>
        <v>4324681.730905</v>
      </c>
      <c r="C19542" t="n" s="0">
        <v>4324681.730905</v>
      </c>
    </row>
    <row r="19543">
      <c r="A19543" t="n" s="0">
        <v>95.42</v>
      </c>
      <c r="B19543" t="n" s="0">
        <f>(-5-((((-5*(-5/((-5/(((-5*(95.42--5))-(-5+((-5*95.42)*(((-5--5)+(95.42--5))+95.42))))-(-5+-5)))*-5)))/-5)--5)+(-5*(((95.42*(95.42-(-5/-5)))*(95.42-(95.42/(-5*95.42))))-(-5/-5)))))</f>
        <v>4326043.54764</v>
      </c>
      <c r="C19543" t="n" s="0">
        <v>4326043.5476400005</v>
      </c>
    </row>
    <row r="19544">
      <c r="A19544" t="n" s="0">
        <v>95.43</v>
      </c>
      <c r="B19544" t="n" s="0">
        <f>(-5-((((-5*(-5/((-5/(((-5*(95.43--5))-(-5+((-5*95.43)*(((-5--5)+(95.43--5))+95.43))))-(-5+-5)))*-5)))/-5)--5)+(-5*(((95.43*(95.43-(-5/-5)))*(95.43-(95.43/(-5*95.43))))-(-5/-5)))))</f>
        <v>4327405.650235</v>
      </c>
      <c r="C19544" t="n" s="0">
        <v>4327405.650235001</v>
      </c>
    </row>
    <row r="19545">
      <c r="A19545" t="n" s="0">
        <v>95.44</v>
      </c>
      <c r="B19545" t="n" s="0">
        <f>(-5-((((-5*(-5/((-5/(((-5*(95.44--5))-(-5+((-5*95.44)*(((-5--5)+(95.44--5))+95.44))))-(-5+-5)))*-5)))/-5)--5)+(-5*(((95.44*(95.44-(-5/-5)))*(95.44-(95.44/(-5*95.44))))-(-5/-5)))))</f>
        <v>4328768.03872</v>
      </c>
      <c r="C19545" t="n" s="0">
        <v>4328768.03872</v>
      </c>
    </row>
    <row r="19546">
      <c r="A19546" t="n" s="0">
        <v>95.45</v>
      </c>
      <c r="B19546" t="n" s="0">
        <f>(-5-((((-5*(-5/((-5/(((-5*(95.45--5))-(-5+((-5*95.45)*(((-5--5)+(95.45--5))+95.45))))-(-5+-5)))*-5)))/-5)--5)+(-5*(((95.45*(95.45-(-5/-5)))*(95.45-(95.45/(-5*95.45))))-(-5/-5)))))</f>
        <v>4330130.713125</v>
      </c>
      <c r="C19546" t="n" s="0">
        <v>4330130.713125</v>
      </c>
    </row>
    <row r="19547">
      <c r="A19547" t="n" s="0">
        <v>95.46</v>
      </c>
      <c r="B19547" t="n" s="0">
        <f>(-5-((((-5*(-5/((-5/(((-5*(95.46--5))-(-5+((-5*95.46)*(((-5--5)+(95.46--5))+95.46))))-(-5+-5)))*-5)))/-5)--5)+(-5*(((95.46*(95.46-(-5/-5)))*(95.46-(95.46/(-5*95.46))))-(-5/-5)))))</f>
        <v>4331493.673479999</v>
      </c>
      <c r="C19547" t="n" s="0">
        <v>4331493.673479999</v>
      </c>
    </row>
    <row r="19548">
      <c r="A19548" t="n" s="0">
        <v>95.47</v>
      </c>
      <c r="B19548" t="n" s="0">
        <f>(-5-((((-5*(-5/((-5/(((-5*(95.47--5))-(-5+((-5*95.47)*(((-5--5)+(95.47--5))+95.47))))-(-5+-5)))*-5)))/-5)--5)+(-5*(((95.47*(95.47-(-5/-5)))*(95.47-(95.47/(-5*95.47))))-(-5/-5)))))</f>
        <v>4332856.919814999</v>
      </c>
      <c r="C19548" t="n" s="0">
        <v>4332856.919815</v>
      </c>
    </row>
    <row r="19549">
      <c r="A19549" t="n" s="0">
        <v>95.48</v>
      </c>
      <c r="B19549" t="n" s="0">
        <f>(-5-((((-5*(-5/((-5/(((-5*(95.48--5))-(-5+((-5*95.48)*(((-5--5)+(95.48--5))+95.48))))-(-5+-5)))*-5)))/-5)--5)+(-5*(((95.48*(95.48-(-5/-5)))*(95.48-(95.48/(-5*95.48))))-(-5/-5)))))</f>
        <v>4334220.45216</v>
      </c>
      <c r="C19549" t="n" s="0">
        <v>4334220.452160001</v>
      </c>
    </row>
    <row r="19550">
      <c r="A19550" t="n" s="0">
        <v>95.49</v>
      </c>
      <c r="B19550" t="n" s="0">
        <f>(-5-((((-5*(-5/((-5/(((-5*(95.49--5))-(-5+((-5*95.49)*(((-5--5)+(95.49--5))+95.49))))-(-5+-5)))*-5)))/-5)--5)+(-5*(((95.49*(95.49-(-5/-5)))*(95.49-(95.49/(-5*95.49))))-(-5/-5)))))</f>
        <v>4335584.270545</v>
      </c>
      <c r="C19550" t="n" s="0">
        <v>4335584.270544998</v>
      </c>
    </row>
    <row r="19551">
      <c r="A19551" t="n" s="0">
        <v>95.5</v>
      </c>
      <c r="B19551" t="n" s="0">
        <f>(-5-((((-5*(-5/((-5/(((-5*(95.5--5))-(-5+((-5*95.5)*(((-5--5)+(95.5--5))+95.5))))-(-5+-5)))*-5)))/-5)--5)+(-5*(((95.5*(95.5-(-5/-5)))*(95.5-(95.5/(-5*95.5))))-(-5/-5)))))</f>
        <v>4336948.375</v>
      </c>
      <c r="C19551" t="n" s="0">
        <v>4336948.375</v>
      </c>
    </row>
    <row r="19552">
      <c r="A19552" t="n" s="0">
        <v>95.51</v>
      </c>
      <c r="B19552" t="n" s="0">
        <f>(-5-((((-5*(-5/((-5/(((-5*(95.51--5))-(-5+((-5*95.51)*(((-5--5)+(95.51--5))+95.51))))-(-5+-5)))*-5)))/-5)--5)+(-5*(((95.51*(95.51-(-5/-5)))*(95.51-(95.51/(-5*95.51))))-(-5/-5)))))</f>
        <v>4338312.765555</v>
      </c>
      <c r="C19552" t="n" s="0">
        <v>4338312.765555001</v>
      </c>
    </row>
    <row r="19553">
      <c r="A19553" t="n" s="0">
        <v>95.52</v>
      </c>
      <c r="B19553" t="n" s="0">
        <f>(-5-((((-5*(-5/((-5/(((-5*(95.52--5))-(-5+((-5*95.52)*(((-5--5)+(95.52--5))+95.52))))-(-5+-5)))*-5)))/-5)--5)+(-5*(((95.52*(95.52-(-5/-5)))*(95.52-(95.52/(-5*95.52))))-(-5/-5)))))</f>
        <v>4339677.442240001</v>
      </c>
      <c r="C19553" t="n" s="0">
        <v>4339677.442239999</v>
      </c>
    </row>
    <row r="19554">
      <c r="A19554" t="n" s="0">
        <v>95.53</v>
      </c>
      <c r="B19554" t="n" s="0">
        <f>(-5-((((-5*(-5/((-5/(((-5*(95.53--5))-(-5+((-5*95.53)*(((-5--5)+(95.53--5))+95.53))))-(-5+-5)))*-5)))/-5)--5)+(-5*(((95.53*(95.53-(-5/-5)))*(95.53-(95.53/(-5*95.53))))-(-5/-5)))))</f>
        <v>4341042.405085</v>
      </c>
      <c r="C19554" t="n" s="0">
        <v>4341042.405085</v>
      </c>
    </row>
    <row r="19555">
      <c r="A19555" t="n" s="0">
        <v>95.54</v>
      </c>
      <c r="B19555" t="n" s="0">
        <f>(-5-((((-5*(-5/((-5/(((-5*(95.54--5))-(-5+((-5*95.54)*(((-5--5)+(95.54--5))+95.54))))-(-5+-5)))*-5)))/-5)--5)+(-5*(((95.54*(95.54-(-5/-5)))*(95.54-(95.54/(-5*95.54))))-(-5/-5)))))</f>
        <v>4342407.65412</v>
      </c>
      <c r="C19555" t="n" s="0">
        <v>4342407.654120001</v>
      </c>
    </row>
    <row r="19556">
      <c r="A19556" t="n" s="0">
        <v>95.55</v>
      </c>
      <c r="B19556" t="n" s="0">
        <f>(-5-((((-5*(-5/((-5/(((-5*(95.55--5))-(-5+((-5*95.55)*(((-5--5)+(95.55--5))+95.55))))-(-5+-5)))*-5)))/-5)--5)+(-5*(((95.55*(95.55-(-5/-5)))*(95.55-(95.55/(-5*95.55))))-(-5/-5)))))</f>
        <v>4343773.189375</v>
      </c>
      <c r="C19556" t="n" s="0">
        <v>4343773.189375</v>
      </c>
    </row>
    <row r="19557">
      <c r="A19557" t="n" s="0">
        <v>95.56</v>
      </c>
      <c r="B19557" t="n" s="0">
        <f>(-5-((((-5*(-5/((-5/(((-5*(95.56--5))-(-5+((-5*95.56)*(((-5--5)+(95.56--5))+95.56))))-(-5+-5)))*-5)))/-5)--5)+(-5*(((95.56*(95.56-(-5/-5)))*(95.56-(95.56/(-5*95.56))))-(-5/-5)))))</f>
        <v>4345139.01088</v>
      </c>
      <c r="C19557" t="n" s="0">
        <v>4345139.01088</v>
      </c>
    </row>
    <row r="19558">
      <c r="A19558" t="n" s="0">
        <v>95.57</v>
      </c>
      <c r="B19558" t="n" s="0">
        <f>(-5-((((-5*(-5/((-5/(((-5*(95.57--5))-(-5+((-5*95.57)*(((-5--5)+(95.57--5))+95.57))))-(-5+-5)))*-5)))/-5)--5)+(-5*(((95.57*(95.57-(-5/-5)))*(95.57-(95.57/(-5*95.57))))-(-5/-5)))))</f>
        <v>4346505.1186649995</v>
      </c>
      <c r="C19558" t="n" s="0">
        <v>4346505.118664999</v>
      </c>
    </row>
    <row r="19559">
      <c r="A19559" t="n" s="0">
        <v>95.58</v>
      </c>
      <c r="B19559" t="n" s="0">
        <f>(-5-((((-5*(-5/((-5/(((-5*(95.58--5))-(-5+((-5*95.58)*(((-5--5)+(95.58--5))+95.58))))-(-5+-5)))*-5)))/-5)--5)+(-5*(((95.58*(95.58-(-5/-5)))*(95.58-(95.58/(-5*95.58))))-(-5/-5)))))</f>
        <v>4347871.512759999</v>
      </c>
      <c r="C19559" t="n" s="0">
        <v>4347871.512759999</v>
      </c>
    </row>
    <row r="19560">
      <c r="A19560" t="n" s="0">
        <v>95.59</v>
      </c>
      <c r="B19560" t="n" s="0">
        <f>(-5-((((-5*(-5/((-5/(((-5*(95.59--5))-(-5+((-5*95.59)*(((-5--5)+(95.59--5))+95.59))))-(-5+-5)))*-5)))/-5)--5)+(-5*(((95.59*(95.59-(-5/-5)))*(95.59-(95.59/(-5*95.59))))-(-5/-5)))))</f>
        <v>4349238.193194999</v>
      </c>
      <c r="C19560" t="n" s="0">
        <v>4349238.193194999</v>
      </c>
    </row>
    <row r="19561">
      <c r="A19561" t="n" s="0">
        <v>95.6</v>
      </c>
      <c r="B19561" t="n" s="0">
        <f>(-5-((((-5*(-5/((-5/(((-5*(95.6--5))-(-5+((-5*95.6)*(((-5--5)+(95.6--5))+95.6))))-(-5+-5)))*-5)))/-5)--5)+(-5*(((95.6*(95.6-(-5/-5)))*(95.6-(95.6/(-5*95.6))))-(-5/-5)))))</f>
        <v>4350605.16</v>
      </c>
      <c r="C19561" t="n" s="0">
        <v>4350605.159999999</v>
      </c>
    </row>
    <row r="19562">
      <c r="A19562" t="n" s="0">
        <v>95.61</v>
      </c>
      <c r="B19562" t="n" s="0">
        <f>(-5-((((-5*(-5/((-5/(((-5*(95.61--5))-(-5+((-5*95.61)*(((-5--5)+(95.61--5))+95.61))))-(-5+-5)))*-5)))/-5)--5)+(-5*(((95.61*(95.61-(-5/-5)))*(95.61-(95.61/(-5*95.61))))-(-5/-5)))))</f>
        <v>4351972.413205</v>
      </c>
      <c r="C19562" t="n" s="0">
        <v>4351972.413205</v>
      </c>
    </row>
    <row r="19563">
      <c r="A19563" t="n" s="0">
        <v>95.62</v>
      </c>
      <c r="B19563" t="n" s="0">
        <f>(-5-((((-5*(-5/((-5/(((-5*(95.62--5))-(-5+((-5*95.62)*(((-5--5)+(95.62--5))+95.62))))-(-5+-5)))*-5)))/-5)--5)+(-5*(((95.62*(95.62-(-5/-5)))*(95.62-(95.62/(-5*95.62))))-(-5/-5)))))</f>
        <v>4353339.952839999</v>
      </c>
      <c r="C19563" t="n" s="0">
        <v>4353339.95284</v>
      </c>
    </row>
    <row r="19564">
      <c r="A19564" t="n" s="0">
        <v>95.63</v>
      </c>
      <c r="B19564" t="n" s="0">
        <f>(-5-((((-5*(-5/((-5/(((-5*(95.63--5))-(-5+((-5*95.63)*(((-5--5)+(95.63--5))+95.63))))-(-5+-5)))*-5)))/-5)--5)+(-5*(((95.63*(95.63-(-5/-5)))*(95.63-(95.63/(-5*95.63))))-(-5/-5)))))</f>
        <v>4354707.778935</v>
      </c>
      <c r="C19564" t="n" s="0">
        <v>4354707.778934999</v>
      </c>
    </row>
    <row r="19565">
      <c r="A19565" t="n" s="0">
        <v>95.64</v>
      </c>
      <c r="B19565" t="n" s="0">
        <f>(-5-((((-5*(-5/((-5/(((-5*(95.64--5))-(-5+((-5*95.64)*(((-5--5)+(95.64--5))+95.64))))-(-5+-5)))*-5)))/-5)--5)+(-5*(((95.64*(95.64-(-5/-5)))*(95.64-(95.64/(-5*95.64))))-(-5/-5)))))</f>
        <v>4356075.891519999</v>
      </c>
      <c r="C19565" t="n" s="0">
        <v>4356075.89152</v>
      </c>
    </row>
    <row r="19566">
      <c r="A19566" t="n" s="0">
        <v>95.65</v>
      </c>
      <c r="B19566" t="n" s="0">
        <f>(-5-((((-5*(-5/((-5/(((-5*(95.65--5))-(-5+((-5*95.65)*(((-5--5)+(95.65--5))+95.65))))-(-5+-5)))*-5)))/-5)--5)+(-5*(((95.65*(95.65-(-5/-5)))*(95.65-(95.65/(-5*95.65))))-(-5/-5)))))</f>
        <v>4357444.290625</v>
      </c>
      <c r="C19566" t="n" s="0">
        <v>4357444.290625001</v>
      </c>
    </row>
    <row r="19567">
      <c r="A19567" t="n" s="0">
        <v>95.66</v>
      </c>
      <c r="B19567" t="n" s="0">
        <f>(-5-((((-5*(-5/((-5/(((-5*(95.66--5))-(-5+((-5*95.66)*(((-5--5)+(95.66--5))+95.66))))-(-5+-5)))*-5)))/-5)--5)+(-5*(((95.66*(95.66-(-5/-5)))*(95.66-(95.66/(-5*95.66))))-(-5/-5)))))</f>
        <v>4358812.97628</v>
      </c>
      <c r="C19567" t="n" s="0">
        <v>4358812.97628</v>
      </c>
    </row>
    <row r="19568">
      <c r="A19568" t="n" s="0">
        <v>95.67</v>
      </c>
      <c r="B19568" t="n" s="0">
        <f>(-5-((((-5*(-5/((-5/(((-5*(95.67--5))-(-5+((-5*95.67)*(((-5--5)+(95.67--5))+95.67))))-(-5+-5)))*-5)))/-5)--5)+(-5*(((95.67*(95.67-(-5/-5)))*(95.67-(95.67/(-5*95.67))))-(-5/-5)))))</f>
        <v>4360181.948515</v>
      </c>
      <c r="C19568" t="n" s="0">
        <v>4360181.948515</v>
      </c>
    </row>
    <row r="19569">
      <c r="A19569" t="n" s="0">
        <v>95.68</v>
      </c>
      <c r="B19569" t="n" s="0">
        <f>(-5-((((-5*(-5/((-5/(((-5*(95.68--5))-(-5+((-5*95.68)*(((-5--5)+(95.68--5))+95.68))))-(-5+-5)))*-5)))/-5)--5)+(-5*(((95.68*(95.68-(-5/-5)))*(95.68-(95.68/(-5*95.68))))-(-5/-5)))))</f>
        <v>4361551.20736</v>
      </c>
      <c r="C19569" t="n" s="0">
        <v>4361551.207360001</v>
      </c>
    </row>
    <row r="19570">
      <c r="A19570" t="n" s="0">
        <v>95.69</v>
      </c>
      <c r="B19570" t="n" s="0">
        <f>(-5-((((-5*(-5/((-5/(((-5*(95.69--5))-(-5+((-5*95.69)*(((-5--5)+(95.69--5))+95.69))))-(-5+-5)))*-5)))/-5)--5)+(-5*(((95.69*(95.69-(-5/-5)))*(95.69-(95.69/(-5*95.69))))-(-5/-5)))))</f>
        <v>4362920.7528450005</v>
      </c>
      <c r="C19570" t="n" s="0">
        <v>4362920.752845</v>
      </c>
    </row>
    <row r="19571">
      <c r="A19571" t="n" s="0">
        <v>95.7</v>
      </c>
      <c r="B19571" t="n" s="0">
        <f>(-5-((((-5*(-5/((-5/(((-5*(95.7--5))-(-5+((-5*95.7)*(((-5--5)+(95.7--5))+95.7))))-(-5+-5)))*-5)))/-5)--5)+(-5*(((95.7*(95.7-(-5/-5)))*(95.7-(95.7/(-5*95.7))))-(-5/-5)))))</f>
        <v>4364290.585</v>
      </c>
      <c r="C19571" t="n" s="0">
        <v>4364290.585</v>
      </c>
    </row>
    <row r="19572">
      <c r="A19572" t="n" s="0">
        <v>95.71</v>
      </c>
      <c r="B19572" t="n" s="0">
        <f>(-5-((((-5*(-5/((-5/(((-5*(95.71--5))-(-5+((-5*95.71)*(((-5--5)+(95.71--5))+95.71))))-(-5+-5)))*-5)))/-5)--5)+(-5*(((95.71*(95.71-(-5/-5)))*(95.71-(95.71/(-5*95.71))))-(-5/-5)))))</f>
        <v>4365660.7038549995</v>
      </c>
      <c r="C19572" t="n" s="0">
        <v>4365660.7038549995</v>
      </c>
    </row>
    <row r="19573">
      <c r="A19573" t="n" s="0">
        <v>95.72</v>
      </c>
      <c r="B19573" t="n" s="0">
        <f>(-5-((((-5*(-5/((-5/(((-5*(95.72--5))-(-5+((-5*95.72)*(((-5--5)+(95.72--5))+95.72))))-(-5+-5)))*-5)))/-5)--5)+(-5*(((95.72*(95.72-(-5/-5)))*(95.72-(95.72/(-5*95.72))))-(-5/-5)))))</f>
        <v>4367031.109440001</v>
      </c>
      <c r="C19573" t="n" s="0">
        <v>4367031.10944</v>
      </c>
    </row>
    <row r="19574">
      <c r="A19574" t="n" s="0">
        <v>95.73</v>
      </c>
      <c r="B19574" t="n" s="0">
        <f>(-5-((((-5*(-5/((-5/(((-5*(95.73--5))-(-5+((-5*95.73)*(((-5--5)+(95.73--5))+95.73))))-(-5+-5)))*-5)))/-5)--5)+(-5*(((95.73*(95.73-(-5/-5)))*(95.73-(95.73/(-5*95.73))))-(-5/-5)))))</f>
        <v>4368401.801785001</v>
      </c>
      <c r="C19574" t="n" s="0">
        <v>4368401.801785001</v>
      </c>
    </row>
    <row r="19575">
      <c r="A19575" t="n" s="0">
        <v>95.74</v>
      </c>
      <c r="B19575" t="n" s="0">
        <f>(-5-((((-5*(-5/((-5/(((-5*(95.74--5))-(-5+((-5*95.74)*(((-5--5)+(95.74--5))+95.74))))-(-5+-5)))*-5)))/-5)--5)+(-5*(((95.74*(95.74-(-5/-5)))*(95.74-(95.74/(-5*95.74))))-(-5/-5)))))</f>
        <v>4369772.78092</v>
      </c>
      <c r="C19575" t="n" s="0">
        <v>4369772.78092</v>
      </c>
    </row>
    <row r="19576">
      <c r="A19576" t="n" s="0">
        <v>95.75</v>
      </c>
      <c r="B19576" t="n" s="0">
        <f>(-5-((((-5*(-5/((-5/(((-5*(95.75--5))-(-5+((-5*95.75)*(((-5--5)+(95.75--5))+95.75))))-(-5+-5)))*-5)))/-5)--5)+(-5*(((95.75*(95.75-(-5/-5)))*(95.75-(95.75/(-5*95.75))))-(-5/-5)))))</f>
        <v>4371144.046875</v>
      </c>
      <c r="C19576" t="n" s="0">
        <v>4371144.046875</v>
      </c>
    </row>
    <row r="19577">
      <c r="A19577" t="n" s="0">
        <v>95.76</v>
      </c>
      <c r="B19577" t="n" s="0">
        <f>(-5-((((-5*(-5/((-5/(((-5*(95.76--5))-(-5+((-5*95.76)*(((-5--5)+(95.76--5))+95.76))))-(-5+-5)))*-5)))/-5)--5)+(-5*(((95.76*(95.76-(-5/-5)))*(95.76-(95.76/(-5*95.76))))-(-5/-5)))))</f>
        <v>4372515.59968</v>
      </c>
      <c r="C19577" t="n" s="0">
        <v>4372515.599680001</v>
      </c>
    </row>
    <row r="19578">
      <c r="A19578" t="n" s="0">
        <v>95.77</v>
      </c>
      <c r="B19578" t="n" s="0">
        <f>(-5-((((-5*(-5/((-5/(((-5*(95.77--5))-(-5+((-5*95.77)*(((-5--5)+(95.77--5))+95.77))))-(-5+-5)))*-5)))/-5)--5)+(-5*(((95.77*(95.77-(-5/-5)))*(95.77-(95.77/(-5*95.77))))-(-5/-5)))))</f>
        <v>4373887.4393649995</v>
      </c>
      <c r="C19578" t="n" s="0">
        <v>4373887.4393649995</v>
      </c>
    </row>
    <row r="19579">
      <c r="A19579" t="n" s="0">
        <v>95.78</v>
      </c>
      <c r="B19579" t="n" s="0">
        <f>(-5-((((-5*(-5/((-5/(((-5*(95.78--5))-(-5+((-5*95.78)*(((-5--5)+(95.78--5))+95.78))))-(-5+-5)))*-5)))/-5)--5)+(-5*(((95.78*(95.78-(-5/-5)))*(95.78-(95.78/(-5*95.78))))-(-5/-5)))))</f>
        <v>4375259.56596</v>
      </c>
      <c r="C19579" t="n" s="0">
        <v>4375259.56596</v>
      </c>
    </row>
    <row r="19580">
      <c r="A19580" t="n" s="0">
        <v>95.79</v>
      </c>
      <c r="B19580" t="n" s="0">
        <f>(-5-((((-5*(-5/((-5/(((-5*(95.79--5))-(-5+((-5*95.79)*(((-5--5)+(95.79--5))+95.79))))-(-5+-5)))*-5)))/-5)--5)+(-5*(((95.79*(95.79-(-5/-5)))*(95.79-(95.79/(-5*95.79))))-(-5/-5)))))</f>
        <v>4376631.979495</v>
      </c>
      <c r="C19580" t="n" s="0">
        <v>4376631.979495001</v>
      </c>
    </row>
    <row r="19581">
      <c r="A19581" t="n" s="0">
        <v>95.8</v>
      </c>
      <c r="B19581" t="n" s="0">
        <f>(-5-((((-5*(-5/((-5/(((-5*(95.8--5))-(-5+((-5*95.8)*(((-5--5)+(95.8--5))+95.8))))-(-5+-5)))*-5)))/-5)--5)+(-5*(((95.8*(95.8-(-5/-5)))*(95.8-(95.8/(-5*95.8))))-(-5/-5)))))</f>
        <v>4378004.680000001</v>
      </c>
      <c r="C19581" t="n" s="0">
        <v>4378004.68</v>
      </c>
    </row>
    <row r="19582">
      <c r="A19582" t="n" s="0">
        <v>95.81</v>
      </c>
      <c r="B19582" t="n" s="0">
        <f>(-5-((((-5*(-5/((-5/(((-5*(95.81--5))-(-5+((-5*95.81)*(((-5--5)+(95.81--5))+95.81))))-(-5+-5)))*-5)))/-5)--5)+(-5*(((95.81*(95.81-(-5/-5)))*(95.81-(95.81/(-5*95.81))))-(-5/-5)))))</f>
        <v>4379377.667505</v>
      </c>
      <c r="C19582" t="n" s="0">
        <v>4379377.667505</v>
      </c>
    </row>
    <row r="19583">
      <c r="A19583" t="n" s="0">
        <v>95.82</v>
      </c>
      <c r="B19583" t="n" s="0">
        <f>(-5-((((-5*(-5/((-5/(((-5*(95.82--5))-(-5+((-5*95.82)*(((-5--5)+(95.82--5))+95.82))))-(-5+-5)))*-5)))/-5)--5)+(-5*(((95.82*(95.82-(-5/-5)))*(95.82-(95.82/(-5*95.82))))-(-5/-5)))))</f>
        <v>4380750.94204</v>
      </c>
      <c r="C19583" t="n" s="0">
        <v>4380750.942039999</v>
      </c>
    </row>
    <row r="19584">
      <c r="A19584" t="n" s="0">
        <v>95.83</v>
      </c>
      <c r="B19584" t="n" s="0">
        <f>(-5-((((-5*(-5/((-5/(((-5*(95.83--5))-(-5+((-5*95.83)*(((-5--5)+(95.83--5))+95.83))))-(-5+-5)))*-5)))/-5)--5)+(-5*(((95.83*(95.83-(-5/-5)))*(95.83-(95.83/(-5*95.83))))-(-5/-5)))))</f>
        <v>4382124.5036349995</v>
      </c>
      <c r="C19584" t="n" s="0">
        <v>4382124.5036349995</v>
      </c>
    </row>
    <row r="19585">
      <c r="A19585" t="n" s="0">
        <v>95.84</v>
      </c>
      <c r="B19585" t="n" s="0">
        <f>(-5-((((-5*(-5/((-5/(((-5*(95.84--5))-(-5+((-5*95.84)*(((-5--5)+(95.84--5))+95.84))))-(-5+-5)))*-5)))/-5)--5)+(-5*(((95.84*(95.84-(-5/-5)))*(95.84-(95.84/(-5*95.84))))-(-5/-5)))))</f>
        <v>4383498.35232</v>
      </c>
      <c r="C19585" t="n" s="0">
        <v>4383498.35232</v>
      </c>
    </row>
    <row r="19586">
      <c r="A19586" t="n" s="0">
        <v>95.85</v>
      </c>
      <c r="B19586" t="n" s="0">
        <f>(-5-((((-5*(-5/((-5/(((-5*(95.85--5))-(-5+((-5*95.85)*(((-5--5)+(95.85--5))+95.85))))-(-5+-5)))*-5)))/-5)--5)+(-5*(((95.85*(95.85-(-5/-5)))*(95.85-(95.85/(-5*95.85))))-(-5/-5)))))</f>
        <v>4384872.488125</v>
      </c>
      <c r="C19586" t="n" s="0">
        <v>4384872.488124998</v>
      </c>
    </row>
    <row r="19587">
      <c r="A19587" t="n" s="0">
        <v>95.86</v>
      </c>
      <c r="B19587" t="n" s="0">
        <f>(-5-((((-5*(-5/((-5/(((-5*(95.86--5))-(-5+((-5*95.86)*(((-5--5)+(95.86--5))+95.86))))-(-5+-5)))*-5)))/-5)--5)+(-5*(((95.86*(95.86-(-5/-5)))*(95.86-(95.86/(-5*95.86))))-(-5/-5)))))</f>
        <v>4386246.91108</v>
      </c>
      <c r="C19587" t="n" s="0">
        <v>4386246.91108</v>
      </c>
    </row>
    <row r="19588">
      <c r="A19588" t="n" s="0">
        <v>95.87</v>
      </c>
      <c r="B19588" t="n" s="0">
        <f>(-5-((((-5*(-5/((-5/(((-5*(95.87--5))-(-5+((-5*95.87)*(((-5--5)+(95.87--5))+95.87))))-(-5+-5)))*-5)))/-5)--5)+(-5*(((95.87*(95.87-(-5/-5)))*(95.87-(95.87/(-5*95.87))))-(-5/-5)))))</f>
        <v>4387621.621215</v>
      </c>
      <c r="C19588" t="n" s="0">
        <v>4387621.621215001</v>
      </c>
    </row>
    <row r="19589">
      <c r="A19589" t="n" s="0">
        <v>95.88</v>
      </c>
      <c r="B19589" t="n" s="0">
        <f>(-5-((((-5*(-5/((-5/(((-5*(95.88--5))-(-5+((-5*95.88)*(((-5--5)+(95.88--5))+95.88))))-(-5+-5)))*-5)))/-5)--5)+(-5*(((95.88*(95.88-(-5/-5)))*(95.88-(95.88/(-5*95.88))))-(-5/-5)))))</f>
        <v>4388996.61856</v>
      </c>
      <c r="C19589" t="n" s="0">
        <v>4388996.618559998</v>
      </c>
    </row>
    <row r="19590">
      <c r="A19590" t="n" s="0">
        <v>95.89</v>
      </c>
      <c r="B19590" t="n" s="0">
        <f>(-5-((((-5*(-5/((-5/(((-5*(95.89--5))-(-5+((-5*95.89)*(((-5--5)+(95.89--5))+95.89))))-(-5+-5)))*-5)))/-5)--5)+(-5*(((95.89*(95.89-(-5/-5)))*(95.89-(95.89/(-5*95.89))))-(-5/-5)))))</f>
        <v>4390371.903145</v>
      </c>
      <c r="C19590" t="n" s="0">
        <v>4390371.903145</v>
      </c>
    </row>
    <row r="19591">
      <c r="A19591" t="n" s="0">
        <v>95.9</v>
      </c>
      <c r="B19591" t="n" s="0">
        <f>(-5-((((-5*(-5/((-5/(((-5*(95.9--5))-(-5+((-5*95.9)*(((-5--5)+(95.9--5))+95.9))))-(-5+-5)))*-5)))/-5)--5)+(-5*(((95.9*(95.9-(-5/-5)))*(95.9-(95.9/(-5*95.9))))-(-5/-5)))))</f>
        <v>4391747.475</v>
      </c>
      <c r="C19591" t="n" s="0">
        <v>4391747.475000001</v>
      </c>
    </row>
    <row r="19592">
      <c r="A19592" t="n" s="0">
        <v>95.91</v>
      </c>
      <c r="B19592" t="n" s="0">
        <f>(-5-((((-5*(-5/((-5/(((-5*(95.91--5))-(-5+((-5*95.91)*(((-5--5)+(95.91--5))+95.91))))-(-5+-5)))*-5)))/-5)--5)+(-5*(((95.91*(95.91-(-5/-5)))*(95.91-(95.91/(-5*95.91))))-(-5/-5)))))</f>
        <v>4393123.334155</v>
      </c>
      <c r="C19592" t="n" s="0">
        <v>4393123.334155001</v>
      </c>
    </row>
    <row r="19593">
      <c r="A19593" t="n" s="0">
        <v>95.92</v>
      </c>
      <c r="B19593" t="n" s="0">
        <f>(-5-((((-5*(-5/((-5/(((-5*(95.92--5))-(-5+((-5*95.92)*(((-5--5)+(95.92--5))+95.92))))-(-5+-5)))*-5)))/-5)--5)+(-5*(((95.92*(95.92-(-5/-5)))*(95.92-(95.92/(-5*95.92))))-(-5/-5)))))</f>
        <v>4394499.48064</v>
      </c>
      <c r="C19593" t="n" s="0">
        <v>4394499.480640001</v>
      </c>
    </row>
    <row r="19594">
      <c r="A19594" t="n" s="0">
        <v>95.93</v>
      </c>
      <c r="B19594" t="n" s="0">
        <f>(-5-((((-5*(-5/((-5/(((-5*(95.93--5))-(-5+((-5*95.93)*(((-5--5)+(95.93--5))+95.93))))-(-5+-5)))*-5)))/-5)--5)+(-5*(((95.93*(95.93-(-5/-5)))*(95.93-(95.93/(-5*95.93))))-(-5/-5)))))</f>
        <v>4395875.914485</v>
      </c>
      <c r="C19594" t="n" s="0">
        <v>4395875.914485001</v>
      </c>
    </row>
    <row r="19595">
      <c r="A19595" t="n" s="0">
        <v>95.94</v>
      </c>
      <c r="B19595" t="n" s="0">
        <f>(-5-((((-5*(-5/((-5/(((-5*(95.94--5))-(-5+((-5*95.94)*(((-5--5)+(95.94--5))+95.94))))-(-5+-5)))*-5)))/-5)--5)+(-5*(((95.94*(95.94-(-5/-5)))*(95.94-(95.94/(-5*95.94))))-(-5/-5)))))</f>
        <v>4397252.63572</v>
      </c>
      <c r="C19595" t="n" s="0">
        <v>4397252.635720001</v>
      </c>
    </row>
    <row r="19596">
      <c r="A19596" t="n" s="0">
        <v>95.95</v>
      </c>
      <c r="B19596" t="n" s="0">
        <f>(-5-((((-5*(-5/((-5/(((-5*(95.95--5))-(-5+((-5*95.95)*(((-5--5)+(95.95--5))+95.95))))-(-5+-5)))*-5)))/-5)--5)+(-5*(((95.95*(95.95-(-5/-5)))*(95.95-(95.95/(-5*95.95))))-(-5/-5)))))</f>
        <v>4398629.644375</v>
      </c>
      <c r="C19596" t="n" s="0">
        <v>4398629.644375</v>
      </c>
    </row>
    <row r="19597">
      <c r="A19597" t="n" s="0">
        <v>95.96</v>
      </c>
      <c r="B19597" t="n" s="0">
        <f>(-5-((((-5*(-5/((-5/(((-5*(95.96--5))-(-5+((-5*95.96)*(((-5--5)+(95.96--5))+95.96))))-(-5+-5)))*-5)))/-5)--5)+(-5*(((95.96*(95.96-(-5/-5)))*(95.96-(95.96/(-5*95.96))))-(-5/-5)))))</f>
        <v>4400006.940479999</v>
      </c>
      <c r="C19597" t="n" s="0">
        <v>4400006.940479999</v>
      </c>
    </row>
    <row r="19598">
      <c r="A19598" t="n" s="0">
        <v>95.97</v>
      </c>
      <c r="B19598" t="n" s="0">
        <f>(-5-((((-5*(-5/((-5/(((-5*(95.97--5))-(-5+((-5*95.97)*(((-5--5)+(95.97--5))+95.97))))-(-5+-5)))*-5)))/-5)--5)+(-5*(((95.97*(95.97-(-5/-5)))*(95.97-(95.97/(-5*95.97))))-(-5/-5)))))</f>
        <v>4401384.524065</v>
      </c>
      <c r="C19598" t="n" s="0">
        <v>4401384.524065</v>
      </c>
    </row>
    <row r="19599">
      <c r="A19599" t="n" s="0">
        <v>95.98</v>
      </c>
      <c r="B19599" t="n" s="0">
        <f>(-5-((((-5*(-5/((-5/(((-5*(95.98--5))-(-5+((-5*95.98)*(((-5--5)+(95.98--5))+95.98))))-(-5+-5)))*-5)))/-5)--5)+(-5*(((95.98*(95.98-(-5/-5)))*(95.98-(95.98/(-5*95.98))))-(-5/-5)))))</f>
        <v>4402762.39516</v>
      </c>
      <c r="C19599" t="n" s="0">
        <v>4402762.395160001</v>
      </c>
    </row>
    <row r="19600">
      <c r="A19600" t="n" s="0">
        <v>95.99</v>
      </c>
      <c r="B19600" t="n" s="0">
        <f>(-5-((((-5*(-5/((-5/(((-5*(95.99--5))-(-5+((-5*95.99)*(((-5--5)+(95.99--5))+95.99))))-(-5+-5)))*-5)))/-5)--5)+(-5*(((95.99*(95.99-(-5/-5)))*(95.99-(95.99/(-5*95.99))))-(-5/-5)))))</f>
        <v>4404140.553795</v>
      </c>
      <c r="C19600" t="n" s="0">
        <v>4404140.553795</v>
      </c>
    </row>
    <row r="19601">
      <c r="A19601" t="n" s="0">
        <v>96.0</v>
      </c>
      <c r="B19601" t="n" s="0">
        <f>(-5-((((-5*(-5/((-5/(((-5*(96--5))-(-5+((-5*96)*(((-5--5)+(96--5))+96))))-(-5+-5)))*-5)))/-5)--5)+(-5*(((96*(96-(-5/-5)))*(96-(96/(-5*96))))-(-5/-5)))))</f>
        <v>4405519.0</v>
      </c>
      <c r="C19601" t="n" s="0">
        <v>4405519.0</v>
      </c>
    </row>
    <row r="19602">
      <c r="A19602" t="n" s="0">
        <v>96.01</v>
      </c>
      <c r="B19602" t="n" s="0">
        <f>(-5-((((-5*(-5/((-5/(((-5*(96.01--5))-(-5+((-5*96.01)*(((-5--5)+(96.01--5))+96.01))))-(-5+-5)))*-5)))/-5)--5)+(-5*(((96.01*(96.01-(-5/-5)))*(96.01-(96.01/(-5*96.01))))-(-5/-5)))))</f>
        <v>4406897.733805</v>
      </c>
      <c r="C19602" t="n" s="0">
        <v>4406897.733805001</v>
      </c>
    </row>
    <row r="19603">
      <c r="A19603" t="n" s="0">
        <v>96.02</v>
      </c>
      <c r="B19603" t="n" s="0">
        <f>(-5-((((-5*(-5/((-5/(((-5*(96.02--5))-(-5+((-5*96.02)*(((-5--5)+(96.02--5))+96.02))))-(-5+-5)))*-5)))/-5)--5)+(-5*(((96.02*(96.02-(-5/-5)))*(96.02-(96.02/(-5*96.02))))-(-5/-5)))))</f>
        <v>4408276.75524</v>
      </c>
      <c r="C19603" t="n" s="0">
        <v>4408276.755239999</v>
      </c>
    </row>
    <row r="19604">
      <c r="A19604" t="n" s="0">
        <v>96.03</v>
      </c>
      <c r="B19604" t="n" s="0">
        <f>(-5-((((-5*(-5/((-5/(((-5*(96.03--5))-(-5+((-5*96.03)*(((-5--5)+(96.03--5))+96.03))))-(-5+-5)))*-5)))/-5)--5)+(-5*(((96.03*(96.03-(-5/-5)))*(96.03-(96.03/(-5*96.03))))-(-5/-5)))))</f>
        <v>4409656.064335001</v>
      </c>
      <c r="C19604" t="n" s="0">
        <v>4409656.064335</v>
      </c>
    </row>
    <row r="19605">
      <c r="A19605" t="n" s="0">
        <v>96.04</v>
      </c>
      <c r="B19605" t="n" s="0">
        <f>(-5-((((-5*(-5/((-5/(((-5*(96.04--5))-(-5+((-5*96.04)*(((-5--5)+(96.04--5))+96.04))))-(-5+-5)))*-5)))/-5)--5)+(-5*(((96.04*(96.04-(-5/-5)))*(96.04-(96.04/(-5*96.04))))-(-5/-5)))))</f>
        <v>4411035.661119999</v>
      </c>
      <c r="C19605" t="n" s="0">
        <v>4411035.661120001</v>
      </c>
    </row>
    <row r="19606">
      <c r="A19606" t="n" s="0">
        <v>96.05</v>
      </c>
      <c r="B19606" t="n" s="0">
        <f>(-5-((((-5*(-5/((-5/(((-5*(96.05--5))-(-5+((-5*96.05)*(((-5--5)+(96.05--5))+96.05))))-(-5+-5)))*-5)))/-5)--5)+(-5*(((96.05*(96.05-(-5/-5)))*(96.05-(96.05/(-5*96.05))))-(-5/-5)))))</f>
        <v>4412415.545625</v>
      </c>
      <c r="C19606" t="n" s="0">
        <v>4412415.545624999</v>
      </c>
    </row>
    <row r="19607">
      <c r="A19607" t="n" s="0">
        <v>96.06</v>
      </c>
      <c r="B19607" t="n" s="0">
        <f>(-5-((((-5*(-5/((-5/(((-5*(96.06--5))-(-5+((-5*96.06)*(((-5--5)+(96.06--5))+96.06))))-(-5+-5)))*-5)))/-5)--5)+(-5*(((96.06*(96.06-(-5/-5)))*(96.06-(96.06/(-5*96.06))))-(-5/-5)))))</f>
        <v>4413795.71788</v>
      </c>
      <c r="C19607" t="n" s="0">
        <v>4413795.717879999</v>
      </c>
    </row>
    <row r="19608">
      <c r="A19608" t="n" s="0">
        <v>96.07</v>
      </c>
      <c r="B19608" t="n" s="0">
        <f>(-5-((((-5*(-5/((-5/(((-5*(96.07--5))-(-5+((-5*96.07)*(((-5--5)+(96.07--5))+96.07))))-(-5+-5)))*-5)))/-5)--5)+(-5*(((96.07*(96.07-(-5/-5)))*(96.07-(96.07/(-5*96.07))))-(-5/-5)))))</f>
        <v>4415176.177915</v>
      </c>
      <c r="C19608" t="n" s="0">
        <v>4415176.1779149985</v>
      </c>
    </row>
    <row r="19609">
      <c r="A19609" t="n" s="0">
        <v>96.08</v>
      </c>
      <c r="B19609" t="n" s="0">
        <f>(-5-((((-5*(-5/((-5/(((-5*(96.08--5))-(-5+((-5*96.08)*(((-5--5)+(96.08--5))+96.08))))-(-5+-5)))*-5)))/-5)--5)+(-5*(((96.08*(96.08-(-5/-5)))*(96.08-(96.08/(-5*96.08))))-(-5/-5)))))</f>
        <v>4416556.92576</v>
      </c>
      <c r="C19609" t="n" s="0">
        <v>4416556.925759999</v>
      </c>
    </row>
    <row r="19610">
      <c r="A19610" t="n" s="0">
        <v>96.09</v>
      </c>
      <c r="B19610" t="n" s="0">
        <f>(-5-((((-5*(-5/((-5/(((-5*(96.09--5))-(-5+((-5*96.09)*(((-5--5)+(96.09--5))+96.09))))-(-5+-5)))*-5)))/-5)--5)+(-5*(((96.09*(96.09-(-5/-5)))*(96.09-(96.09/(-5*96.09))))-(-5/-5)))))</f>
        <v>4417937.961445</v>
      </c>
      <c r="C19610" t="n" s="0">
        <v>4417937.961445</v>
      </c>
    </row>
    <row r="19611">
      <c r="A19611" t="n" s="0">
        <v>96.1</v>
      </c>
      <c r="B19611" t="n" s="0">
        <f>(-5-((((-5*(-5/((-5/(((-5*(96.1--5))-(-5+((-5*96.1)*(((-5--5)+(96.1--5))+96.1))))-(-5+-5)))*-5)))/-5)--5)+(-5*(((96.1*(96.1-(-5/-5)))*(96.1-(96.1/(-5*96.1))))-(-5/-5)))))</f>
        <v>4419319.285</v>
      </c>
      <c r="C19611" t="n" s="0">
        <v>4419319.284999999</v>
      </c>
    </row>
    <row r="19612">
      <c r="A19612" t="n" s="0">
        <v>96.11</v>
      </c>
      <c r="B19612" t="n" s="0">
        <f>(-5-((((-5*(-5/((-5/(((-5*(96.11--5))-(-5+((-5*96.11)*(((-5--5)+(96.11--5))+96.11))))-(-5+-5)))*-5)))/-5)--5)+(-5*(((96.11*(96.11-(-5/-5)))*(96.11-(96.11/(-5*96.11))))-(-5/-5)))))</f>
        <v>4420700.896454999</v>
      </c>
      <c r="C19612" t="n" s="0">
        <v>4420700.896455</v>
      </c>
    </row>
    <row r="19613">
      <c r="A19613" t="n" s="0">
        <v>96.12</v>
      </c>
      <c r="B19613" t="n" s="0">
        <f>(-5-((((-5*(-5/((-5/(((-5*(96.12--5))-(-5+((-5*96.12)*(((-5--5)+(96.12--5))+96.12))))-(-5+-5)))*-5)))/-5)--5)+(-5*(((96.12*(96.12-(-5/-5)))*(96.12-(96.12/(-5*96.12))))-(-5/-5)))))</f>
        <v>4422082.79584</v>
      </c>
      <c r="C19613" t="n" s="0">
        <v>4422082.795840002</v>
      </c>
    </row>
    <row r="19614">
      <c r="A19614" t="n" s="0">
        <v>96.13</v>
      </c>
      <c r="B19614" t="n" s="0">
        <f>(-5-((((-5*(-5/((-5/(((-5*(96.13--5))-(-5+((-5*96.13)*(((-5--5)+(96.13--5))+96.13))))-(-5+-5)))*-5)))/-5)--5)+(-5*(((96.13*(96.13-(-5/-5)))*(96.13-(96.13/(-5*96.13))))-(-5/-5)))))</f>
        <v>4423464.983185</v>
      </c>
      <c r="C19614" t="n" s="0">
        <v>4423464.983184999</v>
      </c>
    </row>
    <row r="19615">
      <c r="A19615" t="n" s="0">
        <v>96.14</v>
      </c>
      <c r="B19615" t="n" s="0">
        <f>(-5-((((-5*(-5/((-5/(((-5*(96.14--5))-(-5+((-5*96.14)*(((-5--5)+(96.14--5))+96.14))))-(-5+-5)))*-5)))/-5)--5)+(-5*(((96.14*(96.14-(-5/-5)))*(96.14-(96.14/(-5*96.14))))-(-5/-5)))))</f>
        <v>4424847.45852</v>
      </c>
      <c r="C19615" t="n" s="0">
        <v>4424847.45852</v>
      </c>
    </row>
    <row r="19616">
      <c r="A19616" t="n" s="0">
        <v>96.15</v>
      </c>
      <c r="B19616" t="n" s="0">
        <f>(-5-((((-5*(-5/((-5/(((-5*(96.15--5))-(-5+((-5*96.15)*(((-5--5)+(96.15--5))+96.15))))-(-5+-5)))*-5)))/-5)--5)+(-5*(((96.15*(96.15-(-5/-5)))*(96.15-(96.15/(-5*96.15))))-(-5/-5)))))</f>
        <v>4426230.221875</v>
      </c>
      <c r="C19616" t="n" s="0">
        <v>4426230.221875002</v>
      </c>
    </row>
    <row r="19617">
      <c r="A19617" t="n" s="0">
        <v>96.16</v>
      </c>
      <c r="B19617" t="n" s="0">
        <f>(-5-((((-5*(-5/((-5/(((-5*(96.16--5))-(-5+((-5*96.16)*(((-5--5)+(96.16--5))+96.16))))-(-5+-5)))*-5)))/-5)--5)+(-5*(((96.16*(96.16-(-5/-5)))*(96.16-(96.16/(-5*96.16))))-(-5/-5)))))</f>
        <v>4427613.273279999</v>
      </c>
      <c r="C19617" t="n" s="0">
        <v>4427613.27328</v>
      </c>
    </row>
    <row r="19618">
      <c r="A19618" t="n" s="0">
        <v>96.17</v>
      </c>
      <c r="B19618" t="n" s="0">
        <f>(-5-((((-5*(-5/((-5/(((-5*(96.17--5))-(-5+((-5*96.17)*(((-5--5)+(96.17--5))+96.17))))-(-5+-5)))*-5)))/-5)--5)+(-5*(((96.17*(96.17-(-5/-5)))*(96.17-(96.17/(-5*96.17))))-(-5/-5)))))</f>
        <v>4428996.612764999</v>
      </c>
      <c r="C19618" t="n" s="0">
        <v>4428996.612765</v>
      </c>
    </row>
    <row r="19619">
      <c r="A19619" t="n" s="0">
        <v>96.18</v>
      </c>
      <c r="B19619" t="n" s="0">
        <f>(-5-((((-5*(-5/((-5/(((-5*(96.18--5))-(-5+((-5*96.18)*(((-5--5)+(96.18--5))+96.18))))-(-5+-5)))*-5)))/-5)--5)+(-5*(((96.18*(96.18-(-5/-5)))*(96.18-(96.18/(-5*96.18))))-(-5/-5)))))</f>
        <v>4430380.240359999</v>
      </c>
      <c r="C19619" t="n" s="0">
        <v>4430380.240360001</v>
      </c>
    </row>
    <row r="19620">
      <c r="A19620" t="n" s="0">
        <v>96.19</v>
      </c>
      <c r="B19620" t="n" s="0">
        <f>(-5-((((-5*(-5/((-5/(((-5*(96.19--5))-(-5+((-5*96.19)*(((-5--5)+(96.19--5))+96.19))))-(-5+-5)))*-5)))/-5)--5)+(-5*(((96.19*(96.19-(-5/-5)))*(96.19-(96.19/(-5*96.19))))-(-5/-5)))))</f>
        <v>4431764.156095</v>
      </c>
      <c r="C19620" t="n" s="0">
        <v>4431764.156095</v>
      </c>
    </row>
    <row r="19621">
      <c r="A19621" t="n" s="0">
        <v>96.2</v>
      </c>
      <c r="B19621" t="n" s="0">
        <f>(-5-((((-5*(-5/((-5/(((-5*(96.2--5))-(-5+((-5*96.2)*(((-5--5)+(96.2--5))+96.2))))-(-5+-5)))*-5)))/-5)--5)+(-5*(((96.2*(96.2-(-5/-5)))*(96.2-(96.2/(-5*96.2))))-(-5/-5)))))</f>
        <v>4433148.359999999</v>
      </c>
      <c r="C19621" t="n" s="0">
        <v>4433148.36</v>
      </c>
    </row>
    <row r="19622">
      <c r="A19622" t="n" s="0">
        <v>96.21</v>
      </c>
      <c r="B19622" t="n" s="0">
        <f>(-5-((((-5*(-5/((-5/(((-5*(96.21--5))-(-5+((-5*96.21)*(((-5--5)+(96.21--5))+96.21))))-(-5+-5)))*-5)))/-5)--5)+(-5*(((96.21*(96.21-(-5/-5)))*(96.21-(96.21/(-5*96.21))))-(-5/-5)))))</f>
        <v>4434532.852105</v>
      </c>
      <c r="C19622" t="n" s="0">
        <v>4434532.852104999</v>
      </c>
    </row>
    <row r="19623">
      <c r="A19623" t="n" s="0">
        <v>96.22</v>
      </c>
      <c r="B19623" t="n" s="0">
        <f>(-5-((((-5*(-5/((-5/(((-5*(96.22--5))-(-5+((-5*96.22)*(((-5--5)+(96.22--5))+96.22))))-(-5+-5)))*-5)))/-5)--5)+(-5*(((96.22*(96.22-(-5/-5)))*(96.22-(96.22/(-5*96.22))))-(-5/-5)))))</f>
        <v>4435917.63244</v>
      </c>
      <c r="C19623" t="n" s="0">
        <v>4435917.632440001</v>
      </c>
    </row>
    <row r="19624">
      <c r="A19624" t="n" s="0">
        <v>96.23</v>
      </c>
      <c r="B19624" t="n" s="0">
        <f>(-5-((((-5*(-5/((-5/(((-5*(96.23--5))-(-5+((-5*96.23)*(((-5--5)+(96.23--5))+96.23))))-(-5+-5)))*-5)))/-5)--5)+(-5*(((96.23*(96.23-(-5/-5)))*(96.23-(96.23/(-5*96.23))))-(-5/-5)))))</f>
        <v>4437302.701035</v>
      </c>
      <c r="C19624" t="n" s="0">
        <v>4437302.701035</v>
      </c>
    </row>
    <row r="19625">
      <c r="A19625" t="n" s="0">
        <v>96.24</v>
      </c>
      <c r="B19625" t="n" s="0">
        <f>(-5-((((-5*(-5/((-5/(((-5*(96.24--5))-(-5+((-5*96.24)*(((-5--5)+(96.24--5))+96.24))))-(-5+-5)))*-5)))/-5)--5)+(-5*(((96.24*(96.24-(-5/-5)))*(96.24-(96.24/(-5*96.24))))-(-5/-5)))))</f>
        <v>4438688.05792</v>
      </c>
      <c r="C19625" t="n" s="0">
        <v>4438688.057919999</v>
      </c>
    </row>
    <row r="19626">
      <c r="A19626" t="n" s="0">
        <v>96.25</v>
      </c>
      <c r="B19626" t="n" s="0">
        <f>(-5-((((-5*(-5/((-5/(((-5*(96.25--5))-(-5+((-5*96.25)*(((-5--5)+(96.25--5))+96.25))))-(-5+-5)))*-5)))/-5)--5)+(-5*(((96.25*(96.25-(-5/-5)))*(96.25-(96.25/(-5*96.25))))-(-5/-5)))))</f>
        <v>4440073.703125</v>
      </c>
      <c r="C19626" t="n" s="0">
        <v>4440073.703125</v>
      </c>
    </row>
    <row r="19627">
      <c r="A19627" t="n" s="0">
        <v>96.26</v>
      </c>
      <c r="B19627" t="n" s="0">
        <f>(-5-((((-5*(-5/((-5/(((-5*(96.26--5))-(-5+((-5*96.26)*(((-5--5)+(96.26--5))+96.26))))-(-5+-5)))*-5)))/-5)--5)+(-5*(((96.26*(96.26-(-5/-5)))*(96.26-(96.26/(-5*96.26))))-(-5/-5)))))</f>
        <v>4441459.63668</v>
      </c>
      <c r="C19627" t="n" s="0">
        <v>4441459.63668</v>
      </c>
    </row>
    <row r="19628">
      <c r="A19628" t="n" s="0">
        <v>96.27</v>
      </c>
      <c r="B19628" t="n" s="0">
        <f>(-5-((((-5*(-5/((-5/(((-5*(96.27--5))-(-5+((-5*96.27)*(((-5--5)+(96.27--5))+96.27))))-(-5+-5)))*-5)))/-5)--5)+(-5*(((96.27*(96.27-(-5/-5)))*(96.27-(96.27/(-5*96.27))))-(-5/-5)))))</f>
        <v>4442845.858615</v>
      </c>
      <c r="C19628" t="n" s="0">
        <v>4442845.858614999</v>
      </c>
    </row>
    <row r="19629">
      <c r="A19629" t="n" s="0">
        <v>96.28</v>
      </c>
      <c r="B19629" t="n" s="0">
        <f>(-5-((((-5*(-5/((-5/(((-5*(96.28--5))-(-5+((-5*96.28)*(((-5--5)+(96.28--5))+96.28))))-(-5+-5)))*-5)))/-5)--5)+(-5*(((96.28*(96.28-(-5/-5)))*(96.28-(96.28/(-5*96.28))))-(-5/-5)))))</f>
        <v>4444232.36896</v>
      </c>
      <c r="C19629" t="n" s="0">
        <v>4444232.368960001</v>
      </c>
    </row>
    <row r="19630">
      <c r="A19630" t="n" s="0">
        <v>96.29</v>
      </c>
      <c r="B19630" t="n" s="0">
        <f>(-5-((((-5*(-5/((-5/(((-5*(96.29--5))-(-5+((-5*96.29)*(((-5--5)+(96.29--5))+96.29))))-(-5+-5)))*-5)))/-5)--5)+(-5*(((96.29*(96.29-(-5/-5)))*(96.29-(96.29/(-5*96.29))))-(-5/-5)))))</f>
        <v>4445619.167745</v>
      </c>
      <c r="C19630" t="n" s="0">
        <v>4445619.167745002</v>
      </c>
    </row>
    <row r="19631">
      <c r="A19631" t="n" s="0">
        <v>96.3</v>
      </c>
      <c r="B19631" t="n" s="0">
        <f>(-5-((((-5*(-5/((-5/(((-5*(96.3--5))-(-5+((-5*96.3)*(((-5--5)+(96.3--5))+96.3))))-(-5+-5)))*-5)))/-5)--5)+(-5*(((96.3*(96.3-(-5/-5)))*(96.3-(96.3/(-5*96.3))))-(-5/-5)))))</f>
        <v>4447006.255</v>
      </c>
      <c r="C19631" t="n" s="0">
        <v>4447006.255</v>
      </c>
    </row>
    <row r="19632">
      <c r="A19632" t="n" s="0">
        <v>96.31</v>
      </c>
      <c r="B19632" t="n" s="0">
        <f>(-5-((((-5*(-5/((-5/(((-5*(96.31--5))-(-5+((-5*96.31)*(((-5--5)+(96.31--5))+96.31))))-(-5+-5)))*-5)))/-5)--5)+(-5*(((96.31*(96.31-(-5/-5)))*(96.31-(96.31/(-5*96.31))))-(-5/-5)))))</f>
        <v>4448393.630755</v>
      </c>
      <c r="C19632" t="n" s="0">
        <v>4448393.630755</v>
      </c>
    </row>
    <row r="19633">
      <c r="A19633" t="n" s="0">
        <v>96.32</v>
      </c>
      <c r="B19633" t="n" s="0">
        <f>(-5-((((-5*(-5/((-5/(((-5*(96.32--5))-(-5+((-5*96.32)*(((-5--5)+(96.32--5))+96.32))))-(-5+-5)))*-5)))/-5)--5)+(-5*(((96.32*(96.32-(-5/-5)))*(96.32-(96.32/(-5*96.32))))-(-5/-5)))))</f>
        <v>4449781.295039999</v>
      </c>
      <c r="C19633" t="n" s="0">
        <v>4449781.295039998</v>
      </c>
    </row>
    <row r="19634">
      <c r="A19634" t="n" s="0">
        <v>96.33</v>
      </c>
      <c r="B19634" t="n" s="0">
        <f>(-5-((((-5*(-5/((-5/(((-5*(96.33--5))-(-5+((-5*96.33)*(((-5--5)+(96.33--5))+96.33))))-(-5+-5)))*-5)))/-5)--5)+(-5*(((96.33*(96.33-(-5/-5)))*(96.33-(96.33/(-5*96.33))))-(-5/-5)))))</f>
        <v>4451169.247885</v>
      </c>
      <c r="C19634" t="n" s="0">
        <v>4451169.247884999</v>
      </c>
    </row>
    <row r="19635">
      <c r="A19635" t="n" s="0">
        <v>96.34</v>
      </c>
      <c r="B19635" t="n" s="0">
        <f>(-5-((((-5*(-5/((-5/(((-5*(96.34--5))-(-5+((-5*96.34)*(((-5--5)+(96.34--5))+96.34))))-(-5+-5)))*-5)))/-5)--5)+(-5*(((96.34*(96.34-(-5/-5)))*(96.34-(96.34/(-5*96.34))))-(-5/-5)))))</f>
        <v>4452557.489320001</v>
      </c>
      <c r="C19635" t="n" s="0">
        <v>4452557.48932</v>
      </c>
    </row>
    <row r="19636">
      <c r="A19636" t="n" s="0">
        <v>96.35</v>
      </c>
      <c r="B19636" t="n" s="0">
        <f>(-5-((((-5*(-5/((-5/(((-5*(96.35--5))-(-5+((-5*96.35)*(((-5--5)+(96.35--5))+96.35))))-(-5+-5)))*-5)))/-5)--5)+(-5*(((96.35*(96.35-(-5/-5)))*(96.35-(96.35/(-5*96.35))))-(-5/-5)))))</f>
        <v>4453946.019375</v>
      </c>
      <c r="C19636" t="n" s="0">
        <v>4453946.019374999</v>
      </c>
    </row>
    <row r="19637">
      <c r="A19637" t="n" s="0">
        <v>96.36</v>
      </c>
      <c r="B19637" t="n" s="0">
        <f>(-5-((((-5*(-5/((-5/(((-5*(96.36--5))-(-5+((-5*96.36)*(((-5--5)+(96.36--5))+96.36))))-(-5+-5)))*-5)))/-5)--5)+(-5*(((96.36*(96.36-(-5/-5)))*(96.36-(96.36/(-5*96.36))))-(-5/-5)))))</f>
        <v>4455334.83808</v>
      </c>
      <c r="C19637" t="n" s="0">
        <v>4455334.838079999</v>
      </c>
    </row>
    <row r="19638">
      <c r="A19638" t="n" s="0">
        <v>96.37</v>
      </c>
      <c r="B19638" t="n" s="0">
        <f>(-5-((((-5*(-5/((-5/(((-5*(96.37--5))-(-5+((-5*96.37)*(((-5--5)+(96.37--5))+96.37))))-(-5+-5)))*-5)))/-5)--5)+(-5*(((96.37*(96.37-(-5/-5)))*(96.37-(96.37/(-5*96.37))))-(-5/-5)))))</f>
        <v>4456723.945465</v>
      </c>
      <c r="C19638" t="n" s="0">
        <v>4456723.945465001</v>
      </c>
    </row>
    <row r="19639">
      <c r="A19639" t="n" s="0">
        <v>96.38</v>
      </c>
      <c r="B19639" t="n" s="0">
        <f>(-5-((((-5*(-5/((-5/(((-5*(96.38--5))-(-5+((-5*96.38)*(((-5--5)+(96.38--5))+96.38))))-(-5+-5)))*-5)))/-5)--5)+(-5*(((96.38*(96.38-(-5/-5)))*(96.38-(96.38/(-5*96.38))))-(-5/-5)))))</f>
        <v>4458113.34156</v>
      </c>
      <c r="C19639" t="n" s="0">
        <v>4458113.341559999</v>
      </c>
    </row>
    <row r="19640">
      <c r="A19640" t="n" s="0">
        <v>96.39</v>
      </c>
      <c r="B19640" t="n" s="0">
        <f>(-5-((((-5*(-5/((-5/(((-5*(96.39--5))-(-5+((-5*96.39)*(((-5--5)+(96.39--5))+96.39))))-(-5+-5)))*-5)))/-5)--5)+(-5*(((96.39*(96.39-(-5/-5)))*(96.39-(96.39/(-5*96.39))))-(-5/-5)))))</f>
        <v>4459503.0263950005</v>
      </c>
      <c r="C19640" t="n" s="0">
        <v>4459503.026395</v>
      </c>
    </row>
    <row r="19641">
      <c r="A19641" t="n" s="0">
        <v>96.4</v>
      </c>
      <c r="B19641" t="n" s="0">
        <f>(-5-((((-5*(-5/((-5/(((-5*(96.4--5))-(-5+((-5*96.4)*(((-5--5)+(96.4--5))+96.4))))-(-5+-5)))*-5)))/-5)--5)+(-5*(((96.4*(96.4-(-5/-5)))*(96.4-(96.4/(-5*96.4))))-(-5/-5)))))</f>
        <v>4460893.0</v>
      </c>
      <c r="C19641" t="n" s="0">
        <v>4460893.000000001</v>
      </c>
    </row>
    <row r="19642">
      <c r="A19642" t="n" s="0">
        <v>96.41</v>
      </c>
      <c r="B19642" t="n" s="0">
        <f>(-5-((((-5*(-5/((-5/(((-5*(96.41--5))-(-5+((-5*96.41)*(((-5--5)+(96.41--5))+96.41))))-(-5+-5)))*-5)))/-5)--5)+(-5*(((96.41*(96.41-(-5/-5)))*(96.41-(96.41/(-5*96.41))))-(-5/-5)))))</f>
        <v>4462283.262405</v>
      </c>
      <c r="C19642" t="n" s="0">
        <v>4462283.262405</v>
      </c>
    </row>
    <row r="19643">
      <c r="A19643" t="n" s="0">
        <v>96.42</v>
      </c>
      <c r="B19643" t="n" s="0">
        <f>(-5-((((-5*(-5/((-5/(((-5*(96.42--5))-(-5+((-5*96.42)*(((-5--5)+(96.42--5))+96.42))))-(-5+-5)))*-5)))/-5)--5)+(-5*(((96.42*(96.42-(-5/-5)))*(96.42-(96.42/(-5*96.42))))-(-5/-5)))))</f>
        <v>4463673.81364</v>
      </c>
      <c r="C19643" t="n" s="0">
        <v>4463673.81364</v>
      </c>
    </row>
    <row r="19644">
      <c r="A19644" t="n" s="0">
        <v>96.43</v>
      </c>
      <c r="B19644" t="n" s="0">
        <f>(-5-((((-5*(-5/((-5/(((-5*(96.43--5))-(-5+((-5*96.43)*(((-5--5)+(96.43--5))+96.43))))-(-5+-5)))*-5)))/-5)--5)+(-5*(((96.43*(96.43-(-5/-5)))*(96.43-(96.43/(-5*96.43))))-(-5/-5)))))</f>
        <v>4465064.653735001</v>
      </c>
      <c r="C19644" t="n" s="0">
        <v>4465064.653735002</v>
      </c>
    </row>
    <row r="19645">
      <c r="A19645" t="n" s="0">
        <v>96.44</v>
      </c>
      <c r="B19645" t="n" s="0">
        <f>(-5-((((-5*(-5/((-5/(((-5*(96.44--5))-(-5+((-5*96.44)*(((-5--5)+(96.44--5))+96.44))))-(-5+-5)))*-5)))/-5)--5)+(-5*(((96.44*(96.44-(-5/-5)))*(96.44-(96.44/(-5*96.44))))-(-5/-5)))))</f>
        <v>4466455.7827200005</v>
      </c>
      <c r="C19645" t="n" s="0">
        <v>4466455.7827200005</v>
      </c>
    </row>
    <row r="19646">
      <c r="A19646" t="n" s="0">
        <v>96.45</v>
      </c>
      <c r="B19646" t="n" s="0">
        <f>(-5-((((-5*(-5/((-5/(((-5*(96.45--5))-(-5+((-5*96.45)*(((-5--5)+(96.45--5))+96.45))))-(-5+-5)))*-5)))/-5)--5)+(-5*(((96.45*(96.45-(-5/-5)))*(96.45-(96.45/(-5*96.45))))-(-5/-5)))))</f>
        <v>4467847.200625</v>
      </c>
      <c r="C19646" t="n" s="0">
        <v>4467847.200625</v>
      </c>
    </row>
    <row r="19647">
      <c r="A19647" t="n" s="0">
        <v>96.46</v>
      </c>
      <c r="B19647" t="n" s="0">
        <f>(-5-((((-5*(-5/((-5/(((-5*(96.46--5))-(-5+((-5*96.46)*(((-5--5)+(96.46--5))+96.46))))-(-5+-5)))*-5)))/-5)--5)+(-5*(((96.46*(96.46-(-5/-5)))*(96.46-(96.46/(-5*96.46))))-(-5/-5)))))</f>
        <v>4469238.90748</v>
      </c>
      <c r="C19647" t="n" s="0">
        <v>4469238.907479999</v>
      </c>
    </row>
    <row r="19648">
      <c r="A19648" t="n" s="0">
        <v>96.47</v>
      </c>
      <c r="B19648" t="n" s="0">
        <f>(-5-((((-5*(-5/((-5/(((-5*(96.47--5))-(-5+((-5*96.47)*(((-5--5)+(96.47--5))+96.47))))-(-5+-5)))*-5)))/-5)--5)+(-5*(((96.47*(96.47-(-5/-5)))*(96.47-(96.47/(-5*96.47))))-(-5/-5)))))</f>
        <v>4470630.903314999</v>
      </c>
      <c r="C19648" t="n" s="0">
        <v>4470630.903315</v>
      </c>
    </row>
    <row r="19649">
      <c r="A19649" t="n" s="0">
        <v>96.48</v>
      </c>
      <c r="B19649" t="n" s="0">
        <f>(-5-((((-5*(-5/((-5/(((-5*(96.48--5))-(-5+((-5*96.48)*(((-5--5)+(96.48--5))+96.48))))-(-5+-5)))*-5)))/-5)--5)+(-5*(((96.48*(96.48-(-5/-5)))*(96.48-(96.48/(-5*96.48))))-(-5/-5)))))</f>
        <v>4472023.188159999</v>
      </c>
      <c r="C19649" t="n" s="0">
        <v>4472023.188160001</v>
      </c>
    </row>
    <row r="19650">
      <c r="A19650" t="n" s="0">
        <v>96.49</v>
      </c>
      <c r="B19650" t="n" s="0">
        <f>(-5-((((-5*(-5/((-5/(((-5*(96.49--5))-(-5+((-5*96.49)*(((-5--5)+(96.49--5))+96.49))))-(-5+-5)))*-5)))/-5)--5)+(-5*(((96.49*(96.49-(-5/-5)))*(96.49-(96.49/(-5*96.49))))-(-5/-5)))))</f>
        <v>4473415.762045001</v>
      </c>
      <c r="C19650" t="n" s="0">
        <v>4473415.762044999</v>
      </c>
    </row>
    <row r="19651">
      <c r="A19651" t="n" s="0">
        <v>96.5</v>
      </c>
      <c r="B19651" t="n" s="0">
        <f>(-5-((((-5*(-5/((-5/(((-5*(96.5--5))-(-5+((-5*96.5)*(((-5--5)+(96.5--5))+96.5))))-(-5+-5)))*-5)))/-5)--5)+(-5*(((96.5*(96.5-(-5/-5)))*(96.5-(96.5/(-5*96.5))))-(-5/-5)))))</f>
        <v>4474808.625</v>
      </c>
      <c r="C19651" t="n" s="0">
        <v>4474808.625</v>
      </c>
    </row>
    <row r="19652">
      <c r="A19652" t="n" s="0">
        <v>96.51</v>
      </c>
      <c r="B19652" t="n" s="0">
        <f>(-5-((((-5*(-5/((-5/(((-5*(96.51--5))-(-5+((-5*96.51)*(((-5--5)+(96.51--5))+96.51))))-(-5+-5)))*-5)))/-5)--5)+(-5*(((96.51*(96.51-(-5/-5)))*(96.51-(96.51/(-5*96.51))))-(-5/-5)))))</f>
        <v>4476201.777055</v>
      </c>
      <c r="C19652" t="n" s="0">
        <v>4476201.777055001</v>
      </c>
    </row>
    <row r="19653">
      <c r="A19653" t="n" s="0">
        <v>96.52</v>
      </c>
      <c r="B19653" t="n" s="0">
        <f>(-5-((((-5*(-5/((-5/(((-5*(96.52--5))-(-5+((-5*96.52)*(((-5--5)+(96.52--5))+96.52))))-(-5+-5)))*-5)))/-5)--5)+(-5*(((96.52*(96.52-(-5/-5)))*(96.52-(96.52/(-5*96.52))))-(-5/-5)))))</f>
        <v>4477595.21824</v>
      </c>
      <c r="C19653" t="n" s="0">
        <v>4477595.218239998</v>
      </c>
    </row>
    <row r="19654">
      <c r="A19654" t="n" s="0">
        <v>96.53</v>
      </c>
      <c r="B19654" t="n" s="0">
        <f>(-5-((((-5*(-5/((-5/(((-5*(96.53--5))-(-5+((-5*96.53)*(((-5--5)+(96.53--5))+96.53))))-(-5+-5)))*-5)))/-5)--5)+(-5*(((96.53*(96.53-(-5/-5)))*(96.53-(96.53/(-5*96.53))))-(-5/-5)))))</f>
        <v>4478988.948585</v>
      </c>
      <c r="C19654" t="n" s="0">
        <v>4478988.948585</v>
      </c>
    </row>
    <row r="19655">
      <c r="A19655" t="n" s="0">
        <v>96.54</v>
      </c>
      <c r="B19655" t="n" s="0">
        <f>(-5-((((-5*(-5/((-5/(((-5*(96.54--5))-(-5+((-5*96.54)*(((-5--5)+(96.54--5))+96.54))))-(-5+-5)))*-5)))/-5)--5)+(-5*(((96.54*(96.54-(-5/-5)))*(96.54-(96.54/(-5*96.54))))-(-5/-5)))))</f>
        <v>4480382.968119999</v>
      </c>
      <c r="C19655" t="n" s="0">
        <v>4480382.968120001</v>
      </c>
    </row>
    <row r="19656">
      <c r="A19656" t="n" s="0">
        <v>96.55</v>
      </c>
      <c r="B19656" t="n" s="0">
        <f>(-5-((((-5*(-5/((-5/(((-5*(96.55--5))-(-5+((-5*96.55)*(((-5--5)+(96.55--5))+96.55))))-(-5+-5)))*-5)))/-5)--5)+(-5*(((96.55*(96.55-(-5/-5)))*(96.55-(96.55/(-5*96.55))))-(-5/-5)))))</f>
        <v>4481777.2768749995</v>
      </c>
      <c r="C19656" t="n" s="0">
        <v>4481777.276875</v>
      </c>
    </row>
    <row r="19657">
      <c r="A19657" t="n" s="0">
        <v>96.56</v>
      </c>
      <c r="B19657" t="n" s="0">
        <f>(-5-((((-5*(-5/((-5/(((-5*(96.56--5))-(-5+((-5*96.56)*(((-5--5)+(96.56--5))+96.56))))-(-5+-5)))*-5)))/-5)--5)+(-5*(((96.56*(96.56-(-5/-5)))*(96.56-(96.56/(-5*96.56))))-(-5/-5)))))</f>
        <v>4483171.87488</v>
      </c>
      <c r="C19657" t="n" s="0">
        <v>4483171.87488</v>
      </c>
    </row>
    <row r="19658">
      <c r="A19658" t="n" s="0">
        <v>96.57</v>
      </c>
      <c r="B19658" t="n" s="0">
        <f>(-5-((((-5*(-5/((-5/(((-5*(96.57--5))-(-5+((-5*96.57)*(((-5--5)+(96.57--5))+96.57))))-(-5+-5)))*-5)))/-5)--5)+(-5*(((96.57*(96.57-(-5/-5)))*(96.57-(96.57/(-5*96.57))))-(-5/-5)))))</f>
        <v>4484566.762165</v>
      </c>
      <c r="C19658" t="n" s="0">
        <v>4484566.762164999</v>
      </c>
    </row>
    <row r="19659">
      <c r="A19659" t="n" s="0">
        <v>96.58</v>
      </c>
      <c r="B19659" t="n" s="0">
        <f>(-5-((((-5*(-5/((-5/(((-5*(96.58--5))-(-5+((-5*96.58)*(((-5--5)+(96.58--5))+96.58))))-(-5+-5)))*-5)))/-5)--5)+(-5*(((96.58*(96.58-(-5/-5)))*(96.58-(96.58/(-5*96.58))))-(-5/-5)))))</f>
        <v>4485961.93876</v>
      </c>
      <c r="C19659" t="n" s="0">
        <v>4485961.93876</v>
      </c>
    </row>
    <row r="19660">
      <c r="A19660" t="n" s="0">
        <v>96.59</v>
      </c>
      <c r="B19660" t="n" s="0">
        <f>(-5-((((-5*(-5/((-5/(((-5*(96.59--5))-(-5+((-5*96.59)*(((-5--5)+(96.59--5))+96.59))))-(-5+-5)))*-5)))/-5)--5)+(-5*(((96.59*(96.59-(-5/-5)))*(96.59-(96.59/(-5*96.59))))-(-5/-5)))))</f>
        <v>4487357.4046950005</v>
      </c>
      <c r="C19660" t="n" s="0">
        <v>4487357.4046950005</v>
      </c>
    </row>
    <row r="19661">
      <c r="A19661" t="n" s="0">
        <v>96.6</v>
      </c>
      <c r="B19661" t="n" s="0">
        <f>(-5-((((-5*(-5/((-5/(((-5*(96.6--5))-(-5+((-5*96.6)*(((-5--5)+(96.6--5))+96.6))))-(-5+-5)))*-5)))/-5)--5)+(-5*(((96.6*(96.6-(-5/-5)))*(96.6-(96.6/(-5*96.6))))-(-5/-5)))))</f>
        <v>4488753.159999999</v>
      </c>
      <c r="C19661" t="n" s="0">
        <v>4488753.159999999</v>
      </c>
    </row>
    <row r="19662">
      <c r="A19662" t="n" s="0">
        <v>96.61</v>
      </c>
      <c r="B19662" t="n" s="0">
        <f>(-5-((((-5*(-5/((-5/(((-5*(96.61--5))-(-5+((-5*96.61)*(((-5--5)+(96.61--5))+96.61))))-(-5+-5)))*-5)))/-5)--5)+(-5*(((96.61*(96.61-(-5/-5)))*(96.61-(96.61/(-5*96.61))))-(-5/-5)))))</f>
        <v>4490149.204705</v>
      </c>
      <c r="C19662" t="n" s="0">
        <v>4490149.204705</v>
      </c>
    </row>
    <row r="19663">
      <c r="A19663" t="n" s="0">
        <v>96.62</v>
      </c>
      <c r="B19663" t="n" s="0">
        <f>(-5-((((-5*(-5/((-5/(((-5*(96.62--5))-(-5+((-5*96.62)*(((-5--5)+(96.62--5))+96.62))))-(-5+-5)))*-5)))/-5)--5)+(-5*(((96.62*(96.62-(-5/-5)))*(96.62-(96.62/(-5*96.62))))-(-5/-5)))))</f>
        <v>4491545.5388400005</v>
      </c>
      <c r="C19663" t="n" s="0">
        <v>4491545.538840001</v>
      </c>
    </row>
    <row r="19664">
      <c r="A19664" t="n" s="0">
        <v>96.63</v>
      </c>
      <c r="B19664" t="n" s="0">
        <f>(-5-((((-5*(-5/((-5/(((-5*(96.63--5))-(-5+((-5*96.63)*(((-5--5)+(96.63--5))+96.63))))-(-5+-5)))*-5)))/-5)--5)+(-5*(((96.63*(96.63-(-5/-5)))*(96.63-(96.63/(-5*96.63))))-(-5/-5)))))</f>
        <v>4492942.162435</v>
      </c>
      <c r="C19664" t="n" s="0">
        <v>4492942.162434999</v>
      </c>
    </row>
    <row r="19665">
      <c r="A19665" t="n" s="0">
        <v>96.64</v>
      </c>
      <c r="B19665" t="n" s="0">
        <f>(-5-((((-5*(-5/((-5/(((-5*(96.64--5))-(-5+((-5*96.64)*(((-5--5)+(96.64--5))+96.64))))-(-5+-5)))*-5)))/-5)--5)+(-5*(((96.64*(96.64-(-5/-5)))*(96.64-(96.64/(-5*96.64))))-(-5/-5)))))</f>
        <v>4494339.07552</v>
      </c>
      <c r="C19665" t="n" s="0">
        <v>4494339.07552</v>
      </c>
    </row>
    <row r="19666">
      <c r="A19666" t="n" s="0">
        <v>96.65</v>
      </c>
      <c r="B19666" t="n" s="0">
        <f>(-5-((((-5*(-5/((-5/(((-5*(96.65--5))-(-5+((-5*96.65)*(((-5--5)+(96.65--5))+96.65))))-(-5+-5)))*-5)))/-5)--5)+(-5*(((96.65*(96.65-(-5/-5)))*(96.65-(96.65/(-5*96.65))))-(-5/-5)))))</f>
        <v>4495736.278125</v>
      </c>
      <c r="C19666" t="n" s="0">
        <v>4495736.278125001</v>
      </c>
    </row>
    <row r="19667">
      <c r="A19667" t="n" s="0">
        <v>96.66</v>
      </c>
      <c r="B19667" t="n" s="0">
        <f>(-5-((((-5*(-5/((-5/(((-5*(96.66--5))-(-5+((-5*96.66)*(((-5--5)+(96.66--5))+96.66))))-(-5+-5)))*-5)))/-5)--5)+(-5*(((96.66*(96.66-(-5/-5)))*(96.66-(96.66/(-5*96.66))))-(-5/-5)))))</f>
        <v>4497133.77028</v>
      </c>
      <c r="C19667" t="n" s="0">
        <v>4497133.77028</v>
      </c>
    </row>
    <row r="19668">
      <c r="A19668" t="n" s="0">
        <v>96.67</v>
      </c>
      <c r="B19668" t="n" s="0">
        <f>(-5-((((-5*(-5/((-5/(((-5*(96.67--5))-(-5+((-5*96.67)*(((-5--5)+(96.67--5))+96.67))))-(-5+-5)))*-5)))/-5)--5)+(-5*(((96.67*(96.67-(-5/-5)))*(96.67-(96.67/(-5*96.67))))-(-5/-5)))))</f>
        <v>4498531.552015</v>
      </c>
      <c r="C19668" t="n" s="0">
        <v>4498531.552015</v>
      </c>
    </row>
    <row r="19669">
      <c r="A19669" t="n" s="0">
        <v>96.68</v>
      </c>
      <c r="B19669" t="n" s="0">
        <f>(-5-((((-5*(-5/((-5/(((-5*(96.68--5))-(-5+((-5*96.68)*(((-5--5)+(96.68--5))+96.68))))-(-5+-5)))*-5)))/-5)--5)+(-5*(((96.68*(96.68-(-5/-5)))*(96.68-(96.68/(-5*96.68))))-(-5/-5)))))</f>
        <v>4499929.62336</v>
      </c>
      <c r="C19669" t="n" s="0">
        <v>4499929.623360001</v>
      </c>
    </row>
    <row r="19670">
      <c r="A19670" t="n" s="0">
        <v>96.69</v>
      </c>
      <c r="B19670" t="n" s="0">
        <f>(-5-((((-5*(-5/((-5/(((-5*(96.69--5))-(-5+((-5*96.69)*(((-5--5)+(96.69--5))+96.69))))-(-5+-5)))*-5)))/-5)--5)+(-5*(((96.69*(96.69-(-5/-5)))*(96.69-(96.69/(-5*96.69))))-(-5/-5)))))</f>
        <v>4501327.984345</v>
      </c>
      <c r="C19670" t="n" s="0">
        <v>4501327.984345</v>
      </c>
    </row>
    <row r="19671">
      <c r="A19671" t="n" s="0">
        <v>96.7</v>
      </c>
      <c r="B19671" t="n" s="0">
        <f>(-5-((((-5*(-5/((-5/(((-5*(96.7--5))-(-5+((-5*96.7)*(((-5--5)+(96.7--5))+96.7))))-(-5+-5)))*-5)))/-5)--5)+(-5*(((96.7*(96.7-(-5/-5)))*(96.7-(96.7/(-5*96.7))))-(-5/-5)))))</f>
        <v>4502726.635</v>
      </c>
      <c r="C19671" t="n" s="0">
        <v>4502726.635</v>
      </c>
    </row>
    <row r="19672">
      <c r="A19672" t="n" s="0">
        <v>96.71</v>
      </c>
      <c r="B19672" t="n" s="0">
        <f>(-5-((((-5*(-5/((-5/(((-5*(96.71--5))-(-5+((-5*96.71)*(((-5--5)+(96.71--5))+96.71))))-(-5+-5)))*-5)))/-5)--5)+(-5*(((96.71*(96.71-(-5/-5)))*(96.71-(96.71/(-5*96.71))))-(-5/-5)))))</f>
        <v>4504125.575355</v>
      </c>
      <c r="C19672" t="n" s="0">
        <v>4504125.575355</v>
      </c>
    </row>
    <row r="19673">
      <c r="A19673" t="n" s="0">
        <v>96.72</v>
      </c>
      <c r="B19673" t="n" s="0">
        <f>(-5-((((-5*(-5/((-5/(((-5*(96.72--5))-(-5+((-5*96.72)*(((-5--5)+(96.72--5))+96.72))))-(-5+-5)))*-5)))/-5)--5)+(-5*(((96.72*(96.72-(-5/-5)))*(96.72-(96.72/(-5*96.72))))-(-5/-5)))))</f>
        <v>4505524.80544</v>
      </c>
      <c r="C19673" t="n" s="0">
        <v>4505524.80544</v>
      </c>
    </row>
    <row r="19674">
      <c r="A19674" t="n" s="0">
        <v>96.73</v>
      </c>
      <c r="B19674" t="n" s="0">
        <f>(-5-((((-5*(-5/((-5/(((-5*(96.73--5))-(-5+((-5*96.73)*(((-5--5)+(96.73--5))+96.73))))-(-5+-5)))*-5)))/-5)--5)+(-5*(((96.73*(96.73-(-5/-5)))*(96.73-(96.73/(-5*96.73))))-(-5/-5)))))</f>
        <v>4506924.325285</v>
      </c>
      <c r="C19674" t="n" s="0">
        <v>4506924.325285001</v>
      </c>
    </row>
    <row r="19675">
      <c r="A19675" t="n" s="0">
        <v>96.74</v>
      </c>
      <c r="B19675" t="n" s="0">
        <f>(-5-((((-5*(-5/((-5/(((-5*(96.74--5))-(-5+((-5*96.74)*(((-5--5)+(96.74--5))+96.74))))-(-5+-5)))*-5)))/-5)--5)+(-5*(((96.74*(96.74-(-5/-5)))*(96.74-(96.74/(-5*96.74))))-(-5/-5)))))</f>
        <v>4508324.13492</v>
      </c>
      <c r="C19675" t="n" s="0">
        <v>4508324.13492</v>
      </c>
    </row>
    <row r="19676">
      <c r="A19676" t="n" s="0">
        <v>96.75</v>
      </c>
      <c r="B19676" t="n" s="0">
        <f>(-5-((((-5*(-5/((-5/(((-5*(96.75--5))-(-5+((-5*96.75)*(((-5--5)+(96.75--5))+96.75))))-(-5+-5)))*-5)))/-5)--5)+(-5*(((96.75*(96.75-(-5/-5)))*(96.75-(96.75/(-5*96.75))))-(-5/-5)))))</f>
        <v>4509724.234375</v>
      </c>
      <c r="C19676" t="n" s="0">
        <v>4509724.234375</v>
      </c>
    </row>
    <row r="19677">
      <c r="A19677" t="n" s="0">
        <v>96.76</v>
      </c>
      <c r="B19677" t="n" s="0">
        <f>(-5-((((-5*(-5/((-5/(((-5*(96.76--5))-(-5+((-5*96.76)*(((-5--5)+(96.76--5))+96.76))))-(-5+-5)))*-5)))/-5)--5)+(-5*(((96.76*(96.76-(-5/-5)))*(96.76-(96.76/(-5*96.76))))-(-5/-5)))))</f>
        <v>4511124.62368</v>
      </c>
      <c r="C19677" t="n" s="0">
        <v>4511124.623680001</v>
      </c>
    </row>
    <row r="19678">
      <c r="A19678" t="n" s="0">
        <v>96.77</v>
      </c>
      <c r="B19678" t="n" s="0">
        <f>(-5-((((-5*(-5/((-5/(((-5*(96.77--5))-(-5+((-5*96.77)*(((-5--5)+(96.77--5))+96.77))))-(-5+-5)))*-5)))/-5)--5)+(-5*(((96.77*(96.77-(-5/-5)))*(96.77-(96.77/(-5*96.77))))-(-5/-5)))))</f>
        <v>4512525.3028649995</v>
      </c>
      <c r="C19678" t="n" s="0">
        <v>4512525.302864999</v>
      </c>
    </row>
    <row r="19679">
      <c r="A19679" t="n" s="0">
        <v>96.78</v>
      </c>
      <c r="B19679" t="n" s="0">
        <f>(-5-((((-5*(-5/((-5/(((-5*(96.78--5))-(-5+((-5*96.78)*(((-5--5)+(96.78--5))+96.78))))-(-5+-5)))*-5)))/-5)--5)+(-5*(((96.78*(96.78-(-5/-5)))*(96.78-(96.78/(-5*96.78))))-(-5/-5)))))</f>
        <v>4513926.2719600005</v>
      </c>
      <c r="C19679" t="n" s="0">
        <v>4513926.27196</v>
      </c>
    </row>
    <row r="19680">
      <c r="A19680" t="n" s="0">
        <v>96.79</v>
      </c>
      <c r="B19680" t="n" s="0">
        <f>(-5-((((-5*(-5/((-5/(((-5*(96.79--5))-(-5+((-5*96.79)*(((-5--5)+(96.79--5))+96.79))))-(-5+-5)))*-5)))/-5)--5)+(-5*(((96.79*(96.79-(-5/-5)))*(96.79-(96.79/(-5*96.79))))-(-5/-5)))))</f>
        <v>4515327.530995</v>
      </c>
      <c r="C19680" t="n" s="0">
        <v>4515327.530995001</v>
      </c>
    </row>
    <row r="19681">
      <c r="A19681" t="n" s="0">
        <v>96.8</v>
      </c>
      <c r="B19681" t="n" s="0">
        <f>(-5-((((-5*(-5/((-5/(((-5*(96.8--5))-(-5+((-5*96.8)*(((-5--5)+(96.8--5))+96.8))))-(-5+-5)))*-5)))/-5)--5)+(-5*(((96.8*(96.8-(-5/-5)))*(96.8-(96.8/(-5*96.8))))-(-5/-5)))))</f>
        <v>4516729.08</v>
      </c>
      <c r="C19681" t="n" s="0">
        <v>4516729.08</v>
      </c>
    </row>
    <row r="19682">
      <c r="A19682" t="n" s="0">
        <v>96.81</v>
      </c>
      <c r="B19682" t="n" s="0">
        <f>(-5-((((-5*(-5/((-5/(((-5*(96.81--5))-(-5+((-5*96.81)*(((-5--5)+(96.81--5))+96.81))))-(-5+-5)))*-5)))/-5)--5)+(-5*(((96.81*(96.81-(-5/-5)))*(96.81-(96.81/(-5*96.81))))-(-5/-5)))))</f>
        <v>4518130.919005</v>
      </c>
      <c r="C19682" t="n" s="0">
        <v>4518130.919005001</v>
      </c>
    </row>
    <row r="19683">
      <c r="A19683" t="n" s="0">
        <v>96.82</v>
      </c>
      <c r="B19683" t="n" s="0">
        <f>(-5-((((-5*(-5/((-5/(((-5*(96.82--5))-(-5+((-5*96.82)*(((-5--5)+(96.82--5))+96.82))))-(-5+-5)))*-5)))/-5)--5)+(-5*(((96.82*(96.82-(-5/-5)))*(96.82-(96.82/(-5*96.82))))-(-5/-5)))))</f>
        <v>4519533.04804</v>
      </c>
      <c r="C19683" t="n" s="0">
        <v>4519533.048039999</v>
      </c>
    </row>
    <row r="19684">
      <c r="A19684" t="n" s="0">
        <v>96.83</v>
      </c>
      <c r="B19684" t="n" s="0">
        <f>(-5-((((-5*(-5/((-5/(((-5*(96.83--5))-(-5+((-5*96.83)*(((-5--5)+(96.83--5))+96.83))))-(-5+-5)))*-5)))/-5)--5)+(-5*(((96.83*(96.83-(-5/-5)))*(96.83-(96.83/(-5*96.83))))-(-5/-5)))))</f>
        <v>4520935.467135</v>
      </c>
      <c r="C19684" t="n" s="0">
        <v>4520935.467135</v>
      </c>
    </row>
    <row r="19685">
      <c r="A19685" t="n" s="0">
        <v>96.84</v>
      </c>
      <c r="B19685" t="n" s="0">
        <f>(-5-((((-5*(-5/((-5/(((-5*(96.84--5))-(-5+((-5*96.84)*(((-5--5)+(96.84--5))+96.84))))-(-5+-5)))*-5)))/-5)--5)+(-5*(((96.84*(96.84-(-5/-5)))*(96.84-(96.84/(-5*96.84))))-(-5/-5)))))</f>
        <v>4522338.17632</v>
      </c>
      <c r="C19685" t="n" s="0">
        <v>4522338.176320001</v>
      </c>
    </row>
    <row r="19686">
      <c r="A19686" t="n" s="0">
        <v>96.85</v>
      </c>
      <c r="B19686" t="n" s="0">
        <f>(-5-((((-5*(-5/((-5/(((-5*(96.85--5))-(-5+((-5*96.85)*(((-5--5)+(96.85--5))+96.85))))-(-5+-5)))*-5)))/-5)--5)+(-5*(((96.85*(96.85-(-5/-5)))*(96.85-(96.85/(-5*96.85))))-(-5/-5)))))</f>
        <v>4523741.175625</v>
      </c>
      <c r="C19686" t="n" s="0">
        <v>4523741.175624999</v>
      </c>
    </row>
    <row r="19687">
      <c r="A19687" t="n" s="0">
        <v>96.86</v>
      </c>
      <c r="B19687" t="n" s="0">
        <f>(-5-((((-5*(-5/((-5/(((-5*(96.86--5))-(-5+((-5*96.86)*(((-5--5)+(96.86--5))+96.86))))-(-5+-5)))*-5)))/-5)--5)+(-5*(((96.86*(96.86-(-5/-5)))*(96.86-(96.86/(-5*96.86))))-(-5/-5)))))</f>
        <v>4525144.4650799995</v>
      </c>
      <c r="C19687" t="n" s="0">
        <v>4525144.46508</v>
      </c>
    </row>
    <row r="19688">
      <c r="A19688" t="n" s="0">
        <v>96.87</v>
      </c>
      <c r="B19688" t="n" s="0">
        <f>(-5-((((-5*(-5/((-5/(((-5*(96.87--5))-(-5+((-5*96.87)*(((-5--5)+(96.87--5))+96.87))))-(-5+-5)))*-5)))/-5)--5)+(-5*(((96.87*(96.87-(-5/-5)))*(96.87-(96.87/(-5*96.87))))-(-5/-5)))))</f>
        <v>4526548.044715</v>
      </c>
      <c r="C19688" t="n" s="0">
        <v>4526548.044715001</v>
      </c>
    </row>
    <row r="19689">
      <c r="A19689" t="n" s="0">
        <v>96.88</v>
      </c>
      <c r="B19689" t="n" s="0">
        <f>(-5-((((-5*(-5/((-5/(((-5*(96.88--5))-(-5+((-5*96.88)*(((-5--5)+(96.88--5))+96.88))))-(-5+-5)))*-5)))/-5)--5)+(-5*(((96.88*(96.88-(-5/-5)))*(96.88-(96.88/(-5*96.88))))-(-5/-5)))))</f>
        <v>4527951.91456</v>
      </c>
      <c r="C19689" t="n" s="0">
        <v>4527951.9145599995</v>
      </c>
    </row>
    <row r="19690">
      <c r="A19690" t="n" s="0">
        <v>96.89</v>
      </c>
      <c r="B19690" t="n" s="0">
        <f>(-5-((((-5*(-5/((-5/(((-5*(96.89--5))-(-5+((-5*96.89)*(((-5--5)+(96.89--5))+96.89))))-(-5+-5)))*-5)))/-5)--5)+(-5*(((96.89*(96.89-(-5/-5)))*(96.89-(96.89/(-5*96.89))))-(-5/-5)))))</f>
        <v>4529356.074645</v>
      </c>
      <c r="C19690" t="n" s="0">
        <v>4529356.074645</v>
      </c>
    </row>
    <row r="19691">
      <c r="A19691" t="n" s="0">
        <v>96.9</v>
      </c>
      <c r="B19691" t="n" s="0">
        <f>(-5-((((-5*(-5/((-5/(((-5*(96.9--5))-(-5+((-5*96.9)*(((-5--5)+(96.9--5))+96.9))))-(-5+-5)))*-5)))/-5)--5)+(-5*(((96.9*(96.9-(-5/-5)))*(96.9-(96.9/(-5*96.9))))-(-5/-5)))))</f>
        <v>4530760.525</v>
      </c>
      <c r="C19691" t="n" s="0">
        <v>4530760.525000001</v>
      </c>
    </row>
    <row r="19692">
      <c r="A19692" t="n" s="0">
        <v>96.91</v>
      </c>
      <c r="B19692" t="n" s="0">
        <f>(-5-((((-5*(-5/((-5/(((-5*(96.91--5))-(-5+((-5*96.91)*(((-5--5)+(96.91--5))+96.91))))-(-5+-5)))*-5)))/-5)--5)+(-5*(((96.91*(96.91-(-5/-5)))*(96.91-(96.91/(-5*96.91))))-(-5/-5)))))</f>
        <v>4532165.265655</v>
      </c>
      <c r="C19692" t="n" s="0">
        <v>4532165.265655001</v>
      </c>
    </row>
    <row r="19693">
      <c r="A19693" t="n" s="0">
        <v>96.92</v>
      </c>
      <c r="B19693" t="n" s="0">
        <f>(-5-((((-5*(-5/((-5/(((-5*(96.92--5))-(-5+((-5*96.92)*(((-5--5)+(96.92--5))+96.92))))-(-5+-5)))*-5)))/-5)--5)+(-5*(((96.92*(96.92-(-5/-5)))*(96.92-(96.92/(-5*96.92))))-(-5/-5)))))</f>
        <v>4533570.29664</v>
      </c>
      <c r="C19693" t="n" s="0">
        <v>4533570.29664</v>
      </c>
    </row>
    <row r="19694">
      <c r="A19694" t="n" s="0">
        <v>96.93</v>
      </c>
      <c r="B19694" t="n" s="0">
        <f>(-5-((((-5*(-5/((-5/(((-5*(96.93--5))-(-5+((-5*96.93)*(((-5--5)+(96.93--5))+96.93))))-(-5+-5)))*-5)))/-5)--5)+(-5*(((96.93*(96.93-(-5/-5)))*(96.93-(96.93/(-5*96.93))))-(-5/-5)))))</f>
        <v>4534975.617985</v>
      </c>
      <c r="C19694" t="n" s="0">
        <v>4534975.617985001</v>
      </c>
    </row>
    <row r="19695">
      <c r="A19695" t="n" s="0">
        <v>96.94</v>
      </c>
      <c r="B19695" t="n" s="0">
        <f>(-5-((((-5*(-5/((-5/(((-5*(96.94--5))-(-5+((-5*96.94)*(((-5--5)+(96.94--5))+96.94))))-(-5+-5)))*-5)))/-5)--5)+(-5*(((96.94*(96.94-(-5/-5)))*(96.94-(96.94/(-5*96.94))))-(-5/-5)))))</f>
        <v>4536381.22972</v>
      </c>
      <c r="C19695" t="n" s="0">
        <v>4536381.22972</v>
      </c>
    </row>
    <row r="19696">
      <c r="A19696" t="n" s="0">
        <v>96.95</v>
      </c>
      <c r="B19696" t="n" s="0">
        <f>(-5-((((-5*(-5/((-5/(((-5*(96.95--5))-(-5+((-5*96.95)*(((-5--5)+(96.95--5))+96.95))))-(-5+-5)))*-5)))/-5)--5)+(-5*(((96.95*(96.95-(-5/-5)))*(96.95-(96.95/(-5*96.95))))-(-5/-5)))))</f>
        <v>4537787.131875</v>
      </c>
      <c r="C19696" t="n" s="0">
        <v>4537787.131874999</v>
      </c>
    </row>
    <row r="19697">
      <c r="A19697" t="n" s="0">
        <v>96.96</v>
      </c>
      <c r="B19697" t="n" s="0">
        <f>(-5-((((-5*(-5/((-5/(((-5*(96.96--5))-(-5+((-5*96.96)*(((-5--5)+(96.96--5))+96.96))))-(-5+-5)))*-5)))/-5)--5)+(-5*(((96.96*(96.96-(-5/-5)))*(96.96-(96.96/(-5*96.96))))-(-5/-5)))))</f>
        <v>4539193.324480001</v>
      </c>
      <c r="C19697" t="n" s="0">
        <v>4539193.324479999</v>
      </c>
    </row>
    <row r="19698">
      <c r="A19698" t="n" s="0">
        <v>96.97</v>
      </c>
      <c r="B19698" t="n" s="0">
        <f>(-5-((((-5*(-5/((-5/(((-5*(96.97--5))-(-5+((-5*96.97)*(((-5--5)+(96.97--5))+96.97))))-(-5+-5)))*-5)))/-5)--5)+(-5*(((96.97*(96.97-(-5/-5)))*(96.97-(96.97/(-5*96.97))))-(-5/-5)))))</f>
        <v>4540599.807565</v>
      </c>
      <c r="C19698" t="n" s="0">
        <v>4540599.807565</v>
      </c>
    </row>
    <row r="19699">
      <c r="A19699" t="n" s="0">
        <v>96.98</v>
      </c>
      <c r="B19699" t="n" s="0">
        <f>(-5-((((-5*(-5/((-5/(((-5*(96.98--5))-(-5+((-5*96.98)*(((-5--5)+(96.98--5))+96.98))))-(-5+-5)))*-5)))/-5)--5)+(-5*(((96.98*(96.98-(-5/-5)))*(96.98-(96.98/(-5*96.98))))-(-5/-5)))))</f>
        <v>4542006.58116</v>
      </c>
      <c r="C19699" t="n" s="0">
        <v>4542006.581160001</v>
      </c>
    </row>
    <row r="19700">
      <c r="A19700" t="n" s="0">
        <v>96.99</v>
      </c>
      <c r="B19700" t="n" s="0">
        <f>(-5-((((-5*(-5/((-5/(((-5*(96.99--5))-(-5+((-5*96.99)*(((-5--5)+(96.99--5))+96.99))))-(-5+-5)))*-5)))/-5)--5)+(-5*(((96.99*(96.99-(-5/-5)))*(96.99-(96.99/(-5*96.99))))-(-5/-5)))))</f>
        <v>4543413.645295</v>
      </c>
      <c r="C19700" t="n" s="0">
        <v>4543413.645295</v>
      </c>
    </row>
    <row r="19701">
      <c r="A19701" t="n" s="0">
        <v>97.0</v>
      </c>
      <c r="B19701" t="n" s="0">
        <f>(-5-((((-5*(-5/((-5/(((-5*(97--5))-(-5+((-5*97)*(((-5--5)+(97--5))+97))))-(-5+-5)))*-5)))/-5)--5)+(-5*(((97*(97-(-5/-5)))*(97-(97/(-5*97))))-(-5/-5)))))</f>
        <v>4544821.0</v>
      </c>
      <c r="C19701" t="n" s="0">
        <v>4544821.0</v>
      </c>
    </row>
    <row r="19702">
      <c r="A19702" t="n" s="0">
        <v>97.01</v>
      </c>
      <c r="B19702" t="n" s="0">
        <f>(-5-((((-5*(-5/((-5/(((-5*(97.01--5))-(-5+((-5*97.01)*(((-5--5)+(97.01--5))+97.01))))-(-5+-5)))*-5)))/-5)--5)+(-5*(((97.01*(97.01-(-5/-5)))*(97.01-(97.01/(-5*97.01))))-(-5/-5)))))</f>
        <v>4546228.645304999</v>
      </c>
      <c r="C19702" t="n" s="0">
        <v>4546228.645305002</v>
      </c>
    </row>
    <row r="19703">
      <c r="A19703" t="n" s="0">
        <v>97.02</v>
      </c>
      <c r="B19703" t="n" s="0">
        <f>(-5-((((-5*(-5/((-5/(((-5*(97.02--5))-(-5+((-5*97.02)*(((-5--5)+(97.02--5))+97.02))))-(-5+-5)))*-5)))/-5)--5)+(-5*(((97.02*(97.02-(-5/-5)))*(97.02-(97.02/(-5*97.02))))-(-5/-5)))))</f>
        <v>4547636.58124</v>
      </c>
      <c r="C19703" t="n" s="0">
        <v>4547636.581239999</v>
      </c>
    </row>
    <row r="19704">
      <c r="A19704" t="n" s="0">
        <v>97.03</v>
      </c>
      <c r="B19704" t="n" s="0">
        <f>(-5-((((-5*(-5/((-5/(((-5*(97.03--5))-(-5+((-5*97.03)*(((-5--5)+(97.03--5))+97.03))))-(-5+-5)))*-5)))/-5)--5)+(-5*(((97.03*(97.03-(-5/-5)))*(97.03-(97.03/(-5*97.03))))-(-5/-5)))))</f>
        <v>4549044.807835001</v>
      </c>
      <c r="C19704" t="n" s="0">
        <v>4549044.807835</v>
      </c>
    </row>
    <row r="19705">
      <c r="A19705" t="n" s="0">
        <v>97.04</v>
      </c>
      <c r="B19705" t="n" s="0">
        <f>(-5-((((-5*(-5/((-5/(((-5*(97.04--5))-(-5+((-5*97.04)*(((-5--5)+(97.04--5))+97.04))))-(-5+-5)))*-5)))/-5)--5)+(-5*(((97.04*(97.04-(-5/-5)))*(97.04-(97.04/(-5*97.04))))-(-5/-5)))))</f>
        <v>4550453.32512</v>
      </c>
      <c r="C19705" t="n" s="0">
        <v>4550453.325120001</v>
      </c>
    </row>
    <row r="19706">
      <c r="A19706" t="n" s="0">
        <v>97.05</v>
      </c>
      <c r="B19706" t="n" s="0">
        <f>(-5-((((-5*(-5/((-5/(((-5*(97.05--5))-(-5+((-5*97.05)*(((-5--5)+(97.05--5))+97.05))))-(-5+-5)))*-5)))/-5)--5)+(-5*(((97.05*(97.05-(-5/-5)))*(97.05-(97.05/(-5*97.05))))-(-5/-5)))))</f>
        <v>4551862.133125001</v>
      </c>
      <c r="C19706" t="n" s="0">
        <v>4551862.133125</v>
      </c>
    </row>
    <row r="19707">
      <c r="A19707" t="n" s="0">
        <v>97.06</v>
      </c>
      <c r="B19707" t="n" s="0">
        <f>(-5-((((-5*(-5/((-5/(((-5*(97.06--5))-(-5+((-5*97.06)*(((-5--5)+(97.06--5))+97.06))))-(-5+-5)))*-5)))/-5)--5)+(-5*(((97.06*(97.06-(-5/-5)))*(97.06-(97.06/(-5*97.06))))-(-5/-5)))))</f>
        <v>4553271.231880001</v>
      </c>
      <c r="C19707" t="n" s="0">
        <v>4553271.23188</v>
      </c>
    </row>
    <row r="19708">
      <c r="A19708" t="n" s="0">
        <v>97.07</v>
      </c>
      <c r="B19708" t="n" s="0">
        <f>(-5-((((-5*(-5/((-5/(((-5*(97.07--5))-(-5+((-5*97.07)*(((-5--5)+(97.07--5))+97.07))))-(-5+-5)))*-5)))/-5)--5)+(-5*(((97.07*(97.07-(-5/-5)))*(97.07-(97.07/(-5*97.07))))-(-5/-5)))))</f>
        <v>4554680.6214149995</v>
      </c>
      <c r="C19708" t="n" s="0">
        <v>4554680.6214149995</v>
      </c>
    </row>
    <row r="19709">
      <c r="A19709" t="n" s="0">
        <v>97.08</v>
      </c>
      <c r="B19709" t="n" s="0">
        <f>(-5-((((-5*(-5/((-5/(((-5*(97.08--5))-(-5+((-5*97.08)*(((-5--5)+(97.08--5))+97.08))))-(-5+-5)))*-5)))/-5)--5)+(-5*(((97.08*(97.08-(-5/-5)))*(97.08-(97.08/(-5*97.08))))-(-5/-5)))))</f>
        <v>4556090.30176</v>
      </c>
      <c r="C19709" t="n" s="0">
        <v>4556090.30176</v>
      </c>
    </row>
    <row r="19710">
      <c r="A19710" t="n" s="0">
        <v>97.09</v>
      </c>
      <c r="B19710" t="n" s="0">
        <f>(-5-((((-5*(-5/((-5/(((-5*(97.09--5))-(-5+((-5*97.09)*(((-5--5)+(97.09--5))+97.09))))-(-5+-5)))*-5)))/-5)--5)+(-5*(((97.09*(97.09-(-5/-5)))*(97.09-(97.09/(-5*97.09))))-(-5/-5)))))</f>
        <v>4557500.272945</v>
      </c>
      <c r="C19710" t="n" s="0">
        <v>4557500.272945</v>
      </c>
    </row>
    <row r="19711">
      <c r="A19711" t="n" s="0">
        <v>97.1</v>
      </c>
      <c r="B19711" t="n" s="0">
        <f>(-5-((((-5*(-5/((-5/(((-5*(97.1--5))-(-5+((-5*97.1)*(((-5--5)+(97.1--5))+97.1))))-(-5+-5)))*-5)))/-5)--5)+(-5*(((97.1*(97.1-(-5/-5)))*(97.1-(97.1/(-5*97.1))))-(-5/-5)))))</f>
        <v>4558910.535</v>
      </c>
      <c r="C19711" t="n" s="0">
        <v>4558910.534999998</v>
      </c>
    </row>
    <row r="19712">
      <c r="A19712" t="n" s="0">
        <v>97.11</v>
      </c>
      <c r="B19712" t="n" s="0">
        <f>(-5-((((-5*(-5/((-5/(((-5*(97.11--5))-(-5+((-5*97.11)*(((-5--5)+(97.11--5))+97.11))))-(-5+-5)))*-5)))/-5)--5)+(-5*(((97.11*(97.11-(-5/-5)))*(97.11-(97.11/(-5*97.11))))-(-5/-5)))))</f>
        <v>4560321.087955</v>
      </c>
      <c r="C19712" t="n" s="0">
        <v>4560321.087955001</v>
      </c>
    </row>
    <row r="19713">
      <c r="A19713" t="n" s="0">
        <v>97.12</v>
      </c>
      <c r="B19713" t="n" s="0">
        <f>(-5-((((-5*(-5/((-5/(((-5*(97.12--5))-(-5+((-5*97.12)*(((-5--5)+(97.12--5))+97.12))))-(-5+-5)))*-5)))/-5)--5)+(-5*(((97.12*(97.12-(-5/-5)))*(97.12-(97.12/(-5*97.12))))-(-5/-5)))))</f>
        <v>4561731.93184</v>
      </c>
      <c r="C19713" t="n" s="0">
        <v>4561731.931840001</v>
      </c>
    </row>
    <row r="19714">
      <c r="A19714" t="n" s="0">
        <v>97.13</v>
      </c>
      <c r="B19714" t="n" s="0">
        <f>(-5-((((-5*(-5/((-5/(((-5*(97.13--5))-(-5+((-5*97.13)*(((-5--5)+(97.13--5))+97.13))))-(-5+-5)))*-5)))/-5)--5)+(-5*(((97.13*(97.13-(-5/-5)))*(97.13-(97.13/(-5*97.13))))-(-5/-5)))))</f>
        <v>4563143.066685</v>
      </c>
      <c r="C19714" t="n" s="0">
        <v>4563143.0666849995</v>
      </c>
    </row>
    <row r="19715">
      <c r="A19715" t="n" s="0">
        <v>97.14</v>
      </c>
      <c r="B19715" t="n" s="0">
        <f>(-5-((((-5*(-5/((-5/(((-5*(97.14--5))-(-5+((-5*97.14)*(((-5--5)+(97.14--5))+97.14))))-(-5+-5)))*-5)))/-5)--5)+(-5*(((97.14*(97.14-(-5/-5)))*(97.14-(97.14/(-5*97.14))))-(-5/-5)))))</f>
        <v>4564554.492520001</v>
      </c>
      <c r="C19715" t="n" s="0">
        <v>4564554.49252</v>
      </c>
    </row>
    <row r="19716">
      <c r="A19716" t="n" s="0">
        <v>97.15</v>
      </c>
      <c r="B19716" t="n" s="0">
        <f>(-5-((((-5*(-5/((-5/(((-5*(97.15--5))-(-5+((-5*97.15)*(((-5--5)+(97.15--5))+97.15))))-(-5+-5)))*-5)))/-5)--5)+(-5*(((97.15*(97.15-(-5/-5)))*(97.15-(97.15/(-5*97.15))))-(-5/-5)))))</f>
        <v>4565966.209375</v>
      </c>
      <c r="C19716" t="n" s="0">
        <v>4565966.209375001</v>
      </c>
    </row>
    <row r="19717">
      <c r="A19717" t="n" s="0">
        <v>97.16</v>
      </c>
      <c r="B19717" t="n" s="0">
        <f>(-5-((((-5*(-5/((-5/(((-5*(97.16--5))-(-5+((-5*97.16)*(((-5--5)+(97.16--5))+97.16))))-(-5+-5)))*-5)))/-5)--5)+(-5*(((97.16*(97.16-(-5/-5)))*(97.16-(97.16/(-5*97.16))))-(-5/-5)))))</f>
        <v>4567378.21728</v>
      </c>
      <c r="C19717" t="n" s="0">
        <v>4567378.21728</v>
      </c>
    </row>
    <row r="19718">
      <c r="A19718" t="n" s="0">
        <v>97.17</v>
      </c>
      <c r="B19718" t="n" s="0">
        <f>(-5-((((-5*(-5/((-5/(((-5*(97.17--5))-(-5+((-5*97.17)*(((-5--5)+(97.17--5))+97.17))))-(-5+-5)))*-5)))/-5)--5)+(-5*(((97.17*(97.17-(-5/-5)))*(97.17-(97.17/(-5*97.17))))-(-5/-5)))))</f>
        <v>4568790.516265</v>
      </c>
      <c r="C19718" t="n" s="0">
        <v>4568790.516265001</v>
      </c>
    </row>
    <row r="19719">
      <c r="A19719" t="n" s="0">
        <v>97.18</v>
      </c>
      <c r="B19719" t="n" s="0">
        <f>(-5-((((-5*(-5/((-5/(((-5*(97.18--5))-(-5+((-5*97.18)*(((-5--5)+(97.18--5))+97.18))))-(-5+-5)))*-5)))/-5)--5)+(-5*(((97.18*(97.18-(-5/-5)))*(97.18-(97.18/(-5*97.18))))-(-5/-5)))))</f>
        <v>4570203.106360001</v>
      </c>
      <c r="C19719" t="n" s="0">
        <v>4570203.1063600015</v>
      </c>
    </row>
    <row r="19720">
      <c r="A19720" t="n" s="0">
        <v>97.19</v>
      </c>
      <c r="B19720" t="n" s="0">
        <f>(-5-((((-5*(-5/((-5/(((-5*(97.19--5))-(-5+((-5*97.19)*(((-5--5)+(97.19--5))+97.19))))-(-5+-5)))*-5)))/-5)--5)+(-5*(((97.19*(97.19-(-5/-5)))*(97.19-(97.19/(-5*97.19))))-(-5/-5)))))</f>
        <v>4571615.987594999</v>
      </c>
      <c r="C19720" t="n" s="0">
        <v>4571615.987595</v>
      </c>
    </row>
    <row r="19721">
      <c r="A19721" t="n" s="0">
        <v>97.2</v>
      </c>
      <c r="B19721" t="n" s="0">
        <f>(-5-((((-5*(-5/((-5/(((-5*(97.2--5))-(-5+((-5*97.2)*(((-5--5)+(97.2--5))+97.2))))-(-5+-5)))*-5)))/-5)--5)+(-5*(((97.2*(97.2-(-5/-5)))*(97.2-(97.2/(-5*97.2))))-(-5/-5)))))</f>
        <v>4573029.16</v>
      </c>
      <c r="C19721" t="n" s="0">
        <v>4573029.16</v>
      </c>
    </row>
    <row r="19722">
      <c r="A19722" t="n" s="0">
        <v>97.21</v>
      </c>
      <c r="B19722" t="n" s="0">
        <f>(-5-((((-5*(-5/((-5/(((-5*(97.21--5))-(-5+((-5*97.21)*(((-5--5)+(97.21--5))+97.21))))-(-5+-5)))*-5)))/-5)--5)+(-5*(((97.21*(97.21-(-5/-5)))*(97.21-(97.21/(-5*97.21))))-(-5/-5)))))</f>
        <v>4574442.623605001</v>
      </c>
      <c r="C19722" t="n" s="0">
        <v>4574442.623604999</v>
      </c>
    </row>
    <row r="19723">
      <c r="A19723" t="n" s="0">
        <v>97.22</v>
      </c>
      <c r="B19723" t="n" s="0">
        <f>(-5-((((-5*(-5/((-5/(((-5*(97.22--5))-(-5+((-5*97.22)*(((-5--5)+(97.22--5))+97.22))))-(-5+-5)))*-5)))/-5)--5)+(-5*(((97.22*(97.22-(-5/-5)))*(97.22-(97.22/(-5*97.22))))-(-5/-5)))))</f>
        <v>4575856.37844</v>
      </c>
      <c r="C19723" t="n" s="0">
        <v>4575856.37844</v>
      </c>
    </row>
    <row r="19724">
      <c r="A19724" t="n" s="0">
        <v>97.23</v>
      </c>
      <c r="B19724" t="n" s="0">
        <f>(-5-((((-5*(-5/((-5/(((-5*(97.23--5))-(-5+((-5*97.23)*(((-5--5)+(97.23--5))+97.23))))-(-5+-5)))*-5)))/-5)--5)+(-5*(((97.23*(97.23-(-5/-5)))*(97.23-(97.23/(-5*97.23))))-(-5/-5)))))</f>
        <v>4577270.424535</v>
      </c>
      <c r="C19724" t="n" s="0">
        <v>4577270.424535001</v>
      </c>
    </row>
    <row r="19725">
      <c r="A19725" t="n" s="0">
        <v>97.24</v>
      </c>
      <c r="B19725" t="n" s="0">
        <f>(-5-((((-5*(-5/((-5/(((-5*(97.24--5))-(-5+((-5*97.24)*(((-5--5)+(97.24--5))+97.24))))-(-5+-5)))*-5)))/-5)--5)+(-5*(((97.24*(97.24-(-5/-5)))*(97.24-(97.24/(-5*97.24))))-(-5/-5)))))</f>
        <v>4578684.7619199995</v>
      </c>
      <c r="C19725" t="n" s="0">
        <v>4578684.7619199995</v>
      </c>
    </row>
    <row r="19726">
      <c r="A19726" t="n" s="0">
        <v>97.25</v>
      </c>
      <c r="B19726" t="n" s="0">
        <f>(-5-((((-5*(-5/((-5/(((-5*(97.25--5))-(-5+((-5*97.25)*(((-5--5)+(97.25--5))+97.25))))-(-5+-5)))*-5)))/-5)--5)+(-5*(((97.25*(97.25-(-5/-5)))*(97.25-(97.25/(-5*97.25))))-(-5/-5)))))</f>
        <v>4580099.390625</v>
      </c>
      <c r="C19726" t="n" s="0">
        <v>4580099.390625</v>
      </c>
    </row>
    <row r="19727">
      <c r="A19727" t="n" s="0">
        <v>97.26</v>
      </c>
      <c r="B19727" t="n" s="0">
        <f>(-5-((((-5*(-5/((-5/(((-5*(97.26--5))-(-5+((-5*97.26)*(((-5--5)+(97.26--5))+97.26))))-(-5+-5)))*-5)))/-5)--5)+(-5*(((97.26*(97.26-(-5/-5)))*(97.26-(97.26/(-5*97.26))))-(-5/-5)))))</f>
        <v>4581514.31068</v>
      </c>
      <c r="C19727" t="n" s="0">
        <v>4581514.31068</v>
      </c>
    </row>
    <row r="19728">
      <c r="A19728" t="n" s="0">
        <v>97.27</v>
      </c>
      <c r="B19728" t="n" s="0">
        <f>(-5-((((-5*(-5/((-5/(((-5*(97.27--5))-(-5+((-5*97.27)*(((-5--5)+(97.27--5))+97.27))))-(-5+-5)))*-5)))/-5)--5)+(-5*(((97.27*(97.27-(-5/-5)))*(97.27-(97.27/(-5*97.27))))-(-5/-5)))))</f>
        <v>4582929.522115</v>
      </c>
      <c r="C19728" t="n" s="0">
        <v>4582929.522115</v>
      </c>
    </row>
    <row r="19729">
      <c r="A19729" t="n" s="0">
        <v>97.28</v>
      </c>
      <c r="B19729" t="n" s="0">
        <f>(-5-((((-5*(-5/((-5/(((-5*(97.28--5))-(-5+((-5*97.28)*(((-5--5)+(97.28--5))+97.28))))-(-5+-5)))*-5)))/-5)--5)+(-5*(((97.28*(97.28-(-5/-5)))*(97.28-(97.28/(-5*97.28))))-(-5/-5)))))</f>
        <v>4584345.02496</v>
      </c>
      <c r="C19729" t="n" s="0">
        <v>4584345.024960001</v>
      </c>
    </row>
    <row r="19730">
      <c r="A19730" t="n" s="0">
        <v>97.29</v>
      </c>
      <c r="B19730" t="n" s="0">
        <f>(-5-((((-5*(-5/((-5/(((-5*(97.29--5))-(-5+((-5*97.29)*(((-5--5)+(97.29--5))+97.29))))-(-5+-5)))*-5)))/-5)--5)+(-5*(((97.29*(97.29-(-5/-5)))*(97.29-(97.29/(-5*97.29))))-(-5/-5)))))</f>
        <v>4585760.819244999</v>
      </c>
      <c r="C19730" t="n" s="0">
        <v>4585760.819245001</v>
      </c>
    </row>
    <row r="19731">
      <c r="A19731" t="n" s="0">
        <v>97.3</v>
      </c>
      <c r="B19731" t="n" s="0">
        <f>(-5-((((-5*(-5/((-5/(((-5*(97.3--5))-(-5+((-5*97.3)*(((-5--5)+(97.3--5))+97.3))))-(-5+-5)))*-5)))/-5)--5)+(-5*(((97.3*(97.3-(-5/-5)))*(97.3-(97.3/(-5*97.3))))-(-5/-5)))))</f>
        <v>4587176.905</v>
      </c>
      <c r="C19731" t="n" s="0">
        <v>4587176.905</v>
      </c>
    </row>
    <row r="19732">
      <c r="A19732" t="n" s="0">
        <v>97.31</v>
      </c>
      <c r="B19732" t="n" s="0">
        <f>(-5-((((-5*(-5/((-5/(((-5*(97.31--5))-(-5+((-5*97.31)*(((-5--5)+(97.31--5))+97.31))))-(-5+-5)))*-5)))/-5)--5)+(-5*(((97.31*(97.31-(-5/-5)))*(97.31-(97.31/(-5*97.31))))-(-5/-5)))))</f>
        <v>4588593.2822549995</v>
      </c>
      <c r="C19732" t="n" s="0">
        <v>4588593.282255</v>
      </c>
    </row>
    <row r="19733">
      <c r="A19733" t="n" s="0">
        <v>97.32</v>
      </c>
      <c r="B19733" t="n" s="0">
        <f>(-5-((((-5*(-5/((-5/(((-5*(97.32--5))-(-5+((-5*97.32)*(((-5--5)+(97.32--5))+97.32))))-(-5+-5)))*-5)))/-5)--5)+(-5*(((97.32*(97.32-(-5/-5)))*(97.32-(97.32/(-5*97.32))))-(-5/-5)))))</f>
        <v>4590009.95104</v>
      </c>
      <c r="C19733" t="n" s="0">
        <v>4590009.95104</v>
      </c>
    </row>
    <row r="19734">
      <c r="A19734" t="n" s="0">
        <v>97.33</v>
      </c>
      <c r="B19734" t="n" s="0">
        <f>(-5-((((-5*(-5/((-5/(((-5*(97.33--5))-(-5+((-5*97.33)*(((-5--5)+(97.33--5))+97.33))))-(-5+-5)))*-5)))/-5)--5)+(-5*(((97.33*(97.33-(-5/-5)))*(97.33-(97.33/(-5*97.33))))-(-5/-5)))))</f>
        <v>4591426.911385</v>
      </c>
      <c r="C19734" t="n" s="0">
        <v>4591426.911385001</v>
      </c>
    </row>
    <row r="19735">
      <c r="A19735" t="n" s="0">
        <v>97.34</v>
      </c>
      <c r="B19735" t="n" s="0">
        <f>(-5-((((-5*(-5/((-5/(((-5*(97.34--5))-(-5+((-5*97.34)*(((-5--5)+(97.34--5))+97.34))))-(-5+-5)))*-5)))/-5)--5)+(-5*(((97.34*(97.34-(-5/-5)))*(97.34-(97.34/(-5*97.34))))-(-5/-5)))))</f>
        <v>4592844.163319999</v>
      </c>
      <c r="C19735" t="n" s="0">
        <v>4592844.16332</v>
      </c>
    </row>
    <row r="19736">
      <c r="A19736" t="n" s="0">
        <v>97.35</v>
      </c>
      <c r="B19736" t="n" s="0">
        <f>(-5-((((-5*(-5/((-5/(((-5*(97.35--5))-(-5+((-5*97.35)*(((-5--5)+(97.35--5))+97.35))))-(-5+-5)))*-5)))/-5)--5)+(-5*(((97.35*(97.35-(-5/-5)))*(97.35-(97.35/(-5*97.35))))-(-5/-5)))))</f>
        <v>4594261.706875</v>
      </c>
      <c r="C19736" t="n" s="0">
        <v>4594261.706874999</v>
      </c>
    </row>
    <row r="19737">
      <c r="A19737" t="n" s="0">
        <v>97.36</v>
      </c>
      <c r="B19737" t="n" s="0">
        <f>(-5-((((-5*(-5/((-5/(((-5*(97.36--5))-(-5+((-5*97.36)*(((-5--5)+(97.36--5))+97.36))))-(-5+-5)))*-5)))/-5)--5)+(-5*(((97.36*(97.36-(-5/-5)))*(97.36-(97.36/(-5*97.36))))-(-5/-5)))))</f>
        <v>4595679.54208</v>
      </c>
      <c r="C19737" t="n" s="0">
        <v>4595679.54208</v>
      </c>
    </row>
    <row r="19738">
      <c r="A19738" t="n" s="0">
        <v>97.37</v>
      </c>
      <c r="B19738" t="n" s="0">
        <f>(-5-((((-5*(-5/((-5/(((-5*(97.37--5))-(-5+((-5*97.37)*(((-5--5)+(97.37--5))+97.37))))-(-5+-5)))*-5)))/-5)--5)+(-5*(((97.37*(97.37-(-5/-5)))*(97.37-(97.37/(-5*97.37))))-(-5/-5)))))</f>
        <v>4597097.668965</v>
      </c>
      <c r="C19738" t="n" s="0">
        <v>4597097.668965001</v>
      </c>
    </row>
    <row r="19739">
      <c r="A19739" t="n" s="0">
        <v>97.38</v>
      </c>
      <c r="B19739" t="n" s="0">
        <f>(-5-((((-5*(-5/((-5/(((-5*(97.38--5))-(-5+((-5*97.38)*(((-5--5)+(97.38--5))+97.38))))-(-5+-5)))*-5)))/-5)--5)+(-5*(((97.38*(97.38-(-5/-5)))*(97.38-(97.38/(-5*97.38))))-(-5/-5)))))</f>
        <v>4598516.08756</v>
      </c>
      <c r="C19739" t="n" s="0">
        <v>4598516.087559999</v>
      </c>
    </row>
    <row r="19740">
      <c r="A19740" t="n" s="0">
        <v>97.39</v>
      </c>
      <c r="B19740" t="n" s="0">
        <f>(-5-((((-5*(-5/((-5/(((-5*(97.39--5))-(-5+((-5*97.39)*(((-5--5)+(97.39--5))+97.39))))-(-5+-5)))*-5)))/-5)--5)+(-5*(((97.39*(97.39-(-5/-5)))*(97.39-(97.39/(-5*97.39))))-(-5/-5)))))</f>
        <v>4599934.797895</v>
      </c>
      <c r="C19740" t="n" s="0">
        <v>4599934.797894999</v>
      </c>
    </row>
    <row r="19741">
      <c r="A19741" t="n" s="0">
        <v>97.4</v>
      </c>
      <c r="B19741" t="n" s="0">
        <f>(-5-((((-5*(-5/((-5/(((-5*(97.4--5))-(-5+((-5*97.4)*(((-5--5)+(97.4--5))+97.4))))-(-5+-5)))*-5)))/-5)--5)+(-5*(((97.4*(97.4-(-5/-5)))*(97.4-(97.4/(-5*97.4))))-(-5/-5)))))</f>
        <v>4601353.8</v>
      </c>
      <c r="C19741" t="n" s="0">
        <v>4601353.800000002</v>
      </c>
    </row>
    <row r="19742">
      <c r="A19742" t="n" s="0">
        <v>97.41</v>
      </c>
      <c r="B19742" t="n" s="0">
        <f>(-5-((((-5*(-5/((-5/(((-5*(97.41--5))-(-5+((-5*97.41)*(((-5--5)+(97.41--5))+97.41))))-(-5+-5)))*-5)))/-5)--5)+(-5*(((97.41*(97.41-(-5/-5)))*(97.41-(97.41/(-5*97.41))))-(-5/-5)))))</f>
        <v>4602773.093905</v>
      </c>
      <c r="C19742" t="n" s="0">
        <v>4602773.093905</v>
      </c>
    </row>
    <row r="19743">
      <c r="A19743" t="n" s="0">
        <v>97.42</v>
      </c>
      <c r="B19743" t="n" s="0">
        <f>(-5-((((-5*(-5/((-5/(((-5*(97.42--5))-(-5+((-5*97.42)*(((-5--5)+(97.42--5))+97.42))))-(-5+-5)))*-5)))/-5)--5)+(-5*(((97.42*(97.42-(-5/-5)))*(97.42-(97.42/(-5*97.42))))-(-5/-5)))))</f>
        <v>4604192.67964</v>
      </c>
      <c r="C19743" t="n" s="0">
        <v>4604192.67964</v>
      </c>
    </row>
    <row r="19744">
      <c r="A19744" t="n" s="0">
        <v>97.43</v>
      </c>
      <c r="B19744" t="n" s="0">
        <f>(-5-((((-5*(-5/((-5/(((-5*(97.43--5))-(-5+((-5*97.43)*(((-5--5)+(97.43--5))+97.43))))-(-5+-5)))*-5)))/-5)--5)+(-5*(((97.43*(97.43-(-5/-5)))*(97.43-(97.43/(-5*97.43))))-(-5/-5)))))</f>
        <v>4605612.557235</v>
      </c>
      <c r="C19744" t="n" s="0">
        <v>4605612.557235001</v>
      </c>
    </row>
    <row r="19745">
      <c r="A19745" t="n" s="0">
        <v>97.44</v>
      </c>
      <c r="B19745" t="n" s="0">
        <f>(-5-((((-5*(-5/((-5/(((-5*(97.44--5))-(-5+((-5*97.44)*(((-5--5)+(97.44--5))+97.44))))-(-5+-5)))*-5)))/-5)--5)+(-5*(((97.44*(97.44-(-5/-5)))*(97.44-(97.44/(-5*97.44))))-(-5/-5)))))</f>
        <v>4607032.726720001</v>
      </c>
      <c r="C19745" t="n" s="0">
        <v>4607032.72672</v>
      </c>
    </row>
    <row r="19746">
      <c r="A19746" t="n" s="0">
        <v>97.45</v>
      </c>
      <c r="B19746" t="n" s="0">
        <f>(-5-((((-5*(-5/((-5/(((-5*(97.45--5))-(-5+((-5*97.45)*(((-5--5)+(97.45--5))+97.45))))-(-5+-5)))*-5)))/-5)--5)+(-5*(((97.45*(97.45-(-5/-5)))*(97.45-(97.45/(-5*97.45))))-(-5/-5)))))</f>
        <v>4608453.188124999</v>
      </c>
      <c r="C19746" t="n" s="0">
        <v>4608453.188125</v>
      </c>
    </row>
    <row r="19747">
      <c r="A19747" t="n" s="0">
        <v>97.46</v>
      </c>
      <c r="B19747" t="n" s="0">
        <f>(-5-((((-5*(-5/((-5/(((-5*(97.46--5))-(-5+((-5*97.46)*(((-5--5)+(97.46--5))+97.46))))-(-5+-5)))*-5)))/-5)--5)+(-5*(((97.46*(97.46-(-5/-5)))*(97.46-(97.46/(-5*97.46))))-(-5/-5)))))</f>
        <v>4609873.9414800005</v>
      </c>
      <c r="C19747" t="n" s="0">
        <v>4609873.94148</v>
      </c>
    </row>
    <row r="19748">
      <c r="A19748" t="n" s="0">
        <v>97.47</v>
      </c>
      <c r="B19748" t="n" s="0">
        <f>(-5-((((-5*(-5/((-5/(((-5*(97.47--5))-(-5+((-5*97.47)*(((-5--5)+(97.47--5))+97.47))))-(-5+-5)))*-5)))/-5)--5)+(-5*(((97.47*(97.47-(-5/-5)))*(97.47-(97.47/(-5*97.47))))-(-5/-5)))))</f>
        <v>4611294.986815</v>
      </c>
      <c r="C19748" t="n" s="0">
        <v>4611294.986815001</v>
      </c>
    </row>
    <row r="19749">
      <c r="A19749" t="n" s="0">
        <v>97.48</v>
      </c>
      <c r="B19749" t="n" s="0">
        <f>(-5-((((-5*(-5/((-5/(((-5*(97.48--5))-(-5+((-5*97.48)*(((-5--5)+(97.48--5))+97.48))))-(-5+-5)))*-5)))/-5)--5)+(-5*(((97.48*(97.48-(-5/-5)))*(97.48-(97.48/(-5*97.48))))-(-5/-5)))))</f>
        <v>4612716.324159999</v>
      </c>
      <c r="C19749" t="n" s="0">
        <v>4612716.324160001</v>
      </c>
    </row>
    <row r="19750">
      <c r="A19750" t="n" s="0">
        <v>97.49</v>
      </c>
      <c r="B19750" t="n" s="0">
        <f>(-5-((((-5*(-5/((-5/(((-5*(97.49--5))-(-5+((-5*97.49)*(((-5--5)+(97.49--5))+97.49))))-(-5+-5)))*-5)))/-5)--5)+(-5*(((97.49*(97.49-(-5/-5)))*(97.49-(97.49/(-5*97.49))))-(-5/-5)))))</f>
        <v>4614137.953545</v>
      </c>
      <c r="C19750" t="n" s="0">
        <v>4614137.953544999</v>
      </c>
    </row>
    <row r="19751">
      <c r="A19751" t="n" s="0">
        <v>97.5</v>
      </c>
      <c r="B19751" t="n" s="0">
        <f>(-5-((((-5*(-5/((-5/(((-5*(97.5--5))-(-5+((-5*97.5)*(((-5--5)+(97.5--5))+97.5))))-(-5+-5)))*-5)))/-5)--5)+(-5*(((97.5*(97.5-(-5/-5)))*(97.5-(97.5/(-5*97.5))))-(-5/-5)))))</f>
        <v>4615559.875</v>
      </c>
      <c r="C19751" t="n" s="0">
        <v>4615559.875</v>
      </c>
    </row>
    <row r="19752">
      <c r="A19752" t="n" s="0">
        <v>97.51</v>
      </c>
      <c r="B19752" t="n" s="0">
        <f>(-5-((((-5*(-5/((-5/(((-5*(97.51--5))-(-5+((-5*97.51)*(((-5--5)+(97.51--5))+97.51))))-(-5+-5)))*-5)))/-5)--5)+(-5*(((97.51*(97.51-(-5/-5)))*(97.51-(97.51/(-5*97.51))))-(-5/-5)))))</f>
        <v>4616982.088555</v>
      </c>
      <c r="C19752" t="n" s="0">
        <v>4616982.088555001</v>
      </c>
    </row>
    <row r="19753">
      <c r="A19753" t="n" s="0">
        <v>97.52</v>
      </c>
      <c r="B19753" t="n" s="0">
        <f>(-5-((((-5*(-5/((-5/(((-5*(97.52--5))-(-5+((-5*97.52)*(((-5--5)+(97.52--5))+97.52))))-(-5+-5)))*-5)))/-5)--5)+(-5*(((97.52*(97.52-(-5/-5)))*(97.52-(97.52/(-5*97.52))))-(-5/-5)))))</f>
        <v>4618404.59424</v>
      </c>
      <c r="C19753" t="n" s="0">
        <v>4618404.594239999</v>
      </c>
    </row>
    <row r="19754">
      <c r="A19754" t="n" s="0">
        <v>97.53</v>
      </c>
      <c r="B19754" t="n" s="0">
        <f>(-5-((((-5*(-5/((-5/(((-5*(97.53--5))-(-5+((-5*97.53)*(((-5--5)+(97.53--5))+97.53))))-(-5+-5)))*-5)))/-5)--5)+(-5*(((97.53*(97.53-(-5/-5)))*(97.53-(97.53/(-5*97.53))))-(-5/-5)))))</f>
        <v>4619827.392085</v>
      </c>
      <c r="C19754" t="n" s="0">
        <v>4619827.392085</v>
      </c>
    </row>
    <row r="19755">
      <c r="A19755" t="n" s="0">
        <v>97.54</v>
      </c>
      <c r="B19755" t="n" s="0">
        <f>(-5-((((-5*(-5/((-5/(((-5*(97.54--5))-(-5+((-5*97.54)*(((-5--5)+(97.54--5))+97.54))))-(-5+-5)))*-5)))/-5)--5)+(-5*(((97.54*(97.54-(-5/-5)))*(97.54-(97.54/(-5*97.54))))-(-5/-5)))))</f>
        <v>4621250.48212</v>
      </c>
      <c r="C19755" t="n" s="0">
        <v>4621250.482120001</v>
      </c>
    </row>
    <row r="19756">
      <c r="A19756" t="n" s="0">
        <v>97.55</v>
      </c>
      <c r="B19756" t="n" s="0">
        <f>(-5-((((-5*(-5/((-5/(((-5*(97.55--5))-(-5+((-5*97.55)*(((-5--5)+(97.55--5))+97.55))))-(-5+-5)))*-5)))/-5)--5)+(-5*(((97.55*(97.55-(-5/-5)))*(97.55-(97.55/(-5*97.55))))-(-5/-5)))))</f>
        <v>4622673.864375</v>
      </c>
      <c r="C19756" t="n" s="0">
        <v>4622673.864375</v>
      </c>
    </row>
    <row r="19757">
      <c r="A19757" t="n" s="0">
        <v>97.56</v>
      </c>
      <c r="B19757" t="n" s="0">
        <f>(-5-((((-5*(-5/((-5/(((-5*(97.56--5))-(-5+((-5*97.56)*(((-5--5)+(97.56--5))+97.56))))-(-5+-5)))*-5)))/-5)--5)+(-5*(((97.56*(97.56-(-5/-5)))*(97.56-(97.56/(-5*97.56))))-(-5/-5)))))</f>
        <v>4624097.53888</v>
      </c>
      <c r="C19757" t="n" s="0">
        <v>4624097.53888</v>
      </c>
    </row>
    <row r="19758">
      <c r="A19758" t="n" s="0">
        <v>97.57</v>
      </c>
      <c r="B19758" t="n" s="0">
        <f>(-5-((((-5*(-5/((-5/(((-5*(97.57--5))-(-5+((-5*97.57)*(((-5--5)+(97.57--5))+97.57))))-(-5+-5)))*-5)))/-5)--5)+(-5*(((97.57*(97.57-(-5/-5)))*(97.57-(97.57/(-5*97.57))))-(-5/-5)))))</f>
        <v>4625521.5056650005</v>
      </c>
      <c r="C19758" t="n" s="0">
        <v>4625521.505664999</v>
      </c>
    </row>
    <row r="19759">
      <c r="A19759" t="n" s="0">
        <v>97.58</v>
      </c>
      <c r="B19759" t="n" s="0">
        <f>(-5-((((-5*(-5/((-5/(((-5*(97.58--5))-(-5+((-5*97.58)*(((-5--5)+(97.58--5))+97.58))))-(-5+-5)))*-5)))/-5)--5)+(-5*(((97.58*(97.58-(-5/-5)))*(97.58-(97.58/(-5*97.58))))-(-5/-5)))))</f>
        <v>4626945.76476</v>
      </c>
      <c r="C19759" t="n" s="0">
        <v>4626945.76476</v>
      </c>
    </row>
    <row r="19760">
      <c r="A19760" t="n" s="0">
        <v>97.59</v>
      </c>
      <c r="B19760" t="n" s="0">
        <f>(-5-((((-5*(-5/((-5/(((-5*(97.59--5))-(-5+((-5*97.59)*(((-5--5)+(97.59--5))+97.59))))-(-5+-5)))*-5)))/-5)--5)+(-5*(((97.59*(97.59-(-5/-5)))*(97.59-(97.59/(-5*97.59))))-(-5/-5)))))</f>
        <v>4628370.316194999</v>
      </c>
      <c r="C19760" t="n" s="0">
        <v>4628370.316195</v>
      </c>
    </row>
    <row r="19761">
      <c r="A19761" t="n" s="0">
        <v>97.6</v>
      </c>
      <c r="B19761" t="n" s="0">
        <f>(-5-((((-5*(-5/((-5/(((-5*(97.6--5))-(-5+((-5*97.6)*(((-5--5)+(97.6--5))+97.6))))-(-5+-5)))*-5)))/-5)--5)+(-5*(((97.6*(97.6-(-5/-5)))*(97.6-(97.6/(-5*97.6))))-(-5/-5)))))</f>
        <v>4629795.16</v>
      </c>
      <c r="C19761" t="n" s="0">
        <v>4629795.159999999</v>
      </c>
    </row>
    <row r="19762">
      <c r="A19762" t="n" s="0">
        <v>97.61</v>
      </c>
      <c r="B19762" t="n" s="0">
        <f>(-5-((((-5*(-5/((-5/(((-5*(97.61--5))-(-5+((-5*97.61)*(((-5--5)+(97.61--5))+97.61))))-(-5+-5)))*-5)))/-5)--5)+(-5*(((97.61*(97.61-(-5/-5)))*(97.61-(97.61/(-5*97.61))))-(-5/-5)))))</f>
        <v>4631220.296205</v>
      </c>
      <c r="C19762" t="n" s="0">
        <v>4631220.296205</v>
      </c>
    </row>
    <row r="19763">
      <c r="A19763" t="n" s="0">
        <v>97.62</v>
      </c>
      <c r="B19763" t="n" s="0">
        <f>(-5-((((-5*(-5/((-5/(((-5*(97.62--5))-(-5+((-5*97.62)*(((-5--5)+(97.62--5))+97.62))))-(-5+-5)))*-5)))/-5)--5)+(-5*(((97.62*(97.62-(-5/-5)))*(97.62-(97.62/(-5*97.62))))-(-5/-5)))))</f>
        <v>4632645.724839999</v>
      </c>
      <c r="C19763" t="n" s="0">
        <v>4632645.724840001</v>
      </c>
    </row>
    <row r="19764">
      <c r="A19764" t="n" s="0">
        <v>97.63</v>
      </c>
      <c r="B19764" t="n" s="0">
        <f>(-5-((((-5*(-5/((-5/(((-5*(97.63--5))-(-5+((-5*97.63)*(((-5--5)+(97.63--5))+97.63))))-(-5+-5)))*-5)))/-5)--5)+(-5*(((97.63*(97.63-(-5/-5)))*(97.63-(97.63/(-5*97.63))))-(-5/-5)))))</f>
        <v>4634071.445935</v>
      </c>
      <c r="C19764" t="n" s="0">
        <v>4634071.445935</v>
      </c>
    </row>
    <row r="19765">
      <c r="A19765" t="n" s="0">
        <v>97.64</v>
      </c>
      <c r="B19765" t="n" s="0">
        <f>(-5-((((-5*(-5/((-5/(((-5*(97.64--5))-(-5+((-5*97.64)*(((-5--5)+(97.64--5))+97.64))))-(-5+-5)))*-5)))/-5)--5)+(-5*(((97.64*(97.64-(-5/-5)))*(97.64-(97.64/(-5*97.64))))-(-5/-5)))))</f>
        <v>4635497.45952</v>
      </c>
      <c r="C19765" t="n" s="0">
        <v>4635497.45952</v>
      </c>
    </row>
    <row r="19766">
      <c r="A19766" t="n" s="0">
        <v>97.65</v>
      </c>
      <c r="B19766" t="n" s="0">
        <f>(-5-((((-5*(-5/((-5/(((-5*(97.65--5))-(-5+((-5*97.65)*(((-5--5)+(97.65--5))+97.65))))-(-5+-5)))*-5)))/-5)--5)+(-5*(((97.65*(97.65-(-5/-5)))*(97.65-(97.65/(-5*97.65))))-(-5/-5)))))</f>
        <v>4636923.765625</v>
      </c>
      <c r="C19766" t="n" s="0">
        <v>4636923.765625001</v>
      </c>
    </row>
    <row r="19767">
      <c r="A19767" t="n" s="0">
        <v>97.66</v>
      </c>
      <c r="B19767" t="n" s="0">
        <f>(-5-((((-5*(-5/((-5/(((-5*(97.66--5))-(-5+((-5*97.66)*(((-5--5)+(97.66--5))+97.66))))-(-5+-5)))*-5)))/-5)--5)+(-5*(((97.66*(97.66-(-5/-5)))*(97.66-(97.66/(-5*97.66))))-(-5/-5)))))</f>
        <v>4638350.364279999</v>
      </c>
      <c r="C19767" t="n" s="0">
        <v>4638350.364279999</v>
      </c>
    </row>
    <row r="19768">
      <c r="A19768" t="n" s="0">
        <v>97.67</v>
      </c>
      <c r="B19768" t="n" s="0">
        <f>(-5-((((-5*(-5/((-5/(((-5*(97.67--5))-(-5+((-5*97.67)*(((-5--5)+(97.67--5))+97.67))))-(-5+-5)))*-5)))/-5)--5)+(-5*(((97.67*(97.67-(-5/-5)))*(97.67-(97.67/(-5*97.67))))-(-5/-5)))))</f>
        <v>4639777.255515</v>
      </c>
      <c r="C19768" t="n" s="0">
        <v>4639777.255515</v>
      </c>
    </row>
    <row r="19769">
      <c r="A19769" t="n" s="0">
        <v>97.68</v>
      </c>
      <c r="B19769" t="n" s="0">
        <f>(-5-((((-5*(-5/((-5/(((-5*(97.68--5))-(-5+((-5*97.68)*(((-5--5)+(97.68--5))+97.68))))-(-5+-5)))*-5)))/-5)--5)+(-5*(((97.68*(97.68-(-5/-5)))*(97.68-(97.68/(-5*97.68))))-(-5/-5)))))</f>
        <v>4641204.43936</v>
      </c>
      <c r="C19769" t="n" s="0">
        <v>4641204.439360001</v>
      </c>
    </row>
    <row r="19770">
      <c r="A19770" t="n" s="0">
        <v>97.69</v>
      </c>
      <c r="B19770" t="n" s="0">
        <f>(-5-((((-5*(-5/((-5/(((-5*(97.69--5))-(-5+((-5*97.69)*(((-5--5)+(97.69--5))+97.69))))-(-5+-5)))*-5)))/-5)--5)+(-5*(((97.69*(97.69-(-5/-5)))*(97.69-(97.69/(-5*97.69))))-(-5/-5)))))</f>
        <v>4642631.915844999</v>
      </c>
      <c r="C19770" t="n" s="0">
        <v>4642631.915845</v>
      </c>
    </row>
    <row r="19771">
      <c r="A19771" t="n" s="0">
        <v>97.7</v>
      </c>
      <c r="B19771" t="n" s="0">
        <f>(-5-((((-5*(-5/((-5/(((-5*(97.7--5))-(-5+((-5*97.7)*(((-5--5)+(97.7--5))+97.7))))-(-5+-5)))*-5)))/-5)--5)+(-5*(((97.7*(97.7-(-5/-5)))*(97.7-(97.7/(-5*97.7))))-(-5/-5)))))</f>
        <v>4644059.685</v>
      </c>
      <c r="C19771" t="n" s="0">
        <v>4644059.6850000005</v>
      </c>
    </row>
    <row r="19772">
      <c r="A19772" t="n" s="0">
        <v>97.71</v>
      </c>
      <c r="B19772" t="n" s="0">
        <f>(-5-((((-5*(-5/((-5/(((-5*(97.71--5))-(-5+((-5*97.71)*(((-5--5)+(97.71--5))+97.71))))-(-5+-5)))*-5)))/-5)--5)+(-5*(((97.71*(97.71-(-5/-5)))*(97.71-(97.71/(-5*97.71))))-(-5/-5)))))</f>
        <v>4645487.746855</v>
      </c>
      <c r="C19772" t="n" s="0">
        <v>4645487.746855</v>
      </c>
    </row>
    <row r="19773">
      <c r="A19773" t="n" s="0">
        <v>97.72</v>
      </c>
      <c r="B19773" t="n" s="0">
        <f>(-5-((((-5*(-5/((-5/(((-5*(97.72--5))-(-5+((-5*97.72)*(((-5--5)+(97.72--5))+97.72))))-(-5+-5)))*-5)))/-5)--5)+(-5*(((97.72*(97.72-(-5/-5)))*(97.72-(97.72/(-5*97.72))))-(-5/-5)))))</f>
        <v>4646916.10144</v>
      </c>
      <c r="C19773" t="n" s="0">
        <v>4646916.101439999</v>
      </c>
    </row>
    <row r="19774">
      <c r="A19774" t="n" s="0">
        <v>97.73</v>
      </c>
      <c r="B19774" t="n" s="0">
        <f>(-5-((((-5*(-5/((-5/(((-5*(97.73--5))-(-5+((-5*97.73)*(((-5--5)+(97.73--5))+97.73))))-(-5+-5)))*-5)))/-5)--5)+(-5*(((97.73*(97.73-(-5/-5)))*(97.73-(97.73/(-5*97.73))))-(-5/-5)))))</f>
        <v>4648344.748785</v>
      </c>
      <c r="C19774" t="n" s="0">
        <v>4648344.748785001</v>
      </c>
    </row>
    <row r="19775">
      <c r="A19775" t="n" s="0">
        <v>97.74</v>
      </c>
      <c r="B19775" t="n" s="0">
        <f>(-5-((((-5*(-5/((-5/(((-5*(97.74--5))-(-5+((-5*97.74)*(((-5--5)+(97.74--5))+97.74))))-(-5+-5)))*-5)))/-5)--5)+(-5*(((97.74*(97.74-(-5/-5)))*(97.74-(97.74/(-5*97.74))))-(-5/-5)))))</f>
        <v>4649773.688920001</v>
      </c>
      <c r="C19775" t="n" s="0">
        <v>4649773.688919999</v>
      </c>
    </row>
    <row r="19776">
      <c r="A19776" t="n" s="0">
        <v>97.75</v>
      </c>
      <c r="B19776" t="n" s="0">
        <f>(-5-((((-5*(-5/((-5/(((-5*(97.75--5))-(-5+((-5*97.75)*(((-5--5)+(97.75--5))+97.75))))-(-5+-5)))*-5)))/-5)--5)+(-5*(((97.75*(97.75-(-5/-5)))*(97.75-(97.75/(-5*97.75))))-(-5/-5)))))</f>
        <v>4651202.921875</v>
      </c>
      <c r="C19776" t="n" s="0">
        <v>4651202.921875</v>
      </c>
    </row>
    <row r="19777">
      <c r="A19777" t="n" s="0">
        <v>97.76</v>
      </c>
      <c r="B19777" t="n" s="0">
        <f>(-5-((((-5*(-5/((-5/(((-5*(97.76--5))-(-5+((-5*97.76)*(((-5--5)+(97.76--5))+97.76))))-(-5+-5)))*-5)))/-5)--5)+(-5*(((97.76*(97.76-(-5/-5)))*(97.76-(97.76/(-5*97.76))))-(-5/-5)))))</f>
        <v>4652632.44768</v>
      </c>
      <c r="C19777" t="n" s="0">
        <v>4652632.447680001</v>
      </c>
    </row>
    <row r="19778">
      <c r="A19778" t="n" s="0">
        <v>97.77</v>
      </c>
      <c r="B19778" t="n" s="0">
        <f>(-5-((((-5*(-5/((-5/(((-5*(97.77--5))-(-5+((-5*97.77)*(((-5--5)+(97.77--5))+97.77))))-(-5+-5)))*-5)))/-5)--5)+(-5*(((97.77*(97.77-(-5/-5)))*(97.77-(97.77/(-5*97.77))))-(-5/-5)))))</f>
        <v>4654062.266365</v>
      </c>
      <c r="C19778" t="n" s="0">
        <v>4654062.266364999</v>
      </c>
    </row>
    <row r="19779">
      <c r="A19779" t="n" s="0">
        <v>97.78</v>
      </c>
      <c r="B19779" t="n" s="0">
        <f>(-5-((((-5*(-5/((-5/(((-5*(97.78--5))-(-5+((-5*97.78)*(((-5--5)+(97.78--5))+97.78))))-(-5+-5)))*-5)))/-5)--5)+(-5*(((97.78*(97.78-(-5/-5)))*(97.78-(97.78/(-5*97.78))))-(-5/-5)))))</f>
        <v>4655492.37796</v>
      </c>
      <c r="C19779" t="n" s="0">
        <v>4655492.377959999</v>
      </c>
    </row>
    <row r="19780">
      <c r="A19780" t="n" s="0">
        <v>97.79</v>
      </c>
      <c r="B19780" t="n" s="0">
        <f>(-5-((((-5*(-5/((-5/(((-5*(97.79--5))-(-5+((-5*97.79)*(((-5--5)+(97.79--5))+97.79))))-(-5+-5)))*-5)))/-5)--5)+(-5*(((97.79*(97.79-(-5/-5)))*(97.79-(97.79/(-5*97.79))))-(-5/-5)))))</f>
        <v>4656922.782495</v>
      </c>
      <c r="C19780" t="n" s="0">
        <v>4656922.782495001</v>
      </c>
    </row>
    <row r="19781">
      <c r="A19781" t="n" s="0">
        <v>97.8</v>
      </c>
      <c r="B19781" t="n" s="0">
        <f>(-5-((((-5*(-5/((-5/(((-5*(97.8--5))-(-5+((-5*97.8)*(((-5--5)+(97.8--5))+97.8))))-(-5+-5)))*-5)))/-5)--5)+(-5*(((97.8*(97.8-(-5/-5)))*(97.8-(97.8/(-5*97.8))))-(-5/-5)))))</f>
        <v>4658353.4799999995</v>
      </c>
      <c r="C19781" t="n" s="0">
        <v>4658353.48</v>
      </c>
    </row>
    <row r="19782">
      <c r="A19782" t="n" s="0">
        <v>97.81</v>
      </c>
      <c r="B19782" t="n" s="0">
        <f>(-5-((((-5*(-5/((-5/(((-5*(97.81--5))-(-5+((-5*97.81)*(((-5--5)+(97.81--5))+97.81))))-(-5+-5)))*-5)))/-5)--5)+(-5*(((97.81*(97.81-(-5/-5)))*(97.81-(97.81/(-5*97.81))))-(-5/-5)))))</f>
        <v>4659784.470505</v>
      </c>
      <c r="C19782" t="n" s="0">
        <v>4659784.470505</v>
      </c>
    </row>
    <row r="19783">
      <c r="A19783" t="n" s="0">
        <v>97.82</v>
      </c>
      <c r="B19783" t="n" s="0">
        <f>(-5-((((-5*(-5/((-5/(((-5*(97.82--5))-(-5+((-5*97.82)*(((-5--5)+(97.82--5))+97.82))))-(-5+-5)))*-5)))/-5)--5)+(-5*(((97.82*(97.82-(-5/-5)))*(97.82-(97.82/(-5*97.82))))-(-5/-5)))))</f>
        <v>4661215.754039999</v>
      </c>
      <c r="C19783" t="n" s="0">
        <v>4661215.754039999</v>
      </c>
    </row>
    <row r="19784">
      <c r="A19784" t="n" s="0">
        <v>97.83</v>
      </c>
      <c r="B19784" t="n" s="0">
        <f>(-5-((((-5*(-5/((-5/(((-5*(97.83--5))-(-5+((-5*97.83)*(((-5--5)+(97.83--5))+97.83))))-(-5+-5)))*-5)))/-5)--5)+(-5*(((97.83*(97.83-(-5/-5)))*(97.83-(97.83/(-5*97.83))))-(-5/-5)))))</f>
        <v>4662647.330635</v>
      </c>
      <c r="C19784" t="n" s="0">
        <v>4662647.330635</v>
      </c>
    </row>
    <row r="19785">
      <c r="A19785" t="n" s="0">
        <v>97.84</v>
      </c>
      <c r="B19785" t="n" s="0">
        <f>(-5-((((-5*(-5/((-5/(((-5*(97.84--5))-(-5+((-5*97.84)*(((-5--5)+(97.84--5))+97.84))))-(-5+-5)))*-5)))/-5)--5)+(-5*(((97.84*(97.84-(-5/-5)))*(97.84-(97.84/(-5*97.84))))-(-5/-5)))))</f>
        <v>4664079.20032</v>
      </c>
      <c r="C19785" t="n" s="0">
        <v>4664079.20032</v>
      </c>
    </row>
    <row r="19786">
      <c r="A19786" t="n" s="0">
        <v>97.85</v>
      </c>
      <c r="B19786" t="n" s="0">
        <f>(-5-((((-5*(-5/((-5/(((-5*(97.85--5))-(-5+((-5*97.85)*(((-5--5)+(97.85--5))+97.85))))-(-5+-5)))*-5)))/-5)--5)+(-5*(((97.85*(97.85-(-5/-5)))*(97.85-(97.85/(-5*97.85))))-(-5/-5)))))</f>
        <v>4665511.363124999</v>
      </c>
      <c r="C19786" t="n" s="0">
        <v>4665511.363124999</v>
      </c>
    </row>
    <row r="19787">
      <c r="A19787" t="n" s="0">
        <v>97.86</v>
      </c>
      <c r="B19787" t="n" s="0">
        <f>(-5-((((-5*(-5/((-5/(((-5*(97.86--5))-(-5+((-5*97.86)*(((-5--5)+(97.86--5))+97.86))))-(-5+-5)))*-5)))/-5)--5)+(-5*(((97.86*(97.86-(-5/-5)))*(97.86-(97.86/(-5*97.86))))-(-5/-5)))))</f>
        <v>4666943.81908</v>
      </c>
      <c r="C19787" t="n" s="0">
        <v>4666943.819080001</v>
      </c>
    </row>
    <row r="19788">
      <c r="A19788" t="n" s="0">
        <v>97.87</v>
      </c>
      <c r="B19788" t="n" s="0">
        <f>(-5-((((-5*(-5/((-5/(((-5*(97.87--5))-(-5+((-5*97.87)*(((-5--5)+(97.87--5))+97.87))))-(-5+-5)))*-5)))/-5)--5)+(-5*(((97.87*(97.87-(-5/-5)))*(97.87-(97.87/(-5*97.87))))-(-5/-5)))))</f>
        <v>4668376.5682149995</v>
      </c>
      <c r="C19788" t="n" s="0">
        <v>4668376.568215</v>
      </c>
    </row>
    <row r="19789">
      <c r="A19789" t="n" s="0">
        <v>97.88</v>
      </c>
      <c r="B19789" t="n" s="0">
        <f>(-5-((((-5*(-5/((-5/(((-5*(97.88--5))-(-5+((-5*97.88)*(((-5--5)+(97.88--5))+97.88))))-(-5+-5)))*-5)))/-5)--5)+(-5*(((97.88*(97.88-(-5/-5)))*(97.88-(97.88/(-5*97.88))))-(-5/-5)))))</f>
        <v>4669809.61056</v>
      </c>
      <c r="C19789" t="n" s="0">
        <v>4669809.610559999</v>
      </c>
    </row>
    <row r="19790">
      <c r="A19790" t="n" s="0">
        <v>97.89</v>
      </c>
      <c r="B19790" t="n" s="0">
        <f>(-5-((((-5*(-5/((-5/(((-5*(97.89--5))-(-5+((-5*97.89)*(((-5--5)+(97.89--5))+97.89))))-(-5+-5)))*-5)))/-5)--5)+(-5*(((97.89*(97.89-(-5/-5)))*(97.89-(97.89/(-5*97.89))))-(-5/-5)))))</f>
        <v>4671242.946145</v>
      </c>
      <c r="C19790" t="n" s="0">
        <v>4671242.946145</v>
      </c>
    </row>
    <row r="19791">
      <c r="A19791" t="n" s="0">
        <v>97.9</v>
      </c>
      <c r="B19791" t="n" s="0">
        <f>(-5-((((-5*(-5/((-5/(((-5*(97.9--5))-(-5+((-5*97.9)*(((-5--5)+(97.9--5))+97.9))))-(-5+-5)))*-5)))/-5)--5)+(-5*(((97.9*(97.9-(-5/-5)))*(97.9-(97.9/(-5*97.9))))-(-5/-5)))))</f>
        <v>4672676.575</v>
      </c>
      <c r="C19791" t="n" s="0">
        <v>4672676.575000001</v>
      </c>
    </row>
    <row r="19792">
      <c r="A19792" t="n" s="0">
        <v>97.91</v>
      </c>
      <c r="B19792" t="n" s="0">
        <f>(-5-((((-5*(-5/((-5/(((-5*(97.91--5))-(-5+((-5*97.91)*(((-5--5)+(97.91--5))+97.91))))-(-5+-5)))*-5)))/-5)--5)+(-5*(((97.91*(97.91-(-5/-5)))*(97.91-(97.91/(-5*97.91))))-(-5/-5)))))</f>
        <v>4674110.4971549995</v>
      </c>
      <c r="C19792" t="n" s="0">
        <v>4674110.4971549995</v>
      </c>
    </row>
    <row r="19793">
      <c r="A19793" t="n" s="0">
        <v>97.92</v>
      </c>
      <c r="B19793" t="n" s="0">
        <f>(-5-((((-5*(-5/((-5/(((-5*(97.92--5))-(-5+((-5*97.92)*(((-5--5)+(97.92--5))+97.92))))-(-5+-5)))*-5)))/-5)--5)+(-5*(((97.92*(97.92-(-5/-5)))*(97.92-(97.92/(-5*97.92))))-(-5/-5)))))</f>
        <v>4675544.71264</v>
      </c>
      <c r="C19793" t="n" s="0">
        <v>4675544.71264</v>
      </c>
    </row>
    <row r="19794">
      <c r="A19794" t="n" s="0">
        <v>97.93</v>
      </c>
      <c r="B19794" t="n" s="0">
        <f>(-5-((((-5*(-5/((-5/(((-5*(97.93--5))-(-5+((-5*97.93)*(((-5--5)+(97.93--5))+97.93))))-(-5+-5)))*-5)))/-5)--5)+(-5*(((97.93*(97.93-(-5/-5)))*(97.93-(97.93/(-5*97.93))))-(-5/-5)))))</f>
        <v>4676979.221485</v>
      </c>
      <c r="C19794" t="n" s="0">
        <v>4676979.221485001</v>
      </c>
    </row>
    <row r="19795">
      <c r="A19795" t="n" s="0">
        <v>97.94</v>
      </c>
      <c r="B19795" t="n" s="0">
        <f>(-5-((((-5*(-5/((-5/(((-5*(97.94--5))-(-5+((-5*97.94)*(((-5--5)+(97.94--5))+97.94))))-(-5+-5)))*-5)))/-5)--5)+(-5*(((97.94*(97.94-(-5/-5)))*(97.94-(97.94/(-5*97.94))))-(-5/-5)))))</f>
        <v>4678414.02372</v>
      </c>
      <c r="C19795" t="n" s="0">
        <v>4678414.023719999</v>
      </c>
    </row>
    <row r="19796">
      <c r="A19796" t="n" s="0">
        <v>97.95</v>
      </c>
      <c r="B19796" t="n" s="0">
        <f>(-5-((((-5*(-5/((-5/(((-5*(97.95--5))-(-5+((-5*97.95)*(((-5--5)+(97.95--5))+97.95))))-(-5+-5)))*-5)))/-5)--5)+(-5*(((97.95*(97.95-(-5/-5)))*(97.95-(97.95/(-5*97.95))))-(-5/-5)))))</f>
        <v>4679849.119375</v>
      </c>
      <c r="C19796" t="n" s="0">
        <v>4679849.119375</v>
      </c>
    </row>
    <row r="19797">
      <c r="A19797" t="n" s="0">
        <v>97.96</v>
      </c>
      <c r="B19797" t="n" s="0">
        <f>(-5-((((-5*(-5/((-5/(((-5*(97.96--5))-(-5+((-5*97.96)*(((-5--5)+(97.96--5))+97.96))))-(-5+-5)))*-5)))/-5)--5)+(-5*(((97.96*(97.96-(-5/-5)))*(97.96-(97.96/(-5*97.96))))-(-5/-5)))))</f>
        <v>4681284.50848</v>
      </c>
      <c r="C19797" t="n" s="0">
        <v>4681284.508479998</v>
      </c>
    </row>
    <row r="19798">
      <c r="A19798" t="n" s="0">
        <v>97.97</v>
      </c>
      <c r="B19798" t="n" s="0">
        <f>(-5-((((-5*(-5/((-5/(((-5*(97.97--5))-(-5+((-5*97.97)*(((-5--5)+(97.97--5))+97.97))))-(-5+-5)))*-5)))/-5)--5)+(-5*(((97.97*(97.97-(-5/-5)))*(97.97-(97.97/(-5*97.97))))-(-5/-5)))))</f>
        <v>4682720.191064999</v>
      </c>
      <c r="C19798" t="n" s="0">
        <v>4682720.191064999</v>
      </c>
    </row>
    <row r="19799">
      <c r="A19799" t="n" s="0">
        <v>97.98</v>
      </c>
      <c r="B19799" t="n" s="0">
        <f>(-5-((((-5*(-5/((-5/(((-5*(97.98--5))-(-5+((-5*97.98)*(((-5--5)+(97.98--5))+97.98))))-(-5+-5)))*-5)))/-5)--5)+(-5*(((97.98*(97.98-(-5/-5)))*(97.98-(97.98/(-5*97.98))))-(-5/-5)))))</f>
        <v>4684156.16716</v>
      </c>
      <c r="C19799" t="n" s="0">
        <v>4684156.167160001</v>
      </c>
    </row>
    <row r="19800">
      <c r="A19800" t="n" s="0">
        <v>97.99</v>
      </c>
      <c r="B19800" t="n" s="0">
        <f>(-5-((((-5*(-5/((-5/(((-5*(97.99--5))-(-5+((-5*97.99)*(((-5--5)+(97.99--5))+97.99))))-(-5+-5)))*-5)))/-5)--5)+(-5*(((97.99*(97.99-(-5/-5)))*(97.99-(97.99/(-5*97.99))))-(-5/-5)))))</f>
        <v>4685592.436795</v>
      </c>
      <c r="C19800" t="n" s="0">
        <v>4685592.436794999</v>
      </c>
    </row>
    <row r="19801">
      <c r="A19801" t="n" s="0">
        <v>98.0</v>
      </c>
      <c r="B19801" t="n" s="0">
        <f>(-5-((((-5*(-5/((-5/(((-5*(98--5))-(-5+((-5*98)*(((-5--5)+(98--5))+98))))-(-5+-5)))*-5)))/-5)--5)+(-5*(((98*(98-(-5/-5)))*(98-(98/(-5*98))))-(-5/-5)))))</f>
        <v>4687029.0</v>
      </c>
      <c r="C19801" t="n" s="0">
        <v>4687029.0</v>
      </c>
    </row>
    <row r="19802">
      <c r="A19802" t="n" s="0">
        <v>98.01</v>
      </c>
      <c r="B19802" t="n" s="0">
        <f>(-5-((((-5*(-5/((-5/(((-5*(98.01--5))-(-5+((-5*98.01)*(((-5--5)+(98.01--5))+98.01))))-(-5+-5)))*-5)))/-5)--5)+(-5*(((98.01*(98.01-(-5/-5)))*(98.01-(98.01/(-5*98.01))))-(-5/-5)))))</f>
        <v>4688465.8568049995</v>
      </c>
      <c r="C19802" t="n" s="0">
        <v>4688465.856805001</v>
      </c>
    </row>
    <row r="19803">
      <c r="A19803" t="n" s="0">
        <v>98.02</v>
      </c>
      <c r="B19803" t="n" s="0">
        <f>(-5-((((-5*(-5/((-5/(((-5*(98.02--5))-(-5+((-5*98.02)*(((-5--5)+(98.02--5))+98.02))))-(-5+-5)))*-5)))/-5)--5)+(-5*(((98.02*(98.02-(-5/-5)))*(98.02-(98.02/(-5*98.02))))-(-5/-5)))))</f>
        <v>4689903.00724</v>
      </c>
      <c r="C19803" t="n" s="0">
        <v>4689903.007239999</v>
      </c>
    </row>
    <row r="19804">
      <c r="A19804" t="n" s="0">
        <v>98.03</v>
      </c>
      <c r="B19804" t="n" s="0">
        <f>(-5-((((-5*(-5/((-5/(((-5*(98.03--5))-(-5+((-5*98.03)*(((-5--5)+(98.03--5))+98.03))))-(-5+-5)))*-5)))/-5)--5)+(-5*(((98.03*(98.03-(-5/-5)))*(98.03-(98.03/(-5*98.03))))-(-5/-5)))))</f>
        <v>4691340.451335</v>
      </c>
      <c r="C19804" t="n" s="0">
        <v>4691340.451335</v>
      </c>
    </row>
    <row r="19805">
      <c r="A19805" t="n" s="0">
        <v>98.04</v>
      </c>
      <c r="B19805" t="n" s="0">
        <f>(-5-((((-5*(-5/((-5/(((-5*(98.04--5))-(-5+((-5*98.04)*(((-5--5)+(98.04--5))+98.04))))-(-5+-5)))*-5)))/-5)--5)+(-5*(((98.04*(98.04-(-5/-5)))*(98.04-(98.04/(-5*98.04))))-(-5/-5)))))</f>
        <v>4692778.18912</v>
      </c>
      <c r="C19805" t="n" s="0">
        <v>4692778.189120001</v>
      </c>
    </row>
    <row r="19806">
      <c r="A19806" t="n" s="0">
        <v>98.05</v>
      </c>
      <c r="B19806" t="n" s="0">
        <f>(-5-((((-5*(-5/((-5/(((-5*(98.05--5))-(-5+((-5*98.05)*(((-5--5)+(98.05--5))+98.05))))-(-5+-5)))*-5)))/-5)--5)+(-5*(((98.05*(98.05-(-5/-5)))*(98.05-(98.05/(-5*98.05))))-(-5/-5)))))</f>
        <v>4694216.220625</v>
      </c>
      <c r="C19806" t="n" s="0">
        <v>4694216.220624999</v>
      </c>
    </row>
    <row r="19807">
      <c r="A19807" t="n" s="0">
        <v>98.06</v>
      </c>
      <c r="B19807" t="n" s="0">
        <f>(-5-((((-5*(-5/((-5/(((-5*(98.06--5))-(-5+((-5*98.06)*(((-5--5)+(98.06--5))+98.06))))-(-5+-5)))*-5)))/-5)--5)+(-5*(((98.06*(98.06-(-5/-5)))*(98.06-(98.06/(-5*98.06))))-(-5/-5)))))</f>
        <v>4695654.54588</v>
      </c>
      <c r="C19807" t="n" s="0">
        <v>4695654.54588</v>
      </c>
    </row>
    <row r="19808">
      <c r="A19808" t="n" s="0">
        <v>98.07</v>
      </c>
      <c r="B19808" t="n" s="0">
        <f>(-5-((((-5*(-5/((-5/(((-5*(98.07--5))-(-5+((-5*98.07)*(((-5--5)+(98.07--5))+98.07))))-(-5+-5)))*-5)))/-5)--5)+(-5*(((98.07*(98.07-(-5/-5)))*(98.07-(98.07/(-5*98.07))))-(-5/-5)))))</f>
        <v>4697093.164915</v>
      </c>
      <c r="C19808" t="n" s="0">
        <v>4697093.164914999</v>
      </c>
    </row>
    <row r="19809">
      <c r="A19809" t="n" s="0">
        <v>98.08</v>
      </c>
      <c r="B19809" t="n" s="0">
        <f>(-5-((((-5*(-5/((-5/(((-5*(98.08--5))-(-5+((-5*98.08)*(((-5--5)+(98.08--5))+98.08))))-(-5+-5)))*-5)))/-5)--5)+(-5*(((98.08*(98.08-(-5/-5)))*(98.08-(98.08/(-5*98.08))))-(-5/-5)))))</f>
        <v>4698532.077760001</v>
      </c>
      <c r="C19809" t="n" s="0">
        <v>4698532.07776</v>
      </c>
    </row>
    <row r="19810">
      <c r="A19810" t="n" s="0">
        <v>98.09</v>
      </c>
      <c r="B19810" t="n" s="0">
        <f>(-5-((((-5*(-5/((-5/(((-5*(98.09--5))-(-5+((-5*98.09)*(((-5--5)+(98.09--5))+98.09))))-(-5+-5)))*-5)))/-5)--5)+(-5*(((98.09*(98.09-(-5/-5)))*(98.09-(98.09/(-5*98.09))))-(-5/-5)))))</f>
        <v>4699971.284445</v>
      </c>
      <c r="C19810" t="n" s="0">
        <v>4699971.284445001</v>
      </c>
    </row>
    <row r="19811">
      <c r="A19811" t="n" s="0">
        <v>98.1</v>
      </c>
      <c r="B19811" t="n" s="0">
        <f>(-5-((((-5*(-5/((-5/(((-5*(98.1--5))-(-5+((-5*98.1)*(((-5--5)+(98.1--5))+98.1))))-(-5+-5)))*-5)))/-5)--5)+(-5*(((98.1*(98.1-(-5/-5)))*(98.1-(98.1/(-5*98.1))))-(-5/-5)))))</f>
        <v>4701410.785</v>
      </c>
      <c r="C19811" t="n" s="0">
        <v>4701410.784999999</v>
      </c>
    </row>
    <row r="19812">
      <c r="A19812" t="n" s="0">
        <v>98.11</v>
      </c>
      <c r="B19812" t="n" s="0">
        <f>(-5-((((-5*(-5/((-5/(((-5*(98.11--5))-(-5+((-5*98.11)*(((-5--5)+(98.11--5))+98.11))))-(-5+-5)))*-5)))/-5)--5)+(-5*(((98.11*(98.11-(-5/-5)))*(98.11-(98.11/(-5*98.11))))-(-5/-5)))))</f>
        <v>4702850.579455</v>
      </c>
      <c r="C19812" t="n" s="0">
        <v>4702850.579455</v>
      </c>
    </row>
    <row r="19813">
      <c r="A19813" t="n" s="0">
        <v>98.12</v>
      </c>
      <c r="B19813" t="n" s="0">
        <f>(-5-((((-5*(-5/((-5/(((-5*(98.12--5))-(-5+((-5*98.12)*(((-5--5)+(98.12--5))+98.12))))-(-5+-5)))*-5)))/-5)--5)+(-5*(((98.12*(98.12-(-5/-5)))*(98.12-(98.12/(-5*98.12))))-(-5/-5)))))</f>
        <v>4704290.66784</v>
      </c>
      <c r="C19813" t="n" s="0">
        <v>4704290.667840001</v>
      </c>
    </row>
    <row r="19814">
      <c r="A19814" t="n" s="0">
        <v>98.13</v>
      </c>
      <c r="B19814" t="n" s="0">
        <f>(-5-((((-5*(-5/((-5/(((-5*(98.13--5))-(-5+((-5*98.13)*(((-5--5)+(98.13--5))+98.13))))-(-5+-5)))*-5)))/-5)--5)+(-5*(((98.13*(98.13-(-5/-5)))*(98.13-(98.13/(-5*98.13))))-(-5/-5)))))</f>
        <v>4705731.050185</v>
      </c>
      <c r="C19814" t="n" s="0">
        <v>4705731.050184999</v>
      </c>
    </row>
    <row r="19815">
      <c r="A19815" t="n" s="0">
        <v>98.14</v>
      </c>
      <c r="B19815" t="n" s="0">
        <f>(-5-((((-5*(-5/((-5/(((-5*(98.14--5))-(-5+((-5*98.14)*(((-5--5)+(98.14--5))+98.14))))-(-5+-5)))*-5)))/-5)--5)+(-5*(((98.14*(98.14-(-5/-5)))*(98.14-(98.14/(-5*98.14))))-(-5/-5)))))</f>
        <v>4707171.72652</v>
      </c>
      <c r="C19815" t="n" s="0">
        <v>4707171.726519999</v>
      </c>
    </row>
    <row r="19816">
      <c r="A19816" t="n" s="0">
        <v>98.15</v>
      </c>
      <c r="B19816" t="n" s="0">
        <f>(-5-((((-5*(-5/((-5/(((-5*(98.15--5))-(-5+((-5*98.15)*(((-5--5)+(98.15--5))+98.15))))-(-5+-5)))*-5)))/-5)--5)+(-5*(((98.15*(98.15-(-5/-5)))*(98.15-(98.15/(-5*98.15))))-(-5/-5)))))</f>
        <v>4708612.696875</v>
      </c>
      <c r="C19816" t="n" s="0">
        <v>4708612.696875001</v>
      </c>
    </row>
    <row r="19817">
      <c r="A19817" t="n" s="0">
        <v>98.16</v>
      </c>
      <c r="B19817" t="n" s="0">
        <f>(-5-((((-5*(-5/((-5/(((-5*(98.16--5))-(-5+((-5*98.16)*(((-5--5)+(98.16--5))+98.16))))-(-5+-5)))*-5)))/-5)--5)+(-5*(((98.16*(98.16-(-5/-5)))*(98.16-(98.16/(-5*98.16))))-(-5/-5)))))</f>
        <v>4710053.96128</v>
      </c>
      <c r="C19817" t="n" s="0">
        <v>4710053.961279999</v>
      </c>
    </row>
    <row r="19818">
      <c r="A19818" t="n" s="0">
        <v>98.17</v>
      </c>
      <c r="B19818" t="n" s="0">
        <f>(-5-((((-5*(-5/((-5/(((-5*(98.17--5))-(-5+((-5*98.17)*(((-5--5)+(98.17--5))+98.17))))-(-5+-5)))*-5)))/-5)--5)+(-5*(((98.17*(98.17-(-5/-5)))*(98.17-(98.17/(-5*98.17))))-(-5/-5)))))</f>
        <v>4711495.519765</v>
      </c>
      <c r="C19818" t="n" s="0">
        <v>4711495.519765</v>
      </c>
    </row>
    <row r="19819">
      <c r="A19819" t="n" s="0">
        <v>98.18</v>
      </c>
      <c r="B19819" t="n" s="0">
        <f>(-5-((((-5*(-5/((-5/(((-5*(98.18--5))-(-5+((-5*98.18)*(((-5--5)+(98.18--5))+98.18))))-(-5+-5)))*-5)))/-5)--5)+(-5*(((98.18*(98.18-(-5/-5)))*(98.18-(98.18/(-5*98.18))))-(-5/-5)))))</f>
        <v>4712937.37236</v>
      </c>
      <c r="C19819" t="n" s="0">
        <v>4712937.372360001</v>
      </c>
    </row>
    <row r="19820">
      <c r="A19820" t="n" s="0">
        <v>98.19</v>
      </c>
      <c r="B19820" t="n" s="0">
        <f>(-5-((((-5*(-5/((-5/(((-5*(98.19--5))-(-5+((-5*98.19)*(((-5--5)+(98.19--5))+98.19))))-(-5+-5)))*-5)))/-5)--5)+(-5*(((98.19*(98.19-(-5/-5)))*(98.19-(98.19/(-5*98.19))))-(-5/-5)))))</f>
        <v>4714379.519095</v>
      </c>
      <c r="C19820" t="n" s="0">
        <v>4714379.519095</v>
      </c>
    </row>
    <row r="19821">
      <c r="A19821" t="n" s="0">
        <v>98.2</v>
      </c>
      <c r="B19821" t="n" s="0">
        <f>(-5-((((-5*(-5/((-5/(((-5*(98.2--5))-(-5+((-5*98.2)*(((-5--5)+(98.2--5))+98.2))))-(-5+-5)))*-5)))/-5)--5)+(-5*(((98.2*(98.2-(-5/-5)))*(98.2-(98.2/(-5*98.2))))-(-5/-5)))))</f>
        <v>4715821.96</v>
      </c>
      <c r="C19821" t="n" s="0">
        <v>4715821.959999999</v>
      </c>
    </row>
    <row r="19822">
      <c r="A19822" t="n" s="0">
        <v>98.21</v>
      </c>
      <c r="B19822" t="n" s="0">
        <f>(-5-((((-5*(-5/((-5/(((-5*(98.21--5))-(-5+((-5*98.21)*(((-5--5)+(98.21--5))+98.21))))-(-5+-5)))*-5)))/-5)--5)+(-5*(((98.21*(98.21-(-5/-5)))*(98.21-(98.21/(-5*98.21))))-(-5/-5)))))</f>
        <v>4717264.695105</v>
      </c>
      <c r="C19822" t="n" s="0">
        <v>4717264.695104999</v>
      </c>
    </row>
    <row r="19823">
      <c r="A19823" t="n" s="0">
        <v>98.22</v>
      </c>
      <c r="B19823" t="n" s="0">
        <f>(-5-((((-5*(-5/((-5/(((-5*(98.22--5))-(-5+((-5*98.22)*(((-5--5)+(98.22--5))+98.22))))-(-5+-5)))*-5)))/-5)--5)+(-5*(((98.22*(98.22-(-5/-5)))*(98.22-(98.22/(-5*98.22))))-(-5/-5)))))</f>
        <v>4718707.72444</v>
      </c>
      <c r="C19823" t="n" s="0">
        <v>4718707.72444</v>
      </c>
    </row>
    <row r="19824">
      <c r="A19824" t="n" s="0">
        <v>98.23</v>
      </c>
      <c r="B19824" t="n" s="0">
        <f>(-5-((((-5*(-5/((-5/(((-5*(98.23--5))-(-5+((-5*98.23)*(((-5--5)+(98.23--5))+98.23))))-(-5+-5)))*-5)))/-5)--5)+(-5*(((98.23*(98.23-(-5/-5)))*(98.23-(98.23/(-5*98.23))))-(-5/-5)))))</f>
        <v>4720151.048035</v>
      </c>
      <c r="C19824" t="n" s="0">
        <v>4720151.048035001</v>
      </c>
    </row>
    <row r="19825">
      <c r="A19825" t="n" s="0">
        <v>98.24</v>
      </c>
      <c r="B19825" t="n" s="0">
        <f>(-5-((((-5*(-5/((-5/(((-5*(98.24--5))-(-5+((-5*98.24)*(((-5--5)+(98.24--5))+98.24))))-(-5+-5)))*-5)))/-5)--5)+(-5*(((98.24*(98.24-(-5/-5)))*(98.24-(98.24/(-5*98.24))))-(-5/-5)))))</f>
        <v>4721594.66592</v>
      </c>
      <c r="C19825" t="n" s="0">
        <v>4721594.665919999</v>
      </c>
    </row>
    <row r="19826">
      <c r="A19826" t="n" s="0">
        <v>98.25</v>
      </c>
      <c r="B19826" t="n" s="0">
        <f>(-5-((((-5*(-5/((-5/(((-5*(98.25--5))-(-5+((-5*98.25)*(((-5--5)+(98.25--5))+98.25))))-(-5+-5)))*-5)))/-5)--5)+(-5*(((98.25*(98.25-(-5/-5)))*(98.25-(98.25/(-5*98.25))))-(-5/-5)))))</f>
        <v>4723038.578125</v>
      </c>
      <c r="C19826" t="n" s="0">
        <v>4723038.578125</v>
      </c>
    </row>
    <row r="19827">
      <c r="A19827" t="n" s="0">
        <v>98.26</v>
      </c>
      <c r="B19827" t="n" s="0">
        <f>(-5-((((-5*(-5/((-5/(((-5*(98.26--5))-(-5+((-5*98.26)*(((-5--5)+(98.26--5))+98.26))))-(-5+-5)))*-5)))/-5)--5)+(-5*(((98.26*(98.26-(-5/-5)))*(98.26-(98.26/(-5*98.26))))-(-5/-5)))))</f>
        <v>4724482.7846800005</v>
      </c>
      <c r="C19827" t="n" s="0">
        <v>4724482.7846800005</v>
      </c>
    </row>
    <row r="19828">
      <c r="A19828" t="n" s="0">
        <v>98.27</v>
      </c>
      <c r="B19828" t="n" s="0">
        <f>(-5-((((-5*(-5/((-5/(((-5*(98.27--5))-(-5+((-5*98.27)*(((-5--5)+(98.27--5))+98.27))))-(-5+-5)))*-5)))/-5)--5)+(-5*(((98.27*(98.27-(-5/-5)))*(98.27-(98.27/(-5*98.27))))-(-5/-5)))))</f>
        <v>4725927.285615</v>
      </c>
      <c r="C19828" t="n" s="0">
        <v>4725927.285614999</v>
      </c>
    </row>
    <row r="19829">
      <c r="A19829" t="n" s="0">
        <v>98.28</v>
      </c>
      <c r="B19829" t="n" s="0">
        <f>(-5-((((-5*(-5/((-5/(((-5*(98.28--5))-(-5+((-5*98.28)*(((-5--5)+(98.28--5))+98.28))))-(-5+-5)))*-5)))/-5)--5)+(-5*(((98.28*(98.28-(-5/-5)))*(98.28-(98.28/(-5*98.28))))-(-5/-5)))))</f>
        <v>4727372.08096</v>
      </c>
      <c r="C19829" t="n" s="0">
        <v>4727372.08096</v>
      </c>
    </row>
    <row r="19830">
      <c r="A19830" t="n" s="0">
        <v>98.29</v>
      </c>
      <c r="B19830" t="n" s="0">
        <f>(-5-((((-5*(-5/((-5/(((-5*(98.29--5))-(-5+((-5*98.29)*(((-5--5)+(98.29--5))+98.29))))-(-5+-5)))*-5)))/-5)--5)+(-5*(((98.29*(98.29-(-5/-5)))*(98.29-(98.29/(-5*98.29))))-(-5/-5)))))</f>
        <v>4728817.170745</v>
      </c>
      <c r="C19830" t="n" s="0">
        <v>4728817.170745001</v>
      </c>
    </row>
    <row r="19831">
      <c r="A19831" t="n" s="0">
        <v>98.3</v>
      </c>
      <c r="B19831" t="n" s="0">
        <f>(-5-((((-5*(-5/((-5/(((-5*(98.3--5))-(-5+((-5*98.3)*(((-5--5)+(98.3--5))+98.3))))-(-5+-5)))*-5)))/-5)--5)+(-5*(((98.3*(98.3-(-5/-5)))*(98.3-(98.3/(-5*98.3))))-(-5/-5)))))</f>
        <v>4730262.555000001</v>
      </c>
      <c r="C19831" t="n" s="0">
        <v>4730262.555</v>
      </c>
    </row>
    <row r="19832">
      <c r="A19832" t="n" s="0">
        <v>98.31</v>
      </c>
      <c r="B19832" t="n" s="0">
        <f>(-5-((((-5*(-5/((-5/(((-5*(98.31--5))-(-5+((-5*98.31)*(((-5--5)+(98.31--5))+98.31))))-(-5+-5)))*-5)))/-5)--5)+(-5*(((98.31*(98.31-(-5/-5)))*(98.31-(98.31/(-5*98.31))))-(-5/-5)))))</f>
        <v>4731708.233755</v>
      </c>
      <c r="C19832" t="n" s="0">
        <v>4731708.233755</v>
      </c>
    </row>
    <row r="19833">
      <c r="A19833" t="n" s="0">
        <v>98.32</v>
      </c>
      <c r="B19833" t="n" s="0">
        <f>(-5-((((-5*(-5/((-5/(((-5*(98.32--5))-(-5+((-5*98.32)*(((-5--5)+(98.32--5))+98.32))))-(-5+-5)))*-5)))/-5)--5)+(-5*(((98.32*(98.32-(-5/-5)))*(98.32-(98.32/(-5*98.32))))-(-5/-5)))))</f>
        <v>4733154.20704</v>
      </c>
      <c r="C19833" t="n" s="0">
        <v>4733154.207039999</v>
      </c>
    </row>
    <row r="19834">
      <c r="A19834" t="n" s="0">
        <v>98.33</v>
      </c>
      <c r="B19834" t="n" s="0">
        <f>(-5-((((-5*(-5/((-5/(((-5*(98.33--5))-(-5+((-5*98.33)*(((-5--5)+(98.33--5))+98.33))))-(-5+-5)))*-5)))/-5)--5)+(-5*(((98.33*(98.33-(-5/-5)))*(98.33-(98.33/(-5*98.33))))-(-5/-5)))))</f>
        <v>4734600.474885001</v>
      </c>
      <c r="C19834" t="n" s="0">
        <v>4734600.474885</v>
      </c>
    </row>
    <row r="19835">
      <c r="A19835" t="n" s="0">
        <v>98.34</v>
      </c>
      <c r="B19835" t="n" s="0">
        <f>(-5-((((-5*(-5/((-5/(((-5*(98.34--5))-(-5+((-5*98.34)*(((-5--5)+(98.34--5))+98.34))))-(-5+-5)))*-5)))/-5)--5)+(-5*(((98.34*(98.34-(-5/-5)))*(98.34-(98.34/(-5*98.34))))-(-5/-5)))))</f>
        <v>4736047.03732</v>
      </c>
      <c r="C19835" t="n" s="0">
        <v>4736047.03732</v>
      </c>
    </row>
    <row r="19836">
      <c r="A19836" t="n" s="0">
        <v>98.35</v>
      </c>
      <c r="B19836" t="n" s="0">
        <f>(-5-((((-5*(-5/((-5/(((-5*(98.35--5))-(-5+((-5*98.35)*(((-5--5)+(98.35--5))+98.35))))-(-5+-5)))*-5)))/-5)--5)+(-5*(((98.35*(98.35-(-5/-5)))*(98.35-(98.35/(-5*98.35))))-(-5/-5)))))</f>
        <v>4737493.894375</v>
      </c>
      <c r="C19836" t="n" s="0">
        <v>4737493.894374998</v>
      </c>
    </row>
    <row r="19837">
      <c r="A19837" t="n" s="0">
        <v>98.36</v>
      </c>
      <c r="B19837" t="n" s="0">
        <f>(-5-((((-5*(-5/((-5/(((-5*(98.36--5))-(-5+((-5*98.36)*(((-5--5)+(98.36--5))+98.36))))-(-5+-5)))*-5)))/-5)--5)+(-5*(((98.36*(98.36-(-5/-5)))*(98.36-(98.36/(-5*98.36))))-(-5/-5)))))</f>
        <v>4738941.04608</v>
      </c>
      <c r="C19837" t="n" s="0">
        <v>4738941.04608</v>
      </c>
    </row>
    <row r="19838">
      <c r="A19838" t="n" s="0">
        <v>98.37</v>
      </c>
      <c r="B19838" t="n" s="0">
        <f>(-5-((((-5*(-5/((-5/(((-5*(98.37--5))-(-5+((-5*98.37)*(((-5--5)+(98.37--5))+98.37))))-(-5+-5)))*-5)))/-5)--5)+(-5*(((98.37*(98.37-(-5/-5)))*(98.37-(98.37/(-5*98.37))))-(-5/-5)))))</f>
        <v>4740388.492465</v>
      </c>
      <c r="C19838" t="n" s="0">
        <v>4740388.4924650015</v>
      </c>
    </row>
    <row r="19839">
      <c r="A19839" t="n" s="0">
        <v>98.38</v>
      </c>
      <c r="B19839" t="n" s="0">
        <f>(-5-((((-5*(-5/((-5/(((-5*(98.38--5))-(-5+((-5*98.38)*(((-5--5)+(98.38--5))+98.38))))-(-5+-5)))*-5)))/-5)--5)+(-5*(((98.38*(98.38-(-5/-5)))*(98.38-(98.38/(-5*98.38))))-(-5/-5)))))</f>
        <v>4741836.23356</v>
      </c>
      <c r="C19839" t="n" s="0">
        <v>4741836.233559999</v>
      </c>
    </row>
    <row r="19840">
      <c r="A19840" t="n" s="0">
        <v>98.39</v>
      </c>
      <c r="B19840" t="n" s="0">
        <f>(-5-((((-5*(-5/((-5/(((-5*(98.39--5))-(-5+((-5*98.39)*(((-5--5)+(98.39--5))+98.39))))-(-5+-5)))*-5)))/-5)--5)+(-5*(((98.39*(98.39-(-5/-5)))*(98.39-(98.39/(-5*98.39))))-(-5/-5)))))</f>
        <v>4743284.269394999</v>
      </c>
      <c r="C19840" t="n" s="0">
        <v>4743284.269395</v>
      </c>
    </row>
    <row r="19841">
      <c r="A19841" t="n" s="0">
        <v>98.4</v>
      </c>
      <c r="B19841" t="n" s="0">
        <f>(-5-((((-5*(-5/((-5/(((-5*(98.4--5))-(-5+((-5*98.4)*(((-5--5)+(98.4--5))+98.4))))-(-5+-5)))*-5)))/-5)--5)+(-5*(((98.4*(98.4-(-5/-5)))*(98.4-(98.4/(-5*98.4))))-(-5/-5)))))</f>
        <v>4744732.6</v>
      </c>
      <c r="C19841" t="n" s="0">
        <v>4744732.6000000015</v>
      </c>
    </row>
    <row r="19842">
      <c r="A19842" t="n" s="0">
        <v>98.41</v>
      </c>
      <c r="B19842" t="n" s="0">
        <f>(-5-((((-5*(-5/((-5/(((-5*(98.41--5))-(-5+((-5*98.41)*(((-5--5)+(98.41--5))+98.41))))-(-5+-5)))*-5)))/-5)--5)+(-5*(((98.41*(98.41-(-5/-5)))*(98.41-(98.41/(-5*98.41))))-(-5/-5)))))</f>
        <v>4746181.225405</v>
      </c>
      <c r="C19842" t="n" s="0">
        <v>4746181.225404999</v>
      </c>
    </row>
    <row r="19843">
      <c r="A19843" t="n" s="0">
        <v>98.42</v>
      </c>
      <c r="B19843" t="n" s="0">
        <f>(-5-((((-5*(-5/((-5/(((-5*(98.42--5))-(-5+((-5*98.42)*(((-5--5)+(98.42--5))+98.42))))-(-5+-5)))*-5)))/-5)--5)+(-5*(((98.42*(98.42-(-5/-5)))*(98.42-(98.42/(-5*98.42))))-(-5/-5)))))</f>
        <v>4747630.14564</v>
      </c>
      <c r="C19843" t="n" s="0">
        <v>4747630.14564</v>
      </c>
    </row>
    <row r="19844">
      <c r="A19844" t="n" s="0">
        <v>98.43</v>
      </c>
      <c r="B19844" t="n" s="0">
        <f>(-5-((((-5*(-5/((-5/(((-5*(98.43--5))-(-5+((-5*98.43)*(((-5--5)+(98.43--5))+98.43))))-(-5+-5)))*-5)))/-5)--5)+(-5*(((98.43*(98.43-(-5/-5)))*(98.43-(98.43/(-5*98.43))))-(-5/-5)))))</f>
        <v>4749079.360735</v>
      </c>
      <c r="C19844" t="n" s="0">
        <v>4749079.360735001</v>
      </c>
    </row>
    <row r="19845">
      <c r="A19845" t="n" s="0">
        <v>98.44</v>
      </c>
      <c r="B19845" t="n" s="0">
        <f>(-5-((((-5*(-5/((-5/(((-5*(98.44--5))-(-5+((-5*98.44)*(((-5--5)+(98.44--5))+98.44))))-(-5+-5)))*-5)))/-5)--5)+(-5*(((98.44*(98.44-(-5/-5)))*(98.44-(98.44/(-5*98.44))))-(-5/-5)))))</f>
        <v>4750528.87072</v>
      </c>
      <c r="C19845" t="n" s="0">
        <v>4750528.87072</v>
      </c>
    </row>
    <row r="19846">
      <c r="A19846" t="n" s="0">
        <v>98.45</v>
      </c>
      <c r="B19846" t="n" s="0">
        <f>(-5-((((-5*(-5/((-5/(((-5*(98.45--5))-(-5+((-5*98.45)*(((-5--5)+(98.45--5))+98.45))))-(-5+-5)))*-5)))/-5)--5)+(-5*(((98.45*(98.45-(-5/-5)))*(98.45-(98.45/(-5*98.45))))-(-5/-5)))))</f>
        <v>4751978.675625</v>
      </c>
      <c r="C19846" t="n" s="0">
        <v>4751978.675625</v>
      </c>
    </row>
    <row r="19847">
      <c r="A19847" t="n" s="0">
        <v>98.46</v>
      </c>
      <c r="B19847" t="n" s="0">
        <f>(-5-((((-5*(-5/((-5/(((-5*(98.46--5))-(-5+((-5*98.46)*(((-5--5)+(98.46--5))+98.46))))-(-5+-5)))*-5)))/-5)--5)+(-5*(((98.46*(98.46-(-5/-5)))*(98.46-(98.46/(-5*98.46))))-(-5/-5)))))</f>
        <v>4753428.77548</v>
      </c>
      <c r="C19847" t="n" s="0">
        <v>4753428.775479998</v>
      </c>
    </row>
    <row r="19848">
      <c r="A19848" t="n" s="0">
        <v>98.47</v>
      </c>
      <c r="B19848" t="n" s="0">
        <f>(-5-((((-5*(-5/((-5/(((-5*(98.47--5))-(-5+((-5*98.47)*(((-5--5)+(98.47--5))+98.47))))-(-5+-5)))*-5)))/-5)--5)+(-5*(((98.47*(98.47-(-5/-5)))*(98.47-(98.47/(-5*98.47))))-(-5/-5)))))</f>
        <v>4754879.170315</v>
      </c>
      <c r="C19848" t="n" s="0">
        <v>4754879.170314999</v>
      </c>
    </row>
    <row r="19849">
      <c r="A19849" t="n" s="0">
        <v>98.48</v>
      </c>
      <c r="B19849" t="n" s="0">
        <f>(-5-((((-5*(-5/((-5/(((-5*(98.48--5))-(-5+((-5*98.48)*(((-5--5)+(98.48--5))+98.48))))-(-5+-5)))*-5)))/-5)--5)+(-5*(((98.48*(98.48-(-5/-5)))*(98.48-(98.48/(-5*98.48))))-(-5/-5)))))</f>
        <v>4756329.86016</v>
      </c>
      <c r="C19849" t="n" s="0">
        <v>4756329.860160002</v>
      </c>
    </row>
    <row r="19850">
      <c r="A19850" t="n" s="0">
        <v>98.49</v>
      </c>
      <c r="B19850" t="n" s="0">
        <f>(-5-((((-5*(-5/((-5/(((-5*(98.49--5))-(-5+((-5*98.49)*(((-5--5)+(98.49--5))+98.49))))-(-5+-5)))*-5)))/-5)--5)+(-5*(((98.49*(98.49-(-5/-5)))*(98.49-(98.49/(-5*98.49))))-(-5/-5)))))</f>
        <v>4757780.845045</v>
      </c>
      <c r="C19850" t="n" s="0">
        <v>4757780.845044998</v>
      </c>
    </row>
    <row r="19851">
      <c r="A19851" t="n" s="0">
        <v>98.5</v>
      </c>
      <c r="B19851" t="n" s="0">
        <f>(-5-((((-5*(-5/((-5/(((-5*(98.5--5))-(-5+((-5*98.5)*(((-5--5)+(98.5--5))+98.5))))-(-5+-5)))*-5)))/-5)--5)+(-5*(((98.5*(98.5-(-5/-5)))*(98.5-(98.5/(-5*98.5))))-(-5/-5)))))</f>
        <v>4759232.125</v>
      </c>
      <c r="C19851" t="n" s="0">
        <v>4759232.125</v>
      </c>
    </row>
    <row r="19852">
      <c r="A19852" t="n" s="0">
        <v>98.51</v>
      </c>
      <c r="B19852" t="n" s="0">
        <f>(-5-((((-5*(-5/((-5/(((-5*(98.51--5))-(-5+((-5*98.51)*(((-5--5)+(98.51--5))+98.51))))-(-5+-5)))*-5)))/-5)--5)+(-5*(((98.51*(98.51-(-5/-5)))*(98.51-(98.51/(-5*98.51))))-(-5/-5)))))</f>
        <v>4760683.700055</v>
      </c>
      <c r="C19852" t="n" s="0">
        <v>4760683.700055</v>
      </c>
    </row>
    <row r="19853">
      <c r="A19853" t="n" s="0">
        <v>98.52</v>
      </c>
      <c r="B19853" t="n" s="0">
        <f>(-5-((((-5*(-5/((-5/(((-5*(98.52--5))-(-5+((-5*98.52)*(((-5--5)+(98.52--5))+98.52))))-(-5+-5)))*-5)))/-5)--5)+(-5*(((98.52*(98.52-(-5/-5)))*(98.52-(98.52/(-5*98.52))))-(-5/-5)))))</f>
        <v>4762135.57024</v>
      </c>
      <c r="C19853" t="n" s="0">
        <v>4762135.570239998</v>
      </c>
    </row>
    <row r="19854">
      <c r="A19854" t="n" s="0">
        <v>98.53</v>
      </c>
      <c r="B19854" t="n" s="0">
        <f>(-5-((((-5*(-5/((-5/(((-5*(98.53--5))-(-5+((-5*98.53)*(((-5--5)+(98.53--5))+98.53))))-(-5+-5)))*-5)))/-5)--5)+(-5*(((98.53*(98.53-(-5/-5)))*(98.53-(98.53/(-5*98.53))))-(-5/-5)))))</f>
        <v>4763587.735585</v>
      </c>
      <c r="C19854" t="n" s="0">
        <v>4763587.735584999</v>
      </c>
    </row>
    <row r="19855">
      <c r="A19855" t="n" s="0">
        <v>98.54</v>
      </c>
      <c r="B19855" t="n" s="0">
        <f>(-5-((((-5*(-5/((-5/(((-5*(98.54--5))-(-5+((-5*98.54)*(((-5--5)+(98.54--5))+98.54))))-(-5+-5)))*-5)))/-5)--5)+(-5*(((98.54*(98.54-(-5/-5)))*(98.54-(98.54/(-5*98.54))))-(-5/-5)))))</f>
        <v>4765040.19612</v>
      </c>
      <c r="C19855" t="n" s="0">
        <v>4765040.19612</v>
      </c>
    </row>
    <row r="19856">
      <c r="A19856" t="n" s="0">
        <v>98.55</v>
      </c>
      <c r="B19856" t="n" s="0">
        <f>(-5-((((-5*(-5/((-5/(((-5*(98.55--5))-(-5+((-5*98.55)*(((-5--5)+(98.55--5))+98.55))))-(-5+-5)))*-5)))/-5)--5)+(-5*(((98.55*(98.55-(-5/-5)))*(98.55-(98.55/(-5*98.55))))-(-5/-5)))))</f>
        <v>4766492.951875</v>
      </c>
      <c r="C19856" t="n" s="0">
        <v>4766492.951875</v>
      </c>
    </row>
    <row r="19857">
      <c r="A19857" t="n" s="0">
        <v>98.56</v>
      </c>
      <c r="B19857" t="n" s="0">
        <f>(-5-((((-5*(-5/((-5/(((-5*(98.56--5))-(-5+((-5*98.56)*(((-5--5)+(98.56--5))+98.56))))-(-5+-5)))*-5)))/-5)--5)+(-5*(((98.56*(98.56-(-5/-5)))*(98.56-(98.56/(-5*98.56))))-(-5/-5)))))</f>
        <v>4767946.00288</v>
      </c>
      <c r="C19857" t="n" s="0">
        <v>4767946.0028800005</v>
      </c>
    </row>
    <row r="19858">
      <c r="A19858" t="n" s="0">
        <v>98.57</v>
      </c>
      <c r="B19858" t="n" s="0">
        <f>(-5-((((-5*(-5/((-5/(((-5*(98.57--5))-(-5+((-5*98.57)*(((-5--5)+(98.57--5))+98.57))))-(-5+-5)))*-5)))/-5)--5)+(-5*(((98.57*(98.57-(-5/-5)))*(98.57-(98.57/(-5*98.57))))-(-5/-5)))))</f>
        <v>4769399.349165</v>
      </c>
      <c r="C19858" t="n" s="0">
        <v>4769399.349164999</v>
      </c>
    </row>
    <row r="19859">
      <c r="A19859" t="n" s="0">
        <v>98.58</v>
      </c>
      <c r="B19859" t="n" s="0">
        <f>(-5-((((-5*(-5/((-5/(((-5*(98.58--5))-(-5+((-5*98.58)*(((-5--5)+(98.58--5))+98.58))))-(-5+-5)))*-5)))/-5)--5)+(-5*(((98.58*(98.58-(-5/-5)))*(98.58-(98.58/(-5*98.58))))-(-5/-5)))))</f>
        <v>4770852.99076</v>
      </c>
      <c r="C19859" t="n" s="0">
        <v>4770852.9907599995</v>
      </c>
    </row>
    <row r="19860">
      <c r="A19860" t="n" s="0">
        <v>98.59</v>
      </c>
      <c r="B19860" t="n" s="0">
        <f>(-5-((((-5*(-5/((-5/(((-5*(98.59--5))-(-5+((-5*98.59)*(((-5--5)+(98.59--5))+98.59))))-(-5+-5)))*-5)))/-5)--5)+(-5*(((98.59*(98.59-(-5/-5)))*(98.59-(98.59/(-5*98.59))))-(-5/-5)))))</f>
        <v>4772306.927695</v>
      </c>
      <c r="C19860" t="n" s="0">
        <v>4772306.927695</v>
      </c>
    </row>
    <row r="19861">
      <c r="A19861" t="n" s="0">
        <v>98.6</v>
      </c>
      <c r="B19861" t="n" s="0">
        <f>(-5-((((-5*(-5/((-5/(((-5*(98.6--5))-(-5+((-5*98.6)*(((-5--5)+(98.6--5))+98.6))))-(-5+-5)))*-5)))/-5)--5)+(-5*(((98.6*(98.6-(-5/-5)))*(98.6-(98.6/(-5*98.6))))-(-5/-5)))))</f>
        <v>4773761.16</v>
      </c>
      <c r="C19861" t="n" s="0">
        <v>4773761.159999999</v>
      </c>
    </row>
    <row r="19862">
      <c r="A19862" t="n" s="0">
        <v>98.61</v>
      </c>
      <c r="B19862" t="n" s="0">
        <f>(-5-((((-5*(-5/((-5/(((-5*(98.61--5))-(-5+((-5*98.61)*(((-5--5)+(98.61--5))+98.61))))-(-5+-5)))*-5)))/-5)--5)+(-5*(((98.61*(98.61-(-5/-5)))*(98.61-(98.61/(-5*98.61))))-(-5/-5)))))</f>
        <v>4775215.687705</v>
      </c>
      <c r="C19862" t="n" s="0">
        <v>4775215.687705001</v>
      </c>
    </row>
    <row r="19863">
      <c r="A19863" t="n" s="0">
        <v>98.62</v>
      </c>
      <c r="B19863" t="n" s="0">
        <f>(-5-((((-5*(-5/((-5/(((-5*(98.62--5))-(-5+((-5*98.62)*(((-5--5)+(98.62--5))+98.62))))-(-5+-5)))*-5)))/-5)--5)+(-5*(((98.62*(98.62-(-5/-5)))*(98.62-(98.62/(-5*98.62))))-(-5/-5)))))</f>
        <v>4776670.510840001</v>
      </c>
      <c r="C19863" t="n" s="0">
        <v>4776670.5108400015</v>
      </c>
    </row>
    <row r="19864">
      <c r="A19864" t="n" s="0">
        <v>98.63</v>
      </c>
      <c r="B19864" t="n" s="0">
        <f>(-5-((((-5*(-5/((-5/(((-5*(98.63--5))-(-5+((-5*98.63)*(((-5--5)+(98.63--5))+98.63))))-(-5+-5)))*-5)))/-5)--5)+(-5*(((98.63*(98.63-(-5/-5)))*(98.63-(98.63/(-5*98.63))))-(-5/-5)))))</f>
        <v>4778125.629435</v>
      </c>
      <c r="C19864" t="n" s="0">
        <v>4778125.629434999</v>
      </c>
    </row>
    <row r="19865">
      <c r="A19865" t="n" s="0">
        <v>98.64</v>
      </c>
      <c r="B19865" t="n" s="0">
        <f>(-5-((((-5*(-5/((-5/(((-5*(98.64--5))-(-5+((-5*98.64)*(((-5--5)+(98.64--5))+98.64))))-(-5+-5)))*-5)))/-5)--5)+(-5*(((98.64*(98.64-(-5/-5)))*(98.64-(98.64/(-5*98.64))))-(-5/-5)))))</f>
        <v>4779581.04352</v>
      </c>
      <c r="C19865" t="n" s="0">
        <v>4779581.043520001</v>
      </c>
    </row>
    <row r="19866">
      <c r="A19866" t="n" s="0">
        <v>98.65</v>
      </c>
      <c r="B19866" t="n" s="0">
        <f>(-5-((((-5*(-5/((-5/(((-5*(98.65--5))-(-5+((-5*98.65)*(((-5--5)+(98.65--5))+98.65))))-(-5+-5)))*-5)))/-5)--5)+(-5*(((98.65*(98.65-(-5/-5)))*(98.65-(98.65/(-5*98.65))))-(-5/-5)))))</f>
        <v>4781036.753125</v>
      </c>
      <c r="C19866" t="n" s="0">
        <v>4781036.753125002</v>
      </c>
    </row>
    <row r="19867">
      <c r="A19867" t="n" s="0">
        <v>98.66</v>
      </c>
      <c r="B19867" t="n" s="0">
        <f>(-5-((((-5*(-5/((-5/(((-5*(98.66--5))-(-5+((-5*98.66)*(((-5--5)+(98.66--5))+98.66))))-(-5+-5)))*-5)))/-5)--5)+(-5*(((98.66*(98.66-(-5/-5)))*(98.66-(98.66/(-5*98.66))))-(-5/-5)))))</f>
        <v>4782492.758280001</v>
      </c>
      <c r="C19867" t="n" s="0">
        <v>4782492.75828</v>
      </c>
    </row>
    <row r="19868">
      <c r="A19868" t="n" s="0">
        <v>98.67</v>
      </c>
      <c r="B19868" t="n" s="0">
        <f>(-5-((((-5*(-5/((-5/(((-5*(98.67--5))-(-5+((-5*98.67)*(((-5--5)+(98.67--5))+98.67))))-(-5+-5)))*-5)))/-5)--5)+(-5*(((98.67*(98.67-(-5/-5)))*(98.67-(98.67/(-5*98.67))))-(-5/-5)))))</f>
        <v>4783949.059014999</v>
      </c>
      <c r="C19868" t="n" s="0">
        <v>4783949.059014999</v>
      </c>
    </row>
    <row r="19869">
      <c r="A19869" t="n" s="0">
        <v>98.68</v>
      </c>
      <c r="B19869" t="n" s="0">
        <f>(-5-((((-5*(-5/((-5/(((-5*(98.68--5))-(-5+((-5*98.68)*(((-5--5)+(98.68--5))+98.68))))-(-5+-5)))*-5)))/-5)--5)+(-5*(((98.68*(98.68-(-5/-5)))*(98.68-(98.68/(-5*98.68))))-(-5/-5)))))</f>
        <v>4785405.65536</v>
      </c>
      <c r="C19869" t="n" s="0">
        <v>4785405.655360001</v>
      </c>
    </row>
    <row r="19870">
      <c r="A19870" t="n" s="0">
        <v>98.69</v>
      </c>
      <c r="B19870" t="n" s="0">
        <f>(-5-((((-5*(-5/((-5/(((-5*(98.69--5))-(-5+((-5*98.69)*(((-5--5)+(98.69--5))+98.69))))-(-5+-5)))*-5)))/-5)--5)+(-5*(((98.69*(98.69-(-5/-5)))*(98.69-(98.69/(-5*98.69))))-(-5/-5)))))</f>
        <v>4786862.547345</v>
      </c>
      <c r="C19870" t="n" s="0">
        <v>4786862.547345</v>
      </c>
    </row>
    <row r="19871">
      <c r="A19871" t="n" s="0">
        <v>98.7</v>
      </c>
      <c r="B19871" t="n" s="0">
        <f>(-5-((((-5*(-5/((-5/(((-5*(98.7--5))-(-5+((-5*98.7)*(((-5--5)+(98.7--5))+98.7))))-(-5+-5)))*-5)))/-5)--5)+(-5*(((98.7*(98.7-(-5/-5)))*(98.7-(98.7/(-5*98.7))))-(-5/-5)))))</f>
        <v>4788319.734999999</v>
      </c>
      <c r="C19871" t="n" s="0">
        <v>4788319.735</v>
      </c>
    </row>
    <row r="19872">
      <c r="A19872" t="n" s="0">
        <v>98.71</v>
      </c>
      <c r="B19872" t="n" s="0">
        <f>(-5-((((-5*(-5/((-5/(((-5*(98.71--5))-(-5+((-5*98.71)*(((-5--5)+(98.71--5))+98.71))))-(-5+-5)))*-5)))/-5)--5)+(-5*(((98.71*(98.71-(-5/-5)))*(98.71-(98.71/(-5*98.71))))-(-5/-5)))))</f>
        <v>4789777.218355</v>
      </c>
      <c r="C19872" t="n" s="0">
        <v>4789777.218354998</v>
      </c>
    </row>
    <row r="19873">
      <c r="A19873" t="n" s="0">
        <v>98.72</v>
      </c>
      <c r="B19873" t="n" s="0">
        <f>(-5-((((-5*(-5/((-5/(((-5*(98.72--5))-(-5+((-5*98.72)*(((-5--5)+(98.72--5))+98.72))))-(-5+-5)))*-5)))/-5)--5)+(-5*(((98.72*(98.72-(-5/-5)))*(98.72-(98.72/(-5*98.72))))-(-5/-5)))))</f>
        <v>4791234.99744</v>
      </c>
      <c r="C19873" t="n" s="0">
        <v>4791234.99744</v>
      </c>
    </row>
    <row r="19874">
      <c r="A19874" t="n" s="0">
        <v>98.73</v>
      </c>
      <c r="B19874" t="n" s="0">
        <f>(-5-((((-5*(-5/((-5/(((-5*(98.73--5))-(-5+((-5*98.73)*(((-5--5)+(98.73--5))+98.73))))-(-5+-5)))*-5)))/-5)--5)+(-5*(((98.73*(98.73-(-5/-5)))*(98.73-(98.73/(-5*98.73))))-(-5/-5)))))</f>
        <v>4792693.072285</v>
      </c>
      <c r="C19874" t="n" s="0">
        <v>4792693.072285001</v>
      </c>
    </row>
    <row r="19875">
      <c r="A19875" t="n" s="0">
        <v>98.74</v>
      </c>
      <c r="B19875" t="n" s="0">
        <f>(-5-((((-5*(-5/((-5/(((-5*(98.74--5))-(-5+((-5*98.74)*(((-5--5)+(98.74--5))+98.74))))-(-5+-5)))*-5)))/-5)--5)+(-5*(((98.74*(98.74-(-5/-5)))*(98.74-(98.74/(-5*98.74))))-(-5/-5)))))</f>
        <v>4794151.44292</v>
      </c>
      <c r="C19875" t="n" s="0">
        <v>4794151.442919998</v>
      </c>
    </row>
    <row r="19876">
      <c r="A19876" t="n" s="0">
        <v>98.75</v>
      </c>
      <c r="B19876" t="n" s="0">
        <f>(-5-((((-5*(-5/((-5/(((-5*(98.75--5))-(-5+((-5*98.75)*(((-5--5)+(98.75--5))+98.75))))-(-5+-5)))*-5)))/-5)--5)+(-5*(((98.75*(98.75-(-5/-5)))*(98.75-(98.75/(-5*98.75))))-(-5/-5)))))</f>
        <v>4795610.109375</v>
      </c>
      <c r="C19876" t="n" s="0">
        <v>4795610.109375</v>
      </c>
    </row>
    <row r="19877">
      <c r="A19877" t="n" s="0">
        <v>98.76</v>
      </c>
      <c r="B19877" t="n" s="0">
        <f>(-5-((((-5*(-5/((-5/(((-5*(98.76--5))-(-5+((-5*98.76)*(((-5--5)+(98.76--5))+98.76))))-(-5+-5)))*-5)))/-5)--5)+(-5*(((98.76*(98.76-(-5/-5)))*(98.76-(98.76/(-5*98.76))))-(-5/-5)))))</f>
        <v>4797069.07168</v>
      </c>
      <c r="C19877" t="n" s="0">
        <v>4797069.071680002</v>
      </c>
    </row>
    <row r="19878">
      <c r="A19878" t="n" s="0">
        <v>98.77</v>
      </c>
      <c r="B19878" t="n" s="0">
        <f>(-5-((((-5*(-5/((-5/(((-5*(98.77--5))-(-5+((-5*98.77)*(((-5--5)+(98.77--5))+98.77))))-(-5+-5)))*-5)))/-5)--5)+(-5*(((98.77*(98.77-(-5/-5)))*(98.77-(98.77/(-5*98.77))))-(-5/-5)))))</f>
        <v>4798528.329865</v>
      </c>
      <c r="C19878" t="n" s="0">
        <v>4798528.329864999</v>
      </c>
    </row>
    <row r="19879">
      <c r="A19879" t="n" s="0">
        <v>98.78</v>
      </c>
      <c r="B19879" t="n" s="0">
        <f>(-5-((((-5*(-5/((-5/(((-5*(98.78--5))-(-5+((-5*98.78)*(((-5--5)+(98.78--5))+98.78))))-(-5+-5)))*-5)))/-5)--5)+(-5*(((98.78*(98.78-(-5/-5)))*(98.78-(98.78/(-5*98.78))))-(-5/-5)))))</f>
        <v>4799987.88396</v>
      </c>
      <c r="C19879" t="n" s="0">
        <v>4799987.883959999</v>
      </c>
    </row>
    <row r="19880">
      <c r="A19880" t="n" s="0">
        <v>98.79</v>
      </c>
      <c r="B19880" t="n" s="0">
        <f>(-5-((((-5*(-5/((-5/(((-5*(98.79--5))-(-5+((-5*98.79)*(((-5--5)+(98.79--5))+98.79))))-(-5+-5)))*-5)))/-5)--5)+(-5*(((98.79*(98.79-(-5/-5)))*(98.79-(98.79/(-5*98.79))))-(-5/-5)))))</f>
        <v>4801447.733995</v>
      </c>
      <c r="C19880" t="n" s="0">
        <v>4801447.733995001</v>
      </c>
    </row>
    <row r="19881">
      <c r="A19881" t="n" s="0">
        <v>98.8</v>
      </c>
      <c r="B19881" t="n" s="0">
        <f>(-5-((((-5*(-5/((-5/(((-5*(98.8--5))-(-5+((-5*98.8)*(((-5--5)+(98.8--5))+98.8))))-(-5+-5)))*-5)))/-5)--5)+(-5*(((98.8*(98.8-(-5/-5)))*(98.8-(98.8/(-5*98.8))))-(-5/-5)))))</f>
        <v>4802907.88</v>
      </c>
      <c r="C19881" t="n" s="0">
        <v>4802907.88</v>
      </c>
    </row>
    <row r="19882">
      <c r="A19882" t="n" s="0">
        <v>98.81</v>
      </c>
      <c r="B19882" t="n" s="0">
        <f>(-5-((((-5*(-5/((-5/(((-5*(98.81--5))-(-5+((-5*98.81)*(((-5--5)+(98.81--5))+98.81))))-(-5+-5)))*-5)))/-5)--5)+(-5*(((98.81*(98.81-(-5/-5)))*(98.81-(98.81/(-5*98.81))))-(-5/-5)))))</f>
        <v>4804368.322005</v>
      </c>
      <c r="C19882" t="n" s="0">
        <v>4804368.322005</v>
      </c>
    </row>
    <row r="19883">
      <c r="A19883" t="n" s="0">
        <v>98.82</v>
      </c>
      <c r="B19883" t="n" s="0">
        <f>(-5-((((-5*(-5/((-5/(((-5*(98.82--5))-(-5+((-5*98.82)*(((-5--5)+(98.82--5))+98.82))))-(-5+-5)))*-5)))/-5)--5)+(-5*(((98.82*(98.82-(-5/-5)))*(98.82-(98.82/(-5*98.82))))-(-5/-5)))))</f>
        <v>4805829.06004</v>
      </c>
      <c r="C19883" t="n" s="0">
        <v>4805829.060039999</v>
      </c>
    </row>
    <row r="19884">
      <c r="A19884" t="n" s="0">
        <v>98.83</v>
      </c>
      <c r="B19884" t="n" s="0">
        <f>(-5-((((-5*(-5/((-5/(((-5*(98.83--5))-(-5+((-5*98.83)*(((-5--5)+(98.83--5))+98.83))))-(-5+-5)))*-5)))/-5)--5)+(-5*(((98.83*(98.83-(-5/-5)))*(98.83-(98.83/(-5*98.83))))-(-5/-5)))))</f>
        <v>4807290.094134999</v>
      </c>
      <c r="C19884" t="n" s="0">
        <v>4807290.094135</v>
      </c>
    </row>
    <row r="19885">
      <c r="A19885" t="n" s="0">
        <v>98.84</v>
      </c>
      <c r="B19885" t="n" s="0">
        <f>(-5-((((-5*(-5/((-5/(((-5*(98.84--5))-(-5+((-5*98.84)*(((-5--5)+(98.84--5))+98.84))))-(-5+-5)))*-5)))/-5)--5)+(-5*(((98.84*(98.84-(-5/-5)))*(98.84-(98.84/(-5*98.84))))-(-5/-5)))))</f>
        <v>4808751.424319999</v>
      </c>
      <c r="C19885" t="n" s="0">
        <v>4808751.42432</v>
      </c>
    </row>
    <row r="19886">
      <c r="A19886" t="n" s="0">
        <v>98.85</v>
      </c>
      <c r="B19886" t="n" s="0">
        <f>(-5-((((-5*(-5/((-5/(((-5*(98.85--5))-(-5+((-5*98.85)*(((-5--5)+(98.85--5))+98.85))))-(-5+-5)))*-5)))/-5)--5)+(-5*(((98.85*(98.85-(-5/-5)))*(98.85-(98.85/(-5*98.85))))-(-5/-5)))))</f>
        <v>4810213.050625</v>
      </c>
      <c r="C19886" t="n" s="0">
        <v>4810213.050624999</v>
      </c>
    </row>
    <row r="19887">
      <c r="A19887" t="n" s="0">
        <v>98.86</v>
      </c>
      <c r="B19887" t="n" s="0">
        <f>(-5-((((-5*(-5/((-5/(((-5*(98.86--5))-(-5+((-5*98.86)*(((-5--5)+(98.86--5))+98.86))))-(-5+-5)))*-5)))/-5)--5)+(-5*(((98.86*(98.86-(-5/-5)))*(98.86-(98.86/(-5*98.86))))-(-5/-5)))))</f>
        <v>4811674.97308</v>
      </c>
      <c r="C19887" t="n" s="0">
        <v>4811674.97308</v>
      </c>
    </row>
    <row r="19888">
      <c r="A19888" t="n" s="0">
        <v>98.87</v>
      </c>
      <c r="B19888" t="n" s="0">
        <f>(-5-((((-5*(-5/((-5/(((-5*(98.87--5))-(-5+((-5*98.87)*(((-5--5)+(98.87--5))+98.87))))-(-5+-5)))*-5)))/-5)--5)+(-5*(((98.87*(98.87-(-5/-5)))*(98.87-(98.87/(-5*98.87))))-(-5/-5)))))</f>
        <v>4813137.191715</v>
      </c>
      <c r="C19888" t="n" s="0">
        <v>4813137.191715001</v>
      </c>
    </row>
    <row r="19889">
      <c r="A19889" t="n" s="0">
        <v>98.88</v>
      </c>
      <c r="B19889" t="n" s="0">
        <f>(-5-((((-5*(-5/((-5/(((-5*(98.88--5))-(-5+((-5*98.88)*(((-5--5)+(98.88--5))+98.88))))-(-5+-5)))*-5)))/-5)--5)+(-5*(((98.88*(98.88-(-5/-5)))*(98.88-(98.88/(-5*98.88))))-(-5/-5)))))</f>
        <v>4814599.706560001</v>
      </c>
      <c r="C19889" t="n" s="0">
        <v>4814599.706559999</v>
      </c>
    </row>
    <row r="19890">
      <c r="A19890" t="n" s="0">
        <v>98.89</v>
      </c>
      <c r="B19890" t="n" s="0">
        <f>(-5-((((-5*(-5/((-5/(((-5*(98.89--5))-(-5+((-5*98.89)*(((-5--5)+(98.89--5))+98.89))))-(-5+-5)))*-5)))/-5)--5)+(-5*(((98.89*(98.89-(-5/-5)))*(98.89-(98.89/(-5*98.89))))-(-5/-5)))))</f>
        <v>4816062.517645</v>
      </c>
      <c r="C19890" t="n" s="0">
        <v>4816062.517645</v>
      </c>
    </row>
    <row r="19891">
      <c r="A19891" t="n" s="0">
        <v>98.9</v>
      </c>
      <c r="B19891" t="n" s="0">
        <f>(-5-((((-5*(-5/((-5/(((-5*(98.9--5))-(-5+((-5*98.9)*(((-5--5)+(98.9--5))+98.9))))-(-5+-5)))*-5)))/-5)--5)+(-5*(((98.9*(98.9-(-5/-5)))*(98.9-(98.9/(-5*98.9))))-(-5/-5)))))</f>
        <v>4817525.625</v>
      </c>
      <c r="C19891" t="n" s="0">
        <v>4817525.625000001</v>
      </c>
    </row>
    <row r="19892">
      <c r="A19892" t="n" s="0">
        <v>98.91</v>
      </c>
      <c r="B19892" t="n" s="0">
        <f>(-5-((((-5*(-5/((-5/(((-5*(98.91--5))-(-5+((-5*98.91)*(((-5--5)+(98.91--5))+98.91))))-(-5+-5)))*-5)))/-5)--5)+(-5*(((98.91*(98.91-(-5/-5)))*(98.91-(98.91/(-5*98.91))))-(-5/-5)))))</f>
        <v>4818989.028655</v>
      </c>
      <c r="C19892" t="n" s="0">
        <v>4818989.028655</v>
      </c>
    </row>
    <row r="19893">
      <c r="A19893" t="n" s="0">
        <v>98.92</v>
      </c>
      <c r="B19893" t="n" s="0">
        <f>(-5-((((-5*(-5/((-5/(((-5*(98.92--5))-(-5+((-5*98.92)*(((-5--5)+(98.92--5))+98.92))))-(-5+-5)))*-5)))/-5)--5)+(-5*(((98.92*(98.92-(-5/-5)))*(98.92-(98.92/(-5*98.92))))-(-5/-5)))))</f>
        <v>4820452.728639999</v>
      </c>
      <c r="C19893" t="n" s="0">
        <v>4820452.72864</v>
      </c>
    </row>
    <row r="19894">
      <c r="A19894" t="n" s="0">
        <v>98.93</v>
      </c>
      <c r="B19894" t="n" s="0">
        <f>(-5-((((-5*(-5/((-5/(((-5*(98.93--5))-(-5+((-5*98.93)*(((-5--5)+(98.93--5))+98.93))))-(-5+-5)))*-5)))/-5)--5)+(-5*(((98.93*(98.93-(-5/-5)))*(98.93-(98.93/(-5*98.93))))-(-5/-5)))))</f>
        <v>4821916.724985</v>
      </c>
      <c r="C19894" t="n" s="0">
        <v>4821916.724985001</v>
      </c>
    </row>
    <row r="19895">
      <c r="A19895" t="n" s="0">
        <v>98.94</v>
      </c>
      <c r="B19895" t="n" s="0">
        <f>(-5-((((-5*(-5/((-5/(((-5*(98.94--5))-(-5+((-5*98.94)*(((-5--5)+(98.94--5))+98.94))))-(-5+-5)))*-5)))/-5)--5)+(-5*(((98.94*(98.94-(-5/-5)))*(98.94-(98.94/(-5*98.94))))-(-5/-5)))))</f>
        <v>4823381.01772</v>
      </c>
      <c r="C19895" t="n" s="0">
        <v>4823381.01772</v>
      </c>
    </row>
    <row r="19896">
      <c r="A19896" t="n" s="0">
        <v>98.95</v>
      </c>
      <c r="B19896" t="n" s="0">
        <f>(-5-((((-5*(-5/((-5/(((-5*(98.95--5))-(-5+((-5*98.95)*(((-5--5)+(98.95--5))+98.95))))-(-5+-5)))*-5)))/-5)--5)+(-5*(((98.95*(98.95-(-5/-5)))*(98.95-(98.95/(-5*98.95))))-(-5/-5)))))</f>
        <v>4824845.606875</v>
      </c>
      <c r="C19896" t="n" s="0">
        <v>4824845.6068750005</v>
      </c>
    </row>
    <row r="19897">
      <c r="A19897" t="n" s="0">
        <v>98.96</v>
      </c>
      <c r="B19897" t="n" s="0">
        <f>(-5-((((-5*(-5/((-5/(((-5*(98.96--5))-(-5+((-5*98.96)*(((-5--5)+(98.96--5))+98.96))))-(-5+-5)))*-5)))/-5)--5)+(-5*(((98.96*(98.96-(-5/-5)))*(98.96-(98.96/(-5*98.96))))-(-5/-5)))))</f>
        <v>4826310.4924800005</v>
      </c>
      <c r="C19897" t="n" s="0">
        <v>4826310.492479999</v>
      </c>
    </row>
    <row r="19898">
      <c r="A19898" t="n" s="0">
        <v>98.97</v>
      </c>
      <c r="B19898" t="n" s="0">
        <f>(-5-((((-5*(-5/((-5/(((-5*(98.97--5))-(-5+((-5*98.97)*(((-5--5)+(98.97--5))+98.97))))-(-5+-5)))*-5)))/-5)--5)+(-5*(((98.97*(98.97-(-5/-5)))*(98.97-(98.97/(-5*98.97))))-(-5/-5)))))</f>
        <v>4827775.6745649995</v>
      </c>
      <c r="C19898" t="n" s="0">
        <v>4827775.674565</v>
      </c>
    </row>
    <row r="19899">
      <c r="A19899" t="n" s="0">
        <v>98.98</v>
      </c>
      <c r="B19899" t="n" s="0">
        <f>(-5-((((-5*(-5/((-5/(((-5*(98.98--5))-(-5+((-5*98.98)*(((-5--5)+(98.98--5))+98.98))))-(-5+-5)))*-5)))/-5)--5)+(-5*(((98.98*(98.98-(-5/-5)))*(98.98-(98.98/(-5*98.98))))-(-5/-5)))))</f>
        <v>4829241.153159999</v>
      </c>
      <c r="C19899" t="n" s="0">
        <v>4829241.153160002</v>
      </c>
    </row>
    <row r="19900">
      <c r="A19900" t="n" s="0">
        <v>98.99</v>
      </c>
      <c r="B19900" t="n" s="0">
        <f>(-5-((((-5*(-5/((-5/(((-5*(98.99--5))-(-5+((-5*98.99)*(((-5--5)+(98.99--5))+98.99))))-(-5+-5)))*-5)))/-5)--5)+(-5*(((98.99*(98.99-(-5/-5)))*(98.99-(98.99/(-5*98.99))))-(-5/-5)))))</f>
        <v>4830706.9282949995</v>
      </c>
      <c r="C19900" t="n" s="0">
        <v>4830706.9282949995</v>
      </c>
    </row>
    <row r="19901">
      <c r="A19901" t="n" s="0">
        <v>99.0</v>
      </c>
      <c r="B19901" t="n" s="0">
        <f>(-5-((((-5*(-5/((-5/(((-5*(99--5))-(-5+((-5*99)*(((-5--5)+(99--5))+99))))-(-5+-5)))*-5)))/-5)--5)+(-5*(((99*(99-(-5/-5)))*(99-(99/(-5*99))))-(-5/-5)))))</f>
        <v>4832173.0</v>
      </c>
      <c r="C19901" t="n" s="0">
        <v>4832173.0</v>
      </c>
    </row>
    <row r="19902">
      <c r="A19902" t="n" s="0">
        <v>99.01</v>
      </c>
      <c r="B19902" t="n" s="0">
        <f>(-5-((((-5*(-5/((-5/(((-5*(99.01--5))-(-5+((-5*99.01)*(((-5--5)+(99.01--5))+99.01))))-(-5+-5)))*-5)))/-5)--5)+(-5*(((99.01*(99.01-(-5/-5)))*(99.01-(99.01/(-5*99.01))))-(-5/-5)))))</f>
        <v>4833639.368305</v>
      </c>
      <c r="C19902" t="n" s="0">
        <v>4833639.368305001</v>
      </c>
    </row>
    <row r="19903">
      <c r="A19903" t="n" s="0">
        <v>99.02</v>
      </c>
      <c r="B19903" t="n" s="0">
        <f>(-5-((((-5*(-5/((-5/(((-5*(99.02--5))-(-5+((-5*99.02)*(((-5--5)+(99.02--5))+99.02))))-(-5+-5)))*-5)))/-5)--5)+(-5*(((99.02*(99.02-(-5/-5)))*(99.02-(99.02/(-5*99.02))))-(-5/-5)))))</f>
        <v>4835106.03324</v>
      </c>
      <c r="C19903" t="n" s="0">
        <v>4835106.033239999</v>
      </c>
    </row>
    <row r="19904">
      <c r="A19904" t="n" s="0">
        <v>99.03</v>
      </c>
      <c r="B19904" t="n" s="0">
        <f>(-5-((((-5*(-5/((-5/(((-5*(99.03--5))-(-5+((-5*99.03)*(((-5--5)+(99.03--5))+99.03))))-(-5+-5)))*-5)))/-5)--5)+(-5*(((99.03*(99.03-(-5/-5)))*(99.03-(99.03/(-5*99.03))))-(-5/-5)))))</f>
        <v>4836572.994835</v>
      </c>
      <c r="C19904" t="n" s="0">
        <v>4836572.9948350005</v>
      </c>
    </row>
    <row r="19905">
      <c r="A19905" t="n" s="0">
        <v>99.04</v>
      </c>
      <c r="B19905" t="n" s="0">
        <f>(-5-((((-5*(-5/((-5/(((-5*(99.04--5))-(-5+((-5*99.04)*(((-5--5)+(99.04--5))+99.04))))-(-5+-5)))*-5)))/-5)--5)+(-5*(((99.04*(99.04-(-5/-5)))*(99.04-(99.04/(-5*99.04))))-(-5/-5)))))</f>
        <v>4838040.2531200005</v>
      </c>
      <c r="C19905" t="n" s="0">
        <v>4838040.253120001</v>
      </c>
    </row>
    <row r="19906">
      <c r="A19906" t="n" s="0">
        <v>99.05</v>
      </c>
      <c r="B19906" t="n" s="0">
        <f>(-5-((((-5*(-5/((-5/(((-5*(99.05--5))-(-5+((-5*99.05)*(((-5--5)+(99.05--5))+99.05))))-(-5+-5)))*-5)))/-5)--5)+(-5*(((99.05*(99.05-(-5/-5)))*(99.05-(99.05/(-5*99.05))))-(-5/-5)))))</f>
        <v>4839507.8081249995</v>
      </c>
      <c r="C19906" t="n" s="0">
        <v>4839507.808125</v>
      </c>
    </row>
    <row r="19907">
      <c r="A19907" t="n" s="0">
        <v>99.06</v>
      </c>
      <c r="B19907" t="n" s="0">
        <f>(-5-((((-5*(-5/((-5/(((-5*(99.06--5))-(-5+((-5*99.06)*(((-5--5)+(99.06--5))+99.06))))-(-5+-5)))*-5)))/-5)--5)+(-5*(((99.06*(99.06-(-5/-5)))*(99.06-(99.06/(-5*99.06))))-(-5/-5)))))</f>
        <v>4840975.65988</v>
      </c>
      <c r="C19907" t="n" s="0">
        <v>4840975.65988</v>
      </c>
    </row>
    <row r="19908">
      <c r="A19908" t="n" s="0">
        <v>99.07</v>
      </c>
      <c r="B19908" t="n" s="0">
        <f>(-5-((((-5*(-5/((-5/(((-5*(99.07--5))-(-5+((-5*99.07)*(((-5--5)+(99.07--5))+99.07))))-(-5+-5)))*-5)))/-5)--5)+(-5*(((99.07*(99.07-(-5/-5)))*(99.07-(99.07/(-5*99.07))))-(-5/-5)))))</f>
        <v>4842443.808415</v>
      </c>
      <c r="C19908" t="n" s="0">
        <v>4842443.808414999</v>
      </c>
    </row>
    <row r="19909">
      <c r="A19909" t="n" s="0">
        <v>99.08</v>
      </c>
      <c r="B19909" t="n" s="0">
        <f>(-5-((((-5*(-5/((-5/(((-5*(99.08--5))-(-5+((-5*99.08)*(((-5--5)+(99.08--5))+99.08))))-(-5+-5)))*-5)))/-5)--5)+(-5*(((99.08*(99.08-(-5/-5)))*(99.08-(99.08/(-5*99.08))))-(-5/-5)))))</f>
        <v>4843912.25376</v>
      </c>
      <c r="C19909" t="n" s="0">
        <v>4843912.25376</v>
      </c>
    </row>
    <row r="19910">
      <c r="A19910" t="n" s="0">
        <v>99.09</v>
      </c>
      <c r="B19910" t="n" s="0">
        <f>(-5-((((-5*(-5/((-5/(((-5*(99.09--5))-(-5+((-5*99.09)*(((-5--5)+(99.09--5))+99.09))))-(-5+-5)))*-5)))/-5)--5)+(-5*(((99.09*(99.09-(-5/-5)))*(99.09-(99.09/(-5*99.09))))-(-5/-5)))))</f>
        <v>4845380.995945</v>
      </c>
      <c r="C19910" t="n" s="0">
        <v>4845380.995945</v>
      </c>
    </row>
    <row r="19911">
      <c r="A19911" t="n" s="0">
        <v>99.1</v>
      </c>
      <c r="B19911" t="n" s="0">
        <f>(-5-((((-5*(-5/((-5/(((-5*(99.1--5))-(-5+((-5*99.1)*(((-5--5)+(99.1--5))+99.1))))-(-5+-5)))*-5)))/-5)--5)+(-5*(((99.1*(99.1-(-5/-5)))*(99.1-(99.1/(-5*99.1))))-(-5/-5)))))</f>
        <v>4846850.034999999</v>
      </c>
      <c r="C19911" t="n" s="0">
        <v>4846850.034999999</v>
      </c>
    </row>
    <row r="19912">
      <c r="A19912" t="n" s="0">
        <v>99.11</v>
      </c>
      <c r="B19912" t="n" s="0">
        <f>(-5-((((-5*(-5/((-5/(((-5*(99.11--5))-(-5+((-5*99.11)*(((-5--5)+(99.11--5))+99.11))))-(-5+-5)))*-5)))/-5)--5)+(-5*(((99.11*(99.11-(-5/-5)))*(99.11-(99.11/(-5*99.11))))-(-5/-5)))))</f>
        <v>4848319.370955</v>
      </c>
      <c r="C19912" t="n" s="0">
        <v>4848319.370955</v>
      </c>
    </row>
    <row r="19913">
      <c r="A19913" t="n" s="0">
        <v>99.12</v>
      </c>
      <c r="B19913" t="n" s="0">
        <f>(-5-((((-5*(-5/((-5/(((-5*(99.12--5))-(-5+((-5*99.12)*(((-5--5)+(99.12--5))+99.12))))-(-5+-5)))*-5)))/-5)--5)+(-5*(((99.12*(99.12-(-5/-5)))*(99.12-(99.12/(-5*99.12))))-(-5/-5)))))</f>
        <v>4849789.00384</v>
      </c>
      <c r="C19913" t="n" s="0">
        <v>4849789.003840001</v>
      </c>
    </row>
    <row r="19914">
      <c r="A19914" t="n" s="0">
        <v>99.13</v>
      </c>
      <c r="B19914" t="n" s="0">
        <f>(-5-((((-5*(-5/((-5/(((-5*(99.13--5))-(-5+((-5*99.13)*(((-5--5)+(99.13--5))+99.13))))-(-5+-5)))*-5)))/-5)--5)+(-5*(((99.13*(99.13-(-5/-5)))*(99.13-(99.13/(-5*99.13))))-(-5/-5)))))</f>
        <v>4851258.933685</v>
      </c>
      <c r="C19914" t="n" s="0">
        <v>4851258.933684999</v>
      </c>
    </row>
    <row r="19915">
      <c r="A19915" t="n" s="0">
        <v>99.14</v>
      </c>
      <c r="B19915" t="n" s="0">
        <f>(-5-((((-5*(-5/((-5/(((-5*(99.14--5))-(-5+((-5*99.14)*(((-5--5)+(99.14--5))+99.14))))-(-5+-5)))*-5)))/-5)--5)+(-5*(((99.14*(99.14-(-5/-5)))*(99.14-(99.14/(-5*99.14))))-(-5/-5)))))</f>
        <v>4852729.16052</v>
      </c>
      <c r="C19915" t="n" s="0">
        <v>4852729.16052</v>
      </c>
    </row>
    <row r="19916">
      <c r="A19916" t="n" s="0">
        <v>99.15</v>
      </c>
      <c r="B19916" t="n" s="0">
        <f>(-5-((((-5*(-5/((-5/(((-5*(99.15--5))-(-5+((-5*99.15)*(((-5--5)+(99.15--5))+99.15))))-(-5+-5)))*-5)))/-5)--5)+(-5*(((99.15*(99.15-(-5/-5)))*(99.15-(99.15/(-5*99.15))))-(-5/-5)))))</f>
        <v>4854199.684375</v>
      </c>
      <c r="C19916" t="n" s="0">
        <v>4854199.684375</v>
      </c>
    </row>
    <row r="19917">
      <c r="A19917" t="n" s="0">
        <v>99.16</v>
      </c>
      <c r="B19917" t="n" s="0">
        <f>(-5-((((-5*(-5/((-5/(((-5*(99.16--5))-(-5+((-5*99.16)*(((-5--5)+(99.16--5))+99.16))))-(-5+-5)))*-5)))/-5)--5)+(-5*(((99.16*(99.16-(-5/-5)))*(99.16-(99.16/(-5*99.16))))-(-5/-5)))))</f>
        <v>4855670.505279999</v>
      </c>
      <c r="C19917" t="n" s="0">
        <v>4855670.50528</v>
      </c>
    </row>
    <row r="19918">
      <c r="A19918" t="n" s="0">
        <v>99.17</v>
      </c>
      <c r="B19918" t="n" s="0">
        <f>(-5-((((-5*(-5/((-5/(((-5*(99.17--5))-(-5+((-5*99.17)*(((-5--5)+(99.17--5))+99.17))))-(-5+-5)))*-5)))/-5)--5)+(-5*(((99.17*(99.17-(-5/-5)))*(99.17-(99.17/(-5*99.17))))-(-5/-5)))))</f>
        <v>4857141.623265</v>
      </c>
      <c r="C19918" t="n" s="0">
        <v>4857141.623265</v>
      </c>
    </row>
    <row r="19919">
      <c r="A19919" t="n" s="0">
        <v>99.18</v>
      </c>
      <c r="B19919" t="n" s="0">
        <f>(-5-((((-5*(-5/((-5/(((-5*(99.18--5))-(-5+((-5*99.18)*(((-5--5)+(99.18--5))+99.18))))-(-5+-5)))*-5)))/-5)--5)+(-5*(((99.18*(99.18-(-5/-5)))*(99.18-(99.18/(-5*99.18))))-(-5/-5)))))</f>
        <v>4858613.03836</v>
      </c>
      <c r="C19919" t="n" s="0">
        <v>4858613.0383600015</v>
      </c>
    </row>
    <row r="19920">
      <c r="A19920" t="n" s="0">
        <v>99.19</v>
      </c>
      <c r="B19920" t="n" s="0">
        <f>(-5-((((-5*(-5/((-5/(((-5*(99.19--5))-(-5+((-5*99.19)*(((-5--5)+(99.19--5))+99.19))))-(-5+-5)))*-5)))/-5)--5)+(-5*(((99.19*(99.19-(-5/-5)))*(99.19-(99.19/(-5*99.19))))-(-5/-5)))))</f>
        <v>4860084.750595001</v>
      </c>
      <c r="C19920" t="n" s="0">
        <v>4860084.750595001</v>
      </c>
    </row>
    <row r="19921">
      <c r="A19921" t="n" s="0">
        <v>99.2</v>
      </c>
      <c r="B19921" t="n" s="0">
        <f>(-5-((((-5*(-5/((-5/(((-5*(99.2--5))-(-5+((-5*99.2)*(((-5--5)+(99.2--5))+99.2))))-(-5+-5)))*-5)))/-5)--5)+(-5*(((99.2*(99.2-(-5/-5)))*(99.2-(99.2/(-5*99.2))))-(-5/-5)))))</f>
        <v>4861556.76</v>
      </c>
      <c r="C19921" t="n" s="0">
        <v>4861556.76</v>
      </c>
    </row>
    <row r="19922">
      <c r="A19922" t="n" s="0">
        <v>99.21</v>
      </c>
      <c r="B19922" t="n" s="0">
        <f>(-5-((((-5*(-5/((-5/(((-5*(99.21--5))-(-5+((-5*99.21)*(((-5--5)+(99.21--5))+99.21))))-(-5+-5)))*-5)))/-5)--5)+(-5*(((99.21*(99.21-(-5/-5)))*(99.21-(99.21/(-5*99.21))))-(-5/-5)))))</f>
        <v>4863029.066605</v>
      </c>
      <c r="C19922" t="n" s="0">
        <v>4863029.066604999</v>
      </c>
    </row>
    <row r="19923">
      <c r="A19923" t="n" s="0">
        <v>99.22</v>
      </c>
      <c r="B19923" t="n" s="0">
        <f>(-5-((((-5*(-5/((-5/(((-5*(99.22--5))-(-5+((-5*99.22)*(((-5--5)+(99.22--5))+99.22))))-(-5+-5)))*-5)))/-5)--5)+(-5*(((99.22*(99.22-(-5/-5)))*(99.22-(99.22/(-5*99.22))))-(-5/-5)))))</f>
        <v>4864501.6704400005</v>
      </c>
      <c r="C19923" t="n" s="0">
        <v>4864501.6704400005</v>
      </c>
    </row>
    <row r="19924">
      <c r="A19924" t="n" s="0">
        <v>99.23</v>
      </c>
      <c r="B19924" t="n" s="0">
        <f>(-5-((((-5*(-5/((-5/(((-5*(99.23--5))-(-5+((-5*99.23)*(((-5--5)+(99.23--5))+99.23))))-(-5+-5)))*-5)))/-5)--5)+(-5*(((99.23*(99.23-(-5/-5)))*(99.23-(99.23/(-5*99.23))))-(-5/-5)))))</f>
        <v>4865974.571535</v>
      </c>
      <c r="C19924" t="n" s="0">
        <v>4865974.571535001</v>
      </c>
    </row>
    <row r="19925">
      <c r="A19925" t="n" s="0">
        <v>99.24</v>
      </c>
      <c r="B19925" t="n" s="0">
        <f>(-5-((((-5*(-5/((-5/(((-5*(99.24--5))-(-5+((-5*99.24)*(((-5--5)+(99.24--5))+99.24))))-(-5+-5)))*-5)))/-5)--5)+(-5*(((99.24*(99.24-(-5/-5)))*(99.24-(99.24/(-5*99.24))))-(-5/-5)))))</f>
        <v>4867447.76992</v>
      </c>
      <c r="C19925" t="n" s="0">
        <v>4867447.769919999</v>
      </c>
    </row>
    <row r="19926">
      <c r="A19926" t="n" s="0">
        <v>99.25</v>
      </c>
      <c r="B19926" t="n" s="0">
        <f>(-5-((((-5*(-5/((-5/(((-5*(99.25--5))-(-5+((-5*99.25)*(((-5--5)+(99.25--5))+99.25))))-(-5+-5)))*-5)))/-5)--5)+(-5*(((99.25*(99.25-(-5/-5)))*(99.25-(99.25/(-5*99.25))))-(-5/-5)))))</f>
        <v>4868921.265625</v>
      </c>
      <c r="C19926" t="n" s="0">
        <v>4868921.265625</v>
      </c>
    </row>
    <row r="19927">
      <c r="A19927" t="n" s="0">
        <v>99.26</v>
      </c>
      <c r="B19927" t="n" s="0">
        <f>(-5-((((-5*(-5/((-5/(((-5*(99.26--5))-(-5+((-5*99.26)*(((-5--5)+(99.26--5))+99.26))))-(-5+-5)))*-5)))/-5)--5)+(-5*(((99.26*(99.26-(-5/-5)))*(99.26-(99.26/(-5*99.26))))-(-5/-5)))))</f>
        <v>4870395.058680001</v>
      </c>
      <c r="C19927" t="n" s="0">
        <v>4870395.058680001</v>
      </c>
    </row>
    <row r="19928">
      <c r="A19928" t="n" s="0">
        <v>99.27</v>
      </c>
      <c r="B19928" t="n" s="0">
        <f>(-5-((((-5*(-5/((-5/(((-5*(99.27--5))-(-5+((-5*99.27)*(((-5--5)+(99.27--5))+99.27))))-(-5+-5)))*-5)))/-5)--5)+(-5*(((99.27*(99.27-(-5/-5)))*(99.27-(99.27/(-5*99.27))))-(-5/-5)))))</f>
        <v>4871869.149115</v>
      </c>
      <c r="C19928" t="n" s="0">
        <v>4871869.149114999</v>
      </c>
    </row>
    <row r="19929">
      <c r="A19929" t="n" s="0">
        <v>99.28</v>
      </c>
      <c r="B19929" t="n" s="0">
        <f>(-5-((((-5*(-5/((-5/(((-5*(99.28--5))-(-5+((-5*99.28)*(((-5--5)+(99.28--5))+99.28))))-(-5+-5)))*-5)))/-5)--5)+(-5*(((99.28*(99.28-(-5/-5)))*(99.28-(99.28/(-5*99.28))))-(-5/-5)))))</f>
        <v>4873343.53696</v>
      </c>
      <c r="C19929" t="n" s="0">
        <v>4873343.53696</v>
      </c>
    </row>
    <row r="19930">
      <c r="A19930" t="n" s="0">
        <v>99.29</v>
      </c>
      <c r="B19930" t="n" s="0">
        <f>(-5-((((-5*(-5/((-5/(((-5*(99.29--5))-(-5+((-5*99.29)*(((-5--5)+(99.29--5))+99.29))))-(-5+-5)))*-5)))/-5)--5)+(-5*(((99.29*(99.29-(-5/-5)))*(99.29-(99.29/(-5*99.29))))-(-5/-5)))))</f>
        <v>4874818.222245</v>
      </c>
      <c r="C19930" t="n" s="0">
        <v>4874818.222245001</v>
      </c>
    </row>
    <row r="19931">
      <c r="A19931" t="n" s="0">
        <v>99.3</v>
      </c>
      <c r="B19931" t="n" s="0">
        <f>(-5-((((-5*(-5/((-5/(((-5*(99.3--5))-(-5+((-5*99.3)*(((-5--5)+(99.3--5))+99.3))))-(-5+-5)))*-5)))/-5)--5)+(-5*(((99.3*(99.3-(-5/-5)))*(99.3-(99.3/(-5*99.3))))-(-5/-5)))))</f>
        <v>4876293.205</v>
      </c>
      <c r="C19931" t="n" s="0">
        <v>4876293.204999999</v>
      </c>
    </row>
    <row r="19932">
      <c r="A19932" t="n" s="0">
        <v>99.31</v>
      </c>
      <c r="B19932" t="n" s="0">
        <f>(-5-((((-5*(-5/((-5/(((-5*(99.31--5))-(-5+((-5*99.31)*(((-5--5)+(99.31--5))+99.31))))-(-5+-5)))*-5)))/-5)--5)+(-5*(((99.31*(99.31-(-5/-5)))*(99.31-(99.31/(-5*99.31))))-(-5/-5)))))</f>
        <v>4877768.485255</v>
      </c>
      <c r="C19932" t="n" s="0">
        <v>4877768.485255</v>
      </c>
    </row>
    <row r="19933">
      <c r="A19933" t="n" s="0">
        <v>99.32</v>
      </c>
      <c r="B19933" t="n" s="0">
        <f>(-5-((((-5*(-5/((-5/(((-5*(99.32--5))-(-5+((-5*99.32)*(((-5--5)+(99.32--5))+99.32))))-(-5+-5)))*-5)))/-5)--5)+(-5*(((99.32*(99.32-(-5/-5)))*(99.32-(99.32/(-5*99.32))))-(-5/-5)))))</f>
        <v>4879244.06304</v>
      </c>
      <c r="C19933" t="n" s="0">
        <v>4879244.0630399985</v>
      </c>
    </row>
    <row r="19934">
      <c r="A19934" t="n" s="0">
        <v>99.33</v>
      </c>
      <c r="B19934" t="n" s="0">
        <f>(-5-((((-5*(-5/((-5/(((-5*(99.33--5))-(-5+((-5*99.33)*(((-5--5)+(99.33--5))+99.33))))-(-5+-5)))*-5)))/-5)--5)+(-5*(((99.33*(99.33-(-5/-5)))*(99.33-(99.33/(-5*99.33))))-(-5/-5)))))</f>
        <v>4880719.9383849995</v>
      </c>
      <c r="C19934" t="n" s="0">
        <v>4880719.9383849995</v>
      </c>
    </row>
    <row r="19935">
      <c r="A19935" t="n" s="0">
        <v>99.34</v>
      </c>
      <c r="B19935" t="n" s="0">
        <f>(-5-((((-5*(-5/((-5/(((-5*(99.34--5))-(-5+((-5*99.34)*(((-5--5)+(99.34--5))+99.34))))-(-5+-5)))*-5)))/-5)--5)+(-5*(((99.34*(99.34-(-5/-5)))*(99.34-(99.34/(-5*99.34))))-(-5/-5)))))</f>
        <v>4882196.11132</v>
      </c>
      <c r="C19935" t="n" s="0">
        <v>4882196.11132</v>
      </c>
    </row>
    <row r="19936">
      <c r="A19936" t="n" s="0">
        <v>99.35</v>
      </c>
      <c r="B19936" t="n" s="0">
        <f>(-5-((((-5*(-5/((-5/(((-5*(99.35--5))-(-5+((-5*99.35)*(((-5--5)+(99.35--5))+99.35))))-(-5+-5)))*-5)))/-5)--5)+(-5*(((99.35*(99.35-(-5/-5)))*(99.35-(99.35/(-5*99.35))))-(-5/-5)))))</f>
        <v>4883672.581875</v>
      </c>
      <c r="C19936" t="n" s="0">
        <v>4883672.581874999</v>
      </c>
    </row>
    <row r="19937">
      <c r="A19937" t="n" s="0">
        <v>99.36</v>
      </c>
      <c r="B19937" t="n" s="0">
        <f>(-5-((((-5*(-5/((-5/(((-5*(99.36--5))-(-5+((-5*99.36)*(((-5--5)+(99.36--5))+99.36))))-(-5+-5)))*-5)))/-5)--5)+(-5*(((99.36*(99.36-(-5/-5)))*(99.36-(99.36/(-5*99.36))))-(-5/-5)))))</f>
        <v>4885149.35008</v>
      </c>
      <c r="C19937" t="n" s="0">
        <v>4885149.35008</v>
      </c>
    </row>
    <row r="19938">
      <c r="A19938" t="n" s="0">
        <v>99.37</v>
      </c>
      <c r="B19938" t="n" s="0">
        <f>(-5-((((-5*(-5/((-5/(((-5*(99.37--5))-(-5+((-5*99.37)*(((-5--5)+(99.37--5))+99.37))))-(-5+-5)))*-5)))/-5)--5)+(-5*(((99.37*(99.37-(-5/-5)))*(99.37-(99.37/(-5*99.37))))-(-5/-5)))))</f>
        <v>4886626.415964999</v>
      </c>
      <c r="C19938" t="n" s="0">
        <v>4886626.415965001</v>
      </c>
    </row>
    <row r="19939">
      <c r="A19939" t="n" s="0">
        <v>99.38</v>
      </c>
      <c r="B19939" t="n" s="0">
        <f>(-5-((((-5*(-5/((-5/(((-5*(99.38--5))-(-5+((-5*99.38)*(((-5--5)+(99.38--5))+99.38))))-(-5+-5)))*-5)))/-5)--5)+(-5*(((99.38*(99.38-(-5/-5)))*(99.38-(99.38/(-5*99.38))))-(-5/-5)))))</f>
        <v>4888103.779560001</v>
      </c>
      <c r="C19939" t="n" s="0">
        <v>4888103.77956</v>
      </c>
    </row>
    <row r="19940">
      <c r="A19940" t="n" s="0">
        <v>99.39</v>
      </c>
      <c r="B19940" t="n" s="0">
        <f>(-5-((((-5*(-5/((-5/(((-5*(99.39--5))-(-5+((-5*99.39)*(((-5--5)+(99.39--5))+99.39))))-(-5+-5)))*-5)))/-5)--5)+(-5*(((99.39*(99.39-(-5/-5)))*(99.39-(99.39/(-5*99.39))))-(-5/-5)))))</f>
        <v>4889581.4408950005</v>
      </c>
      <c r="C19940" t="n" s="0">
        <v>4889581.4408950005</v>
      </c>
    </row>
    <row r="19941">
      <c r="A19941" t="n" s="0">
        <v>99.4</v>
      </c>
      <c r="B19941" t="n" s="0">
        <f>(-5-((((-5*(-5/((-5/(((-5*(99.4--5))-(-5+((-5*99.4)*(((-5--5)+(99.4--5))+99.4))))-(-5+-5)))*-5)))/-5)--5)+(-5*(((99.4*(99.4-(-5/-5)))*(99.4-(99.4/(-5*99.4))))-(-5/-5)))))</f>
        <v>4891059.4</v>
      </c>
      <c r="C19941" t="n" s="0">
        <v>4891059.400000001</v>
      </c>
    </row>
    <row r="19942">
      <c r="A19942" t="n" s="0">
        <v>99.41</v>
      </c>
      <c r="B19942" t="n" s="0">
        <f>(-5-((((-5*(-5/((-5/(((-5*(99.41--5))-(-5+((-5*99.41)*(((-5--5)+(99.41--5))+99.41))))-(-5+-5)))*-5)))/-5)--5)+(-5*(((99.41*(99.41-(-5/-5)))*(99.41-(99.41/(-5*99.41))))-(-5/-5)))))</f>
        <v>4892537.656905</v>
      </c>
      <c r="C19942" t="n" s="0">
        <v>4892537.656905</v>
      </c>
    </row>
    <row r="19943">
      <c r="A19943" t="n" s="0">
        <v>99.42</v>
      </c>
      <c r="B19943" t="n" s="0">
        <f>(-5-((((-5*(-5/((-5/(((-5*(99.42--5))-(-5+((-5*99.42)*(((-5--5)+(99.42--5))+99.42))))-(-5+-5)))*-5)))/-5)--5)+(-5*(((99.42*(99.42-(-5/-5)))*(99.42-(99.42/(-5*99.42))))-(-5/-5)))))</f>
        <v>4894016.21164</v>
      </c>
      <c r="C19943" t="n" s="0">
        <v>4894016.21164</v>
      </c>
    </row>
    <row r="19944">
      <c r="A19944" t="n" s="0">
        <v>99.43</v>
      </c>
      <c r="B19944" t="n" s="0">
        <f>(-5-((((-5*(-5/((-5/(((-5*(99.43--5))-(-5+((-5*99.43)*(((-5--5)+(99.43--5))+99.43))))-(-5+-5)))*-5)))/-5)--5)+(-5*(((99.43*(99.43-(-5/-5)))*(99.43-(99.43/(-5*99.43))))-(-5/-5)))))</f>
        <v>4895495.064235001</v>
      </c>
      <c r="C19944" t="n" s="0">
        <v>4895495.064235001</v>
      </c>
    </row>
    <row r="19945">
      <c r="A19945" t="n" s="0">
        <v>99.44</v>
      </c>
      <c r="B19945" t="n" s="0">
        <f>(-5-((((-5*(-5/((-5/(((-5*(99.44--5))-(-5+((-5*99.44)*(((-5--5)+(99.44--5))+99.44))))-(-5+-5)))*-5)))/-5)--5)+(-5*(((99.44*(99.44-(-5/-5)))*(99.44-(99.44/(-5*99.44))))-(-5/-5)))))</f>
        <v>4896974.21472</v>
      </c>
      <c r="C19945" t="n" s="0">
        <v>4896974.21472</v>
      </c>
    </row>
    <row r="19946">
      <c r="A19946" t="n" s="0">
        <v>99.45</v>
      </c>
      <c r="B19946" t="n" s="0">
        <f>(-5-((((-5*(-5/((-5/(((-5*(99.45--5))-(-5+((-5*99.45)*(((-5--5)+(99.45--5))+99.45))))-(-5+-5)))*-5)))/-5)--5)+(-5*(((99.45*(99.45-(-5/-5)))*(99.45-(99.45/(-5*99.45))))-(-5/-5)))))</f>
        <v>4898453.663125</v>
      </c>
      <c r="C19946" t="n" s="0">
        <v>4898453.663125</v>
      </c>
    </row>
    <row r="19947">
      <c r="A19947" t="n" s="0">
        <v>99.46</v>
      </c>
      <c r="B19947" t="n" s="0">
        <f>(-5-((((-5*(-5/((-5/(((-5*(99.46--5))-(-5+((-5*99.46)*(((-5--5)+(99.46--5))+99.46))))-(-5+-5)))*-5)))/-5)--5)+(-5*(((99.46*(99.46-(-5/-5)))*(99.46-(99.46/(-5*99.46))))-(-5/-5)))))</f>
        <v>4899933.40948</v>
      </c>
      <c r="C19947" t="n" s="0">
        <v>4899933.409479999</v>
      </c>
    </row>
    <row r="19948">
      <c r="A19948" t="n" s="0">
        <v>99.47</v>
      </c>
      <c r="B19948" t="n" s="0">
        <f>(-5-((((-5*(-5/((-5/(((-5*(99.47--5))-(-5+((-5*99.47)*(((-5--5)+(99.47--5))+99.47))))-(-5+-5)))*-5)))/-5)--5)+(-5*(((99.47*(99.47-(-5/-5)))*(99.47-(99.47/(-5*99.47))))-(-5/-5)))))</f>
        <v>4901413.453815</v>
      </c>
      <c r="C19948" t="n" s="0">
        <v>4901413.453814999</v>
      </c>
    </row>
    <row r="19949">
      <c r="A19949" t="n" s="0">
        <v>99.48</v>
      </c>
      <c r="B19949" t="n" s="0">
        <f>(-5-((((-5*(-5/((-5/(((-5*(99.48--5))-(-5+((-5*99.48)*(((-5--5)+(99.48--5))+99.48))))-(-5+-5)))*-5)))/-5)--5)+(-5*(((99.48*(99.48-(-5/-5)))*(99.48-(99.48/(-5*99.48))))-(-5/-5)))))</f>
        <v>4902893.796159999</v>
      </c>
      <c r="C19949" t="n" s="0">
        <v>4902893.796160001</v>
      </c>
    </row>
    <row r="19950">
      <c r="A19950" t="n" s="0">
        <v>99.49</v>
      </c>
      <c r="B19950" t="n" s="0">
        <f>(-5-((((-5*(-5/((-5/(((-5*(99.49--5))-(-5+((-5*99.49)*(((-5--5)+(99.49--5))+99.49))))-(-5+-5)))*-5)))/-5)--5)+(-5*(((99.49*(99.49-(-5/-5)))*(99.49-(99.49/(-5*99.49))))-(-5/-5)))))</f>
        <v>4904374.436545</v>
      </c>
      <c r="C19950" t="n" s="0">
        <v>4904374.436544999</v>
      </c>
    </row>
    <row r="19951">
      <c r="A19951" t="n" s="0">
        <v>99.5</v>
      </c>
      <c r="B19951" t="n" s="0">
        <f>(-5-((((-5*(-5/((-5/(((-5*(99.5--5))-(-5+((-5*99.5)*(((-5--5)+(99.5--5))+99.5))))-(-5+-5)))*-5)))/-5)--5)+(-5*(((99.5*(99.5-(-5/-5)))*(99.5-(99.5/(-5*99.5))))-(-5/-5)))))</f>
        <v>4905855.375</v>
      </c>
      <c r="C19951" t="n" s="0">
        <v>4905855.375</v>
      </c>
    </row>
    <row r="19952">
      <c r="A19952" t="n" s="0">
        <v>99.51</v>
      </c>
      <c r="B19952" t="n" s="0">
        <f>(-5-((((-5*(-5/((-5/(((-5*(99.51--5))-(-5+((-5*99.51)*(((-5--5)+(99.51--5))+99.51))))-(-5+-5)))*-5)))/-5)--5)+(-5*(((99.51*(99.51-(-5/-5)))*(99.51-(99.51/(-5*99.51))))-(-5/-5)))))</f>
        <v>4907336.611555</v>
      </c>
      <c r="C19952" t="n" s="0">
        <v>4907336.611555001</v>
      </c>
    </row>
    <row r="19953">
      <c r="A19953" t="n" s="0">
        <v>99.52</v>
      </c>
      <c r="B19953" t="n" s="0">
        <f>(-5-((((-5*(-5/((-5/(((-5*(99.52--5))-(-5+((-5*99.52)*(((-5--5)+(99.52--5))+99.52))))-(-5+-5)))*-5)))/-5)--5)+(-5*(((99.52*(99.52-(-5/-5)))*(99.52-(99.52/(-5*99.52))))-(-5/-5)))))</f>
        <v>4908818.14624</v>
      </c>
      <c r="C19953" t="n" s="0">
        <v>4908818.14624</v>
      </c>
    </row>
    <row r="19954">
      <c r="A19954" t="n" s="0">
        <v>99.53</v>
      </c>
      <c r="B19954" t="n" s="0">
        <f>(-5-((((-5*(-5/((-5/(((-5*(99.53--5))-(-5+((-5*99.53)*(((-5--5)+(99.53--5))+99.53))))-(-5+-5)))*-5)))/-5)--5)+(-5*(((99.53*(99.53-(-5/-5)))*(99.53-(99.53/(-5*99.53))))-(-5/-5)))))</f>
        <v>4910299.979085</v>
      </c>
      <c r="C19954" t="n" s="0">
        <v>4910299.979085</v>
      </c>
    </row>
    <row r="19955">
      <c r="A19955" t="n" s="0">
        <v>99.54</v>
      </c>
      <c r="B19955" t="n" s="0">
        <f>(-5-((((-5*(-5/((-5/(((-5*(99.54--5))-(-5+((-5*99.54)*(((-5--5)+(99.54--5))+99.54))))-(-5+-5)))*-5)))/-5)--5)+(-5*(((99.54*(99.54-(-5/-5)))*(99.54-(99.54/(-5*99.54))))-(-5/-5)))))</f>
        <v>4911782.11012</v>
      </c>
      <c r="C19955" t="n" s="0">
        <v>4911782.110120001</v>
      </c>
    </row>
    <row r="19956">
      <c r="A19956" t="n" s="0">
        <v>99.55</v>
      </c>
      <c r="B19956" t="n" s="0">
        <f>(-5-((((-5*(-5/((-5/(((-5*(99.55--5))-(-5+((-5*99.55)*(((-5--5)+(99.55--5))+99.55))))-(-5+-5)))*-5)))/-5)--5)+(-5*(((99.55*(99.55-(-5/-5)))*(99.55-(99.55/(-5*99.55))))-(-5/-5)))))</f>
        <v>4913264.539375001</v>
      </c>
      <c r="C19956" t="n" s="0">
        <v>4913264.539375</v>
      </c>
    </row>
    <row r="19957">
      <c r="A19957" t="n" s="0">
        <v>99.56</v>
      </c>
      <c r="B19957" t="n" s="0">
        <f>(-5-((((-5*(-5/((-5/(((-5*(99.56--5))-(-5+((-5*99.56)*(((-5--5)+(99.56--5))+99.56))))-(-5+-5)))*-5)))/-5)--5)+(-5*(((99.56*(99.56-(-5/-5)))*(99.56-(99.56/(-5*99.56))))-(-5/-5)))))</f>
        <v>4914747.26688</v>
      </c>
      <c r="C19957" t="n" s="0">
        <v>4914747.26688</v>
      </c>
    </row>
    <row r="19958">
      <c r="A19958" t="n" s="0">
        <v>99.57</v>
      </c>
      <c r="B19958" t="n" s="0">
        <f>(-5-((((-5*(-5/((-5/(((-5*(99.57--5))-(-5+((-5*99.57)*(((-5--5)+(99.57--5))+99.57))))-(-5+-5)))*-5)))/-5)--5)+(-5*(((99.57*(99.57-(-5/-5)))*(99.57-(99.57/(-5*99.57))))-(-5/-5)))))</f>
        <v>4916230.292665</v>
      </c>
      <c r="C19958" t="n" s="0">
        <v>4916230.292664998</v>
      </c>
    </row>
    <row r="19959">
      <c r="A19959" t="n" s="0">
        <v>99.58</v>
      </c>
      <c r="B19959" t="n" s="0">
        <f>(-5-((((-5*(-5/((-5/(((-5*(99.58--5))-(-5+((-5*99.58)*(((-5--5)+(99.58--5))+99.58))))-(-5+-5)))*-5)))/-5)--5)+(-5*(((99.58*(99.58-(-5/-5)))*(99.58-(99.58/(-5*99.58))))-(-5/-5)))))</f>
        <v>4917713.61676</v>
      </c>
      <c r="C19959" t="n" s="0">
        <v>4917713.61676</v>
      </c>
    </row>
    <row r="19960">
      <c r="A19960" t="n" s="0">
        <v>99.59</v>
      </c>
      <c r="B19960" t="n" s="0">
        <f>(-5-((((-5*(-5/((-5/(((-5*(99.59--5))-(-5+((-5*99.59)*(((-5--5)+(99.59--5))+99.59))))-(-5+-5)))*-5)))/-5)--5)+(-5*(((99.59*(99.59-(-5/-5)))*(99.59-(99.59/(-5*99.59))))-(-5/-5)))))</f>
        <v>4919197.239195</v>
      </c>
      <c r="C19960" t="n" s="0">
        <v>4919197.239195</v>
      </c>
    </row>
    <row r="19961">
      <c r="A19961" t="n" s="0">
        <v>99.6</v>
      </c>
      <c r="B19961" t="n" s="0">
        <f>(-5-((((-5*(-5/((-5/(((-5*(99.6--5))-(-5+((-5*99.6)*(((-5--5)+(99.6--5))+99.6))))-(-5+-5)))*-5)))/-5)--5)+(-5*(((99.6*(99.6-(-5/-5)))*(99.6-(99.6/(-5*99.6))))-(-5/-5)))))</f>
        <v>4920681.16</v>
      </c>
      <c r="C19961" t="n" s="0">
        <v>4920681.159999999</v>
      </c>
    </row>
    <row r="19962">
      <c r="A19962" t="n" s="0">
        <v>99.61</v>
      </c>
      <c r="B19962" t="n" s="0">
        <f>(-5-((((-5*(-5/((-5/(((-5*(99.61--5))-(-5+((-5*99.61)*(((-5--5)+(99.61--5))+99.61))))-(-5+-5)))*-5)))/-5)--5)+(-5*(((99.61*(99.61-(-5/-5)))*(99.61-(99.61/(-5*99.61))))-(-5/-5)))))</f>
        <v>4922165.379205</v>
      </c>
      <c r="C19962" t="n" s="0">
        <v>4922165.379205</v>
      </c>
    </row>
    <row r="19963">
      <c r="A19963" t="n" s="0">
        <v>99.62</v>
      </c>
      <c r="B19963" t="n" s="0">
        <f>(-5-((((-5*(-5/((-5/(((-5*(99.62--5))-(-5+((-5*99.62)*(((-5--5)+(99.62--5))+99.62))))-(-5+-5)))*-5)))/-5)--5)+(-5*(((99.62*(99.62-(-5/-5)))*(99.62-(99.62/(-5*99.62))))-(-5/-5)))))</f>
        <v>4923649.89684</v>
      </c>
      <c r="C19963" t="n" s="0">
        <v>4923649.8968400005</v>
      </c>
    </row>
    <row r="19964">
      <c r="A19964" t="n" s="0">
        <v>99.63</v>
      </c>
      <c r="B19964" t="n" s="0">
        <f>(-5-((((-5*(-5/((-5/(((-5*(99.63--5))-(-5+((-5*99.63)*(((-5--5)+(99.63--5))+99.63))))-(-5+-5)))*-5)))/-5)--5)+(-5*(((99.63*(99.63-(-5/-5)))*(99.63-(99.63/(-5*99.63))))-(-5/-5)))))</f>
        <v>4925134.712935</v>
      </c>
      <c r="C19964" t="n" s="0">
        <v>4925134.712934999</v>
      </c>
    </row>
    <row r="19965">
      <c r="A19965" t="n" s="0">
        <v>99.64</v>
      </c>
      <c r="B19965" t="n" s="0">
        <f>(-5-((((-5*(-5/((-5/(((-5*(99.64--5))-(-5+((-5*99.64)*(((-5--5)+(99.64--5))+99.64))))-(-5+-5)))*-5)))/-5)--5)+(-5*(((99.64*(99.64-(-5/-5)))*(99.64-(99.64/(-5*99.64))))-(-5/-5)))))</f>
        <v>4926619.82752</v>
      </c>
      <c r="C19965" t="n" s="0">
        <v>4926619.82752</v>
      </c>
    </row>
    <row r="19966">
      <c r="A19966" t="n" s="0">
        <v>99.65</v>
      </c>
      <c r="B19966" t="n" s="0">
        <f>(-5-((((-5*(-5/((-5/(((-5*(99.65--5))-(-5+((-5*99.65)*(((-5--5)+(99.65--5))+99.65))))-(-5+-5)))*-5)))/-5)--5)+(-5*(((99.65*(99.65-(-5/-5)))*(99.65-(99.65/(-5*99.65))))-(-5/-5)))))</f>
        <v>4928105.240625</v>
      </c>
      <c r="C19966" t="n" s="0">
        <v>4928105.2406250015</v>
      </c>
    </row>
    <row r="19967">
      <c r="A19967" t="n" s="0">
        <v>99.66</v>
      </c>
      <c r="B19967" t="n" s="0">
        <f>(-5-((((-5*(-5/((-5/(((-5*(99.66--5))-(-5+((-5*99.66)*(((-5--5)+(99.66--5))+99.66))))-(-5+-5)))*-5)))/-5)--5)+(-5*(((99.66*(99.66-(-5/-5)))*(99.66-(99.66/(-5*99.66))))-(-5/-5)))))</f>
        <v>4929590.95228</v>
      </c>
      <c r="C19967" t="n" s="0">
        <v>4929590.95228</v>
      </c>
    </row>
    <row r="19968">
      <c r="A19968" t="n" s="0">
        <v>99.67</v>
      </c>
      <c r="B19968" t="n" s="0">
        <f>(-5-((((-5*(-5/((-5/(((-5*(99.67--5))-(-5+((-5*99.67)*(((-5--5)+(99.67--5))+99.67))))-(-5+-5)))*-5)))/-5)--5)+(-5*(((99.67*(99.67-(-5/-5)))*(99.67-(99.67/(-5*99.67))))-(-5/-5)))))</f>
        <v>4931076.962515</v>
      </c>
      <c r="C19968" t="n" s="0">
        <v>4931076.962515</v>
      </c>
    </row>
    <row r="19969">
      <c r="A19969" t="n" s="0">
        <v>99.68</v>
      </c>
      <c r="B19969" t="n" s="0">
        <f>(-5-((((-5*(-5/((-5/(((-5*(99.68--5))-(-5+((-5*99.68)*(((-5--5)+(99.68--5))+99.68))))-(-5+-5)))*-5)))/-5)--5)+(-5*(((99.68*(99.68-(-5/-5)))*(99.68-(99.68/(-5*99.68))))-(-5/-5)))))</f>
        <v>4932563.271360001</v>
      </c>
      <c r="C19969" t="n" s="0">
        <v>4932563.271360001</v>
      </c>
    </row>
    <row r="19970">
      <c r="A19970" t="n" s="0">
        <v>99.69</v>
      </c>
      <c r="B19970" t="n" s="0">
        <f>(-5-((((-5*(-5/((-5/(((-5*(99.69--5))-(-5+((-5*99.69)*(((-5--5)+(99.69--5))+99.69))))-(-5+-5)))*-5)))/-5)--5)+(-5*(((99.69*(99.69-(-5/-5)))*(99.69-(99.69/(-5*99.69))))-(-5/-5)))))</f>
        <v>4934049.878845001</v>
      </c>
      <c r="C19970" t="n" s="0">
        <v>4934049.878845</v>
      </c>
    </row>
    <row r="19971">
      <c r="A19971" t="n" s="0">
        <v>99.7</v>
      </c>
      <c r="B19971" t="n" s="0">
        <f>(-5-((((-5*(-5/((-5/(((-5*(99.7--5))-(-5+((-5*99.7)*(((-5--5)+(99.7--5))+99.7))))-(-5+-5)))*-5)))/-5)--5)+(-5*(((99.7*(99.7-(-5/-5)))*(99.7-(99.7/(-5*99.7))))-(-5/-5)))))</f>
        <v>4935536.785</v>
      </c>
      <c r="C19971" t="n" s="0">
        <v>4935536.785</v>
      </c>
    </row>
    <row r="19972">
      <c r="A19972" t="n" s="0">
        <v>99.71</v>
      </c>
      <c r="B19972" t="n" s="0">
        <f>(-5-((((-5*(-5/((-5/(((-5*(99.71--5))-(-5+((-5*99.71)*(((-5--5)+(99.71--5))+99.71))))-(-5+-5)))*-5)))/-5)--5)+(-5*(((99.71*(99.71-(-5/-5)))*(99.71-(99.71/(-5*99.71))))-(-5/-5)))))</f>
        <v>4937023.989855</v>
      </c>
      <c r="C19972" t="n" s="0">
        <v>4937023.989854999</v>
      </c>
    </row>
    <row r="19973">
      <c r="A19973" t="n" s="0">
        <v>99.72</v>
      </c>
      <c r="B19973" t="n" s="0">
        <f>(-5-((((-5*(-5/((-5/(((-5*(99.72--5))-(-5+((-5*99.72)*(((-5--5)+(99.72--5))+99.72))))-(-5+-5)))*-5)))/-5)--5)+(-5*(((99.72*(99.72-(-5/-5)))*(99.72-(99.72/(-5*99.72))))-(-5/-5)))))</f>
        <v>4938511.49344</v>
      </c>
      <c r="C19973" t="n" s="0">
        <v>4938511.493439999</v>
      </c>
    </row>
    <row r="19974">
      <c r="A19974" t="n" s="0">
        <v>99.73</v>
      </c>
      <c r="B19974" t="n" s="0">
        <f>(-5-((((-5*(-5/((-5/(((-5*(99.73--5))-(-5+((-5*99.73)*(((-5--5)+(99.73--5))+99.73))))-(-5+-5)))*-5)))/-5)--5)+(-5*(((99.73*(99.73-(-5/-5)))*(99.73-(99.73/(-5*99.73))))-(-5/-5)))))</f>
        <v>4939999.295785</v>
      </c>
      <c r="C19974" t="n" s="0">
        <v>4939999.295785001</v>
      </c>
    </row>
    <row r="19975">
      <c r="A19975" t="n" s="0">
        <v>99.74</v>
      </c>
      <c r="B19975" t="n" s="0">
        <f>(-5-((((-5*(-5/((-5/(((-5*(99.74--5))-(-5+((-5*99.74)*(((-5--5)+(99.74--5))+99.74))))-(-5+-5)))*-5)))/-5)--5)+(-5*(((99.74*(99.74-(-5/-5)))*(99.74-(99.74/(-5*99.74))))-(-5/-5)))))</f>
        <v>4941487.39692</v>
      </c>
      <c r="C19975" t="n" s="0">
        <v>4941487.396919998</v>
      </c>
    </row>
    <row r="19976">
      <c r="A19976" t="n" s="0">
        <v>99.75</v>
      </c>
      <c r="B19976" t="n" s="0">
        <f>(-5-((((-5*(-5/((-5/(((-5*(99.75--5))-(-5+((-5*99.75)*(((-5--5)+(99.75--5))+99.75))))-(-5+-5)))*-5)))/-5)--5)+(-5*(((99.75*(99.75-(-5/-5)))*(99.75-(99.75/(-5*99.75))))-(-5/-5)))))</f>
        <v>4942975.796875</v>
      </c>
      <c r="C19976" t="n" s="0">
        <v>4942975.796875</v>
      </c>
    </row>
    <row r="19977">
      <c r="A19977" t="n" s="0">
        <v>99.76</v>
      </c>
      <c r="B19977" t="n" s="0">
        <f>(-5-((((-5*(-5/((-5/(((-5*(99.76--5))-(-5+((-5*99.76)*(((-5--5)+(99.76--5))+99.76))))-(-5+-5)))*-5)))/-5)--5)+(-5*(((99.76*(99.76-(-5/-5)))*(99.76-(99.76/(-5*99.76))))-(-5/-5)))))</f>
        <v>4944464.49568</v>
      </c>
      <c r="C19977" t="n" s="0">
        <v>4944464.495680001</v>
      </c>
    </row>
    <row r="19978">
      <c r="A19978" t="n" s="0">
        <v>99.77</v>
      </c>
      <c r="B19978" t="n" s="0">
        <f>(-5-((((-5*(-5/((-5/(((-5*(99.77--5))-(-5+((-5*99.77)*(((-5--5)+(99.77--5))+99.77))))-(-5+-5)))*-5)))/-5)--5)+(-5*(((99.77*(99.77-(-5/-5)))*(99.77-(99.77/(-5*99.77))))-(-5/-5)))))</f>
        <v>4945953.493365</v>
      </c>
      <c r="C19978" t="n" s="0">
        <v>4945953.493364999</v>
      </c>
    </row>
    <row r="19979">
      <c r="A19979" t="n" s="0">
        <v>99.78</v>
      </c>
      <c r="B19979" t="n" s="0">
        <f>(-5-((((-5*(-5/((-5/(((-5*(99.78--5))-(-5+((-5*99.78)*(((-5--5)+(99.78--5))+99.78))))-(-5+-5)))*-5)))/-5)--5)+(-5*(((99.78*(99.78-(-5/-5)))*(99.78-(99.78/(-5*99.78))))-(-5/-5)))))</f>
        <v>4947442.78996</v>
      </c>
      <c r="C19979" t="n" s="0">
        <v>4947442.78996</v>
      </c>
    </row>
    <row r="19980">
      <c r="A19980" t="n" s="0">
        <v>99.79</v>
      </c>
      <c r="B19980" t="n" s="0">
        <f>(-5-((((-5*(-5/((-5/(((-5*(99.79--5))-(-5+((-5*99.79)*(((-5--5)+(99.79--5))+99.79))))-(-5+-5)))*-5)))/-5)--5)+(-5*(((99.79*(99.79-(-5/-5)))*(99.79-(99.79/(-5*99.79))))-(-5/-5)))))</f>
        <v>4948932.3854950005</v>
      </c>
      <c r="C19980" t="n" s="0">
        <v>4948932.385495001</v>
      </c>
    </row>
    <row r="19981">
      <c r="A19981" t="n" s="0">
        <v>99.8</v>
      </c>
      <c r="B19981" t="n" s="0">
        <f>(-5-((((-5*(-5/((-5/(((-5*(99.8--5))-(-5+((-5*99.8)*(((-5--5)+(99.8--5))+99.8))))-(-5+-5)))*-5)))/-5)--5)+(-5*(((99.8*(99.8-(-5/-5)))*(99.8-(99.8/(-5*99.8))))-(-5/-5)))))</f>
        <v>4950422.28</v>
      </c>
      <c r="C19981" t="n" s="0">
        <v>4950422.28</v>
      </c>
    </row>
    <row r="19982">
      <c r="A19982" t="n" s="0">
        <v>99.81</v>
      </c>
      <c r="B19982" t="n" s="0">
        <f>(-5-((((-5*(-5/((-5/(((-5*(99.81--5))-(-5+((-5*99.81)*(((-5--5)+(99.81--5))+99.81))))-(-5+-5)))*-5)))/-5)--5)+(-5*(((99.81*(99.81-(-5/-5)))*(99.81-(99.81/(-5*99.81))))-(-5/-5)))))</f>
        <v>4951912.473505</v>
      </c>
      <c r="C19982" t="n" s="0">
        <v>4951912.473505</v>
      </c>
    </row>
    <row r="19983">
      <c r="A19983" t="n" s="0">
        <v>99.82</v>
      </c>
      <c r="B19983" t="n" s="0">
        <f>(-5-((((-5*(-5/((-5/(((-5*(99.82--5))-(-5+((-5*99.82)*(((-5--5)+(99.82--5))+99.82))))-(-5+-5)))*-5)))/-5)--5)+(-5*(((99.82*(99.82-(-5/-5)))*(99.82-(99.82/(-5*99.82))))-(-5/-5)))))</f>
        <v>4953402.96604</v>
      </c>
      <c r="C19983" t="n" s="0">
        <v>4953402.966039999</v>
      </c>
    </row>
    <row r="19984">
      <c r="A19984" t="n" s="0">
        <v>99.83</v>
      </c>
      <c r="B19984" t="n" s="0">
        <f>(-5-((((-5*(-5/((-5/(((-5*(99.83--5))-(-5+((-5*99.83)*(((-5--5)+(99.83--5))+99.83))))-(-5+-5)))*-5)))/-5)--5)+(-5*(((99.83*(99.83-(-5/-5)))*(99.83-(99.83/(-5*99.83))))-(-5/-5)))))</f>
        <v>4954893.757635</v>
      </c>
      <c r="C19984" t="n" s="0">
        <v>4954893.757635</v>
      </c>
    </row>
    <row r="19985">
      <c r="A19985" t="n" s="0">
        <v>99.84</v>
      </c>
      <c r="B19985" t="n" s="0">
        <f>(-5-((((-5*(-5/((-5/(((-5*(99.84--5))-(-5+((-5*99.84)*(((-5--5)+(99.84--5))+99.84))))-(-5+-5)))*-5)))/-5)--5)+(-5*(((99.84*(99.84-(-5/-5)))*(99.84-(99.84/(-5*99.84))))-(-5/-5)))))</f>
        <v>4956384.84832</v>
      </c>
      <c r="C19985" t="n" s="0">
        <v>4956384.84832</v>
      </c>
    </row>
    <row r="19986">
      <c r="A19986" t="n" s="0">
        <v>99.85</v>
      </c>
      <c r="B19986" t="n" s="0">
        <f>(-5-((((-5*(-5/((-5/(((-5*(99.85--5))-(-5+((-5*99.85)*(((-5--5)+(99.85--5))+99.85))))-(-5+-5)))*-5)))/-5)--5)+(-5*(((99.85*(99.85-(-5/-5)))*(99.85-(99.85/(-5*99.85))))-(-5/-5)))))</f>
        <v>4957876.238125</v>
      </c>
      <c r="C19986" t="n" s="0">
        <v>4957876.238124999</v>
      </c>
    </row>
    <row r="19987">
      <c r="A19987" t="n" s="0">
        <v>99.86</v>
      </c>
      <c r="B19987" t="n" s="0">
        <f>(-5-((((-5*(-5/((-5/(((-5*(99.86--5))-(-5+((-5*99.86)*(((-5--5)+(99.86--5))+99.86))))-(-5+-5)))*-5)))/-5)--5)+(-5*(((99.86*(99.86-(-5/-5)))*(99.86-(99.86/(-5*99.86))))-(-5/-5)))))</f>
        <v>4959367.92708</v>
      </c>
      <c r="C19987" t="n" s="0">
        <v>4959367.92708</v>
      </c>
    </row>
    <row r="19988">
      <c r="A19988" t="n" s="0">
        <v>99.87</v>
      </c>
      <c r="B19988" t="n" s="0">
        <f>(-5-((((-5*(-5/((-5/(((-5*(99.87--5))-(-5+((-5*99.87)*(((-5--5)+(99.87--5))+99.87))))-(-5+-5)))*-5)))/-5)--5)+(-5*(((99.87*(99.87-(-5/-5)))*(99.87-(99.87/(-5*99.87))))-(-5/-5)))))</f>
        <v>4960859.915215</v>
      </c>
      <c r="C19988" t="n" s="0">
        <v>4960859.9152150005</v>
      </c>
    </row>
    <row r="19989">
      <c r="A19989" t="n" s="0">
        <v>99.88</v>
      </c>
      <c r="B19989" t="n" s="0">
        <f>(-5-((((-5*(-5/((-5/(((-5*(99.88--5))-(-5+((-5*99.88)*(((-5--5)+(99.88--5))+99.88))))-(-5+-5)))*-5)))/-5)--5)+(-5*(((99.88*(99.88-(-5/-5)))*(99.88-(99.88/(-5*99.88))))-(-5/-5)))))</f>
        <v>4962352.20256</v>
      </c>
      <c r="C19989" t="n" s="0">
        <v>4962352.202559998</v>
      </c>
    </row>
    <row r="19990">
      <c r="A19990" t="n" s="0">
        <v>99.89</v>
      </c>
      <c r="B19990" t="n" s="0">
        <f>(-5-((((-5*(-5/((-5/(((-5*(99.89--5))-(-5+((-5*99.89)*(((-5--5)+(99.89--5))+99.89))))-(-5+-5)))*-5)))/-5)--5)+(-5*(((99.89*(99.89-(-5/-5)))*(99.89-(99.89/(-5*99.89))))-(-5/-5)))))</f>
        <v>4963844.789145</v>
      </c>
      <c r="C19990" t="n" s="0">
        <v>4963844.789145</v>
      </c>
    </row>
    <row r="19991">
      <c r="A19991" t="n" s="0">
        <v>99.9</v>
      </c>
      <c r="B19991" t="n" s="0">
        <f>(-5-((((-5*(-5/((-5/(((-5*(99.9--5))-(-5+((-5*99.9)*(((-5--5)+(99.9--5))+99.9))))-(-5+-5)))*-5)))/-5)--5)+(-5*(((99.9*(99.9-(-5/-5)))*(99.9-(99.9/(-5*99.9))))-(-5/-5)))))</f>
        <v>4965337.675</v>
      </c>
      <c r="C19991" t="n" s="0">
        <v>4965337.675000002</v>
      </c>
    </row>
    <row r="19992">
      <c r="A19992" t="n" s="0">
        <v>99.91</v>
      </c>
      <c r="B19992" t="n" s="0">
        <f>(-5-((((-5*(-5/((-5/(((-5*(99.91--5))-(-5+((-5*99.91)*(((-5--5)+(99.91--5))+99.91))))-(-5+-5)))*-5)))/-5)--5)+(-5*(((99.91*(99.91-(-5/-5)))*(99.91-(99.91/(-5*99.91))))-(-5/-5)))))</f>
        <v>4966830.860155</v>
      </c>
      <c r="C19992" t="n" s="0">
        <v>4966830.860154999</v>
      </c>
    </row>
    <row r="19993">
      <c r="A19993" t="n" s="0">
        <v>99.92</v>
      </c>
      <c r="B19993" t="n" s="0">
        <f>(-5-((((-5*(-5/((-5/(((-5*(99.92--5))-(-5+((-5*99.92)*(((-5--5)+(99.92--5))+99.92))))-(-5+-5)))*-5)))/-5)--5)+(-5*(((99.92*(99.92-(-5/-5)))*(99.92-(99.92/(-5*99.92))))-(-5/-5)))))</f>
        <v>4968324.344640001</v>
      </c>
      <c r="C19993" t="n" s="0">
        <v>4968324.344640001</v>
      </c>
    </row>
    <row r="19994">
      <c r="A19994" t="n" s="0">
        <v>99.93</v>
      </c>
      <c r="B19994" t="n" s="0">
        <f>(-5-((((-5*(-5/((-5/(((-5*(99.93--5))-(-5+((-5*99.93)*(((-5--5)+(99.93--5))+99.93))))-(-5+-5)))*-5)))/-5)--5)+(-5*(((99.93*(99.93-(-5/-5)))*(99.93-(99.93/(-5*99.93))))-(-5/-5)))))</f>
        <v>4969818.128485</v>
      </c>
      <c r="C19994" t="n" s="0">
        <v>4969818.128485001</v>
      </c>
    </row>
    <row r="19995">
      <c r="A19995" t="n" s="0">
        <v>99.94</v>
      </c>
      <c r="B19995" t="n" s="0">
        <f>(-5-((((-5*(-5/((-5/(((-5*(99.94--5))-(-5+((-5*99.94)*(((-5--5)+(99.94--5))+99.94))))-(-5+-5)))*-5)))/-5)--5)+(-5*(((99.94*(99.94-(-5/-5)))*(99.94-(99.94/(-5*99.94))))-(-5/-5)))))</f>
        <v>4971312.21172</v>
      </c>
      <c r="C19995" t="n" s="0">
        <v>4971312.21172</v>
      </c>
    </row>
    <row r="19996">
      <c r="A19996" t="n" s="0">
        <v>99.95</v>
      </c>
      <c r="B19996" t="n" s="0">
        <f>(-5-((((-5*(-5/((-5/(((-5*(99.95--5))-(-5+((-5*99.95)*(((-5--5)+(99.95--5))+99.95))))-(-5+-5)))*-5)))/-5)--5)+(-5*(((99.95*(99.95-(-5/-5)))*(99.95-(99.95/(-5*99.95))))-(-5/-5)))))</f>
        <v>4972806.594374999</v>
      </c>
      <c r="C19996" t="n" s="0">
        <v>4972806.594375</v>
      </c>
    </row>
    <row r="19997">
      <c r="A19997" t="n" s="0">
        <v>99.96</v>
      </c>
      <c r="B19997" t="n" s="0">
        <f>(-5-((((-5*(-5/((-5/(((-5*(99.96--5))-(-5+((-5*99.96)*(((-5--5)+(99.96--5))+99.96))))-(-5+-5)))*-5)))/-5)--5)+(-5*(((99.96*(99.96-(-5/-5)))*(99.96-(99.96/(-5*99.96))))-(-5/-5)))))</f>
        <v>4974301.2764800005</v>
      </c>
      <c r="C19997" t="n" s="0">
        <v>4974301.276479999</v>
      </c>
    </row>
    <row r="19998">
      <c r="A19998" t="n" s="0">
        <v>99.97</v>
      </c>
      <c r="B19998" t="n" s="0">
        <f>(-5-((((-5*(-5/((-5/(((-5*(99.97--5))-(-5+((-5*99.97)*(((-5--5)+(99.97--5))+99.97))))-(-5+-5)))*-5)))/-5)--5)+(-5*(((99.97*(99.97-(-5/-5)))*(99.97-(99.97/(-5*99.97))))-(-5/-5)))))</f>
        <v>4975796.258064999</v>
      </c>
      <c r="C19998" t="n" s="0">
        <v>4975796.258065</v>
      </c>
    </row>
    <row r="19999">
      <c r="A19999" t="n" s="0">
        <v>99.98</v>
      </c>
      <c r="B19999" t="n" s="0">
        <f>(-5-((((-5*(-5/((-5/(((-5*(99.98--5))-(-5+((-5*99.98)*(((-5--5)+(99.98--5))+99.98))))-(-5+-5)))*-5)))/-5)--5)+(-5*(((99.98*(99.98-(-5/-5)))*(99.98-(99.98/(-5*99.98))))-(-5/-5)))))</f>
        <v>4977291.53916</v>
      </c>
      <c r="C19999" t="n" s="0">
        <v>4977291.539160002</v>
      </c>
    </row>
    <row r="20000">
      <c r="A20000" t="n" s="0">
        <v>99.99</v>
      </c>
      <c r="B20000" t="n" s="0">
        <f>(-5-((((-5*(-5/((-5/(((-5*(99.99--5))-(-5+((-5*99.99)*(((-5--5)+(99.99--5))+99.99))))-(-5+-5)))*-5)))/-5)--5)+(-5*(((99.99*(99.99-(-5/-5)))*(99.99-(99.99/(-5*99.99))))-(-5/-5)))))</f>
        <v>4978787.119794999</v>
      </c>
      <c r="C20000" t="n" s="0">
        <v>4978787.119794999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2022-10-20T17:32:56Z</dcterms:created>
  <dc:creator>Apache POI</dc:creator>
</cp:coreProperties>
</file>